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792" yWindow="1020" windowWidth="13608" windowHeight="6852" tabRatio="805" firstSheet="2" activeTab="2"/>
  </bookViews>
  <sheets>
    <sheet name="T1 V2" sheetId="139" state="hidden" r:id="rId1"/>
    <sheet name="T1-Original" sheetId="81" state="hidden" r:id="rId2"/>
    <sheet name="Table 1 State Summary FY14-15" sheetId="166" r:id="rId3"/>
    <sheet name="Table 2_State Distrib and Adjs" sheetId="33" r:id="rId4"/>
    <sheet name="Table 2A-1_EFT (Annual)" sheetId="100" r:id="rId5"/>
    <sheet name="Table 2A-2 EFT (Monthly)" sheetId="72" r:id="rId6"/>
    <sheet name="Table 3 Levels 1&amp;2" sheetId="1" r:id="rId7"/>
    <sheet name="Table 3A Level 3" sheetId="2" r:id="rId8"/>
    <sheet name="Table 4 Level 4" sheetId="167" r:id="rId9"/>
    <sheet name="Table 5A1_Labs" sheetId="5" r:id="rId10"/>
    <sheet name="Table 5A2- Legacy Type 2" sheetId="137" r:id="rId11"/>
    <sheet name="Table 5A3_OJJ" sheetId="67" r:id="rId12"/>
    <sheet name="Table 5A4_NOCCA" sheetId="140" r:id="rId13"/>
    <sheet name="Table 5A5_LSMSA" sheetId="141" r:id="rId14"/>
    <sheet name="Table 5B1_RSD_Orleans" sheetId="31" r:id="rId15"/>
    <sheet name="Table 5B2_RSD_LA" sheetId="46" r:id="rId16"/>
    <sheet name="Table 5C1A-Madison Prep" sheetId="113" r:id="rId17"/>
    <sheet name="Table 5C1B-DArbonne" sheetId="114" r:id="rId18"/>
    <sheet name="Table 5C1C-Intl_VIBE" sheetId="115" r:id="rId19"/>
    <sheet name="Table 5C1D-NOMMA" sheetId="116" r:id="rId20"/>
    <sheet name="Table 5C1E-LFNO" sheetId="117" r:id="rId21"/>
    <sheet name="Table 5C1F-Lake Charles Charter" sheetId="118" r:id="rId22"/>
    <sheet name="Table 5C1G-JS Clark Academy" sheetId="119" r:id="rId23"/>
    <sheet name="Table 5C1H-Southwest LA Charter" sheetId="120" r:id="rId24"/>
    <sheet name="Table 5C1I-LA Key Academy" sheetId="125" r:id="rId25"/>
    <sheet name="Table 5C1J-Jefferson Chamber" sheetId="126" r:id="rId26"/>
    <sheet name="Table 5C1K-Tallulah Charter" sheetId="127" r:id="rId27"/>
    <sheet name="Table 5C1L-Northshore Charter" sheetId="128" r:id="rId28"/>
    <sheet name="Table 5C1M-B.R. Charter" sheetId="129" r:id="rId29"/>
    <sheet name="Table 5C1N-Delta Charter" sheetId="131" r:id="rId30"/>
    <sheet name="Table 5C1O-Impact" sheetId="144" r:id="rId31"/>
    <sheet name="Table 5C1P-Vision" sheetId="145" r:id="rId32"/>
    <sheet name="Table 5C1Q-Advantage" sheetId="146" r:id="rId33"/>
    <sheet name="Table 5C1R-Iberville" sheetId="147" r:id="rId34"/>
    <sheet name="Table 5C1S-L.C. Coll Prep" sheetId="148" r:id="rId35"/>
    <sheet name="Table 5C1T-Northeast" sheetId="149" r:id="rId36"/>
    <sheet name="Table 5C1U-Acadiana Ren" sheetId="151" r:id="rId37"/>
    <sheet name="Table 5C1V-Laf Ren" sheetId="152" r:id="rId38"/>
    <sheet name="Table 5C1W-Willow" sheetId="153" r:id="rId39"/>
    <sheet name="Table 5C2 - LA Virtual Admy" sheetId="76" r:id="rId40"/>
    <sheet name="Table 5C3 - LA Connections EBR" sheetId="80" r:id="rId41"/>
    <sheet name="Table 6 (Local Deduct Calc.)" sheetId="25" r:id="rId42"/>
    <sheet name="Table 7 Local Revenue" sheetId="13" r:id="rId43"/>
    <sheet name="Table 8 Membership 2.1.14" sheetId="162"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1_2004_2005_AFR_4_Ad_Valorem_Taxes" localSheetId="0">#REF!</definedName>
    <definedName name="_1_2004_2005_AFR_4_Ad_Valorem_Taxes" localSheetId="1">#REF!</definedName>
    <definedName name="_1_2004_2005_AFR_4_Ad_Valorem_Taxes" localSheetId="2">#REF!</definedName>
    <definedName name="_1_2004_2005_AFR_4_Ad_Valorem_Taxes" localSheetId="4">#REF!</definedName>
    <definedName name="_1_2004_2005_AFR_4_Ad_Valorem_Taxes" localSheetId="10">#REF!</definedName>
    <definedName name="_1_2004_2005_AFR_4_Ad_Valorem_Taxes" localSheetId="12">#REF!</definedName>
    <definedName name="_1_2004_2005_AFR_4_Ad_Valorem_Taxes" localSheetId="13">#REF!</definedName>
    <definedName name="_1_2004_2005_AFR_4_Ad_Valorem_Taxes" localSheetId="17">#REF!</definedName>
    <definedName name="_1_2004_2005_AFR_4_Ad_Valorem_Taxes" localSheetId="18">#REF!</definedName>
    <definedName name="_1_2004_2005_AFR_4_Ad_Valorem_Taxes" localSheetId="19">#REF!</definedName>
    <definedName name="_1_2004_2005_AFR_4_Ad_Valorem_Taxes" localSheetId="20">#REF!</definedName>
    <definedName name="_1_2004_2005_AFR_4_Ad_Valorem_Taxes" localSheetId="21">#REF!</definedName>
    <definedName name="_1_2004_2005_AFR_4_Ad_Valorem_Taxes" localSheetId="22">#REF!</definedName>
    <definedName name="_1_2004_2005_AFR_4_Ad_Valorem_Taxes" localSheetId="23">#REF!</definedName>
    <definedName name="_1_2004_2005_AFR_4_Ad_Valorem_Taxes" localSheetId="24">#REF!</definedName>
    <definedName name="_1_2004_2005_AFR_4_Ad_Valorem_Taxes" localSheetId="25">#REF!</definedName>
    <definedName name="_1_2004_2005_AFR_4_Ad_Valorem_Taxes" localSheetId="26">#REF!</definedName>
    <definedName name="_1_2004_2005_AFR_4_Ad_Valorem_Taxes" localSheetId="27">#REF!</definedName>
    <definedName name="_1_2004_2005_AFR_4_Ad_Valorem_Taxes" localSheetId="28">#REF!</definedName>
    <definedName name="_1_2004_2005_AFR_4_Ad_Valorem_Taxes" localSheetId="29">#REF!</definedName>
    <definedName name="_1_2004_2005_AFR_4_Ad_Valorem_Taxes" localSheetId="30">#REF!</definedName>
    <definedName name="_1_2004_2005_AFR_4_Ad_Valorem_Taxes" localSheetId="31">#REF!</definedName>
    <definedName name="_1_2004_2005_AFR_4_Ad_Valorem_Taxes" localSheetId="32">#REF!</definedName>
    <definedName name="_1_2004_2005_AFR_4_Ad_Valorem_Taxes" localSheetId="33">#REF!</definedName>
    <definedName name="_1_2004_2005_AFR_4_Ad_Valorem_Taxes" localSheetId="34">#REF!</definedName>
    <definedName name="_1_2004_2005_AFR_4_Ad_Valorem_Taxes" localSheetId="35">#REF!</definedName>
    <definedName name="_1_2004_2005_AFR_4_Ad_Valorem_Taxes" localSheetId="36">#REF!</definedName>
    <definedName name="_1_2004_2005_AFR_4_Ad_Valorem_Taxes" localSheetId="37">#REF!</definedName>
    <definedName name="_1_2004_2005_AFR_4_Ad_Valorem_Taxes" localSheetId="38">#REF!</definedName>
    <definedName name="_1_2004_2005_AFR_4_Ad_Valorem_Taxes">#REF!</definedName>
    <definedName name="_2004_2005_AFR_4_Ad_Valorem_Taxes" localSheetId="0">#REF!</definedName>
    <definedName name="_2004_2005_AFR_4_Ad_Valorem_Taxes" localSheetId="2">#REF!</definedName>
    <definedName name="_2004_2005_AFR_4_Ad_Valorem_Taxes" localSheetId="12">#REF!</definedName>
    <definedName name="_2004_2005_AFR_4_Ad_Valorem_Taxes" localSheetId="13">#REF!</definedName>
    <definedName name="_2004_2005_AFR_4_Ad_Valorem_Taxes" localSheetId="30">#REF!</definedName>
    <definedName name="_2004_2005_AFR_4_Ad_Valorem_Taxes" localSheetId="31">#REF!</definedName>
    <definedName name="_2004_2005_AFR_4_Ad_Valorem_Taxes" localSheetId="32">#REF!</definedName>
    <definedName name="_2004_2005_AFR_4_Ad_Valorem_Taxes" localSheetId="33">#REF!</definedName>
    <definedName name="_2004_2005_AFR_4_Ad_Valorem_Taxes" localSheetId="34">#REF!</definedName>
    <definedName name="_2004_2005_AFR_4_Ad_Valorem_Taxes" localSheetId="35">#REF!</definedName>
    <definedName name="_2004_2005_AFR_4_Ad_Valorem_Taxes" localSheetId="36">#REF!</definedName>
    <definedName name="_2004_2005_AFR_4_Ad_Valorem_Taxes" localSheetId="37">#REF!</definedName>
    <definedName name="_2004_2005_AFR_4_Ad_Valorem_Taxes" localSheetId="38">#REF!</definedName>
    <definedName name="_2004_2005_AFR_4_Ad_Valorem_Taxes">#REF!</definedName>
    <definedName name="Import_Elem_Secondary_ByLEA" localSheetId="0">#REF!</definedName>
    <definedName name="Import_Elem_Secondary_ByLEA" localSheetId="1">#REF!</definedName>
    <definedName name="Import_Elem_Secondary_ByLEA" localSheetId="2">#REF!</definedName>
    <definedName name="Import_Elem_Secondary_ByLEA" localSheetId="4">#REF!</definedName>
    <definedName name="Import_Elem_Secondary_ByLEA" localSheetId="12">#REF!</definedName>
    <definedName name="Import_Elem_Secondary_ByLEA" localSheetId="13">#REF!</definedName>
    <definedName name="Import_Elem_Secondary_ByLEA" localSheetId="17">#REF!</definedName>
    <definedName name="Import_Elem_Secondary_ByLEA" localSheetId="18">#REF!</definedName>
    <definedName name="Import_Elem_Secondary_ByLEA" localSheetId="19">#REF!</definedName>
    <definedName name="Import_Elem_Secondary_ByLEA" localSheetId="20">#REF!</definedName>
    <definedName name="Import_Elem_Secondary_ByLEA" localSheetId="21">#REF!</definedName>
    <definedName name="Import_Elem_Secondary_ByLEA" localSheetId="22">#REF!</definedName>
    <definedName name="Import_Elem_Secondary_ByLEA" localSheetId="23">#REF!</definedName>
    <definedName name="Import_Elem_Secondary_ByLEA" localSheetId="24">#REF!</definedName>
    <definedName name="Import_Elem_Secondary_ByLEA" localSheetId="25">#REF!</definedName>
    <definedName name="Import_Elem_Secondary_ByLEA" localSheetId="26">#REF!</definedName>
    <definedName name="Import_Elem_Secondary_ByLEA" localSheetId="27">#REF!</definedName>
    <definedName name="Import_Elem_Secondary_ByLEA" localSheetId="28">#REF!</definedName>
    <definedName name="Import_Elem_Secondary_ByLEA" localSheetId="29">#REF!</definedName>
    <definedName name="Import_Elem_Secondary_ByLEA" localSheetId="30">#REF!</definedName>
    <definedName name="Import_Elem_Secondary_ByLEA" localSheetId="31">#REF!</definedName>
    <definedName name="Import_Elem_Secondary_ByLEA" localSheetId="32">#REF!</definedName>
    <definedName name="Import_Elem_Secondary_ByLEA" localSheetId="33">#REF!</definedName>
    <definedName name="Import_Elem_Secondary_ByLEA" localSheetId="34">#REF!</definedName>
    <definedName name="Import_Elem_Secondary_ByLEA" localSheetId="35">#REF!</definedName>
    <definedName name="Import_Elem_Secondary_ByLEA" localSheetId="36">#REF!</definedName>
    <definedName name="Import_Elem_Secondary_ByLEA" localSheetId="37">#REF!</definedName>
    <definedName name="Import_Elem_Secondary_ByLEA" localSheetId="38">#REF!</definedName>
    <definedName name="Import_Elem_Secondary_ByLEA">#REF!</definedName>
    <definedName name="Import_K_12_ByLEA" localSheetId="0">#REF!</definedName>
    <definedName name="Import_K_12_ByLEA" localSheetId="1">#REF!</definedName>
    <definedName name="Import_K_12_ByLEA" localSheetId="2">#REF!</definedName>
    <definedName name="Import_K_12_ByLEA" localSheetId="4">#REF!</definedName>
    <definedName name="Import_K_12_ByLEA" localSheetId="12">#REF!</definedName>
    <definedName name="Import_K_12_ByLEA" localSheetId="13">#REF!</definedName>
    <definedName name="Import_K_12_ByLEA" localSheetId="17">#REF!</definedName>
    <definedName name="Import_K_12_ByLEA" localSheetId="18">#REF!</definedName>
    <definedName name="Import_K_12_ByLEA" localSheetId="19">#REF!</definedName>
    <definedName name="Import_K_12_ByLEA" localSheetId="20">#REF!</definedName>
    <definedName name="Import_K_12_ByLEA" localSheetId="21">#REF!</definedName>
    <definedName name="Import_K_12_ByLEA" localSheetId="22">#REF!</definedName>
    <definedName name="Import_K_12_ByLEA" localSheetId="23">#REF!</definedName>
    <definedName name="Import_K_12_ByLEA" localSheetId="24">#REF!</definedName>
    <definedName name="Import_K_12_ByLEA" localSheetId="25">#REF!</definedName>
    <definedName name="Import_K_12_ByLEA" localSheetId="26">#REF!</definedName>
    <definedName name="Import_K_12_ByLEA" localSheetId="27">#REF!</definedName>
    <definedName name="Import_K_12_ByLEA" localSheetId="28">#REF!</definedName>
    <definedName name="Import_K_12_ByLEA" localSheetId="29">#REF!</definedName>
    <definedName name="Import_K_12_ByLEA" localSheetId="30">#REF!</definedName>
    <definedName name="Import_K_12_ByLEA" localSheetId="31">#REF!</definedName>
    <definedName name="Import_K_12_ByLEA" localSheetId="32">#REF!</definedName>
    <definedName name="Import_K_12_ByLEA" localSheetId="33">#REF!</definedName>
    <definedName name="Import_K_12_ByLEA" localSheetId="34">#REF!</definedName>
    <definedName name="Import_K_12_ByLEA" localSheetId="35">#REF!</definedName>
    <definedName name="Import_K_12_ByLEA" localSheetId="36">#REF!</definedName>
    <definedName name="Import_K_12_ByLEA" localSheetId="37">#REF!</definedName>
    <definedName name="Import_K_12_ByLEA" localSheetId="38">#REF!</definedName>
    <definedName name="Import_K_12_ByLEA">#REF!</definedName>
    <definedName name="Import_MFP_and_Other_Funded_ByLEA" localSheetId="0">#REF!</definedName>
    <definedName name="Import_MFP_and_Other_Funded_ByLEA" localSheetId="1">#REF!</definedName>
    <definedName name="Import_MFP_and_Other_Funded_ByLEA" localSheetId="2">#REF!</definedName>
    <definedName name="Import_MFP_and_Other_Funded_ByLEA" localSheetId="4">#REF!</definedName>
    <definedName name="Import_MFP_and_Other_Funded_ByLEA" localSheetId="12">#REF!</definedName>
    <definedName name="Import_MFP_and_Other_Funded_ByLEA" localSheetId="13">#REF!</definedName>
    <definedName name="Import_MFP_and_Other_Funded_ByLEA" localSheetId="17">#REF!</definedName>
    <definedName name="Import_MFP_and_Other_Funded_ByLEA" localSheetId="18">#REF!</definedName>
    <definedName name="Import_MFP_and_Other_Funded_ByLEA" localSheetId="19">#REF!</definedName>
    <definedName name="Import_MFP_and_Other_Funded_ByLEA" localSheetId="20">#REF!</definedName>
    <definedName name="Import_MFP_and_Other_Funded_ByLEA" localSheetId="21">#REF!</definedName>
    <definedName name="Import_MFP_and_Other_Funded_ByLEA" localSheetId="22">#REF!</definedName>
    <definedName name="Import_MFP_and_Other_Funded_ByLEA" localSheetId="23">#REF!</definedName>
    <definedName name="Import_MFP_and_Other_Funded_ByLEA" localSheetId="24">#REF!</definedName>
    <definedName name="Import_MFP_and_Other_Funded_ByLEA" localSheetId="25">#REF!</definedName>
    <definedName name="Import_MFP_and_Other_Funded_ByLEA" localSheetId="26">#REF!</definedName>
    <definedName name="Import_MFP_and_Other_Funded_ByLEA" localSheetId="27">#REF!</definedName>
    <definedName name="Import_MFP_and_Other_Funded_ByLEA" localSheetId="28">#REF!</definedName>
    <definedName name="Import_MFP_and_Other_Funded_ByLEA" localSheetId="29">#REF!</definedName>
    <definedName name="Import_MFP_and_Other_Funded_ByLEA" localSheetId="30">#REF!</definedName>
    <definedName name="Import_MFP_and_Other_Funded_ByLEA" localSheetId="31">#REF!</definedName>
    <definedName name="Import_MFP_and_Other_Funded_ByLEA" localSheetId="32">#REF!</definedName>
    <definedName name="Import_MFP_and_Other_Funded_ByLEA" localSheetId="33">#REF!</definedName>
    <definedName name="Import_MFP_and_Other_Funded_ByLEA" localSheetId="34">#REF!</definedName>
    <definedName name="Import_MFP_and_Other_Funded_ByLEA" localSheetId="35">#REF!</definedName>
    <definedName name="Import_MFP_and_Other_Funded_ByLEA" localSheetId="36">#REF!</definedName>
    <definedName name="Import_MFP_and_Other_Funded_ByLEA" localSheetId="37">#REF!</definedName>
    <definedName name="Import_MFP_and_Other_Funded_ByLEA" localSheetId="38">#REF!</definedName>
    <definedName name="Import_MFP_and_Other_Funded_ByLEA">#REF!</definedName>
    <definedName name="Import_Total_Reported_ByLEA" localSheetId="0">#REF!</definedName>
    <definedName name="Import_Total_Reported_ByLEA" localSheetId="1">#REF!</definedName>
    <definedName name="Import_Total_Reported_ByLEA" localSheetId="2">#REF!</definedName>
    <definedName name="Import_Total_Reported_ByLEA" localSheetId="4">#REF!</definedName>
    <definedName name="Import_Total_Reported_ByLEA" localSheetId="12">#REF!</definedName>
    <definedName name="Import_Total_Reported_ByLEA" localSheetId="13">#REF!</definedName>
    <definedName name="Import_Total_Reported_ByLEA" localSheetId="17">#REF!</definedName>
    <definedName name="Import_Total_Reported_ByLEA" localSheetId="18">#REF!</definedName>
    <definedName name="Import_Total_Reported_ByLEA" localSheetId="19">#REF!</definedName>
    <definedName name="Import_Total_Reported_ByLEA" localSheetId="20">#REF!</definedName>
    <definedName name="Import_Total_Reported_ByLEA" localSheetId="21">#REF!</definedName>
    <definedName name="Import_Total_Reported_ByLEA" localSheetId="22">#REF!</definedName>
    <definedName name="Import_Total_Reported_ByLEA" localSheetId="23">#REF!</definedName>
    <definedName name="Import_Total_Reported_ByLEA" localSheetId="24">#REF!</definedName>
    <definedName name="Import_Total_Reported_ByLEA" localSheetId="25">#REF!</definedName>
    <definedName name="Import_Total_Reported_ByLEA" localSheetId="26">#REF!</definedName>
    <definedName name="Import_Total_Reported_ByLEA" localSheetId="27">#REF!</definedName>
    <definedName name="Import_Total_Reported_ByLEA" localSheetId="28">#REF!</definedName>
    <definedName name="Import_Total_Reported_ByLEA" localSheetId="29">#REF!</definedName>
    <definedName name="Import_Total_Reported_ByLEA" localSheetId="30">#REF!</definedName>
    <definedName name="Import_Total_Reported_ByLEA" localSheetId="31">#REF!</definedName>
    <definedName name="Import_Total_Reported_ByLEA" localSheetId="32">#REF!</definedName>
    <definedName name="Import_Total_Reported_ByLEA" localSheetId="33">#REF!</definedName>
    <definedName name="Import_Total_Reported_ByLEA" localSheetId="34">#REF!</definedName>
    <definedName name="Import_Total_Reported_ByLEA" localSheetId="35">#REF!</definedName>
    <definedName name="Import_Total_Reported_ByLEA" localSheetId="36">#REF!</definedName>
    <definedName name="Import_Total_Reported_ByLEA" localSheetId="37">#REF!</definedName>
    <definedName name="Import_Total_Reported_ByLEA" localSheetId="38">#REF!</definedName>
    <definedName name="Import_Total_Reported_ByLEA">#REF!</definedName>
    <definedName name="_xlnm.Print_Area" localSheetId="0">'T1 V2'!$A$1:$H$109</definedName>
    <definedName name="_xlnm.Print_Area" localSheetId="1">'T1-Original'!$A$1:$H$86</definedName>
    <definedName name="_xlnm.Print_Area" localSheetId="2">'Table 1 State Summary FY14-15'!$A$1:$H$60</definedName>
    <definedName name="_xlnm.Print_Area" localSheetId="3">'Table 2_State Distrib and Adjs'!$A$1:$AP$76</definedName>
    <definedName name="_xlnm.Print_Area" localSheetId="4">'Table 2A-1_EFT (Annual)'!$A$1:$AG$73</definedName>
    <definedName name="_xlnm.Print_Area" localSheetId="5">'Table 2A-2 EFT (Monthly)'!$A$1:$BJ$73</definedName>
    <definedName name="_xlnm.Print_Area" localSheetId="6">'Table 3 Levels 1&amp;2'!$A$1:$AY$73</definedName>
    <definedName name="_xlnm.Print_Area" localSheetId="7">'Table 3A Level 3'!$A$1:$P$75</definedName>
    <definedName name="_xlnm.Print_Area" localSheetId="8">'Table 4 Level 4'!$B$1:$O$198</definedName>
    <definedName name="_xlnm.Print_Area" localSheetId="9">'Table 5A1_Labs'!$A$1:$X$8</definedName>
    <definedName name="_xlnm.Print_Area" localSheetId="10">'Table 5A2- Legacy Type 2'!$A$1:$Z$20</definedName>
    <definedName name="_xlnm.Print_Area" localSheetId="11">'Table 5A3_OJJ'!$A$1:$Y$81</definedName>
    <definedName name="_xlnm.Print_Area" localSheetId="12">'Table 5A4_NOCCA'!$A$1:$R$82</definedName>
    <definedName name="_xlnm.Print_Area" localSheetId="13">'Table 5A5_LSMSA'!$A$1:$R$82</definedName>
    <definedName name="_xlnm.Print_Area" localSheetId="14">'Table 5B1_RSD_Orleans'!$A$1:$AR$77</definedName>
    <definedName name="_xlnm.Print_Area" localSheetId="15">'Table 5B2_RSD_LA'!$A$1:$AU$17</definedName>
    <definedName name="_xlnm.Print_Area" localSheetId="16">'Table 5C1A-Madison Prep'!$A$1:$AK$82</definedName>
    <definedName name="_xlnm.Print_Area" localSheetId="17">'Table 5C1B-DArbonne'!$A$1:$AK$83</definedName>
    <definedName name="_xlnm.Print_Area" localSheetId="18">'Table 5C1C-Intl_VIBE'!$A$1:$AK$82</definedName>
    <definedName name="_xlnm.Print_Area" localSheetId="19">'Table 5C1D-NOMMA'!$A$1:$AK$82</definedName>
    <definedName name="_xlnm.Print_Area" localSheetId="20">'Table 5C1E-LFNO'!$A$1:$AK$82</definedName>
    <definedName name="_xlnm.Print_Area" localSheetId="21">'Table 5C1F-Lake Charles Charter'!$A$1:$AK$82</definedName>
    <definedName name="_xlnm.Print_Area" localSheetId="22">'Table 5C1G-JS Clark Academy'!$A$1:$AK$82</definedName>
    <definedName name="_xlnm.Print_Area" localSheetId="23">'Table 5C1H-Southwest LA Charter'!$A$1:$AK$82</definedName>
    <definedName name="_xlnm.Print_Area" localSheetId="24">'Table 5C1I-LA Key Academy'!$A$1:$AK$82</definedName>
    <definedName name="_xlnm.Print_Area" localSheetId="25">'Table 5C1J-Jefferson Chamber'!$A$1:$AK$82</definedName>
    <definedName name="_xlnm.Print_Area" localSheetId="26">'Table 5C1K-Tallulah Charter'!$A$1:$AK$82</definedName>
    <definedName name="_xlnm.Print_Area" localSheetId="27">'Table 5C1L-Northshore Charter'!$A$1:$AK$82</definedName>
    <definedName name="_xlnm.Print_Area" localSheetId="28">'Table 5C1M-B.R. Charter'!$A$1:$AK$82</definedName>
    <definedName name="_xlnm.Print_Area" localSheetId="29">'Table 5C1N-Delta Charter'!$A$1:$AK$82</definedName>
    <definedName name="_xlnm.Print_Area" localSheetId="30">'Table 5C1O-Impact'!$A$1:$AK$82</definedName>
    <definedName name="_xlnm.Print_Area" localSheetId="31">'Table 5C1P-Vision'!$A$1:$AK$82</definedName>
    <definedName name="_xlnm.Print_Area" localSheetId="32">'Table 5C1Q-Advantage'!$A$1:$AK$82</definedName>
    <definedName name="_xlnm.Print_Area" localSheetId="33">'Table 5C1R-Iberville'!$A$1:$AK$82</definedName>
    <definedName name="_xlnm.Print_Area" localSheetId="34">'Table 5C1S-L.C. Coll Prep'!$A$1:$AK$82</definedName>
    <definedName name="_xlnm.Print_Area" localSheetId="35">'Table 5C1T-Northeast'!$A$1:$AK$82</definedName>
    <definedName name="_xlnm.Print_Area" localSheetId="36">'Table 5C1U-Acadiana Ren'!$A$1:$AK$82</definedName>
    <definedName name="_xlnm.Print_Area" localSheetId="37">'Table 5C1V-Laf Ren'!$A$1:$AK$82</definedName>
    <definedName name="_xlnm.Print_Area" localSheetId="38">'Table 5C1W-Willow'!$A$1:$AK$82</definedName>
    <definedName name="_xlnm.Print_Area" localSheetId="39">'Table 5C2 - LA Virtual Admy'!$A$1:$AL$81</definedName>
    <definedName name="_xlnm.Print_Area" localSheetId="40">'Table 5C3 - LA Connections EBR'!$A$1:$AL$81</definedName>
    <definedName name="_xlnm.Print_Area" localSheetId="41">'Table 6 (Local Deduct Calc.)'!$A$2:$J$76</definedName>
    <definedName name="_xlnm.Print_Area" localSheetId="42">'Table 7 Local Revenue'!$A$3:$AR$77</definedName>
    <definedName name="_xlnm.Print_Area" localSheetId="43">'Table 8 Membership 2.1.14'!$A$1:$AJ$74</definedName>
    <definedName name="_xlnm.Print_Titles" localSheetId="0">'T1 V2'!$1:$8</definedName>
    <definedName name="_xlnm.Print_Titles" localSheetId="1">'T1-Original'!$1:$8</definedName>
    <definedName name="_xlnm.Print_Titles" localSheetId="2">'Table 1 State Summary FY14-15'!$1:$7</definedName>
    <definedName name="_xlnm.Print_Titles" localSheetId="3">'Table 2_State Distrib and Adjs'!$A:$B</definedName>
    <definedName name="_xlnm.Print_Titles" localSheetId="4">'Table 2A-1_EFT (Annual)'!$B:$B</definedName>
    <definedName name="_xlnm.Print_Titles" localSheetId="5">'Table 2A-2 EFT (Monthly)'!$A:$B</definedName>
    <definedName name="_xlnm.Print_Titles" localSheetId="6">'Table 3 Levels 1&amp;2'!$A:$B,'Table 3 Levels 1&amp;2'!$1:$3</definedName>
    <definedName name="_xlnm.Print_Titles" localSheetId="7">'Table 3A Level 3'!$A:$B</definedName>
    <definedName name="_xlnm.Print_Titles" localSheetId="8">'Table 4 Level 4'!$B:$C,'Table 4 Level 4'!$1:$4</definedName>
    <definedName name="_xlnm.Print_Titles" localSheetId="9">'Table 5A1_Labs'!$A:$B,'Table 5A1_Labs'!$2:$4</definedName>
    <definedName name="_xlnm.Print_Titles" localSheetId="10">'Table 5A2- Legacy Type 2'!$A:$B,'Table 5A2- Legacy Type 2'!$2:$4</definedName>
    <definedName name="_xlnm.Print_Titles" localSheetId="11">'Table 5A3_OJJ'!$A:$B,'Table 5A3_OJJ'!$1:$4</definedName>
    <definedName name="_xlnm.Print_Titles" localSheetId="12">'Table 5A4_NOCCA'!$A:$B,'Table 5A4_NOCCA'!$2:$6</definedName>
    <definedName name="_xlnm.Print_Titles" localSheetId="13">'Table 5A5_LSMSA'!$A:$B,'Table 5A5_LSMSA'!$2:$6</definedName>
    <definedName name="_xlnm.Print_Titles" localSheetId="14">'Table 5B1_RSD_Orleans'!$A:$B,'Table 5B1_RSD_Orleans'!$1:$5</definedName>
    <definedName name="_xlnm.Print_Titles" localSheetId="15">'Table 5B2_RSD_LA'!$A:$B</definedName>
    <definedName name="_xlnm.Print_Titles" localSheetId="16">'Table 5C1A-Madison Prep'!$A:$B,'Table 5C1A-Madison Prep'!$1:$6</definedName>
    <definedName name="_xlnm.Print_Titles" localSheetId="17">'Table 5C1B-DArbonne'!$A:$B,'Table 5C1B-DArbonne'!$1:$6</definedName>
    <definedName name="_xlnm.Print_Titles" localSheetId="18">'Table 5C1C-Intl_VIBE'!$A:$B,'Table 5C1C-Intl_VIBE'!$1:$6</definedName>
    <definedName name="_xlnm.Print_Titles" localSheetId="19">'Table 5C1D-NOMMA'!$A:$B,'Table 5C1D-NOMMA'!$1:$6</definedName>
    <definedName name="_xlnm.Print_Titles" localSheetId="20">'Table 5C1E-LFNO'!$A:$B,'Table 5C1E-LFNO'!$1:$6</definedName>
    <definedName name="_xlnm.Print_Titles" localSheetId="21">'Table 5C1F-Lake Charles Charter'!$A:$B,'Table 5C1F-Lake Charles Charter'!$1:$6</definedName>
    <definedName name="_xlnm.Print_Titles" localSheetId="22">'Table 5C1G-JS Clark Academy'!$A:$B,'Table 5C1G-JS Clark Academy'!$1:$6</definedName>
    <definedName name="_xlnm.Print_Titles" localSheetId="23">'Table 5C1H-Southwest LA Charter'!$A:$B,'Table 5C1H-Southwest LA Charter'!$1:$6</definedName>
    <definedName name="_xlnm.Print_Titles" localSheetId="24">'Table 5C1I-LA Key Academy'!$A:$B,'Table 5C1I-LA Key Academy'!$1:$6</definedName>
    <definedName name="_xlnm.Print_Titles" localSheetId="25">'Table 5C1J-Jefferson Chamber'!$A:$B,'Table 5C1J-Jefferson Chamber'!$1:$6</definedName>
    <definedName name="_xlnm.Print_Titles" localSheetId="26">'Table 5C1K-Tallulah Charter'!$A:$B,'Table 5C1K-Tallulah Charter'!$1:$6</definedName>
    <definedName name="_xlnm.Print_Titles" localSheetId="27">'Table 5C1L-Northshore Charter'!$A:$B,'Table 5C1L-Northshore Charter'!$1:$6</definedName>
    <definedName name="_xlnm.Print_Titles" localSheetId="28">'Table 5C1M-B.R. Charter'!$A:$B,'Table 5C1M-B.R. Charter'!$1:$6</definedName>
    <definedName name="_xlnm.Print_Titles" localSheetId="29">'Table 5C1N-Delta Charter'!$A:$B,'Table 5C1N-Delta Charter'!$1:$6</definedName>
    <definedName name="_xlnm.Print_Titles" localSheetId="30">'Table 5C1O-Impact'!$A:$B,'Table 5C1O-Impact'!$1:$6</definedName>
    <definedName name="_xlnm.Print_Titles" localSheetId="31">'Table 5C1P-Vision'!$A:$B,'Table 5C1P-Vision'!$1:$6</definedName>
    <definedName name="_xlnm.Print_Titles" localSheetId="32">'Table 5C1Q-Advantage'!$A:$B,'Table 5C1Q-Advantage'!$1:$6</definedName>
    <definedName name="_xlnm.Print_Titles" localSheetId="33">'Table 5C1R-Iberville'!$A:$B,'Table 5C1R-Iberville'!$1:$6</definedName>
    <definedName name="_xlnm.Print_Titles" localSheetId="34">'Table 5C1S-L.C. Coll Prep'!$A:$B,'Table 5C1S-L.C. Coll Prep'!$1:$6</definedName>
    <definedName name="_xlnm.Print_Titles" localSheetId="35">'Table 5C1T-Northeast'!$A:$B,'Table 5C1T-Northeast'!$1:$6</definedName>
    <definedName name="_xlnm.Print_Titles" localSheetId="36">'Table 5C1U-Acadiana Ren'!$A:$B,'Table 5C1U-Acadiana Ren'!$1:$6</definedName>
    <definedName name="_xlnm.Print_Titles" localSheetId="37">'Table 5C1V-Laf Ren'!$A:$B,'Table 5C1V-Laf Ren'!$1:$6</definedName>
    <definedName name="_xlnm.Print_Titles" localSheetId="38">'Table 5C1W-Willow'!$A:$B,'Table 5C1W-Willow'!$1:$6</definedName>
    <definedName name="_xlnm.Print_Titles" localSheetId="39">'Table 5C2 - LA Virtual Admy'!$A:$B</definedName>
    <definedName name="_xlnm.Print_Titles" localSheetId="40">'Table 5C3 - LA Connections EBR'!$A:$B</definedName>
    <definedName name="_xlnm.Print_Titles" localSheetId="41">'Table 6 (Local Deduct Calc.)'!$A:$B,'Table 6 (Local Deduct Calc.)'!$2:$6</definedName>
    <definedName name="_xlnm.Print_Titles" localSheetId="42">'Table 7 Local Revenue'!$A:$B,'Table 7 Local Revenue'!$1:$6</definedName>
    <definedName name="_xlnm.Print_Titles" localSheetId="43">'Table 8 Membership 2.1.14'!$A:$B</definedName>
  </definedNames>
  <calcPr calcId="145621"/>
</workbook>
</file>

<file path=xl/calcChain.xml><?xml version="1.0" encoding="utf-8"?>
<calcChain xmlns="http://schemas.openxmlformats.org/spreadsheetml/2006/main">
  <c r="E85" i="67" l="1"/>
  <c r="E87" i="67" s="1"/>
  <c r="C92" i="67"/>
  <c r="C96" i="67"/>
  <c r="C99" i="67" s="1"/>
  <c r="C100" i="67" s="1"/>
  <c r="C101" i="67"/>
  <c r="C103" i="67"/>
  <c r="C105" i="67" l="1"/>
  <c r="C102" i="67"/>
  <c r="C104" i="67" s="1"/>
  <c r="C106" i="67" l="1"/>
  <c r="AG15" i="46" l="1"/>
  <c r="AF15" i="46"/>
  <c r="AE15" i="46"/>
  <c r="V15" i="46"/>
  <c r="K9" i="137"/>
  <c r="AP71" i="31" l="1"/>
  <c r="AN71" i="31"/>
  <c r="AM71" i="31"/>
  <c r="AE71" i="31"/>
  <c r="AC71" i="31"/>
  <c r="Q71" i="31"/>
  <c r="J19" i="31"/>
  <c r="J71" i="31" s="1"/>
  <c r="I19" i="31"/>
  <c r="I71" i="31" s="1"/>
  <c r="K19" i="31"/>
  <c r="S19" i="31"/>
  <c r="V19" i="31"/>
  <c r="W19" i="31"/>
  <c r="X19" i="31"/>
  <c r="C19" i="31"/>
  <c r="G19" i="31" s="1"/>
  <c r="U42" i="115" l="1"/>
  <c r="U76" i="113"/>
  <c r="U75" i="113"/>
  <c r="U74" i="113"/>
  <c r="U73" i="113"/>
  <c r="U72" i="113"/>
  <c r="U71" i="113"/>
  <c r="U70" i="113"/>
  <c r="U69" i="113"/>
  <c r="U68" i="113"/>
  <c r="U67" i="113"/>
  <c r="U66" i="113"/>
  <c r="U65" i="113"/>
  <c r="U64" i="113"/>
  <c r="U63" i="113"/>
  <c r="U62" i="113"/>
  <c r="U61" i="113"/>
  <c r="U60" i="113"/>
  <c r="U59" i="113"/>
  <c r="U58" i="113"/>
  <c r="U57" i="113"/>
  <c r="U56" i="113"/>
  <c r="U55" i="113"/>
  <c r="U54" i="113"/>
  <c r="U53" i="113"/>
  <c r="U52" i="113"/>
  <c r="U51" i="113"/>
  <c r="U50" i="113"/>
  <c r="U49" i="113"/>
  <c r="U48" i="113"/>
  <c r="U47" i="113"/>
  <c r="U46" i="113"/>
  <c r="U45" i="113"/>
  <c r="U44" i="113"/>
  <c r="U43" i="113"/>
  <c r="U42" i="113"/>
  <c r="U41" i="113"/>
  <c r="U40" i="113"/>
  <c r="U39" i="113"/>
  <c r="U38" i="113"/>
  <c r="U37" i="113"/>
  <c r="U36" i="113"/>
  <c r="U35" i="113"/>
  <c r="U34" i="113"/>
  <c r="U33" i="113"/>
  <c r="U32" i="113"/>
  <c r="U31" i="113"/>
  <c r="U30" i="113"/>
  <c r="U29" i="113"/>
  <c r="U28" i="113"/>
  <c r="U27" i="113"/>
  <c r="U26" i="113"/>
  <c r="U25" i="113"/>
  <c r="U24" i="113"/>
  <c r="U23" i="113"/>
  <c r="U22" i="113"/>
  <c r="U21" i="113"/>
  <c r="U20" i="113"/>
  <c r="U19" i="113"/>
  <c r="U18" i="113"/>
  <c r="U17" i="113"/>
  <c r="U16" i="113"/>
  <c r="U15" i="113"/>
  <c r="U14" i="113"/>
  <c r="U13" i="113"/>
  <c r="U12" i="113"/>
  <c r="U11" i="113"/>
  <c r="U10" i="113"/>
  <c r="U9" i="113"/>
  <c r="U8" i="113"/>
  <c r="U7" i="113"/>
  <c r="AC14" i="46"/>
  <c r="AC11" i="46"/>
  <c r="AC10" i="46"/>
  <c r="AC8" i="46"/>
  <c r="AC7" i="46"/>
  <c r="AC9" i="46"/>
  <c r="AC6" i="46"/>
  <c r="AA4" i="31"/>
  <c r="Z4" i="31"/>
  <c r="Z18" i="31" s="1"/>
  <c r="AB18" i="31" s="1"/>
  <c r="AF19" i="31" l="1"/>
  <c r="AD19" i="31"/>
  <c r="AA23" i="31"/>
  <c r="AA17" i="31"/>
  <c r="AB17" i="31" s="1"/>
  <c r="AB19" i="31" s="1"/>
  <c r="AG19" i="31" l="1"/>
  <c r="AH19" i="31" s="1"/>
  <c r="AI19" i="31" l="1"/>
  <c r="AJ19" i="31"/>
  <c r="C67" i="147"/>
  <c r="F81" i="80"/>
  <c r="D81" i="80"/>
  <c r="F81" i="76"/>
  <c r="D81" i="76"/>
  <c r="AM72" i="31"/>
  <c r="X70" i="31"/>
  <c r="W70" i="31"/>
  <c r="V70" i="31"/>
  <c r="S70" i="31"/>
  <c r="X69" i="31"/>
  <c r="W69" i="31"/>
  <c r="V69" i="31"/>
  <c r="S69" i="31"/>
  <c r="X68" i="31"/>
  <c r="W68" i="31"/>
  <c r="X67" i="31"/>
  <c r="W67" i="31"/>
  <c r="X66" i="31"/>
  <c r="W66" i="31"/>
  <c r="X65" i="31"/>
  <c r="W65" i="31"/>
  <c r="X64" i="31"/>
  <c r="W64" i="31"/>
  <c r="X63" i="31"/>
  <c r="W63" i="31"/>
  <c r="X62" i="31"/>
  <c r="W62" i="31"/>
  <c r="X61" i="31"/>
  <c r="W61" i="31"/>
  <c r="X60" i="31"/>
  <c r="W60" i="31"/>
  <c r="X59" i="31"/>
  <c r="W59" i="31"/>
  <c r="X58" i="31"/>
  <c r="W58" i="31"/>
  <c r="X57" i="31"/>
  <c r="W57" i="31"/>
  <c r="X56" i="31"/>
  <c r="W56" i="31"/>
  <c r="X55" i="31"/>
  <c r="W55" i="31"/>
  <c r="X54" i="31"/>
  <c r="W54" i="31"/>
  <c r="X53" i="31"/>
  <c r="W53" i="31"/>
  <c r="X52" i="31"/>
  <c r="W52" i="31"/>
  <c r="X51" i="31"/>
  <c r="W51" i="31"/>
  <c r="X50" i="31"/>
  <c r="W50" i="31"/>
  <c r="X49" i="31"/>
  <c r="W49" i="31"/>
  <c r="X48" i="31"/>
  <c r="W48" i="31"/>
  <c r="X47" i="31"/>
  <c r="W47" i="31"/>
  <c r="X46" i="31"/>
  <c r="W46" i="31"/>
  <c r="X45" i="31"/>
  <c r="W45" i="31"/>
  <c r="X44" i="31"/>
  <c r="W44" i="31"/>
  <c r="X43" i="31"/>
  <c r="W43" i="31"/>
  <c r="X42" i="31"/>
  <c r="W42" i="31"/>
  <c r="X41" i="31"/>
  <c r="W41" i="31"/>
  <c r="X40" i="31"/>
  <c r="W40" i="31"/>
  <c r="X39" i="31"/>
  <c r="W39" i="31"/>
  <c r="X38" i="31"/>
  <c r="W38" i="31"/>
  <c r="X37" i="31"/>
  <c r="W37" i="31"/>
  <c r="X36" i="31"/>
  <c r="W36" i="31"/>
  <c r="X35" i="31"/>
  <c r="W35" i="31"/>
  <c r="X34" i="31"/>
  <c r="W34" i="31"/>
  <c r="X33" i="31"/>
  <c r="W33" i="31"/>
  <c r="X32" i="31"/>
  <c r="W32" i="31"/>
  <c r="X31" i="31"/>
  <c r="W31" i="31"/>
  <c r="X30" i="31"/>
  <c r="W30" i="31"/>
  <c r="X29" i="31"/>
  <c r="W29" i="31"/>
  <c r="X28" i="31"/>
  <c r="W28" i="31"/>
  <c r="X27" i="31"/>
  <c r="W27" i="31"/>
  <c r="X26" i="31"/>
  <c r="W26" i="31"/>
  <c r="X25" i="31"/>
  <c r="W25" i="31"/>
  <c r="X24" i="31"/>
  <c r="W24" i="31"/>
  <c r="X23" i="31"/>
  <c r="W23" i="31"/>
  <c r="X22" i="31"/>
  <c r="W22" i="31"/>
  <c r="X21" i="31"/>
  <c r="W21" i="31"/>
  <c r="X20" i="31"/>
  <c r="W20" i="31"/>
  <c r="X16" i="31"/>
  <c r="W16" i="31"/>
  <c r="X15" i="31"/>
  <c r="W15" i="31"/>
  <c r="X14" i="31"/>
  <c r="W14" i="31"/>
  <c r="X13" i="31"/>
  <c r="W13" i="31"/>
  <c r="X12" i="31"/>
  <c r="W12" i="31"/>
  <c r="W71" i="31" l="1"/>
  <c r="W72" i="31" s="1"/>
  <c r="X71" i="31"/>
  <c r="X72" i="31" s="1"/>
  <c r="AK19" i="31"/>
  <c r="AL19" i="31" s="1"/>
  <c r="AO19" i="31" s="1"/>
  <c r="AQ19" i="31" s="1"/>
  <c r="AR19" i="31" s="1"/>
  <c r="AO75" i="33"/>
  <c r="AN75" i="33"/>
  <c r="AO74" i="33"/>
  <c r="AN74" i="33"/>
  <c r="AO73" i="33"/>
  <c r="AN73" i="33"/>
  <c r="AO72" i="33"/>
  <c r="AN72" i="33"/>
  <c r="AO71" i="33"/>
  <c r="AN71" i="33"/>
  <c r="AO70" i="33"/>
  <c r="AN70" i="33"/>
  <c r="AO69" i="33"/>
  <c r="AN69" i="33"/>
  <c r="AO68" i="33"/>
  <c r="AN68" i="33"/>
  <c r="AO67" i="33"/>
  <c r="AN67" i="33"/>
  <c r="AO66" i="33"/>
  <c r="AN66" i="33"/>
  <c r="AO65" i="33"/>
  <c r="AN65" i="33"/>
  <c r="AO64" i="33"/>
  <c r="AN64" i="33"/>
  <c r="AO63" i="33"/>
  <c r="AN63" i="33"/>
  <c r="AO62" i="33"/>
  <c r="AN62" i="33"/>
  <c r="AO61" i="33"/>
  <c r="AN61" i="33"/>
  <c r="AO60" i="33"/>
  <c r="AN60" i="33"/>
  <c r="AO59" i="33"/>
  <c r="AN59" i="33"/>
  <c r="AO58" i="33"/>
  <c r="AN58" i="33"/>
  <c r="AO57" i="33"/>
  <c r="AN57" i="33"/>
  <c r="AO56" i="33"/>
  <c r="AN56" i="33"/>
  <c r="AO55" i="33"/>
  <c r="AN55" i="33"/>
  <c r="AO54" i="33"/>
  <c r="AN54" i="33"/>
  <c r="AO53" i="33"/>
  <c r="AN53" i="33"/>
  <c r="AO52" i="33"/>
  <c r="AN52" i="33"/>
  <c r="AO51" i="33"/>
  <c r="AN51" i="33"/>
  <c r="AO50" i="33"/>
  <c r="AN50" i="33"/>
  <c r="AO49" i="33"/>
  <c r="AN49" i="33"/>
  <c r="AO48" i="33"/>
  <c r="AN48" i="33"/>
  <c r="AO47" i="33"/>
  <c r="AN47" i="33"/>
  <c r="AO46" i="33"/>
  <c r="AN46" i="33"/>
  <c r="AO45" i="33"/>
  <c r="AN45" i="33"/>
  <c r="AO44" i="33"/>
  <c r="AN44" i="33"/>
  <c r="AO43" i="33"/>
  <c r="AN43" i="33"/>
  <c r="AO42" i="33"/>
  <c r="AN42" i="33"/>
  <c r="AO41" i="33"/>
  <c r="AN41" i="33"/>
  <c r="AO40" i="33"/>
  <c r="AN40" i="33"/>
  <c r="AO39" i="33"/>
  <c r="AN39" i="33"/>
  <c r="AO38" i="33"/>
  <c r="AN38" i="33"/>
  <c r="AO37" i="33"/>
  <c r="AN37" i="33"/>
  <c r="AO36" i="33"/>
  <c r="AN36" i="33"/>
  <c r="AO35" i="33"/>
  <c r="AN35" i="33"/>
  <c r="AO34" i="33"/>
  <c r="AN34" i="33"/>
  <c r="AO33" i="33"/>
  <c r="AN33" i="33"/>
  <c r="AO32" i="33"/>
  <c r="AN32" i="33"/>
  <c r="AO31" i="33"/>
  <c r="AN31" i="33"/>
  <c r="AO30" i="33"/>
  <c r="AN30" i="33"/>
  <c r="AO29" i="33"/>
  <c r="AN29" i="33"/>
  <c r="AO28" i="33"/>
  <c r="AN28" i="33"/>
  <c r="AO27" i="33"/>
  <c r="AN27" i="33"/>
  <c r="AO26" i="33"/>
  <c r="AN26" i="33"/>
  <c r="AO25" i="33"/>
  <c r="AN25" i="33"/>
  <c r="AO24" i="33"/>
  <c r="AN24" i="33"/>
  <c r="AO23" i="33"/>
  <c r="AN23" i="33"/>
  <c r="AO22" i="33"/>
  <c r="AN22" i="33"/>
  <c r="AO21" i="33"/>
  <c r="AN21" i="33"/>
  <c r="AO20" i="33"/>
  <c r="AN20" i="33"/>
  <c r="AO19" i="33"/>
  <c r="AN19" i="33"/>
  <c r="AO18" i="33"/>
  <c r="AN18" i="33"/>
  <c r="AO17" i="33"/>
  <c r="AN17" i="33"/>
  <c r="AO16" i="33"/>
  <c r="AN16" i="33"/>
  <c r="AO15" i="33"/>
  <c r="AN15" i="33"/>
  <c r="AO14" i="33"/>
  <c r="AN14" i="33"/>
  <c r="AO13" i="33"/>
  <c r="AN13" i="33"/>
  <c r="AO12" i="33"/>
  <c r="AN12" i="33"/>
  <c r="AO11" i="33"/>
  <c r="AN11" i="33"/>
  <c r="AO10" i="33"/>
  <c r="AN10" i="33"/>
  <c r="AO9" i="33"/>
  <c r="AN9" i="33"/>
  <c r="AO8" i="33"/>
  <c r="AN8" i="33"/>
  <c r="AO7" i="33"/>
  <c r="AN7" i="33"/>
  <c r="AN76" i="33" s="1"/>
  <c r="AO76" i="33"/>
  <c r="U79" i="80" l="1"/>
  <c r="AK79" i="80" s="1"/>
  <c r="U78" i="80"/>
  <c r="AK78" i="80" s="1"/>
  <c r="S79" i="80"/>
  <c r="T79" i="80" s="1"/>
  <c r="AL79" i="80" s="1"/>
  <c r="S78" i="80"/>
  <c r="T78" i="80" s="1"/>
  <c r="AL78" i="80" s="1"/>
  <c r="S77" i="80"/>
  <c r="T77" i="80" s="1"/>
  <c r="AL77" i="80" s="1"/>
  <c r="U78" i="76"/>
  <c r="AK78" i="76" s="1"/>
  <c r="U79" i="76"/>
  <c r="AK79" i="76" s="1"/>
  <c r="S79" i="76"/>
  <c r="T79" i="76" s="1"/>
  <c r="AL79" i="76" s="1"/>
  <c r="S78" i="76"/>
  <c r="T78" i="76" s="1"/>
  <c r="AL78" i="76" s="1"/>
  <c r="S77" i="76"/>
  <c r="T77" i="76" s="1"/>
  <c r="AL77" i="76" s="1"/>
  <c r="T80" i="113"/>
  <c r="T79" i="113"/>
  <c r="P80" i="113"/>
  <c r="P79" i="113"/>
  <c r="AA11" i="46"/>
  <c r="Z11" i="46"/>
  <c r="AA10" i="46"/>
  <c r="Z10" i="46"/>
  <c r="AA8" i="46"/>
  <c r="Z8" i="46"/>
  <c r="AA7" i="46"/>
  <c r="Z7" i="46"/>
  <c r="AA9" i="46"/>
  <c r="Z9" i="46"/>
  <c r="AA6" i="46"/>
  <c r="Z6" i="46"/>
  <c r="AA14" i="46"/>
  <c r="AA15" i="46" s="1"/>
  <c r="Z14" i="46"/>
  <c r="Z15" i="46" s="1"/>
  <c r="AA12" i="46" l="1"/>
  <c r="Z12" i="46"/>
  <c r="Z17" i="46" l="1"/>
  <c r="AA17" i="46"/>
  <c r="Y14" i="137"/>
  <c r="X14" i="137"/>
  <c r="Y13" i="137"/>
  <c r="X13" i="137"/>
  <c r="Y12" i="137"/>
  <c r="X12" i="137"/>
  <c r="Y11" i="137"/>
  <c r="X11" i="137"/>
  <c r="Y10" i="137"/>
  <c r="X10" i="137"/>
  <c r="Y9" i="137"/>
  <c r="X9" i="137"/>
  <c r="Y6" i="137"/>
  <c r="X6" i="137"/>
  <c r="Y5" i="137"/>
  <c r="X5" i="137"/>
  <c r="X15" i="137" s="1"/>
  <c r="X19" i="137" s="1"/>
  <c r="V6" i="5"/>
  <c r="W6" i="5"/>
  <c r="W5" i="5"/>
  <c r="V5" i="5"/>
  <c r="Y15" i="137" l="1"/>
  <c r="Y19" i="137" s="1"/>
  <c r="V7" i="5"/>
  <c r="W7" i="5"/>
  <c r="T80" i="153"/>
  <c r="T79" i="153"/>
  <c r="T80" i="152"/>
  <c r="T79" i="152"/>
  <c r="T80" i="151"/>
  <c r="T79" i="151"/>
  <c r="T80" i="149"/>
  <c r="T79" i="149"/>
  <c r="T80" i="148"/>
  <c r="T79" i="148"/>
  <c r="T80" i="147"/>
  <c r="T79" i="147"/>
  <c r="T80" i="146"/>
  <c r="T79" i="146"/>
  <c r="T80" i="145"/>
  <c r="T79" i="145"/>
  <c r="T80" i="144"/>
  <c r="T79" i="144"/>
  <c r="T80" i="131"/>
  <c r="T79" i="131"/>
  <c r="T80" i="129"/>
  <c r="T79" i="129"/>
  <c r="T80" i="128"/>
  <c r="T79" i="128"/>
  <c r="T80" i="127"/>
  <c r="T79" i="127"/>
  <c r="T80" i="126"/>
  <c r="T79" i="126"/>
  <c r="T80" i="125"/>
  <c r="T79" i="125"/>
  <c r="T80" i="120"/>
  <c r="T79" i="120"/>
  <c r="T80" i="119"/>
  <c r="T79" i="119"/>
  <c r="T80" i="118"/>
  <c r="T79" i="118"/>
  <c r="T80" i="117"/>
  <c r="T79" i="117"/>
  <c r="T80" i="116"/>
  <c r="T79" i="116"/>
  <c r="T80" i="115"/>
  <c r="T79" i="115"/>
  <c r="T81" i="114"/>
  <c r="T80" i="114"/>
  <c r="R80" i="141"/>
  <c r="R79" i="141"/>
  <c r="R80" i="140"/>
  <c r="R79" i="140"/>
  <c r="M79" i="67"/>
  <c r="M78" i="67"/>
  <c r="A194" i="167" l="1"/>
  <c r="A193" i="167"/>
  <c r="A192" i="167"/>
  <c r="N191" i="167"/>
  <c r="I191" i="167"/>
  <c r="G191" i="167"/>
  <c r="J191" i="167" s="1"/>
  <c r="E191" i="167"/>
  <c r="A191" i="167"/>
  <c r="A190" i="167"/>
  <c r="L189" i="167"/>
  <c r="K189" i="167"/>
  <c r="H189" i="167"/>
  <c r="F189" i="167"/>
  <c r="D189" i="167"/>
  <c r="A189" i="167"/>
  <c r="M188" i="167"/>
  <c r="M189" i="167" s="1"/>
  <c r="I188" i="167"/>
  <c r="I189" i="167" s="1"/>
  <c r="G188" i="167"/>
  <c r="G189" i="167" s="1"/>
  <c r="E188" i="167"/>
  <c r="A188" i="167"/>
  <c r="A187" i="167"/>
  <c r="L186" i="167"/>
  <c r="K186" i="167"/>
  <c r="H186" i="167"/>
  <c r="F186" i="167"/>
  <c r="D186" i="167"/>
  <c r="A186" i="167"/>
  <c r="N185" i="167"/>
  <c r="T11" i="46" s="1"/>
  <c r="I185" i="167"/>
  <c r="G185" i="167"/>
  <c r="J185" i="167" s="1"/>
  <c r="E185" i="167"/>
  <c r="S11" i="46" s="1"/>
  <c r="A185" i="167"/>
  <c r="N184" i="167"/>
  <c r="T10" i="46" s="1"/>
  <c r="I184" i="167"/>
  <c r="G184" i="167"/>
  <c r="E184" i="167"/>
  <c r="S10" i="46" s="1"/>
  <c r="A184" i="167"/>
  <c r="N182" i="167"/>
  <c r="T8" i="46" s="1"/>
  <c r="I182" i="167"/>
  <c r="G182" i="167"/>
  <c r="E182" i="167"/>
  <c r="S8" i="46" s="1"/>
  <c r="A183" i="167"/>
  <c r="N181" i="167"/>
  <c r="T7" i="46" s="1"/>
  <c r="I181" i="167"/>
  <c r="G181" i="167"/>
  <c r="E181" i="167"/>
  <c r="S7" i="46" s="1"/>
  <c r="A182" i="167"/>
  <c r="N183" i="167"/>
  <c r="T9" i="46" s="1"/>
  <c r="I183" i="167"/>
  <c r="G183" i="167"/>
  <c r="E183" i="167"/>
  <c r="S9" i="46" s="1"/>
  <c r="A181" i="167"/>
  <c r="M180" i="167"/>
  <c r="M186" i="167" s="1"/>
  <c r="I180" i="167"/>
  <c r="I186" i="167" s="1"/>
  <c r="G180" i="167"/>
  <c r="E180" i="167"/>
  <c r="A180" i="167"/>
  <c r="L178" i="167"/>
  <c r="K178" i="167"/>
  <c r="H178" i="167"/>
  <c r="F178" i="167"/>
  <c r="D178" i="167"/>
  <c r="M177" i="167"/>
  <c r="N177" i="167" s="1"/>
  <c r="T70" i="31" s="1"/>
  <c r="I177" i="167"/>
  <c r="G177" i="167"/>
  <c r="E177" i="167"/>
  <c r="A177" i="167"/>
  <c r="M176" i="167"/>
  <c r="N176" i="167" s="1"/>
  <c r="T69" i="31" s="1"/>
  <c r="I176" i="167"/>
  <c r="G176" i="167"/>
  <c r="J176" i="167" s="1"/>
  <c r="O176" i="167" s="1"/>
  <c r="E176" i="167"/>
  <c r="A176" i="167"/>
  <c r="M175" i="167"/>
  <c r="N175" i="167" s="1"/>
  <c r="T68" i="31" s="1"/>
  <c r="I175" i="167"/>
  <c r="G175" i="167"/>
  <c r="E175" i="167"/>
  <c r="S68" i="31" s="1"/>
  <c r="A175" i="167"/>
  <c r="M174" i="167"/>
  <c r="N174" i="167" s="1"/>
  <c r="T67" i="31" s="1"/>
  <c r="I174" i="167"/>
  <c r="G174" i="167"/>
  <c r="E174" i="167"/>
  <c r="S67" i="31" s="1"/>
  <c r="A174" i="167"/>
  <c r="M173" i="167"/>
  <c r="N173" i="167" s="1"/>
  <c r="T66" i="31" s="1"/>
  <c r="I173" i="167"/>
  <c r="G173" i="167"/>
  <c r="E173" i="167"/>
  <c r="S66" i="31" s="1"/>
  <c r="A173" i="167"/>
  <c r="M172" i="167"/>
  <c r="N172" i="167" s="1"/>
  <c r="T65" i="31" s="1"/>
  <c r="I172" i="167"/>
  <c r="G172" i="167"/>
  <c r="E172" i="167"/>
  <c r="S65" i="31" s="1"/>
  <c r="A172" i="167"/>
  <c r="N171" i="167"/>
  <c r="T64" i="31" s="1"/>
  <c r="I171" i="167"/>
  <c r="G171" i="167"/>
  <c r="E171" i="167"/>
  <c r="S64" i="31" s="1"/>
  <c r="A171" i="167"/>
  <c r="M170" i="167"/>
  <c r="N170" i="167" s="1"/>
  <c r="T63" i="31" s="1"/>
  <c r="I170" i="167"/>
  <c r="G170" i="167"/>
  <c r="J170" i="167" s="1"/>
  <c r="V63" i="31" s="1"/>
  <c r="E170" i="167"/>
  <c r="S63" i="31" s="1"/>
  <c r="A170" i="167"/>
  <c r="M169" i="167"/>
  <c r="N169" i="167" s="1"/>
  <c r="T62" i="31" s="1"/>
  <c r="I169" i="167"/>
  <c r="G169" i="167"/>
  <c r="E169" i="167"/>
  <c r="S62" i="31" s="1"/>
  <c r="A169" i="167"/>
  <c r="M168" i="167"/>
  <c r="N168" i="167" s="1"/>
  <c r="T61" i="31" s="1"/>
  <c r="I168" i="167"/>
  <c r="G168" i="167"/>
  <c r="J168" i="167" s="1"/>
  <c r="V61" i="31" s="1"/>
  <c r="E168" i="167"/>
  <c r="S61" i="31" s="1"/>
  <c r="A168" i="167"/>
  <c r="M167" i="167"/>
  <c r="N167" i="167" s="1"/>
  <c r="T60" i="31" s="1"/>
  <c r="I167" i="167"/>
  <c r="G167" i="167"/>
  <c r="E167" i="167"/>
  <c r="S60" i="31" s="1"/>
  <c r="A167" i="167"/>
  <c r="M166" i="167"/>
  <c r="N166" i="167" s="1"/>
  <c r="T59" i="31" s="1"/>
  <c r="I166" i="167"/>
  <c r="G166" i="167"/>
  <c r="J166" i="167" s="1"/>
  <c r="V59" i="31" s="1"/>
  <c r="E166" i="167"/>
  <c r="S59" i="31" s="1"/>
  <c r="A166" i="167"/>
  <c r="M165" i="167"/>
  <c r="N165" i="167" s="1"/>
  <c r="T58" i="31" s="1"/>
  <c r="I165" i="167"/>
  <c r="G165" i="167"/>
  <c r="E165" i="167"/>
  <c r="S58" i="31" s="1"/>
  <c r="A165" i="167"/>
  <c r="M164" i="167"/>
  <c r="N164" i="167" s="1"/>
  <c r="T57" i="31" s="1"/>
  <c r="I164" i="167"/>
  <c r="G164" i="167"/>
  <c r="E164" i="167"/>
  <c r="S57" i="31" s="1"/>
  <c r="A164" i="167"/>
  <c r="M163" i="167"/>
  <c r="N163" i="167" s="1"/>
  <c r="T56" i="31" s="1"/>
  <c r="I163" i="167"/>
  <c r="G163" i="167"/>
  <c r="E163" i="167"/>
  <c r="S56" i="31" s="1"/>
  <c r="A163" i="167"/>
  <c r="M162" i="167"/>
  <c r="N162" i="167" s="1"/>
  <c r="T55" i="31" s="1"/>
  <c r="I162" i="167"/>
  <c r="G162" i="167"/>
  <c r="E162" i="167"/>
  <c r="S55" i="31" s="1"/>
  <c r="A162" i="167"/>
  <c r="M161" i="167"/>
  <c r="N161" i="167" s="1"/>
  <c r="T54" i="31" s="1"/>
  <c r="I161" i="167"/>
  <c r="G161" i="167"/>
  <c r="E161" i="167"/>
  <c r="S54" i="31" s="1"/>
  <c r="A161" i="167"/>
  <c r="M160" i="167"/>
  <c r="N160" i="167" s="1"/>
  <c r="T53" i="31" s="1"/>
  <c r="I160" i="167"/>
  <c r="G160" i="167"/>
  <c r="J160" i="167" s="1"/>
  <c r="E160" i="167"/>
  <c r="S53" i="31" s="1"/>
  <c r="A160" i="167"/>
  <c r="M159" i="167"/>
  <c r="N159" i="167" s="1"/>
  <c r="T52" i="31" s="1"/>
  <c r="I159" i="167"/>
  <c r="G159" i="167"/>
  <c r="E159" i="167"/>
  <c r="S52" i="31" s="1"/>
  <c r="A159" i="167"/>
  <c r="M158" i="167"/>
  <c r="N158" i="167" s="1"/>
  <c r="T51" i="31" s="1"/>
  <c r="I158" i="167"/>
  <c r="G158" i="167"/>
  <c r="J158" i="167" s="1"/>
  <c r="E158" i="167"/>
  <c r="S51" i="31" s="1"/>
  <c r="A158" i="167"/>
  <c r="M157" i="167"/>
  <c r="N157" i="167" s="1"/>
  <c r="T50" i="31" s="1"/>
  <c r="I157" i="167"/>
  <c r="G157" i="167"/>
  <c r="E157" i="167"/>
  <c r="S50" i="31" s="1"/>
  <c r="A157" i="167"/>
  <c r="M156" i="167"/>
  <c r="N156" i="167" s="1"/>
  <c r="T49" i="31" s="1"/>
  <c r="I156" i="167"/>
  <c r="G156" i="167"/>
  <c r="J156" i="167" s="1"/>
  <c r="E156" i="167"/>
  <c r="S49" i="31" s="1"/>
  <c r="A156" i="167"/>
  <c r="M155" i="167"/>
  <c r="N155" i="167" s="1"/>
  <c r="T48" i="31" s="1"/>
  <c r="I155" i="167"/>
  <c r="G155" i="167"/>
  <c r="E155" i="167"/>
  <c r="S48" i="31" s="1"/>
  <c r="A155" i="167"/>
  <c r="M154" i="167"/>
  <c r="N154" i="167" s="1"/>
  <c r="T47" i="31" s="1"/>
  <c r="I154" i="167"/>
  <c r="G154" i="167"/>
  <c r="E154" i="167"/>
  <c r="S47" i="31" s="1"/>
  <c r="A154" i="167"/>
  <c r="M153" i="167"/>
  <c r="N153" i="167" s="1"/>
  <c r="T46" i="31" s="1"/>
  <c r="I153" i="167"/>
  <c r="G153" i="167"/>
  <c r="E153" i="167"/>
  <c r="S46" i="31" s="1"/>
  <c r="A153" i="167"/>
  <c r="M152" i="167"/>
  <c r="N152" i="167" s="1"/>
  <c r="T45" i="31" s="1"/>
  <c r="I152" i="167"/>
  <c r="G152" i="167"/>
  <c r="E152" i="167"/>
  <c r="S45" i="31" s="1"/>
  <c r="A152" i="167"/>
  <c r="M151" i="167"/>
  <c r="N151" i="167" s="1"/>
  <c r="T44" i="31" s="1"/>
  <c r="I151" i="167"/>
  <c r="G151" i="167"/>
  <c r="E151" i="167"/>
  <c r="S44" i="31" s="1"/>
  <c r="A151" i="167"/>
  <c r="M150" i="167"/>
  <c r="N150" i="167" s="1"/>
  <c r="T43" i="31" s="1"/>
  <c r="I150" i="167"/>
  <c r="G150" i="167"/>
  <c r="J150" i="167" s="1"/>
  <c r="E150" i="167"/>
  <c r="S43" i="31" s="1"/>
  <c r="A150" i="167"/>
  <c r="M149" i="167"/>
  <c r="N149" i="167" s="1"/>
  <c r="T42" i="31" s="1"/>
  <c r="I149" i="167"/>
  <c r="G149" i="167"/>
  <c r="E149" i="167"/>
  <c r="S42" i="31" s="1"/>
  <c r="A149" i="167"/>
  <c r="M148" i="167"/>
  <c r="N148" i="167" s="1"/>
  <c r="T41" i="31" s="1"/>
  <c r="I148" i="167"/>
  <c r="G148" i="167"/>
  <c r="J148" i="167" s="1"/>
  <c r="E148" i="167"/>
  <c r="S41" i="31" s="1"/>
  <c r="A148" i="167"/>
  <c r="M147" i="167"/>
  <c r="N147" i="167" s="1"/>
  <c r="T40" i="31" s="1"/>
  <c r="I147" i="167"/>
  <c r="G147" i="167"/>
  <c r="E147" i="167"/>
  <c r="S40" i="31" s="1"/>
  <c r="A147" i="167"/>
  <c r="M146" i="167"/>
  <c r="N146" i="167" s="1"/>
  <c r="T39" i="31" s="1"/>
  <c r="I146" i="167"/>
  <c r="G146" i="167"/>
  <c r="J146" i="167" s="1"/>
  <c r="E146" i="167"/>
  <c r="S39" i="31" s="1"/>
  <c r="A146" i="167"/>
  <c r="M145" i="167"/>
  <c r="N145" i="167" s="1"/>
  <c r="T38" i="31" s="1"/>
  <c r="I145" i="167"/>
  <c r="G145" i="167"/>
  <c r="E145" i="167"/>
  <c r="S38" i="31" s="1"/>
  <c r="A145" i="167"/>
  <c r="M144" i="167"/>
  <c r="N144" i="167" s="1"/>
  <c r="T37" i="31" s="1"/>
  <c r="I144" i="167"/>
  <c r="G144" i="167"/>
  <c r="E144" i="167"/>
  <c r="S37" i="31" s="1"/>
  <c r="A144" i="167"/>
  <c r="M143" i="167"/>
  <c r="N143" i="167" s="1"/>
  <c r="T36" i="31" s="1"/>
  <c r="I143" i="167"/>
  <c r="G143" i="167"/>
  <c r="E143" i="167"/>
  <c r="S36" i="31" s="1"/>
  <c r="A143" i="167"/>
  <c r="M142" i="167"/>
  <c r="N142" i="167" s="1"/>
  <c r="T35" i="31" s="1"/>
  <c r="I142" i="167"/>
  <c r="G142" i="167"/>
  <c r="E142" i="167"/>
  <c r="S35" i="31" s="1"/>
  <c r="A142" i="167"/>
  <c r="M141" i="167"/>
  <c r="N141" i="167" s="1"/>
  <c r="T34" i="31" s="1"/>
  <c r="I141" i="167"/>
  <c r="G141" i="167"/>
  <c r="E141" i="167"/>
  <c r="S34" i="31" s="1"/>
  <c r="A141" i="167"/>
  <c r="M140" i="167"/>
  <c r="N140" i="167" s="1"/>
  <c r="T33" i="31" s="1"/>
  <c r="I140" i="167"/>
  <c r="G140" i="167"/>
  <c r="J140" i="167" s="1"/>
  <c r="E140" i="167"/>
  <c r="S33" i="31" s="1"/>
  <c r="A140" i="167"/>
  <c r="M139" i="167"/>
  <c r="N139" i="167" s="1"/>
  <c r="T32" i="31" s="1"/>
  <c r="I139" i="167"/>
  <c r="G139" i="167"/>
  <c r="E139" i="167"/>
  <c r="S32" i="31" s="1"/>
  <c r="A139" i="167"/>
  <c r="M138" i="167"/>
  <c r="N138" i="167" s="1"/>
  <c r="T31" i="31" s="1"/>
  <c r="I138" i="167"/>
  <c r="G138" i="167"/>
  <c r="J138" i="167" s="1"/>
  <c r="E138" i="167"/>
  <c r="S31" i="31" s="1"/>
  <c r="A138" i="167"/>
  <c r="M137" i="167"/>
  <c r="N137" i="167" s="1"/>
  <c r="T30" i="31" s="1"/>
  <c r="I137" i="167"/>
  <c r="G137" i="167"/>
  <c r="E137" i="167"/>
  <c r="S30" i="31" s="1"/>
  <c r="A137" i="167"/>
  <c r="M136" i="167"/>
  <c r="N136" i="167" s="1"/>
  <c r="T29" i="31" s="1"/>
  <c r="I136" i="167"/>
  <c r="G136" i="167"/>
  <c r="J136" i="167" s="1"/>
  <c r="E136" i="167"/>
  <c r="S29" i="31" s="1"/>
  <c r="A136" i="167"/>
  <c r="M135" i="167"/>
  <c r="N135" i="167" s="1"/>
  <c r="T28" i="31" s="1"/>
  <c r="I135" i="167"/>
  <c r="G135" i="167"/>
  <c r="E135" i="167"/>
  <c r="S28" i="31" s="1"/>
  <c r="A135" i="167"/>
  <c r="M134" i="167"/>
  <c r="N134" i="167" s="1"/>
  <c r="T27" i="31" s="1"/>
  <c r="I134" i="167"/>
  <c r="G134" i="167"/>
  <c r="E134" i="167"/>
  <c r="S27" i="31" s="1"/>
  <c r="A134" i="167"/>
  <c r="M133" i="167"/>
  <c r="N133" i="167" s="1"/>
  <c r="T26" i="31" s="1"/>
  <c r="I133" i="167"/>
  <c r="G133" i="167"/>
  <c r="E133" i="167"/>
  <c r="S26" i="31" s="1"/>
  <c r="A133" i="167"/>
  <c r="M132" i="167"/>
  <c r="N132" i="167" s="1"/>
  <c r="T25" i="31" s="1"/>
  <c r="I132" i="167"/>
  <c r="G132" i="167"/>
  <c r="E132" i="167"/>
  <c r="S25" i="31" s="1"/>
  <c r="A132" i="167"/>
  <c r="M131" i="167"/>
  <c r="N131" i="167" s="1"/>
  <c r="T24" i="31" s="1"/>
  <c r="I131" i="167"/>
  <c r="G131" i="167"/>
  <c r="E131" i="167"/>
  <c r="S24" i="31" s="1"/>
  <c r="A131" i="167"/>
  <c r="M130" i="167"/>
  <c r="N130" i="167" s="1"/>
  <c r="T23" i="31" s="1"/>
  <c r="I130" i="167"/>
  <c r="G130" i="167"/>
  <c r="J130" i="167" s="1"/>
  <c r="E130" i="167"/>
  <c r="S23" i="31" s="1"/>
  <c r="A130" i="167"/>
  <c r="M129" i="167"/>
  <c r="N129" i="167" s="1"/>
  <c r="T22" i="31" s="1"/>
  <c r="I129" i="167"/>
  <c r="G129" i="167"/>
  <c r="E129" i="167"/>
  <c r="S22" i="31" s="1"/>
  <c r="A129" i="167"/>
  <c r="M128" i="167"/>
  <c r="N128" i="167" s="1"/>
  <c r="T21" i="31" s="1"/>
  <c r="I128" i="167"/>
  <c r="G128" i="167"/>
  <c r="J128" i="167" s="1"/>
  <c r="E128" i="167"/>
  <c r="S21" i="31" s="1"/>
  <c r="A128" i="167"/>
  <c r="M127" i="167"/>
  <c r="N127" i="167" s="1"/>
  <c r="T20" i="31" s="1"/>
  <c r="I127" i="167"/>
  <c r="G127" i="167"/>
  <c r="E127" i="167"/>
  <c r="S20" i="31" s="1"/>
  <c r="A127" i="167"/>
  <c r="M126" i="167"/>
  <c r="N126" i="167" s="1"/>
  <c r="T19" i="31" s="1"/>
  <c r="I126" i="167"/>
  <c r="G126" i="167"/>
  <c r="J126" i="167" s="1"/>
  <c r="E126" i="167"/>
  <c r="A126" i="167"/>
  <c r="M125" i="167"/>
  <c r="N125" i="167" s="1"/>
  <c r="T16" i="31" s="1"/>
  <c r="I125" i="167"/>
  <c r="G125" i="167"/>
  <c r="E125" i="167"/>
  <c r="S16" i="31" s="1"/>
  <c r="A125" i="167"/>
  <c r="M124" i="167"/>
  <c r="N124" i="167" s="1"/>
  <c r="T15" i="31" s="1"/>
  <c r="I124" i="167"/>
  <c r="G124" i="167"/>
  <c r="E124" i="167"/>
  <c r="S15" i="31" s="1"/>
  <c r="A124" i="167"/>
  <c r="M123" i="167"/>
  <c r="N123" i="167" s="1"/>
  <c r="T14" i="31" s="1"/>
  <c r="I123" i="167"/>
  <c r="G123" i="167"/>
  <c r="E123" i="167"/>
  <c r="S14" i="31" s="1"/>
  <c r="A123" i="167"/>
  <c r="M122" i="167"/>
  <c r="N122" i="167" s="1"/>
  <c r="T13" i="31" s="1"/>
  <c r="I122" i="167"/>
  <c r="G122" i="167"/>
  <c r="E122" i="167"/>
  <c r="S13" i="31" s="1"/>
  <c r="A122" i="167"/>
  <c r="M121" i="167"/>
  <c r="I121" i="167"/>
  <c r="G121" i="167"/>
  <c r="E121" i="167"/>
  <c r="A121" i="167"/>
  <c r="A120" i="167"/>
  <c r="L119" i="167"/>
  <c r="K119" i="167"/>
  <c r="H119" i="167"/>
  <c r="F119" i="167"/>
  <c r="D119" i="167"/>
  <c r="A119" i="167"/>
  <c r="N118" i="167"/>
  <c r="I118" i="167"/>
  <c r="G118" i="167"/>
  <c r="E118" i="167"/>
  <c r="A118" i="167"/>
  <c r="N117" i="167"/>
  <c r="I117" i="167"/>
  <c r="G117" i="167"/>
  <c r="E117" i="167"/>
  <c r="A117" i="167"/>
  <c r="N116" i="167"/>
  <c r="I116" i="167"/>
  <c r="G116" i="167"/>
  <c r="E116" i="167"/>
  <c r="A116" i="167"/>
  <c r="N115" i="167"/>
  <c r="I115" i="167"/>
  <c r="G115" i="167"/>
  <c r="E115" i="167"/>
  <c r="A115" i="167"/>
  <c r="N114" i="167"/>
  <c r="I114" i="167"/>
  <c r="G114" i="167"/>
  <c r="E114" i="167"/>
  <c r="A114" i="167"/>
  <c r="N113" i="167"/>
  <c r="I113" i="167"/>
  <c r="G113" i="167"/>
  <c r="J113" i="167" s="1"/>
  <c r="E113" i="167"/>
  <c r="A113" i="167"/>
  <c r="N112" i="167"/>
  <c r="I112" i="167"/>
  <c r="G112" i="167"/>
  <c r="E112" i="167"/>
  <c r="A112" i="167"/>
  <c r="M111" i="167"/>
  <c r="N111" i="167" s="1"/>
  <c r="I111" i="167"/>
  <c r="G111" i="167"/>
  <c r="J111" i="167" s="1"/>
  <c r="T78" i="125" s="1"/>
  <c r="E111" i="167"/>
  <c r="A111" i="167"/>
  <c r="M110" i="167"/>
  <c r="N110" i="167" s="1"/>
  <c r="I110" i="167"/>
  <c r="G110" i="167"/>
  <c r="E110" i="167"/>
  <c r="A110" i="167"/>
  <c r="M109" i="167"/>
  <c r="N109" i="167" s="1"/>
  <c r="I109" i="167"/>
  <c r="G109" i="167"/>
  <c r="J109" i="167" s="1"/>
  <c r="T78" i="131" s="1"/>
  <c r="E109" i="167"/>
  <c r="A109" i="167"/>
  <c r="N108" i="167"/>
  <c r="I108" i="167"/>
  <c r="G108" i="167"/>
  <c r="E108" i="167"/>
  <c r="A108" i="167"/>
  <c r="M107" i="167"/>
  <c r="N107" i="167" s="1"/>
  <c r="I107" i="167"/>
  <c r="G107" i="167"/>
  <c r="J107" i="167" s="1"/>
  <c r="E107" i="167"/>
  <c r="A107" i="167"/>
  <c r="M106" i="167"/>
  <c r="N106" i="167" s="1"/>
  <c r="I106" i="167"/>
  <c r="G106" i="167"/>
  <c r="E106" i="167"/>
  <c r="A106" i="167"/>
  <c r="M105" i="167"/>
  <c r="N105" i="167" s="1"/>
  <c r="I105" i="167"/>
  <c r="G105" i="167"/>
  <c r="J105" i="167" s="1"/>
  <c r="T78" i="126" s="1"/>
  <c r="E105" i="167"/>
  <c r="A105" i="167"/>
  <c r="M104" i="167"/>
  <c r="N104" i="167" s="1"/>
  <c r="I104" i="167"/>
  <c r="G104" i="167"/>
  <c r="E104" i="167"/>
  <c r="A104" i="167"/>
  <c r="M103" i="167"/>
  <c r="N103" i="167" s="1"/>
  <c r="I103" i="167"/>
  <c r="G103" i="167"/>
  <c r="J103" i="167" s="1"/>
  <c r="E103" i="167"/>
  <c r="A103" i="167"/>
  <c r="M102" i="167"/>
  <c r="N102" i="167" s="1"/>
  <c r="I102" i="167"/>
  <c r="G102" i="167"/>
  <c r="E102" i="167"/>
  <c r="A102" i="167"/>
  <c r="M101" i="167"/>
  <c r="N101" i="167" s="1"/>
  <c r="I101" i="167"/>
  <c r="G101" i="167"/>
  <c r="J101" i="167" s="1"/>
  <c r="E101" i="167"/>
  <c r="A101" i="167"/>
  <c r="M100" i="167"/>
  <c r="N100" i="167" s="1"/>
  <c r="I100" i="167"/>
  <c r="G100" i="167"/>
  <c r="E100" i="167"/>
  <c r="A100" i="167"/>
  <c r="M99" i="167"/>
  <c r="N99" i="167" s="1"/>
  <c r="I99" i="167"/>
  <c r="G99" i="167"/>
  <c r="J99" i="167" s="1"/>
  <c r="E99" i="167"/>
  <c r="A99" i="167"/>
  <c r="M98" i="167"/>
  <c r="N98" i="167" s="1"/>
  <c r="I98" i="167"/>
  <c r="G98" i="167"/>
  <c r="E98" i="167"/>
  <c r="A98" i="167"/>
  <c r="M97" i="167"/>
  <c r="N97" i="167" s="1"/>
  <c r="T81" i="113" s="1"/>
  <c r="I97" i="167"/>
  <c r="G97" i="167"/>
  <c r="E97" i="167"/>
  <c r="A97" i="167"/>
  <c r="M96" i="167"/>
  <c r="N96" i="167" s="1"/>
  <c r="I96" i="167"/>
  <c r="G96" i="167"/>
  <c r="E96" i="167"/>
  <c r="A96" i="167"/>
  <c r="N95" i="167"/>
  <c r="I95" i="167"/>
  <c r="G95" i="167"/>
  <c r="E95" i="167"/>
  <c r="A95" i="167"/>
  <c r="M94" i="167"/>
  <c r="I94" i="167"/>
  <c r="I119" i="167" s="1"/>
  <c r="G94" i="167"/>
  <c r="E94" i="167"/>
  <c r="A94" i="167"/>
  <c r="A93" i="167"/>
  <c r="L92" i="167"/>
  <c r="K92" i="167"/>
  <c r="H92" i="167"/>
  <c r="F92" i="167"/>
  <c r="D92" i="167"/>
  <c r="A92" i="167"/>
  <c r="M91" i="167"/>
  <c r="N91" i="167" s="1"/>
  <c r="R14" i="137" s="1"/>
  <c r="I91" i="167"/>
  <c r="G91" i="167"/>
  <c r="E91" i="167"/>
  <c r="Q14" i="137" s="1"/>
  <c r="A91" i="167"/>
  <c r="M90" i="167"/>
  <c r="N90" i="167" s="1"/>
  <c r="R13" i="137" s="1"/>
  <c r="I90" i="167"/>
  <c r="G90" i="167"/>
  <c r="E90" i="167"/>
  <c r="Q13" i="137" s="1"/>
  <c r="A90" i="167"/>
  <c r="M89" i="167"/>
  <c r="N89" i="167" s="1"/>
  <c r="R12" i="137" s="1"/>
  <c r="I89" i="167"/>
  <c r="G89" i="167"/>
  <c r="E89" i="167"/>
  <c r="Q12" i="137" s="1"/>
  <c r="A89" i="167"/>
  <c r="M88" i="167"/>
  <c r="N88" i="167" s="1"/>
  <c r="R11" i="137" s="1"/>
  <c r="I88" i="167"/>
  <c r="G88" i="167"/>
  <c r="J88" i="167" s="1"/>
  <c r="W11" i="137" s="1"/>
  <c r="E88" i="167"/>
  <c r="Q11" i="137" s="1"/>
  <c r="A88" i="167"/>
  <c r="M87" i="167"/>
  <c r="N87" i="167" s="1"/>
  <c r="R10" i="137" s="1"/>
  <c r="I87" i="167"/>
  <c r="G87" i="167"/>
  <c r="E87" i="167"/>
  <c r="Q10" i="137" s="1"/>
  <c r="A87" i="167"/>
  <c r="M86" i="167"/>
  <c r="N86" i="167" s="1"/>
  <c r="R9" i="137" s="1"/>
  <c r="I86" i="167"/>
  <c r="G86" i="167"/>
  <c r="J86" i="167" s="1"/>
  <c r="W9" i="137" s="1"/>
  <c r="E86" i="167"/>
  <c r="Q9" i="137" s="1"/>
  <c r="A86" i="167"/>
  <c r="M85" i="167"/>
  <c r="N85" i="167" s="1"/>
  <c r="R6" i="137" s="1"/>
  <c r="I85" i="167"/>
  <c r="G85" i="167"/>
  <c r="E85" i="167"/>
  <c r="Q6" i="137" s="1"/>
  <c r="A85" i="167"/>
  <c r="M84" i="167"/>
  <c r="I84" i="167"/>
  <c r="G84" i="167"/>
  <c r="G92" i="167" s="1"/>
  <c r="E84" i="167"/>
  <c r="Q5" i="137" s="1"/>
  <c r="A84" i="167"/>
  <c r="A83" i="167"/>
  <c r="L82" i="167"/>
  <c r="K82" i="167"/>
  <c r="H82" i="167"/>
  <c r="F82" i="167"/>
  <c r="D82" i="167"/>
  <c r="A82" i="167"/>
  <c r="M81" i="167"/>
  <c r="N81" i="167" s="1"/>
  <c r="I81" i="167"/>
  <c r="G81" i="167"/>
  <c r="J81" i="167" s="1"/>
  <c r="R78" i="140" s="1"/>
  <c r="E81" i="167"/>
  <c r="A81" i="167"/>
  <c r="M80" i="167"/>
  <c r="I80" i="167"/>
  <c r="I82" i="167" s="1"/>
  <c r="G80" i="167"/>
  <c r="E80" i="167"/>
  <c r="E82" i="167" s="1"/>
  <c r="A80" i="167"/>
  <c r="A79" i="167"/>
  <c r="L78" i="167"/>
  <c r="K78" i="167"/>
  <c r="H78" i="167"/>
  <c r="F78" i="167"/>
  <c r="D78" i="167"/>
  <c r="A78" i="167"/>
  <c r="M77" i="167"/>
  <c r="N77" i="167" s="1"/>
  <c r="P6" i="5" s="1"/>
  <c r="I77" i="167"/>
  <c r="G77" i="167"/>
  <c r="E77" i="167"/>
  <c r="O6" i="5" s="1"/>
  <c r="A77" i="167"/>
  <c r="M76" i="167"/>
  <c r="I76" i="167"/>
  <c r="G76" i="167"/>
  <c r="G78" i="167" s="1"/>
  <c r="E76" i="167"/>
  <c r="O5" i="5" s="1"/>
  <c r="A76" i="167"/>
  <c r="A75" i="167"/>
  <c r="L74" i="167"/>
  <c r="L193" i="167" s="1"/>
  <c r="K74" i="167"/>
  <c r="K193" i="167" s="1"/>
  <c r="H74" i="167"/>
  <c r="H193" i="167" s="1"/>
  <c r="F74" i="167"/>
  <c r="F193" i="167" s="1"/>
  <c r="D74" i="167"/>
  <c r="D193" i="167" s="1"/>
  <c r="A74" i="167"/>
  <c r="M73" i="167"/>
  <c r="N73" i="167" s="1"/>
  <c r="AH75" i="33" s="1"/>
  <c r="I73" i="167"/>
  <c r="G73" i="167"/>
  <c r="J73" i="167" s="1"/>
  <c r="AM75" i="33" s="1"/>
  <c r="E73" i="167"/>
  <c r="AG75" i="33" s="1"/>
  <c r="A73" i="167"/>
  <c r="M72" i="167"/>
  <c r="N72" i="167" s="1"/>
  <c r="AH74" i="33" s="1"/>
  <c r="I72" i="167"/>
  <c r="G72" i="167"/>
  <c r="E72" i="167"/>
  <c r="AG74" i="33" s="1"/>
  <c r="A72" i="167"/>
  <c r="M71" i="167"/>
  <c r="N71" i="167" s="1"/>
  <c r="AH73" i="33" s="1"/>
  <c r="I71" i="167"/>
  <c r="G71" i="167"/>
  <c r="J71" i="167" s="1"/>
  <c r="AM73" i="33" s="1"/>
  <c r="E71" i="167"/>
  <c r="AG73" i="33" s="1"/>
  <c r="A71" i="167"/>
  <c r="M70" i="167"/>
  <c r="N70" i="167" s="1"/>
  <c r="AH72" i="33" s="1"/>
  <c r="I70" i="167"/>
  <c r="G70" i="167"/>
  <c r="E70" i="167"/>
  <c r="AG72" i="33" s="1"/>
  <c r="A70" i="167"/>
  <c r="M69" i="167"/>
  <c r="N69" i="167" s="1"/>
  <c r="AH71" i="33" s="1"/>
  <c r="I69" i="167"/>
  <c r="G69" i="167"/>
  <c r="J69" i="167" s="1"/>
  <c r="AM71" i="33" s="1"/>
  <c r="E69" i="167"/>
  <c r="AG71" i="33" s="1"/>
  <c r="A69" i="167"/>
  <c r="M68" i="167"/>
  <c r="N68" i="167" s="1"/>
  <c r="AH70" i="33" s="1"/>
  <c r="I68" i="167"/>
  <c r="G68" i="167"/>
  <c r="E68" i="167"/>
  <c r="AG70" i="33" s="1"/>
  <c r="A68" i="167"/>
  <c r="M67" i="167"/>
  <c r="N67" i="167" s="1"/>
  <c r="AH69" i="33" s="1"/>
  <c r="I67" i="167"/>
  <c r="G67" i="167"/>
  <c r="J67" i="167" s="1"/>
  <c r="AM69" i="33" s="1"/>
  <c r="E67" i="167"/>
  <c r="AG69" i="33" s="1"/>
  <c r="A67" i="167"/>
  <c r="M66" i="167"/>
  <c r="N66" i="167" s="1"/>
  <c r="AH68" i="33" s="1"/>
  <c r="I66" i="167"/>
  <c r="G66" i="167"/>
  <c r="E66" i="167"/>
  <c r="AG68" i="33" s="1"/>
  <c r="A66" i="167"/>
  <c r="M65" i="167"/>
  <c r="N65" i="167" s="1"/>
  <c r="AH67" i="33" s="1"/>
  <c r="I65" i="167"/>
  <c r="G65" i="167"/>
  <c r="J65" i="167" s="1"/>
  <c r="AM67" i="33" s="1"/>
  <c r="E65" i="167"/>
  <c r="AG67" i="33" s="1"/>
  <c r="A65" i="167"/>
  <c r="M64" i="167"/>
  <c r="N64" i="167" s="1"/>
  <c r="AH66" i="33" s="1"/>
  <c r="I64" i="167"/>
  <c r="G64" i="167"/>
  <c r="E64" i="167"/>
  <c r="AG66" i="33" s="1"/>
  <c r="A64" i="167"/>
  <c r="M63" i="167"/>
  <c r="N63" i="167" s="1"/>
  <c r="AH65" i="33" s="1"/>
  <c r="I63" i="167"/>
  <c r="G63" i="167"/>
  <c r="E63" i="167"/>
  <c r="AG65" i="33" s="1"/>
  <c r="A63" i="167"/>
  <c r="M62" i="167"/>
  <c r="N62" i="167" s="1"/>
  <c r="AH64" i="33" s="1"/>
  <c r="I62" i="167"/>
  <c r="G62" i="167"/>
  <c r="E62" i="167"/>
  <c r="AG64" i="33" s="1"/>
  <c r="A62" i="167"/>
  <c r="M61" i="167"/>
  <c r="N61" i="167" s="1"/>
  <c r="AH63" i="33" s="1"/>
  <c r="I61" i="167"/>
  <c r="G61" i="167"/>
  <c r="E61" i="167"/>
  <c r="AG63" i="33" s="1"/>
  <c r="A61" i="167"/>
  <c r="M60" i="167"/>
  <c r="N60" i="167" s="1"/>
  <c r="AH62" i="33" s="1"/>
  <c r="I60" i="167"/>
  <c r="G60" i="167"/>
  <c r="E60" i="167"/>
  <c r="AG62" i="33" s="1"/>
  <c r="A60" i="167"/>
  <c r="M59" i="167"/>
  <c r="N59" i="167" s="1"/>
  <c r="AH61" i="33" s="1"/>
  <c r="I59" i="167"/>
  <c r="G59" i="167"/>
  <c r="J59" i="167" s="1"/>
  <c r="AM61" i="33" s="1"/>
  <c r="E59" i="167"/>
  <c r="AG61" i="33" s="1"/>
  <c r="A59" i="167"/>
  <c r="M58" i="167"/>
  <c r="N58" i="167" s="1"/>
  <c r="AH60" i="33" s="1"/>
  <c r="I58" i="167"/>
  <c r="G58" i="167"/>
  <c r="E58" i="167"/>
  <c r="AG60" i="33" s="1"/>
  <c r="A58" i="167"/>
  <c r="M57" i="167"/>
  <c r="N57" i="167" s="1"/>
  <c r="AH59" i="33" s="1"/>
  <c r="I57" i="167"/>
  <c r="G57" i="167"/>
  <c r="J57" i="167" s="1"/>
  <c r="AM59" i="33" s="1"/>
  <c r="E57" i="167"/>
  <c r="AG59" i="33" s="1"/>
  <c r="A57" i="167"/>
  <c r="M56" i="167"/>
  <c r="N56" i="167" s="1"/>
  <c r="AH58" i="33" s="1"/>
  <c r="I56" i="167"/>
  <c r="G56" i="167"/>
  <c r="E56" i="167"/>
  <c r="AG58" i="33" s="1"/>
  <c r="A56" i="167"/>
  <c r="M55" i="167"/>
  <c r="N55" i="167" s="1"/>
  <c r="AH57" i="33" s="1"/>
  <c r="I55" i="167"/>
  <c r="G55" i="167"/>
  <c r="J55" i="167" s="1"/>
  <c r="AM57" i="33" s="1"/>
  <c r="E55" i="167"/>
  <c r="AG57" i="33" s="1"/>
  <c r="A55" i="167"/>
  <c r="M54" i="167"/>
  <c r="N54" i="167" s="1"/>
  <c r="AH56" i="33" s="1"/>
  <c r="I54" i="167"/>
  <c r="G54" i="167"/>
  <c r="E54" i="167"/>
  <c r="AG56" i="33" s="1"/>
  <c r="A54" i="167"/>
  <c r="M53" i="167"/>
  <c r="N53" i="167" s="1"/>
  <c r="AH55" i="33" s="1"/>
  <c r="I53" i="167"/>
  <c r="G53" i="167"/>
  <c r="E53" i="167"/>
  <c r="AG55" i="33" s="1"/>
  <c r="A53" i="167"/>
  <c r="M52" i="167"/>
  <c r="N52" i="167" s="1"/>
  <c r="AH54" i="33" s="1"/>
  <c r="I52" i="167"/>
  <c r="G52" i="167"/>
  <c r="E52" i="167"/>
  <c r="AG54" i="33" s="1"/>
  <c r="A52" i="167"/>
  <c r="M51" i="167"/>
  <c r="N51" i="167" s="1"/>
  <c r="AH53" i="33" s="1"/>
  <c r="I51" i="167"/>
  <c r="G51" i="167"/>
  <c r="E51" i="167"/>
  <c r="AG53" i="33" s="1"/>
  <c r="A51" i="167"/>
  <c r="M50" i="167"/>
  <c r="N50" i="167" s="1"/>
  <c r="AH52" i="33" s="1"/>
  <c r="I50" i="167"/>
  <c r="G50" i="167"/>
  <c r="E50" i="167"/>
  <c r="AG52" i="33" s="1"/>
  <c r="A50" i="167"/>
  <c r="M49" i="167"/>
  <c r="N49" i="167" s="1"/>
  <c r="AH51" i="33" s="1"/>
  <c r="I49" i="167"/>
  <c r="G49" i="167"/>
  <c r="J49" i="167" s="1"/>
  <c r="AM51" i="33" s="1"/>
  <c r="E49" i="167"/>
  <c r="AG51" i="33" s="1"/>
  <c r="A49" i="167"/>
  <c r="M48" i="167"/>
  <c r="N48" i="167" s="1"/>
  <c r="AH50" i="33" s="1"/>
  <c r="I48" i="167"/>
  <c r="G48" i="167"/>
  <c r="E48" i="167"/>
  <c r="AG50" i="33" s="1"/>
  <c r="A48" i="167"/>
  <c r="M47" i="167"/>
  <c r="N47" i="167" s="1"/>
  <c r="AH49" i="33" s="1"/>
  <c r="I47" i="167"/>
  <c r="G47" i="167"/>
  <c r="J47" i="167" s="1"/>
  <c r="AM49" i="33" s="1"/>
  <c r="E47" i="167"/>
  <c r="AG49" i="33" s="1"/>
  <c r="A47" i="167"/>
  <c r="M46" i="167"/>
  <c r="N46" i="167" s="1"/>
  <c r="AH48" i="33" s="1"/>
  <c r="I46" i="167"/>
  <c r="G46" i="167"/>
  <c r="E46" i="167"/>
  <c r="AG48" i="33" s="1"/>
  <c r="A46" i="167"/>
  <c r="M45" i="167"/>
  <c r="N45" i="167" s="1"/>
  <c r="AH47" i="33" s="1"/>
  <c r="I45" i="167"/>
  <c r="G45" i="167"/>
  <c r="J45" i="167" s="1"/>
  <c r="AM47" i="33" s="1"/>
  <c r="E45" i="167"/>
  <c r="AG47" i="33" s="1"/>
  <c r="A45" i="167"/>
  <c r="M44" i="167"/>
  <c r="N44" i="167" s="1"/>
  <c r="AH46" i="33" s="1"/>
  <c r="I44" i="167"/>
  <c r="G44" i="167"/>
  <c r="E44" i="167"/>
  <c r="AG46" i="33" s="1"/>
  <c r="A44" i="167"/>
  <c r="M43" i="167"/>
  <c r="N43" i="167" s="1"/>
  <c r="AH45" i="33" s="1"/>
  <c r="I43" i="167"/>
  <c r="G43" i="167"/>
  <c r="E43" i="167"/>
  <c r="AG45" i="33" s="1"/>
  <c r="A43" i="167"/>
  <c r="M42" i="167"/>
  <c r="N42" i="167" s="1"/>
  <c r="AH44" i="33" s="1"/>
  <c r="I42" i="167"/>
  <c r="G42" i="167"/>
  <c r="E42" i="167"/>
  <c r="AG44" i="33" s="1"/>
  <c r="A42" i="167"/>
  <c r="M41" i="167"/>
  <c r="N41" i="167" s="1"/>
  <c r="AH43" i="33" s="1"/>
  <c r="I41" i="167"/>
  <c r="G41" i="167"/>
  <c r="E41" i="167"/>
  <c r="AG43" i="33" s="1"/>
  <c r="A41" i="167"/>
  <c r="M40" i="167"/>
  <c r="N40" i="167" s="1"/>
  <c r="AH42" i="33" s="1"/>
  <c r="I40" i="167"/>
  <c r="G40" i="167"/>
  <c r="E40" i="167"/>
  <c r="AG42" i="33" s="1"/>
  <c r="A40" i="167"/>
  <c r="M39" i="167"/>
  <c r="N39" i="167" s="1"/>
  <c r="AH41" i="33" s="1"/>
  <c r="I39" i="167"/>
  <c r="G39" i="167"/>
  <c r="J39" i="167" s="1"/>
  <c r="AM41" i="33" s="1"/>
  <c r="E39" i="167"/>
  <c r="AG41" i="33" s="1"/>
  <c r="A39" i="167"/>
  <c r="M38" i="167"/>
  <c r="N38" i="167" s="1"/>
  <c r="AH40" i="33" s="1"/>
  <c r="I38" i="167"/>
  <c r="G38" i="167"/>
  <c r="E38" i="167"/>
  <c r="AG40" i="33" s="1"/>
  <c r="A38" i="167"/>
  <c r="M37" i="167"/>
  <c r="N37" i="167" s="1"/>
  <c r="AH39" i="33" s="1"/>
  <c r="I37" i="167"/>
  <c r="G37" i="167"/>
  <c r="J37" i="167" s="1"/>
  <c r="AM39" i="33" s="1"/>
  <c r="E37" i="167"/>
  <c r="AG39" i="33" s="1"/>
  <c r="A37" i="167"/>
  <c r="M36" i="167"/>
  <c r="N36" i="167" s="1"/>
  <c r="AH38" i="33" s="1"/>
  <c r="I36" i="167"/>
  <c r="G36" i="167"/>
  <c r="E36" i="167"/>
  <c r="AG38" i="33" s="1"/>
  <c r="A36" i="167"/>
  <c r="M35" i="167"/>
  <c r="N35" i="167" s="1"/>
  <c r="AH37" i="33" s="1"/>
  <c r="I35" i="167"/>
  <c r="G35" i="167"/>
  <c r="J35" i="167" s="1"/>
  <c r="AM37" i="33" s="1"/>
  <c r="E35" i="167"/>
  <c r="AG37" i="33" s="1"/>
  <c r="A35" i="167"/>
  <c r="M34" i="167"/>
  <c r="N34" i="167" s="1"/>
  <c r="AH36" i="33" s="1"/>
  <c r="I34" i="167"/>
  <c r="G34" i="167"/>
  <c r="E34" i="167"/>
  <c r="AG36" i="33" s="1"/>
  <c r="A34" i="167"/>
  <c r="M33" i="167"/>
  <c r="N33" i="167" s="1"/>
  <c r="AH35" i="33" s="1"/>
  <c r="I33" i="167"/>
  <c r="G33" i="167"/>
  <c r="E33" i="167"/>
  <c r="AG35" i="33" s="1"/>
  <c r="A33" i="167"/>
  <c r="M32" i="167"/>
  <c r="N32" i="167" s="1"/>
  <c r="AH34" i="33" s="1"/>
  <c r="I32" i="167"/>
  <c r="G32" i="167"/>
  <c r="E32" i="167"/>
  <c r="AG34" i="33" s="1"/>
  <c r="A32" i="167"/>
  <c r="M31" i="167"/>
  <c r="N31" i="167" s="1"/>
  <c r="AH33" i="33" s="1"/>
  <c r="I31" i="167"/>
  <c r="G31" i="167"/>
  <c r="E31" i="167"/>
  <c r="AG33" i="33" s="1"/>
  <c r="A31" i="167"/>
  <c r="M30" i="167"/>
  <c r="N30" i="167" s="1"/>
  <c r="AH32" i="33" s="1"/>
  <c r="I30" i="167"/>
  <c r="G30" i="167"/>
  <c r="E30" i="167"/>
  <c r="AG32" i="33" s="1"/>
  <c r="A30" i="167"/>
  <c r="M29" i="167"/>
  <c r="N29" i="167" s="1"/>
  <c r="AH31" i="33" s="1"/>
  <c r="I29" i="167"/>
  <c r="G29" i="167"/>
  <c r="J29" i="167" s="1"/>
  <c r="AM31" i="33" s="1"/>
  <c r="E29" i="167"/>
  <c r="AG31" i="33" s="1"/>
  <c r="A29" i="167"/>
  <c r="M28" i="167"/>
  <c r="N28" i="167" s="1"/>
  <c r="AH30" i="33" s="1"/>
  <c r="I28" i="167"/>
  <c r="G28" i="167"/>
  <c r="E28" i="167"/>
  <c r="AG30" i="33" s="1"/>
  <c r="A28" i="167"/>
  <c r="M27" i="167"/>
  <c r="N27" i="167" s="1"/>
  <c r="AH29" i="33" s="1"/>
  <c r="I27" i="167"/>
  <c r="G27" i="167"/>
  <c r="J27" i="167" s="1"/>
  <c r="AM29" i="33" s="1"/>
  <c r="E27" i="167"/>
  <c r="AG29" i="33" s="1"/>
  <c r="A27" i="167"/>
  <c r="M26" i="167"/>
  <c r="N26" i="167" s="1"/>
  <c r="AH28" i="33" s="1"/>
  <c r="I26" i="167"/>
  <c r="G26" i="167"/>
  <c r="E26" i="167"/>
  <c r="AG28" i="33" s="1"/>
  <c r="A26" i="167"/>
  <c r="M25" i="167"/>
  <c r="N25" i="167" s="1"/>
  <c r="AH27" i="33" s="1"/>
  <c r="I25" i="167"/>
  <c r="G25" i="167"/>
  <c r="J25" i="167" s="1"/>
  <c r="AM27" i="33" s="1"/>
  <c r="E25" i="167"/>
  <c r="AG27" i="33" s="1"/>
  <c r="A25" i="167"/>
  <c r="M24" i="167"/>
  <c r="N24" i="167" s="1"/>
  <c r="AH26" i="33" s="1"/>
  <c r="I24" i="167"/>
  <c r="G24" i="167"/>
  <c r="E24" i="167"/>
  <c r="AG26" i="33" s="1"/>
  <c r="A24" i="167"/>
  <c r="M23" i="167"/>
  <c r="N23" i="167" s="1"/>
  <c r="AH25" i="33" s="1"/>
  <c r="I23" i="167"/>
  <c r="G23" i="167"/>
  <c r="E23" i="167"/>
  <c r="AG25" i="33" s="1"/>
  <c r="A23" i="167"/>
  <c r="M22" i="167"/>
  <c r="N22" i="167" s="1"/>
  <c r="AH24" i="33" s="1"/>
  <c r="I22" i="167"/>
  <c r="G22" i="167"/>
  <c r="E22" i="167"/>
  <c r="AG24" i="33" s="1"/>
  <c r="A22" i="167"/>
  <c r="M21" i="167"/>
  <c r="N21" i="167" s="1"/>
  <c r="AH23" i="33" s="1"/>
  <c r="I21" i="167"/>
  <c r="G21" i="167"/>
  <c r="E21" i="167"/>
  <c r="AG23" i="33" s="1"/>
  <c r="A21" i="167"/>
  <c r="M20" i="167"/>
  <c r="N20" i="167" s="1"/>
  <c r="AH22" i="33" s="1"/>
  <c r="I20" i="167"/>
  <c r="G20" i="167"/>
  <c r="E20" i="167"/>
  <c r="AG22" i="33" s="1"/>
  <c r="A20" i="167"/>
  <c r="M19" i="167"/>
  <c r="N19" i="167" s="1"/>
  <c r="AH21" i="33" s="1"/>
  <c r="I19" i="167"/>
  <c r="G19" i="167"/>
  <c r="J19" i="167" s="1"/>
  <c r="AM21" i="33" s="1"/>
  <c r="E19" i="167"/>
  <c r="AG21" i="33" s="1"/>
  <c r="A19" i="167"/>
  <c r="M18" i="167"/>
  <c r="N18" i="167" s="1"/>
  <c r="AH20" i="33" s="1"/>
  <c r="I18" i="167"/>
  <c r="G18" i="167"/>
  <c r="E18" i="167"/>
  <c r="AG20" i="33" s="1"/>
  <c r="A18" i="167"/>
  <c r="M17" i="167"/>
  <c r="N17" i="167" s="1"/>
  <c r="AH19" i="33" s="1"/>
  <c r="I17" i="167"/>
  <c r="G17" i="167"/>
  <c r="J17" i="167" s="1"/>
  <c r="AM19" i="33" s="1"/>
  <c r="E17" i="167"/>
  <c r="AG19" i="33" s="1"/>
  <c r="A17" i="167"/>
  <c r="M16" i="167"/>
  <c r="N16" i="167" s="1"/>
  <c r="AH18" i="33" s="1"/>
  <c r="I16" i="167"/>
  <c r="G16" i="167"/>
  <c r="E16" i="167"/>
  <c r="AG18" i="33" s="1"/>
  <c r="A16" i="167"/>
  <c r="M15" i="167"/>
  <c r="N15" i="167" s="1"/>
  <c r="AH17" i="33" s="1"/>
  <c r="I15" i="167"/>
  <c r="G15" i="167"/>
  <c r="J15" i="167" s="1"/>
  <c r="AM17" i="33" s="1"/>
  <c r="E15" i="167"/>
  <c r="AG17" i="33" s="1"/>
  <c r="A15" i="167"/>
  <c r="M14" i="167"/>
  <c r="N14" i="167" s="1"/>
  <c r="AH16" i="33" s="1"/>
  <c r="I14" i="167"/>
  <c r="G14" i="167"/>
  <c r="E14" i="167"/>
  <c r="AG16" i="33" s="1"/>
  <c r="A14" i="167"/>
  <c r="M13" i="167"/>
  <c r="N13" i="167" s="1"/>
  <c r="AH15" i="33" s="1"/>
  <c r="I13" i="167"/>
  <c r="G13" i="167"/>
  <c r="E13" i="167"/>
  <c r="AG15" i="33" s="1"/>
  <c r="A13" i="167"/>
  <c r="M12" i="167"/>
  <c r="N12" i="167" s="1"/>
  <c r="AH14" i="33" s="1"/>
  <c r="I12" i="167"/>
  <c r="G12" i="167"/>
  <c r="E12" i="167"/>
  <c r="AG14" i="33" s="1"/>
  <c r="A12" i="167"/>
  <c r="M11" i="167"/>
  <c r="N11" i="167" s="1"/>
  <c r="AH13" i="33" s="1"/>
  <c r="I11" i="167"/>
  <c r="G11" i="167"/>
  <c r="E11" i="167"/>
  <c r="AG13" i="33" s="1"/>
  <c r="A11" i="167"/>
  <c r="M10" i="167"/>
  <c r="N10" i="167" s="1"/>
  <c r="AH12" i="33" s="1"/>
  <c r="I10" i="167"/>
  <c r="G10" i="167"/>
  <c r="E10" i="167"/>
  <c r="AG12" i="33" s="1"/>
  <c r="A10" i="167"/>
  <c r="M9" i="167"/>
  <c r="N9" i="167" s="1"/>
  <c r="AH11" i="33" s="1"/>
  <c r="I9" i="167"/>
  <c r="G9" i="167"/>
  <c r="J9" i="167" s="1"/>
  <c r="AM11" i="33" s="1"/>
  <c r="E9" i="167"/>
  <c r="AG11" i="33" s="1"/>
  <c r="A9" i="167"/>
  <c r="M8" i="167"/>
  <c r="N8" i="167" s="1"/>
  <c r="AH10" i="33" s="1"/>
  <c r="I8" i="167"/>
  <c r="G8" i="167"/>
  <c r="E8" i="167"/>
  <c r="AG10" i="33" s="1"/>
  <c r="A8" i="167"/>
  <c r="M7" i="167"/>
  <c r="N7" i="167" s="1"/>
  <c r="AH9" i="33" s="1"/>
  <c r="I7" i="167"/>
  <c r="G7" i="167"/>
  <c r="J7" i="167" s="1"/>
  <c r="AM9" i="33" s="1"/>
  <c r="E7" i="167"/>
  <c r="AG9" i="33" s="1"/>
  <c r="A7" i="167"/>
  <c r="M6" i="167"/>
  <c r="N6" i="167" s="1"/>
  <c r="AH8" i="33" s="1"/>
  <c r="I6" i="167"/>
  <c r="G6" i="167"/>
  <c r="E6" i="167"/>
  <c r="AG8" i="33" s="1"/>
  <c r="A6" i="167"/>
  <c r="M5" i="167"/>
  <c r="M74" i="167" s="1"/>
  <c r="I5" i="167"/>
  <c r="G5" i="167"/>
  <c r="E5" i="167"/>
  <c r="AG7" i="33" s="1"/>
  <c r="A5" i="167"/>
  <c r="E4" i="167"/>
  <c r="F4" i="167" s="1"/>
  <c r="G4" i="167" s="1"/>
  <c r="H4" i="167" s="1"/>
  <c r="I4" i="167" s="1"/>
  <c r="J4" i="167" s="1"/>
  <c r="K4" i="167" s="1"/>
  <c r="L4" i="167" s="1"/>
  <c r="M4" i="167" s="1"/>
  <c r="N4" i="167" s="1"/>
  <c r="O4" i="167" s="1"/>
  <c r="J61" i="167" l="1"/>
  <c r="AM63" i="33" s="1"/>
  <c r="J51" i="167"/>
  <c r="AM53" i="33" s="1"/>
  <c r="J31" i="167"/>
  <c r="AM33" i="33" s="1"/>
  <c r="J21" i="167"/>
  <c r="AM23" i="33" s="1"/>
  <c r="J90" i="167"/>
  <c r="W13" i="137" s="1"/>
  <c r="J183" i="167"/>
  <c r="J182" i="167"/>
  <c r="J172" i="167"/>
  <c r="J174" i="167"/>
  <c r="J162" i="167"/>
  <c r="J164" i="167"/>
  <c r="O156" i="167"/>
  <c r="V49" i="31"/>
  <c r="O158" i="167"/>
  <c r="V51" i="31"/>
  <c r="O160" i="167"/>
  <c r="V53" i="31"/>
  <c r="J152" i="167"/>
  <c r="J154" i="167"/>
  <c r="O146" i="167"/>
  <c r="V39" i="31"/>
  <c r="O148" i="167"/>
  <c r="V41" i="31"/>
  <c r="O150" i="167"/>
  <c r="V43" i="31"/>
  <c r="J142" i="167"/>
  <c r="J144" i="167"/>
  <c r="O136" i="167"/>
  <c r="V29" i="31"/>
  <c r="O138" i="167"/>
  <c r="V31" i="31"/>
  <c r="O140" i="167"/>
  <c r="V33" i="31"/>
  <c r="J132" i="167"/>
  <c r="J134" i="167"/>
  <c r="O126" i="167"/>
  <c r="O128" i="167"/>
  <c r="V21" i="31"/>
  <c r="O130" i="167"/>
  <c r="V23" i="31"/>
  <c r="E178" i="167"/>
  <c r="S12" i="31"/>
  <c r="I178" i="167"/>
  <c r="J122" i="167"/>
  <c r="J124" i="167"/>
  <c r="J115" i="167"/>
  <c r="J117" i="167"/>
  <c r="J95" i="167"/>
  <c r="J97" i="167"/>
  <c r="T78" i="113" s="1"/>
  <c r="J63" i="167"/>
  <c r="AM65" i="33" s="1"/>
  <c r="J53" i="167"/>
  <c r="AM55" i="33" s="1"/>
  <c r="G74" i="167"/>
  <c r="J41" i="167"/>
  <c r="AM43" i="33" s="1"/>
  <c r="J43" i="167"/>
  <c r="AM45" i="33" s="1"/>
  <c r="J33" i="167"/>
  <c r="AM35" i="33" s="1"/>
  <c r="J23" i="167"/>
  <c r="AM25" i="33" s="1"/>
  <c r="J11" i="167"/>
  <c r="AM13" i="33" s="1"/>
  <c r="J13" i="167"/>
  <c r="AM15" i="33" s="1"/>
  <c r="O97" i="167"/>
  <c r="P78" i="113"/>
  <c r="U76" i="76"/>
  <c r="AK76" i="76" s="1"/>
  <c r="Q76" i="76"/>
  <c r="S76" i="76" s="1"/>
  <c r="Q76" i="80"/>
  <c r="S76" i="80" s="1"/>
  <c r="T76" i="80" s="1"/>
  <c r="AL76" i="80" s="1"/>
  <c r="U76" i="80"/>
  <c r="AK76" i="80" s="1"/>
  <c r="I78" i="167"/>
  <c r="I92" i="167"/>
  <c r="T77" i="113"/>
  <c r="P77" i="113"/>
  <c r="U80" i="76"/>
  <c r="AK80" i="76" s="1"/>
  <c r="Q80" i="76"/>
  <c r="S80" i="76" s="1"/>
  <c r="T80" i="76" s="1"/>
  <c r="AL80" i="76" s="1"/>
  <c r="U80" i="80"/>
  <c r="AK80" i="80" s="1"/>
  <c r="Q80" i="80"/>
  <c r="S80" i="80" s="1"/>
  <c r="T80" i="80" s="1"/>
  <c r="AL80" i="80" s="1"/>
  <c r="E74" i="167"/>
  <c r="I74" i="167"/>
  <c r="J6" i="167"/>
  <c r="AM8" i="33" s="1"/>
  <c r="J8" i="167"/>
  <c r="AM10" i="33" s="1"/>
  <c r="J10" i="167"/>
  <c r="AM12" i="33" s="1"/>
  <c r="J12" i="167"/>
  <c r="AM14" i="33" s="1"/>
  <c r="J14" i="167"/>
  <c r="AM16" i="33" s="1"/>
  <c r="J16" i="167"/>
  <c r="AM18" i="33" s="1"/>
  <c r="J18" i="167"/>
  <c r="AM20" i="33" s="1"/>
  <c r="J20" i="167"/>
  <c r="AM22" i="33" s="1"/>
  <c r="J22" i="167"/>
  <c r="AM24" i="33" s="1"/>
  <c r="J24" i="167"/>
  <c r="AM26" i="33" s="1"/>
  <c r="J26" i="167"/>
  <c r="AM28" i="33" s="1"/>
  <c r="J28" i="167"/>
  <c r="AM30" i="33" s="1"/>
  <c r="J30" i="167"/>
  <c r="AM32" i="33" s="1"/>
  <c r="J32" i="167"/>
  <c r="AM34" i="33" s="1"/>
  <c r="J34" i="167"/>
  <c r="AM36" i="33" s="1"/>
  <c r="J36" i="167"/>
  <c r="AM38" i="33" s="1"/>
  <c r="J38" i="167"/>
  <c r="AM40" i="33" s="1"/>
  <c r="J40" i="167"/>
  <c r="AM42" i="33" s="1"/>
  <c r="J42" i="167"/>
  <c r="AM44" i="33" s="1"/>
  <c r="J44" i="167"/>
  <c r="AM46" i="33" s="1"/>
  <c r="J46" i="167"/>
  <c r="AM48" i="33" s="1"/>
  <c r="J48" i="167"/>
  <c r="AM50" i="33" s="1"/>
  <c r="J50" i="167"/>
  <c r="AM52" i="33" s="1"/>
  <c r="J52" i="167"/>
  <c r="AM54" i="33" s="1"/>
  <c r="J54" i="167"/>
  <c r="AM56" i="33" s="1"/>
  <c r="J56" i="167"/>
  <c r="AM58" i="33" s="1"/>
  <c r="J58" i="167"/>
  <c r="AM60" i="33" s="1"/>
  <c r="J60" i="167"/>
  <c r="AM62" i="33" s="1"/>
  <c r="J62" i="167"/>
  <c r="AM64" i="33" s="1"/>
  <c r="J64" i="167"/>
  <c r="AM66" i="33" s="1"/>
  <c r="J66" i="167"/>
  <c r="AM68" i="33" s="1"/>
  <c r="J68" i="167"/>
  <c r="AM70" i="33" s="1"/>
  <c r="J70" i="167"/>
  <c r="AM72" i="33" s="1"/>
  <c r="J72" i="167"/>
  <c r="AM74" i="33" s="1"/>
  <c r="O7" i="5"/>
  <c r="J77" i="167"/>
  <c r="U6" i="5" s="1"/>
  <c r="G82" i="167"/>
  <c r="M82" i="167"/>
  <c r="N77" i="140"/>
  <c r="R77" i="140"/>
  <c r="Q15" i="137"/>
  <c r="Q19" i="137" s="1"/>
  <c r="J85" i="167"/>
  <c r="W6" i="137" s="1"/>
  <c r="J87" i="167"/>
  <c r="W10" i="137" s="1"/>
  <c r="J89" i="167"/>
  <c r="W12" i="137" s="1"/>
  <c r="J91" i="167"/>
  <c r="W14" i="137" s="1"/>
  <c r="J94" i="167"/>
  <c r="T78" i="120" s="1"/>
  <c r="M119" i="167"/>
  <c r="N119" i="167" s="1"/>
  <c r="T77" i="148"/>
  <c r="P77" i="148"/>
  <c r="J96" i="167"/>
  <c r="J98" i="167"/>
  <c r="T77" i="115"/>
  <c r="P77" i="115"/>
  <c r="J100" i="167"/>
  <c r="P77" i="118"/>
  <c r="T77" i="118"/>
  <c r="J102" i="167"/>
  <c r="P77" i="116"/>
  <c r="T77" i="116"/>
  <c r="J104" i="167"/>
  <c r="P77" i="126"/>
  <c r="T77" i="126"/>
  <c r="J106" i="167"/>
  <c r="T77" i="129"/>
  <c r="P77" i="129"/>
  <c r="J108" i="167"/>
  <c r="T81" i="147"/>
  <c r="P81" i="147"/>
  <c r="P77" i="131"/>
  <c r="T77" i="131"/>
  <c r="J110" i="167"/>
  <c r="T78" i="128" s="1"/>
  <c r="T77" i="125"/>
  <c r="P77" i="125"/>
  <c r="J112" i="167"/>
  <c r="P81" i="144"/>
  <c r="T81" i="144"/>
  <c r="T77" i="145"/>
  <c r="P77" i="145"/>
  <c r="J114" i="167"/>
  <c r="P81" i="146"/>
  <c r="T81" i="146"/>
  <c r="T77" i="153"/>
  <c r="P77" i="153"/>
  <c r="J116" i="167"/>
  <c r="T81" i="149"/>
  <c r="P81" i="149"/>
  <c r="T77" i="151"/>
  <c r="P77" i="151"/>
  <c r="J118" i="167"/>
  <c r="T81" i="152"/>
  <c r="P81" i="152"/>
  <c r="G178" i="167"/>
  <c r="J123" i="167"/>
  <c r="J125" i="167"/>
  <c r="J127" i="167"/>
  <c r="J129" i="167"/>
  <c r="J131" i="167"/>
  <c r="J133" i="167"/>
  <c r="J135" i="167"/>
  <c r="J137" i="167"/>
  <c r="J139" i="167"/>
  <c r="J141" i="167"/>
  <c r="J143" i="167"/>
  <c r="J145" i="167"/>
  <c r="J147" i="167"/>
  <c r="J149" i="167"/>
  <c r="J151" i="167"/>
  <c r="J153" i="167"/>
  <c r="J155" i="167"/>
  <c r="J157" i="167"/>
  <c r="J159" i="167"/>
  <c r="J163" i="167"/>
  <c r="J165" i="167"/>
  <c r="J167" i="167"/>
  <c r="V60" i="31" s="1"/>
  <c r="J169" i="167"/>
  <c r="V62" i="31" s="1"/>
  <c r="J171" i="167"/>
  <c r="J173" i="167"/>
  <c r="J175" i="167"/>
  <c r="J177" i="167"/>
  <c r="O177" i="167" s="1"/>
  <c r="G186" i="167"/>
  <c r="J181" i="167"/>
  <c r="J184" i="167"/>
  <c r="E189" i="167"/>
  <c r="S14" i="46"/>
  <c r="S15" i="46" s="1"/>
  <c r="M76" i="67"/>
  <c r="I76" i="67"/>
  <c r="E78" i="167"/>
  <c r="R77" i="141"/>
  <c r="N77" i="141"/>
  <c r="E92" i="167"/>
  <c r="E119" i="167"/>
  <c r="P77" i="120"/>
  <c r="T77" i="120"/>
  <c r="O95" i="167"/>
  <c r="T78" i="148"/>
  <c r="P81" i="148"/>
  <c r="T81" i="148"/>
  <c r="P78" i="114"/>
  <c r="T78" i="114"/>
  <c r="O99" i="167"/>
  <c r="T78" i="115"/>
  <c r="O101" i="167"/>
  <c r="T78" i="118"/>
  <c r="T77" i="117"/>
  <c r="P77" i="117"/>
  <c r="O103" i="167"/>
  <c r="T78" i="116"/>
  <c r="T77" i="119"/>
  <c r="P77" i="119"/>
  <c r="T77" i="127"/>
  <c r="P77" i="127"/>
  <c r="O107" i="167"/>
  <c r="T78" i="129"/>
  <c r="T77" i="147"/>
  <c r="P77" i="147"/>
  <c r="P77" i="128"/>
  <c r="T77" i="128"/>
  <c r="T77" i="144"/>
  <c r="P77" i="144"/>
  <c r="O113" i="167"/>
  <c r="T78" i="145"/>
  <c r="T81" i="145"/>
  <c r="P81" i="145"/>
  <c r="T77" i="146"/>
  <c r="P77" i="146"/>
  <c r="O115" i="167"/>
  <c r="T78" i="153"/>
  <c r="P81" i="153"/>
  <c r="T81" i="153"/>
  <c r="T77" i="149"/>
  <c r="P77" i="149"/>
  <c r="O117" i="167"/>
  <c r="T78" i="151"/>
  <c r="P81" i="151"/>
  <c r="T81" i="151"/>
  <c r="T77" i="152"/>
  <c r="P77" i="152"/>
  <c r="E186" i="167"/>
  <c r="S6" i="46"/>
  <c r="S12" i="46" s="1"/>
  <c r="O183" i="167"/>
  <c r="Y9" i="46"/>
  <c r="O182" i="167"/>
  <c r="Y8" i="46"/>
  <c r="O185" i="167"/>
  <c r="Y11" i="46"/>
  <c r="O191" i="167"/>
  <c r="M77" i="67"/>
  <c r="O105" i="167"/>
  <c r="N5" i="167"/>
  <c r="M78" i="167"/>
  <c r="M92" i="167"/>
  <c r="N94" i="167"/>
  <c r="T81" i="120" s="1"/>
  <c r="O6" i="167"/>
  <c r="O7" i="167"/>
  <c r="O8" i="167"/>
  <c r="N81" i="140"/>
  <c r="R81" i="140"/>
  <c r="O9" i="167"/>
  <c r="O10" i="167"/>
  <c r="O11" i="167"/>
  <c r="O12" i="167"/>
  <c r="O13" i="167"/>
  <c r="O14" i="167"/>
  <c r="O15" i="167"/>
  <c r="O16" i="167"/>
  <c r="O17" i="167"/>
  <c r="O18" i="167"/>
  <c r="O19" i="167"/>
  <c r="O20" i="167"/>
  <c r="O21" i="167"/>
  <c r="O22" i="167"/>
  <c r="O23" i="167"/>
  <c r="O24" i="167"/>
  <c r="O25" i="167"/>
  <c r="O26" i="167"/>
  <c r="O27" i="167"/>
  <c r="O28" i="167"/>
  <c r="O29" i="167"/>
  <c r="O30" i="167"/>
  <c r="O31" i="167"/>
  <c r="O32" i="167"/>
  <c r="O33" i="167"/>
  <c r="O34" i="167"/>
  <c r="O35" i="167"/>
  <c r="O36" i="167"/>
  <c r="O37" i="167"/>
  <c r="O38" i="167"/>
  <c r="O39" i="167"/>
  <c r="O40" i="167"/>
  <c r="O41" i="167"/>
  <c r="O42" i="167"/>
  <c r="O43" i="167"/>
  <c r="O44" i="167"/>
  <c r="O45" i="167"/>
  <c r="O46" i="167"/>
  <c r="O47" i="167"/>
  <c r="O49" i="167"/>
  <c r="O50" i="167"/>
  <c r="O51" i="167"/>
  <c r="O52" i="167"/>
  <c r="O53" i="167"/>
  <c r="O54" i="167"/>
  <c r="O55" i="167"/>
  <c r="O56" i="167"/>
  <c r="O57" i="167"/>
  <c r="O58" i="167"/>
  <c r="O59" i="167"/>
  <c r="O60" i="167"/>
  <c r="O61" i="167"/>
  <c r="O62" i="167"/>
  <c r="O63" i="167"/>
  <c r="O64" i="167"/>
  <c r="O65" i="167"/>
  <c r="O66" i="167"/>
  <c r="O67" i="167"/>
  <c r="O68" i="167"/>
  <c r="O69" i="167"/>
  <c r="O70" i="167"/>
  <c r="O71" i="167"/>
  <c r="O72" i="167"/>
  <c r="O73" i="167"/>
  <c r="N76" i="167"/>
  <c r="N80" i="167"/>
  <c r="N84" i="167"/>
  <c r="P82" i="114"/>
  <c r="T82" i="114"/>
  <c r="T81" i="117"/>
  <c r="P81" i="117"/>
  <c r="T81" i="119"/>
  <c r="P81" i="119"/>
  <c r="T81" i="127"/>
  <c r="P81" i="127"/>
  <c r="P81" i="131"/>
  <c r="T81" i="131"/>
  <c r="P81" i="128"/>
  <c r="T81" i="128"/>
  <c r="T81" i="125"/>
  <c r="P81" i="125"/>
  <c r="O166" i="167"/>
  <c r="O167" i="167"/>
  <c r="O168" i="167"/>
  <c r="O169" i="167"/>
  <c r="O170" i="167"/>
  <c r="M80" i="67"/>
  <c r="I80" i="67"/>
  <c r="O77" i="167"/>
  <c r="O81" i="167"/>
  <c r="O85" i="167"/>
  <c r="O86" i="167"/>
  <c r="O87" i="167"/>
  <c r="O88" i="167"/>
  <c r="O89" i="167"/>
  <c r="O90" i="167"/>
  <c r="O91" i="167"/>
  <c r="P81" i="113"/>
  <c r="T81" i="115"/>
  <c r="P81" i="115"/>
  <c r="P81" i="118"/>
  <c r="T81" i="118"/>
  <c r="P81" i="116"/>
  <c r="T81" i="116"/>
  <c r="P81" i="126"/>
  <c r="T81" i="126"/>
  <c r="T81" i="129"/>
  <c r="P81" i="129"/>
  <c r="O109" i="167"/>
  <c r="O110" i="167"/>
  <c r="O111" i="167"/>
  <c r="N180" i="167"/>
  <c r="J5" i="167"/>
  <c r="AM7" i="33" s="1"/>
  <c r="AM76" i="33" s="1"/>
  <c r="J119" i="167"/>
  <c r="O94" i="167"/>
  <c r="G119" i="167"/>
  <c r="J76" i="167"/>
  <c r="U5" i="5" s="1"/>
  <c r="U7" i="5" s="1"/>
  <c r="J80" i="167"/>
  <c r="R78" i="141" s="1"/>
  <c r="J84" i="167"/>
  <c r="W5" i="137" s="1"/>
  <c r="M178" i="167"/>
  <c r="N121" i="167"/>
  <c r="J121" i="167"/>
  <c r="V12" i="31" s="1"/>
  <c r="J161" i="167"/>
  <c r="J180" i="167"/>
  <c r="Y6" i="46" s="1"/>
  <c r="J188" i="167"/>
  <c r="Y14" i="46" s="1"/>
  <c r="Y15" i="46" s="1"/>
  <c r="N188" i="167"/>
  <c r="S71" i="31" l="1"/>
  <c r="S72" i="31" s="1"/>
  <c r="W15" i="137"/>
  <c r="W19" i="137" s="1"/>
  <c r="O175" i="167"/>
  <c r="V68" i="31"/>
  <c r="O171" i="167"/>
  <c r="V64" i="31"/>
  <c r="O174" i="167"/>
  <c r="V67" i="31"/>
  <c r="O173" i="167"/>
  <c r="V66" i="31"/>
  <c r="O172" i="167"/>
  <c r="V65" i="31"/>
  <c r="O161" i="167"/>
  <c r="V54" i="31"/>
  <c r="O163" i="167"/>
  <c r="V56" i="31"/>
  <c r="O164" i="167"/>
  <c r="V57" i="31"/>
  <c r="O165" i="167"/>
  <c r="V58" i="31"/>
  <c r="O162" i="167"/>
  <c r="V55" i="31"/>
  <c r="O157" i="167"/>
  <c r="V50" i="31"/>
  <c r="O159" i="167"/>
  <c r="V52" i="31"/>
  <c r="O153" i="167"/>
  <c r="V46" i="31"/>
  <c r="O154" i="167"/>
  <c r="V47" i="31"/>
  <c r="O155" i="167"/>
  <c r="V48" i="31"/>
  <c r="O151" i="167"/>
  <c r="V44" i="31"/>
  <c r="O152" i="167"/>
  <c r="V45" i="31"/>
  <c r="O149" i="167"/>
  <c r="V42" i="31"/>
  <c r="O147" i="167"/>
  <c r="V40" i="31"/>
  <c r="O145" i="167"/>
  <c r="V38" i="31"/>
  <c r="O141" i="167"/>
  <c r="V34" i="31"/>
  <c r="O144" i="167"/>
  <c r="V37" i="31"/>
  <c r="O143" i="167"/>
  <c r="V36" i="31"/>
  <c r="O142" i="167"/>
  <c r="V35" i="31"/>
  <c r="O137" i="167"/>
  <c r="V30" i="31"/>
  <c r="O139" i="167"/>
  <c r="V32" i="31"/>
  <c r="O133" i="167"/>
  <c r="V26" i="31"/>
  <c r="O134" i="167"/>
  <c r="V27" i="31"/>
  <c r="O135" i="167"/>
  <c r="V28" i="31"/>
  <c r="O131" i="167"/>
  <c r="V24" i="31"/>
  <c r="O132" i="167"/>
  <c r="V25" i="31"/>
  <c r="O129" i="167"/>
  <c r="V22" i="31"/>
  <c r="O127" i="167"/>
  <c r="V20" i="31"/>
  <c r="N178" i="167"/>
  <c r="T12" i="31"/>
  <c r="O125" i="167"/>
  <c r="V16" i="31"/>
  <c r="I193" i="167"/>
  <c r="O122" i="167"/>
  <c r="V13" i="31"/>
  <c r="M193" i="167"/>
  <c r="O123" i="167"/>
  <c r="V14" i="31"/>
  <c r="O124" i="167"/>
  <c r="V15" i="31"/>
  <c r="P81" i="120"/>
  <c r="G193" i="167"/>
  <c r="E193" i="167"/>
  <c r="F40" i="166" s="1"/>
  <c r="O48" i="167"/>
  <c r="T76" i="76"/>
  <c r="O98" i="167"/>
  <c r="U77" i="76"/>
  <c r="AK77" i="76" s="1"/>
  <c r="O100" i="167"/>
  <c r="U77" i="80"/>
  <c r="AK77" i="80" s="1"/>
  <c r="N74" i="167"/>
  <c r="AH7" i="33"/>
  <c r="S17" i="46"/>
  <c r="N189" i="167"/>
  <c r="T14" i="46"/>
  <c r="T15" i="46" s="1"/>
  <c r="N186" i="167"/>
  <c r="T6" i="46"/>
  <c r="T12" i="46" s="1"/>
  <c r="T17" i="46" s="1"/>
  <c r="O116" i="167"/>
  <c r="T78" i="149"/>
  <c r="O112" i="167"/>
  <c r="T78" i="144"/>
  <c r="O108" i="167"/>
  <c r="T78" i="147"/>
  <c r="O104" i="167"/>
  <c r="T78" i="119"/>
  <c r="O96" i="167"/>
  <c r="T79" i="114"/>
  <c r="O184" i="167"/>
  <c r="Y10" i="46"/>
  <c r="O181" i="167"/>
  <c r="Y7" i="46"/>
  <c r="Y12" i="46" s="1"/>
  <c r="O118" i="167"/>
  <c r="T78" i="152"/>
  <c r="O114" i="167"/>
  <c r="T78" i="146"/>
  <c r="O106" i="167"/>
  <c r="T78" i="127"/>
  <c r="O102" i="167"/>
  <c r="T78" i="117"/>
  <c r="N92" i="167"/>
  <c r="R5" i="137"/>
  <c r="R15" i="137" s="1"/>
  <c r="R19" i="137" s="1"/>
  <c r="N78" i="167"/>
  <c r="P5" i="5"/>
  <c r="P7" i="5" s="1"/>
  <c r="N82" i="167"/>
  <c r="R81" i="141"/>
  <c r="N81" i="141"/>
  <c r="O180" i="167"/>
  <c r="J186" i="167"/>
  <c r="J92" i="167"/>
  <c r="O84" i="167"/>
  <c r="O92" i="167" s="1"/>
  <c r="J78" i="167"/>
  <c r="O76" i="167"/>
  <c r="O78" i="167" s="1"/>
  <c r="J189" i="167"/>
  <c r="O188" i="167"/>
  <c r="O189" i="167" s="1"/>
  <c r="J178" i="167"/>
  <c r="O121" i="167"/>
  <c r="J82" i="167"/>
  <c r="O80" i="167"/>
  <c r="O82" i="167" s="1"/>
  <c r="J74" i="167"/>
  <c r="O5" i="167"/>
  <c r="V71" i="31" l="1"/>
  <c r="V72" i="31" s="1"/>
  <c r="T71" i="31"/>
  <c r="T72" i="31" s="1"/>
  <c r="O119" i="167"/>
  <c r="O186" i="167"/>
  <c r="J193" i="167"/>
  <c r="O178" i="167"/>
  <c r="N193" i="167"/>
  <c r="O74" i="167"/>
  <c r="AL76" i="76"/>
  <c r="Y17" i="46"/>
  <c r="F44" i="166" l="1"/>
  <c r="N195" i="167"/>
  <c r="O193" i="167"/>
  <c r="O195" i="167" s="1"/>
  <c r="AJ81" i="114"/>
  <c r="AJ80" i="114"/>
  <c r="AJ78" i="114"/>
  <c r="R81" i="117"/>
  <c r="S81" i="117" s="1"/>
  <c r="AK81" i="117" s="1"/>
  <c r="R81" i="118"/>
  <c r="S81" i="118" s="1"/>
  <c r="AK81" i="118" s="1"/>
  <c r="R81" i="119"/>
  <c r="S81" i="119" s="1"/>
  <c r="AK81" i="119" s="1"/>
  <c r="R81" i="120"/>
  <c r="S81" i="120" s="1"/>
  <c r="AK81" i="120" s="1"/>
  <c r="R81" i="125"/>
  <c r="S81" i="125" s="1"/>
  <c r="AK81" i="125" s="1"/>
  <c r="R81" i="126"/>
  <c r="S81" i="126" s="1"/>
  <c r="AK81" i="126" s="1"/>
  <c r="R81" i="127"/>
  <c r="S81" i="127" s="1"/>
  <c r="AK81" i="127" s="1"/>
  <c r="R81" i="128"/>
  <c r="S81" i="128" s="1"/>
  <c r="AK81" i="128" s="1"/>
  <c r="R81" i="129"/>
  <c r="S81" i="129" s="1"/>
  <c r="AK81" i="129" s="1"/>
  <c r="R81" i="131"/>
  <c r="S81" i="131" s="1"/>
  <c r="AK81" i="131" s="1"/>
  <c r="R81" i="144"/>
  <c r="S81" i="144" s="1"/>
  <c r="AK81" i="144" s="1"/>
  <c r="R81" i="145"/>
  <c r="S81" i="145" s="1"/>
  <c r="AK81" i="145" s="1"/>
  <c r="R81" i="146"/>
  <c r="S81" i="146" s="1"/>
  <c r="AK81" i="146" s="1"/>
  <c r="R81" i="147"/>
  <c r="S81" i="147" s="1"/>
  <c r="AK81" i="147" s="1"/>
  <c r="R81" i="148"/>
  <c r="S81" i="148" s="1"/>
  <c r="AK81" i="148" s="1"/>
  <c r="R81" i="149"/>
  <c r="S81" i="149" s="1"/>
  <c r="AK81" i="149" s="1"/>
  <c r="R81" i="151"/>
  <c r="S81" i="151" s="1"/>
  <c r="AK81" i="151" s="1"/>
  <c r="R81" i="152"/>
  <c r="S81" i="152" s="1"/>
  <c r="R81" i="153"/>
  <c r="S81" i="153" s="1"/>
  <c r="AK81" i="153" s="1"/>
  <c r="R77" i="116"/>
  <c r="S77" i="116" s="1"/>
  <c r="R77" i="117"/>
  <c r="S77" i="117" s="1"/>
  <c r="AK77" i="117" s="1"/>
  <c r="R77" i="118"/>
  <c r="S77" i="118" s="1"/>
  <c r="AK77" i="118" s="1"/>
  <c r="R77" i="119"/>
  <c r="S77" i="119" s="1"/>
  <c r="AK77" i="119" s="1"/>
  <c r="R77" i="120"/>
  <c r="S77" i="120" s="1"/>
  <c r="AK77" i="120" s="1"/>
  <c r="R77" i="125"/>
  <c r="S77" i="125" s="1"/>
  <c r="AK77" i="125" s="1"/>
  <c r="R77" i="126"/>
  <c r="S77" i="126" s="1"/>
  <c r="AK77" i="126" s="1"/>
  <c r="R77" i="127"/>
  <c r="S77" i="127" s="1"/>
  <c r="AK77" i="127" s="1"/>
  <c r="R77" i="128"/>
  <c r="S77" i="128" s="1"/>
  <c r="AK77" i="128" s="1"/>
  <c r="R77" i="129"/>
  <c r="S77" i="129" s="1"/>
  <c r="AK77" i="129" s="1"/>
  <c r="R77" i="131"/>
  <c r="S77" i="131" s="1"/>
  <c r="AK77" i="131" s="1"/>
  <c r="R77" i="144"/>
  <c r="S77" i="144" s="1"/>
  <c r="AK77" i="144" s="1"/>
  <c r="R77" i="145"/>
  <c r="S77" i="145" s="1"/>
  <c r="AK77" i="145" s="1"/>
  <c r="R77" i="146"/>
  <c r="S77" i="146" s="1"/>
  <c r="AK77" i="146" s="1"/>
  <c r="R77" i="147"/>
  <c r="S77" i="147" s="1"/>
  <c r="AK77" i="147" s="1"/>
  <c r="R77" i="148"/>
  <c r="S77" i="148" s="1"/>
  <c r="AK77" i="148" s="1"/>
  <c r="R77" i="149"/>
  <c r="S77" i="149" s="1"/>
  <c r="R77" i="151"/>
  <c r="S77" i="151" s="1"/>
  <c r="AK77" i="151" s="1"/>
  <c r="R77" i="152"/>
  <c r="S77" i="152" s="1"/>
  <c r="AK77" i="152" s="1"/>
  <c r="R77" i="153"/>
  <c r="S77" i="153" s="1"/>
  <c r="AK77" i="153" s="1"/>
  <c r="R77" i="115"/>
  <c r="S77" i="115" s="1"/>
  <c r="AJ80" i="116"/>
  <c r="AJ79" i="116"/>
  <c r="AJ77" i="116"/>
  <c r="AJ81" i="117"/>
  <c r="AJ80" i="117"/>
  <c r="AJ79" i="117"/>
  <c r="AJ78" i="117"/>
  <c r="AJ77" i="117"/>
  <c r="AJ81" i="118"/>
  <c r="AJ80" i="118"/>
  <c r="AJ79" i="118"/>
  <c r="AJ78" i="118"/>
  <c r="AJ77" i="118"/>
  <c r="AJ81" i="119"/>
  <c r="AJ80" i="119"/>
  <c r="AJ79" i="119"/>
  <c r="AJ78" i="119"/>
  <c r="AJ77" i="119"/>
  <c r="AJ81" i="120"/>
  <c r="AJ80" i="120"/>
  <c r="AJ79" i="120"/>
  <c r="AJ78" i="120"/>
  <c r="AJ77" i="120"/>
  <c r="AJ81" i="125"/>
  <c r="AJ80" i="125"/>
  <c r="AJ79" i="125"/>
  <c r="AJ78" i="125"/>
  <c r="AJ77" i="125"/>
  <c r="AJ81" i="126"/>
  <c r="AJ80" i="126"/>
  <c r="AJ79" i="126"/>
  <c r="AJ78" i="126"/>
  <c r="AJ77" i="126"/>
  <c r="AJ81" i="127"/>
  <c r="AJ80" i="127"/>
  <c r="AJ79" i="127"/>
  <c r="AJ78" i="127"/>
  <c r="AJ77" i="127"/>
  <c r="AJ81" i="128"/>
  <c r="AJ80" i="128"/>
  <c r="AJ79" i="128"/>
  <c r="AJ78" i="128"/>
  <c r="AJ77" i="128"/>
  <c r="AJ81" i="129"/>
  <c r="AJ80" i="129"/>
  <c r="AJ79" i="129"/>
  <c r="AJ78" i="129"/>
  <c r="AJ77" i="129"/>
  <c r="AJ81" i="131"/>
  <c r="AJ80" i="131"/>
  <c r="AJ79" i="131"/>
  <c r="AJ78" i="131"/>
  <c r="AJ77" i="131"/>
  <c r="AJ81" i="144"/>
  <c r="AJ80" i="144"/>
  <c r="AJ79" i="144"/>
  <c r="AJ78" i="144"/>
  <c r="AJ77" i="144"/>
  <c r="AJ81" i="145"/>
  <c r="AJ80" i="145"/>
  <c r="AJ79" i="145"/>
  <c r="AJ78" i="145"/>
  <c r="AJ77" i="145"/>
  <c r="AJ81" i="146"/>
  <c r="AJ80" i="146"/>
  <c r="AJ79" i="146"/>
  <c r="AJ78" i="146"/>
  <c r="AJ77" i="146"/>
  <c r="AJ81" i="147"/>
  <c r="AJ80" i="147"/>
  <c r="AJ79" i="147"/>
  <c r="AJ78" i="147"/>
  <c r="AJ77" i="147"/>
  <c r="AJ81" i="148"/>
  <c r="AJ80" i="148"/>
  <c r="AJ79" i="148"/>
  <c r="AJ78" i="148"/>
  <c r="AJ77" i="148"/>
  <c r="AJ81" i="149"/>
  <c r="AJ80" i="149"/>
  <c r="AJ79" i="149"/>
  <c r="AJ78" i="149"/>
  <c r="AJ77" i="149"/>
  <c r="AJ81" i="151"/>
  <c r="AJ80" i="151"/>
  <c r="AJ79" i="151"/>
  <c r="AJ78" i="151"/>
  <c r="AJ77" i="151"/>
  <c r="AJ81" i="152"/>
  <c r="AJ80" i="152"/>
  <c r="AJ79" i="152"/>
  <c r="AJ78" i="152"/>
  <c r="AJ77" i="152"/>
  <c r="AJ81" i="153"/>
  <c r="AJ80" i="153"/>
  <c r="AJ79" i="153"/>
  <c r="AJ78" i="153"/>
  <c r="AJ77" i="153"/>
  <c r="AJ80" i="115"/>
  <c r="AJ79" i="115"/>
  <c r="AJ77" i="115"/>
  <c r="Q82" i="116"/>
  <c r="Q82" i="118"/>
  <c r="Q82" i="119"/>
  <c r="Q82" i="120"/>
  <c r="Q82" i="125"/>
  <c r="Q82" i="126"/>
  <c r="Q82" i="127"/>
  <c r="Q82" i="128"/>
  <c r="Q82" i="129"/>
  <c r="Q82" i="131"/>
  <c r="Q82" i="144"/>
  <c r="Q82" i="145"/>
  <c r="Q82" i="146"/>
  <c r="Q82" i="147"/>
  <c r="Q82" i="148"/>
  <c r="Q82" i="149"/>
  <c r="Q82" i="151"/>
  <c r="Q82" i="152"/>
  <c r="Q82" i="153"/>
  <c r="R78" i="114"/>
  <c r="S78" i="114" s="1"/>
  <c r="AK78" i="114" s="1"/>
  <c r="AK77" i="116" l="1"/>
  <c r="AK81" i="152"/>
  <c r="AK77" i="115"/>
  <c r="AK77" i="149"/>
  <c r="K9" i="31"/>
  <c r="G9" i="31"/>
  <c r="C8" i="31"/>
  <c r="P77" i="141" l="1"/>
  <c r="Q77" i="141" s="1"/>
  <c r="P77" i="140"/>
  <c r="Q77" i="140" s="1"/>
  <c r="Y79" i="67"/>
  <c r="Y78" i="67"/>
  <c r="Y77" i="67"/>
  <c r="X79" i="67"/>
  <c r="X78" i="67"/>
  <c r="X76" i="67"/>
  <c r="K76" i="67"/>
  <c r="L76" i="67" s="1"/>
  <c r="Y76" i="67" s="1"/>
  <c r="O82" i="141"/>
  <c r="O82" i="140"/>
  <c r="AJ80" i="113"/>
  <c r="AJ79" i="113"/>
  <c r="AJ77" i="113"/>
  <c r="AJ78" i="113"/>
  <c r="R77" i="113"/>
  <c r="S77" i="113" s="1"/>
  <c r="AK77" i="113" s="1"/>
  <c r="Q82" i="113"/>
  <c r="F72" i="1" l="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F7" i="1"/>
  <c r="F6" i="1"/>
  <c r="F5" i="1"/>
  <c r="F4" i="1"/>
  <c r="J72" i="1" l="1"/>
  <c r="H72" i="1"/>
  <c r="I72" i="1" s="1"/>
  <c r="J71" i="1"/>
  <c r="H71" i="1"/>
  <c r="I71" i="1" s="1"/>
  <c r="J70" i="1"/>
  <c r="H70" i="1"/>
  <c r="I70" i="1" s="1"/>
  <c r="J69" i="1"/>
  <c r="H69" i="1"/>
  <c r="I69" i="1" s="1"/>
  <c r="J68" i="1"/>
  <c r="H68" i="1"/>
  <c r="I68" i="1" s="1"/>
  <c r="J67" i="1"/>
  <c r="H67" i="1"/>
  <c r="I67" i="1" s="1"/>
  <c r="J66" i="1"/>
  <c r="H66" i="1"/>
  <c r="I66" i="1" s="1"/>
  <c r="J65" i="1"/>
  <c r="H65" i="1"/>
  <c r="I65" i="1" s="1"/>
  <c r="J64" i="1"/>
  <c r="H64" i="1"/>
  <c r="I64" i="1" s="1"/>
  <c r="J63" i="1"/>
  <c r="I63" i="1"/>
  <c r="H63" i="1"/>
  <c r="J62" i="1"/>
  <c r="H62" i="1"/>
  <c r="I62" i="1" s="1"/>
  <c r="J61" i="1"/>
  <c r="H61" i="1"/>
  <c r="I61" i="1" s="1"/>
  <c r="J60" i="1"/>
  <c r="H60" i="1"/>
  <c r="I60" i="1" s="1"/>
  <c r="J59" i="1"/>
  <c r="H59" i="1"/>
  <c r="I59" i="1" s="1"/>
  <c r="J58" i="1"/>
  <c r="H58" i="1"/>
  <c r="I58" i="1" s="1"/>
  <c r="J57" i="1"/>
  <c r="H57" i="1"/>
  <c r="I57" i="1" s="1"/>
  <c r="J56" i="1"/>
  <c r="H56" i="1"/>
  <c r="I56" i="1" s="1"/>
  <c r="J55" i="1"/>
  <c r="H55" i="1"/>
  <c r="I55" i="1" s="1"/>
  <c r="J54" i="1"/>
  <c r="H54" i="1"/>
  <c r="I54" i="1" s="1"/>
  <c r="J53" i="1"/>
  <c r="H53" i="1"/>
  <c r="I53" i="1" s="1"/>
  <c r="J52" i="1"/>
  <c r="H52" i="1"/>
  <c r="I52" i="1" s="1"/>
  <c r="J51" i="1"/>
  <c r="H51" i="1"/>
  <c r="I51" i="1" s="1"/>
  <c r="J50" i="1"/>
  <c r="H50" i="1"/>
  <c r="I50" i="1" s="1"/>
  <c r="J49" i="1"/>
  <c r="H49" i="1"/>
  <c r="I49" i="1" s="1"/>
  <c r="J48" i="1"/>
  <c r="H48" i="1"/>
  <c r="I48" i="1" s="1"/>
  <c r="J47" i="1"/>
  <c r="H47" i="1"/>
  <c r="I47" i="1" s="1"/>
  <c r="J46" i="1"/>
  <c r="H46" i="1"/>
  <c r="I46" i="1" s="1"/>
  <c r="J45" i="1"/>
  <c r="H45" i="1"/>
  <c r="I45" i="1" s="1"/>
  <c r="J44" i="1"/>
  <c r="H44" i="1"/>
  <c r="I44" i="1" s="1"/>
  <c r="J43" i="1"/>
  <c r="H43" i="1"/>
  <c r="I43" i="1" s="1"/>
  <c r="J42" i="1"/>
  <c r="H42" i="1"/>
  <c r="I42" i="1" s="1"/>
  <c r="J41" i="1"/>
  <c r="H41" i="1"/>
  <c r="I41" i="1" s="1"/>
  <c r="J40" i="1"/>
  <c r="H40" i="1"/>
  <c r="I40" i="1" s="1"/>
  <c r="J39" i="1"/>
  <c r="H39" i="1"/>
  <c r="I39" i="1" s="1"/>
  <c r="J38" i="1"/>
  <c r="H38" i="1"/>
  <c r="I38" i="1" s="1"/>
  <c r="J37" i="1"/>
  <c r="H37" i="1"/>
  <c r="I37" i="1" s="1"/>
  <c r="J36" i="1"/>
  <c r="H36" i="1"/>
  <c r="I36" i="1" s="1"/>
  <c r="J35" i="1"/>
  <c r="H35" i="1"/>
  <c r="I35" i="1" s="1"/>
  <c r="J34" i="1"/>
  <c r="H34" i="1"/>
  <c r="I34" i="1" s="1"/>
  <c r="J33" i="1"/>
  <c r="H33" i="1"/>
  <c r="I33" i="1" s="1"/>
  <c r="J32" i="1"/>
  <c r="H32" i="1"/>
  <c r="I32" i="1" s="1"/>
  <c r="J31" i="1"/>
  <c r="H31" i="1"/>
  <c r="I31" i="1" s="1"/>
  <c r="J30" i="1"/>
  <c r="H30" i="1"/>
  <c r="I30" i="1" s="1"/>
  <c r="J29" i="1"/>
  <c r="H29" i="1"/>
  <c r="I29" i="1" s="1"/>
  <c r="J28" i="1"/>
  <c r="H28" i="1"/>
  <c r="I28" i="1" s="1"/>
  <c r="J27" i="1"/>
  <c r="H27" i="1"/>
  <c r="I27" i="1" s="1"/>
  <c r="J26" i="1"/>
  <c r="H26" i="1"/>
  <c r="I26" i="1" s="1"/>
  <c r="J25" i="1"/>
  <c r="H25" i="1"/>
  <c r="I25" i="1" s="1"/>
  <c r="J24" i="1"/>
  <c r="H24" i="1"/>
  <c r="I24" i="1" s="1"/>
  <c r="J23" i="1"/>
  <c r="H23" i="1"/>
  <c r="I23" i="1" s="1"/>
  <c r="J22" i="1"/>
  <c r="H22" i="1"/>
  <c r="I22" i="1" s="1"/>
  <c r="J21" i="1"/>
  <c r="H21" i="1"/>
  <c r="I21" i="1" s="1"/>
  <c r="J20" i="1"/>
  <c r="H20" i="1"/>
  <c r="I20" i="1" s="1"/>
  <c r="J19" i="1"/>
  <c r="H19" i="1"/>
  <c r="I19" i="1" s="1"/>
  <c r="J18" i="1"/>
  <c r="H18" i="1"/>
  <c r="I18" i="1" s="1"/>
  <c r="J17" i="1"/>
  <c r="H17" i="1"/>
  <c r="I17" i="1" s="1"/>
  <c r="J16" i="1"/>
  <c r="H16" i="1"/>
  <c r="I16" i="1" s="1"/>
  <c r="J15" i="1"/>
  <c r="H15" i="1"/>
  <c r="I15" i="1" s="1"/>
  <c r="J14" i="1"/>
  <c r="H14" i="1"/>
  <c r="I14" i="1" s="1"/>
  <c r="J13" i="1"/>
  <c r="H13" i="1"/>
  <c r="I13" i="1" s="1"/>
  <c r="J12" i="1"/>
  <c r="H12" i="1"/>
  <c r="I12" i="1" s="1"/>
  <c r="J11" i="1"/>
  <c r="H11" i="1"/>
  <c r="I11" i="1" s="1"/>
  <c r="J10" i="1"/>
  <c r="H10" i="1"/>
  <c r="I10" i="1" s="1"/>
  <c r="J9" i="1"/>
  <c r="H9" i="1"/>
  <c r="I9" i="1" s="1"/>
  <c r="J8" i="1"/>
  <c r="H8" i="1"/>
  <c r="I8" i="1" s="1"/>
  <c r="J7" i="1"/>
  <c r="H7" i="1"/>
  <c r="I7" i="1" s="1"/>
  <c r="J6" i="1"/>
  <c r="H6" i="1"/>
  <c r="I6" i="1" s="1"/>
  <c r="J5" i="1"/>
  <c r="H5" i="1"/>
  <c r="I5" i="1" s="1"/>
  <c r="J4" i="1"/>
  <c r="H4" i="1"/>
  <c r="E9" i="166" l="1"/>
  <c r="E8" i="166" s="1"/>
  <c r="E31" i="166"/>
  <c r="E32" i="166"/>
  <c r="E36" i="166" s="1"/>
  <c r="E39" i="166"/>
  <c r="E53" i="166"/>
  <c r="E45" i="166" s="1"/>
  <c r="E55" i="166"/>
  <c r="E54" i="166" l="1"/>
  <c r="E58" i="166"/>
  <c r="E57" i="166"/>
  <c r="E56" i="166"/>
  <c r="H56" i="166" s="1"/>
  <c r="G43" i="166"/>
  <c r="G56" i="166" l="1"/>
  <c r="E59" i="166"/>
  <c r="C75" i="140" l="1"/>
  <c r="C74" i="140"/>
  <c r="C73" i="140"/>
  <c r="C72" i="140"/>
  <c r="C71" i="140"/>
  <c r="C70" i="140"/>
  <c r="C69" i="140"/>
  <c r="C68" i="140"/>
  <c r="C67" i="140"/>
  <c r="C66" i="140"/>
  <c r="C65" i="140"/>
  <c r="C64" i="140"/>
  <c r="C63" i="140"/>
  <c r="C62" i="140"/>
  <c r="C61" i="140"/>
  <c r="C60" i="140"/>
  <c r="C59" i="140"/>
  <c r="C58" i="140"/>
  <c r="C57" i="140"/>
  <c r="C56" i="140"/>
  <c r="C55" i="140"/>
  <c r="C54" i="140"/>
  <c r="C53" i="140"/>
  <c r="C52" i="140"/>
  <c r="C51" i="140"/>
  <c r="C50" i="140"/>
  <c r="C49" i="140"/>
  <c r="C48" i="140"/>
  <c r="C47" i="140"/>
  <c r="C46" i="140"/>
  <c r="C45" i="140"/>
  <c r="C44" i="140"/>
  <c r="C43" i="140"/>
  <c r="C42" i="140"/>
  <c r="C41" i="140"/>
  <c r="C40" i="140"/>
  <c r="C39" i="140"/>
  <c r="C38" i="140"/>
  <c r="C37" i="140"/>
  <c r="C36" i="140"/>
  <c r="C35" i="140"/>
  <c r="C34" i="140"/>
  <c r="C33" i="140"/>
  <c r="C32" i="140"/>
  <c r="C31" i="140"/>
  <c r="C30" i="140"/>
  <c r="C29" i="140"/>
  <c r="C28" i="140"/>
  <c r="C27" i="140"/>
  <c r="C26" i="140"/>
  <c r="C25" i="140"/>
  <c r="C24" i="140"/>
  <c r="C23" i="140"/>
  <c r="C22" i="140"/>
  <c r="C21" i="140"/>
  <c r="C20" i="140"/>
  <c r="C19" i="140"/>
  <c r="C18" i="140"/>
  <c r="C17" i="140"/>
  <c r="C16" i="140"/>
  <c r="C15" i="140"/>
  <c r="C14" i="140"/>
  <c r="C13" i="140"/>
  <c r="C12" i="140"/>
  <c r="C11" i="140"/>
  <c r="C10" i="140"/>
  <c r="C9" i="140"/>
  <c r="C8" i="140"/>
  <c r="C7" i="140"/>
  <c r="C75" i="141"/>
  <c r="C74" i="141"/>
  <c r="C73" i="141"/>
  <c r="C72" i="141"/>
  <c r="C71" i="141"/>
  <c r="C70" i="141"/>
  <c r="C69" i="141"/>
  <c r="C68" i="141"/>
  <c r="C67" i="141"/>
  <c r="C66" i="141"/>
  <c r="C65" i="141"/>
  <c r="C64" i="141"/>
  <c r="C63" i="141"/>
  <c r="C62" i="141"/>
  <c r="C61" i="141"/>
  <c r="C60" i="141"/>
  <c r="C59" i="141"/>
  <c r="C58" i="141"/>
  <c r="C57" i="141"/>
  <c r="C56" i="141"/>
  <c r="C55" i="141"/>
  <c r="C54" i="141"/>
  <c r="C53" i="141"/>
  <c r="C52" i="141"/>
  <c r="C51" i="141"/>
  <c r="C50" i="141"/>
  <c r="C49" i="141"/>
  <c r="C48" i="141"/>
  <c r="C47" i="141"/>
  <c r="C46" i="141"/>
  <c r="C45" i="141"/>
  <c r="C44" i="141"/>
  <c r="C43" i="141"/>
  <c r="C42" i="141"/>
  <c r="C41" i="141"/>
  <c r="C40" i="141"/>
  <c r="C39" i="141"/>
  <c r="C38" i="141"/>
  <c r="C37" i="141"/>
  <c r="C36" i="141"/>
  <c r="C35" i="141"/>
  <c r="C34" i="141"/>
  <c r="C33" i="141"/>
  <c r="C32" i="141"/>
  <c r="C31" i="141"/>
  <c r="C30" i="141"/>
  <c r="C29" i="141"/>
  <c r="C28" i="141"/>
  <c r="C27" i="141"/>
  <c r="C26" i="141"/>
  <c r="C25" i="141"/>
  <c r="C24" i="141"/>
  <c r="C23" i="141"/>
  <c r="C22" i="141"/>
  <c r="C21" i="141"/>
  <c r="C20" i="141"/>
  <c r="C19" i="141"/>
  <c r="C18" i="141"/>
  <c r="C17" i="141"/>
  <c r="C16" i="141"/>
  <c r="C15" i="141"/>
  <c r="C14" i="141"/>
  <c r="C13" i="141"/>
  <c r="C12" i="141"/>
  <c r="C11" i="141"/>
  <c r="C10" i="141"/>
  <c r="C9" i="141"/>
  <c r="C8" i="141"/>
  <c r="C7" i="141"/>
  <c r="D72" i="1" l="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10" i="1"/>
  <c r="D9" i="1"/>
  <c r="D8" i="1"/>
  <c r="D7" i="1"/>
  <c r="D6" i="1"/>
  <c r="D5" i="1"/>
  <c r="D4" i="1"/>
  <c r="G42" i="166" l="1"/>
  <c r="F23" i="113" l="1"/>
  <c r="F23" i="141"/>
  <c r="F45" i="141"/>
  <c r="F23" i="140"/>
  <c r="F45" i="140"/>
  <c r="F45" i="113"/>
  <c r="F44" i="80"/>
  <c r="F22" i="80"/>
  <c r="F22" i="76"/>
  <c r="F44" i="76"/>
  <c r="D2" i="72"/>
  <c r="F23" i="115" l="1"/>
  <c r="F23" i="116"/>
  <c r="F23" i="118"/>
  <c r="F23" i="117"/>
  <c r="F23" i="119"/>
  <c r="F23" i="125"/>
  <c r="F23" i="127"/>
  <c r="F23" i="120"/>
  <c r="F23" i="126"/>
  <c r="F23" i="128"/>
  <c r="F23" i="131"/>
  <c r="F23" i="145"/>
  <c r="F23" i="129"/>
  <c r="F23" i="144"/>
  <c r="F23" i="146"/>
  <c r="F23" i="147"/>
  <c r="F23" i="149"/>
  <c r="F23" i="152"/>
  <c r="F23" i="114"/>
  <c r="F23" i="148"/>
  <c r="F23" i="151"/>
  <c r="F23" i="153"/>
  <c r="F45" i="116"/>
  <c r="F45" i="115"/>
  <c r="F45" i="117"/>
  <c r="F45" i="119"/>
  <c r="F45" i="118"/>
  <c r="F45" i="120"/>
  <c r="F45" i="126"/>
  <c r="F45" i="128"/>
  <c r="F45" i="125"/>
  <c r="F45" i="127"/>
  <c r="F45" i="129"/>
  <c r="F45" i="144"/>
  <c r="F45" i="146"/>
  <c r="F45" i="131"/>
  <c r="F45" i="145"/>
  <c r="F45" i="148"/>
  <c r="F45" i="151"/>
  <c r="F45" i="153"/>
  <c r="F45" i="147"/>
  <c r="F45" i="149"/>
  <c r="F45" i="152"/>
  <c r="F45" i="114"/>
  <c r="E2" i="72"/>
  <c r="F2" i="72" s="1"/>
  <c r="AA68" i="31" l="1"/>
  <c r="Z9" i="31"/>
  <c r="AD9" i="31" l="1"/>
  <c r="AF9" i="31"/>
  <c r="AB9" i="31"/>
  <c r="AF23" i="31"/>
  <c r="AA44" i="31"/>
  <c r="AF44" i="31" s="1"/>
  <c r="AA25" i="31"/>
  <c r="AF25" i="31" s="1"/>
  <c r="Z70" i="31"/>
  <c r="AF70" i="31" s="1"/>
  <c r="Z69" i="31"/>
  <c r="AF69" i="31" s="1"/>
  <c r="AF68" i="31"/>
  <c r="Z67" i="31"/>
  <c r="AF67" i="31" s="1"/>
  <c r="Z66" i="31"/>
  <c r="AF66" i="31" s="1"/>
  <c r="Z65" i="31"/>
  <c r="AF65" i="31" s="1"/>
  <c r="Z64" i="31"/>
  <c r="AF64" i="31" s="1"/>
  <c r="Z63" i="31"/>
  <c r="AF63" i="31" s="1"/>
  <c r="Z62" i="31"/>
  <c r="AF62" i="31" s="1"/>
  <c r="Z61" i="31"/>
  <c r="AF61" i="31" s="1"/>
  <c r="Z60" i="31"/>
  <c r="AF60" i="31" s="1"/>
  <c r="Z59" i="31"/>
  <c r="AF59" i="31" s="1"/>
  <c r="Z58" i="31"/>
  <c r="AF58" i="31" s="1"/>
  <c r="Z57" i="31"/>
  <c r="AF57" i="31" s="1"/>
  <c r="Z56" i="31"/>
  <c r="AF56" i="31" s="1"/>
  <c r="Z55" i="31"/>
  <c r="AF55" i="31" s="1"/>
  <c r="Z54" i="31"/>
  <c r="AF54" i="31" s="1"/>
  <c r="Z53" i="31"/>
  <c r="AF53" i="31" s="1"/>
  <c r="Z52" i="31"/>
  <c r="AF52" i="31" s="1"/>
  <c r="Z51" i="31"/>
  <c r="AF51" i="31" s="1"/>
  <c r="Z50" i="31"/>
  <c r="AF50" i="31" s="1"/>
  <c r="Z49" i="31"/>
  <c r="AF49" i="31" s="1"/>
  <c r="Z48" i="31"/>
  <c r="AF48" i="31" s="1"/>
  <c r="Z47" i="31"/>
  <c r="AF47" i="31" s="1"/>
  <c r="Z46" i="31"/>
  <c r="AF46" i="31" s="1"/>
  <c r="Z45" i="31"/>
  <c r="AF45" i="31" s="1"/>
  <c r="Z43" i="31"/>
  <c r="AF43" i="31" s="1"/>
  <c r="Z42" i="31"/>
  <c r="AF42" i="31" s="1"/>
  <c r="Z41" i="31"/>
  <c r="AF41" i="31" s="1"/>
  <c r="Z40" i="31"/>
  <c r="AF40" i="31" s="1"/>
  <c r="Z39" i="31"/>
  <c r="AF39" i="31" s="1"/>
  <c r="Z38" i="31"/>
  <c r="AF38" i="31" s="1"/>
  <c r="Z37" i="31"/>
  <c r="AF37" i="31" s="1"/>
  <c r="Z36" i="31"/>
  <c r="AF36" i="31" s="1"/>
  <c r="Z35" i="31"/>
  <c r="AF35" i="31" s="1"/>
  <c r="Z34" i="31"/>
  <c r="AF34" i="31" s="1"/>
  <c r="Z33" i="31"/>
  <c r="AF33" i="31" s="1"/>
  <c r="Z32" i="31"/>
  <c r="AF32" i="31" s="1"/>
  <c r="Z31" i="31"/>
  <c r="AF31" i="31" s="1"/>
  <c r="Z30" i="31"/>
  <c r="AF30" i="31" s="1"/>
  <c r="Z29" i="31"/>
  <c r="AF29" i="31" s="1"/>
  <c r="Z28" i="31"/>
  <c r="AF28" i="31" s="1"/>
  <c r="Z27" i="31"/>
  <c r="AF27" i="31" s="1"/>
  <c r="Z26" i="31"/>
  <c r="AF26" i="31" s="1"/>
  <c r="Z24" i="31"/>
  <c r="AF24" i="31" s="1"/>
  <c r="Z22" i="31"/>
  <c r="AF22" i="31" s="1"/>
  <c r="Z21" i="31"/>
  <c r="AF21" i="31" s="1"/>
  <c r="Z20" i="31"/>
  <c r="AF20" i="31" s="1"/>
  <c r="Z15" i="31"/>
  <c r="AF15" i="31" s="1"/>
  <c r="Z14" i="31"/>
  <c r="AF14" i="31" s="1"/>
  <c r="Z13" i="31"/>
  <c r="AF13" i="31" s="1"/>
  <c r="Z12" i="31"/>
  <c r="AF12" i="31" s="1"/>
  <c r="AA16" i="31"/>
  <c r="AF16" i="31" s="1"/>
  <c r="Z8" i="31"/>
  <c r="AF8" i="31" s="1"/>
  <c r="AF71" i="31" l="1"/>
  <c r="AG9" i="31"/>
  <c r="AH9" i="31" s="1"/>
  <c r="C41" i="2"/>
  <c r="Z42" i="115" l="1"/>
  <c r="Z42" i="113"/>
  <c r="AE55" i="119" l="1"/>
  <c r="C8" i="46" l="1"/>
  <c r="C74" i="80" l="1"/>
  <c r="C73" i="80"/>
  <c r="C72" i="80"/>
  <c r="C71" i="80"/>
  <c r="C70" i="80"/>
  <c r="C69" i="80"/>
  <c r="C68" i="80"/>
  <c r="C67" i="80"/>
  <c r="C66" i="80"/>
  <c r="C65" i="80"/>
  <c r="C64" i="80"/>
  <c r="C63" i="80"/>
  <c r="C62" i="80"/>
  <c r="C61" i="80"/>
  <c r="C60" i="80"/>
  <c r="C59" i="80"/>
  <c r="C58" i="80"/>
  <c r="C57" i="80"/>
  <c r="C56" i="80"/>
  <c r="C55" i="80"/>
  <c r="C54" i="80"/>
  <c r="C53" i="80"/>
  <c r="C52" i="80"/>
  <c r="C51" i="80"/>
  <c r="C50" i="80"/>
  <c r="C49" i="80"/>
  <c r="C48" i="80"/>
  <c r="C47" i="80"/>
  <c r="C46" i="80"/>
  <c r="C45" i="80"/>
  <c r="C44" i="80"/>
  <c r="C43" i="80"/>
  <c r="C42" i="80"/>
  <c r="C41" i="80"/>
  <c r="C40" i="80"/>
  <c r="C39" i="80"/>
  <c r="C38" i="80"/>
  <c r="C37" i="80"/>
  <c r="C36" i="80"/>
  <c r="C35" i="80"/>
  <c r="C34" i="80"/>
  <c r="C33" i="80"/>
  <c r="C32" i="80"/>
  <c r="C31" i="80"/>
  <c r="C30" i="80"/>
  <c r="C29" i="80"/>
  <c r="C28" i="80"/>
  <c r="C27" i="80"/>
  <c r="C26" i="80"/>
  <c r="C25" i="80"/>
  <c r="C24" i="80"/>
  <c r="C23" i="80"/>
  <c r="C22" i="80"/>
  <c r="C21" i="80"/>
  <c r="C20" i="80"/>
  <c r="C19" i="80"/>
  <c r="C18" i="80"/>
  <c r="C17" i="80"/>
  <c r="C16" i="80"/>
  <c r="C15" i="80"/>
  <c r="C14" i="80"/>
  <c r="C13" i="80"/>
  <c r="C12" i="80"/>
  <c r="C11" i="80"/>
  <c r="C10" i="80"/>
  <c r="C9" i="80"/>
  <c r="C8" i="80"/>
  <c r="C7" i="80"/>
  <c r="C6" i="80"/>
  <c r="C74" i="76"/>
  <c r="C73" i="76"/>
  <c r="C72" i="76"/>
  <c r="C71" i="76"/>
  <c r="C70" i="76"/>
  <c r="C69" i="76"/>
  <c r="C68" i="76"/>
  <c r="C67" i="76"/>
  <c r="C66" i="76"/>
  <c r="C65" i="76"/>
  <c r="C64" i="76"/>
  <c r="C63" i="76"/>
  <c r="C62" i="76"/>
  <c r="C61" i="76"/>
  <c r="C60" i="76"/>
  <c r="C59" i="76"/>
  <c r="C58" i="76"/>
  <c r="C57" i="76"/>
  <c r="C56" i="76"/>
  <c r="C55" i="76"/>
  <c r="C54" i="76"/>
  <c r="C53" i="76"/>
  <c r="C52" i="76"/>
  <c r="C51" i="76"/>
  <c r="C50" i="76"/>
  <c r="C49" i="76"/>
  <c r="C48" i="76"/>
  <c r="C47" i="76"/>
  <c r="C46" i="76"/>
  <c r="C45" i="76"/>
  <c r="C44" i="76"/>
  <c r="C43" i="76"/>
  <c r="C42" i="76"/>
  <c r="C41" i="76"/>
  <c r="C40" i="76"/>
  <c r="C39" i="76"/>
  <c r="C38" i="76"/>
  <c r="C37" i="76"/>
  <c r="C36" i="76"/>
  <c r="C35" i="76"/>
  <c r="C34" i="76"/>
  <c r="C33" i="76"/>
  <c r="C32" i="76"/>
  <c r="C31" i="76"/>
  <c r="C30" i="76"/>
  <c r="C29" i="76"/>
  <c r="C28" i="76"/>
  <c r="C27" i="76"/>
  <c r="C26" i="76"/>
  <c r="C25" i="76"/>
  <c r="C24" i="76"/>
  <c r="C23" i="76"/>
  <c r="C22" i="76"/>
  <c r="C21" i="76"/>
  <c r="C20" i="76"/>
  <c r="C19" i="76"/>
  <c r="C18" i="76"/>
  <c r="C17" i="76"/>
  <c r="C16" i="76"/>
  <c r="C15" i="76"/>
  <c r="C14" i="76"/>
  <c r="C13" i="76"/>
  <c r="C12" i="76"/>
  <c r="C11" i="76"/>
  <c r="C10" i="76"/>
  <c r="C9" i="76"/>
  <c r="C8" i="76"/>
  <c r="C7" i="76"/>
  <c r="C6" i="76"/>
  <c r="C75" i="131"/>
  <c r="C74" i="131"/>
  <c r="C73" i="131"/>
  <c r="C72" i="131"/>
  <c r="C71" i="131"/>
  <c r="C70" i="131"/>
  <c r="C69" i="131"/>
  <c r="C68" i="131"/>
  <c r="C67" i="131"/>
  <c r="C66" i="131"/>
  <c r="C65" i="131"/>
  <c r="C64" i="131"/>
  <c r="C63" i="131"/>
  <c r="C62" i="131"/>
  <c r="C61" i="131"/>
  <c r="C60" i="131"/>
  <c r="C59" i="131"/>
  <c r="C58" i="131"/>
  <c r="C57" i="131"/>
  <c r="C56" i="131"/>
  <c r="C55" i="131"/>
  <c r="C54" i="131"/>
  <c r="C53" i="131"/>
  <c r="C52" i="131"/>
  <c r="C51" i="131"/>
  <c r="C50" i="131"/>
  <c r="C49" i="131"/>
  <c r="C48" i="131"/>
  <c r="C47" i="131"/>
  <c r="C46" i="131"/>
  <c r="C45" i="131"/>
  <c r="C44" i="131"/>
  <c r="C43" i="131"/>
  <c r="C42" i="131"/>
  <c r="C41" i="131"/>
  <c r="C40" i="131"/>
  <c r="C39" i="131"/>
  <c r="C38" i="131"/>
  <c r="C37" i="131"/>
  <c r="C36" i="131"/>
  <c r="C35" i="131"/>
  <c r="C34" i="131"/>
  <c r="C33" i="131"/>
  <c r="C32" i="131"/>
  <c r="C31" i="131"/>
  <c r="C30" i="131"/>
  <c r="C29" i="131"/>
  <c r="C28" i="131"/>
  <c r="C27" i="131"/>
  <c r="C26" i="131"/>
  <c r="C25" i="131"/>
  <c r="C24" i="131"/>
  <c r="C23" i="131"/>
  <c r="C22" i="131"/>
  <c r="C21" i="131"/>
  <c r="C20" i="131"/>
  <c r="C19" i="131"/>
  <c r="C18" i="131"/>
  <c r="C17" i="131"/>
  <c r="C16" i="131"/>
  <c r="C15" i="131"/>
  <c r="C14" i="131"/>
  <c r="C13" i="131"/>
  <c r="C12" i="131"/>
  <c r="C11" i="131"/>
  <c r="C10" i="131"/>
  <c r="C9" i="131"/>
  <c r="C8" i="131"/>
  <c r="C7" i="131"/>
  <c r="C75" i="129"/>
  <c r="C74" i="129"/>
  <c r="C73" i="129"/>
  <c r="C72" i="129"/>
  <c r="C71" i="129"/>
  <c r="C70" i="129"/>
  <c r="C69" i="129"/>
  <c r="C68" i="129"/>
  <c r="C67" i="129"/>
  <c r="C66" i="129"/>
  <c r="C65" i="129"/>
  <c r="C64" i="129"/>
  <c r="C63" i="129"/>
  <c r="C62" i="129"/>
  <c r="C61" i="129"/>
  <c r="C60" i="129"/>
  <c r="C59" i="129"/>
  <c r="C58" i="129"/>
  <c r="C57" i="129"/>
  <c r="C56" i="129"/>
  <c r="C55" i="129"/>
  <c r="C54" i="129"/>
  <c r="C53" i="129"/>
  <c r="C52" i="129"/>
  <c r="C51" i="129"/>
  <c r="C50" i="129"/>
  <c r="C49" i="129"/>
  <c r="C48" i="129"/>
  <c r="C47" i="129"/>
  <c r="C46" i="129"/>
  <c r="C45" i="129"/>
  <c r="C44" i="129"/>
  <c r="C43" i="129"/>
  <c r="C42" i="129"/>
  <c r="C41" i="129"/>
  <c r="C40" i="129"/>
  <c r="C39" i="129"/>
  <c r="C38" i="129"/>
  <c r="C37" i="129"/>
  <c r="C36" i="129"/>
  <c r="C35" i="129"/>
  <c r="C34" i="129"/>
  <c r="C33" i="129"/>
  <c r="C32" i="129"/>
  <c r="C31" i="129"/>
  <c r="C30" i="129"/>
  <c r="C29" i="129"/>
  <c r="C28" i="129"/>
  <c r="C27" i="129"/>
  <c r="C26" i="129"/>
  <c r="C25" i="129"/>
  <c r="C24" i="129"/>
  <c r="C23" i="129"/>
  <c r="C22" i="129"/>
  <c r="C21" i="129"/>
  <c r="C20" i="129"/>
  <c r="C19" i="129"/>
  <c r="C18" i="129"/>
  <c r="C17" i="129"/>
  <c r="C16" i="129"/>
  <c r="C15" i="129"/>
  <c r="C14" i="129"/>
  <c r="C13" i="129"/>
  <c r="C12" i="129"/>
  <c r="C11" i="129"/>
  <c r="C10" i="129"/>
  <c r="C9" i="129"/>
  <c r="C8" i="129"/>
  <c r="C7" i="129"/>
  <c r="C75" i="128"/>
  <c r="C74" i="128"/>
  <c r="C73" i="128"/>
  <c r="C72" i="128"/>
  <c r="C71" i="128"/>
  <c r="C70" i="128"/>
  <c r="C69" i="128"/>
  <c r="C68" i="128"/>
  <c r="C67" i="128"/>
  <c r="C66" i="128"/>
  <c r="C65" i="128"/>
  <c r="C64" i="128"/>
  <c r="C63" i="128"/>
  <c r="C62" i="128"/>
  <c r="C61" i="128"/>
  <c r="C60" i="128"/>
  <c r="C59" i="128"/>
  <c r="C58" i="128"/>
  <c r="C57" i="128"/>
  <c r="C56" i="128"/>
  <c r="C55" i="128"/>
  <c r="C54" i="128"/>
  <c r="C53" i="128"/>
  <c r="C52" i="128"/>
  <c r="C51" i="128"/>
  <c r="C50" i="128"/>
  <c r="C49" i="128"/>
  <c r="C48" i="128"/>
  <c r="C47" i="128"/>
  <c r="C46" i="128"/>
  <c r="C45" i="128"/>
  <c r="C44" i="128"/>
  <c r="C43" i="128"/>
  <c r="C42" i="128"/>
  <c r="C41" i="128"/>
  <c r="C40" i="128"/>
  <c r="C39" i="128"/>
  <c r="C38" i="128"/>
  <c r="C37" i="128"/>
  <c r="C36" i="128"/>
  <c r="C35" i="128"/>
  <c r="C34" i="128"/>
  <c r="C33" i="128"/>
  <c r="C32" i="128"/>
  <c r="C31" i="128"/>
  <c r="C30" i="128"/>
  <c r="C29" i="128"/>
  <c r="C28" i="128"/>
  <c r="C27" i="128"/>
  <c r="C26" i="128"/>
  <c r="C25" i="128"/>
  <c r="C24" i="128"/>
  <c r="C23" i="128"/>
  <c r="C22" i="128"/>
  <c r="C21" i="128"/>
  <c r="C20" i="128"/>
  <c r="C19" i="128"/>
  <c r="C18" i="128"/>
  <c r="C17" i="128"/>
  <c r="C16" i="128"/>
  <c r="C15" i="128"/>
  <c r="C14" i="128"/>
  <c r="C13" i="128"/>
  <c r="C12" i="128"/>
  <c r="C11" i="128"/>
  <c r="C10" i="128"/>
  <c r="C9" i="128"/>
  <c r="C8" i="128"/>
  <c r="C7" i="128"/>
  <c r="C75" i="127"/>
  <c r="C74" i="127"/>
  <c r="C73" i="127"/>
  <c r="C72" i="127"/>
  <c r="C71" i="127"/>
  <c r="C70" i="127"/>
  <c r="C69" i="127"/>
  <c r="C68" i="127"/>
  <c r="C67" i="127"/>
  <c r="C66" i="127"/>
  <c r="C65" i="127"/>
  <c r="C64" i="127"/>
  <c r="C63" i="127"/>
  <c r="C62" i="127"/>
  <c r="C61" i="127"/>
  <c r="C60" i="127"/>
  <c r="C59" i="127"/>
  <c r="C58" i="127"/>
  <c r="C57" i="127"/>
  <c r="C56" i="127"/>
  <c r="C55" i="127"/>
  <c r="C54" i="127"/>
  <c r="C53" i="127"/>
  <c r="C52" i="127"/>
  <c r="C51" i="127"/>
  <c r="C50" i="127"/>
  <c r="C49" i="127"/>
  <c r="C48" i="127"/>
  <c r="C47" i="127"/>
  <c r="C46" i="127"/>
  <c r="C45" i="127"/>
  <c r="C44" i="127"/>
  <c r="C43" i="127"/>
  <c r="C42" i="127"/>
  <c r="C41" i="127"/>
  <c r="C40" i="127"/>
  <c r="C39" i="127"/>
  <c r="C38" i="127"/>
  <c r="C37" i="127"/>
  <c r="C36" i="127"/>
  <c r="C35" i="127"/>
  <c r="C34" i="127"/>
  <c r="C33" i="127"/>
  <c r="C32" i="127"/>
  <c r="C31" i="127"/>
  <c r="C30" i="127"/>
  <c r="C29" i="127"/>
  <c r="C28" i="127"/>
  <c r="C27" i="127"/>
  <c r="C26" i="127"/>
  <c r="C25" i="127"/>
  <c r="C24" i="127"/>
  <c r="C23" i="127"/>
  <c r="C22" i="127"/>
  <c r="C21" i="127"/>
  <c r="C20" i="127"/>
  <c r="C19" i="127"/>
  <c r="C18" i="127"/>
  <c r="C17" i="127"/>
  <c r="C16" i="127"/>
  <c r="C15" i="127"/>
  <c r="C14" i="127"/>
  <c r="C13" i="127"/>
  <c r="C12" i="127"/>
  <c r="C11" i="127"/>
  <c r="C10" i="127"/>
  <c r="C9" i="127"/>
  <c r="C8" i="127"/>
  <c r="C7" i="127"/>
  <c r="C75" i="126"/>
  <c r="C74" i="126"/>
  <c r="C73" i="126"/>
  <c r="C72" i="126"/>
  <c r="C71" i="126"/>
  <c r="C70" i="126"/>
  <c r="C69" i="126"/>
  <c r="C68" i="126"/>
  <c r="C67" i="126"/>
  <c r="C66" i="126"/>
  <c r="C65" i="126"/>
  <c r="C64" i="126"/>
  <c r="C63" i="126"/>
  <c r="C62" i="126"/>
  <c r="C61" i="126"/>
  <c r="C60" i="126"/>
  <c r="C59" i="126"/>
  <c r="C58" i="126"/>
  <c r="C57" i="126"/>
  <c r="C56" i="126"/>
  <c r="C55" i="126"/>
  <c r="C54" i="126"/>
  <c r="C53" i="126"/>
  <c r="C52" i="126"/>
  <c r="C51" i="126"/>
  <c r="C50" i="126"/>
  <c r="C49" i="126"/>
  <c r="C48" i="126"/>
  <c r="C47" i="126"/>
  <c r="C46" i="126"/>
  <c r="C45" i="126"/>
  <c r="C44" i="126"/>
  <c r="C43" i="126"/>
  <c r="C42" i="126"/>
  <c r="C41" i="126"/>
  <c r="C40" i="126"/>
  <c r="C39" i="126"/>
  <c r="C38" i="126"/>
  <c r="C37" i="126"/>
  <c r="C36" i="126"/>
  <c r="C35" i="126"/>
  <c r="C34" i="126"/>
  <c r="C33" i="126"/>
  <c r="C32" i="126"/>
  <c r="C31" i="126"/>
  <c r="C30" i="126"/>
  <c r="C29" i="126"/>
  <c r="C28" i="126"/>
  <c r="C27" i="126"/>
  <c r="C26" i="126"/>
  <c r="C25" i="126"/>
  <c r="C24" i="126"/>
  <c r="C23" i="126"/>
  <c r="C22" i="126"/>
  <c r="C21" i="126"/>
  <c r="C20" i="126"/>
  <c r="C19" i="126"/>
  <c r="C18" i="126"/>
  <c r="C17" i="126"/>
  <c r="C16" i="126"/>
  <c r="C15" i="126"/>
  <c r="C14" i="126"/>
  <c r="C13" i="126"/>
  <c r="C12" i="126"/>
  <c r="C11" i="126"/>
  <c r="C10" i="126"/>
  <c r="C9" i="126"/>
  <c r="C8" i="126"/>
  <c r="C7" i="126"/>
  <c r="C75" i="125"/>
  <c r="C74" i="125"/>
  <c r="C73" i="125"/>
  <c r="C72" i="125"/>
  <c r="C71" i="125"/>
  <c r="C70" i="125"/>
  <c r="C69" i="125"/>
  <c r="C68" i="125"/>
  <c r="C67" i="125"/>
  <c r="C66" i="125"/>
  <c r="C65" i="125"/>
  <c r="C64" i="125"/>
  <c r="C63" i="125"/>
  <c r="C62" i="125"/>
  <c r="C61" i="125"/>
  <c r="C60" i="125"/>
  <c r="C59" i="125"/>
  <c r="C58" i="125"/>
  <c r="C57" i="125"/>
  <c r="C56" i="125"/>
  <c r="C55" i="125"/>
  <c r="C54" i="125"/>
  <c r="C53" i="125"/>
  <c r="C52" i="125"/>
  <c r="C51" i="125"/>
  <c r="C50" i="125"/>
  <c r="C49" i="125"/>
  <c r="C48" i="125"/>
  <c r="C47" i="125"/>
  <c r="C46" i="125"/>
  <c r="C45" i="125"/>
  <c r="C44" i="125"/>
  <c r="C43" i="125"/>
  <c r="C42" i="125"/>
  <c r="C41" i="125"/>
  <c r="C40" i="125"/>
  <c r="C39" i="125"/>
  <c r="C38" i="125"/>
  <c r="C37" i="125"/>
  <c r="C36" i="125"/>
  <c r="C35" i="125"/>
  <c r="C34" i="125"/>
  <c r="C33" i="125"/>
  <c r="C32" i="125"/>
  <c r="C31" i="125"/>
  <c r="C30" i="125"/>
  <c r="C29" i="125"/>
  <c r="C28" i="125"/>
  <c r="C27" i="125"/>
  <c r="C26" i="125"/>
  <c r="C25" i="125"/>
  <c r="C24" i="125"/>
  <c r="C23" i="125"/>
  <c r="C22" i="125"/>
  <c r="C21" i="125"/>
  <c r="C20" i="125"/>
  <c r="C19" i="125"/>
  <c r="C18" i="125"/>
  <c r="C17" i="125"/>
  <c r="C16" i="125"/>
  <c r="C15" i="125"/>
  <c r="C14" i="125"/>
  <c r="C13" i="125"/>
  <c r="C12" i="125"/>
  <c r="C11" i="125"/>
  <c r="C10" i="125"/>
  <c r="C9" i="125"/>
  <c r="C8" i="125"/>
  <c r="C7" i="125"/>
  <c r="C75" i="120"/>
  <c r="C74" i="120"/>
  <c r="C73" i="120"/>
  <c r="C72" i="120"/>
  <c r="C71" i="120"/>
  <c r="C70" i="120"/>
  <c r="C69" i="120"/>
  <c r="C68" i="120"/>
  <c r="C67" i="120"/>
  <c r="C66" i="120"/>
  <c r="C65" i="120"/>
  <c r="C64" i="120"/>
  <c r="C63" i="120"/>
  <c r="C62" i="120"/>
  <c r="C61" i="120"/>
  <c r="C60" i="120"/>
  <c r="C59" i="120"/>
  <c r="C58" i="120"/>
  <c r="C57" i="120"/>
  <c r="C56" i="120"/>
  <c r="C55" i="120"/>
  <c r="C54" i="120"/>
  <c r="C53" i="120"/>
  <c r="C52" i="120"/>
  <c r="C51" i="120"/>
  <c r="C50" i="120"/>
  <c r="C49" i="120"/>
  <c r="C48" i="120"/>
  <c r="C47" i="120"/>
  <c r="C46" i="120"/>
  <c r="C45" i="120"/>
  <c r="C44" i="120"/>
  <c r="C43" i="120"/>
  <c r="C42" i="120"/>
  <c r="C41" i="120"/>
  <c r="C40" i="120"/>
  <c r="C39" i="120"/>
  <c r="C38" i="120"/>
  <c r="C37" i="120"/>
  <c r="C36" i="120"/>
  <c r="C35" i="120"/>
  <c r="C34" i="120"/>
  <c r="C33" i="120"/>
  <c r="C32" i="120"/>
  <c r="C31" i="120"/>
  <c r="C30" i="120"/>
  <c r="C29" i="120"/>
  <c r="C28" i="120"/>
  <c r="C27" i="120"/>
  <c r="C26" i="120"/>
  <c r="C25" i="120"/>
  <c r="C24" i="120"/>
  <c r="C23" i="120"/>
  <c r="C22" i="120"/>
  <c r="C21" i="120"/>
  <c r="C20" i="120"/>
  <c r="C19" i="120"/>
  <c r="C18" i="120"/>
  <c r="C17" i="120"/>
  <c r="C16" i="120"/>
  <c r="C15" i="120"/>
  <c r="C14" i="120"/>
  <c r="C13" i="120"/>
  <c r="C12" i="120"/>
  <c r="C11" i="120"/>
  <c r="C10" i="120"/>
  <c r="C9" i="120"/>
  <c r="C8" i="120"/>
  <c r="C7" i="120"/>
  <c r="C75" i="119"/>
  <c r="C74" i="119"/>
  <c r="C73" i="119"/>
  <c r="C72" i="119"/>
  <c r="C71" i="119"/>
  <c r="C70" i="119"/>
  <c r="C69" i="119"/>
  <c r="C68" i="119"/>
  <c r="C67" i="119"/>
  <c r="C66" i="119"/>
  <c r="C65" i="119"/>
  <c r="C64" i="119"/>
  <c r="C63" i="119"/>
  <c r="C62" i="119"/>
  <c r="C61" i="119"/>
  <c r="C60" i="119"/>
  <c r="C59" i="119"/>
  <c r="C58" i="119"/>
  <c r="C57" i="119"/>
  <c r="C56" i="119"/>
  <c r="C55" i="119"/>
  <c r="C54" i="119"/>
  <c r="C53" i="119"/>
  <c r="C52" i="119"/>
  <c r="C51" i="119"/>
  <c r="C50" i="119"/>
  <c r="C49" i="119"/>
  <c r="C48" i="119"/>
  <c r="C47" i="119"/>
  <c r="C46" i="119"/>
  <c r="C45" i="119"/>
  <c r="C44" i="119"/>
  <c r="C43" i="119"/>
  <c r="C42" i="119"/>
  <c r="C41" i="119"/>
  <c r="C40" i="119"/>
  <c r="C39" i="119"/>
  <c r="C38" i="119"/>
  <c r="C37" i="119"/>
  <c r="C36" i="119"/>
  <c r="C35" i="119"/>
  <c r="C34" i="119"/>
  <c r="C33" i="119"/>
  <c r="C32" i="119"/>
  <c r="C31" i="119"/>
  <c r="C30" i="119"/>
  <c r="C29" i="119"/>
  <c r="C28" i="119"/>
  <c r="C27" i="119"/>
  <c r="C26" i="119"/>
  <c r="C25" i="119"/>
  <c r="C24" i="119"/>
  <c r="C23" i="119"/>
  <c r="C22" i="119"/>
  <c r="C21" i="119"/>
  <c r="C20" i="119"/>
  <c r="C19" i="119"/>
  <c r="C18" i="119"/>
  <c r="C17" i="119"/>
  <c r="C16" i="119"/>
  <c r="C15" i="119"/>
  <c r="C14" i="119"/>
  <c r="C13" i="119"/>
  <c r="C12" i="119"/>
  <c r="C11" i="119"/>
  <c r="C10" i="119"/>
  <c r="C9" i="119"/>
  <c r="C8" i="119"/>
  <c r="C7" i="119"/>
  <c r="C75" i="118"/>
  <c r="C74" i="118"/>
  <c r="C73" i="118"/>
  <c r="C72" i="118"/>
  <c r="C71" i="118"/>
  <c r="C70" i="118"/>
  <c r="C69" i="118"/>
  <c r="C68" i="118"/>
  <c r="C67" i="118"/>
  <c r="C66" i="118"/>
  <c r="C65" i="118"/>
  <c r="C64" i="118"/>
  <c r="C63" i="118"/>
  <c r="C62" i="118"/>
  <c r="C61" i="118"/>
  <c r="C60" i="118"/>
  <c r="C59" i="118"/>
  <c r="C58" i="118"/>
  <c r="C57" i="118"/>
  <c r="C56" i="118"/>
  <c r="C55" i="118"/>
  <c r="C54" i="118"/>
  <c r="C53" i="118"/>
  <c r="C52" i="118"/>
  <c r="C51" i="118"/>
  <c r="C50" i="118"/>
  <c r="C49" i="118"/>
  <c r="C48" i="118"/>
  <c r="C47" i="118"/>
  <c r="C46" i="118"/>
  <c r="C45" i="118"/>
  <c r="C44" i="118"/>
  <c r="C43" i="118"/>
  <c r="C42" i="118"/>
  <c r="C41" i="118"/>
  <c r="C40" i="118"/>
  <c r="C39" i="118"/>
  <c r="C38" i="118"/>
  <c r="C37" i="118"/>
  <c r="C36" i="118"/>
  <c r="C35" i="118"/>
  <c r="C34" i="118"/>
  <c r="C33" i="118"/>
  <c r="C32" i="118"/>
  <c r="C31" i="118"/>
  <c r="C30" i="118"/>
  <c r="C29" i="118"/>
  <c r="C28" i="118"/>
  <c r="C27" i="118"/>
  <c r="C26" i="118"/>
  <c r="C25" i="118"/>
  <c r="C24" i="118"/>
  <c r="C23" i="118"/>
  <c r="C22" i="118"/>
  <c r="C21" i="118"/>
  <c r="C20" i="118"/>
  <c r="C19" i="118"/>
  <c r="C18" i="118"/>
  <c r="C17" i="118"/>
  <c r="C16" i="118"/>
  <c r="C15" i="118"/>
  <c r="C14" i="118"/>
  <c r="C13" i="118"/>
  <c r="C12" i="118"/>
  <c r="C11" i="118"/>
  <c r="C10" i="118"/>
  <c r="C9" i="118"/>
  <c r="C8" i="118"/>
  <c r="C7" i="118"/>
  <c r="C75" i="117"/>
  <c r="C74" i="117"/>
  <c r="C73" i="117"/>
  <c r="C72" i="117"/>
  <c r="C71" i="117"/>
  <c r="C70" i="117"/>
  <c r="C69" i="117"/>
  <c r="C68" i="117"/>
  <c r="C67" i="117"/>
  <c r="C66" i="117"/>
  <c r="C65" i="117"/>
  <c r="C64" i="117"/>
  <c r="C63" i="117"/>
  <c r="C62" i="117"/>
  <c r="C61" i="117"/>
  <c r="C60" i="117"/>
  <c r="C59" i="117"/>
  <c r="C58" i="117"/>
  <c r="C57" i="117"/>
  <c r="C56" i="117"/>
  <c r="C55" i="117"/>
  <c r="C54" i="117"/>
  <c r="C53" i="117"/>
  <c r="C52" i="117"/>
  <c r="C51" i="117"/>
  <c r="C50" i="117"/>
  <c r="C49" i="117"/>
  <c r="C48" i="117"/>
  <c r="C47" i="117"/>
  <c r="C46" i="117"/>
  <c r="C45" i="117"/>
  <c r="C44" i="117"/>
  <c r="C43" i="117"/>
  <c r="C42" i="117"/>
  <c r="C41" i="117"/>
  <c r="C40" i="117"/>
  <c r="C39" i="117"/>
  <c r="C38" i="117"/>
  <c r="C37" i="117"/>
  <c r="C36" i="117"/>
  <c r="C35" i="117"/>
  <c r="C34" i="117"/>
  <c r="C33" i="117"/>
  <c r="C32" i="117"/>
  <c r="C31" i="117"/>
  <c r="C30" i="117"/>
  <c r="C29" i="117"/>
  <c r="C28" i="117"/>
  <c r="C27" i="117"/>
  <c r="C26" i="117"/>
  <c r="C25" i="117"/>
  <c r="C24" i="117"/>
  <c r="C23" i="117"/>
  <c r="C22" i="117"/>
  <c r="C21" i="117"/>
  <c r="C20" i="117"/>
  <c r="C19" i="117"/>
  <c r="C18" i="117"/>
  <c r="C17" i="117"/>
  <c r="C16" i="117"/>
  <c r="C15" i="117"/>
  <c r="C14" i="117"/>
  <c r="C13" i="117"/>
  <c r="C12" i="117"/>
  <c r="C11" i="117"/>
  <c r="C10" i="117"/>
  <c r="C9" i="117"/>
  <c r="C8" i="117"/>
  <c r="C7" i="117"/>
  <c r="C75" i="116"/>
  <c r="C74" i="116"/>
  <c r="C73" i="116"/>
  <c r="C72" i="116"/>
  <c r="C71" i="116"/>
  <c r="C70" i="116"/>
  <c r="C69" i="116"/>
  <c r="C68" i="116"/>
  <c r="C67" i="116"/>
  <c r="C66" i="116"/>
  <c r="C65" i="116"/>
  <c r="C64" i="116"/>
  <c r="C63" i="116"/>
  <c r="C62" i="116"/>
  <c r="C61" i="116"/>
  <c r="C60" i="116"/>
  <c r="C59" i="116"/>
  <c r="C58" i="116"/>
  <c r="C57" i="116"/>
  <c r="C56" i="116"/>
  <c r="C55" i="116"/>
  <c r="C54" i="116"/>
  <c r="C53" i="116"/>
  <c r="C52" i="116"/>
  <c r="C51" i="116"/>
  <c r="C50" i="116"/>
  <c r="C49" i="116"/>
  <c r="C48" i="116"/>
  <c r="C47" i="116"/>
  <c r="C46" i="116"/>
  <c r="C45" i="116"/>
  <c r="C44" i="116"/>
  <c r="C43" i="116"/>
  <c r="C42" i="116"/>
  <c r="C41" i="116"/>
  <c r="C40" i="116"/>
  <c r="C39" i="116"/>
  <c r="C38" i="116"/>
  <c r="C37" i="116"/>
  <c r="C36" i="116"/>
  <c r="C35" i="116"/>
  <c r="C34" i="116"/>
  <c r="C33" i="116"/>
  <c r="C32" i="116"/>
  <c r="C31" i="116"/>
  <c r="C30" i="116"/>
  <c r="C29" i="116"/>
  <c r="C28" i="116"/>
  <c r="C27" i="116"/>
  <c r="C26" i="116"/>
  <c r="C25" i="116"/>
  <c r="C24" i="116"/>
  <c r="C23" i="116"/>
  <c r="C22" i="116"/>
  <c r="C21" i="116"/>
  <c r="C20" i="116"/>
  <c r="C19" i="116"/>
  <c r="C18" i="116"/>
  <c r="C17" i="116"/>
  <c r="C16" i="116"/>
  <c r="C15" i="116"/>
  <c r="C14" i="116"/>
  <c r="C13" i="116"/>
  <c r="C12" i="116"/>
  <c r="C11" i="116"/>
  <c r="C10" i="116"/>
  <c r="C9" i="116"/>
  <c r="C8" i="116"/>
  <c r="C7" i="116"/>
  <c r="C75" i="115"/>
  <c r="C74" i="115"/>
  <c r="C73" i="115"/>
  <c r="C72" i="115"/>
  <c r="C71" i="115"/>
  <c r="C70" i="115"/>
  <c r="C69" i="115"/>
  <c r="C68" i="115"/>
  <c r="C67" i="115"/>
  <c r="C66" i="115"/>
  <c r="C65" i="115"/>
  <c r="C64" i="115"/>
  <c r="C63" i="115"/>
  <c r="C62" i="115"/>
  <c r="C61" i="115"/>
  <c r="C60" i="115"/>
  <c r="C59" i="115"/>
  <c r="C58" i="115"/>
  <c r="C57" i="115"/>
  <c r="C56" i="115"/>
  <c r="C55" i="115"/>
  <c r="C54" i="115"/>
  <c r="C53" i="115"/>
  <c r="C52" i="115"/>
  <c r="C51" i="115"/>
  <c r="C50" i="115"/>
  <c r="C49" i="115"/>
  <c r="C48" i="115"/>
  <c r="C47" i="115"/>
  <c r="C46" i="115"/>
  <c r="C45" i="115"/>
  <c r="C44" i="115"/>
  <c r="C43" i="115"/>
  <c r="C42" i="115"/>
  <c r="C41" i="115"/>
  <c r="C40" i="115"/>
  <c r="C39" i="115"/>
  <c r="C38" i="115"/>
  <c r="C37" i="115"/>
  <c r="C36" i="115"/>
  <c r="C35" i="115"/>
  <c r="C34" i="115"/>
  <c r="C33" i="115"/>
  <c r="C32" i="115"/>
  <c r="C31" i="115"/>
  <c r="C30" i="115"/>
  <c r="C29" i="115"/>
  <c r="C28" i="115"/>
  <c r="C27" i="115"/>
  <c r="C26" i="115"/>
  <c r="C25" i="115"/>
  <c r="C24" i="115"/>
  <c r="C23" i="115"/>
  <c r="C22" i="115"/>
  <c r="C21" i="115"/>
  <c r="C20" i="115"/>
  <c r="C19" i="115"/>
  <c r="C18" i="115"/>
  <c r="C17" i="115"/>
  <c r="C16" i="115"/>
  <c r="C15" i="115"/>
  <c r="C14" i="115"/>
  <c r="C13" i="115"/>
  <c r="C12" i="115"/>
  <c r="C11" i="115"/>
  <c r="C10" i="115"/>
  <c r="C9" i="115"/>
  <c r="C8" i="115"/>
  <c r="C7" i="115"/>
  <c r="C76" i="114"/>
  <c r="C75" i="114"/>
  <c r="C74" i="114"/>
  <c r="C73" i="114"/>
  <c r="C72" i="114"/>
  <c r="C71" i="114"/>
  <c r="C70" i="114"/>
  <c r="C69" i="114"/>
  <c r="C68" i="114"/>
  <c r="C67" i="114"/>
  <c r="C66" i="114"/>
  <c r="C65" i="114"/>
  <c r="C64" i="114"/>
  <c r="C63" i="114"/>
  <c r="C62" i="114"/>
  <c r="C61" i="114"/>
  <c r="C60" i="114"/>
  <c r="C59" i="114"/>
  <c r="C58" i="114"/>
  <c r="C57" i="114"/>
  <c r="C56" i="114"/>
  <c r="C55" i="114"/>
  <c r="C54" i="114"/>
  <c r="C53" i="114"/>
  <c r="C52" i="114"/>
  <c r="C51" i="114"/>
  <c r="C50" i="114"/>
  <c r="C49" i="114"/>
  <c r="C48" i="114"/>
  <c r="C47" i="114"/>
  <c r="C46" i="114"/>
  <c r="C45" i="114"/>
  <c r="C44" i="114"/>
  <c r="C43" i="114"/>
  <c r="C42" i="114"/>
  <c r="C41" i="114"/>
  <c r="C40" i="114"/>
  <c r="C39" i="114"/>
  <c r="C38" i="114"/>
  <c r="C37" i="114"/>
  <c r="C36" i="114"/>
  <c r="C35" i="114"/>
  <c r="C34" i="114"/>
  <c r="C33" i="114"/>
  <c r="C32" i="114"/>
  <c r="C31" i="114"/>
  <c r="C30" i="114"/>
  <c r="C29" i="114"/>
  <c r="C28" i="114"/>
  <c r="C27" i="114"/>
  <c r="C26" i="114"/>
  <c r="C25" i="114"/>
  <c r="C24" i="114"/>
  <c r="C23" i="114"/>
  <c r="C22" i="114"/>
  <c r="C21" i="114"/>
  <c r="C20" i="114"/>
  <c r="C19" i="114"/>
  <c r="C18" i="114"/>
  <c r="C17" i="114"/>
  <c r="C16" i="114"/>
  <c r="C15" i="114"/>
  <c r="C14" i="114"/>
  <c r="C13" i="114"/>
  <c r="C12" i="114"/>
  <c r="C11" i="114"/>
  <c r="C10" i="114"/>
  <c r="C9" i="114"/>
  <c r="C8" i="114"/>
  <c r="C7" i="114"/>
  <c r="C75" i="113"/>
  <c r="C74" i="113"/>
  <c r="C73" i="113"/>
  <c r="C72" i="113"/>
  <c r="C71" i="113"/>
  <c r="C70" i="113"/>
  <c r="C69" i="113"/>
  <c r="C68" i="113"/>
  <c r="C67" i="113"/>
  <c r="C66" i="113"/>
  <c r="C65" i="113"/>
  <c r="C64" i="113"/>
  <c r="C63" i="113"/>
  <c r="C62" i="113"/>
  <c r="C61" i="113"/>
  <c r="C60" i="113"/>
  <c r="C59" i="113"/>
  <c r="C58" i="113"/>
  <c r="C57" i="113"/>
  <c r="C56" i="113"/>
  <c r="C55" i="113"/>
  <c r="C54" i="113"/>
  <c r="C53" i="113"/>
  <c r="C52" i="113"/>
  <c r="C51" i="113"/>
  <c r="C50" i="113"/>
  <c r="C49" i="113"/>
  <c r="C48" i="113"/>
  <c r="C47" i="113"/>
  <c r="C46" i="113"/>
  <c r="C45" i="113"/>
  <c r="C44" i="113"/>
  <c r="C43" i="113"/>
  <c r="C42" i="113"/>
  <c r="C41" i="113"/>
  <c r="C40" i="113"/>
  <c r="C39" i="113"/>
  <c r="C38" i="113"/>
  <c r="C37" i="113"/>
  <c r="C36" i="113"/>
  <c r="C35" i="113"/>
  <c r="C34" i="113"/>
  <c r="C33" i="113"/>
  <c r="C32" i="113"/>
  <c r="C31" i="113"/>
  <c r="C30" i="113"/>
  <c r="C29" i="113"/>
  <c r="C28" i="113"/>
  <c r="C27" i="113"/>
  <c r="C26" i="113"/>
  <c r="C25" i="113"/>
  <c r="C24" i="113"/>
  <c r="C23" i="113"/>
  <c r="C22" i="113"/>
  <c r="C21" i="113"/>
  <c r="C20" i="113"/>
  <c r="C19" i="113"/>
  <c r="C18" i="113"/>
  <c r="C17" i="113"/>
  <c r="C16" i="113"/>
  <c r="C15" i="113"/>
  <c r="C14" i="113"/>
  <c r="C13" i="113"/>
  <c r="C12" i="113"/>
  <c r="C11" i="113"/>
  <c r="C10" i="113"/>
  <c r="C9" i="113"/>
  <c r="C8" i="113"/>
  <c r="C7" i="113"/>
  <c r="C14" i="46"/>
  <c r="C6" i="46"/>
  <c r="C10" i="46"/>
  <c r="C9" i="46"/>
  <c r="C11" i="46"/>
  <c r="C7" i="46"/>
  <c r="C12" i="46" l="1"/>
  <c r="C70" i="31" l="1"/>
  <c r="C69" i="31"/>
  <c r="C68" i="31"/>
  <c r="C67" i="31"/>
  <c r="C66" i="31"/>
  <c r="C65" i="31"/>
  <c r="C63" i="31"/>
  <c r="C62" i="31"/>
  <c r="C61" i="31"/>
  <c r="C60" i="31"/>
  <c r="C59" i="31"/>
  <c r="C58" i="31"/>
  <c r="C57" i="31"/>
  <c r="C56" i="31"/>
  <c r="C55" i="31"/>
  <c r="C54" i="31"/>
  <c r="C53" i="31"/>
  <c r="C52" i="31"/>
  <c r="C51" i="31"/>
  <c r="C50" i="31"/>
  <c r="C49" i="31"/>
  <c r="C48" i="31"/>
  <c r="C47" i="31"/>
  <c r="C46" i="31"/>
  <c r="C45" i="31"/>
  <c r="C44" i="31"/>
  <c r="C43" i="31"/>
  <c r="C42" i="31"/>
  <c r="C41" i="31"/>
  <c r="C40" i="31"/>
  <c r="C39" i="31"/>
  <c r="C38" i="31"/>
  <c r="C37" i="31"/>
  <c r="C36" i="31"/>
  <c r="C35" i="31"/>
  <c r="C34" i="31"/>
  <c r="C33" i="31"/>
  <c r="C32" i="31"/>
  <c r="C31" i="31"/>
  <c r="C30" i="31"/>
  <c r="C29" i="31"/>
  <c r="C28" i="31"/>
  <c r="C27" i="31"/>
  <c r="C26" i="31"/>
  <c r="C25" i="31"/>
  <c r="C24" i="31"/>
  <c r="C23" i="31"/>
  <c r="C22" i="31"/>
  <c r="C21" i="31"/>
  <c r="C20" i="31"/>
  <c r="C16" i="31"/>
  <c r="C15" i="31"/>
  <c r="C14" i="31"/>
  <c r="C13" i="31"/>
  <c r="C12" i="31"/>
  <c r="C71" i="31" l="1"/>
  <c r="C72" i="31"/>
  <c r="C6" i="31"/>
  <c r="AI74" i="162"/>
  <c r="C6" i="5" s="1"/>
  <c r="AH74" i="162"/>
  <c r="C5" i="5" s="1"/>
  <c r="AE74" i="162"/>
  <c r="C14" i="137" s="1"/>
  <c r="AD74" i="162"/>
  <c r="C13" i="137" s="1"/>
  <c r="AC74" i="162"/>
  <c r="C12" i="137" s="1"/>
  <c r="AB74" i="162"/>
  <c r="C11" i="137" s="1"/>
  <c r="AA74" i="162"/>
  <c r="C10" i="137" s="1"/>
  <c r="Z74" i="162"/>
  <c r="C7" i="137" s="1"/>
  <c r="Y74" i="162"/>
  <c r="C6" i="137" s="1"/>
  <c r="X74" i="162"/>
  <c r="C5" i="137" s="1"/>
  <c r="V74" i="162"/>
  <c r="U74" i="162"/>
  <c r="T74" i="162"/>
  <c r="S74" i="162"/>
  <c r="R74" i="162"/>
  <c r="Q74" i="162"/>
  <c r="P74" i="162"/>
  <c r="O74" i="162"/>
  <c r="N74" i="162"/>
  <c r="M74" i="162"/>
  <c r="L74" i="162"/>
  <c r="K74" i="162"/>
  <c r="J74" i="162"/>
  <c r="I74" i="162"/>
  <c r="H74" i="162"/>
  <c r="G74" i="162"/>
  <c r="F74" i="162"/>
  <c r="E74" i="162"/>
  <c r="D74" i="162"/>
  <c r="C74" i="162"/>
  <c r="W72" i="162"/>
  <c r="W71" i="162"/>
  <c r="W70" i="162"/>
  <c r="W69" i="162"/>
  <c r="W68" i="162"/>
  <c r="AJ68" i="162" s="1"/>
  <c r="W67" i="162"/>
  <c r="W66" i="162"/>
  <c r="W65" i="162"/>
  <c r="W64" i="162"/>
  <c r="W63" i="162"/>
  <c r="W62" i="162"/>
  <c r="W61" i="162"/>
  <c r="AJ61" i="162" s="1"/>
  <c r="W60" i="162"/>
  <c r="W59" i="162"/>
  <c r="W58" i="162"/>
  <c r="AJ58" i="162" s="1"/>
  <c r="W57" i="162"/>
  <c r="W56" i="162"/>
  <c r="W55" i="162"/>
  <c r="W54" i="162"/>
  <c r="W53" i="162"/>
  <c r="W52" i="162"/>
  <c r="W51" i="162"/>
  <c r="AJ51" i="162" s="1"/>
  <c r="W50" i="162"/>
  <c r="W49" i="162"/>
  <c r="W48" i="162"/>
  <c r="W47" i="162"/>
  <c r="W46" i="162"/>
  <c r="W45" i="162"/>
  <c r="W44" i="162"/>
  <c r="W43" i="162"/>
  <c r="W42" i="162"/>
  <c r="W41" i="162"/>
  <c r="W40" i="162"/>
  <c r="W39" i="162"/>
  <c r="W38" i="162"/>
  <c r="W37" i="162"/>
  <c r="W36" i="162"/>
  <c r="W35" i="162"/>
  <c r="W34" i="162"/>
  <c r="W33" i="162"/>
  <c r="W32" i="162"/>
  <c r="W31" i="162"/>
  <c r="W30" i="162"/>
  <c r="W29" i="162"/>
  <c r="W28" i="162"/>
  <c r="W27" i="162"/>
  <c r="W26" i="162"/>
  <c r="W25" i="162"/>
  <c r="W24" i="162"/>
  <c r="W23" i="162"/>
  <c r="W22" i="162"/>
  <c r="W21" i="162"/>
  <c r="W20" i="162"/>
  <c r="W19" i="162"/>
  <c r="W18" i="162"/>
  <c r="W17" i="162"/>
  <c r="W16" i="162"/>
  <c r="W15" i="162"/>
  <c r="W14" i="162"/>
  <c r="W13" i="162"/>
  <c r="W12" i="162"/>
  <c r="W11" i="162"/>
  <c r="W10" i="162"/>
  <c r="W9" i="162"/>
  <c r="W8" i="162"/>
  <c r="W7" i="162"/>
  <c r="W6" i="162"/>
  <c r="W5" i="162"/>
  <c r="W4" i="162"/>
  <c r="W3" i="162"/>
  <c r="AJ3" i="162" l="1"/>
  <c r="AJ7" i="162"/>
  <c r="AJ4" i="162"/>
  <c r="AJ6" i="162"/>
  <c r="AJ8" i="162"/>
  <c r="AJ10" i="162"/>
  <c r="AJ12" i="162"/>
  <c r="AJ14" i="162"/>
  <c r="AJ16" i="162"/>
  <c r="AJ18" i="162"/>
  <c r="AJ20" i="162"/>
  <c r="AJ22" i="162"/>
  <c r="AJ24" i="162"/>
  <c r="AJ26" i="162"/>
  <c r="AJ28" i="162"/>
  <c r="AJ30" i="162"/>
  <c r="AJ32" i="162"/>
  <c r="AJ34" i="162"/>
  <c r="AJ36" i="162"/>
  <c r="AJ38" i="162"/>
  <c r="AJ40" i="162"/>
  <c r="AJ42" i="162"/>
  <c r="AJ44" i="162"/>
  <c r="AJ46" i="162"/>
  <c r="AJ48" i="162"/>
  <c r="AJ50" i="162"/>
  <c r="AJ52" i="162"/>
  <c r="AJ54" i="162"/>
  <c r="AJ56" i="162"/>
  <c r="AJ60" i="162"/>
  <c r="AJ62" i="162"/>
  <c r="AJ64" i="162"/>
  <c r="AJ66" i="162"/>
  <c r="AJ70" i="162"/>
  <c r="AJ72" i="162"/>
  <c r="AJ5" i="162"/>
  <c r="AJ9" i="162"/>
  <c r="AJ11" i="162"/>
  <c r="AJ13" i="162"/>
  <c r="AJ15" i="162"/>
  <c r="AJ17" i="162"/>
  <c r="AJ19" i="162"/>
  <c r="AJ21" i="162"/>
  <c r="AJ23" i="162"/>
  <c r="AJ25" i="162"/>
  <c r="AJ27" i="162"/>
  <c r="AJ29" i="162"/>
  <c r="AJ31" i="162"/>
  <c r="AJ33" i="162"/>
  <c r="AJ35" i="162"/>
  <c r="AJ37" i="162"/>
  <c r="AJ39" i="162"/>
  <c r="AJ41" i="162"/>
  <c r="AJ43" i="162"/>
  <c r="AJ45" i="162"/>
  <c r="AJ47" i="162"/>
  <c r="AJ49" i="162"/>
  <c r="AJ53" i="162"/>
  <c r="AJ55" i="162"/>
  <c r="AJ57" i="162"/>
  <c r="AJ59" i="162"/>
  <c r="AJ63" i="162"/>
  <c r="AJ65" i="162"/>
  <c r="AJ67" i="162"/>
  <c r="AJ69" i="162"/>
  <c r="AJ71" i="162"/>
  <c r="D61" i="2"/>
  <c r="C59" i="1"/>
  <c r="D71" i="2"/>
  <c r="C5" i="1"/>
  <c r="C7" i="1"/>
  <c r="C9" i="1"/>
  <c r="C11" i="1"/>
  <c r="C13" i="1"/>
  <c r="C15" i="1"/>
  <c r="C17" i="1"/>
  <c r="C19" i="1"/>
  <c r="C21" i="1"/>
  <c r="C23" i="1"/>
  <c r="C25" i="1"/>
  <c r="C27" i="1"/>
  <c r="C29" i="1"/>
  <c r="C31" i="1"/>
  <c r="C33" i="1"/>
  <c r="C35" i="1"/>
  <c r="C37" i="1"/>
  <c r="C39" i="1"/>
  <c r="C41" i="1"/>
  <c r="C43" i="1"/>
  <c r="C45" i="1"/>
  <c r="C47" i="1"/>
  <c r="C49" i="1"/>
  <c r="C51" i="1"/>
  <c r="C53" i="1"/>
  <c r="C55" i="1"/>
  <c r="C57" i="1"/>
  <c r="C60" i="1"/>
  <c r="C63" i="1"/>
  <c r="C65" i="1"/>
  <c r="C67" i="1"/>
  <c r="C70" i="1"/>
  <c r="C72" i="1"/>
  <c r="D7" i="2"/>
  <c r="D9" i="2"/>
  <c r="D11" i="2"/>
  <c r="D13" i="2"/>
  <c r="D15" i="2"/>
  <c r="D17" i="2"/>
  <c r="D19" i="2"/>
  <c r="D21" i="2"/>
  <c r="D24" i="2"/>
  <c r="D26" i="2"/>
  <c r="D28" i="2"/>
  <c r="D30" i="2"/>
  <c r="D32" i="2"/>
  <c r="D34" i="2"/>
  <c r="D36" i="2"/>
  <c r="D38" i="2"/>
  <c r="D40" i="2"/>
  <c r="D43" i="2"/>
  <c r="D46" i="2"/>
  <c r="D48" i="2"/>
  <c r="D50" i="2"/>
  <c r="D52" i="2"/>
  <c r="D54" i="2"/>
  <c r="D56" i="2"/>
  <c r="D58" i="2"/>
  <c r="D60" i="2"/>
  <c r="D63" i="2"/>
  <c r="D66" i="2"/>
  <c r="D68" i="2"/>
  <c r="D70" i="2"/>
  <c r="D73" i="2"/>
  <c r="C62" i="1"/>
  <c r="C4" i="1"/>
  <c r="C6" i="1"/>
  <c r="C8" i="1"/>
  <c r="C10" i="1"/>
  <c r="C12" i="1"/>
  <c r="C14" i="1"/>
  <c r="C16" i="1"/>
  <c r="C18" i="1"/>
  <c r="C20" i="1"/>
  <c r="C22" i="1"/>
  <c r="C24" i="1"/>
  <c r="C26" i="1"/>
  <c r="C28" i="1"/>
  <c r="C30" i="1"/>
  <c r="C32" i="1"/>
  <c r="C34" i="1"/>
  <c r="C36" i="1"/>
  <c r="C38" i="1"/>
  <c r="C40" i="1"/>
  <c r="C42" i="1"/>
  <c r="C44" i="1"/>
  <c r="C46" i="1"/>
  <c r="C48" i="1"/>
  <c r="C50" i="1"/>
  <c r="C52" i="1"/>
  <c r="C54" i="1"/>
  <c r="C56" i="1"/>
  <c r="C58" i="1"/>
  <c r="C61" i="1"/>
  <c r="C64" i="1"/>
  <c r="C66" i="1"/>
  <c r="C68" i="1"/>
  <c r="C71" i="1"/>
  <c r="D6" i="2"/>
  <c r="D8" i="2"/>
  <c r="D10" i="2"/>
  <c r="D12" i="2"/>
  <c r="D14" i="2"/>
  <c r="D16" i="2"/>
  <c r="D18" i="2"/>
  <c r="D20" i="2"/>
  <c r="D23" i="2"/>
  <c r="D25" i="2"/>
  <c r="D27" i="2"/>
  <c r="D29" i="2"/>
  <c r="D31" i="2"/>
  <c r="D33" i="2"/>
  <c r="D35" i="2"/>
  <c r="D37" i="2"/>
  <c r="D39" i="2"/>
  <c r="D42" i="2"/>
  <c r="D45" i="2"/>
  <c r="D47" i="2"/>
  <c r="D49" i="2"/>
  <c r="D51" i="2"/>
  <c r="D53" i="2"/>
  <c r="D55" i="2"/>
  <c r="D57" i="2"/>
  <c r="D59" i="2"/>
  <c r="D62" i="2"/>
  <c r="D65" i="2"/>
  <c r="D67" i="2"/>
  <c r="D69" i="2"/>
  <c r="D72" i="2"/>
  <c r="D74" i="2"/>
  <c r="W74" i="162"/>
  <c r="C69" i="1"/>
  <c r="D64" i="2"/>
  <c r="AJ74" i="162" l="1"/>
  <c r="O55" i="119"/>
  <c r="AD16" i="31" l="1"/>
  <c r="AD8" i="31"/>
  <c r="AB16" i="31" l="1"/>
  <c r="D2" i="100" l="1"/>
  <c r="E2" i="100" s="1"/>
  <c r="F2" i="100" s="1"/>
  <c r="G2" i="100" s="1"/>
  <c r="H2" i="100" s="1"/>
  <c r="I2" i="100" s="1"/>
  <c r="J2" i="100" s="1"/>
  <c r="K2" i="100" s="1"/>
  <c r="L2" i="100" s="1"/>
  <c r="M2" i="100" s="1"/>
  <c r="N2" i="100" s="1"/>
  <c r="O2" i="100" s="1"/>
  <c r="P2" i="100" s="1"/>
  <c r="Q2" i="100" s="1"/>
  <c r="R2" i="100" s="1"/>
  <c r="S2" i="100" s="1"/>
  <c r="T2" i="100" s="1"/>
  <c r="U2" i="100" s="1"/>
  <c r="V2" i="100" s="1"/>
  <c r="W2" i="100" s="1"/>
  <c r="X2" i="100" s="1"/>
  <c r="Y2" i="100" s="1"/>
  <c r="Z2" i="100" s="1"/>
  <c r="AA2" i="100" s="1"/>
  <c r="AB2" i="100" s="1"/>
  <c r="AC2" i="100" s="1"/>
  <c r="AD2" i="100" s="1"/>
  <c r="AE2" i="100" s="1"/>
  <c r="AF2" i="100" s="1"/>
  <c r="AG2" i="100" s="1"/>
  <c r="AB8" i="31" l="1"/>
  <c r="F64" i="31"/>
  <c r="G64" i="31" s="1"/>
  <c r="K64" i="31"/>
  <c r="E54" i="139" l="1"/>
  <c r="F95" i="139"/>
  <c r="E95" i="139" s="1"/>
  <c r="F100" i="139"/>
  <c r="G100" i="139" s="1"/>
  <c r="F99" i="139"/>
  <c r="G99" i="139" s="1"/>
  <c r="F96" i="139"/>
  <c r="F12" i="139"/>
  <c r="J12" i="139"/>
  <c r="J17" i="139"/>
  <c r="G95" i="139" l="1"/>
  <c r="E96" i="139"/>
  <c r="G96" i="139" s="1"/>
  <c r="L12" i="139"/>
  <c r="G12" i="139"/>
  <c r="E46" i="139" l="1"/>
  <c r="G51" i="139"/>
  <c r="G52" i="139"/>
  <c r="G67" i="139" l="1"/>
  <c r="G68" i="139"/>
  <c r="G64" i="139"/>
  <c r="K72" i="1" l="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K6" i="1"/>
  <c r="K5" i="1"/>
  <c r="K4" i="1"/>
  <c r="I4" i="1"/>
  <c r="J71" i="139" l="1"/>
  <c r="J70" i="139"/>
  <c r="J69" i="139"/>
  <c r="J68" i="139"/>
  <c r="J67" i="139"/>
  <c r="J66" i="139"/>
  <c r="J65" i="139"/>
  <c r="J64" i="139"/>
  <c r="J63" i="139"/>
  <c r="J62" i="139"/>
  <c r="J61" i="139"/>
  <c r="J60" i="139"/>
  <c r="J59" i="139"/>
  <c r="J58" i="139"/>
  <c r="J57" i="139"/>
  <c r="J56" i="139"/>
  <c r="J55" i="139"/>
  <c r="J54" i="139"/>
  <c r="J53" i="139"/>
  <c r="J49" i="139"/>
  <c r="J50" i="139"/>
  <c r="J48" i="139"/>
  <c r="J47" i="139"/>
  <c r="J46" i="139"/>
  <c r="J45" i="139"/>
  <c r="J44" i="139"/>
  <c r="J43" i="139"/>
  <c r="J42" i="139"/>
  <c r="J41" i="139"/>
  <c r="J40" i="139"/>
  <c r="J39" i="139"/>
  <c r="J38" i="139"/>
  <c r="J37" i="139"/>
  <c r="J36" i="139"/>
  <c r="J35" i="139"/>
  <c r="J34" i="139"/>
  <c r="J33" i="139"/>
  <c r="J32" i="139"/>
  <c r="J31" i="139"/>
  <c r="J30" i="139"/>
  <c r="J29" i="139"/>
  <c r="J28" i="139"/>
  <c r="J27" i="139"/>
  <c r="J26" i="139"/>
  <c r="J25" i="139"/>
  <c r="J24" i="139"/>
  <c r="J23" i="139"/>
  <c r="J22" i="139"/>
  <c r="J21" i="139"/>
  <c r="J20" i="139"/>
  <c r="J19" i="139"/>
  <c r="J18" i="139"/>
  <c r="J16" i="139"/>
  <c r="J15" i="139"/>
  <c r="J14" i="139"/>
  <c r="J13" i="139"/>
  <c r="J11" i="139"/>
  <c r="J10" i="139"/>
  <c r="J9" i="139"/>
  <c r="L68" i="139" l="1"/>
  <c r="L67" i="139"/>
  <c r="L66" i="139"/>
  <c r="L64" i="139"/>
  <c r="L60" i="139"/>
  <c r="L25" i="139"/>
  <c r="L24" i="139"/>
  <c r="C76" i="129" l="1"/>
  <c r="C82" i="129" s="1"/>
  <c r="C76" i="131"/>
  <c r="C82" i="131" s="1"/>
  <c r="C76" i="126"/>
  <c r="C82" i="126" s="1"/>
  <c r="X77" i="67" l="1"/>
  <c r="E41" i="139"/>
  <c r="R81" i="116" l="1"/>
  <c r="S81" i="116" s="1"/>
  <c r="AK81" i="116" s="1"/>
  <c r="AJ81" i="116"/>
  <c r="J69" i="13"/>
  <c r="P81" i="140" l="1"/>
  <c r="Q81" i="140" s="1"/>
  <c r="P81" i="141"/>
  <c r="Q81" i="141" s="1"/>
  <c r="AJ81" i="115"/>
  <c r="R81" i="115"/>
  <c r="S81" i="115" s="1"/>
  <c r="AK81" i="115" s="1"/>
  <c r="AJ81" i="113"/>
  <c r="R81" i="113"/>
  <c r="S81" i="113" s="1"/>
  <c r="AK81" i="113" s="1"/>
  <c r="X80" i="67"/>
  <c r="K80" i="67"/>
  <c r="L80" i="67" s="1"/>
  <c r="Y80" i="67" s="1"/>
  <c r="AJ82" i="114"/>
  <c r="R82" i="114"/>
  <c r="S82" i="114" s="1"/>
  <c r="AK82" i="114" s="1"/>
  <c r="AH76" i="33"/>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H74" i="2" l="1"/>
  <c r="H73"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9" i="2"/>
  <c r="H28" i="2"/>
  <c r="H27" i="2"/>
  <c r="H26" i="2"/>
  <c r="H25" i="2"/>
  <c r="H24" i="2"/>
  <c r="H23" i="2"/>
  <c r="H22" i="2"/>
  <c r="H21" i="2"/>
  <c r="H20" i="2"/>
  <c r="H19" i="2"/>
  <c r="H18" i="2"/>
  <c r="H17" i="2"/>
  <c r="H16" i="2"/>
  <c r="H15" i="2"/>
  <c r="H14" i="2"/>
  <c r="H13" i="2"/>
  <c r="H12" i="2"/>
  <c r="H11" i="2"/>
  <c r="H10" i="2"/>
  <c r="H9" i="2"/>
  <c r="H8" i="2"/>
  <c r="H7" i="2"/>
  <c r="H6" i="2"/>
  <c r="AG76" i="153" l="1"/>
  <c r="AG82" i="153" s="1"/>
  <c r="AE76" i="153"/>
  <c r="AE82" i="153" s="1"/>
  <c r="Y76" i="153"/>
  <c r="Y82" i="153" s="1"/>
  <c r="W76" i="153"/>
  <c r="W82" i="153" s="1"/>
  <c r="O76" i="153"/>
  <c r="O82" i="153" s="1"/>
  <c r="J76" i="153"/>
  <c r="J82" i="153" s="1"/>
  <c r="I76" i="153"/>
  <c r="I82" i="153" s="1"/>
  <c r="C76" i="153"/>
  <c r="C82" i="153" s="1"/>
  <c r="K75" i="153"/>
  <c r="K74" i="153"/>
  <c r="K73" i="153"/>
  <c r="K72" i="153"/>
  <c r="K71" i="153"/>
  <c r="K70" i="153"/>
  <c r="K69" i="153"/>
  <c r="K68" i="153"/>
  <c r="K67" i="153"/>
  <c r="K66" i="153"/>
  <c r="K65" i="153"/>
  <c r="K64" i="153"/>
  <c r="K63" i="153"/>
  <c r="K62" i="153"/>
  <c r="K61" i="153"/>
  <c r="K60" i="153"/>
  <c r="K59" i="153"/>
  <c r="K58" i="153"/>
  <c r="K57" i="153"/>
  <c r="K56" i="153"/>
  <c r="K55" i="153"/>
  <c r="K54" i="153"/>
  <c r="K53" i="153"/>
  <c r="K52" i="153"/>
  <c r="K51" i="153"/>
  <c r="K50" i="153"/>
  <c r="K49" i="153"/>
  <c r="K48" i="153"/>
  <c r="K47" i="153"/>
  <c r="K46" i="153"/>
  <c r="K45" i="153"/>
  <c r="K44" i="153"/>
  <c r="K43" i="153"/>
  <c r="K42" i="153"/>
  <c r="K41" i="153"/>
  <c r="K40" i="153"/>
  <c r="K39" i="153"/>
  <c r="K38" i="153"/>
  <c r="K37" i="153"/>
  <c r="K36" i="153"/>
  <c r="K35" i="153"/>
  <c r="K34" i="153"/>
  <c r="K33" i="153"/>
  <c r="K32" i="153"/>
  <c r="K31" i="153"/>
  <c r="K30" i="153"/>
  <c r="K29" i="153"/>
  <c r="K28" i="153"/>
  <c r="K27" i="153"/>
  <c r="K26" i="153"/>
  <c r="K25" i="153"/>
  <c r="K24" i="153"/>
  <c r="K23" i="153"/>
  <c r="K22" i="153"/>
  <c r="K21" i="153"/>
  <c r="K20" i="153"/>
  <c r="K19" i="153"/>
  <c r="K18" i="153"/>
  <c r="K17" i="153"/>
  <c r="K16" i="153"/>
  <c r="K15" i="153"/>
  <c r="K14" i="153"/>
  <c r="K13" i="153"/>
  <c r="K12" i="153"/>
  <c r="K11" i="153"/>
  <c r="K10" i="153"/>
  <c r="K9" i="153"/>
  <c r="K8" i="153"/>
  <c r="K7" i="153"/>
  <c r="K76" i="153" s="1"/>
  <c r="K82" i="153" s="1"/>
  <c r="D5" i="153"/>
  <c r="E5" i="153" s="1"/>
  <c r="F5" i="153" s="1"/>
  <c r="G5" i="153" s="1"/>
  <c r="H5" i="153" s="1"/>
  <c r="I5" i="153" s="1"/>
  <c r="J5" i="153" s="1"/>
  <c r="K5" i="153" s="1"/>
  <c r="L5" i="153" s="1"/>
  <c r="M5" i="153" s="1"/>
  <c r="N5" i="153" s="1"/>
  <c r="O5" i="153" s="1"/>
  <c r="P5" i="153" s="1"/>
  <c r="Q5" i="153" s="1"/>
  <c r="R5" i="153" s="1"/>
  <c r="S5" i="153" s="1"/>
  <c r="AG76" i="152"/>
  <c r="AG82" i="152" s="1"/>
  <c r="AE76" i="152"/>
  <c r="AE82" i="152" s="1"/>
  <c r="Y76" i="152"/>
  <c r="Y82" i="152" s="1"/>
  <c r="W76" i="152"/>
  <c r="W82" i="152" s="1"/>
  <c r="O76" i="152"/>
  <c r="O82" i="152" s="1"/>
  <c r="J76" i="152"/>
  <c r="J82" i="152" s="1"/>
  <c r="I76" i="152"/>
  <c r="I82" i="152" s="1"/>
  <c r="C76" i="152"/>
  <c r="C82" i="152" s="1"/>
  <c r="K75" i="152"/>
  <c r="K74" i="152"/>
  <c r="K73" i="152"/>
  <c r="K72" i="152"/>
  <c r="K71" i="152"/>
  <c r="K70" i="152"/>
  <c r="K69" i="152"/>
  <c r="K68" i="152"/>
  <c r="K67" i="152"/>
  <c r="K66" i="152"/>
  <c r="K65" i="152"/>
  <c r="K64" i="152"/>
  <c r="K63" i="152"/>
  <c r="K62" i="152"/>
  <c r="K61" i="152"/>
  <c r="K60" i="152"/>
  <c r="K59" i="152"/>
  <c r="K58" i="152"/>
  <c r="K57" i="152"/>
  <c r="K56" i="152"/>
  <c r="K55" i="152"/>
  <c r="K54" i="152"/>
  <c r="K53" i="152"/>
  <c r="K52" i="152"/>
  <c r="K51" i="152"/>
  <c r="K50" i="152"/>
  <c r="K49" i="152"/>
  <c r="K48" i="152"/>
  <c r="K47" i="152"/>
  <c r="K46" i="152"/>
  <c r="K45" i="152"/>
  <c r="K44" i="152"/>
  <c r="K43" i="152"/>
  <c r="K42" i="152"/>
  <c r="K41" i="152"/>
  <c r="K40" i="152"/>
  <c r="K39" i="152"/>
  <c r="K38" i="152"/>
  <c r="K37" i="152"/>
  <c r="K36" i="152"/>
  <c r="K35" i="152"/>
  <c r="K34" i="152"/>
  <c r="K33" i="152"/>
  <c r="K32" i="152"/>
  <c r="K31" i="152"/>
  <c r="K30" i="152"/>
  <c r="K29" i="152"/>
  <c r="K28" i="152"/>
  <c r="K27" i="152"/>
  <c r="K26" i="152"/>
  <c r="K25" i="152"/>
  <c r="K24" i="152"/>
  <c r="K23" i="152"/>
  <c r="K22" i="152"/>
  <c r="K21" i="152"/>
  <c r="K20" i="152"/>
  <c r="K19" i="152"/>
  <c r="K18" i="152"/>
  <c r="K17" i="152"/>
  <c r="K16" i="152"/>
  <c r="K15" i="152"/>
  <c r="K14" i="152"/>
  <c r="K13" i="152"/>
  <c r="K12" i="152"/>
  <c r="K11" i="152"/>
  <c r="K10" i="152"/>
  <c r="K9" i="152"/>
  <c r="K8" i="152"/>
  <c r="K7" i="152"/>
  <c r="D5" i="152"/>
  <c r="E5" i="152" s="1"/>
  <c r="F5" i="152" s="1"/>
  <c r="G5" i="152" s="1"/>
  <c r="H5" i="152" s="1"/>
  <c r="I5" i="152" s="1"/>
  <c r="J5" i="152" s="1"/>
  <c r="K5" i="152" s="1"/>
  <c r="L5" i="152" s="1"/>
  <c r="M5" i="152" s="1"/>
  <c r="N5" i="152" s="1"/>
  <c r="O5" i="152" s="1"/>
  <c r="P5" i="152" s="1"/>
  <c r="Q5" i="152" s="1"/>
  <c r="R5" i="152" s="1"/>
  <c r="S5" i="152" s="1"/>
  <c r="AG76" i="151"/>
  <c r="AG82" i="151" s="1"/>
  <c r="AE76" i="151"/>
  <c r="AE82" i="151" s="1"/>
  <c r="Y76" i="151"/>
  <c r="Y82" i="151" s="1"/>
  <c r="W76" i="151"/>
  <c r="W82" i="151" s="1"/>
  <c r="O76" i="151"/>
  <c r="O82" i="151" s="1"/>
  <c r="J76" i="151"/>
  <c r="J82" i="151" s="1"/>
  <c r="I76" i="151"/>
  <c r="I82" i="151" s="1"/>
  <c r="C76" i="151"/>
  <c r="C82" i="151" s="1"/>
  <c r="K75" i="151"/>
  <c r="K74" i="151"/>
  <c r="K73" i="151"/>
  <c r="K72" i="151"/>
  <c r="K71" i="151"/>
  <c r="K70" i="151"/>
  <c r="K69" i="151"/>
  <c r="K68" i="151"/>
  <c r="K67" i="151"/>
  <c r="K66" i="151"/>
  <c r="K65" i="151"/>
  <c r="K64" i="151"/>
  <c r="K63" i="151"/>
  <c r="K62" i="151"/>
  <c r="K61" i="151"/>
  <c r="K60" i="151"/>
  <c r="K59" i="151"/>
  <c r="K58" i="151"/>
  <c r="K57" i="151"/>
  <c r="K56" i="151"/>
  <c r="K55" i="151"/>
  <c r="K54" i="151"/>
  <c r="K53" i="151"/>
  <c r="K52" i="151"/>
  <c r="K51" i="151"/>
  <c r="K50" i="151"/>
  <c r="K49" i="151"/>
  <c r="K48" i="151"/>
  <c r="K47" i="151"/>
  <c r="K46" i="151"/>
  <c r="K45" i="151"/>
  <c r="K44" i="151"/>
  <c r="K43" i="151"/>
  <c r="K42" i="151"/>
  <c r="K41" i="151"/>
  <c r="K40" i="151"/>
  <c r="K39" i="151"/>
  <c r="K38" i="151"/>
  <c r="K37" i="151"/>
  <c r="K36" i="151"/>
  <c r="K35" i="151"/>
  <c r="K34" i="151"/>
  <c r="K33" i="151"/>
  <c r="K32" i="151"/>
  <c r="K31" i="151"/>
  <c r="K30" i="151"/>
  <c r="K29" i="151"/>
  <c r="K28" i="151"/>
  <c r="K27" i="151"/>
  <c r="K26" i="151"/>
  <c r="K25" i="151"/>
  <c r="K24" i="151"/>
  <c r="K23" i="151"/>
  <c r="K22" i="151"/>
  <c r="K21" i="151"/>
  <c r="K20" i="151"/>
  <c r="K19" i="151"/>
  <c r="K18" i="151"/>
  <c r="K17" i="151"/>
  <c r="K16" i="151"/>
  <c r="K15" i="151"/>
  <c r="K14" i="151"/>
  <c r="K13" i="151"/>
  <c r="K12" i="151"/>
  <c r="K11" i="151"/>
  <c r="K10" i="151"/>
  <c r="K9" i="151"/>
  <c r="K8" i="151"/>
  <c r="K7" i="151"/>
  <c r="K76" i="151" s="1"/>
  <c r="K82" i="151" s="1"/>
  <c r="D5" i="151"/>
  <c r="E5" i="151" s="1"/>
  <c r="F5" i="151" s="1"/>
  <c r="G5" i="151" s="1"/>
  <c r="H5" i="151" s="1"/>
  <c r="I5" i="151" s="1"/>
  <c r="J5" i="151" s="1"/>
  <c r="K5" i="151" s="1"/>
  <c r="L5" i="151" s="1"/>
  <c r="M5" i="151" s="1"/>
  <c r="N5" i="151" s="1"/>
  <c r="O5" i="151" s="1"/>
  <c r="P5" i="151" s="1"/>
  <c r="Q5" i="151" s="1"/>
  <c r="R5" i="151" s="1"/>
  <c r="S5" i="151" s="1"/>
  <c r="AG76" i="149"/>
  <c r="AG82" i="149" s="1"/>
  <c r="AE76" i="149"/>
  <c r="AE82" i="149" s="1"/>
  <c r="Y76" i="149"/>
  <c r="Y82" i="149" s="1"/>
  <c r="W76" i="149"/>
  <c r="W82" i="149" s="1"/>
  <c r="O76" i="149"/>
  <c r="O82" i="149" s="1"/>
  <c r="J76" i="149"/>
  <c r="J82" i="149" s="1"/>
  <c r="I76" i="149"/>
  <c r="I82" i="149" s="1"/>
  <c r="C76" i="149"/>
  <c r="C82" i="149" s="1"/>
  <c r="K75" i="149"/>
  <c r="K74" i="149"/>
  <c r="K73" i="149"/>
  <c r="K72" i="149"/>
  <c r="K71" i="149"/>
  <c r="K70" i="149"/>
  <c r="K69" i="149"/>
  <c r="K68" i="149"/>
  <c r="K67" i="149"/>
  <c r="K66" i="149"/>
  <c r="K65" i="149"/>
  <c r="K64" i="149"/>
  <c r="K63" i="149"/>
  <c r="K62" i="149"/>
  <c r="K61" i="149"/>
  <c r="K60" i="149"/>
  <c r="K59" i="149"/>
  <c r="K58" i="149"/>
  <c r="K57" i="149"/>
  <c r="K56" i="149"/>
  <c r="K55" i="149"/>
  <c r="K54" i="149"/>
  <c r="K53" i="149"/>
  <c r="K52" i="149"/>
  <c r="K51" i="149"/>
  <c r="K50" i="149"/>
  <c r="K49" i="149"/>
  <c r="K48" i="149"/>
  <c r="K47" i="149"/>
  <c r="K46" i="149"/>
  <c r="K45" i="149"/>
  <c r="K44" i="149"/>
  <c r="K43" i="149"/>
  <c r="K42" i="149"/>
  <c r="K41" i="149"/>
  <c r="K40" i="149"/>
  <c r="K39" i="149"/>
  <c r="K38" i="149"/>
  <c r="K37" i="149"/>
  <c r="K36" i="149"/>
  <c r="K35" i="149"/>
  <c r="K34" i="149"/>
  <c r="K33" i="149"/>
  <c r="K32" i="149"/>
  <c r="K31" i="149"/>
  <c r="K30" i="149"/>
  <c r="K29" i="149"/>
  <c r="K28" i="149"/>
  <c r="K27" i="149"/>
  <c r="K26" i="149"/>
  <c r="K25" i="149"/>
  <c r="K24" i="149"/>
  <c r="K23" i="149"/>
  <c r="K22" i="149"/>
  <c r="K21" i="149"/>
  <c r="K20" i="149"/>
  <c r="K19" i="149"/>
  <c r="K18" i="149"/>
  <c r="K17" i="149"/>
  <c r="K16" i="149"/>
  <c r="K15" i="149"/>
  <c r="K14" i="149"/>
  <c r="K13" i="149"/>
  <c r="K12" i="149"/>
  <c r="K11" i="149"/>
  <c r="K10" i="149"/>
  <c r="K9" i="149"/>
  <c r="K8" i="149"/>
  <c r="K7" i="149"/>
  <c r="K76" i="149" s="1"/>
  <c r="K82" i="149" s="1"/>
  <c r="D5" i="149"/>
  <c r="E5" i="149" s="1"/>
  <c r="F5" i="149" s="1"/>
  <c r="G5" i="149" s="1"/>
  <c r="H5" i="149" s="1"/>
  <c r="I5" i="149" s="1"/>
  <c r="J5" i="149" s="1"/>
  <c r="K5" i="149" s="1"/>
  <c r="L5" i="149" s="1"/>
  <c r="M5" i="149" s="1"/>
  <c r="N5" i="149" s="1"/>
  <c r="O5" i="149" s="1"/>
  <c r="P5" i="149" s="1"/>
  <c r="Q5" i="149" s="1"/>
  <c r="R5" i="149" s="1"/>
  <c r="S5" i="149" s="1"/>
  <c r="AG76" i="148"/>
  <c r="AG82" i="148" s="1"/>
  <c r="AE76" i="148"/>
  <c r="AE82" i="148" s="1"/>
  <c r="Y76" i="148"/>
  <c r="Y82" i="148" s="1"/>
  <c r="W76" i="148"/>
  <c r="W82" i="148" s="1"/>
  <c r="O76" i="148"/>
  <c r="O82" i="148" s="1"/>
  <c r="J76" i="148"/>
  <c r="J82" i="148" s="1"/>
  <c r="I76" i="148"/>
  <c r="I82" i="148" s="1"/>
  <c r="C76" i="148"/>
  <c r="C82" i="148" s="1"/>
  <c r="K75" i="148"/>
  <c r="K74" i="148"/>
  <c r="K73" i="148"/>
  <c r="K72" i="148"/>
  <c r="K71" i="148"/>
  <c r="K70" i="148"/>
  <c r="K69" i="148"/>
  <c r="K68" i="148"/>
  <c r="K67" i="148"/>
  <c r="K66" i="148"/>
  <c r="K65" i="148"/>
  <c r="K64" i="148"/>
  <c r="K63" i="148"/>
  <c r="K62" i="148"/>
  <c r="K61" i="148"/>
  <c r="K60" i="148"/>
  <c r="K59" i="148"/>
  <c r="K58" i="148"/>
  <c r="K57" i="148"/>
  <c r="K56" i="148"/>
  <c r="K55" i="148"/>
  <c r="K54" i="148"/>
  <c r="K53" i="148"/>
  <c r="K52" i="148"/>
  <c r="K51" i="148"/>
  <c r="K50" i="148"/>
  <c r="K49" i="148"/>
  <c r="K48" i="148"/>
  <c r="K47" i="148"/>
  <c r="K46" i="148"/>
  <c r="K45" i="148"/>
  <c r="K44" i="148"/>
  <c r="K43" i="148"/>
  <c r="K42" i="148"/>
  <c r="K41" i="148"/>
  <c r="K40" i="148"/>
  <c r="K39" i="148"/>
  <c r="K38" i="148"/>
  <c r="K37" i="148"/>
  <c r="K36" i="148"/>
  <c r="K35" i="148"/>
  <c r="K34" i="148"/>
  <c r="K33" i="148"/>
  <c r="K32" i="148"/>
  <c r="K31" i="148"/>
  <c r="K30" i="148"/>
  <c r="K29" i="148"/>
  <c r="K28" i="148"/>
  <c r="K27" i="148"/>
  <c r="K26" i="148"/>
  <c r="K25" i="148"/>
  <c r="K24" i="148"/>
  <c r="K23" i="148"/>
  <c r="K22" i="148"/>
  <c r="K21" i="148"/>
  <c r="K20" i="148"/>
  <c r="K19" i="148"/>
  <c r="K18" i="148"/>
  <c r="K17" i="148"/>
  <c r="K16" i="148"/>
  <c r="K15" i="148"/>
  <c r="K14" i="148"/>
  <c r="K13" i="148"/>
  <c r="K12" i="148"/>
  <c r="K11" i="148"/>
  <c r="K10" i="148"/>
  <c r="K9" i="148"/>
  <c r="K8" i="148"/>
  <c r="K7" i="148"/>
  <c r="K76" i="148" s="1"/>
  <c r="K82" i="148" s="1"/>
  <c r="D5" i="148"/>
  <c r="E5" i="148" s="1"/>
  <c r="F5" i="148" s="1"/>
  <c r="G5" i="148" s="1"/>
  <c r="H5" i="148" s="1"/>
  <c r="I5" i="148" s="1"/>
  <c r="J5" i="148" s="1"/>
  <c r="K5" i="148" s="1"/>
  <c r="L5" i="148" s="1"/>
  <c r="M5" i="148" s="1"/>
  <c r="N5" i="148" s="1"/>
  <c r="O5" i="148" s="1"/>
  <c r="P5" i="148" s="1"/>
  <c r="Q5" i="148" s="1"/>
  <c r="R5" i="148" s="1"/>
  <c r="S5" i="148" s="1"/>
  <c r="AG76" i="147"/>
  <c r="AG82" i="147" s="1"/>
  <c r="AE76" i="147"/>
  <c r="AE82" i="147" s="1"/>
  <c r="Y76" i="147"/>
  <c r="Y82" i="147" s="1"/>
  <c r="W76" i="147"/>
  <c r="W82" i="147" s="1"/>
  <c r="O76" i="147"/>
  <c r="O82" i="147" s="1"/>
  <c r="J76" i="147"/>
  <c r="J82" i="147" s="1"/>
  <c r="I76" i="147"/>
  <c r="I82" i="147" s="1"/>
  <c r="C76" i="147"/>
  <c r="C82" i="147" s="1"/>
  <c r="K75" i="147"/>
  <c r="K74" i="147"/>
  <c r="K73" i="147"/>
  <c r="K72" i="147"/>
  <c r="K71" i="147"/>
  <c r="K70" i="147"/>
  <c r="K69" i="147"/>
  <c r="K68" i="147"/>
  <c r="K67" i="147"/>
  <c r="K66" i="147"/>
  <c r="K65" i="147"/>
  <c r="K64" i="147"/>
  <c r="K63" i="147"/>
  <c r="K62" i="147"/>
  <c r="K61" i="147"/>
  <c r="K60" i="147"/>
  <c r="K59" i="147"/>
  <c r="K58" i="147"/>
  <c r="K57" i="147"/>
  <c r="K56" i="147"/>
  <c r="K55" i="147"/>
  <c r="K54" i="147"/>
  <c r="K53" i="147"/>
  <c r="K52" i="147"/>
  <c r="K51" i="147"/>
  <c r="K50" i="147"/>
  <c r="K49" i="147"/>
  <c r="K48" i="147"/>
  <c r="K47" i="147"/>
  <c r="K46" i="147"/>
  <c r="K45" i="147"/>
  <c r="K44" i="147"/>
  <c r="K43" i="147"/>
  <c r="K42" i="147"/>
  <c r="K41" i="147"/>
  <c r="K40" i="147"/>
  <c r="K39" i="147"/>
  <c r="K38" i="147"/>
  <c r="K37" i="147"/>
  <c r="K36" i="147"/>
  <c r="K35" i="147"/>
  <c r="K34" i="147"/>
  <c r="K33" i="147"/>
  <c r="K32" i="147"/>
  <c r="K31" i="147"/>
  <c r="K30" i="147"/>
  <c r="K29" i="147"/>
  <c r="K28" i="147"/>
  <c r="K27" i="147"/>
  <c r="K26" i="147"/>
  <c r="K25" i="147"/>
  <c r="K24" i="147"/>
  <c r="K23" i="147"/>
  <c r="K22" i="147"/>
  <c r="K21" i="147"/>
  <c r="K20" i="147"/>
  <c r="K19" i="147"/>
  <c r="K18" i="147"/>
  <c r="K17" i="147"/>
  <c r="K16" i="147"/>
  <c r="K15" i="147"/>
  <c r="K14" i="147"/>
  <c r="K13" i="147"/>
  <c r="K12" i="147"/>
  <c r="K11" i="147"/>
  <c r="K10" i="147"/>
  <c r="K9" i="147"/>
  <c r="K8" i="147"/>
  <c r="K7" i="147"/>
  <c r="D5" i="147"/>
  <c r="E5" i="147" s="1"/>
  <c r="F5" i="147" s="1"/>
  <c r="G5" i="147" s="1"/>
  <c r="H5" i="147" s="1"/>
  <c r="I5" i="147" s="1"/>
  <c r="J5" i="147" s="1"/>
  <c r="K5" i="147" s="1"/>
  <c r="L5" i="147" s="1"/>
  <c r="M5" i="147" s="1"/>
  <c r="N5" i="147" s="1"/>
  <c r="O5" i="147" s="1"/>
  <c r="P5" i="147" s="1"/>
  <c r="Q5" i="147" s="1"/>
  <c r="R5" i="147" s="1"/>
  <c r="S5" i="147" s="1"/>
  <c r="AG76" i="146"/>
  <c r="AG82" i="146" s="1"/>
  <c r="AE76" i="146"/>
  <c r="AE82" i="146" s="1"/>
  <c r="Y76" i="146"/>
  <c r="Y82" i="146" s="1"/>
  <c r="W76" i="146"/>
  <c r="W82" i="146" s="1"/>
  <c r="O76" i="146"/>
  <c r="O82" i="146" s="1"/>
  <c r="J76" i="146"/>
  <c r="J82" i="146" s="1"/>
  <c r="I76" i="146"/>
  <c r="I82" i="146" s="1"/>
  <c r="C76" i="146"/>
  <c r="C82" i="146" s="1"/>
  <c r="K75" i="146"/>
  <c r="K74" i="146"/>
  <c r="K73" i="146"/>
  <c r="K72" i="146"/>
  <c r="K71" i="146"/>
  <c r="K70" i="146"/>
  <c r="K69" i="146"/>
  <c r="K68" i="146"/>
  <c r="K67" i="146"/>
  <c r="K66" i="146"/>
  <c r="K65" i="146"/>
  <c r="K64" i="146"/>
  <c r="K63" i="146"/>
  <c r="K62" i="146"/>
  <c r="K61" i="146"/>
  <c r="K60" i="146"/>
  <c r="K59" i="146"/>
  <c r="K58" i="146"/>
  <c r="K57" i="146"/>
  <c r="K56" i="146"/>
  <c r="K55" i="146"/>
  <c r="K54" i="146"/>
  <c r="K53" i="146"/>
  <c r="K52" i="146"/>
  <c r="K51" i="146"/>
  <c r="K50" i="146"/>
  <c r="K49" i="146"/>
  <c r="K48" i="146"/>
  <c r="K47" i="146"/>
  <c r="K46" i="146"/>
  <c r="K45" i="146"/>
  <c r="K44" i="146"/>
  <c r="K43" i="146"/>
  <c r="K42" i="146"/>
  <c r="K41" i="146"/>
  <c r="K40" i="146"/>
  <c r="K39" i="146"/>
  <c r="K38" i="146"/>
  <c r="K37" i="146"/>
  <c r="K36" i="146"/>
  <c r="K35" i="146"/>
  <c r="K34" i="146"/>
  <c r="K33" i="146"/>
  <c r="K32" i="146"/>
  <c r="K31" i="146"/>
  <c r="K30" i="146"/>
  <c r="K29" i="146"/>
  <c r="K28" i="146"/>
  <c r="K27" i="146"/>
  <c r="K26" i="146"/>
  <c r="K25" i="146"/>
  <c r="K24" i="146"/>
  <c r="K23" i="146"/>
  <c r="K22" i="146"/>
  <c r="K21" i="146"/>
  <c r="K20" i="146"/>
  <c r="K19" i="146"/>
  <c r="K18" i="146"/>
  <c r="K17" i="146"/>
  <c r="K16" i="146"/>
  <c r="K15" i="146"/>
  <c r="K14" i="146"/>
  <c r="K13" i="146"/>
  <c r="K12" i="146"/>
  <c r="K11" i="146"/>
  <c r="K10" i="146"/>
  <c r="K9" i="146"/>
  <c r="K8" i="146"/>
  <c r="K7" i="146"/>
  <c r="K76" i="146" s="1"/>
  <c r="K82" i="146" s="1"/>
  <c r="D5" i="146"/>
  <c r="E5" i="146" s="1"/>
  <c r="F5" i="146" s="1"/>
  <c r="G5" i="146" s="1"/>
  <c r="H5" i="146" s="1"/>
  <c r="I5" i="146" s="1"/>
  <c r="J5" i="146" s="1"/>
  <c r="K5" i="146" s="1"/>
  <c r="L5" i="146" s="1"/>
  <c r="M5" i="146" s="1"/>
  <c r="N5" i="146" s="1"/>
  <c r="O5" i="146" s="1"/>
  <c r="P5" i="146" s="1"/>
  <c r="Q5" i="146" s="1"/>
  <c r="R5" i="146" s="1"/>
  <c r="S5" i="146" s="1"/>
  <c r="AG76" i="145"/>
  <c r="AG82" i="145" s="1"/>
  <c r="AE76" i="145"/>
  <c r="AE82" i="145" s="1"/>
  <c r="Y76" i="145"/>
  <c r="Y82" i="145" s="1"/>
  <c r="W76" i="145"/>
  <c r="W82" i="145" s="1"/>
  <c r="O76" i="145"/>
  <c r="O82" i="145" s="1"/>
  <c r="J76" i="145"/>
  <c r="J82" i="145" s="1"/>
  <c r="I76" i="145"/>
  <c r="I82" i="145" s="1"/>
  <c r="K75" i="145"/>
  <c r="K74" i="145"/>
  <c r="K73" i="145"/>
  <c r="K72" i="145"/>
  <c r="K71" i="145"/>
  <c r="K70" i="145"/>
  <c r="K69" i="145"/>
  <c r="K68" i="145"/>
  <c r="K67" i="145"/>
  <c r="K66" i="145"/>
  <c r="K65" i="145"/>
  <c r="K64" i="145"/>
  <c r="K63" i="145"/>
  <c r="K62" i="145"/>
  <c r="K61" i="145"/>
  <c r="K60" i="145"/>
  <c r="K59" i="145"/>
  <c r="K58" i="145"/>
  <c r="K57" i="145"/>
  <c r="K56" i="145"/>
  <c r="K55" i="145"/>
  <c r="K54" i="145"/>
  <c r="K53" i="145"/>
  <c r="K52" i="145"/>
  <c r="K51" i="145"/>
  <c r="K50" i="145"/>
  <c r="K49" i="145"/>
  <c r="K48" i="145"/>
  <c r="K47" i="145"/>
  <c r="K46" i="145"/>
  <c r="K45" i="145"/>
  <c r="K44" i="145"/>
  <c r="K43" i="145"/>
  <c r="K42" i="145"/>
  <c r="K41" i="145"/>
  <c r="K40" i="145"/>
  <c r="K39" i="145"/>
  <c r="K38" i="145"/>
  <c r="K37" i="145"/>
  <c r="K36" i="145"/>
  <c r="K35" i="145"/>
  <c r="K34" i="145"/>
  <c r="K33" i="145"/>
  <c r="K32" i="145"/>
  <c r="K31" i="145"/>
  <c r="K30" i="145"/>
  <c r="K29" i="145"/>
  <c r="K28" i="145"/>
  <c r="K27" i="145"/>
  <c r="K26" i="145"/>
  <c r="K25" i="145"/>
  <c r="K24" i="145"/>
  <c r="K23" i="145"/>
  <c r="K22" i="145"/>
  <c r="K21" i="145"/>
  <c r="K20" i="145"/>
  <c r="K19" i="145"/>
  <c r="C76" i="145"/>
  <c r="C82" i="145" s="1"/>
  <c r="K18" i="145"/>
  <c r="K17" i="145"/>
  <c r="K16" i="145"/>
  <c r="K15" i="145"/>
  <c r="K14" i="145"/>
  <c r="K13" i="145"/>
  <c r="K12" i="145"/>
  <c r="K11" i="145"/>
  <c r="K10" i="145"/>
  <c r="K9" i="145"/>
  <c r="K8" i="145"/>
  <c r="K7" i="145"/>
  <c r="K76" i="145" s="1"/>
  <c r="K82" i="145" s="1"/>
  <c r="D5" i="145"/>
  <c r="E5" i="145" s="1"/>
  <c r="F5" i="145" s="1"/>
  <c r="G5" i="145" s="1"/>
  <c r="H5" i="145" s="1"/>
  <c r="I5" i="145" s="1"/>
  <c r="J5" i="145" s="1"/>
  <c r="K5" i="145" s="1"/>
  <c r="L5" i="145" s="1"/>
  <c r="M5" i="145" s="1"/>
  <c r="N5" i="145" s="1"/>
  <c r="O5" i="145" s="1"/>
  <c r="P5" i="145" s="1"/>
  <c r="Q5" i="145" s="1"/>
  <c r="R5" i="145" s="1"/>
  <c r="S5" i="145" s="1"/>
  <c r="V5" i="145" l="1"/>
  <c r="W5" i="145" s="1"/>
  <c r="X5" i="145" s="1"/>
  <c r="Y5" i="145" s="1"/>
  <c r="Z5" i="145" s="1"/>
  <c r="AA5" i="145" s="1"/>
  <c r="AB5" i="145" s="1"/>
  <c r="AC5" i="145" s="1"/>
  <c r="AD5" i="145" s="1"/>
  <c r="AE5" i="145" s="1"/>
  <c r="AF5" i="145" s="1"/>
  <c r="AG5" i="145" s="1"/>
  <c r="AH5" i="145" s="1"/>
  <c r="AI5" i="145" s="1"/>
  <c r="AJ5" i="145" s="1"/>
  <c r="AK5" i="145" s="1"/>
  <c r="T5" i="145"/>
  <c r="U5" i="145" s="1"/>
  <c r="V5" i="146"/>
  <c r="W5" i="146" s="1"/>
  <c r="X5" i="146" s="1"/>
  <c r="Y5" i="146" s="1"/>
  <c r="Z5" i="146" s="1"/>
  <c r="AA5" i="146" s="1"/>
  <c r="AB5" i="146" s="1"/>
  <c r="AC5" i="146" s="1"/>
  <c r="AD5" i="146" s="1"/>
  <c r="AE5" i="146" s="1"/>
  <c r="AF5" i="146" s="1"/>
  <c r="AG5" i="146" s="1"/>
  <c r="AH5" i="146" s="1"/>
  <c r="AI5" i="146" s="1"/>
  <c r="AJ5" i="146" s="1"/>
  <c r="AK5" i="146" s="1"/>
  <c r="T5" i="146"/>
  <c r="U5" i="146" s="1"/>
  <c r="V5" i="147"/>
  <c r="W5" i="147" s="1"/>
  <c r="X5" i="147" s="1"/>
  <c r="Y5" i="147" s="1"/>
  <c r="Z5" i="147" s="1"/>
  <c r="AA5" i="147" s="1"/>
  <c r="AB5" i="147" s="1"/>
  <c r="AC5" i="147" s="1"/>
  <c r="AD5" i="147" s="1"/>
  <c r="AE5" i="147" s="1"/>
  <c r="AF5" i="147" s="1"/>
  <c r="AG5" i="147" s="1"/>
  <c r="AH5" i="147" s="1"/>
  <c r="AI5" i="147" s="1"/>
  <c r="AJ5" i="147" s="1"/>
  <c r="AK5" i="147" s="1"/>
  <c r="T5" i="147"/>
  <c r="U5" i="147" s="1"/>
  <c r="V5" i="148"/>
  <c r="W5" i="148" s="1"/>
  <c r="X5" i="148" s="1"/>
  <c r="Y5" i="148" s="1"/>
  <c r="Z5" i="148" s="1"/>
  <c r="AA5" i="148" s="1"/>
  <c r="AB5" i="148" s="1"/>
  <c r="AC5" i="148" s="1"/>
  <c r="AD5" i="148" s="1"/>
  <c r="AE5" i="148" s="1"/>
  <c r="AF5" i="148" s="1"/>
  <c r="AG5" i="148" s="1"/>
  <c r="AH5" i="148" s="1"/>
  <c r="AI5" i="148" s="1"/>
  <c r="AJ5" i="148" s="1"/>
  <c r="AK5" i="148" s="1"/>
  <c r="T5" i="148"/>
  <c r="U5" i="148" s="1"/>
  <c r="V5" i="149"/>
  <c r="W5" i="149" s="1"/>
  <c r="X5" i="149" s="1"/>
  <c r="Y5" i="149" s="1"/>
  <c r="Z5" i="149" s="1"/>
  <c r="AA5" i="149" s="1"/>
  <c r="AB5" i="149" s="1"/>
  <c r="AC5" i="149" s="1"/>
  <c r="AD5" i="149" s="1"/>
  <c r="AE5" i="149" s="1"/>
  <c r="AF5" i="149" s="1"/>
  <c r="AG5" i="149" s="1"/>
  <c r="AH5" i="149" s="1"/>
  <c r="AI5" i="149" s="1"/>
  <c r="AJ5" i="149" s="1"/>
  <c r="AK5" i="149" s="1"/>
  <c r="T5" i="149"/>
  <c r="U5" i="149" s="1"/>
  <c r="V5" i="151"/>
  <c r="W5" i="151" s="1"/>
  <c r="X5" i="151" s="1"/>
  <c r="Y5" i="151" s="1"/>
  <c r="Z5" i="151" s="1"/>
  <c r="AA5" i="151" s="1"/>
  <c r="AB5" i="151" s="1"/>
  <c r="AC5" i="151" s="1"/>
  <c r="AD5" i="151" s="1"/>
  <c r="AE5" i="151" s="1"/>
  <c r="AF5" i="151" s="1"/>
  <c r="AG5" i="151" s="1"/>
  <c r="AH5" i="151" s="1"/>
  <c r="AI5" i="151" s="1"/>
  <c r="AJ5" i="151" s="1"/>
  <c r="AK5" i="151" s="1"/>
  <c r="T5" i="151"/>
  <c r="U5" i="151" s="1"/>
  <c r="V5" i="152"/>
  <c r="W5" i="152" s="1"/>
  <c r="X5" i="152" s="1"/>
  <c r="Y5" i="152" s="1"/>
  <c r="Z5" i="152" s="1"/>
  <c r="AA5" i="152" s="1"/>
  <c r="AB5" i="152" s="1"/>
  <c r="AC5" i="152" s="1"/>
  <c r="AD5" i="152" s="1"/>
  <c r="AE5" i="152" s="1"/>
  <c r="AF5" i="152" s="1"/>
  <c r="AG5" i="152" s="1"/>
  <c r="AH5" i="152" s="1"/>
  <c r="AI5" i="152" s="1"/>
  <c r="AJ5" i="152" s="1"/>
  <c r="AK5" i="152" s="1"/>
  <c r="T5" i="152"/>
  <c r="U5" i="152" s="1"/>
  <c r="V5" i="153"/>
  <c r="W5" i="153" s="1"/>
  <c r="X5" i="153" s="1"/>
  <c r="Y5" i="153" s="1"/>
  <c r="Z5" i="153" s="1"/>
  <c r="AA5" i="153" s="1"/>
  <c r="AB5" i="153" s="1"/>
  <c r="AC5" i="153" s="1"/>
  <c r="AD5" i="153" s="1"/>
  <c r="AE5" i="153" s="1"/>
  <c r="AF5" i="153" s="1"/>
  <c r="AG5" i="153" s="1"/>
  <c r="AH5" i="153" s="1"/>
  <c r="AI5" i="153" s="1"/>
  <c r="AJ5" i="153" s="1"/>
  <c r="AK5" i="153" s="1"/>
  <c r="T5" i="153"/>
  <c r="U5" i="153" s="1"/>
  <c r="K76" i="152"/>
  <c r="K82" i="152" s="1"/>
  <c r="K76" i="147"/>
  <c r="K82" i="147" s="1"/>
  <c r="AG76" i="144" l="1"/>
  <c r="AG82" i="144" s="1"/>
  <c r="AE76" i="144"/>
  <c r="AE82" i="144" s="1"/>
  <c r="Y76" i="144"/>
  <c r="Y82" i="144" s="1"/>
  <c r="W76" i="144"/>
  <c r="W82" i="144" s="1"/>
  <c r="O76" i="144"/>
  <c r="O82" i="144" s="1"/>
  <c r="J76" i="144"/>
  <c r="J82" i="144" s="1"/>
  <c r="I76" i="144"/>
  <c r="I82" i="144" s="1"/>
  <c r="K75" i="144"/>
  <c r="K74" i="144"/>
  <c r="K73" i="144"/>
  <c r="K72" i="144"/>
  <c r="K71" i="144"/>
  <c r="K70" i="144"/>
  <c r="K69" i="144"/>
  <c r="K68" i="144"/>
  <c r="K67" i="144"/>
  <c r="K66" i="144"/>
  <c r="K65" i="144"/>
  <c r="K64" i="144"/>
  <c r="K63" i="144"/>
  <c r="K62" i="144"/>
  <c r="K61" i="144"/>
  <c r="K60" i="144"/>
  <c r="K59" i="144"/>
  <c r="K58" i="144"/>
  <c r="K57" i="144"/>
  <c r="K56" i="144"/>
  <c r="K55" i="144"/>
  <c r="K54" i="144"/>
  <c r="K53" i="144"/>
  <c r="K52" i="144"/>
  <c r="K51" i="144"/>
  <c r="K50" i="144"/>
  <c r="K49" i="144"/>
  <c r="K48" i="144"/>
  <c r="K47" i="144"/>
  <c r="K46" i="144"/>
  <c r="K45" i="144"/>
  <c r="K44" i="144"/>
  <c r="K43" i="144"/>
  <c r="K42" i="144"/>
  <c r="K41" i="144"/>
  <c r="K40" i="144"/>
  <c r="K39" i="144"/>
  <c r="K38" i="144"/>
  <c r="K37" i="144"/>
  <c r="K36" i="144"/>
  <c r="K35" i="144"/>
  <c r="K34" i="144"/>
  <c r="K33" i="144"/>
  <c r="K32" i="144"/>
  <c r="K31" i="144"/>
  <c r="K30" i="144"/>
  <c r="K29" i="144"/>
  <c r="K28" i="144"/>
  <c r="K27" i="144"/>
  <c r="K26" i="144"/>
  <c r="K25" i="144"/>
  <c r="K24" i="144"/>
  <c r="K23" i="144"/>
  <c r="K22" i="144"/>
  <c r="K21" i="144"/>
  <c r="K20" i="144"/>
  <c r="K19" i="144"/>
  <c r="K18" i="144"/>
  <c r="K17" i="144"/>
  <c r="K16" i="144"/>
  <c r="K15" i="144"/>
  <c r="K14" i="144"/>
  <c r="K13" i="144"/>
  <c r="K12" i="144"/>
  <c r="K11" i="144"/>
  <c r="K10" i="144"/>
  <c r="K9" i="144"/>
  <c r="K8" i="144"/>
  <c r="K7" i="144"/>
  <c r="K76" i="144" s="1"/>
  <c r="K82" i="144" s="1"/>
  <c r="D5" i="144"/>
  <c r="E5" i="144" s="1"/>
  <c r="F5" i="144" s="1"/>
  <c r="G5" i="144" s="1"/>
  <c r="H5" i="144" s="1"/>
  <c r="I5" i="144" s="1"/>
  <c r="J5" i="144" s="1"/>
  <c r="K5" i="144" s="1"/>
  <c r="L5" i="144" s="1"/>
  <c r="M5" i="144" s="1"/>
  <c r="N5" i="144" s="1"/>
  <c r="O5" i="144" s="1"/>
  <c r="P5" i="144" s="1"/>
  <c r="Q5" i="144" s="1"/>
  <c r="R5" i="144" s="1"/>
  <c r="S5" i="144" s="1"/>
  <c r="V5" i="144" l="1"/>
  <c r="W5" i="144" s="1"/>
  <c r="X5" i="144" s="1"/>
  <c r="Y5" i="144" s="1"/>
  <c r="Z5" i="144" s="1"/>
  <c r="AA5" i="144" s="1"/>
  <c r="AB5" i="144" s="1"/>
  <c r="AC5" i="144" s="1"/>
  <c r="AD5" i="144" s="1"/>
  <c r="AE5" i="144" s="1"/>
  <c r="AF5" i="144" s="1"/>
  <c r="AG5" i="144" s="1"/>
  <c r="AH5" i="144" s="1"/>
  <c r="AI5" i="144" s="1"/>
  <c r="AJ5" i="144" s="1"/>
  <c r="AK5" i="144" s="1"/>
  <c r="T5" i="144"/>
  <c r="U5" i="144" s="1"/>
  <c r="C76" i="144"/>
  <c r="C82" i="144" l="1"/>
  <c r="F106" i="139"/>
  <c r="G106" i="139" s="1"/>
  <c r="D73" i="1" l="1"/>
  <c r="F44" i="139" l="1"/>
  <c r="G44" i="139" s="1"/>
  <c r="AJ78" i="116" l="1"/>
  <c r="AJ79" i="114"/>
  <c r="AJ78" i="115"/>
  <c r="M76" i="141" l="1"/>
  <c r="M82" i="141" s="1"/>
  <c r="J76" i="141"/>
  <c r="J82" i="141" s="1"/>
  <c r="I76" i="141"/>
  <c r="I82" i="141" s="1"/>
  <c r="C76" i="141"/>
  <c r="K75" i="141"/>
  <c r="F75" i="141"/>
  <c r="G75" i="141" s="1"/>
  <c r="K74" i="141"/>
  <c r="F74" i="141"/>
  <c r="G74" i="141" s="1"/>
  <c r="K73" i="141"/>
  <c r="F73" i="141"/>
  <c r="G73" i="141" s="1"/>
  <c r="K72" i="141"/>
  <c r="F72" i="141"/>
  <c r="G72" i="141" s="1"/>
  <c r="K71" i="141"/>
  <c r="F71" i="141"/>
  <c r="G71" i="141" s="1"/>
  <c r="K70" i="141"/>
  <c r="F70" i="141"/>
  <c r="G70" i="141" s="1"/>
  <c r="K69" i="141"/>
  <c r="F69" i="141"/>
  <c r="G69" i="141" s="1"/>
  <c r="K68" i="141"/>
  <c r="F68" i="141"/>
  <c r="G68" i="141" s="1"/>
  <c r="K67" i="141"/>
  <c r="F67" i="141"/>
  <c r="G67" i="141" s="1"/>
  <c r="K66" i="141"/>
  <c r="F66" i="141"/>
  <c r="G66" i="141" s="1"/>
  <c r="K65" i="141"/>
  <c r="F65" i="141"/>
  <c r="G65" i="141" s="1"/>
  <c r="K64" i="141"/>
  <c r="F64" i="141"/>
  <c r="G64" i="141" s="1"/>
  <c r="K63" i="141"/>
  <c r="F63" i="141"/>
  <c r="G63" i="141" s="1"/>
  <c r="K62" i="141"/>
  <c r="F62" i="141"/>
  <c r="G62" i="141" s="1"/>
  <c r="K61" i="141"/>
  <c r="F61" i="141"/>
  <c r="G61" i="141" s="1"/>
  <c r="K60" i="141"/>
  <c r="F60" i="141"/>
  <c r="G60" i="141" s="1"/>
  <c r="K59" i="141"/>
  <c r="F59" i="141"/>
  <c r="G59" i="141" s="1"/>
  <c r="K58" i="141"/>
  <c r="F58" i="141"/>
  <c r="G58" i="141" s="1"/>
  <c r="K57" i="141"/>
  <c r="F57" i="141"/>
  <c r="G57" i="141" s="1"/>
  <c r="K56" i="141"/>
  <c r="F56" i="141"/>
  <c r="G56" i="141" s="1"/>
  <c r="K55" i="141"/>
  <c r="F55" i="141"/>
  <c r="G55" i="141" s="1"/>
  <c r="K54" i="141"/>
  <c r="F54" i="141"/>
  <c r="G54" i="141" s="1"/>
  <c r="K53" i="141"/>
  <c r="F53" i="141"/>
  <c r="G53" i="141" s="1"/>
  <c r="K52" i="141"/>
  <c r="F52" i="141"/>
  <c r="G52" i="141" s="1"/>
  <c r="K51" i="141"/>
  <c r="F51" i="141"/>
  <c r="G51" i="141" s="1"/>
  <c r="K50" i="141"/>
  <c r="F50" i="141"/>
  <c r="G50" i="141" s="1"/>
  <c r="K49" i="141"/>
  <c r="F49" i="141"/>
  <c r="G49" i="141" s="1"/>
  <c r="K48" i="141"/>
  <c r="F48" i="141"/>
  <c r="G48" i="141" s="1"/>
  <c r="K47" i="141"/>
  <c r="F47" i="141"/>
  <c r="G47" i="141" s="1"/>
  <c r="K46" i="141"/>
  <c r="F46" i="141"/>
  <c r="G46" i="141" s="1"/>
  <c r="K45" i="141"/>
  <c r="G45" i="141"/>
  <c r="K44" i="141"/>
  <c r="F44" i="141"/>
  <c r="G44" i="141" s="1"/>
  <c r="K43" i="141"/>
  <c r="F43" i="141"/>
  <c r="G43" i="141" s="1"/>
  <c r="K42" i="141"/>
  <c r="F42" i="141"/>
  <c r="G42" i="141" s="1"/>
  <c r="K41" i="141"/>
  <c r="F41" i="141"/>
  <c r="G41" i="141" s="1"/>
  <c r="K40" i="141"/>
  <c r="G40" i="141"/>
  <c r="F40" i="141"/>
  <c r="K39" i="141"/>
  <c r="F39" i="141"/>
  <c r="G39" i="141" s="1"/>
  <c r="K38" i="141"/>
  <c r="F38" i="141"/>
  <c r="G38" i="141" s="1"/>
  <c r="K37" i="141"/>
  <c r="F37" i="141"/>
  <c r="G37" i="141" s="1"/>
  <c r="K36" i="141"/>
  <c r="F36" i="141"/>
  <c r="G36" i="141" s="1"/>
  <c r="K35" i="141"/>
  <c r="F35" i="141"/>
  <c r="G35" i="141" s="1"/>
  <c r="K34" i="141"/>
  <c r="F34" i="141"/>
  <c r="G34" i="141" s="1"/>
  <c r="K33" i="141"/>
  <c r="F33" i="141"/>
  <c r="G33" i="141" s="1"/>
  <c r="K32" i="141"/>
  <c r="F32" i="141"/>
  <c r="G32" i="141" s="1"/>
  <c r="K31" i="141"/>
  <c r="F31" i="141"/>
  <c r="G31" i="141" s="1"/>
  <c r="K30" i="141"/>
  <c r="F30" i="141"/>
  <c r="G30" i="141" s="1"/>
  <c r="K29" i="141"/>
  <c r="F29" i="141"/>
  <c r="G29" i="141" s="1"/>
  <c r="K28" i="141"/>
  <c r="F28" i="141"/>
  <c r="G28" i="141" s="1"/>
  <c r="K27" i="141"/>
  <c r="F27" i="141"/>
  <c r="G27" i="141" s="1"/>
  <c r="K26" i="141"/>
  <c r="F26" i="141"/>
  <c r="G26" i="141" s="1"/>
  <c r="K25" i="141"/>
  <c r="F25" i="141"/>
  <c r="G25" i="141" s="1"/>
  <c r="K24" i="141"/>
  <c r="F24" i="141"/>
  <c r="G24" i="141" s="1"/>
  <c r="K23" i="141"/>
  <c r="G23" i="141"/>
  <c r="K22" i="141"/>
  <c r="F22" i="141"/>
  <c r="G22" i="141" s="1"/>
  <c r="K21" i="141"/>
  <c r="F21" i="141"/>
  <c r="G21" i="141" s="1"/>
  <c r="K20" i="141"/>
  <c r="F20" i="141"/>
  <c r="G20" i="141" s="1"/>
  <c r="K19" i="141"/>
  <c r="F19" i="141"/>
  <c r="G19" i="141" s="1"/>
  <c r="K18" i="141"/>
  <c r="F18" i="141"/>
  <c r="G18" i="141" s="1"/>
  <c r="K17" i="141"/>
  <c r="F17" i="141"/>
  <c r="G17" i="141" s="1"/>
  <c r="K16" i="141"/>
  <c r="F16" i="141"/>
  <c r="G16" i="141" s="1"/>
  <c r="K15" i="141"/>
  <c r="F15" i="141"/>
  <c r="G15" i="141" s="1"/>
  <c r="K14" i="141"/>
  <c r="F14" i="141"/>
  <c r="G14" i="141" s="1"/>
  <c r="K13" i="141"/>
  <c r="F13" i="141"/>
  <c r="G13" i="141" s="1"/>
  <c r="K12" i="141"/>
  <c r="F12" i="141"/>
  <c r="G12" i="141" s="1"/>
  <c r="K11" i="141"/>
  <c r="F11" i="141"/>
  <c r="G11" i="141" s="1"/>
  <c r="K10" i="141"/>
  <c r="F10" i="141"/>
  <c r="G10" i="141" s="1"/>
  <c r="K9" i="141"/>
  <c r="F9" i="141"/>
  <c r="G9" i="141" s="1"/>
  <c r="K8" i="141"/>
  <c r="F8" i="141"/>
  <c r="G8" i="141" s="1"/>
  <c r="K7" i="141"/>
  <c r="F7" i="141"/>
  <c r="G7" i="141" s="1"/>
  <c r="D5" i="141"/>
  <c r="E5" i="141" s="1"/>
  <c r="F5" i="141" s="1"/>
  <c r="G5" i="141" s="1"/>
  <c r="H5" i="141" s="1"/>
  <c r="I5" i="141" s="1"/>
  <c r="J5" i="141" s="1"/>
  <c r="K5" i="141" s="1"/>
  <c r="L5" i="141" s="1"/>
  <c r="M76" i="140"/>
  <c r="M82" i="140" s="1"/>
  <c r="J76" i="140"/>
  <c r="J82" i="140" s="1"/>
  <c r="I76" i="140"/>
  <c r="I82" i="140" s="1"/>
  <c r="K75" i="140"/>
  <c r="F75" i="140"/>
  <c r="K74" i="140"/>
  <c r="F74" i="140"/>
  <c r="K73" i="140"/>
  <c r="F73" i="140"/>
  <c r="K72" i="140"/>
  <c r="F72" i="140"/>
  <c r="K71" i="140"/>
  <c r="F71" i="140"/>
  <c r="K70" i="140"/>
  <c r="F70" i="140"/>
  <c r="K69" i="140"/>
  <c r="F69" i="140"/>
  <c r="K68" i="140"/>
  <c r="F68" i="140"/>
  <c r="K67" i="140"/>
  <c r="F67" i="140"/>
  <c r="K66" i="140"/>
  <c r="F66" i="140"/>
  <c r="K65" i="140"/>
  <c r="F65" i="140"/>
  <c r="K64" i="140"/>
  <c r="F64" i="140"/>
  <c r="K63" i="140"/>
  <c r="F63" i="140"/>
  <c r="K62" i="140"/>
  <c r="F62" i="140"/>
  <c r="K61" i="140"/>
  <c r="F61" i="140"/>
  <c r="K60" i="140"/>
  <c r="F60" i="140"/>
  <c r="K59" i="140"/>
  <c r="F59" i="140"/>
  <c r="K58" i="140"/>
  <c r="F58" i="140"/>
  <c r="K57" i="140"/>
  <c r="F57" i="140"/>
  <c r="K56" i="140"/>
  <c r="F56" i="140"/>
  <c r="K55" i="140"/>
  <c r="F55" i="140"/>
  <c r="K54" i="140"/>
  <c r="F54" i="140"/>
  <c r="K53" i="140"/>
  <c r="F53" i="140"/>
  <c r="K52" i="140"/>
  <c r="F52" i="140"/>
  <c r="K51" i="140"/>
  <c r="F51" i="140"/>
  <c r="K50" i="140"/>
  <c r="F50" i="140"/>
  <c r="K49" i="140"/>
  <c r="F49" i="140"/>
  <c r="K48" i="140"/>
  <c r="F48" i="140"/>
  <c r="K47" i="140"/>
  <c r="F47" i="140"/>
  <c r="K46" i="140"/>
  <c r="F46" i="140"/>
  <c r="K45" i="140"/>
  <c r="K44" i="140"/>
  <c r="F44" i="140"/>
  <c r="K43" i="140"/>
  <c r="F43" i="140"/>
  <c r="K42" i="140"/>
  <c r="F42" i="140"/>
  <c r="K41" i="140"/>
  <c r="F41" i="140"/>
  <c r="K40" i="140"/>
  <c r="F40" i="140"/>
  <c r="K39" i="140"/>
  <c r="F39" i="140"/>
  <c r="K38" i="140"/>
  <c r="F38" i="140"/>
  <c r="K37" i="140"/>
  <c r="F37" i="140"/>
  <c r="K36" i="140"/>
  <c r="F36" i="140"/>
  <c r="K35" i="140"/>
  <c r="F35" i="140"/>
  <c r="K34" i="140"/>
  <c r="F34" i="140"/>
  <c r="K33" i="140"/>
  <c r="F33" i="140"/>
  <c r="K32" i="140"/>
  <c r="F32" i="140"/>
  <c r="K31" i="140"/>
  <c r="F31" i="140"/>
  <c r="K30" i="140"/>
  <c r="F30" i="140"/>
  <c r="K29" i="140"/>
  <c r="F29" i="140"/>
  <c r="K28" i="140"/>
  <c r="F28" i="140"/>
  <c r="K27" i="140"/>
  <c r="F27" i="140"/>
  <c r="K26" i="140"/>
  <c r="F26" i="140"/>
  <c r="K25" i="140"/>
  <c r="F25" i="140"/>
  <c r="K24" i="140"/>
  <c r="F24" i="140"/>
  <c r="K23" i="140"/>
  <c r="K22" i="140"/>
  <c r="F22" i="140"/>
  <c r="K21" i="140"/>
  <c r="F21" i="140"/>
  <c r="K20" i="140"/>
  <c r="F20" i="140"/>
  <c r="K19" i="140"/>
  <c r="F19" i="140"/>
  <c r="K18" i="140"/>
  <c r="F18" i="140"/>
  <c r="K17" i="140"/>
  <c r="F17" i="140"/>
  <c r="K16" i="140"/>
  <c r="F16" i="140"/>
  <c r="K15" i="140"/>
  <c r="F15" i="140"/>
  <c r="K14" i="140"/>
  <c r="F14" i="140"/>
  <c r="K13" i="140"/>
  <c r="F13" i="140"/>
  <c r="K12" i="140"/>
  <c r="F12" i="140"/>
  <c r="K11" i="140"/>
  <c r="F11" i="140"/>
  <c r="K10" i="140"/>
  <c r="F10" i="140"/>
  <c r="K9" i="140"/>
  <c r="F9" i="140"/>
  <c r="K8" i="140"/>
  <c r="F8" i="140"/>
  <c r="K7" i="140"/>
  <c r="F7" i="140"/>
  <c r="C76" i="140"/>
  <c r="D5" i="140"/>
  <c r="E5" i="140" s="1"/>
  <c r="F5" i="140" s="1"/>
  <c r="G5" i="140" s="1"/>
  <c r="H5" i="140" s="1"/>
  <c r="I5" i="140" s="1"/>
  <c r="J5" i="140" s="1"/>
  <c r="K5" i="140" s="1"/>
  <c r="L5" i="140" s="1"/>
  <c r="C82" i="140" l="1"/>
  <c r="C82" i="141"/>
  <c r="AG76" i="33"/>
  <c r="K76" i="140"/>
  <c r="K82" i="140" s="1"/>
  <c r="F98" i="139"/>
  <c r="G98" i="139" s="1"/>
  <c r="F97" i="139"/>
  <c r="G97" i="139" s="1"/>
  <c r="G40" i="166"/>
  <c r="M5" i="141"/>
  <c r="N5" i="141" s="1"/>
  <c r="O5" i="141" s="1"/>
  <c r="P5" i="141" s="1"/>
  <c r="Q5" i="141" s="1"/>
  <c r="R5" i="141" s="1"/>
  <c r="G76" i="141"/>
  <c r="G82" i="141" s="1"/>
  <c r="M5" i="140"/>
  <c r="N5" i="140" s="1"/>
  <c r="O5" i="140" s="1"/>
  <c r="P5" i="140" s="1"/>
  <c r="Q5" i="140" s="1"/>
  <c r="R5" i="140" s="1"/>
  <c r="K76" i="141"/>
  <c r="K82" i="141" s="1"/>
  <c r="G7" i="140"/>
  <c r="G8" i="140"/>
  <c r="G9" i="140"/>
  <c r="G10" i="140"/>
  <c r="G11" i="140"/>
  <c r="G12" i="140"/>
  <c r="G13" i="140"/>
  <c r="G14" i="140"/>
  <c r="G15" i="140"/>
  <c r="G16" i="140"/>
  <c r="G17" i="140"/>
  <c r="G18" i="140"/>
  <c r="G19" i="140"/>
  <c r="G20" i="140"/>
  <c r="G21" i="140"/>
  <c r="G22" i="140"/>
  <c r="G23" i="140"/>
  <c r="G24" i="140"/>
  <c r="G25" i="140"/>
  <c r="G26" i="140"/>
  <c r="G27" i="140"/>
  <c r="G28" i="140"/>
  <c r="G29" i="140"/>
  <c r="G30" i="140"/>
  <c r="G31" i="140"/>
  <c r="G32" i="140"/>
  <c r="G33" i="140"/>
  <c r="G34" i="140"/>
  <c r="G35" i="140"/>
  <c r="G36" i="140"/>
  <c r="G37" i="140"/>
  <c r="G38" i="140"/>
  <c r="G39" i="140"/>
  <c r="G40" i="140"/>
  <c r="G41" i="140"/>
  <c r="G42" i="140"/>
  <c r="G43" i="140"/>
  <c r="G44" i="140"/>
  <c r="G45" i="140"/>
  <c r="G46" i="140"/>
  <c r="G47" i="140"/>
  <c r="G48" i="140"/>
  <c r="G49" i="140"/>
  <c r="G50" i="140"/>
  <c r="G51" i="140"/>
  <c r="G52" i="140"/>
  <c r="G53" i="140"/>
  <c r="G54" i="140"/>
  <c r="G55" i="140"/>
  <c r="G56" i="140"/>
  <c r="G57" i="140"/>
  <c r="G58" i="140"/>
  <c r="G59" i="140"/>
  <c r="G60" i="140"/>
  <c r="G61" i="140"/>
  <c r="G62" i="140"/>
  <c r="G63" i="140"/>
  <c r="G64" i="140"/>
  <c r="G65" i="140"/>
  <c r="G66" i="140"/>
  <c r="G67" i="140"/>
  <c r="G68" i="140"/>
  <c r="G69" i="140"/>
  <c r="G70" i="140"/>
  <c r="G71" i="140"/>
  <c r="G72" i="140"/>
  <c r="G73" i="140"/>
  <c r="G74" i="140"/>
  <c r="G75" i="140"/>
  <c r="L70" i="139"/>
  <c r="F43" i="139" l="1"/>
  <c r="L43" i="139" s="1"/>
  <c r="G76" i="140"/>
  <c r="G82" i="140" s="1"/>
  <c r="G43" i="139" l="1"/>
  <c r="E66" i="139"/>
  <c r="E63" i="139"/>
  <c r="E39" i="139"/>
  <c r="E53" i="139" l="1"/>
  <c r="E61" i="139" s="1"/>
  <c r="E62" i="139"/>
  <c r="G44" i="166" l="1"/>
  <c r="F45" i="139"/>
  <c r="L45" i="139" s="1"/>
  <c r="E65" i="139"/>
  <c r="E69" i="139" s="1"/>
  <c r="G66" i="139"/>
  <c r="E36" i="139"/>
  <c r="E34" i="139" s="1"/>
  <c r="G70" i="139"/>
  <c r="H66" i="139"/>
  <c r="H98" i="139"/>
  <c r="H97" i="139"/>
  <c r="G45" i="139" l="1"/>
  <c r="E71" i="139"/>
  <c r="D83" i="81" l="1"/>
  <c r="D68" i="81"/>
  <c r="D81" i="81" s="1"/>
  <c r="D67" i="81"/>
  <c r="Q1" i="1" l="1"/>
  <c r="F15" i="166" s="1"/>
  <c r="H15" i="166" l="1"/>
  <c r="G15" i="166"/>
  <c r="F17" i="139"/>
  <c r="H17" i="139" l="1"/>
  <c r="L17" i="139"/>
  <c r="G17" i="139"/>
  <c r="U75" i="67"/>
  <c r="U81" i="67" s="1"/>
  <c r="Q76" i="115"/>
  <c r="Q82" i="115" s="1"/>
  <c r="AG76" i="120" l="1"/>
  <c r="AG82" i="120" s="1"/>
  <c r="X75" i="80" l="1"/>
  <c r="X81" i="80" s="1"/>
  <c r="K6" i="31" l="1"/>
  <c r="J72" i="31" l="1"/>
  <c r="J74" i="31" s="1"/>
  <c r="AP72" i="31"/>
  <c r="AE72" i="31"/>
  <c r="AG76" i="126" l="1"/>
  <c r="AG82" i="126" s="1"/>
  <c r="AG76" i="125"/>
  <c r="AG82" i="125" s="1"/>
  <c r="Y76" i="119"/>
  <c r="Y82" i="119" s="1"/>
  <c r="AG76" i="118"/>
  <c r="AG82" i="118" s="1"/>
  <c r="AG12" i="46"/>
  <c r="AG17" i="46" s="1"/>
  <c r="R7" i="5"/>
  <c r="J7" i="5"/>
  <c r="J75" i="67" l="1"/>
  <c r="J81" i="67" s="1"/>
  <c r="K75" i="80"/>
  <c r="K81" i="80" s="1"/>
  <c r="R75" i="80"/>
  <c r="R81" i="80" s="1"/>
  <c r="Z75" i="80"/>
  <c r="Z81" i="80" s="1"/>
  <c r="AH75" i="80"/>
  <c r="AH81" i="80" s="1"/>
  <c r="Z75" i="76" l="1"/>
  <c r="Z81" i="76" s="1"/>
  <c r="Y76" i="117"/>
  <c r="Y82" i="117" s="1"/>
  <c r="AG76" i="115" l="1"/>
  <c r="AG82" i="115" s="1"/>
  <c r="Y76" i="115"/>
  <c r="Y82" i="115" s="1"/>
  <c r="W76" i="115"/>
  <c r="W82" i="115" s="1"/>
  <c r="J76" i="115"/>
  <c r="J82" i="115" s="1"/>
  <c r="Y76" i="128"/>
  <c r="Y82" i="128" s="1"/>
  <c r="Y76" i="129"/>
  <c r="Y82" i="129" s="1"/>
  <c r="Y76" i="127"/>
  <c r="Y82" i="127" s="1"/>
  <c r="J76" i="131"/>
  <c r="J82" i="131" s="1"/>
  <c r="AG76" i="131"/>
  <c r="AG82" i="131" s="1"/>
  <c r="Y76" i="131"/>
  <c r="Y82" i="131" s="1"/>
  <c r="W76" i="131"/>
  <c r="W82" i="131" s="1"/>
  <c r="Y76" i="125" l="1"/>
  <c r="Y82" i="125" s="1"/>
  <c r="W76" i="125"/>
  <c r="W82" i="125" s="1"/>
  <c r="Y76" i="126"/>
  <c r="Y82" i="126" s="1"/>
  <c r="W76" i="126"/>
  <c r="W82" i="126" s="1"/>
  <c r="Y76" i="120"/>
  <c r="Y82" i="120" s="1"/>
  <c r="W76" i="120"/>
  <c r="W82" i="120" s="1"/>
  <c r="J76" i="125"/>
  <c r="J82" i="125" s="1"/>
  <c r="J76" i="126"/>
  <c r="J82" i="126" s="1"/>
  <c r="J76" i="120"/>
  <c r="J82" i="120" s="1"/>
  <c r="Y76" i="113"/>
  <c r="Y82" i="113" s="1"/>
  <c r="Y77" i="114"/>
  <c r="Y83" i="114" s="1"/>
  <c r="Y76" i="116"/>
  <c r="Y82" i="116" s="1"/>
  <c r="J76" i="118"/>
  <c r="J82" i="118" s="1"/>
  <c r="Y76" i="118"/>
  <c r="Y82" i="118" s="1"/>
  <c r="W76" i="118"/>
  <c r="W82" i="118" s="1"/>
  <c r="D5" i="118"/>
  <c r="AG76" i="129" l="1"/>
  <c r="AG82" i="129" s="1"/>
  <c r="J15" i="137" l="1"/>
  <c r="J19" i="137" s="1"/>
  <c r="C9" i="137"/>
  <c r="C15" i="137" l="1"/>
  <c r="G9" i="137"/>
  <c r="F103" i="139"/>
  <c r="G103" i="139" s="1"/>
  <c r="W76" i="129"/>
  <c r="W82" i="129" s="1"/>
  <c r="T15" i="137" l="1"/>
  <c r="T19" i="137" s="1"/>
  <c r="L76" i="33" l="1"/>
  <c r="M76" i="33"/>
  <c r="N75" i="33"/>
  <c r="N74" i="33"/>
  <c r="N73" i="33"/>
  <c r="N72" i="33"/>
  <c r="N71" i="33"/>
  <c r="N70" i="33"/>
  <c r="N69" i="33"/>
  <c r="N68" i="33"/>
  <c r="N67" i="33"/>
  <c r="N66" i="33"/>
  <c r="N65" i="33"/>
  <c r="N64" i="33"/>
  <c r="N63" i="33"/>
  <c r="N62" i="33"/>
  <c r="N61" i="33"/>
  <c r="N60" i="33"/>
  <c r="N59" i="33"/>
  <c r="N58" i="33"/>
  <c r="N57" i="33"/>
  <c r="N56" i="33"/>
  <c r="N55" i="33"/>
  <c r="N54" i="33"/>
  <c r="N53" i="33"/>
  <c r="N52" i="33"/>
  <c r="N51" i="33"/>
  <c r="N50" i="33"/>
  <c r="N49" i="33"/>
  <c r="N48" i="33"/>
  <c r="N47" i="33"/>
  <c r="N46" i="33"/>
  <c r="N45" i="33"/>
  <c r="N44" i="33"/>
  <c r="N43" i="33"/>
  <c r="N42" i="33"/>
  <c r="N41" i="33"/>
  <c r="N40" i="33"/>
  <c r="N39" i="33"/>
  <c r="N38" i="33"/>
  <c r="N37" i="33"/>
  <c r="N36" i="33"/>
  <c r="N35" i="33"/>
  <c r="N34" i="33"/>
  <c r="N33" i="33"/>
  <c r="N32" i="33"/>
  <c r="N31" i="33"/>
  <c r="N30" i="33"/>
  <c r="N29" i="33"/>
  <c r="N28" i="33"/>
  <c r="N27" i="33"/>
  <c r="N26" i="33"/>
  <c r="N25" i="33"/>
  <c r="N24" i="33"/>
  <c r="N23" i="33"/>
  <c r="N22" i="33"/>
  <c r="N21" i="33"/>
  <c r="N20" i="33"/>
  <c r="N19" i="33"/>
  <c r="N18" i="33"/>
  <c r="N17" i="33"/>
  <c r="N16" i="33"/>
  <c r="N15" i="33"/>
  <c r="N14" i="33"/>
  <c r="N13" i="33"/>
  <c r="N12" i="33"/>
  <c r="N11" i="33"/>
  <c r="N10" i="33"/>
  <c r="N9" i="33"/>
  <c r="N8" i="33"/>
  <c r="N7" i="33"/>
  <c r="J76" i="33"/>
  <c r="N76" i="33" l="1"/>
  <c r="V12" i="46" l="1"/>
  <c r="V17" i="46" l="1"/>
  <c r="X75" i="76"/>
  <c r="X81" i="76" s="1"/>
  <c r="W76" i="128"/>
  <c r="W82" i="128" s="1"/>
  <c r="W76" i="127" l="1"/>
  <c r="W82" i="127" s="1"/>
  <c r="W76" i="119"/>
  <c r="W82" i="119" s="1"/>
  <c r="W76" i="117" l="1"/>
  <c r="W82" i="117" s="1"/>
  <c r="W76" i="116"/>
  <c r="W82" i="116" s="1"/>
  <c r="W77" i="114"/>
  <c r="W83" i="114" s="1"/>
  <c r="AD64" i="31" l="1"/>
  <c r="AB64" i="31"/>
  <c r="U42" i="153"/>
  <c r="Z42" i="153" s="1"/>
  <c r="U42" i="152"/>
  <c r="Z42" i="152" s="1"/>
  <c r="U42" i="151"/>
  <c r="Z42" i="151" s="1"/>
  <c r="U42" i="149"/>
  <c r="Z42" i="149" s="1"/>
  <c r="U42" i="147"/>
  <c r="Z42" i="147" s="1"/>
  <c r="U42" i="146"/>
  <c r="Z42" i="146" s="1"/>
  <c r="U42" i="145"/>
  <c r="Z42" i="145" s="1"/>
  <c r="U42" i="148"/>
  <c r="Z42" i="148" s="1"/>
  <c r="U42" i="144"/>
  <c r="Z42" i="144" s="1"/>
  <c r="X42" i="115"/>
  <c r="AA42" i="115" s="1"/>
  <c r="U42" i="118"/>
  <c r="Z42" i="118" s="1"/>
  <c r="U42" i="114"/>
  <c r="Z42" i="114" s="1"/>
  <c r="V41" i="76"/>
  <c r="AA41" i="76" s="1"/>
  <c r="U42" i="129"/>
  <c r="Z42" i="129" s="1"/>
  <c r="V41" i="80"/>
  <c r="AA41" i="80" s="1"/>
  <c r="U42" i="131"/>
  <c r="Z42" i="131" s="1"/>
  <c r="U42" i="128"/>
  <c r="Z42" i="128" s="1"/>
  <c r="U42" i="125"/>
  <c r="Z42" i="125" s="1"/>
  <c r="U42" i="119"/>
  <c r="Z42" i="119" s="1"/>
  <c r="U42" i="127"/>
  <c r="Z42" i="127" s="1"/>
  <c r="U42" i="126"/>
  <c r="Z42" i="126" s="1"/>
  <c r="U42" i="120"/>
  <c r="Z42" i="120" s="1"/>
  <c r="U42" i="117"/>
  <c r="Z42" i="117" s="1"/>
  <c r="U42" i="116"/>
  <c r="Z42" i="116" s="1"/>
  <c r="AD25" i="31" l="1"/>
  <c r="AB25" i="31"/>
  <c r="AD23" i="31"/>
  <c r="AB23" i="31"/>
  <c r="AD61" i="31"/>
  <c r="AB61" i="31"/>
  <c r="AD53" i="31"/>
  <c r="AB53" i="31"/>
  <c r="AD45" i="31"/>
  <c r="AB45" i="31"/>
  <c r="AD36" i="31"/>
  <c r="AB36" i="31"/>
  <c r="AD28" i="31"/>
  <c r="AB28" i="31"/>
  <c r="AD12" i="31"/>
  <c r="AB12" i="31"/>
  <c r="AD69" i="31"/>
  <c r="AB69" i="31"/>
  <c r="AD60" i="31"/>
  <c r="AB60" i="31"/>
  <c r="AD52" i="31"/>
  <c r="AB52" i="31"/>
  <c r="AD43" i="31"/>
  <c r="AB43" i="31"/>
  <c r="AD35" i="31"/>
  <c r="AB35" i="31"/>
  <c r="AD27" i="31"/>
  <c r="AB27" i="31"/>
  <c r="AD15" i="31"/>
  <c r="AB15" i="31"/>
  <c r="AD63" i="31"/>
  <c r="AB63" i="31"/>
  <c r="AD55" i="31"/>
  <c r="AB55" i="31"/>
  <c r="AD47" i="31"/>
  <c r="AB47" i="31"/>
  <c r="AD38" i="31"/>
  <c r="AB38" i="31"/>
  <c r="AD30" i="31"/>
  <c r="AB30" i="31"/>
  <c r="AD20" i="31"/>
  <c r="AB20" i="31"/>
  <c r="AD67" i="31"/>
  <c r="AB67" i="31"/>
  <c r="AD58" i="31"/>
  <c r="AB58" i="31"/>
  <c r="AD50" i="31"/>
  <c r="AB50" i="31"/>
  <c r="AD41" i="31"/>
  <c r="AB41" i="31"/>
  <c r="AD33" i="31"/>
  <c r="AB33" i="31"/>
  <c r="AD24" i="31"/>
  <c r="AB24" i="31"/>
  <c r="AD70" i="31"/>
  <c r="AB70" i="31"/>
  <c r="AD66" i="31"/>
  <c r="AB66" i="31"/>
  <c r="AD57" i="31"/>
  <c r="AB57" i="31"/>
  <c r="AD49" i="31"/>
  <c r="AB49" i="31"/>
  <c r="AD40" i="31"/>
  <c r="AB40" i="31"/>
  <c r="AD32" i="31"/>
  <c r="AB32" i="31"/>
  <c r="AD22" i="31"/>
  <c r="AB22" i="31"/>
  <c r="AD65" i="31"/>
  <c r="AB65" i="31"/>
  <c r="AD56" i="31"/>
  <c r="AB56" i="31"/>
  <c r="AD48" i="31"/>
  <c r="AB48" i="31"/>
  <c r="AD39" i="31"/>
  <c r="AB39" i="31"/>
  <c r="AD31" i="31"/>
  <c r="AB31" i="31"/>
  <c r="AD21" i="31"/>
  <c r="AB21" i="31"/>
  <c r="AD68" i="31"/>
  <c r="AB68" i="31"/>
  <c r="AD59" i="31"/>
  <c r="AB59" i="31"/>
  <c r="AD51" i="31"/>
  <c r="AB51" i="31"/>
  <c r="AD42" i="31"/>
  <c r="AB42" i="31"/>
  <c r="AD34" i="31"/>
  <c r="AB34" i="31"/>
  <c r="AD26" i="31"/>
  <c r="AB26" i="31"/>
  <c r="AD14" i="31"/>
  <c r="AB14" i="31"/>
  <c r="AD62" i="31"/>
  <c r="AB62" i="31"/>
  <c r="AD54" i="31"/>
  <c r="AB54" i="31"/>
  <c r="AD46" i="31"/>
  <c r="AB46" i="31"/>
  <c r="AD37" i="31"/>
  <c r="AB37" i="31"/>
  <c r="AD29" i="31"/>
  <c r="AB29" i="31"/>
  <c r="AD13" i="31"/>
  <c r="AB13" i="31"/>
  <c r="AG64" i="31"/>
  <c r="AH64" i="31" s="1"/>
  <c r="X42" i="145"/>
  <c r="AA42" i="145" s="1"/>
  <c r="V42" i="145"/>
  <c r="X42" i="147"/>
  <c r="AA42" i="147" s="1"/>
  <c r="V42" i="147"/>
  <c r="X42" i="151"/>
  <c r="AA42" i="151" s="1"/>
  <c r="V42" i="151"/>
  <c r="X42" i="148"/>
  <c r="AA42" i="148" s="1"/>
  <c r="V42" i="148"/>
  <c r="X42" i="146"/>
  <c r="AA42" i="146" s="1"/>
  <c r="V42" i="146"/>
  <c r="X42" i="149"/>
  <c r="AA42" i="149" s="1"/>
  <c r="V42" i="149"/>
  <c r="X42" i="152"/>
  <c r="AA42" i="152" s="1"/>
  <c r="V42" i="152"/>
  <c r="X42" i="153"/>
  <c r="AA42" i="153" s="1"/>
  <c r="V42" i="153"/>
  <c r="X42" i="144"/>
  <c r="AA42" i="144" s="1"/>
  <c r="V42" i="144"/>
  <c r="X42" i="116"/>
  <c r="X42" i="126"/>
  <c r="AA42" i="126" s="1"/>
  <c r="X42" i="119"/>
  <c r="X42" i="128"/>
  <c r="Y41" i="80"/>
  <c r="AB41" i="80" s="1"/>
  <c r="Y41" i="76"/>
  <c r="X42" i="114"/>
  <c r="X42" i="118"/>
  <c r="AA42" i="118" s="1"/>
  <c r="X42" i="117"/>
  <c r="X42" i="120"/>
  <c r="AA42" i="120" s="1"/>
  <c r="X42" i="127"/>
  <c r="X42" i="125"/>
  <c r="AA42" i="125" s="1"/>
  <c r="X42" i="131"/>
  <c r="AA42" i="131" s="1"/>
  <c r="X42" i="129"/>
  <c r="AB42" i="152" l="1"/>
  <c r="AC42" i="152" s="1"/>
  <c r="BF39" i="72" s="1"/>
  <c r="AB42" i="146"/>
  <c r="AC42" i="146" s="1"/>
  <c r="BA39" i="72" s="1"/>
  <c r="AB42" i="147"/>
  <c r="AC42" i="147" s="1"/>
  <c r="BB39" i="72" s="1"/>
  <c r="AB42" i="148"/>
  <c r="AC42" i="148" s="1"/>
  <c r="BC39" i="72" s="1"/>
  <c r="AB42" i="153"/>
  <c r="AC42" i="153" s="1"/>
  <c r="BG39" i="72" s="1"/>
  <c r="AB42" i="149"/>
  <c r="AC42" i="149" s="1"/>
  <c r="BD39" i="72" s="1"/>
  <c r="AB42" i="151"/>
  <c r="AC42" i="151" s="1"/>
  <c r="BE39" i="72" s="1"/>
  <c r="AB42" i="145"/>
  <c r="AC42" i="145" s="1"/>
  <c r="AZ39" i="72" s="1"/>
  <c r="AB42" i="144"/>
  <c r="AC42" i="144" s="1"/>
  <c r="AY39" i="72" s="1"/>
  <c r="AB41" i="76"/>
  <c r="AD44" i="31"/>
  <c r="AD71" i="31" s="1"/>
  <c r="AB44" i="31"/>
  <c r="AB71" i="31" s="1"/>
  <c r="AA42" i="128"/>
  <c r="AA42" i="116"/>
  <c r="AI64" i="31"/>
  <c r="AJ64" i="31"/>
  <c r="AA42" i="114"/>
  <c r="AA42" i="129"/>
  <c r="AA42" i="127"/>
  <c r="AA42" i="117"/>
  <c r="AA42" i="119"/>
  <c r="AF72" i="31" l="1"/>
  <c r="V39" i="100"/>
  <c r="AK64" i="31"/>
  <c r="AL64" i="31" s="1"/>
  <c r="AO64" i="31" s="1"/>
  <c r="AQ64" i="31" s="1"/>
  <c r="AR64" i="31" s="1"/>
  <c r="AD42" i="145"/>
  <c r="AF42" i="145" s="1"/>
  <c r="AH42" i="145" s="1"/>
  <c r="AI42" i="145" s="1"/>
  <c r="V39" i="72" s="1"/>
  <c r="X39" i="100"/>
  <c r="AD42" i="147"/>
  <c r="AF42" i="147" s="1"/>
  <c r="AH42" i="147" s="1"/>
  <c r="AI42" i="147" s="1"/>
  <c r="X39" i="72" s="1"/>
  <c r="W39" i="100"/>
  <c r="AD42" i="146"/>
  <c r="AF42" i="146" s="1"/>
  <c r="AH42" i="146" s="1"/>
  <c r="AI42" i="146" s="1"/>
  <c r="W39" i="72" s="1"/>
  <c r="AB39" i="100"/>
  <c r="AD42" i="152"/>
  <c r="AF42" i="152" s="1"/>
  <c r="AH42" i="152" s="1"/>
  <c r="AI42" i="152" s="1"/>
  <c r="AB39" i="72" s="1"/>
  <c r="Z39" i="100"/>
  <c r="AD42" i="149"/>
  <c r="AF42" i="149" s="1"/>
  <c r="AH42" i="149" s="1"/>
  <c r="AC39" i="100"/>
  <c r="AD42" i="153"/>
  <c r="AF42" i="153" s="1"/>
  <c r="AH42" i="153" s="1"/>
  <c r="AI42" i="153" s="1"/>
  <c r="AD42" i="144"/>
  <c r="AF42" i="144" s="1"/>
  <c r="AH42" i="144" s="1"/>
  <c r="AI42" i="144" s="1"/>
  <c r="U39" i="72" s="1"/>
  <c r="U39" i="100"/>
  <c r="AA39" i="100"/>
  <c r="AD42" i="151"/>
  <c r="AF42" i="151" s="1"/>
  <c r="AH42" i="151" s="1"/>
  <c r="AI42" i="151" s="1"/>
  <c r="AD42" i="148"/>
  <c r="AF42" i="148" s="1"/>
  <c r="AH42" i="148" s="1"/>
  <c r="AI42" i="148" s="1"/>
  <c r="Y39" i="72" s="1"/>
  <c r="Y39" i="100"/>
  <c r="O15" i="137" l="1"/>
  <c r="F59" i="139" s="1"/>
  <c r="M7" i="5" s="1"/>
  <c r="F56" i="139" s="1"/>
  <c r="L56" i="139" s="1"/>
  <c r="AA39" i="72"/>
  <c r="AC39" i="72"/>
  <c r="AI42" i="149"/>
  <c r="Z39" i="72" s="1"/>
  <c r="E70" i="81"/>
  <c r="L59" i="139" l="1"/>
  <c r="G59" i="139"/>
  <c r="G56" i="139"/>
  <c r="H56" i="139"/>
  <c r="E63" i="81" l="1"/>
  <c r="F42" i="139" l="1"/>
  <c r="L42" i="139" s="1"/>
  <c r="G14" i="137"/>
  <c r="G13" i="137"/>
  <c r="G12" i="137"/>
  <c r="G11" i="137"/>
  <c r="G10" i="137"/>
  <c r="G6" i="137"/>
  <c r="G5" i="137"/>
  <c r="D4" i="137"/>
  <c r="E4" i="137" s="1"/>
  <c r="F4" i="137" s="1"/>
  <c r="G4" i="137" s="1"/>
  <c r="H4" i="137" s="1"/>
  <c r="I4" i="137" s="1"/>
  <c r="J4" i="137" s="1"/>
  <c r="K4" i="137" s="1"/>
  <c r="L4" i="137" s="1"/>
  <c r="M4" i="137" s="1"/>
  <c r="N4" i="137" s="1"/>
  <c r="O4" i="137" s="1"/>
  <c r="P4" i="137" s="1"/>
  <c r="Q4" i="137" s="1"/>
  <c r="R4" i="137" s="1"/>
  <c r="S4" i="137" s="1"/>
  <c r="T4" i="137" s="1"/>
  <c r="U4" i="137" s="1"/>
  <c r="V4" i="137" s="1"/>
  <c r="W4" i="137" s="1"/>
  <c r="X4" i="137" s="1"/>
  <c r="Y4" i="137" s="1"/>
  <c r="Z4" i="137" s="1"/>
  <c r="H41" i="166" l="1"/>
  <c r="G41" i="166"/>
  <c r="F39" i="166"/>
  <c r="G42" i="139"/>
  <c r="F41" i="139"/>
  <c r="L41" i="139" s="1"/>
  <c r="H42" i="139"/>
  <c r="G15" i="137"/>
  <c r="G19" i="137" s="1"/>
  <c r="C19" i="137"/>
  <c r="E18" i="81"/>
  <c r="G18" i="81" s="1"/>
  <c r="O19" i="137"/>
  <c r="E73" i="81"/>
  <c r="G39" i="166" l="1"/>
  <c r="H39" i="166"/>
  <c r="G41" i="139"/>
  <c r="H41" i="139"/>
  <c r="E41" i="81"/>
  <c r="G41" i="81" s="1"/>
  <c r="J73" i="1" l="1"/>
  <c r="H73" i="1"/>
  <c r="W41" i="80"/>
  <c r="V42" i="126"/>
  <c r="AB42" i="126" s="1"/>
  <c r="AC42" i="126" s="1"/>
  <c r="V42" i="127"/>
  <c r="AB42" i="127" s="1"/>
  <c r="Q39" i="100" s="1"/>
  <c r="V42" i="128"/>
  <c r="AB42" i="128" s="1"/>
  <c r="R39" i="100" s="1"/>
  <c r="V42" i="129"/>
  <c r="AB42" i="129" s="1"/>
  <c r="S39" i="100" s="1"/>
  <c r="V42" i="131"/>
  <c r="AB42" i="131" s="1"/>
  <c r="AC42" i="131" s="1"/>
  <c r="V42" i="125"/>
  <c r="AB42" i="125" s="1"/>
  <c r="AC42" i="125" s="1"/>
  <c r="V42" i="120"/>
  <c r="AB42" i="120" s="1"/>
  <c r="AC42" i="120" s="1"/>
  <c r="V42" i="118"/>
  <c r="AB42" i="118" s="1"/>
  <c r="AC42" i="118" s="1"/>
  <c r="V42" i="117"/>
  <c r="V42" i="114"/>
  <c r="AB42" i="114" s="1"/>
  <c r="H39" i="100" s="1"/>
  <c r="G8" i="31"/>
  <c r="E72" i="1"/>
  <c r="E70" i="1"/>
  <c r="E67" i="1"/>
  <c r="E66" i="1"/>
  <c r="E64" i="1"/>
  <c r="E63" i="1"/>
  <c r="E62" i="1"/>
  <c r="E59" i="1"/>
  <c r="E58" i="1"/>
  <c r="E55" i="1"/>
  <c r="E54" i="1"/>
  <c r="E51" i="1"/>
  <c r="E50" i="1"/>
  <c r="E47" i="1"/>
  <c r="E46" i="1"/>
  <c r="E43" i="1"/>
  <c r="E42" i="1"/>
  <c r="E38" i="1"/>
  <c r="E35" i="1"/>
  <c r="E34" i="1"/>
  <c r="E32" i="1"/>
  <c r="E31" i="1"/>
  <c r="E30" i="1"/>
  <c r="E28" i="1"/>
  <c r="E27" i="1"/>
  <c r="E26" i="1"/>
  <c r="E23" i="1"/>
  <c r="E22" i="1"/>
  <c r="E19" i="1"/>
  <c r="E18" i="1"/>
  <c r="E16" i="1"/>
  <c r="E15" i="1"/>
  <c r="E14" i="1"/>
  <c r="E11" i="1"/>
  <c r="E10" i="1"/>
  <c r="E6" i="1"/>
  <c r="E4" i="1"/>
  <c r="O3" i="1"/>
  <c r="P3" i="1" s="1"/>
  <c r="Q3" i="1" s="1"/>
  <c r="R3" i="1" s="1"/>
  <c r="S3" i="1" s="1"/>
  <c r="V3" i="1"/>
  <c r="W3" i="1" s="1"/>
  <c r="X3" i="1" s="1"/>
  <c r="Y3" i="1" s="1"/>
  <c r="Z3" i="1" s="1"/>
  <c r="AA3" i="1" s="1"/>
  <c r="AB3" i="1" s="1"/>
  <c r="AC3" i="1" s="1"/>
  <c r="AD3" i="1" s="1"/>
  <c r="AE3" i="1" s="1"/>
  <c r="AF3" i="1" s="1"/>
  <c r="AG3" i="1" s="1"/>
  <c r="AH3" i="1" s="1"/>
  <c r="AI3" i="1" s="1"/>
  <c r="AJ3" i="1" s="1"/>
  <c r="AK3" i="1" s="1"/>
  <c r="AL3" i="1" s="1"/>
  <c r="AM3" i="1" s="1"/>
  <c r="AN3" i="1" s="1"/>
  <c r="AO3" i="1" s="1"/>
  <c r="AP3" i="1" s="1"/>
  <c r="AQ3" i="1" s="1"/>
  <c r="AR3" i="1" s="1"/>
  <c r="AS3" i="1" s="1"/>
  <c r="AT3" i="1" s="1"/>
  <c r="AU3" i="1" s="1"/>
  <c r="AV3" i="1" s="1"/>
  <c r="AW3" i="1" s="1"/>
  <c r="AX3" i="1" s="1"/>
  <c r="AY3" i="1" s="1"/>
  <c r="G63" i="81"/>
  <c r="Z69" i="13"/>
  <c r="AE76" i="131"/>
  <c r="AE82" i="131" s="1"/>
  <c r="O76" i="131"/>
  <c r="O82" i="131" s="1"/>
  <c r="D5" i="131"/>
  <c r="E5" i="131"/>
  <c r="F5" i="131" s="1"/>
  <c r="G5" i="131" s="1"/>
  <c r="H5" i="131" s="1"/>
  <c r="AE76" i="129"/>
  <c r="AE82" i="129" s="1"/>
  <c r="O76" i="129"/>
  <c r="O82" i="129" s="1"/>
  <c r="D5" i="129"/>
  <c r="E5" i="129" s="1"/>
  <c r="F5" i="129" s="1"/>
  <c r="G5" i="129" s="1"/>
  <c r="H5" i="129" s="1"/>
  <c r="I5" i="129" s="1"/>
  <c r="AE76" i="128"/>
  <c r="AE82" i="128" s="1"/>
  <c r="O76" i="128"/>
  <c r="O82" i="128" s="1"/>
  <c r="C76" i="128"/>
  <c r="C82" i="128" s="1"/>
  <c r="D5" i="128"/>
  <c r="E5" i="128"/>
  <c r="F5" i="128" s="1"/>
  <c r="G5" i="128" s="1"/>
  <c r="H5" i="128" s="1"/>
  <c r="I5" i="128" s="1"/>
  <c r="J5" i="128" s="1"/>
  <c r="K5" i="128" s="1"/>
  <c r="L5" i="128" s="1"/>
  <c r="M5" i="128" s="1"/>
  <c r="N5" i="128" s="1"/>
  <c r="O5" i="128" s="1"/>
  <c r="P5" i="128" s="1"/>
  <c r="Q5" i="128" s="1"/>
  <c r="R5" i="128" s="1"/>
  <c r="S5" i="128" s="1"/>
  <c r="AE76" i="127"/>
  <c r="AE82" i="127" s="1"/>
  <c r="O76" i="127"/>
  <c r="O82" i="127" s="1"/>
  <c r="D5" i="127"/>
  <c r="E5" i="127" s="1"/>
  <c r="F5" i="127" s="1"/>
  <c r="G5" i="127" s="1"/>
  <c r="H5" i="127" s="1"/>
  <c r="I5" i="127" s="1"/>
  <c r="J5" i="127" s="1"/>
  <c r="K5" i="127" s="1"/>
  <c r="L5" i="127" s="1"/>
  <c r="M5" i="127" s="1"/>
  <c r="N5" i="127" s="1"/>
  <c r="O5" i="127" s="1"/>
  <c r="P5" i="127" s="1"/>
  <c r="Q5" i="127" s="1"/>
  <c r="R5" i="127" s="1"/>
  <c r="S5" i="127" s="1"/>
  <c r="AE76" i="126"/>
  <c r="AE82" i="126" s="1"/>
  <c r="O76" i="126"/>
  <c r="O82" i="126" s="1"/>
  <c r="D5" i="126"/>
  <c r="E5" i="126" s="1"/>
  <c r="F5" i="126" s="1"/>
  <c r="G5" i="126" s="1"/>
  <c r="H5" i="126" s="1"/>
  <c r="AE76" i="125"/>
  <c r="AE82" i="125" s="1"/>
  <c r="O76" i="125"/>
  <c r="O82" i="125" s="1"/>
  <c r="D5" i="125"/>
  <c r="E5" i="125" s="1"/>
  <c r="F5" i="125" s="1"/>
  <c r="G5" i="125" s="1"/>
  <c r="H5" i="125" s="1"/>
  <c r="C76" i="125"/>
  <c r="C82" i="125" s="1"/>
  <c r="C76" i="127"/>
  <c r="C82" i="127" s="1"/>
  <c r="G21" i="31"/>
  <c r="G70" i="31"/>
  <c r="E8" i="13"/>
  <c r="E9" i="13"/>
  <c r="E10" i="13"/>
  <c r="E11" i="13"/>
  <c r="G11" i="13" s="1"/>
  <c r="E12" i="13"/>
  <c r="G12" i="13" s="1"/>
  <c r="E13" i="13"/>
  <c r="H13" i="13" s="1"/>
  <c r="D12" i="25" s="1"/>
  <c r="E14" i="13"/>
  <c r="E15" i="13"/>
  <c r="G15" i="13" s="1"/>
  <c r="E16" i="13"/>
  <c r="E17" i="13"/>
  <c r="E18" i="13"/>
  <c r="E19" i="13"/>
  <c r="E20" i="13"/>
  <c r="E21" i="13"/>
  <c r="E22" i="13"/>
  <c r="E23" i="13"/>
  <c r="E24" i="13"/>
  <c r="E25" i="13"/>
  <c r="G25" i="13" s="1"/>
  <c r="E26" i="13"/>
  <c r="E27" i="13"/>
  <c r="G27" i="13" s="1"/>
  <c r="E28" i="13"/>
  <c r="E29" i="13"/>
  <c r="E30" i="13"/>
  <c r="E31" i="13"/>
  <c r="E32" i="13"/>
  <c r="E33" i="13"/>
  <c r="E34" i="13"/>
  <c r="E35" i="13"/>
  <c r="E36" i="13"/>
  <c r="E37" i="13"/>
  <c r="E38" i="13"/>
  <c r="E39" i="13"/>
  <c r="E40" i="13"/>
  <c r="E41" i="13"/>
  <c r="H41" i="13" s="1"/>
  <c r="D40" i="25" s="1"/>
  <c r="E42" i="13"/>
  <c r="E43" i="13"/>
  <c r="G43" i="13" s="1"/>
  <c r="E44" i="13"/>
  <c r="E45" i="13"/>
  <c r="E46" i="13"/>
  <c r="E47" i="13"/>
  <c r="G47" i="13" s="1"/>
  <c r="E48" i="13"/>
  <c r="E49" i="13"/>
  <c r="H49" i="13" s="1"/>
  <c r="D48" i="25" s="1"/>
  <c r="E50" i="13"/>
  <c r="E51" i="13"/>
  <c r="E52" i="13"/>
  <c r="E53" i="13"/>
  <c r="E54" i="13"/>
  <c r="E55" i="13"/>
  <c r="E56" i="13"/>
  <c r="E57" i="13"/>
  <c r="G57" i="13" s="1"/>
  <c r="E58" i="13"/>
  <c r="E59" i="13"/>
  <c r="H59" i="13" s="1"/>
  <c r="D58" i="25" s="1"/>
  <c r="E60" i="13"/>
  <c r="E61" i="13"/>
  <c r="E62" i="13"/>
  <c r="E63" i="13"/>
  <c r="G63" i="13" s="1"/>
  <c r="E64" i="13"/>
  <c r="E65" i="13"/>
  <c r="E66" i="13"/>
  <c r="E67" i="13"/>
  <c r="G67" i="13" s="1"/>
  <c r="E68" i="13"/>
  <c r="E69" i="13"/>
  <c r="E70" i="13"/>
  <c r="E71" i="13"/>
  <c r="G71" i="13" s="1"/>
  <c r="E72" i="13"/>
  <c r="E73" i="13"/>
  <c r="H73" i="13" s="1"/>
  <c r="D72" i="25" s="1"/>
  <c r="E74" i="13"/>
  <c r="E75" i="13"/>
  <c r="E76" i="13"/>
  <c r="AI39" i="13"/>
  <c r="Q8" i="13"/>
  <c r="C96" i="81"/>
  <c r="D44" i="2"/>
  <c r="D22" i="2"/>
  <c r="G14" i="46"/>
  <c r="J15" i="46"/>
  <c r="AE76" i="120"/>
  <c r="AE82" i="120" s="1"/>
  <c r="O76" i="120"/>
  <c r="O82" i="120" s="1"/>
  <c r="G45" i="120"/>
  <c r="G23" i="120"/>
  <c r="C76" i="120"/>
  <c r="C82" i="120" s="1"/>
  <c r="D5" i="120"/>
  <c r="E5" i="120" s="1"/>
  <c r="F5" i="120" s="1"/>
  <c r="G5" i="120" s="1"/>
  <c r="H5" i="120" s="1"/>
  <c r="AE76" i="119"/>
  <c r="AE82" i="119" s="1"/>
  <c r="O76" i="119"/>
  <c r="O82" i="119" s="1"/>
  <c r="D5" i="119"/>
  <c r="E5" i="119" s="1"/>
  <c r="F5" i="119" s="1"/>
  <c r="G5" i="119" s="1"/>
  <c r="H5" i="119" s="1"/>
  <c r="I5" i="119" s="1"/>
  <c r="J5" i="119" s="1"/>
  <c r="K5" i="119" s="1"/>
  <c r="L5" i="119" s="1"/>
  <c r="M5" i="119" s="1"/>
  <c r="N5" i="119" s="1"/>
  <c r="O5" i="119" s="1"/>
  <c r="P5" i="119" s="1"/>
  <c r="Q5" i="119" s="1"/>
  <c r="R5" i="119" s="1"/>
  <c r="S5" i="119" s="1"/>
  <c r="AE76" i="118"/>
  <c r="AE82" i="118" s="1"/>
  <c r="O76" i="118"/>
  <c r="O82" i="118" s="1"/>
  <c r="G45" i="118"/>
  <c r="G23" i="118"/>
  <c r="E5" i="118"/>
  <c r="F5" i="118" s="1"/>
  <c r="G5" i="118" s="1"/>
  <c r="H5" i="118" s="1"/>
  <c r="I5" i="118" s="1"/>
  <c r="J5" i="118" s="1"/>
  <c r="K5" i="118" s="1"/>
  <c r="L5" i="118" s="1"/>
  <c r="M5" i="118" s="1"/>
  <c r="N5" i="118" s="1"/>
  <c r="O5" i="118" s="1"/>
  <c r="P5" i="118" s="1"/>
  <c r="C76" i="117"/>
  <c r="C82" i="117" s="1"/>
  <c r="AE76" i="117"/>
  <c r="AE82" i="117" s="1"/>
  <c r="O76" i="117"/>
  <c r="O82" i="117" s="1"/>
  <c r="D5" i="117"/>
  <c r="E5" i="117" s="1"/>
  <c r="F5" i="117" s="1"/>
  <c r="G5" i="117" s="1"/>
  <c r="H5" i="117" s="1"/>
  <c r="I5" i="117" s="1"/>
  <c r="J5" i="117" s="1"/>
  <c r="K5" i="117" s="1"/>
  <c r="L5" i="117" s="1"/>
  <c r="M5" i="117" s="1"/>
  <c r="N5" i="117" s="1"/>
  <c r="O5" i="117" s="1"/>
  <c r="P5" i="117" s="1"/>
  <c r="Q5" i="117" s="1"/>
  <c r="R5" i="117" s="1"/>
  <c r="S5" i="117" s="1"/>
  <c r="T5" i="117" s="1"/>
  <c r="U5" i="117" s="1"/>
  <c r="C76" i="116"/>
  <c r="C82" i="116" s="1"/>
  <c r="D5" i="116"/>
  <c r="E5" i="116" s="1"/>
  <c r="F5" i="116" s="1"/>
  <c r="G5" i="116" s="1"/>
  <c r="H5" i="116" s="1"/>
  <c r="I5" i="116" s="1"/>
  <c r="J5" i="116" s="1"/>
  <c r="K5" i="116" s="1"/>
  <c r="L5" i="116" s="1"/>
  <c r="M5" i="116" s="1"/>
  <c r="N5" i="116" s="1"/>
  <c r="O5" i="116" s="1"/>
  <c r="P5" i="116" s="1"/>
  <c r="Q5" i="116" s="1"/>
  <c r="R5" i="116" s="1"/>
  <c r="S5" i="116" s="1"/>
  <c r="O76" i="115"/>
  <c r="O82" i="115" s="1"/>
  <c r="G45" i="115"/>
  <c r="AE76" i="115"/>
  <c r="AE82" i="115" s="1"/>
  <c r="G23" i="115"/>
  <c r="D5" i="115"/>
  <c r="E5" i="115" s="1"/>
  <c r="F5" i="115" s="1"/>
  <c r="G5" i="115" s="1"/>
  <c r="H5" i="115" s="1"/>
  <c r="O77" i="114"/>
  <c r="O83" i="114" s="1"/>
  <c r="AE77" i="114"/>
  <c r="AE83" i="114" s="1"/>
  <c r="D5" i="114"/>
  <c r="E5" i="114" s="1"/>
  <c r="F5" i="114" s="1"/>
  <c r="G5" i="114" s="1"/>
  <c r="H5" i="114" s="1"/>
  <c r="I5" i="114" s="1"/>
  <c r="J5" i="114" s="1"/>
  <c r="K5" i="114" s="1"/>
  <c r="L5" i="114" s="1"/>
  <c r="M5" i="114" s="1"/>
  <c r="N5" i="114" s="1"/>
  <c r="O5" i="114" s="1"/>
  <c r="P5" i="114" s="1"/>
  <c r="Q5" i="114" s="1"/>
  <c r="R5" i="114" s="1"/>
  <c r="S5" i="114" s="1"/>
  <c r="O76" i="113"/>
  <c r="O82" i="113" s="1"/>
  <c r="F42" i="113"/>
  <c r="F75" i="113"/>
  <c r="F74" i="113"/>
  <c r="F73" i="113"/>
  <c r="F72" i="113"/>
  <c r="F71" i="113"/>
  <c r="F70" i="113"/>
  <c r="F69" i="113"/>
  <c r="F68" i="113"/>
  <c r="F67" i="113"/>
  <c r="F66" i="113"/>
  <c r="F65" i="113"/>
  <c r="F64" i="113"/>
  <c r="F63" i="113"/>
  <c r="F62" i="113"/>
  <c r="F61" i="113"/>
  <c r="F60" i="113"/>
  <c r="F59" i="113"/>
  <c r="F58" i="113"/>
  <c r="F57" i="113"/>
  <c r="F56" i="113"/>
  <c r="F55" i="113"/>
  <c r="F54" i="113"/>
  <c r="F53" i="113"/>
  <c r="F52" i="113"/>
  <c r="F51" i="113"/>
  <c r="F50" i="113"/>
  <c r="F49" i="113"/>
  <c r="F48" i="113"/>
  <c r="F47" i="113"/>
  <c r="F46" i="113"/>
  <c r="F44" i="113"/>
  <c r="F43" i="113"/>
  <c r="F41" i="113"/>
  <c r="F40" i="113"/>
  <c r="F39" i="113"/>
  <c r="F38" i="113"/>
  <c r="F37" i="113"/>
  <c r="F36" i="113"/>
  <c r="F35" i="113"/>
  <c r="F34" i="113"/>
  <c r="F33" i="113"/>
  <c r="F32" i="113"/>
  <c r="F31" i="113"/>
  <c r="F30" i="113"/>
  <c r="F29" i="113"/>
  <c r="F28" i="113"/>
  <c r="F27" i="113"/>
  <c r="F26" i="113"/>
  <c r="F25" i="113"/>
  <c r="F24" i="113"/>
  <c r="F22" i="113"/>
  <c r="F21" i="113"/>
  <c r="F20" i="113"/>
  <c r="F19" i="113"/>
  <c r="F18" i="113"/>
  <c r="F17" i="113"/>
  <c r="F16" i="113"/>
  <c r="F15" i="113"/>
  <c r="F14" i="113"/>
  <c r="F13" i="113"/>
  <c r="F12" i="113"/>
  <c r="F11" i="113"/>
  <c r="F10" i="113"/>
  <c r="F9" i="113"/>
  <c r="F8" i="113"/>
  <c r="F7" i="113"/>
  <c r="AE76" i="113"/>
  <c r="AE82" i="113" s="1"/>
  <c r="C76" i="113"/>
  <c r="C82" i="113" s="1"/>
  <c r="D5" i="113"/>
  <c r="E5" i="113" s="1"/>
  <c r="F5" i="113" s="1"/>
  <c r="G5" i="113" s="1"/>
  <c r="H5" i="113" s="1"/>
  <c r="I5" i="113" s="1"/>
  <c r="J5" i="113" s="1"/>
  <c r="K5" i="113" s="1"/>
  <c r="L5" i="113" s="1"/>
  <c r="M5" i="113" s="1"/>
  <c r="N5" i="113" s="1"/>
  <c r="O5" i="113" s="1"/>
  <c r="P5" i="113" s="1"/>
  <c r="Q5" i="113" s="1"/>
  <c r="R5" i="113" s="1"/>
  <c r="S5" i="113" s="1"/>
  <c r="T5" i="113" s="1"/>
  <c r="U5" i="113" s="1"/>
  <c r="V5" i="113" s="1"/>
  <c r="C76" i="115"/>
  <c r="C82" i="115" s="1"/>
  <c r="C77" i="114"/>
  <c r="C83" i="114" s="1"/>
  <c r="C76" i="119"/>
  <c r="C82" i="119" s="1"/>
  <c r="C76" i="118"/>
  <c r="C82" i="118" s="1"/>
  <c r="G45" i="117"/>
  <c r="G23" i="116"/>
  <c r="H75" i="81"/>
  <c r="G82" i="81"/>
  <c r="G10" i="46"/>
  <c r="H17" i="81"/>
  <c r="H16" i="81"/>
  <c r="E12" i="1"/>
  <c r="E24" i="1"/>
  <c r="E9" i="1"/>
  <c r="E13" i="1"/>
  <c r="E17" i="1"/>
  <c r="E21" i="1"/>
  <c r="E25" i="1"/>
  <c r="E29" i="1"/>
  <c r="E33" i="1"/>
  <c r="E37" i="1"/>
  <c r="E41" i="1"/>
  <c r="E45" i="1"/>
  <c r="E49" i="1"/>
  <c r="E57" i="1"/>
  <c r="E61" i="1"/>
  <c r="E65" i="1"/>
  <c r="E69" i="1"/>
  <c r="E7" i="1"/>
  <c r="E39" i="1"/>
  <c r="E71" i="1"/>
  <c r="E8" i="1"/>
  <c r="E20" i="1"/>
  <c r="E36" i="1"/>
  <c r="E40" i="1"/>
  <c r="E44" i="1"/>
  <c r="E48" i="1"/>
  <c r="E52" i="1"/>
  <c r="E56" i="1"/>
  <c r="E60" i="1"/>
  <c r="E68" i="1"/>
  <c r="G75" i="81"/>
  <c r="AF75" i="80"/>
  <c r="AF81" i="80" s="1"/>
  <c r="P75" i="80"/>
  <c r="P81" i="80" s="1"/>
  <c r="C75" i="80"/>
  <c r="C81" i="80" s="1"/>
  <c r="G44" i="80"/>
  <c r="F41" i="80"/>
  <c r="G41" i="80" s="1"/>
  <c r="G22" i="80"/>
  <c r="D5" i="80"/>
  <c r="E5" i="80" s="1"/>
  <c r="F5" i="80" s="1"/>
  <c r="G5" i="80" s="1"/>
  <c r="H5" i="80" s="1"/>
  <c r="I5" i="80" s="1"/>
  <c r="J5" i="80" s="1"/>
  <c r="K5" i="80" s="1"/>
  <c r="L5" i="80" s="1"/>
  <c r="M5" i="80" s="1"/>
  <c r="N5" i="80" s="1"/>
  <c r="O5" i="80" s="1"/>
  <c r="P5" i="80" s="1"/>
  <c r="Q5" i="80" s="1"/>
  <c r="C75" i="76"/>
  <c r="C81" i="76" s="1"/>
  <c r="F41" i="76"/>
  <c r="G42" i="31"/>
  <c r="G33" i="31"/>
  <c r="G6" i="31"/>
  <c r="D5" i="76"/>
  <c r="E5" i="76" s="1"/>
  <c r="F5" i="76" s="1"/>
  <c r="G5" i="76" s="1"/>
  <c r="H5" i="76" s="1"/>
  <c r="I5" i="76" s="1"/>
  <c r="J5" i="76" s="1"/>
  <c r="X76" i="13"/>
  <c r="AH77" i="13"/>
  <c r="AG77" i="13"/>
  <c r="BK73" i="72"/>
  <c r="G2" i="72"/>
  <c r="H2" i="72" s="1"/>
  <c r="I2" i="72" s="1"/>
  <c r="J2" i="72" s="1"/>
  <c r="Q8" i="1"/>
  <c r="G5" i="5"/>
  <c r="E3" i="67"/>
  <c r="D4" i="67"/>
  <c r="E4" i="67" s="1"/>
  <c r="F4" i="67" s="1"/>
  <c r="G4" i="67" s="1"/>
  <c r="V77" i="13"/>
  <c r="F77" i="13"/>
  <c r="H40" i="13"/>
  <c r="D39" i="25" s="1"/>
  <c r="H38" i="13"/>
  <c r="D37" i="25" s="1"/>
  <c r="H34" i="13"/>
  <c r="D33" i="25" s="1"/>
  <c r="H32" i="13"/>
  <c r="D31" i="25" s="1"/>
  <c r="G30" i="13"/>
  <c r="H28" i="13"/>
  <c r="D27" i="25" s="1"/>
  <c r="G26" i="13"/>
  <c r="H24" i="13"/>
  <c r="D23" i="25" s="1"/>
  <c r="G22" i="13"/>
  <c r="H16" i="13"/>
  <c r="D15" i="25" s="1"/>
  <c r="G14" i="13"/>
  <c r="H12" i="13"/>
  <c r="D11" i="25" s="1"/>
  <c r="H9" i="13"/>
  <c r="D8" i="25" s="1"/>
  <c r="H44" i="13"/>
  <c r="D43" i="25" s="1"/>
  <c r="H46" i="13"/>
  <c r="D45" i="25" s="1"/>
  <c r="H48" i="13"/>
  <c r="D47" i="25" s="1"/>
  <c r="G50" i="13"/>
  <c r="H52" i="13"/>
  <c r="D51" i="25" s="1"/>
  <c r="H54" i="13"/>
  <c r="D53" i="25" s="1"/>
  <c r="H56" i="13"/>
  <c r="D55" i="25" s="1"/>
  <c r="H58" i="13"/>
  <c r="D57" i="25" s="1"/>
  <c r="G60" i="13"/>
  <c r="H62" i="13"/>
  <c r="D61" i="25" s="1"/>
  <c r="H64" i="13"/>
  <c r="D63" i="25" s="1"/>
  <c r="G66" i="13"/>
  <c r="H70" i="13"/>
  <c r="D69" i="25" s="1"/>
  <c r="H72" i="13"/>
  <c r="D71" i="25" s="1"/>
  <c r="H74" i="13"/>
  <c r="D73" i="25" s="1"/>
  <c r="G76" i="13"/>
  <c r="I62" i="25"/>
  <c r="I7" i="25"/>
  <c r="I8" i="25"/>
  <c r="I9" i="25"/>
  <c r="I10" i="25"/>
  <c r="I11" i="25"/>
  <c r="I12" i="25"/>
  <c r="I13" i="25"/>
  <c r="I14" i="25"/>
  <c r="I15" i="25"/>
  <c r="I16" i="25"/>
  <c r="I17" i="25"/>
  <c r="I18" i="25"/>
  <c r="I19" i="25"/>
  <c r="I20" i="25"/>
  <c r="I21" i="25"/>
  <c r="I22" i="25"/>
  <c r="I23" i="25"/>
  <c r="I24" i="25"/>
  <c r="I25" i="25"/>
  <c r="I26" i="25"/>
  <c r="I27" i="25"/>
  <c r="I28" i="25"/>
  <c r="I29" i="25"/>
  <c r="I30" i="25"/>
  <c r="I31" i="25"/>
  <c r="I32" i="25"/>
  <c r="I33" i="25"/>
  <c r="I34" i="25"/>
  <c r="I35" i="25"/>
  <c r="I36" i="25"/>
  <c r="I37" i="25"/>
  <c r="I38" i="25"/>
  <c r="I39" i="25"/>
  <c r="I40" i="25"/>
  <c r="I41" i="25"/>
  <c r="I42" i="25"/>
  <c r="I43" i="25"/>
  <c r="I44" i="25"/>
  <c r="I45" i="25"/>
  <c r="I46" i="25"/>
  <c r="I47" i="25"/>
  <c r="I48" i="25"/>
  <c r="I49" i="25"/>
  <c r="I50" i="25"/>
  <c r="I51" i="25"/>
  <c r="I52" i="25"/>
  <c r="I53" i="25"/>
  <c r="I54" i="25"/>
  <c r="I55" i="25"/>
  <c r="I56" i="25"/>
  <c r="I57" i="25"/>
  <c r="I58" i="25"/>
  <c r="I59" i="25"/>
  <c r="I60" i="25"/>
  <c r="I61" i="25"/>
  <c r="I63" i="25"/>
  <c r="I64" i="25"/>
  <c r="I65" i="25"/>
  <c r="I66" i="25"/>
  <c r="I67" i="25"/>
  <c r="I68" i="25"/>
  <c r="I69" i="25"/>
  <c r="I70" i="25"/>
  <c r="I71" i="25"/>
  <c r="I72" i="25"/>
  <c r="I73" i="25"/>
  <c r="I74" i="25"/>
  <c r="I75" i="25"/>
  <c r="D5" i="46"/>
  <c r="E5" i="46" s="1"/>
  <c r="F5" i="46" s="1"/>
  <c r="G5" i="46" s="1"/>
  <c r="H5" i="46" s="1"/>
  <c r="I5" i="46" s="1"/>
  <c r="J5" i="46" s="1"/>
  <c r="K5" i="46" s="1"/>
  <c r="L5" i="46" s="1"/>
  <c r="M5" i="46" s="1"/>
  <c r="N5" i="46" s="1"/>
  <c r="O5" i="46" s="1"/>
  <c r="P5" i="46" s="1"/>
  <c r="Q5" i="46" s="1"/>
  <c r="R5" i="46" s="1"/>
  <c r="E53" i="1"/>
  <c r="D5" i="31"/>
  <c r="E5" i="31" s="1"/>
  <c r="F5" i="31" s="1"/>
  <c r="G5" i="31" s="1"/>
  <c r="H5" i="31" s="1"/>
  <c r="AI76" i="13"/>
  <c r="F75" i="25" s="1"/>
  <c r="AI75" i="13"/>
  <c r="AI74" i="13"/>
  <c r="AK74" i="13" s="1"/>
  <c r="AI73" i="13"/>
  <c r="AI72" i="13"/>
  <c r="AI71" i="13"/>
  <c r="AI70" i="13"/>
  <c r="AI69" i="13"/>
  <c r="AI68" i="13"/>
  <c r="AI67" i="13"/>
  <c r="AK67" i="13" s="1"/>
  <c r="AI66" i="13"/>
  <c r="AK66" i="13" s="1"/>
  <c r="AI65" i="13"/>
  <c r="AI64" i="13"/>
  <c r="AI63" i="13"/>
  <c r="AI62" i="13"/>
  <c r="AI61" i="13"/>
  <c r="AI60" i="13"/>
  <c r="F59" i="25" s="1"/>
  <c r="AI59" i="13"/>
  <c r="AI58" i="13"/>
  <c r="AK58" i="13" s="1"/>
  <c r="AL58" i="13" s="1"/>
  <c r="AI57" i="13"/>
  <c r="AI56" i="13"/>
  <c r="AI55" i="13"/>
  <c r="AI54" i="13"/>
  <c r="AK54" i="13" s="1"/>
  <c r="AI53" i="13"/>
  <c r="AI52" i="13"/>
  <c r="F51" i="25" s="1"/>
  <c r="AI51" i="13"/>
  <c r="AI50" i="13"/>
  <c r="AI49" i="13"/>
  <c r="AI48" i="13"/>
  <c r="AK48" i="13" s="1"/>
  <c r="AI47" i="13"/>
  <c r="AI46" i="13"/>
  <c r="AI45" i="13"/>
  <c r="F44" i="25" s="1"/>
  <c r="AI44" i="13"/>
  <c r="F43" i="25" s="1"/>
  <c r="AI43" i="13"/>
  <c r="AI42" i="13"/>
  <c r="AK42" i="13" s="1"/>
  <c r="AI41" i="13"/>
  <c r="AI40" i="13"/>
  <c r="AI38" i="13"/>
  <c r="F37" i="25" s="1"/>
  <c r="AI37" i="13"/>
  <c r="AK37" i="13" s="1"/>
  <c r="AI36" i="13"/>
  <c r="AI35" i="13"/>
  <c r="AK35" i="13" s="1"/>
  <c r="AI34" i="13"/>
  <c r="AK34" i="13" s="1"/>
  <c r="AI33" i="13"/>
  <c r="F32" i="25" s="1"/>
  <c r="AI32" i="13"/>
  <c r="AI31" i="13"/>
  <c r="AK31" i="13" s="1"/>
  <c r="AI30" i="13"/>
  <c r="AI29" i="13"/>
  <c r="AI28" i="13"/>
  <c r="AI27" i="13"/>
  <c r="AI26" i="13"/>
  <c r="AI25" i="13"/>
  <c r="AK25" i="13" s="1"/>
  <c r="AI24" i="13"/>
  <c r="AI23" i="13"/>
  <c r="AI22" i="13"/>
  <c r="AK22" i="13" s="1"/>
  <c r="AI21" i="13"/>
  <c r="AI20" i="13"/>
  <c r="AI19" i="13"/>
  <c r="F18" i="25" s="1"/>
  <c r="AI18" i="13"/>
  <c r="AK18" i="13" s="1"/>
  <c r="AI17" i="13"/>
  <c r="AK17" i="13" s="1"/>
  <c r="AI16" i="13"/>
  <c r="AK16" i="13" s="1"/>
  <c r="AI15" i="13"/>
  <c r="AI14" i="13"/>
  <c r="AK14" i="13" s="1"/>
  <c r="AI13" i="13"/>
  <c r="AI12" i="13"/>
  <c r="AI11" i="13"/>
  <c r="AI10" i="13"/>
  <c r="AK10" i="13" s="1"/>
  <c r="AI9" i="13"/>
  <c r="AI8" i="13"/>
  <c r="AA76" i="13"/>
  <c r="Z76" i="13"/>
  <c r="Y76" i="13"/>
  <c r="O77" i="13"/>
  <c r="Q76" i="13"/>
  <c r="AC76" i="13" s="1"/>
  <c r="Q24" i="13"/>
  <c r="D4" i="5"/>
  <c r="E4" i="5" s="1"/>
  <c r="F4" i="5" s="1"/>
  <c r="G4" i="5" s="1"/>
  <c r="H4" i="5" s="1"/>
  <c r="I4" i="5" s="1"/>
  <c r="J4" i="5" s="1"/>
  <c r="K4" i="5" s="1"/>
  <c r="L4" i="5" s="1"/>
  <c r="M4" i="5" s="1"/>
  <c r="G6" i="2"/>
  <c r="G7" i="2"/>
  <c r="G8" i="2"/>
  <c r="G9" i="2"/>
  <c r="G10" i="2"/>
  <c r="G11" i="2"/>
  <c r="I11" i="2"/>
  <c r="J11" i="2" s="1"/>
  <c r="G12" i="2"/>
  <c r="G13" i="2"/>
  <c r="G14" i="2"/>
  <c r="G15" i="2"/>
  <c r="G16" i="2"/>
  <c r="G17" i="2"/>
  <c r="G18" i="2"/>
  <c r="G19" i="2"/>
  <c r="G20" i="2"/>
  <c r="G21" i="2"/>
  <c r="I21" i="2" s="1"/>
  <c r="J21" i="2" s="1"/>
  <c r="G22" i="2"/>
  <c r="G23" i="2"/>
  <c r="G24" i="2"/>
  <c r="G25" i="2"/>
  <c r="G26" i="2"/>
  <c r="G27" i="2"/>
  <c r="G28" i="2"/>
  <c r="G29" i="2"/>
  <c r="G30" i="2"/>
  <c r="G31" i="2"/>
  <c r="G32" i="2"/>
  <c r="G33" i="2"/>
  <c r="G34" i="2"/>
  <c r="G35" i="2"/>
  <c r="G36" i="2"/>
  <c r="G37" i="2"/>
  <c r="G38" i="2"/>
  <c r="G39" i="2"/>
  <c r="G40" i="2"/>
  <c r="G41" i="2"/>
  <c r="G42" i="2"/>
  <c r="G43" i="2"/>
  <c r="I43" i="2" s="1"/>
  <c r="J43" i="2" s="1"/>
  <c r="G44" i="2"/>
  <c r="G45" i="2"/>
  <c r="I45" i="2" s="1"/>
  <c r="J45" i="2" s="1"/>
  <c r="G46" i="2"/>
  <c r="G47" i="2"/>
  <c r="I47" i="2" s="1"/>
  <c r="J47" i="2" s="1"/>
  <c r="G48" i="2"/>
  <c r="G49" i="2"/>
  <c r="G50" i="2"/>
  <c r="G51" i="2"/>
  <c r="G52" i="2"/>
  <c r="G53" i="2"/>
  <c r="G54" i="2"/>
  <c r="G55" i="2"/>
  <c r="G56" i="2"/>
  <c r="G57" i="2"/>
  <c r="G58" i="2"/>
  <c r="G59" i="2"/>
  <c r="G60" i="2"/>
  <c r="G61" i="2"/>
  <c r="G62" i="2"/>
  <c r="G63" i="2"/>
  <c r="G64" i="2"/>
  <c r="G65" i="2"/>
  <c r="G66" i="2"/>
  <c r="G67" i="2"/>
  <c r="G68" i="2"/>
  <c r="G69" i="2"/>
  <c r="G70" i="2"/>
  <c r="G71" i="2"/>
  <c r="G72" i="2"/>
  <c r="G73" i="2"/>
  <c r="I73" i="2" s="1"/>
  <c r="J73" i="2" s="1"/>
  <c r="G74" i="2"/>
  <c r="F75" i="2"/>
  <c r="F35" i="139" s="1"/>
  <c r="L35" i="139" s="1"/>
  <c r="Q9" i="13"/>
  <c r="X9" i="13"/>
  <c r="X8" i="13"/>
  <c r="Q10" i="13"/>
  <c r="X10" i="13"/>
  <c r="Q11" i="13"/>
  <c r="X11" i="13"/>
  <c r="Q12" i="13"/>
  <c r="X12" i="13"/>
  <c r="Q13" i="13"/>
  <c r="X13" i="13"/>
  <c r="Q14" i="13"/>
  <c r="X14" i="13"/>
  <c r="Q15" i="13"/>
  <c r="X15" i="13"/>
  <c r="Q16" i="13"/>
  <c r="X16" i="13"/>
  <c r="Q17" i="13"/>
  <c r="X17" i="13"/>
  <c r="Q18" i="13"/>
  <c r="X18" i="13"/>
  <c r="Q19" i="13"/>
  <c r="X19" i="13"/>
  <c r="Q20" i="13"/>
  <c r="X20" i="13"/>
  <c r="Q21" i="13"/>
  <c r="X21" i="13"/>
  <c r="Q22" i="13"/>
  <c r="X22" i="13"/>
  <c r="Q23" i="13"/>
  <c r="X23" i="13"/>
  <c r="X24" i="13"/>
  <c r="Q25" i="13"/>
  <c r="X25" i="13"/>
  <c r="Q26" i="13"/>
  <c r="X26" i="13"/>
  <c r="Q27" i="13"/>
  <c r="X27" i="13"/>
  <c r="Q28" i="13"/>
  <c r="X28" i="13"/>
  <c r="Q29" i="13"/>
  <c r="X29" i="13"/>
  <c r="Q30" i="13"/>
  <c r="X30" i="13"/>
  <c r="Q31" i="13"/>
  <c r="X31" i="13"/>
  <c r="Q32" i="13"/>
  <c r="AC32" i="13" s="1"/>
  <c r="X32" i="13"/>
  <c r="Q33" i="13"/>
  <c r="X33" i="13"/>
  <c r="Q34" i="13"/>
  <c r="AC34" i="13" s="1"/>
  <c r="X34" i="13"/>
  <c r="Q35" i="13"/>
  <c r="X35" i="13"/>
  <c r="Q36" i="13"/>
  <c r="X36" i="13"/>
  <c r="Q37" i="13"/>
  <c r="X37" i="13"/>
  <c r="Q38" i="13"/>
  <c r="X38" i="13"/>
  <c r="Q39" i="13"/>
  <c r="X39" i="13"/>
  <c r="Q40" i="13"/>
  <c r="X40" i="13"/>
  <c r="Q41" i="13"/>
  <c r="X41" i="13"/>
  <c r="Q42" i="13"/>
  <c r="X42" i="13"/>
  <c r="Q43" i="13"/>
  <c r="X43" i="13"/>
  <c r="Q44" i="13"/>
  <c r="X44" i="13"/>
  <c r="Q45" i="13"/>
  <c r="X45" i="13"/>
  <c r="Q46" i="13"/>
  <c r="X46" i="13"/>
  <c r="Q47" i="13"/>
  <c r="X47" i="13"/>
  <c r="Q48" i="13"/>
  <c r="X48" i="13"/>
  <c r="Q49" i="13"/>
  <c r="X49" i="13"/>
  <c r="Q50" i="13"/>
  <c r="X50" i="13"/>
  <c r="Q51" i="13"/>
  <c r="X51" i="13"/>
  <c r="Q52" i="13"/>
  <c r="X52" i="13"/>
  <c r="Q53" i="13"/>
  <c r="X53" i="13"/>
  <c r="Q54" i="13"/>
  <c r="X54" i="13"/>
  <c r="Q55" i="13"/>
  <c r="X55" i="13"/>
  <c r="Q56" i="13"/>
  <c r="X56" i="13"/>
  <c r="Q57" i="13"/>
  <c r="X57" i="13"/>
  <c r="Q58" i="13"/>
  <c r="X58" i="13"/>
  <c r="Q59" i="13"/>
  <c r="X59" i="13"/>
  <c r="Q60" i="13"/>
  <c r="X60" i="13"/>
  <c r="Q61" i="13"/>
  <c r="X61" i="13"/>
  <c r="Q62" i="13"/>
  <c r="X62" i="13"/>
  <c r="Q63" i="13"/>
  <c r="X63" i="13"/>
  <c r="Q64" i="13"/>
  <c r="AC64" i="13" s="1"/>
  <c r="X64" i="13"/>
  <c r="Q65" i="13"/>
  <c r="AE65" i="13" s="1"/>
  <c r="X65" i="13"/>
  <c r="Q66" i="13"/>
  <c r="X66" i="13"/>
  <c r="Q67" i="13"/>
  <c r="AE67" i="13" s="1"/>
  <c r="X67" i="13"/>
  <c r="Q68" i="13"/>
  <c r="AC68" i="13" s="1"/>
  <c r="X68" i="13"/>
  <c r="Q69" i="13"/>
  <c r="X69" i="13"/>
  <c r="Q70" i="13"/>
  <c r="X70" i="13"/>
  <c r="Q71" i="13"/>
  <c r="X71" i="13"/>
  <c r="Q72" i="13"/>
  <c r="X72" i="13"/>
  <c r="Q73" i="13"/>
  <c r="X73" i="13"/>
  <c r="Q74" i="13"/>
  <c r="AC74" i="13" s="1"/>
  <c r="X74" i="13"/>
  <c r="Q75" i="13"/>
  <c r="X75" i="13"/>
  <c r="C5" i="33"/>
  <c r="D5" i="33" s="1"/>
  <c r="E5" i="33" s="1"/>
  <c r="F5" i="33" s="1"/>
  <c r="G5" i="33" s="1"/>
  <c r="H5" i="33" s="1"/>
  <c r="I6" i="13"/>
  <c r="J6" i="13"/>
  <c r="K6" i="13" s="1"/>
  <c r="L6" i="13" s="1"/>
  <c r="M6" i="13" s="1"/>
  <c r="N6" i="13" s="1"/>
  <c r="O6" i="13" s="1"/>
  <c r="P6" i="13" s="1"/>
  <c r="Q6" i="13" s="1"/>
  <c r="R6" i="13" s="1"/>
  <c r="S6" i="13" s="1"/>
  <c r="T6" i="13" s="1"/>
  <c r="U6" i="13" s="1"/>
  <c r="V6" i="13" s="1"/>
  <c r="W6" i="13" s="1"/>
  <c r="X6" i="13" s="1"/>
  <c r="Y6" i="13" s="1"/>
  <c r="Z6" i="13" s="1"/>
  <c r="AA6" i="13" s="1"/>
  <c r="AB6" i="13" s="1"/>
  <c r="AC6" i="13" s="1"/>
  <c r="AD6" i="13" s="1"/>
  <c r="AE6" i="13" s="1"/>
  <c r="AF6" i="13" s="1"/>
  <c r="AG6" i="13" s="1"/>
  <c r="AH6" i="13" s="1"/>
  <c r="AI6" i="13" s="1"/>
  <c r="AJ6" i="13" s="1"/>
  <c r="AK6" i="13" s="1"/>
  <c r="AL6" i="13" s="1"/>
  <c r="AM6" i="13" s="1"/>
  <c r="AN6" i="13" s="1"/>
  <c r="AO6" i="13" s="1"/>
  <c r="AP6" i="13" s="1"/>
  <c r="AQ6" i="13" s="1"/>
  <c r="AR6" i="13" s="1"/>
  <c r="D6" i="13"/>
  <c r="D5" i="25"/>
  <c r="E5" i="25" s="1"/>
  <c r="F5" i="25" s="1"/>
  <c r="G5" i="25" s="1"/>
  <c r="H5" i="25" s="1"/>
  <c r="I5" i="25" s="1"/>
  <c r="J5" i="25" s="1"/>
  <c r="N1" i="1"/>
  <c r="E75" i="2"/>
  <c r="AP77" i="13"/>
  <c r="AA8" i="13"/>
  <c r="AA9" i="13"/>
  <c r="AA10" i="13"/>
  <c r="AA11" i="13"/>
  <c r="AA12" i="13"/>
  <c r="AA13" i="13"/>
  <c r="AA14" i="13"/>
  <c r="AA15" i="13"/>
  <c r="AA16" i="13"/>
  <c r="AA17" i="13"/>
  <c r="AA18" i="13"/>
  <c r="AA19" i="13"/>
  <c r="AA20" i="13"/>
  <c r="AA21" i="13"/>
  <c r="AA22" i="13"/>
  <c r="AA23" i="13"/>
  <c r="AA24" i="13"/>
  <c r="AA25" i="13"/>
  <c r="AA26" i="13"/>
  <c r="AA27" i="13"/>
  <c r="AA28" i="13"/>
  <c r="AA29" i="13"/>
  <c r="AA30" i="13"/>
  <c r="AA31" i="13"/>
  <c r="AA32" i="13"/>
  <c r="AA33" i="13"/>
  <c r="AA34" i="13"/>
  <c r="AA35" i="13"/>
  <c r="AA36" i="13"/>
  <c r="AA37" i="13"/>
  <c r="AA38" i="13"/>
  <c r="AA39" i="13"/>
  <c r="AA40" i="13"/>
  <c r="AA41" i="13"/>
  <c r="AA42" i="13"/>
  <c r="AA43" i="13"/>
  <c r="AA44" i="13"/>
  <c r="AA45" i="13"/>
  <c r="AA46" i="13"/>
  <c r="AA47" i="13"/>
  <c r="AA48" i="13"/>
  <c r="AA49" i="13"/>
  <c r="AA50" i="13"/>
  <c r="AA51" i="13"/>
  <c r="AA52" i="13"/>
  <c r="AA53" i="13"/>
  <c r="AA54" i="13"/>
  <c r="AA55" i="13"/>
  <c r="AA56" i="13"/>
  <c r="AA57" i="13"/>
  <c r="AA58" i="13"/>
  <c r="AA59" i="13"/>
  <c r="AA60" i="13"/>
  <c r="AA61" i="13"/>
  <c r="AA62" i="13"/>
  <c r="AA63" i="13"/>
  <c r="AA64" i="13"/>
  <c r="AA65" i="13"/>
  <c r="AA66" i="13"/>
  <c r="AA67" i="13"/>
  <c r="AA68" i="13"/>
  <c r="AA69" i="13"/>
  <c r="AA70" i="13"/>
  <c r="AA71" i="13"/>
  <c r="AA72" i="13"/>
  <c r="AA73" i="13"/>
  <c r="AA74" i="13"/>
  <c r="AA75" i="13"/>
  <c r="Z21" i="13"/>
  <c r="Z8" i="13"/>
  <c r="Z9" i="13"/>
  <c r="Z10" i="13"/>
  <c r="Z11" i="13"/>
  <c r="Z12" i="13"/>
  <c r="Z13" i="13"/>
  <c r="Z14" i="13"/>
  <c r="Z15" i="13"/>
  <c r="Z16" i="13"/>
  <c r="Z17" i="13"/>
  <c r="Z18" i="13"/>
  <c r="Z19" i="13"/>
  <c r="Z20" i="13"/>
  <c r="Z22" i="13"/>
  <c r="Z23" i="13"/>
  <c r="Z24" i="13"/>
  <c r="Z25" i="13"/>
  <c r="Z26" i="13"/>
  <c r="Z27" i="13"/>
  <c r="Z28" i="13"/>
  <c r="Z29" i="13"/>
  <c r="Z30" i="13"/>
  <c r="Z31" i="13"/>
  <c r="Z32" i="13"/>
  <c r="Z33" i="13"/>
  <c r="Z34" i="13"/>
  <c r="Z35" i="13"/>
  <c r="Z36" i="13"/>
  <c r="Z37" i="13"/>
  <c r="Z38" i="13"/>
  <c r="Z39" i="13"/>
  <c r="Z40" i="13"/>
  <c r="Z41" i="13"/>
  <c r="Z42" i="13"/>
  <c r="Z43" i="13"/>
  <c r="Z44" i="13"/>
  <c r="Z45" i="13"/>
  <c r="Z46" i="13"/>
  <c r="Z47" i="13"/>
  <c r="Z48" i="13"/>
  <c r="Z49" i="13"/>
  <c r="Z50" i="13"/>
  <c r="Z51" i="13"/>
  <c r="Z52" i="13"/>
  <c r="Z53" i="13"/>
  <c r="Z54" i="13"/>
  <c r="Z55" i="13"/>
  <c r="Z56" i="13"/>
  <c r="Z57" i="13"/>
  <c r="Z58" i="13"/>
  <c r="Z59" i="13"/>
  <c r="Z60" i="13"/>
  <c r="Z61" i="13"/>
  <c r="Z62" i="13"/>
  <c r="Z63" i="13"/>
  <c r="Z64" i="13"/>
  <c r="Z65" i="13"/>
  <c r="Z66" i="13"/>
  <c r="Z67" i="13"/>
  <c r="Z68" i="13"/>
  <c r="Z70" i="13"/>
  <c r="Z71" i="13"/>
  <c r="Z72" i="13"/>
  <c r="Z73" i="13"/>
  <c r="Z74" i="13"/>
  <c r="Z75" i="13"/>
  <c r="W77" i="13"/>
  <c r="S77" i="13"/>
  <c r="P77" i="13"/>
  <c r="L77" i="13"/>
  <c r="J77" i="13"/>
  <c r="C77" i="13"/>
  <c r="Y75" i="13"/>
  <c r="Y74" i="13"/>
  <c r="Y73" i="13"/>
  <c r="Y72" i="13"/>
  <c r="Y71" i="13"/>
  <c r="Y70" i="13"/>
  <c r="Y69" i="13"/>
  <c r="Y68" i="13"/>
  <c r="Y67" i="13"/>
  <c r="Y66" i="13"/>
  <c r="Y65" i="13"/>
  <c r="Y64" i="13"/>
  <c r="Y63" i="13"/>
  <c r="Y62" i="13"/>
  <c r="Y61" i="13"/>
  <c r="Y60" i="13"/>
  <c r="Y59" i="13"/>
  <c r="Y58" i="13"/>
  <c r="Y57" i="13"/>
  <c r="Y56" i="13"/>
  <c r="Y55" i="13"/>
  <c r="Y54" i="13"/>
  <c r="Y53" i="13"/>
  <c r="Y52" i="13"/>
  <c r="Y51" i="13"/>
  <c r="Y50" i="13"/>
  <c r="Y49" i="13"/>
  <c r="Y48" i="13"/>
  <c r="Y47" i="13"/>
  <c r="Y46" i="13"/>
  <c r="Y45" i="13"/>
  <c r="Y44" i="13"/>
  <c r="Y43" i="13"/>
  <c r="Y42" i="13"/>
  <c r="Y41" i="13"/>
  <c r="Y40" i="13"/>
  <c r="Y39" i="13"/>
  <c r="Y38" i="13"/>
  <c r="Y37" i="13"/>
  <c r="Y36" i="13"/>
  <c r="Y35" i="13"/>
  <c r="Y34" i="13"/>
  <c r="Y33" i="13"/>
  <c r="Y32" i="13"/>
  <c r="Y31" i="13"/>
  <c r="Y30" i="13"/>
  <c r="Y29" i="13"/>
  <c r="Y28" i="13"/>
  <c r="Y27" i="13"/>
  <c r="Y26" i="13"/>
  <c r="Y25" i="13"/>
  <c r="Y24" i="13"/>
  <c r="Y23" i="13"/>
  <c r="Y22" i="13"/>
  <c r="Y21" i="13"/>
  <c r="Y20" i="13"/>
  <c r="Y19" i="13"/>
  <c r="Y18" i="13"/>
  <c r="Y17" i="13"/>
  <c r="Y16" i="13"/>
  <c r="Y15" i="13"/>
  <c r="Y14" i="13"/>
  <c r="Y13" i="13"/>
  <c r="Y12" i="13"/>
  <c r="Y11" i="13"/>
  <c r="Y10" i="13"/>
  <c r="Y9" i="13"/>
  <c r="Y8" i="13"/>
  <c r="AN19" i="13"/>
  <c r="AO19" i="13"/>
  <c r="D77" i="13"/>
  <c r="G8" i="46"/>
  <c r="G31" i="31"/>
  <c r="AJ77" i="13"/>
  <c r="AM19" i="13"/>
  <c r="G18" i="25" s="1"/>
  <c r="AL19" i="13"/>
  <c r="Q12" i="1"/>
  <c r="F30" i="25"/>
  <c r="G64" i="13"/>
  <c r="Q66" i="1"/>
  <c r="F36" i="25"/>
  <c r="Q47" i="1"/>
  <c r="Q55" i="1"/>
  <c r="Q32" i="1"/>
  <c r="F41" i="25"/>
  <c r="F53" i="25"/>
  <c r="F73" i="25"/>
  <c r="G54" i="13"/>
  <c r="F57" i="25"/>
  <c r="AC62" i="13"/>
  <c r="F47" i="25"/>
  <c r="AB28" i="13"/>
  <c r="G28" i="13"/>
  <c r="AC47" i="13"/>
  <c r="AC12" i="13"/>
  <c r="AC20" i="13"/>
  <c r="G8" i="13"/>
  <c r="H8" i="13"/>
  <c r="D7" i="25" s="1"/>
  <c r="G16" i="13"/>
  <c r="F9" i="25"/>
  <c r="G24" i="13"/>
  <c r="AC15" i="13"/>
  <c r="AC8" i="13"/>
  <c r="Q63" i="1"/>
  <c r="Q51" i="1"/>
  <c r="Q43" i="1"/>
  <c r="Q23" i="1"/>
  <c r="AC42" i="13"/>
  <c r="G58" i="13"/>
  <c r="AC25" i="13"/>
  <c r="G46" i="13"/>
  <c r="G62" i="13"/>
  <c r="G74" i="13"/>
  <c r="AK60" i="13"/>
  <c r="Q70" i="1"/>
  <c r="Q60" i="1"/>
  <c r="Q38" i="1"/>
  <c r="Q18" i="1"/>
  <c r="Q28" i="1"/>
  <c r="Q7" i="1"/>
  <c r="AB18" i="13"/>
  <c r="AB52" i="13"/>
  <c r="AB48" i="13"/>
  <c r="F7" i="25"/>
  <c r="G52" i="13"/>
  <c r="AC52" i="13"/>
  <c r="AK52" i="13"/>
  <c r="AK44" i="13"/>
  <c r="Q69" i="1"/>
  <c r="Q65" i="1"/>
  <c r="Q59" i="1"/>
  <c r="Q54" i="1"/>
  <c r="Q50" i="1"/>
  <c r="Q46" i="1"/>
  <c r="Q42" i="1"/>
  <c r="Q36" i="1"/>
  <c r="Q31" i="1"/>
  <c r="Q27" i="1"/>
  <c r="Q22" i="1"/>
  <c r="Q16" i="1"/>
  <c r="Q11" i="1"/>
  <c r="Q6" i="1"/>
  <c r="Q73" i="1"/>
  <c r="E9" i="81"/>
  <c r="H9" i="81" s="1"/>
  <c r="F13" i="25"/>
  <c r="G38" i="13"/>
  <c r="AC60" i="13"/>
  <c r="Q72" i="1"/>
  <c r="Q68" i="1"/>
  <c r="Q64" i="1"/>
  <c r="Q62" i="1"/>
  <c r="Q58" i="1"/>
  <c r="Q48" i="1"/>
  <c r="Q44" i="1"/>
  <c r="Q40" i="1"/>
  <c r="Q35" i="1"/>
  <c r="Q30" i="1"/>
  <c r="Q26" i="1"/>
  <c r="Q20" i="1"/>
  <c r="Q15" i="1"/>
  <c r="Q10" i="1"/>
  <c r="Q4" i="1"/>
  <c r="F33" i="25"/>
  <c r="Q71" i="1"/>
  <c r="Q67" i="1"/>
  <c r="Q61" i="1"/>
  <c r="Q56" i="1"/>
  <c r="Q52" i="1"/>
  <c r="Q39" i="1"/>
  <c r="Q34" i="1"/>
  <c r="Q24" i="1"/>
  <c r="Q19" i="1"/>
  <c r="Q14" i="1"/>
  <c r="G16" i="81"/>
  <c r="G17" i="81"/>
  <c r="I27" i="2"/>
  <c r="J27" i="2" s="1"/>
  <c r="I63" i="2"/>
  <c r="J63" i="2" s="1"/>
  <c r="I55" i="2"/>
  <c r="J55" i="2" s="1"/>
  <c r="F73" i="1"/>
  <c r="E5" i="1"/>
  <c r="I69" i="2"/>
  <c r="J69" i="2" s="1"/>
  <c r="AK46" i="13"/>
  <c r="F45" i="25"/>
  <c r="F34" i="25"/>
  <c r="AK40" i="13"/>
  <c r="AL40" i="13" s="1"/>
  <c r="F39" i="25"/>
  <c r="AK56" i="13"/>
  <c r="F55" i="25"/>
  <c r="AE69" i="13"/>
  <c r="AK50" i="13"/>
  <c r="F49" i="25"/>
  <c r="F61" i="25"/>
  <c r="F65" i="25"/>
  <c r="AE50" i="13"/>
  <c r="H42" i="13"/>
  <c r="D41" i="25" s="1"/>
  <c r="G42" i="13"/>
  <c r="H68" i="13"/>
  <c r="D67" i="25" s="1"/>
  <c r="G68" i="13"/>
  <c r="H20" i="13"/>
  <c r="D19" i="25" s="1"/>
  <c r="G20" i="13"/>
  <c r="G48" i="13"/>
  <c r="F15" i="25"/>
  <c r="F66" i="25"/>
  <c r="AB38" i="13"/>
  <c r="AE47" i="13"/>
  <c r="C46" i="25" s="1"/>
  <c r="H60" i="13"/>
  <c r="D59" i="25" s="1"/>
  <c r="I35" i="2"/>
  <c r="J35" i="2" s="1"/>
  <c r="AO67" i="13"/>
  <c r="AK76" i="13"/>
  <c r="AL76" i="13" s="1"/>
  <c r="F46" i="25"/>
  <c r="AB42" i="13"/>
  <c r="AL14" i="13"/>
  <c r="F21" i="25"/>
  <c r="F17" i="25"/>
  <c r="F24" i="25"/>
  <c r="AE75" i="13"/>
  <c r="AE37" i="13"/>
  <c r="AE14" i="13"/>
  <c r="AB14" i="13"/>
  <c r="AE57" i="13"/>
  <c r="AE74" i="13"/>
  <c r="AD74" i="13" s="1"/>
  <c r="AE70" i="13"/>
  <c r="AE16" i="13"/>
  <c r="AD16" i="13" s="1"/>
  <c r="AE32" i="13"/>
  <c r="AD32" i="13" s="1"/>
  <c r="AE9" i="13"/>
  <c r="AQ9" i="13" s="1"/>
  <c r="AC67" i="13"/>
  <c r="AC30" i="13"/>
  <c r="AE64" i="13"/>
  <c r="AQ64" i="13" s="1"/>
  <c r="Y60" i="1" s="1"/>
  <c r="AE55" i="13"/>
  <c r="AC10" i="13"/>
  <c r="AC18" i="13"/>
  <c r="C75" i="67"/>
  <c r="C81" i="67" s="1"/>
  <c r="I71" i="2"/>
  <c r="J71" i="2" s="1"/>
  <c r="I58" i="2"/>
  <c r="J58" i="2" s="1"/>
  <c r="I51" i="2"/>
  <c r="J51" i="2" s="1"/>
  <c r="I7" i="2"/>
  <c r="J7" i="2" s="1"/>
  <c r="AB32" i="13"/>
  <c r="AC70" i="13"/>
  <c r="G40" i="13"/>
  <c r="H76" i="13"/>
  <c r="D75" i="25" s="1"/>
  <c r="AC16" i="13"/>
  <c r="AC37" i="13"/>
  <c r="AB40" i="13"/>
  <c r="AB44" i="13"/>
  <c r="AB46" i="13"/>
  <c r="AC56" i="13"/>
  <c r="G72" i="13"/>
  <c r="AB16" i="13"/>
  <c r="G32" i="13"/>
  <c r="G70" i="13"/>
  <c r="AC13" i="13"/>
  <c r="AC24" i="13"/>
  <c r="AC44" i="13"/>
  <c r="AB57" i="13"/>
  <c r="G44" i="13"/>
  <c r="G56" i="13"/>
  <c r="AC14" i="13"/>
  <c r="AC22" i="13"/>
  <c r="AB25" i="13"/>
  <c r="G18" i="13"/>
  <c r="G34" i="13"/>
  <c r="G41" i="13"/>
  <c r="H66" i="13"/>
  <c r="D65" i="25" s="1"/>
  <c r="H50" i="13"/>
  <c r="D49" i="25" s="1"/>
  <c r="H10" i="13"/>
  <c r="D9" i="25" s="1"/>
  <c r="H14" i="13"/>
  <c r="D13" i="25" s="1"/>
  <c r="H18" i="13"/>
  <c r="D17" i="25" s="1"/>
  <c r="H22" i="13"/>
  <c r="D21" i="25" s="1"/>
  <c r="H26" i="13"/>
  <c r="D25" i="25" s="1"/>
  <c r="H30" i="13"/>
  <c r="D29" i="25" s="1"/>
  <c r="AB76" i="13"/>
  <c r="AB10" i="13"/>
  <c r="AB26" i="13"/>
  <c r="AB30" i="13"/>
  <c r="AB41" i="13"/>
  <c r="AB50" i="13"/>
  <c r="G10" i="13"/>
  <c r="AC50" i="13"/>
  <c r="Q77" i="13"/>
  <c r="AB56" i="13"/>
  <c r="AB54" i="13"/>
  <c r="X77" i="13"/>
  <c r="F16" i="25"/>
  <c r="G75" i="13"/>
  <c r="AB67" i="13"/>
  <c r="AB59" i="13"/>
  <c r="H43" i="13"/>
  <c r="D42" i="25" s="1"/>
  <c r="H27" i="13"/>
  <c r="D26" i="25" s="1"/>
  <c r="H11" i="13"/>
  <c r="D10" i="25" s="1"/>
  <c r="AC11" i="13"/>
  <c r="AE29" i="13"/>
  <c r="C28" i="25" s="1"/>
  <c r="AE24" i="13"/>
  <c r="AB24" i="13"/>
  <c r="AK27" i="13"/>
  <c r="AN27" i="13" s="1"/>
  <c r="F26" i="25"/>
  <c r="AE39" i="13"/>
  <c r="AQ39" i="13" s="1"/>
  <c r="Y35" i="1" s="1"/>
  <c r="AE34" i="13"/>
  <c r="AB34" i="13"/>
  <c r="AE76" i="13"/>
  <c r="AK11" i="13"/>
  <c r="AL11" i="13" s="1"/>
  <c r="AK24" i="13"/>
  <c r="F23" i="25"/>
  <c r="H36" i="13"/>
  <c r="D35" i="25" s="1"/>
  <c r="G36" i="13"/>
  <c r="AB36" i="13"/>
  <c r="AC36" i="13"/>
  <c r="AE51" i="13"/>
  <c r="C50" i="25" s="1"/>
  <c r="AB22" i="13"/>
  <c r="AB17" i="13"/>
  <c r="AK33" i="13"/>
  <c r="H63" i="13"/>
  <c r="D62" i="25" s="1"/>
  <c r="H47" i="13"/>
  <c r="D46" i="25" s="1"/>
  <c r="H19" i="13"/>
  <c r="D18" i="25" s="1"/>
  <c r="AE73" i="13"/>
  <c r="AB63" i="13"/>
  <c r="AB58" i="13"/>
  <c r="AE31" i="13"/>
  <c r="AQ31" i="13" s="1"/>
  <c r="Y27" i="1" s="1"/>
  <c r="AE19" i="13"/>
  <c r="H39" i="13"/>
  <c r="D38" i="25" s="1"/>
  <c r="H31" i="13"/>
  <c r="D30" i="25" s="1"/>
  <c r="AE68" i="13"/>
  <c r="AE52" i="13"/>
  <c r="AE36" i="13"/>
  <c r="C35" i="25" s="1"/>
  <c r="AE21" i="13"/>
  <c r="C20" i="25" s="1"/>
  <c r="Q5" i="1"/>
  <c r="Q9" i="1"/>
  <c r="Q13" i="1"/>
  <c r="Q17" i="1"/>
  <c r="Q21" i="1"/>
  <c r="Q25" i="1"/>
  <c r="Q29" i="1"/>
  <c r="Q33" i="1"/>
  <c r="Q37" i="1"/>
  <c r="Q41" i="1"/>
  <c r="Q45" i="1"/>
  <c r="Q49" i="1"/>
  <c r="Q53" i="1"/>
  <c r="Q57" i="1"/>
  <c r="F7" i="80"/>
  <c r="G7" i="80" s="1"/>
  <c r="F7" i="76"/>
  <c r="F9" i="80"/>
  <c r="G9" i="80" s="1"/>
  <c r="F9" i="76"/>
  <c r="F11" i="80"/>
  <c r="G11" i="80" s="1"/>
  <c r="F11" i="76"/>
  <c r="F13" i="80"/>
  <c r="G13" i="80" s="1"/>
  <c r="F13" i="76"/>
  <c r="F15" i="80"/>
  <c r="G15" i="80" s="1"/>
  <c r="F15" i="76"/>
  <c r="F17" i="80"/>
  <c r="G17" i="80" s="1"/>
  <c r="F17" i="76"/>
  <c r="F19" i="80"/>
  <c r="G19" i="80" s="1"/>
  <c r="F19" i="76"/>
  <c r="F21" i="80"/>
  <c r="G21" i="80" s="1"/>
  <c r="F21" i="76"/>
  <c r="F24" i="80"/>
  <c r="G24" i="80" s="1"/>
  <c r="F24" i="76"/>
  <c r="F26" i="80"/>
  <c r="G26" i="80" s="1"/>
  <c r="F26" i="76"/>
  <c r="F28" i="80"/>
  <c r="G28" i="80" s="1"/>
  <c r="F28" i="76"/>
  <c r="F30" i="80"/>
  <c r="G30" i="80" s="1"/>
  <c r="F30" i="76"/>
  <c r="F32" i="80"/>
  <c r="G32" i="80" s="1"/>
  <c r="F32" i="76"/>
  <c r="F34" i="80"/>
  <c r="G34" i="80" s="1"/>
  <c r="F34" i="76"/>
  <c r="F36" i="80"/>
  <c r="G36" i="80" s="1"/>
  <c r="F36" i="76"/>
  <c r="F38" i="80"/>
  <c r="G38" i="80" s="1"/>
  <c r="F38" i="76"/>
  <c r="F40" i="80"/>
  <c r="G40" i="80" s="1"/>
  <c r="F40" i="76"/>
  <c r="F43" i="80"/>
  <c r="G43" i="80" s="1"/>
  <c r="F43" i="76"/>
  <c r="F46" i="80"/>
  <c r="G46" i="80" s="1"/>
  <c r="F46" i="76"/>
  <c r="F48" i="80"/>
  <c r="G48" i="80" s="1"/>
  <c r="F48" i="76"/>
  <c r="F50" i="80"/>
  <c r="G50" i="80" s="1"/>
  <c r="F50" i="76"/>
  <c r="F51" i="76"/>
  <c r="F51" i="80"/>
  <c r="G51" i="80" s="1"/>
  <c r="F53" i="76"/>
  <c r="F53" i="80"/>
  <c r="G53" i="80" s="1"/>
  <c r="F55" i="76"/>
  <c r="F55" i="80"/>
  <c r="G55" i="80" s="1"/>
  <c r="F57" i="76"/>
  <c r="F57" i="80"/>
  <c r="G57" i="80" s="1"/>
  <c r="F59" i="76"/>
  <c r="F59" i="80"/>
  <c r="G59" i="80" s="1"/>
  <c r="F61" i="76"/>
  <c r="F61" i="80"/>
  <c r="G61" i="80" s="1"/>
  <c r="F63" i="76"/>
  <c r="F63" i="80"/>
  <c r="G63" i="80" s="1"/>
  <c r="F65" i="76"/>
  <c r="F65" i="80"/>
  <c r="G65" i="80" s="1"/>
  <c r="F67" i="76"/>
  <c r="F67" i="80"/>
  <c r="G67" i="80" s="1"/>
  <c r="F69" i="76"/>
  <c r="F69" i="80"/>
  <c r="G69" i="80" s="1"/>
  <c r="F71" i="76"/>
  <c r="F71" i="80"/>
  <c r="G71" i="80" s="1"/>
  <c r="F6" i="76"/>
  <c r="F6" i="80"/>
  <c r="G6" i="80" s="1"/>
  <c r="F8" i="76"/>
  <c r="F8" i="80"/>
  <c r="G8" i="80" s="1"/>
  <c r="F10" i="76"/>
  <c r="F10" i="80"/>
  <c r="G10" i="80" s="1"/>
  <c r="F12" i="76"/>
  <c r="F12" i="80"/>
  <c r="G12" i="80" s="1"/>
  <c r="F14" i="76"/>
  <c r="F14" i="80"/>
  <c r="G14" i="80" s="1"/>
  <c r="F16" i="76"/>
  <c r="F16" i="80"/>
  <c r="G16" i="80" s="1"/>
  <c r="F18" i="76"/>
  <c r="F18" i="80"/>
  <c r="G18" i="80" s="1"/>
  <c r="F20" i="76"/>
  <c r="F20" i="80"/>
  <c r="G20" i="80" s="1"/>
  <c r="F23" i="76"/>
  <c r="F23" i="80"/>
  <c r="G23" i="80" s="1"/>
  <c r="F25" i="76"/>
  <c r="F25" i="80"/>
  <c r="G25" i="80" s="1"/>
  <c r="F27" i="76"/>
  <c r="F27" i="80"/>
  <c r="G27" i="80" s="1"/>
  <c r="F29" i="76"/>
  <c r="F29" i="80"/>
  <c r="G29" i="80" s="1"/>
  <c r="F31" i="76"/>
  <c r="F31" i="80"/>
  <c r="G31" i="80" s="1"/>
  <c r="F33" i="76"/>
  <c r="F33" i="80"/>
  <c r="G33" i="80" s="1"/>
  <c r="F35" i="76"/>
  <c r="F35" i="80"/>
  <c r="G35" i="80" s="1"/>
  <c r="F37" i="76"/>
  <c r="F37" i="80"/>
  <c r="G37" i="80" s="1"/>
  <c r="F39" i="76"/>
  <c r="F39" i="80"/>
  <c r="G39" i="80" s="1"/>
  <c r="F42" i="76"/>
  <c r="F42" i="80"/>
  <c r="G42" i="80" s="1"/>
  <c r="F45" i="76"/>
  <c r="F45" i="80"/>
  <c r="G45" i="80" s="1"/>
  <c r="F47" i="76"/>
  <c r="F47" i="80"/>
  <c r="G47" i="80" s="1"/>
  <c r="F49" i="76"/>
  <c r="F49" i="80"/>
  <c r="G49" i="80" s="1"/>
  <c r="F52" i="80"/>
  <c r="G52" i="80" s="1"/>
  <c r="F52" i="76"/>
  <c r="F54" i="80"/>
  <c r="G54" i="80" s="1"/>
  <c r="F54" i="76"/>
  <c r="F56" i="80"/>
  <c r="G56" i="80" s="1"/>
  <c r="F56" i="76"/>
  <c r="F58" i="80"/>
  <c r="G58" i="80" s="1"/>
  <c r="F58" i="76"/>
  <c r="F60" i="80"/>
  <c r="G60" i="80" s="1"/>
  <c r="F60" i="76"/>
  <c r="F62" i="80"/>
  <c r="G62" i="80" s="1"/>
  <c r="F62" i="76"/>
  <c r="F64" i="80"/>
  <c r="G64" i="80" s="1"/>
  <c r="F64" i="76"/>
  <c r="F66" i="80"/>
  <c r="G66" i="80" s="1"/>
  <c r="F66" i="76"/>
  <c r="F68" i="80"/>
  <c r="G68" i="80" s="1"/>
  <c r="F68" i="76"/>
  <c r="F70" i="80"/>
  <c r="G70" i="80" s="1"/>
  <c r="F70" i="76"/>
  <c r="F72" i="80"/>
  <c r="G72" i="80" s="1"/>
  <c r="F72" i="76"/>
  <c r="F74" i="80"/>
  <c r="G74" i="80" s="1"/>
  <c r="F74" i="76"/>
  <c r="F73" i="76"/>
  <c r="F73" i="80"/>
  <c r="G73" i="80" s="1"/>
  <c r="AL10" i="13"/>
  <c r="AN10" i="13"/>
  <c r="AO14" i="13"/>
  <c r="AM37" i="13"/>
  <c r="G36" i="25" s="1"/>
  <c r="AN37" i="13"/>
  <c r="AO42" i="13"/>
  <c r="AO58" i="13"/>
  <c r="AM58" i="13"/>
  <c r="G57" i="25" s="1"/>
  <c r="AN58" i="13"/>
  <c r="AO74" i="13"/>
  <c r="AB60" i="13"/>
  <c r="AB62" i="13"/>
  <c r="AB64" i="13"/>
  <c r="AB66" i="13"/>
  <c r="AB68" i="13"/>
  <c r="AB70" i="13"/>
  <c r="AB72" i="13"/>
  <c r="AB74" i="13"/>
  <c r="AN56" i="13"/>
  <c r="AM60" i="13"/>
  <c r="G59" i="25" s="1"/>
  <c r="AN40" i="13"/>
  <c r="AO44" i="13"/>
  <c r="AN44" i="13"/>
  <c r="AN52" i="13"/>
  <c r="AO66" i="13"/>
  <c r="AM56" i="13"/>
  <c r="G55" i="25" s="1"/>
  <c r="AM40" i="13"/>
  <c r="G39" i="25" s="1"/>
  <c r="AO40" i="13"/>
  <c r="AD14" i="13"/>
  <c r="AO76" i="13"/>
  <c r="AD47" i="13"/>
  <c r="AO35" i="13"/>
  <c r="AO27" i="13"/>
  <c r="AM76" i="13"/>
  <c r="G75" i="25" s="1"/>
  <c r="AN76" i="13"/>
  <c r="AQ67" i="13"/>
  <c r="AM27" i="13"/>
  <c r="G26" i="25" s="1"/>
  <c r="AL27" i="13"/>
  <c r="AD37" i="13"/>
  <c r="C8" i="25"/>
  <c r="AQ16" i="13"/>
  <c r="Y12" i="1" s="1"/>
  <c r="C15" i="25"/>
  <c r="C73" i="25"/>
  <c r="AQ74" i="13"/>
  <c r="C63" i="25"/>
  <c r="AD64" i="13"/>
  <c r="C31" i="25"/>
  <c r="AQ55" i="13"/>
  <c r="C54" i="25"/>
  <c r="C18" i="25"/>
  <c r="AQ19" i="13"/>
  <c r="AD19" i="13"/>
  <c r="C72" i="25"/>
  <c r="AQ73" i="13"/>
  <c r="AQ76" i="13"/>
  <c r="C75" i="25"/>
  <c r="AD76" i="13"/>
  <c r="AD65" i="13"/>
  <c r="C64" i="25"/>
  <c r="AQ65" i="13"/>
  <c r="AQ29" i="13"/>
  <c r="AL33" i="13"/>
  <c r="AN33" i="13"/>
  <c r="AO33" i="13"/>
  <c r="AM33" i="13"/>
  <c r="G32" i="25" s="1"/>
  <c r="AN24" i="13"/>
  <c r="AM24" i="13"/>
  <c r="G23" i="25" s="1"/>
  <c r="AO24" i="13"/>
  <c r="AL24" i="13"/>
  <c r="AD31" i="13"/>
  <c r="C30" i="25"/>
  <c r="AQ51" i="13"/>
  <c r="Y47" i="1" s="1"/>
  <c r="AN11" i="13"/>
  <c r="AQ34" i="13"/>
  <c r="C33" i="25"/>
  <c r="AD34" i="13"/>
  <c r="AQ21" i="13"/>
  <c r="Y17" i="1" s="1"/>
  <c r="AQ52" i="13"/>
  <c r="AD39" i="13"/>
  <c r="C38" i="25"/>
  <c r="AQ24" i="13"/>
  <c r="AD24" i="13"/>
  <c r="C23" i="25"/>
  <c r="AM17" i="13"/>
  <c r="G16" i="25" s="1"/>
  <c r="AN17" i="13"/>
  <c r="AO17" i="13"/>
  <c r="AL17" i="13"/>
  <c r="Y63" i="1"/>
  <c r="Y48" i="1"/>
  <c r="Y70" i="1"/>
  <c r="Y5" i="1"/>
  <c r="Y51" i="1"/>
  <c r="Y30" i="1"/>
  <c r="Y69" i="1"/>
  <c r="Y15" i="1"/>
  <c r="Y25" i="1"/>
  <c r="Y20" i="1"/>
  <c r="Y72" i="1"/>
  <c r="Y61" i="1"/>
  <c r="V42" i="115"/>
  <c r="AB42" i="115" s="1"/>
  <c r="AC42" i="115" s="1"/>
  <c r="V42" i="116"/>
  <c r="V42" i="119"/>
  <c r="AB42" i="119" s="1"/>
  <c r="M39" i="100" s="1"/>
  <c r="V42" i="113"/>
  <c r="W41" i="76"/>
  <c r="AC41" i="76" s="1"/>
  <c r="AD39" i="100" s="1"/>
  <c r="AO12" i="46"/>
  <c r="AO17" i="46" s="1"/>
  <c r="AO15" i="46"/>
  <c r="F72" i="33"/>
  <c r="H72" i="33" s="1"/>
  <c r="Q15" i="46"/>
  <c r="AE62" i="13" l="1"/>
  <c r="AE61" i="13"/>
  <c r="AD61" i="13" s="1"/>
  <c r="AE60" i="13"/>
  <c r="AE56" i="13"/>
  <c r="AE53" i="13"/>
  <c r="AE44" i="13"/>
  <c r="AQ44" i="13" s="1"/>
  <c r="Y40" i="1" s="1"/>
  <c r="AE42" i="13"/>
  <c r="AQ42" i="13" s="1"/>
  <c r="Y38" i="1" s="1"/>
  <c r="AE33" i="13"/>
  <c r="AE30" i="13"/>
  <c r="AE25" i="13"/>
  <c r="AE22" i="13"/>
  <c r="AE18" i="13"/>
  <c r="C17" i="25" s="1"/>
  <c r="AE17" i="13"/>
  <c r="AE15" i="13"/>
  <c r="AE10" i="13"/>
  <c r="AD10" i="13" s="1"/>
  <c r="C69" i="25"/>
  <c r="AQ70" i="13"/>
  <c r="Y66" i="1" s="1"/>
  <c r="AQ57" i="13"/>
  <c r="Y53" i="1" s="1"/>
  <c r="AD57" i="13"/>
  <c r="C56" i="25"/>
  <c r="AQ37" i="13"/>
  <c r="Y33" i="1" s="1"/>
  <c r="C36" i="25"/>
  <c r="AN50" i="13"/>
  <c r="AO50" i="13"/>
  <c r="AL50" i="13"/>
  <c r="C67" i="25"/>
  <c r="AQ68" i="13"/>
  <c r="Y64" i="1" s="1"/>
  <c r="C49" i="25"/>
  <c r="AQ50" i="13"/>
  <c r="Y46" i="1" s="1"/>
  <c r="AD50" i="13"/>
  <c r="AK39" i="13"/>
  <c r="F38" i="25"/>
  <c r="AB75" i="13"/>
  <c r="H75" i="13"/>
  <c r="D74" i="25" s="1"/>
  <c r="H69" i="13"/>
  <c r="D68" i="25" s="1"/>
  <c r="AB69" i="13"/>
  <c r="H65" i="13"/>
  <c r="D64" i="25" s="1"/>
  <c r="AB65" i="13"/>
  <c r="G61" i="13"/>
  <c r="AB61" i="13"/>
  <c r="AB55" i="13"/>
  <c r="G55" i="13"/>
  <c r="H53" i="13"/>
  <c r="D52" i="25" s="1"/>
  <c r="G53" i="13"/>
  <c r="AB53" i="13"/>
  <c r="H51" i="13"/>
  <c r="D50" i="25" s="1"/>
  <c r="AB51" i="13"/>
  <c r="H45" i="13"/>
  <c r="D44" i="25" s="1"/>
  <c r="AB45" i="13"/>
  <c r="AB39" i="13"/>
  <c r="G39" i="13"/>
  <c r="G37" i="13"/>
  <c r="AB37" i="13"/>
  <c r="H37" i="13"/>
  <c r="D36" i="25" s="1"/>
  <c r="AB35" i="13"/>
  <c r="G35" i="13"/>
  <c r="G33" i="13"/>
  <c r="AB33" i="13"/>
  <c r="H33" i="13"/>
  <c r="D32" i="25" s="1"/>
  <c r="AB31" i="13"/>
  <c r="G31" i="13"/>
  <c r="H29" i="13"/>
  <c r="D28" i="25" s="1"/>
  <c r="G29" i="13"/>
  <c r="AB29" i="13"/>
  <c r="AC23" i="13"/>
  <c r="G23" i="13"/>
  <c r="H21" i="13"/>
  <c r="D20" i="25" s="1"/>
  <c r="AC21" i="13"/>
  <c r="G21" i="13"/>
  <c r="AC19" i="13"/>
  <c r="G19" i="13"/>
  <c r="G17" i="13"/>
  <c r="H17" i="13"/>
  <c r="D16" i="25" s="1"/>
  <c r="AC17" i="13"/>
  <c r="G9" i="13"/>
  <c r="AB9" i="13"/>
  <c r="AM11" i="13"/>
  <c r="G10" i="25" s="1"/>
  <c r="AD33" i="13"/>
  <c r="AO11" i="13"/>
  <c r="AD51" i="13"/>
  <c r="AD29" i="13"/>
  <c r="AD73" i="13"/>
  <c r="AQ32" i="13"/>
  <c r="Y28" i="1" s="1"/>
  <c r="AD9" i="13"/>
  <c r="AD15" i="13"/>
  <c r="AD25" i="13"/>
  <c r="AD36" i="13"/>
  <c r="AD21" i="13"/>
  <c r="AM50" i="13"/>
  <c r="G49" i="25" s="1"/>
  <c r="AD70" i="13"/>
  <c r="C51" i="25"/>
  <c r="AD52" i="13"/>
  <c r="H15" i="13"/>
  <c r="D14" i="25" s="1"/>
  <c r="H23" i="13"/>
  <c r="D22" i="25" s="1"/>
  <c r="H35" i="13"/>
  <c r="D34" i="25" s="1"/>
  <c r="H55" i="13"/>
  <c r="D54" i="25" s="1"/>
  <c r="H71" i="13"/>
  <c r="D70" i="25" s="1"/>
  <c r="AB15" i="13"/>
  <c r="AB71" i="13"/>
  <c r="AC65" i="13"/>
  <c r="AC53" i="13"/>
  <c r="E77" i="13"/>
  <c r="G77" i="13" s="1"/>
  <c r="AB27" i="13"/>
  <c r="AB43" i="13"/>
  <c r="G51" i="13"/>
  <c r="G59" i="13"/>
  <c r="H67" i="13"/>
  <c r="D66" i="25" s="1"/>
  <c r="AC33" i="13"/>
  <c r="AB47" i="13"/>
  <c r="G73" i="13"/>
  <c r="G49" i="13"/>
  <c r="AB73" i="13"/>
  <c r="AB49" i="13"/>
  <c r="G13" i="13"/>
  <c r="AD55" i="13"/>
  <c r="AB19" i="13"/>
  <c r="C13" i="25"/>
  <c r="AQ14" i="13"/>
  <c r="Y10" i="1" s="1"/>
  <c r="AQ75" i="13"/>
  <c r="Y71" i="1" s="1"/>
  <c r="C74" i="25"/>
  <c r="AD75" i="13"/>
  <c r="H61" i="13"/>
  <c r="D60" i="25" s="1"/>
  <c r="C68" i="25"/>
  <c r="AQ69" i="13"/>
  <c r="Y65" i="1" s="1"/>
  <c r="AD69" i="13"/>
  <c r="AL56" i="13"/>
  <c r="AO56" i="13"/>
  <c r="G45" i="13"/>
  <c r="AC9" i="13"/>
  <c r="G69" i="13"/>
  <c r="G65" i="13"/>
  <c r="AC61" i="13"/>
  <c r="AC75" i="13"/>
  <c r="AC73" i="13"/>
  <c r="AE72" i="13"/>
  <c r="AC72" i="13"/>
  <c r="AC71" i="13"/>
  <c r="AE71" i="13"/>
  <c r="AC69" i="13"/>
  <c r="AD67" i="13"/>
  <c r="C66" i="25"/>
  <c r="AC66" i="13"/>
  <c r="AE66" i="13"/>
  <c r="AC63" i="13"/>
  <c r="AE63" i="13"/>
  <c r="C60" i="25"/>
  <c r="AQ61" i="13"/>
  <c r="Y57" i="1" s="1"/>
  <c r="C59" i="25"/>
  <c r="AD60" i="13"/>
  <c r="AQ60" i="13"/>
  <c r="Y56" i="1" s="1"/>
  <c r="AE59" i="13"/>
  <c r="AC59" i="13"/>
  <c r="AC58" i="13"/>
  <c r="AE58" i="13"/>
  <c r="AC57" i="13"/>
  <c r="AC55" i="13"/>
  <c r="AC54" i="13"/>
  <c r="AE54" i="13"/>
  <c r="AC51" i="13"/>
  <c r="AC49" i="13"/>
  <c r="AE49" i="13"/>
  <c r="AC48" i="13"/>
  <c r="AE48" i="13"/>
  <c r="AE46" i="13"/>
  <c r="AC46" i="13"/>
  <c r="AE45" i="13"/>
  <c r="AC45" i="13"/>
  <c r="C43" i="25"/>
  <c r="AD44" i="13"/>
  <c r="AE43" i="13"/>
  <c r="AC43" i="13"/>
  <c r="C41" i="25"/>
  <c r="AD42" i="13"/>
  <c r="AE41" i="13"/>
  <c r="AC41" i="13"/>
  <c r="AE40" i="13"/>
  <c r="AC40" i="13"/>
  <c r="AC39" i="13"/>
  <c r="AE38" i="13"/>
  <c r="AC38" i="13"/>
  <c r="AE35" i="13"/>
  <c r="AC35" i="13"/>
  <c r="AC31" i="13"/>
  <c r="AQ30" i="13"/>
  <c r="Y26" i="1" s="1"/>
  <c r="C29" i="25"/>
  <c r="AD30" i="13"/>
  <c r="AC29" i="13"/>
  <c r="AC28" i="13"/>
  <c r="AE28" i="13"/>
  <c r="AE27" i="13"/>
  <c r="AC27" i="13"/>
  <c r="AC26" i="13"/>
  <c r="AE26" i="13"/>
  <c r="AQ25" i="13"/>
  <c r="Y21" i="1" s="1"/>
  <c r="C24" i="25"/>
  <c r="AB23" i="13"/>
  <c r="AE23" i="13"/>
  <c r="AB21" i="13"/>
  <c r="AB20" i="13"/>
  <c r="AE20" i="13"/>
  <c r="AD18" i="13"/>
  <c r="AQ18" i="13"/>
  <c r="Y14" i="1" s="1"/>
  <c r="AB13" i="13"/>
  <c r="AE13" i="13"/>
  <c r="AE12" i="13"/>
  <c r="AB12" i="13"/>
  <c r="AE11" i="13"/>
  <c r="AB11" i="13"/>
  <c r="AQ10" i="13"/>
  <c r="C9" i="25"/>
  <c r="AB8" i="13"/>
  <c r="AE8" i="13"/>
  <c r="AK9" i="13"/>
  <c r="F8" i="25"/>
  <c r="AK13" i="13"/>
  <c r="AN13" i="13" s="1"/>
  <c r="F12" i="25"/>
  <c r="F14" i="25"/>
  <c r="AK15" i="13"/>
  <c r="AK21" i="13"/>
  <c r="F20" i="25"/>
  <c r="AK23" i="13"/>
  <c r="F22" i="25"/>
  <c r="AL25" i="13"/>
  <c r="AM25" i="13"/>
  <c r="G24" i="25" s="1"/>
  <c r="AK28" i="13"/>
  <c r="F27" i="25"/>
  <c r="AK30" i="13"/>
  <c r="F29" i="25"/>
  <c r="AK32" i="13"/>
  <c r="F31" i="25"/>
  <c r="AK36" i="13"/>
  <c r="F35" i="25"/>
  <c r="AK43" i="13"/>
  <c r="F42" i="25"/>
  <c r="AK49" i="13"/>
  <c r="F48" i="25"/>
  <c r="AK51" i="13"/>
  <c r="F50" i="25"/>
  <c r="AK53" i="13"/>
  <c r="F52" i="25"/>
  <c r="AK59" i="13"/>
  <c r="F58" i="25"/>
  <c r="AK61" i="13"/>
  <c r="AO61" i="13" s="1"/>
  <c r="F60" i="25"/>
  <c r="AK63" i="13"/>
  <c r="F62" i="25"/>
  <c r="AK65" i="13"/>
  <c r="F64" i="25"/>
  <c r="AK69" i="13"/>
  <c r="F68" i="25"/>
  <c r="AK71" i="13"/>
  <c r="F70" i="25"/>
  <c r="AK75" i="13"/>
  <c r="F74" i="25"/>
  <c r="H57" i="13"/>
  <c r="D56" i="25" s="1"/>
  <c r="H25" i="13"/>
  <c r="D24" i="25" s="1"/>
  <c r="AK8" i="13"/>
  <c r="AI77" i="13"/>
  <c r="AK12" i="13"/>
  <c r="F11" i="25"/>
  <c r="AK20" i="13"/>
  <c r="F19" i="25"/>
  <c r="F8" i="116"/>
  <c r="F8" i="115"/>
  <c r="G8" i="115" s="1"/>
  <c r="F8" i="117"/>
  <c r="F8" i="119"/>
  <c r="G8" i="119" s="1"/>
  <c r="F8" i="118"/>
  <c r="G8" i="118" s="1"/>
  <c r="F8" i="120"/>
  <c r="G8" i="120" s="1"/>
  <c r="F8" i="126"/>
  <c r="G8" i="126" s="1"/>
  <c r="F8" i="125"/>
  <c r="G8" i="125" s="1"/>
  <c r="F8" i="127"/>
  <c r="G8" i="127" s="1"/>
  <c r="F8" i="129"/>
  <c r="F8" i="144"/>
  <c r="G8" i="144" s="1"/>
  <c r="F8" i="146"/>
  <c r="G8" i="146" s="1"/>
  <c r="F8" i="128"/>
  <c r="F8" i="131"/>
  <c r="G8" i="131" s="1"/>
  <c r="F8" i="145"/>
  <c r="G8" i="145" s="1"/>
  <c r="F8" i="148"/>
  <c r="G8" i="148" s="1"/>
  <c r="F8" i="151"/>
  <c r="G8" i="151" s="1"/>
  <c r="F8" i="153"/>
  <c r="G8" i="153" s="1"/>
  <c r="F8" i="147"/>
  <c r="G8" i="147" s="1"/>
  <c r="F8" i="149"/>
  <c r="G8" i="149" s="1"/>
  <c r="F8" i="152"/>
  <c r="G8" i="152" s="1"/>
  <c r="F8" i="114"/>
  <c r="F10" i="116"/>
  <c r="G10" i="116" s="1"/>
  <c r="F10" i="115"/>
  <c r="G10" i="115" s="1"/>
  <c r="F10" i="117"/>
  <c r="F10" i="119"/>
  <c r="G10" i="119" s="1"/>
  <c r="F10" i="118"/>
  <c r="G10" i="118" s="1"/>
  <c r="F10" i="120"/>
  <c r="G10" i="120" s="1"/>
  <c r="F10" i="126"/>
  <c r="G10" i="126" s="1"/>
  <c r="F10" i="125"/>
  <c r="G10" i="125" s="1"/>
  <c r="F10" i="127"/>
  <c r="F10" i="128"/>
  <c r="F10" i="129"/>
  <c r="F10" i="144"/>
  <c r="G10" i="144" s="1"/>
  <c r="F10" i="146"/>
  <c r="G10" i="146" s="1"/>
  <c r="F10" i="131"/>
  <c r="G10" i="131" s="1"/>
  <c r="F10" i="145"/>
  <c r="G10" i="145" s="1"/>
  <c r="F10" i="148"/>
  <c r="G10" i="148" s="1"/>
  <c r="F10" i="151"/>
  <c r="G10" i="151" s="1"/>
  <c r="F10" i="153"/>
  <c r="G10" i="153" s="1"/>
  <c r="F10" i="147"/>
  <c r="G10" i="147" s="1"/>
  <c r="F10" i="149"/>
  <c r="G10" i="149" s="1"/>
  <c r="F10" i="152"/>
  <c r="G10" i="152" s="1"/>
  <c r="F10" i="114"/>
  <c r="F12" i="116"/>
  <c r="F12" i="115"/>
  <c r="G12" i="115" s="1"/>
  <c r="F12" i="117"/>
  <c r="G12" i="117" s="1"/>
  <c r="F12" i="119"/>
  <c r="G12" i="119" s="1"/>
  <c r="F12" i="118"/>
  <c r="G12" i="118" s="1"/>
  <c r="F12" i="120"/>
  <c r="G12" i="120" s="1"/>
  <c r="F12" i="126"/>
  <c r="G12" i="126" s="1"/>
  <c r="F12" i="125"/>
  <c r="G12" i="125" s="1"/>
  <c r="F12" i="127"/>
  <c r="G12" i="127" s="1"/>
  <c r="F12" i="129"/>
  <c r="F12" i="144"/>
  <c r="G12" i="144" s="1"/>
  <c r="F12" i="146"/>
  <c r="G12" i="146" s="1"/>
  <c r="F12" i="128"/>
  <c r="G12" i="128" s="1"/>
  <c r="F12" i="131"/>
  <c r="G12" i="131" s="1"/>
  <c r="F12" i="145"/>
  <c r="G12" i="145" s="1"/>
  <c r="F12" i="148"/>
  <c r="G12" i="148" s="1"/>
  <c r="F12" i="151"/>
  <c r="G12" i="151" s="1"/>
  <c r="F12" i="153"/>
  <c r="G12" i="153" s="1"/>
  <c r="F12" i="147"/>
  <c r="G12" i="147" s="1"/>
  <c r="F12" i="149"/>
  <c r="G12" i="149" s="1"/>
  <c r="F12" i="152"/>
  <c r="G12" i="152" s="1"/>
  <c r="F12" i="114"/>
  <c r="F14" i="116"/>
  <c r="G14" i="116" s="1"/>
  <c r="F14" i="115"/>
  <c r="G14" i="115" s="1"/>
  <c r="F14" i="117"/>
  <c r="F14" i="119"/>
  <c r="G14" i="119" s="1"/>
  <c r="F14" i="118"/>
  <c r="G14" i="118" s="1"/>
  <c r="F14" i="120"/>
  <c r="G14" i="120" s="1"/>
  <c r="F14" i="126"/>
  <c r="G14" i="126" s="1"/>
  <c r="F14" i="125"/>
  <c r="G14" i="125" s="1"/>
  <c r="F14" i="127"/>
  <c r="F14" i="128"/>
  <c r="F14" i="129"/>
  <c r="F14" i="144"/>
  <c r="G14" i="144" s="1"/>
  <c r="F14" i="146"/>
  <c r="G14" i="146" s="1"/>
  <c r="F14" i="131"/>
  <c r="G14" i="131" s="1"/>
  <c r="F14" i="145"/>
  <c r="G14" i="145" s="1"/>
  <c r="F14" i="148"/>
  <c r="G14" i="148" s="1"/>
  <c r="F14" i="151"/>
  <c r="G14" i="151" s="1"/>
  <c r="F14" i="153"/>
  <c r="G14" i="153" s="1"/>
  <c r="F14" i="147"/>
  <c r="G14" i="147" s="1"/>
  <c r="F14" i="149"/>
  <c r="G14" i="149" s="1"/>
  <c r="F14" i="152"/>
  <c r="G14" i="152" s="1"/>
  <c r="F14" i="114"/>
  <c r="F16" i="116"/>
  <c r="F16" i="115"/>
  <c r="G16" i="115" s="1"/>
  <c r="F16" i="117"/>
  <c r="F16" i="119"/>
  <c r="G16" i="119" s="1"/>
  <c r="F16" i="118"/>
  <c r="G16" i="118" s="1"/>
  <c r="F16" i="120"/>
  <c r="G16" i="120" s="1"/>
  <c r="F16" i="126"/>
  <c r="G16" i="126" s="1"/>
  <c r="F16" i="125"/>
  <c r="G16" i="125" s="1"/>
  <c r="F16" i="127"/>
  <c r="G16" i="127" s="1"/>
  <c r="F16" i="129"/>
  <c r="F16" i="144"/>
  <c r="G16" i="144" s="1"/>
  <c r="F16" i="146"/>
  <c r="G16" i="146" s="1"/>
  <c r="F16" i="128"/>
  <c r="F16" i="131"/>
  <c r="G16" i="131" s="1"/>
  <c r="F16" i="145"/>
  <c r="G16" i="145" s="1"/>
  <c r="F16" i="148"/>
  <c r="G16" i="148" s="1"/>
  <c r="F16" i="151"/>
  <c r="G16" i="151" s="1"/>
  <c r="F16" i="153"/>
  <c r="G16" i="153" s="1"/>
  <c r="F16" i="147"/>
  <c r="G16" i="147" s="1"/>
  <c r="F16" i="149"/>
  <c r="G16" i="149" s="1"/>
  <c r="F16" i="152"/>
  <c r="G16" i="152" s="1"/>
  <c r="F16" i="114"/>
  <c r="G16" i="114" s="1"/>
  <c r="F18" i="116"/>
  <c r="G18" i="116" s="1"/>
  <c r="F18" i="115"/>
  <c r="G18" i="115" s="1"/>
  <c r="F18" i="117"/>
  <c r="G18" i="117" s="1"/>
  <c r="F18" i="119"/>
  <c r="G18" i="119" s="1"/>
  <c r="F18" i="118"/>
  <c r="G18" i="118" s="1"/>
  <c r="F18" i="120"/>
  <c r="G18" i="120" s="1"/>
  <c r="F18" i="126"/>
  <c r="G18" i="126" s="1"/>
  <c r="F18" i="125"/>
  <c r="G18" i="125" s="1"/>
  <c r="F18" i="127"/>
  <c r="F18" i="128"/>
  <c r="F18" i="129"/>
  <c r="F18" i="144"/>
  <c r="G18" i="144" s="1"/>
  <c r="F18" i="146"/>
  <c r="G18" i="146" s="1"/>
  <c r="F18" i="131"/>
  <c r="G18" i="131" s="1"/>
  <c r="F18" i="145"/>
  <c r="G18" i="145" s="1"/>
  <c r="F18" i="148"/>
  <c r="G18" i="148" s="1"/>
  <c r="F18" i="151"/>
  <c r="G18" i="151" s="1"/>
  <c r="F18" i="153"/>
  <c r="G18" i="153" s="1"/>
  <c r="F18" i="147"/>
  <c r="G18" i="147" s="1"/>
  <c r="F18" i="149"/>
  <c r="G18" i="149" s="1"/>
  <c r="F18" i="152"/>
  <c r="G18" i="152" s="1"/>
  <c r="F18" i="114"/>
  <c r="F20" i="116"/>
  <c r="F20" i="115"/>
  <c r="G20" i="115" s="1"/>
  <c r="F20" i="117"/>
  <c r="F20" i="119"/>
  <c r="G20" i="119" s="1"/>
  <c r="F20" i="118"/>
  <c r="G20" i="118" s="1"/>
  <c r="F20" i="120"/>
  <c r="G20" i="120" s="1"/>
  <c r="F20" i="126"/>
  <c r="G20" i="126" s="1"/>
  <c r="F20" i="125"/>
  <c r="G20" i="125" s="1"/>
  <c r="F20" i="127"/>
  <c r="G20" i="127" s="1"/>
  <c r="F20" i="129"/>
  <c r="F20" i="144"/>
  <c r="G20" i="144" s="1"/>
  <c r="F20" i="146"/>
  <c r="G20" i="146" s="1"/>
  <c r="F20" i="128"/>
  <c r="G20" i="128" s="1"/>
  <c r="F20" i="131"/>
  <c r="G20" i="131" s="1"/>
  <c r="F20" i="145"/>
  <c r="G20" i="145" s="1"/>
  <c r="F20" i="148"/>
  <c r="G20" i="148" s="1"/>
  <c r="F20" i="151"/>
  <c r="G20" i="151" s="1"/>
  <c r="F20" i="153"/>
  <c r="G20" i="153" s="1"/>
  <c r="F20" i="147"/>
  <c r="G20" i="147" s="1"/>
  <c r="F20" i="149"/>
  <c r="G20" i="149" s="1"/>
  <c r="F20" i="152"/>
  <c r="G20" i="152" s="1"/>
  <c r="F20" i="114"/>
  <c r="F22" i="116"/>
  <c r="G22" i="116" s="1"/>
  <c r="F22" i="115"/>
  <c r="G22" i="115" s="1"/>
  <c r="F22" i="117"/>
  <c r="G22" i="117" s="1"/>
  <c r="F22" i="119"/>
  <c r="G22" i="119" s="1"/>
  <c r="F22" i="118"/>
  <c r="G22" i="118" s="1"/>
  <c r="F22" i="120"/>
  <c r="G22" i="120" s="1"/>
  <c r="F22" i="126"/>
  <c r="G22" i="126" s="1"/>
  <c r="F22" i="125"/>
  <c r="G22" i="125" s="1"/>
  <c r="F22" i="127"/>
  <c r="F22" i="128"/>
  <c r="F22" i="129"/>
  <c r="F22" i="144"/>
  <c r="G22" i="144" s="1"/>
  <c r="F22" i="146"/>
  <c r="G22" i="146" s="1"/>
  <c r="F22" i="131"/>
  <c r="G22" i="131" s="1"/>
  <c r="F22" i="145"/>
  <c r="G22" i="145" s="1"/>
  <c r="F22" i="148"/>
  <c r="G22" i="148" s="1"/>
  <c r="F22" i="151"/>
  <c r="G22" i="151" s="1"/>
  <c r="F22" i="153"/>
  <c r="G22" i="153" s="1"/>
  <c r="F22" i="147"/>
  <c r="G22" i="147" s="1"/>
  <c r="F22" i="149"/>
  <c r="G22" i="149" s="1"/>
  <c r="F22" i="152"/>
  <c r="G22" i="152" s="1"/>
  <c r="F22" i="114"/>
  <c r="F25" i="115"/>
  <c r="G25" i="115" s="1"/>
  <c r="F25" i="116"/>
  <c r="F25" i="118"/>
  <c r="G25" i="118" s="1"/>
  <c r="F25" i="117"/>
  <c r="F25" i="119"/>
  <c r="G25" i="119" s="1"/>
  <c r="F25" i="125"/>
  <c r="G25" i="125" s="1"/>
  <c r="F25" i="127"/>
  <c r="G25" i="127" s="1"/>
  <c r="F25" i="120"/>
  <c r="G25" i="120" s="1"/>
  <c r="F25" i="126"/>
  <c r="G25" i="126" s="1"/>
  <c r="F25" i="128"/>
  <c r="G25" i="128" s="1"/>
  <c r="F25" i="131"/>
  <c r="G25" i="131" s="1"/>
  <c r="F25" i="145"/>
  <c r="G25" i="145" s="1"/>
  <c r="F25" i="129"/>
  <c r="F25" i="144"/>
  <c r="G25" i="144" s="1"/>
  <c r="F25" i="146"/>
  <c r="G25" i="146" s="1"/>
  <c r="F25" i="147"/>
  <c r="G25" i="147" s="1"/>
  <c r="F25" i="149"/>
  <c r="G25" i="149" s="1"/>
  <c r="F25" i="152"/>
  <c r="G25" i="152" s="1"/>
  <c r="F25" i="114"/>
  <c r="F25" i="148"/>
  <c r="G25" i="148" s="1"/>
  <c r="F25" i="151"/>
  <c r="G25" i="151" s="1"/>
  <c r="F25" i="153"/>
  <c r="G25" i="153" s="1"/>
  <c r="F27" i="115"/>
  <c r="G27" i="115" s="1"/>
  <c r="F27" i="116"/>
  <c r="G27" i="116" s="1"/>
  <c r="F27" i="118"/>
  <c r="G27" i="118" s="1"/>
  <c r="F27" i="117"/>
  <c r="F27" i="119"/>
  <c r="G27" i="119" s="1"/>
  <c r="F27" i="125"/>
  <c r="G27" i="125" s="1"/>
  <c r="F27" i="127"/>
  <c r="F27" i="120"/>
  <c r="G27" i="120" s="1"/>
  <c r="F27" i="126"/>
  <c r="G27" i="126" s="1"/>
  <c r="F27" i="128"/>
  <c r="F27" i="131"/>
  <c r="G27" i="131" s="1"/>
  <c r="F27" i="145"/>
  <c r="G27" i="145" s="1"/>
  <c r="F27" i="129"/>
  <c r="F27" i="144"/>
  <c r="G27" i="144" s="1"/>
  <c r="F27" i="146"/>
  <c r="G27" i="146" s="1"/>
  <c r="F27" i="147"/>
  <c r="G27" i="147" s="1"/>
  <c r="F27" i="149"/>
  <c r="G27" i="149" s="1"/>
  <c r="F27" i="152"/>
  <c r="G27" i="152" s="1"/>
  <c r="F27" i="114"/>
  <c r="F27" i="148"/>
  <c r="G27" i="148" s="1"/>
  <c r="F27" i="151"/>
  <c r="G27" i="151" s="1"/>
  <c r="F27" i="153"/>
  <c r="G27" i="153" s="1"/>
  <c r="F29" i="115"/>
  <c r="G29" i="115" s="1"/>
  <c r="F29" i="116"/>
  <c r="F29" i="118"/>
  <c r="G29" i="118" s="1"/>
  <c r="F29" i="117"/>
  <c r="F29" i="119"/>
  <c r="G29" i="119" s="1"/>
  <c r="F29" i="125"/>
  <c r="G29" i="125" s="1"/>
  <c r="F29" i="127"/>
  <c r="G29" i="127" s="1"/>
  <c r="F29" i="120"/>
  <c r="G29" i="120" s="1"/>
  <c r="F29" i="126"/>
  <c r="G29" i="126" s="1"/>
  <c r="F29" i="128"/>
  <c r="F29" i="131"/>
  <c r="G29" i="131" s="1"/>
  <c r="F29" i="145"/>
  <c r="G29" i="145" s="1"/>
  <c r="F29" i="129"/>
  <c r="F29" i="144"/>
  <c r="G29" i="144" s="1"/>
  <c r="F29" i="146"/>
  <c r="G29" i="146" s="1"/>
  <c r="F29" i="147"/>
  <c r="G29" i="147" s="1"/>
  <c r="F29" i="149"/>
  <c r="G29" i="149" s="1"/>
  <c r="F29" i="152"/>
  <c r="G29" i="152" s="1"/>
  <c r="F29" i="114"/>
  <c r="F29" i="148"/>
  <c r="G29" i="148" s="1"/>
  <c r="F29" i="151"/>
  <c r="G29" i="151" s="1"/>
  <c r="F29" i="153"/>
  <c r="G29" i="153" s="1"/>
  <c r="F31" i="115"/>
  <c r="G31" i="115" s="1"/>
  <c r="F31" i="116"/>
  <c r="G31" i="116" s="1"/>
  <c r="F31" i="118"/>
  <c r="G31" i="118" s="1"/>
  <c r="F31" i="117"/>
  <c r="F31" i="119"/>
  <c r="G31" i="119" s="1"/>
  <c r="F31" i="125"/>
  <c r="G31" i="125" s="1"/>
  <c r="F31" i="127"/>
  <c r="F31" i="120"/>
  <c r="G31" i="120" s="1"/>
  <c r="F31" i="126"/>
  <c r="G31" i="126" s="1"/>
  <c r="F31" i="128"/>
  <c r="F31" i="131"/>
  <c r="G31" i="131" s="1"/>
  <c r="F31" i="145"/>
  <c r="G31" i="145" s="1"/>
  <c r="F31" i="129"/>
  <c r="F31" i="144"/>
  <c r="G31" i="144" s="1"/>
  <c r="F31" i="146"/>
  <c r="G31" i="146" s="1"/>
  <c r="F31" i="147"/>
  <c r="G31" i="147" s="1"/>
  <c r="F31" i="149"/>
  <c r="G31" i="149" s="1"/>
  <c r="F31" i="152"/>
  <c r="G31" i="152" s="1"/>
  <c r="F31" i="114"/>
  <c r="G31" i="114" s="1"/>
  <c r="F31" i="148"/>
  <c r="G31" i="148" s="1"/>
  <c r="F31" i="151"/>
  <c r="G31" i="151" s="1"/>
  <c r="F31" i="153"/>
  <c r="G31" i="153" s="1"/>
  <c r="F33" i="115"/>
  <c r="G33" i="115" s="1"/>
  <c r="F33" i="116"/>
  <c r="F33" i="118"/>
  <c r="G33" i="118" s="1"/>
  <c r="F33" i="117"/>
  <c r="F33" i="119"/>
  <c r="G33" i="119" s="1"/>
  <c r="F33" i="125"/>
  <c r="G33" i="125" s="1"/>
  <c r="F33" i="127"/>
  <c r="G33" i="127" s="1"/>
  <c r="F33" i="120"/>
  <c r="G33" i="120" s="1"/>
  <c r="F33" i="126"/>
  <c r="G33" i="126" s="1"/>
  <c r="F33" i="128"/>
  <c r="G33" i="128" s="1"/>
  <c r="F33" i="131"/>
  <c r="G33" i="131" s="1"/>
  <c r="F33" i="145"/>
  <c r="G33" i="145" s="1"/>
  <c r="F33" i="129"/>
  <c r="F33" i="144"/>
  <c r="G33" i="144" s="1"/>
  <c r="F33" i="146"/>
  <c r="G33" i="146" s="1"/>
  <c r="F33" i="147"/>
  <c r="G33" i="147" s="1"/>
  <c r="F33" i="149"/>
  <c r="G33" i="149" s="1"/>
  <c r="F33" i="152"/>
  <c r="G33" i="152" s="1"/>
  <c r="F33" i="114"/>
  <c r="F33" i="148"/>
  <c r="G33" i="148" s="1"/>
  <c r="F33" i="151"/>
  <c r="G33" i="151" s="1"/>
  <c r="F33" i="153"/>
  <c r="G33" i="153" s="1"/>
  <c r="F35" i="115"/>
  <c r="G35" i="115" s="1"/>
  <c r="F35" i="116"/>
  <c r="G35" i="116" s="1"/>
  <c r="F35" i="118"/>
  <c r="G35" i="118" s="1"/>
  <c r="F35" i="117"/>
  <c r="F35" i="119"/>
  <c r="G35" i="119" s="1"/>
  <c r="F35" i="125"/>
  <c r="G35" i="125" s="1"/>
  <c r="F35" i="127"/>
  <c r="F35" i="120"/>
  <c r="G35" i="120" s="1"/>
  <c r="F35" i="126"/>
  <c r="G35" i="126" s="1"/>
  <c r="F35" i="128"/>
  <c r="F35" i="131"/>
  <c r="G35" i="131" s="1"/>
  <c r="F35" i="145"/>
  <c r="G35" i="145" s="1"/>
  <c r="F35" i="129"/>
  <c r="F35" i="144"/>
  <c r="G35" i="144" s="1"/>
  <c r="F35" i="146"/>
  <c r="G35" i="146" s="1"/>
  <c r="F35" i="147"/>
  <c r="G35" i="147" s="1"/>
  <c r="F35" i="149"/>
  <c r="G35" i="149" s="1"/>
  <c r="F35" i="152"/>
  <c r="G35" i="152" s="1"/>
  <c r="F35" i="114"/>
  <c r="F35" i="148"/>
  <c r="G35" i="148" s="1"/>
  <c r="F35" i="151"/>
  <c r="G35" i="151" s="1"/>
  <c r="F35" i="153"/>
  <c r="G35" i="153" s="1"/>
  <c r="F37" i="115"/>
  <c r="G37" i="115" s="1"/>
  <c r="F37" i="116"/>
  <c r="F37" i="118"/>
  <c r="G37" i="118" s="1"/>
  <c r="F37" i="117"/>
  <c r="F37" i="119"/>
  <c r="G37" i="119" s="1"/>
  <c r="F37" i="125"/>
  <c r="G37" i="125" s="1"/>
  <c r="F37" i="127"/>
  <c r="G37" i="127" s="1"/>
  <c r="F37" i="120"/>
  <c r="G37" i="120" s="1"/>
  <c r="F37" i="126"/>
  <c r="G37" i="126" s="1"/>
  <c r="F37" i="128"/>
  <c r="F37" i="131"/>
  <c r="G37" i="131" s="1"/>
  <c r="F37" i="145"/>
  <c r="G37" i="145" s="1"/>
  <c r="F37" i="129"/>
  <c r="F37" i="144"/>
  <c r="G37" i="144" s="1"/>
  <c r="F37" i="146"/>
  <c r="G37" i="146" s="1"/>
  <c r="F37" i="147"/>
  <c r="G37" i="147" s="1"/>
  <c r="F37" i="149"/>
  <c r="G37" i="149" s="1"/>
  <c r="F37" i="152"/>
  <c r="G37" i="152" s="1"/>
  <c r="F37" i="114"/>
  <c r="F37" i="148"/>
  <c r="G37" i="148" s="1"/>
  <c r="F37" i="151"/>
  <c r="G37" i="151" s="1"/>
  <c r="F37" i="153"/>
  <c r="G37" i="153" s="1"/>
  <c r="F39" i="115"/>
  <c r="G39" i="115" s="1"/>
  <c r="F39" i="116"/>
  <c r="F39" i="118"/>
  <c r="G39" i="118" s="1"/>
  <c r="F39" i="117"/>
  <c r="F39" i="119"/>
  <c r="G39" i="119" s="1"/>
  <c r="F39" i="125"/>
  <c r="G39" i="125" s="1"/>
  <c r="F39" i="127"/>
  <c r="F39" i="120"/>
  <c r="G39" i="120" s="1"/>
  <c r="F39" i="126"/>
  <c r="G39" i="126" s="1"/>
  <c r="F39" i="128"/>
  <c r="F39" i="131"/>
  <c r="G39" i="131" s="1"/>
  <c r="F39" i="145"/>
  <c r="G39" i="145" s="1"/>
  <c r="F39" i="129"/>
  <c r="F39" i="144"/>
  <c r="G39" i="144" s="1"/>
  <c r="F39" i="146"/>
  <c r="G39" i="146" s="1"/>
  <c r="F39" i="147"/>
  <c r="G39" i="147" s="1"/>
  <c r="F39" i="149"/>
  <c r="G39" i="149" s="1"/>
  <c r="F39" i="152"/>
  <c r="G39" i="152" s="1"/>
  <c r="F39" i="114"/>
  <c r="F39" i="148"/>
  <c r="G39" i="148" s="1"/>
  <c r="F39" i="151"/>
  <c r="G39" i="151" s="1"/>
  <c r="F39" i="153"/>
  <c r="G39" i="153" s="1"/>
  <c r="F41" i="115"/>
  <c r="G41" i="115" s="1"/>
  <c r="F41" i="116"/>
  <c r="F41" i="117"/>
  <c r="F41" i="118"/>
  <c r="G41" i="118" s="1"/>
  <c r="F41" i="119"/>
  <c r="G41" i="119" s="1"/>
  <c r="F41" i="125"/>
  <c r="G41" i="125" s="1"/>
  <c r="F41" i="127"/>
  <c r="G41" i="127" s="1"/>
  <c r="F41" i="120"/>
  <c r="G41" i="120" s="1"/>
  <c r="F41" i="126"/>
  <c r="G41" i="126" s="1"/>
  <c r="F41" i="128"/>
  <c r="F41" i="131"/>
  <c r="G41" i="131" s="1"/>
  <c r="F41" i="145"/>
  <c r="G41" i="145" s="1"/>
  <c r="F41" i="129"/>
  <c r="F41" i="144"/>
  <c r="G41" i="144" s="1"/>
  <c r="F41" i="146"/>
  <c r="G41" i="146" s="1"/>
  <c r="F41" i="147"/>
  <c r="G41" i="147" s="1"/>
  <c r="F41" i="149"/>
  <c r="G41" i="149" s="1"/>
  <c r="F41" i="152"/>
  <c r="G41" i="152" s="1"/>
  <c r="F41" i="114"/>
  <c r="F41" i="148"/>
  <c r="G41" i="148" s="1"/>
  <c r="F41" i="151"/>
  <c r="G41" i="151" s="1"/>
  <c r="F41" i="153"/>
  <c r="G41" i="153" s="1"/>
  <c r="F44" i="115"/>
  <c r="G44" i="115" s="1"/>
  <c r="F44" i="117"/>
  <c r="F44" i="116"/>
  <c r="G44" i="116" s="1"/>
  <c r="F44" i="118"/>
  <c r="G44" i="118" s="1"/>
  <c r="F44" i="119"/>
  <c r="G44" i="119" s="1"/>
  <c r="F44" i="120"/>
  <c r="G44" i="120" s="1"/>
  <c r="F44" i="125"/>
  <c r="G44" i="125" s="1"/>
  <c r="F44" i="127"/>
  <c r="F44" i="126"/>
  <c r="G44" i="126" s="1"/>
  <c r="F44" i="128"/>
  <c r="F44" i="131"/>
  <c r="G44" i="131" s="1"/>
  <c r="F44" i="145"/>
  <c r="G44" i="145" s="1"/>
  <c r="F44" i="129"/>
  <c r="F44" i="144"/>
  <c r="G44" i="144" s="1"/>
  <c r="F44" i="146"/>
  <c r="G44" i="146" s="1"/>
  <c r="F44" i="147"/>
  <c r="G44" i="147" s="1"/>
  <c r="F44" i="149"/>
  <c r="G44" i="149" s="1"/>
  <c r="F44" i="152"/>
  <c r="G44" i="152" s="1"/>
  <c r="F44" i="114"/>
  <c r="F44" i="148"/>
  <c r="G44" i="148" s="1"/>
  <c r="F44" i="151"/>
  <c r="G44" i="151" s="1"/>
  <c r="F44" i="153"/>
  <c r="G44" i="153" s="1"/>
  <c r="F47" i="116"/>
  <c r="F47" i="115"/>
  <c r="G47" i="115" s="1"/>
  <c r="F47" i="117"/>
  <c r="F47" i="119"/>
  <c r="G47" i="119" s="1"/>
  <c r="F47" i="118"/>
  <c r="G47" i="118" s="1"/>
  <c r="F47" i="120"/>
  <c r="G47" i="120" s="1"/>
  <c r="F47" i="126"/>
  <c r="G47" i="126" s="1"/>
  <c r="F47" i="128"/>
  <c r="F47" i="125"/>
  <c r="G47" i="125" s="1"/>
  <c r="F47" i="127"/>
  <c r="G47" i="127" s="1"/>
  <c r="F47" i="129"/>
  <c r="F47" i="144"/>
  <c r="G47" i="144" s="1"/>
  <c r="F47" i="146"/>
  <c r="G47" i="146" s="1"/>
  <c r="F47" i="131"/>
  <c r="G47" i="131" s="1"/>
  <c r="F47" i="145"/>
  <c r="G47" i="145" s="1"/>
  <c r="F47" i="148"/>
  <c r="G47" i="148" s="1"/>
  <c r="F47" i="151"/>
  <c r="G47" i="151" s="1"/>
  <c r="F47" i="153"/>
  <c r="G47" i="153" s="1"/>
  <c r="F47" i="147"/>
  <c r="G47" i="147" s="1"/>
  <c r="F47" i="149"/>
  <c r="G47" i="149" s="1"/>
  <c r="F47" i="152"/>
  <c r="G47" i="152" s="1"/>
  <c r="F47" i="114"/>
  <c r="F49" i="116"/>
  <c r="F49" i="115"/>
  <c r="G49" i="115" s="1"/>
  <c r="F49" i="117"/>
  <c r="F49" i="119"/>
  <c r="G49" i="119" s="1"/>
  <c r="F49" i="118"/>
  <c r="G49" i="118" s="1"/>
  <c r="F49" i="120"/>
  <c r="G49" i="120" s="1"/>
  <c r="F49" i="126"/>
  <c r="G49" i="126" s="1"/>
  <c r="F49" i="128"/>
  <c r="F49" i="125"/>
  <c r="G49" i="125" s="1"/>
  <c r="F49" i="127"/>
  <c r="F49" i="129"/>
  <c r="F49" i="144"/>
  <c r="G49" i="144" s="1"/>
  <c r="F49" i="146"/>
  <c r="G49" i="146" s="1"/>
  <c r="F49" i="131"/>
  <c r="G49" i="131" s="1"/>
  <c r="F49" i="145"/>
  <c r="G49" i="145" s="1"/>
  <c r="F49" i="148"/>
  <c r="G49" i="148" s="1"/>
  <c r="F49" i="151"/>
  <c r="G49" i="151" s="1"/>
  <c r="F49" i="153"/>
  <c r="G49" i="153" s="1"/>
  <c r="F49" i="147"/>
  <c r="G49" i="147" s="1"/>
  <c r="F49" i="149"/>
  <c r="G49" i="149" s="1"/>
  <c r="F49" i="152"/>
  <c r="G49" i="152" s="1"/>
  <c r="F49" i="114"/>
  <c r="F51" i="116"/>
  <c r="F51" i="115"/>
  <c r="G51" i="115" s="1"/>
  <c r="F51" i="117"/>
  <c r="F51" i="119"/>
  <c r="G51" i="119" s="1"/>
  <c r="F51" i="118"/>
  <c r="G51" i="118" s="1"/>
  <c r="F51" i="120"/>
  <c r="G51" i="120" s="1"/>
  <c r="F51" i="126"/>
  <c r="G51" i="126" s="1"/>
  <c r="F51" i="128"/>
  <c r="G51" i="128" s="1"/>
  <c r="F51" i="125"/>
  <c r="G51" i="125" s="1"/>
  <c r="F51" i="127"/>
  <c r="G51" i="127" s="1"/>
  <c r="F51" i="129"/>
  <c r="F51" i="144"/>
  <c r="G51" i="144" s="1"/>
  <c r="F51" i="146"/>
  <c r="G51" i="146" s="1"/>
  <c r="F51" i="131"/>
  <c r="G51" i="131" s="1"/>
  <c r="F51" i="145"/>
  <c r="G51" i="145" s="1"/>
  <c r="F51" i="148"/>
  <c r="G51" i="148" s="1"/>
  <c r="F51" i="151"/>
  <c r="G51" i="151" s="1"/>
  <c r="F51" i="153"/>
  <c r="G51" i="153" s="1"/>
  <c r="F51" i="147"/>
  <c r="G51" i="147" s="1"/>
  <c r="F51" i="149"/>
  <c r="G51" i="149" s="1"/>
  <c r="F51" i="152"/>
  <c r="G51" i="152" s="1"/>
  <c r="F51" i="114"/>
  <c r="F53" i="116"/>
  <c r="F53" i="115"/>
  <c r="G53" i="115" s="1"/>
  <c r="F53" i="117"/>
  <c r="F53" i="119"/>
  <c r="G53" i="119" s="1"/>
  <c r="F53" i="118"/>
  <c r="G53" i="118" s="1"/>
  <c r="F53" i="120"/>
  <c r="G53" i="120" s="1"/>
  <c r="F53" i="126"/>
  <c r="G53" i="126" s="1"/>
  <c r="F53" i="128"/>
  <c r="F53" i="125"/>
  <c r="G53" i="125" s="1"/>
  <c r="F53" i="127"/>
  <c r="F53" i="129"/>
  <c r="F53" i="144"/>
  <c r="G53" i="144" s="1"/>
  <c r="F53" i="146"/>
  <c r="G53" i="146" s="1"/>
  <c r="F53" i="131"/>
  <c r="G53" i="131" s="1"/>
  <c r="F53" i="145"/>
  <c r="G53" i="145" s="1"/>
  <c r="F53" i="148"/>
  <c r="G53" i="148" s="1"/>
  <c r="F53" i="151"/>
  <c r="G53" i="151" s="1"/>
  <c r="F53" i="153"/>
  <c r="G53" i="153" s="1"/>
  <c r="F53" i="147"/>
  <c r="G53" i="147" s="1"/>
  <c r="F53" i="149"/>
  <c r="G53" i="149" s="1"/>
  <c r="F53" i="152"/>
  <c r="G53" i="152" s="1"/>
  <c r="F53" i="114"/>
  <c r="F55" i="116"/>
  <c r="F55" i="115"/>
  <c r="G55" i="115" s="1"/>
  <c r="F55" i="117"/>
  <c r="G55" i="117" s="1"/>
  <c r="F55" i="119"/>
  <c r="G55" i="119" s="1"/>
  <c r="F55" i="118"/>
  <c r="G55" i="118" s="1"/>
  <c r="F55" i="120"/>
  <c r="G55" i="120" s="1"/>
  <c r="F55" i="126"/>
  <c r="G55" i="126" s="1"/>
  <c r="F55" i="128"/>
  <c r="F55" i="125"/>
  <c r="G55" i="125" s="1"/>
  <c r="F55" i="127"/>
  <c r="F55" i="129"/>
  <c r="F55" i="144"/>
  <c r="G55" i="144" s="1"/>
  <c r="F55" i="146"/>
  <c r="G55" i="146" s="1"/>
  <c r="F55" i="131"/>
  <c r="G55" i="131" s="1"/>
  <c r="F55" i="145"/>
  <c r="G55" i="145" s="1"/>
  <c r="F55" i="148"/>
  <c r="G55" i="148" s="1"/>
  <c r="F55" i="151"/>
  <c r="G55" i="151" s="1"/>
  <c r="F55" i="153"/>
  <c r="G55" i="153" s="1"/>
  <c r="F55" i="147"/>
  <c r="G55" i="147" s="1"/>
  <c r="F55" i="149"/>
  <c r="G55" i="149" s="1"/>
  <c r="F55" i="152"/>
  <c r="G55" i="152" s="1"/>
  <c r="F55" i="114"/>
  <c r="F57" i="116"/>
  <c r="F57" i="115"/>
  <c r="G57" i="115" s="1"/>
  <c r="F57" i="117"/>
  <c r="F57" i="119"/>
  <c r="G57" i="119" s="1"/>
  <c r="F57" i="118"/>
  <c r="G57" i="118" s="1"/>
  <c r="F57" i="120"/>
  <c r="G57" i="120" s="1"/>
  <c r="F57" i="126"/>
  <c r="G57" i="126" s="1"/>
  <c r="F57" i="128"/>
  <c r="G57" i="128" s="1"/>
  <c r="F57" i="125"/>
  <c r="G57" i="125" s="1"/>
  <c r="F57" i="127"/>
  <c r="F57" i="129"/>
  <c r="F57" i="144"/>
  <c r="G57" i="144" s="1"/>
  <c r="F57" i="146"/>
  <c r="G57" i="146" s="1"/>
  <c r="F57" i="131"/>
  <c r="G57" i="131" s="1"/>
  <c r="F57" i="145"/>
  <c r="G57" i="145" s="1"/>
  <c r="F57" i="148"/>
  <c r="G57" i="148" s="1"/>
  <c r="F57" i="151"/>
  <c r="G57" i="151" s="1"/>
  <c r="F57" i="153"/>
  <c r="G57" i="153" s="1"/>
  <c r="F57" i="147"/>
  <c r="G57" i="147" s="1"/>
  <c r="F57" i="149"/>
  <c r="G57" i="149" s="1"/>
  <c r="F57" i="152"/>
  <c r="G57" i="152" s="1"/>
  <c r="F57" i="114"/>
  <c r="F59" i="116"/>
  <c r="F59" i="115"/>
  <c r="G59" i="115" s="1"/>
  <c r="F59" i="117"/>
  <c r="G59" i="117" s="1"/>
  <c r="F59" i="119"/>
  <c r="G59" i="119" s="1"/>
  <c r="F59" i="118"/>
  <c r="G59" i="118" s="1"/>
  <c r="F59" i="120"/>
  <c r="G59" i="120" s="1"/>
  <c r="F59" i="126"/>
  <c r="G59" i="126" s="1"/>
  <c r="F59" i="128"/>
  <c r="G59" i="128" s="1"/>
  <c r="F59" i="125"/>
  <c r="G59" i="125" s="1"/>
  <c r="F59" i="127"/>
  <c r="F59" i="129"/>
  <c r="F59" i="144"/>
  <c r="G59" i="144" s="1"/>
  <c r="F59" i="146"/>
  <c r="G59" i="146" s="1"/>
  <c r="F59" i="131"/>
  <c r="G59" i="131" s="1"/>
  <c r="F59" i="145"/>
  <c r="G59" i="145" s="1"/>
  <c r="F59" i="148"/>
  <c r="G59" i="148" s="1"/>
  <c r="F59" i="151"/>
  <c r="G59" i="151" s="1"/>
  <c r="F59" i="153"/>
  <c r="G59" i="153" s="1"/>
  <c r="F59" i="147"/>
  <c r="G59" i="147" s="1"/>
  <c r="F59" i="149"/>
  <c r="G59" i="149" s="1"/>
  <c r="F59" i="152"/>
  <c r="G59" i="152" s="1"/>
  <c r="F59" i="114"/>
  <c r="F61" i="116"/>
  <c r="F61" i="115"/>
  <c r="G61" i="115" s="1"/>
  <c r="F61" i="117"/>
  <c r="F61" i="119"/>
  <c r="G61" i="119" s="1"/>
  <c r="F61" i="118"/>
  <c r="G61" i="118" s="1"/>
  <c r="F61" i="120"/>
  <c r="G61" i="120" s="1"/>
  <c r="F61" i="126"/>
  <c r="G61" i="126" s="1"/>
  <c r="F61" i="128"/>
  <c r="F61" i="125"/>
  <c r="G61" i="125" s="1"/>
  <c r="F61" i="127"/>
  <c r="F61" i="129"/>
  <c r="F61" i="144"/>
  <c r="G61" i="144" s="1"/>
  <c r="F61" i="146"/>
  <c r="G61" i="146" s="1"/>
  <c r="F61" i="131"/>
  <c r="G61" i="131" s="1"/>
  <c r="F61" i="145"/>
  <c r="G61" i="145" s="1"/>
  <c r="F61" i="148"/>
  <c r="G61" i="148" s="1"/>
  <c r="F61" i="151"/>
  <c r="G61" i="151" s="1"/>
  <c r="F61" i="153"/>
  <c r="G61" i="153" s="1"/>
  <c r="F61" i="147"/>
  <c r="G61" i="147" s="1"/>
  <c r="F61" i="149"/>
  <c r="G61" i="149" s="1"/>
  <c r="F61" i="152"/>
  <c r="G61" i="152" s="1"/>
  <c r="F61" i="114"/>
  <c r="F63" i="116"/>
  <c r="F63" i="115"/>
  <c r="G63" i="115" s="1"/>
  <c r="F63" i="117"/>
  <c r="F63" i="119"/>
  <c r="G63" i="119" s="1"/>
  <c r="F63" i="118"/>
  <c r="G63" i="118" s="1"/>
  <c r="F63" i="120"/>
  <c r="G63" i="120" s="1"/>
  <c r="F63" i="126"/>
  <c r="G63" i="126" s="1"/>
  <c r="F63" i="128"/>
  <c r="F63" i="125"/>
  <c r="G63" i="125" s="1"/>
  <c r="F63" i="127"/>
  <c r="G63" i="127" s="1"/>
  <c r="F63" i="129"/>
  <c r="F63" i="144"/>
  <c r="G63" i="144" s="1"/>
  <c r="F63" i="146"/>
  <c r="G63" i="146" s="1"/>
  <c r="F63" i="131"/>
  <c r="G63" i="131" s="1"/>
  <c r="F63" i="145"/>
  <c r="G63" i="145" s="1"/>
  <c r="F63" i="148"/>
  <c r="G63" i="148" s="1"/>
  <c r="F63" i="151"/>
  <c r="G63" i="151" s="1"/>
  <c r="F63" i="153"/>
  <c r="G63" i="153" s="1"/>
  <c r="F63" i="147"/>
  <c r="G63" i="147" s="1"/>
  <c r="F63" i="149"/>
  <c r="G63" i="149" s="1"/>
  <c r="F63" i="152"/>
  <c r="G63" i="152" s="1"/>
  <c r="F63" i="114"/>
  <c r="F65" i="116"/>
  <c r="F65" i="115"/>
  <c r="G65" i="115" s="1"/>
  <c r="F65" i="117"/>
  <c r="F65" i="119"/>
  <c r="G65" i="119" s="1"/>
  <c r="F65" i="118"/>
  <c r="G65" i="118" s="1"/>
  <c r="F65" i="120"/>
  <c r="G65" i="120" s="1"/>
  <c r="F65" i="126"/>
  <c r="G65" i="126" s="1"/>
  <c r="F65" i="128"/>
  <c r="F65" i="125"/>
  <c r="G65" i="125" s="1"/>
  <c r="F65" i="127"/>
  <c r="F65" i="129"/>
  <c r="F65" i="144"/>
  <c r="G65" i="144" s="1"/>
  <c r="F65" i="146"/>
  <c r="G65" i="146" s="1"/>
  <c r="F65" i="131"/>
  <c r="G65" i="131" s="1"/>
  <c r="F65" i="145"/>
  <c r="G65" i="145" s="1"/>
  <c r="F65" i="148"/>
  <c r="G65" i="148" s="1"/>
  <c r="F65" i="151"/>
  <c r="G65" i="151" s="1"/>
  <c r="F65" i="153"/>
  <c r="G65" i="153" s="1"/>
  <c r="F65" i="147"/>
  <c r="G65" i="147" s="1"/>
  <c r="F65" i="149"/>
  <c r="G65" i="149" s="1"/>
  <c r="F65" i="152"/>
  <c r="G65" i="152" s="1"/>
  <c r="F65" i="114"/>
  <c r="F67" i="116"/>
  <c r="F67" i="115"/>
  <c r="G67" i="115" s="1"/>
  <c r="F67" i="117"/>
  <c r="F67" i="119"/>
  <c r="G67" i="119" s="1"/>
  <c r="F67" i="118"/>
  <c r="G67" i="118" s="1"/>
  <c r="F67" i="120"/>
  <c r="G67" i="120" s="1"/>
  <c r="F67" i="126"/>
  <c r="G67" i="126" s="1"/>
  <c r="F67" i="128"/>
  <c r="F67" i="125"/>
  <c r="G67" i="125" s="1"/>
  <c r="F67" i="127"/>
  <c r="F67" i="129"/>
  <c r="F67" i="144"/>
  <c r="G67" i="144" s="1"/>
  <c r="F67" i="146"/>
  <c r="G67" i="146" s="1"/>
  <c r="F67" i="131"/>
  <c r="G67" i="131" s="1"/>
  <c r="F67" i="145"/>
  <c r="G67" i="145" s="1"/>
  <c r="F67" i="148"/>
  <c r="G67" i="148" s="1"/>
  <c r="F67" i="151"/>
  <c r="G67" i="151" s="1"/>
  <c r="F67" i="153"/>
  <c r="G67" i="153" s="1"/>
  <c r="F67" i="147"/>
  <c r="G67" i="147" s="1"/>
  <c r="F67" i="149"/>
  <c r="G67" i="149" s="1"/>
  <c r="F67" i="152"/>
  <c r="G67" i="152" s="1"/>
  <c r="F67" i="114"/>
  <c r="F69" i="116"/>
  <c r="F69" i="115"/>
  <c r="G69" i="115" s="1"/>
  <c r="F69" i="117"/>
  <c r="F69" i="119"/>
  <c r="G69" i="119" s="1"/>
  <c r="F69" i="118"/>
  <c r="G69" i="118" s="1"/>
  <c r="F69" i="120"/>
  <c r="G69" i="120" s="1"/>
  <c r="F69" i="126"/>
  <c r="G69" i="126" s="1"/>
  <c r="F69" i="128"/>
  <c r="F69" i="125"/>
  <c r="G69" i="125" s="1"/>
  <c r="F69" i="127"/>
  <c r="F69" i="129"/>
  <c r="F69" i="144"/>
  <c r="G69" i="144" s="1"/>
  <c r="F69" i="146"/>
  <c r="G69" i="146" s="1"/>
  <c r="F69" i="131"/>
  <c r="G69" i="131" s="1"/>
  <c r="F69" i="145"/>
  <c r="G69" i="145" s="1"/>
  <c r="F69" i="148"/>
  <c r="G69" i="148" s="1"/>
  <c r="F69" i="151"/>
  <c r="G69" i="151" s="1"/>
  <c r="F69" i="153"/>
  <c r="G69" i="153" s="1"/>
  <c r="F69" i="147"/>
  <c r="G69" i="147" s="1"/>
  <c r="F69" i="149"/>
  <c r="G69" i="149" s="1"/>
  <c r="F69" i="152"/>
  <c r="G69" i="152" s="1"/>
  <c r="F69" i="114"/>
  <c r="G69" i="114" s="1"/>
  <c r="F71" i="116"/>
  <c r="F71" i="115"/>
  <c r="G71" i="115" s="1"/>
  <c r="F71" i="117"/>
  <c r="G71" i="117" s="1"/>
  <c r="F71" i="119"/>
  <c r="G71" i="119" s="1"/>
  <c r="F71" i="118"/>
  <c r="G71" i="118" s="1"/>
  <c r="F71" i="120"/>
  <c r="G71" i="120" s="1"/>
  <c r="F71" i="126"/>
  <c r="G71" i="126" s="1"/>
  <c r="F71" i="128"/>
  <c r="F71" i="125"/>
  <c r="G71" i="125" s="1"/>
  <c r="F71" i="127"/>
  <c r="G71" i="127" s="1"/>
  <c r="F71" i="129"/>
  <c r="F71" i="144"/>
  <c r="G71" i="144" s="1"/>
  <c r="F71" i="146"/>
  <c r="G71" i="146" s="1"/>
  <c r="F71" i="131"/>
  <c r="G71" i="131" s="1"/>
  <c r="F71" i="145"/>
  <c r="G71" i="145" s="1"/>
  <c r="F71" i="147"/>
  <c r="G71" i="147" s="1"/>
  <c r="F71" i="148"/>
  <c r="G71" i="148" s="1"/>
  <c r="F71" i="151"/>
  <c r="G71" i="151" s="1"/>
  <c r="F71" i="153"/>
  <c r="G71" i="153" s="1"/>
  <c r="F71" i="149"/>
  <c r="G71" i="149" s="1"/>
  <c r="F71" i="152"/>
  <c r="G71" i="152" s="1"/>
  <c r="F71" i="114"/>
  <c r="F73" i="116"/>
  <c r="F73" i="115"/>
  <c r="G73" i="115" s="1"/>
  <c r="F73" i="117"/>
  <c r="G73" i="117" s="1"/>
  <c r="F73" i="119"/>
  <c r="G73" i="119" s="1"/>
  <c r="F73" i="118"/>
  <c r="G73" i="118" s="1"/>
  <c r="F73" i="120"/>
  <c r="G73" i="120" s="1"/>
  <c r="F73" i="126"/>
  <c r="G73" i="126" s="1"/>
  <c r="F73" i="128"/>
  <c r="F73" i="125"/>
  <c r="G73" i="125" s="1"/>
  <c r="F73" i="127"/>
  <c r="F73" i="129"/>
  <c r="F73" i="144"/>
  <c r="G73" i="144" s="1"/>
  <c r="F73" i="146"/>
  <c r="G73" i="146" s="1"/>
  <c r="F73" i="131"/>
  <c r="G73" i="131" s="1"/>
  <c r="F73" i="145"/>
  <c r="G73" i="145" s="1"/>
  <c r="F73" i="147"/>
  <c r="G73" i="147" s="1"/>
  <c r="F73" i="148"/>
  <c r="G73" i="148" s="1"/>
  <c r="F73" i="151"/>
  <c r="G73" i="151" s="1"/>
  <c r="F73" i="153"/>
  <c r="G73" i="153" s="1"/>
  <c r="F73" i="149"/>
  <c r="G73" i="149" s="1"/>
  <c r="F73" i="152"/>
  <c r="G73" i="152" s="1"/>
  <c r="F73" i="114"/>
  <c r="F75" i="116"/>
  <c r="F75" i="115"/>
  <c r="G75" i="115" s="1"/>
  <c r="F75" i="117"/>
  <c r="G75" i="117" s="1"/>
  <c r="F75" i="119"/>
  <c r="G75" i="119" s="1"/>
  <c r="F75" i="118"/>
  <c r="G75" i="118" s="1"/>
  <c r="F75" i="120"/>
  <c r="G75" i="120" s="1"/>
  <c r="F75" i="126"/>
  <c r="G75" i="126" s="1"/>
  <c r="F75" i="128"/>
  <c r="G75" i="128" s="1"/>
  <c r="F75" i="125"/>
  <c r="G75" i="125" s="1"/>
  <c r="F75" i="127"/>
  <c r="G75" i="127" s="1"/>
  <c r="F75" i="129"/>
  <c r="F75" i="144"/>
  <c r="G75" i="144" s="1"/>
  <c r="F75" i="146"/>
  <c r="G75" i="146" s="1"/>
  <c r="F75" i="131"/>
  <c r="G75" i="131" s="1"/>
  <c r="F75" i="145"/>
  <c r="G75" i="145" s="1"/>
  <c r="F75" i="147"/>
  <c r="G75" i="147" s="1"/>
  <c r="F75" i="148"/>
  <c r="G75" i="148" s="1"/>
  <c r="F75" i="151"/>
  <c r="G75" i="151" s="1"/>
  <c r="F75" i="153"/>
  <c r="G75" i="153" s="1"/>
  <c r="F75" i="149"/>
  <c r="G75" i="149" s="1"/>
  <c r="F75" i="152"/>
  <c r="G75" i="152" s="1"/>
  <c r="F75" i="114"/>
  <c r="T5" i="116"/>
  <c r="U5" i="116" s="1"/>
  <c r="V5" i="116" s="1"/>
  <c r="W5" i="116" s="1"/>
  <c r="X5" i="116" s="1"/>
  <c r="Y5" i="116" s="1"/>
  <c r="Z5" i="116" s="1"/>
  <c r="AA5" i="116" s="1"/>
  <c r="AB5" i="116" s="1"/>
  <c r="AC5" i="116" s="1"/>
  <c r="AD5" i="116" s="1"/>
  <c r="AE5" i="116" s="1"/>
  <c r="AF5" i="116" s="1"/>
  <c r="AG5" i="116" s="1"/>
  <c r="AH5" i="116" s="1"/>
  <c r="AI5" i="116" s="1"/>
  <c r="AJ5" i="116" s="1"/>
  <c r="AK5" i="116" s="1"/>
  <c r="T5" i="119"/>
  <c r="U5" i="119" s="1"/>
  <c r="V5" i="119" s="1"/>
  <c r="W5" i="119" s="1"/>
  <c r="X5" i="119" s="1"/>
  <c r="Y5" i="119" s="1"/>
  <c r="Z5" i="119" s="1"/>
  <c r="AA5" i="119" s="1"/>
  <c r="AB5" i="119" s="1"/>
  <c r="AC5" i="119" s="1"/>
  <c r="AD5" i="119" s="1"/>
  <c r="AE5" i="119" s="1"/>
  <c r="AF5" i="119" s="1"/>
  <c r="AG5" i="119" s="1"/>
  <c r="AH5" i="119" s="1"/>
  <c r="AI5" i="119" s="1"/>
  <c r="AJ5" i="119" s="1"/>
  <c r="AK5" i="119" s="1"/>
  <c r="T5" i="127"/>
  <c r="U5" i="127" s="1"/>
  <c r="V5" i="127" s="1"/>
  <c r="W5" i="127" s="1"/>
  <c r="X5" i="127" s="1"/>
  <c r="Y5" i="127" s="1"/>
  <c r="Z5" i="127" s="1"/>
  <c r="AA5" i="127" s="1"/>
  <c r="AB5" i="127" s="1"/>
  <c r="AC5" i="127" s="1"/>
  <c r="AD5" i="127" s="1"/>
  <c r="AE5" i="127" s="1"/>
  <c r="AF5" i="127" s="1"/>
  <c r="AG5" i="127" s="1"/>
  <c r="AH5" i="127" s="1"/>
  <c r="AI5" i="127" s="1"/>
  <c r="AJ5" i="127" s="1"/>
  <c r="AK5" i="127" s="1"/>
  <c r="F7" i="115"/>
  <c r="G7" i="115" s="1"/>
  <c r="F7" i="117"/>
  <c r="F7" i="119"/>
  <c r="G7" i="119" s="1"/>
  <c r="F7" i="125"/>
  <c r="G7" i="125" s="1"/>
  <c r="F7" i="127"/>
  <c r="G7" i="127" s="1"/>
  <c r="F7" i="129"/>
  <c r="F7" i="144"/>
  <c r="G7" i="144" s="1"/>
  <c r="F7" i="146"/>
  <c r="G7" i="146" s="1"/>
  <c r="F7" i="148"/>
  <c r="G7" i="148" s="1"/>
  <c r="F7" i="151"/>
  <c r="G7" i="151" s="1"/>
  <c r="F7" i="153"/>
  <c r="G7" i="153" s="1"/>
  <c r="F7" i="116"/>
  <c r="G7" i="116" s="1"/>
  <c r="F7" i="118"/>
  <c r="G7" i="118" s="1"/>
  <c r="F7" i="120"/>
  <c r="G7" i="120" s="1"/>
  <c r="F7" i="126"/>
  <c r="G7" i="126" s="1"/>
  <c r="F7" i="128"/>
  <c r="F7" i="131"/>
  <c r="G7" i="131" s="1"/>
  <c r="F7" i="145"/>
  <c r="G7" i="145" s="1"/>
  <c r="F7" i="147"/>
  <c r="G7" i="147" s="1"/>
  <c r="F7" i="149"/>
  <c r="G7" i="149" s="1"/>
  <c r="F7" i="152"/>
  <c r="G7" i="152" s="1"/>
  <c r="F7" i="114"/>
  <c r="F9" i="115"/>
  <c r="G9" i="115" s="1"/>
  <c r="F9" i="116"/>
  <c r="F9" i="118"/>
  <c r="G9" i="118" s="1"/>
  <c r="F9" i="117"/>
  <c r="F9" i="119"/>
  <c r="G9" i="119" s="1"/>
  <c r="F9" i="125"/>
  <c r="G9" i="125" s="1"/>
  <c r="F9" i="127"/>
  <c r="F9" i="120"/>
  <c r="G9" i="120" s="1"/>
  <c r="F9" i="126"/>
  <c r="G9" i="126" s="1"/>
  <c r="F9" i="128"/>
  <c r="F9" i="131"/>
  <c r="G9" i="131" s="1"/>
  <c r="F9" i="145"/>
  <c r="G9" i="145" s="1"/>
  <c r="F9" i="129"/>
  <c r="F9" i="144"/>
  <c r="G9" i="144" s="1"/>
  <c r="F9" i="146"/>
  <c r="G9" i="146" s="1"/>
  <c r="F9" i="147"/>
  <c r="G9" i="147" s="1"/>
  <c r="F9" i="149"/>
  <c r="G9" i="149" s="1"/>
  <c r="F9" i="152"/>
  <c r="G9" i="152" s="1"/>
  <c r="F9" i="114"/>
  <c r="F9" i="148"/>
  <c r="G9" i="148" s="1"/>
  <c r="F9" i="151"/>
  <c r="G9" i="151" s="1"/>
  <c r="F9" i="153"/>
  <c r="G9" i="153" s="1"/>
  <c r="F11" i="115"/>
  <c r="G11" i="115" s="1"/>
  <c r="F11" i="116"/>
  <c r="G11" i="116" s="1"/>
  <c r="F11" i="118"/>
  <c r="G11" i="118" s="1"/>
  <c r="F11" i="117"/>
  <c r="F11" i="119"/>
  <c r="G11" i="119" s="1"/>
  <c r="F11" i="125"/>
  <c r="G11" i="125" s="1"/>
  <c r="F11" i="127"/>
  <c r="F11" i="120"/>
  <c r="G11" i="120" s="1"/>
  <c r="F11" i="126"/>
  <c r="G11" i="126" s="1"/>
  <c r="F11" i="128"/>
  <c r="F11" i="131"/>
  <c r="G11" i="131" s="1"/>
  <c r="F11" i="145"/>
  <c r="G11" i="145" s="1"/>
  <c r="F11" i="129"/>
  <c r="F11" i="144"/>
  <c r="G11" i="144" s="1"/>
  <c r="F11" i="146"/>
  <c r="G11" i="146" s="1"/>
  <c r="F11" i="147"/>
  <c r="G11" i="147" s="1"/>
  <c r="F11" i="149"/>
  <c r="G11" i="149" s="1"/>
  <c r="F11" i="152"/>
  <c r="G11" i="152" s="1"/>
  <c r="F11" i="114"/>
  <c r="F11" i="148"/>
  <c r="G11" i="148" s="1"/>
  <c r="F11" i="151"/>
  <c r="G11" i="151" s="1"/>
  <c r="F11" i="153"/>
  <c r="G11" i="153" s="1"/>
  <c r="F13" i="115"/>
  <c r="G13" i="115" s="1"/>
  <c r="F13" i="116"/>
  <c r="F13" i="118"/>
  <c r="G13" i="118" s="1"/>
  <c r="F13" i="117"/>
  <c r="F13" i="119"/>
  <c r="G13" i="119" s="1"/>
  <c r="F13" i="125"/>
  <c r="G13" i="125" s="1"/>
  <c r="F13" i="127"/>
  <c r="G13" i="127" s="1"/>
  <c r="F13" i="120"/>
  <c r="G13" i="120" s="1"/>
  <c r="F13" i="126"/>
  <c r="G13" i="126" s="1"/>
  <c r="F13" i="128"/>
  <c r="F13" i="131"/>
  <c r="G13" i="131" s="1"/>
  <c r="F13" i="145"/>
  <c r="G13" i="145" s="1"/>
  <c r="F13" i="129"/>
  <c r="F13" i="144"/>
  <c r="G13" i="144" s="1"/>
  <c r="F13" i="146"/>
  <c r="G13" i="146" s="1"/>
  <c r="F13" i="147"/>
  <c r="G13" i="147" s="1"/>
  <c r="F13" i="149"/>
  <c r="G13" i="149" s="1"/>
  <c r="F13" i="152"/>
  <c r="G13" i="152" s="1"/>
  <c r="F13" i="114"/>
  <c r="F13" i="148"/>
  <c r="G13" i="148" s="1"/>
  <c r="F13" i="151"/>
  <c r="G13" i="151" s="1"/>
  <c r="F13" i="153"/>
  <c r="G13" i="153" s="1"/>
  <c r="F15" i="115"/>
  <c r="G15" i="115" s="1"/>
  <c r="F15" i="116"/>
  <c r="G15" i="116" s="1"/>
  <c r="F15" i="118"/>
  <c r="G15" i="118" s="1"/>
  <c r="F15" i="117"/>
  <c r="F15" i="119"/>
  <c r="G15" i="119" s="1"/>
  <c r="F15" i="125"/>
  <c r="G15" i="125" s="1"/>
  <c r="F15" i="127"/>
  <c r="F15" i="120"/>
  <c r="G15" i="120" s="1"/>
  <c r="F15" i="126"/>
  <c r="G15" i="126" s="1"/>
  <c r="F15" i="128"/>
  <c r="F15" i="131"/>
  <c r="G15" i="131" s="1"/>
  <c r="F15" i="145"/>
  <c r="G15" i="145" s="1"/>
  <c r="F15" i="129"/>
  <c r="F15" i="144"/>
  <c r="G15" i="144" s="1"/>
  <c r="F15" i="146"/>
  <c r="G15" i="146" s="1"/>
  <c r="F15" i="147"/>
  <c r="G15" i="147" s="1"/>
  <c r="F15" i="149"/>
  <c r="G15" i="149" s="1"/>
  <c r="F15" i="152"/>
  <c r="G15" i="152" s="1"/>
  <c r="F15" i="114"/>
  <c r="F15" i="148"/>
  <c r="G15" i="148" s="1"/>
  <c r="F15" i="151"/>
  <c r="G15" i="151" s="1"/>
  <c r="F15" i="153"/>
  <c r="G15" i="153" s="1"/>
  <c r="F17" i="115"/>
  <c r="G17" i="115" s="1"/>
  <c r="F17" i="116"/>
  <c r="F17" i="118"/>
  <c r="G17" i="118" s="1"/>
  <c r="F17" i="117"/>
  <c r="F17" i="119"/>
  <c r="G17" i="119" s="1"/>
  <c r="F17" i="125"/>
  <c r="G17" i="125" s="1"/>
  <c r="F17" i="127"/>
  <c r="F17" i="120"/>
  <c r="G17" i="120" s="1"/>
  <c r="F17" i="126"/>
  <c r="G17" i="126" s="1"/>
  <c r="F17" i="128"/>
  <c r="G17" i="128" s="1"/>
  <c r="F17" i="131"/>
  <c r="G17" i="131" s="1"/>
  <c r="F17" i="145"/>
  <c r="G17" i="145" s="1"/>
  <c r="F17" i="129"/>
  <c r="F17" i="144"/>
  <c r="G17" i="144" s="1"/>
  <c r="F17" i="146"/>
  <c r="G17" i="146" s="1"/>
  <c r="F17" i="147"/>
  <c r="G17" i="147" s="1"/>
  <c r="F17" i="149"/>
  <c r="G17" i="149" s="1"/>
  <c r="F17" i="152"/>
  <c r="G17" i="152" s="1"/>
  <c r="F17" i="114"/>
  <c r="F17" i="148"/>
  <c r="G17" i="148" s="1"/>
  <c r="F17" i="151"/>
  <c r="G17" i="151" s="1"/>
  <c r="F17" i="153"/>
  <c r="G17" i="153" s="1"/>
  <c r="F19" i="115"/>
  <c r="G19" i="115" s="1"/>
  <c r="F19" i="116"/>
  <c r="G19" i="116" s="1"/>
  <c r="F19" i="118"/>
  <c r="G19" i="118" s="1"/>
  <c r="F19" i="117"/>
  <c r="F19" i="119"/>
  <c r="G19" i="119" s="1"/>
  <c r="F19" i="125"/>
  <c r="G19" i="125" s="1"/>
  <c r="F19" i="127"/>
  <c r="F19" i="120"/>
  <c r="G19" i="120" s="1"/>
  <c r="F19" i="126"/>
  <c r="G19" i="126" s="1"/>
  <c r="F19" i="128"/>
  <c r="F19" i="131"/>
  <c r="G19" i="131" s="1"/>
  <c r="F19" i="145"/>
  <c r="G19" i="145" s="1"/>
  <c r="F19" i="129"/>
  <c r="F19" i="144"/>
  <c r="G19" i="144" s="1"/>
  <c r="F19" i="146"/>
  <c r="G19" i="146" s="1"/>
  <c r="F19" i="147"/>
  <c r="G19" i="147" s="1"/>
  <c r="F19" i="149"/>
  <c r="G19" i="149" s="1"/>
  <c r="F19" i="152"/>
  <c r="G19" i="152" s="1"/>
  <c r="F19" i="114"/>
  <c r="F19" i="148"/>
  <c r="G19" i="148" s="1"/>
  <c r="F19" i="151"/>
  <c r="G19" i="151" s="1"/>
  <c r="F19" i="153"/>
  <c r="G19" i="153" s="1"/>
  <c r="F21" i="115"/>
  <c r="G21" i="115" s="1"/>
  <c r="F21" i="116"/>
  <c r="F21" i="118"/>
  <c r="G21" i="118" s="1"/>
  <c r="F21" i="117"/>
  <c r="F21" i="119"/>
  <c r="G21" i="119" s="1"/>
  <c r="F21" i="125"/>
  <c r="G21" i="125" s="1"/>
  <c r="F21" i="127"/>
  <c r="F21" i="120"/>
  <c r="G21" i="120" s="1"/>
  <c r="F21" i="126"/>
  <c r="G21" i="126" s="1"/>
  <c r="F21" i="128"/>
  <c r="F21" i="131"/>
  <c r="G21" i="131" s="1"/>
  <c r="F21" i="145"/>
  <c r="G21" i="145" s="1"/>
  <c r="F21" i="129"/>
  <c r="F21" i="144"/>
  <c r="G21" i="144" s="1"/>
  <c r="F21" i="146"/>
  <c r="G21" i="146" s="1"/>
  <c r="F21" i="147"/>
  <c r="G21" i="147" s="1"/>
  <c r="F21" i="149"/>
  <c r="G21" i="149" s="1"/>
  <c r="F21" i="152"/>
  <c r="G21" i="152" s="1"/>
  <c r="F21" i="114"/>
  <c r="F21" i="148"/>
  <c r="G21" i="148" s="1"/>
  <c r="F21" i="151"/>
  <c r="G21" i="151" s="1"/>
  <c r="F21" i="153"/>
  <c r="G21" i="153" s="1"/>
  <c r="F24" i="116"/>
  <c r="F24" i="115"/>
  <c r="G24" i="115" s="1"/>
  <c r="F24" i="117"/>
  <c r="G24" i="117" s="1"/>
  <c r="F24" i="119"/>
  <c r="G24" i="119" s="1"/>
  <c r="F24" i="118"/>
  <c r="G24" i="118" s="1"/>
  <c r="F24" i="120"/>
  <c r="G24" i="120" s="1"/>
  <c r="F24" i="126"/>
  <c r="G24" i="126" s="1"/>
  <c r="F24" i="125"/>
  <c r="G24" i="125" s="1"/>
  <c r="F24" i="127"/>
  <c r="F24" i="129"/>
  <c r="F24" i="144"/>
  <c r="G24" i="144" s="1"/>
  <c r="F24" i="146"/>
  <c r="G24" i="146" s="1"/>
  <c r="F24" i="128"/>
  <c r="F24" i="131"/>
  <c r="G24" i="131" s="1"/>
  <c r="F24" i="145"/>
  <c r="G24" i="145" s="1"/>
  <c r="F24" i="148"/>
  <c r="G24" i="148" s="1"/>
  <c r="F24" i="151"/>
  <c r="G24" i="151" s="1"/>
  <c r="F24" i="153"/>
  <c r="G24" i="153" s="1"/>
  <c r="F24" i="147"/>
  <c r="G24" i="147" s="1"/>
  <c r="F24" i="149"/>
  <c r="G24" i="149" s="1"/>
  <c r="F24" i="152"/>
  <c r="G24" i="152" s="1"/>
  <c r="F24" i="114"/>
  <c r="F26" i="116"/>
  <c r="G26" i="116" s="1"/>
  <c r="F26" i="115"/>
  <c r="G26" i="115" s="1"/>
  <c r="F26" i="117"/>
  <c r="F26" i="119"/>
  <c r="G26" i="119" s="1"/>
  <c r="F26" i="118"/>
  <c r="G26" i="118" s="1"/>
  <c r="F26" i="120"/>
  <c r="G26" i="120" s="1"/>
  <c r="F26" i="126"/>
  <c r="G26" i="126" s="1"/>
  <c r="F26" i="125"/>
  <c r="G26" i="125" s="1"/>
  <c r="F26" i="127"/>
  <c r="F26" i="128"/>
  <c r="F26" i="129"/>
  <c r="F26" i="144"/>
  <c r="G26" i="144" s="1"/>
  <c r="F26" i="146"/>
  <c r="G26" i="146" s="1"/>
  <c r="F26" i="131"/>
  <c r="G26" i="131" s="1"/>
  <c r="F26" i="145"/>
  <c r="G26" i="145" s="1"/>
  <c r="F26" i="148"/>
  <c r="G26" i="148" s="1"/>
  <c r="F26" i="151"/>
  <c r="G26" i="151" s="1"/>
  <c r="F26" i="153"/>
  <c r="G26" i="153" s="1"/>
  <c r="F26" i="147"/>
  <c r="G26" i="147" s="1"/>
  <c r="F26" i="149"/>
  <c r="G26" i="149" s="1"/>
  <c r="F26" i="152"/>
  <c r="G26" i="152" s="1"/>
  <c r="F26" i="114"/>
  <c r="F28" i="116"/>
  <c r="F28" i="115"/>
  <c r="G28" i="115" s="1"/>
  <c r="F28" i="117"/>
  <c r="G28" i="117" s="1"/>
  <c r="F28" i="119"/>
  <c r="G28" i="119" s="1"/>
  <c r="F28" i="118"/>
  <c r="G28" i="118" s="1"/>
  <c r="F28" i="120"/>
  <c r="G28" i="120" s="1"/>
  <c r="F28" i="126"/>
  <c r="G28" i="126" s="1"/>
  <c r="F28" i="125"/>
  <c r="G28" i="125" s="1"/>
  <c r="F28" i="127"/>
  <c r="F28" i="129"/>
  <c r="F28" i="144"/>
  <c r="G28" i="144" s="1"/>
  <c r="F28" i="146"/>
  <c r="G28" i="146" s="1"/>
  <c r="F28" i="128"/>
  <c r="F28" i="131"/>
  <c r="G28" i="131" s="1"/>
  <c r="F28" i="145"/>
  <c r="G28" i="145" s="1"/>
  <c r="F28" i="148"/>
  <c r="G28" i="148" s="1"/>
  <c r="F28" i="151"/>
  <c r="G28" i="151" s="1"/>
  <c r="F28" i="153"/>
  <c r="G28" i="153" s="1"/>
  <c r="F28" i="147"/>
  <c r="G28" i="147" s="1"/>
  <c r="F28" i="149"/>
  <c r="G28" i="149" s="1"/>
  <c r="F28" i="152"/>
  <c r="G28" i="152" s="1"/>
  <c r="F28" i="114"/>
  <c r="F30" i="116"/>
  <c r="G30" i="116" s="1"/>
  <c r="F30" i="115"/>
  <c r="G30" i="115" s="1"/>
  <c r="F30" i="117"/>
  <c r="G30" i="117" s="1"/>
  <c r="F30" i="119"/>
  <c r="G30" i="119" s="1"/>
  <c r="F30" i="118"/>
  <c r="G30" i="118" s="1"/>
  <c r="F30" i="120"/>
  <c r="G30" i="120" s="1"/>
  <c r="F30" i="126"/>
  <c r="G30" i="126" s="1"/>
  <c r="F30" i="125"/>
  <c r="G30" i="125" s="1"/>
  <c r="F30" i="127"/>
  <c r="F30" i="128"/>
  <c r="F30" i="129"/>
  <c r="F30" i="144"/>
  <c r="G30" i="144" s="1"/>
  <c r="F30" i="146"/>
  <c r="G30" i="146" s="1"/>
  <c r="F30" i="131"/>
  <c r="G30" i="131" s="1"/>
  <c r="F30" i="145"/>
  <c r="G30" i="145" s="1"/>
  <c r="F30" i="148"/>
  <c r="G30" i="148" s="1"/>
  <c r="F30" i="151"/>
  <c r="G30" i="151" s="1"/>
  <c r="F30" i="153"/>
  <c r="G30" i="153" s="1"/>
  <c r="F30" i="147"/>
  <c r="G30" i="147" s="1"/>
  <c r="F30" i="149"/>
  <c r="G30" i="149" s="1"/>
  <c r="F30" i="152"/>
  <c r="G30" i="152" s="1"/>
  <c r="F30" i="114"/>
  <c r="F32" i="116"/>
  <c r="F32" i="115"/>
  <c r="G32" i="115" s="1"/>
  <c r="F32" i="117"/>
  <c r="F32" i="119"/>
  <c r="G32" i="119" s="1"/>
  <c r="F32" i="118"/>
  <c r="G32" i="118" s="1"/>
  <c r="F32" i="120"/>
  <c r="G32" i="120" s="1"/>
  <c r="F32" i="126"/>
  <c r="G32" i="126" s="1"/>
  <c r="F32" i="128"/>
  <c r="F32" i="125"/>
  <c r="G32" i="125" s="1"/>
  <c r="F32" i="127"/>
  <c r="F32" i="129"/>
  <c r="F32" i="144"/>
  <c r="G32" i="144" s="1"/>
  <c r="F32" i="146"/>
  <c r="G32" i="146" s="1"/>
  <c r="F32" i="131"/>
  <c r="G32" i="131" s="1"/>
  <c r="F32" i="145"/>
  <c r="G32" i="145" s="1"/>
  <c r="F32" i="148"/>
  <c r="G32" i="148" s="1"/>
  <c r="F32" i="151"/>
  <c r="G32" i="151" s="1"/>
  <c r="F32" i="153"/>
  <c r="G32" i="153" s="1"/>
  <c r="F32" i="147"/>
  <c r="G32" i="147" s="1"/>
  <c r="F32" i="149"/>
  <c r="G32" i="149" s="1"/>
  <c r="F32" i="152"/>
  <c r="G32" i="152" s="1"/>
  <c r="F32" i="114"/>
  <c r="F34" i="116"/>
  <c r="G34" i="116" s="1"/>
  <c r="F34" i="115"/>
  <c r="G34" i="115" s="1"/>
  <c r="F34" i="117"/>
  <c r="F34" i="119"/>
  <c r="G34" i="119" s="1"/>
  <c r="F34" i="118"/>
  <c r="G34" i="118" s="1"/>
  <c r="F34" i="120"/>
  <c r="G34" i="120" s="1"/>
  <c r="F34" i="126"/>
  <c r="G34" i="126" s="1"/>
  <c r="F34" i="128"/>
  <c r="F34" i="125"/>
  <c r="G34" i="125" s="1"/>
  <c r="F34" i="127"/>
  <c r="F34" i="129"/>
  <c r="F34" i="144"/>
  <c r="G34" i="144" s="1"/>
  <c r="F34" i="146"/>
  <c r="G34" i="146" s="1"/>
  <c r="F34" i="131"/>
  <c r="G34" i="131" s="1"/>
  <c r="F34" i="145"/>
  <c r="G34" i="145" s="1"/>
  <c r="F34" i="148"/>
  <c r="G34" i="148" s="1"/>
  <c r="F34" i="151"/>
  <c r="G34" i="151" s="1"/>
  <c r="F34" i="153"/>
  <c r="G34" i="153" s="1"/>
  <c r="F34" i="147"/>
  <c r="G34" i="147" s="1"/>
  <c r="F34" i="149"/>
  <c r="G34" i="149" s="1"/>
  <c r="F34" i="152"/>
  <c r="G34" i="152" s="1"/>
  <c r="F34" i="114"/>
  <c r="F36" i="116"/>
  <c r="F36" i="115"/>
  <c r="G36" i="115" s="1"/>
  <c r="F36" i="117"/>
  <c r="F36" i="119"/>
  <c r="G36" i="119" s="1"/>
  <c r="F36" i="118"/>
  <c r="G36" i="118" s="1"/>
  <c r="F36" i="120"/>
  <c r="G36" i="120" s="1"/>
  <c r="F36" i="126"/>
  <c r="G36" i="126" s="1"/>
  <c r="F36" i="128"/>
  <c r="F36" i="125"/>
  <c r="G36" i="125" s="1"/>
  <c r="F36" i="127"/>
  <c r="F36" i="129"/>
  <c r="F36" i="144"/>
  <c r="G36" i="144" s="1"/>
  <c r="F36" i="146"/>
  <c r="G36" i="146" s="1"/>
  <c r="F36" i="131"/>
  <c r="G36" i="131" s="1"/>
  <c r="F36" i="145"/>
  <c r="G36" i="145" s="1"/>
  <c r="F36" i="148"/>
  <c r="G36" i="148" s="1"/>
  <c r="F36" i="151"/>
  <c r="G36" i="151" s="1"/>
  <c r="F36" i="153"/>
  <c r="G36" i="153" s="1"/>
  <c r="F36" i="147"/>
  <c r="G36" i="147" s="1"/>
  <c r="F36" i="149"/>
  <c r="G36" i="149" s="1"/>
  <c r="F36" i="152"/>
  <c r="G36" i="152" s="1"/>
  <c r="F36" i="114"/>
  <c r="F38" i="116"/>
  <c r="F38" i="115"/>
  <c r="G38" i="115" s="1"/>
  <c r="F38" i="117"/>
  <c r="F38" i="119"/>
  <c r="G38" i="119" s="1"/>
  <c r="F38" i="118"/>
  <c r="G38" i="118" s="1"/>
  <c r="F38" i="120"/>
  <c r="G38" i="120" s="1"/>
  <c r="F38" i="126"/>
  <c r="G38" i="126" s="1"/>
  <c r="F38" i="128"/>
  <c r="F38" i="125"/>
  <c r="G38" i="125" s="1"/>
  <c r="F38" i="127"/>
  <c r="F38" i="129"/>
  <c r="F38" i="144"/>
  <c r="G38" i="144" s="1"/>
  <c r="F38" i="146"/>
  <c r="G38" i="146" s="1"/>
  <c r="F38" i="131"/>
  <c r="G38" i="131" s="1"/>
  <c r="F38" i="145"/>
  <c r="G38" i="145" s="1"/>
  <c r="F38" i="148"/>
  <c r="G38" i="148" s="1"/>
  <c r="F38" i="151"/>
  <c r="G38" i="151" s="1"/>
  <c r="F38" i="153"/>
  <c r="G38" i="153" s="1"/>
  <c r="F38" i="147"/>
  <c r="G38" i="147" s="1"/>
  <c r="F38" i="149"/>
  <c r="G38" i="149" s="1"/>
  <c r="F38" i="152"/>
  <c r="G38" i="152" s="1"/>
  <c r="F38" i="114"/>
  <c r="F40" i="116"/>
  <c r="F40" i="115"/>
  <c r="G40" i="115" s="1"/>
  <c r="F40" i="117"/>
  <c r="F40" i="119"/>
  <c r="G40" i="119" s="1"/>
  <c r="F40" i="118"/>
  <c r="G40" i="118" s="1"/>
  <c r="F40" i="120"/>
  <c r="G40" i="120" s="1"/>
  <c r="F40" i="126"/>
  <c r="G40" i="126" s="1"/>
  <c r="F40" i="128"/>
  <c r="F40" i="125"/>
  <c r="G40" i="125" s="1"/>
  <c r="F40" i="127"/>
  <c r="F40" i="129"/>
  <c r="F40" i="144"/>
  <c r="G40" i="144" s="1"/>
  <c r="F40" i="146"/>
  <c r="G40" i="146" s="1"/>
  <c r="F40" i="131"/>
  <c r="G40" i="131" s="1"/>
  <c r="F40" i="145"/>
  <c r="G40" i="145" s="1"/>
  <c r="F40" i="148"/>
  <c r="G40" i="148" s="1"/>
  <c r="F40" i="151"/>
  <c r="G40" i="151" s="1"/>
  <c r="F40" i="153"/>
  <c r="G40" i="153" s="1"/>
  <c r="F40" i="147"/>
  <c r="G40" i="147" s="1"/>
  <c r="F40" i="149"/>
  <c r="G40" i="149" s="1"/>
  <c r="F40" i="152"/>
  <c r="G40" i="152" s="1"/>
  <c r="F40" i="114"/>
  <c r="F43" i="116"/>
  <c r="F43" i="115"/>
  <c r="G43" i="115" s="1"/>
  <c r="F43" i="117"/>
  <c r="G43" i="117" s="1"/>
  <c r="F43" i="119"/>
  <c r="G43" i="119" s="1"/>
  <c r="F43" i="118"/>
  <c r="G43" i="118" s="1"/>
  <c r="F43" i="120"/>
  <c r="G43" i="120" s="1"/>
  <c r="F43" i="126"/>
  <c r="G43" i="126" s="1"/>
  <c r="F43" i="128"/>
  <c r="F43" i="125"/>
  <c r="G43" i="125" s="1"/>
  <c r="F43" i="127"/>
  <c r="F43" i="129"/>
  <c r="F43" i="144"/>
  <c r="G43" i="144" s="1"/>
  <c r="F43" i="146"/>
  <c r="G43" i="146" s="1"/>
  <c r="F43" i="131"/>
  <c r="G43" i="131" s="1"/>
  <c r="F43" i="145"/>
  <c r="G43" i="145" s="1"/>
  <c r="F43" i="148"/>
  <c r="G43" i="148" s="1"/>
  <c r="F43" i="151"/>
  <c r="G43" i="151" s="1"/>
  <c r="F43" i="153"/>
  <c r="G43" i="153" s="1"/>
  <c r="F43" i="147"/>
  <c r="G43" i="147" s="1"/>
  <c r="F43" i="149"/>
  <c r="G43" i="149" s="1"/>
  <c r="F43" i="152"/>
  <c r="G43" i="152" s="1"/>
  <c r="F43" i="114"/>
  <c r="F46" i="115"/>
  <c r="G46" i="115" s="1"/>
  <c r="F46" i="117"/>
  <c r="F46" i="116"/>
  <c r="F46" i="118"/>
  <c r="G46" i="118" s="1"/>
  <c r="F46" i="119"/>
  <c r="G46" i="119" s="1"/>
  <c r="F46" i="125"/>
  <c r="G46" i="125" s="1"/>
  <c r="F46" i="127"/>
  <c r="F46" i="120"/>
  <c r="G46" i="120" s="1"/>
  <c r="F46" i="126"/>
  <c r="G46" i="126" s="1"/>
  <c r="F46" i="128"/>
  <c r="F46" i="131"/>
  <c r="G46" i="131" s="1"/>
  <c r="F46" i="145"/>
  <c r="G46" i="145" s="1"/>
  <c r="F46" i="129"/>
  <c r="F46" i="144"/>
  <c r="G46" i="144" s="1"/>
  <c r="F46" i="146"/>
  <c r="G46" i="146" s="1"/>
  <c r="F46" i="147"/>
  <c r="G46" i="147" s="1"/>
  <c r="F46" i="149"/>
  <c r="G46" i="149" s="1"/>
  <c r="F46" i="152"/>
  <c r="G46" i="152" s="1"/>
  <c r="F46" i="114"/>
  <c r="F46" i="148"/>
  <c r="G46" i="148" s="1"/>
  <c r="F46" i="151"/>
  <c r="G46" i="151" s="1"/>
  <c r="F46" i="153"/>
  <c r="G46" i="153" s="1"/>
  <c r="F48" i="115"/>
  <c r="G48" i="115" s="1"/>
  <c r="F48" i="117"/>
  <c r="F48" i="116"/>
  <c r="F48" i="118"/>
  <c r="G48" i="118" s="1"/>
  <c r="F48" i="119"/>
  <c r="G48" i="119" s="1"/>
  <c r="F48" i="120"/>
  <c r="G48" i="120" s="1"/>
  <c r="F48" i="125"/>
  <c r="G48" i="125" s="1"/>
  <c r="F48" i="127"/>
  <c r="F48" i="126"/>
  <c r="G48" i="126" s="1"/>
  <c r="F48" i="128"/>
  <c r="F48" i="131"/>
  <c r="G48" i="131" s="1"/>
  <c r="F48" i="145"/>
  <c r="G48" i="145" s="1"/>
  <c r="F48" i="129"/>
  <c r="F48" i="144"/>
  <c r="G48" i="144" s="1"/>
  <c r="F48" i="146"/>
  <c r="G48" i="146" s="1"/>
  <c r="F48" i="147"/>
  <c r="G48" i="147" s="1"/>
  <c r="F48" i="149"/>
  <c r="G48" i="149" s="1"/>
  <c r="F48" i="152"/>
  <c r="G48" i="152" s="1"/>
  <c r="F48" i="114"/>
  <c r="F48" i="148"/>
  <c r="G48" i="148" s="1"/>
  <c r="F48" i="151"/>
  <c r="G48" i="151" s="1"/>
  <c r="F48" i="153"/>
  <c r="G48" i="153" s="1"/>
  <c r="F50" i="115"/>
  <c r="G50" i="115" s="1"/>
  <c r="F50" i="117"/>
  <c r="F50" i="116"/>
  <c r="F50" i="118"/>
  <c r="G50" i="118" s="1"/>
  <c r="F50" i="119"/>
  <c r="G50" i="119" s="1"/>
  <c r="F50" i="125"/>
  <c r="G50" i="125" s="1"/>
  <c r="F50" i="127"/>
  <c r="F50" i="120"/>
  <c r="G50" i="120" s="1"/>
  <c r="F50" i="126"/>
  <c r="G50" i="126" s="1"/>
  <c r="F50" i="128"/>
  <c r="F50" i="131"/>
  <c r="G50" i="131" s="1"/>
  <c r="F50" i="145"/>
  <c r="G50" i="145" s="1"/>
  <c r="F50" i="129"/>
  <c r="F50" i="144"/>
  <c r="G50" i="144" s="1"/>
  <c r="F50" i="146"/>
  <c r="G50" i="146" s="1"/>
  <c r="F50" i="147"/>
  <c r="G50" i="147" s="1"/>
  <c r="F50" i="149"/>
  <c r="G50" i="149" s="1"/>
  <c r="F50" i="152"/>
  <c r="G50" i="152" s="1"/>
  <c r="F50" i="114"/>
  <c r="G50" i="114" s="1"/>
  <c r="F50" i="148"/>
  <c r="G50" i="148" s="1"/>
  <c r="F50" i="151"/>
  <c r="G50" i="151" s="1"/>
  <c r="F50" i="153"/>
  <c r="G50" i="153" s="1"/>
  <c r="F52" i="115"/>
  <c r="G52" i="115" s="1"/>
  <c r="F52" i="117"/>
  <c r="F52" i="116"/>
  <c r="G52" i="116" s="1"/>
  <c r="F52" i="118"/>
  <c r="G52" i="118" s="1"/>
  <c r="F52" i="119"/>
  <c r="G52" i="119" s="1"/>
  <c r="F52" i="120"/>
  <c r="G52" i="120" s="1"/>
  <c r="F52" i="125"/>
  <c r="G52" i="125" s="1"/>
  <c r="F52" i="127"/>
  <c r="F52" i="126"/>
  <c r="G52" i="126" s="1"/>
  <c r="F52" i="128"/>
  <c r="F52" i="131"/>
  <c r="G52" i="131" s="1"/>
  <c r="F52" i="145"/>
  <c r="G52" i="145" s="1"/>
  <c r="F52" i="129"/>
  <c r="F52" i="144"/>
  <c r="G52" i="144" s="1"/>
  <c r="F52" i="146"/>
  <c r="G52" i="146" s="1"/>
  <c r="F52" i="147"/>
  <c r="G52" i="147" s="1"/>
  <c r="F52" i="149"/>
  <c r="G52" i="149" s="1"/>
  <c r="F52" i="152"/>
  <c r="G52" i="152" s="1"/>
  <c r="F52" i="114"/>
  <c r="F52" i="148"/>
  <c r="G52" i="148" s="1"/>
  <c r="F52" i="151"/>
  <c r="G52" i="151" s="1"/>
  <c r="F52" i="153"/>
  <c r="G52" i="153" s="1"/>
  <c r="F54" i="115"/>
  <c r="G54" i="115" s="1"/>
  <c r="F54" i="117"/>
  <c r="F54" i="116"/>
  <c r="F54" i="118"/>
  <c r="G54" i="118" s="1"/>
  <c r="F54" i="119"/>
  <c r="G54" i="119" s="1"/>
  <c r="F54" i="125"/>
  <c r="G54" i="125" s="1"/>
  <c r="F54" i="127"/>
  <c r="F54" i="120"/>
  <c r="G54" i="120" s="1"/>
  <c r="F54" i="126"/>
  <c r="G54" i="126" s="1"/>
  <c r="F54" i="128"/>
  <c r="F54" i="129"/>
  <c r="F54" i="131"/>
  <c r="G54" i="131" s="1"/>
  <c r="F54" i="145"/>
  <c r="G54" i="145" s="1"/>
  <c r="F54" i="144"/>
  <c r="G54" i="144" s="1"/>
  <c r="F54" i="146"/>
  <c r="G54" i="146" s="1"/>
  <c r="F54" i="147"/>
  <c r="G54" i="147" s="1"/>
  <c r="F54" i="149"/>
  <c r="G54" i="149" s="1"/>
  <c r="F54" i="152"/>
  <c r="G54" i="152" s="1"/>
  <c r="F54" i="114"/>
  <c r="G54" i="114" s="1"/>
  <c r="F54" i="148"/>
  <c r="G54" i="148" s="1"/>
  <c r="F54" i="151"/>
  <c r="G54" i="151" s="1"/>
  <c r="F54" i="153"/>
  <c r="G54" i="153" s="1"/>
  <c r="F56" i="115"/>
  <c r="G56" i="115" s="1"/>
  <c r="F56" i="117"/>
  <c r="F56" i="116"/>
  <c r="F56" i="118"/>
  <c r="G56" i="118" s="1"/>
  <c r="F56" i="119"/>
  <c r="G56" i="119" s="1"/>
  <c r="F56" i="120"/>
  <c r="G56" i="120" s="1"/>
  <c r="F56" i="125"/>
  <c r="G56" i="125" s="1"/>
  <c r="F56" i="127"/>
  <c r="F56" i="126"/>
  <c r="G56" i="126" s="1"/>
  <c r="F56" i="128"/>
  <c r="F56" i="131"/>
  <c r="G56" i="131" s="1"/>
  <c r="F56" i="145"/>
  <c r="G56" i="145" s="1"/>
  <c r="F56" i="129"/>
  <c r="F56" i="144"/>
  <c r="G56" i="144" s="1"/>
  <c r="F56" i="146"/>
  <c r="G56" i="146" s="1"/>
  <c r="F56" i="147"/>
  <c r="G56" i="147" s="1"/>
  <c r="F56" i="149"/>
  <c r="G56" i="149" s="1"/>
  <c r="F56" i="152"/>
  <c r="G56" i="152" s="1"/>
  <c r="F56" i="114"/>
  <c r="F56" i="148"/>
  <c r="G56" i="148" s="1"/>
  <c r="F56" i="151"/>
  <c r="G56" i="151" s="1"/>
  <c r="F56" i="153"/>
  <c r="G56" i="153" s="1"/>
  <c r="F58" i="115"/>
  <c r="G58" i="115" s="1"/>
  <c r="F58" i="117"/>
  <c r="F58" i="116"/>
  <c r="F58" i="118"/>
  <c r="G58" i="118" s="1"/>
  <c r="F58" i="119"/>
  <c r="G58" i="119" s="1"/>
  <c r="F58" i="125"/>
  <c r="G58" i="125" s="1"/>
  <c r="F58" i="127"/>
  <c r="G58" i="127" s="1"/>
  <c r="F58" i="120"/>
  <c r="G58" i="120" s="1"/>
  <c r="F58" i="126"/>
  <c r="G58" i="126" s="1"/>
  <c r="F58" i="128"/>
  <c r="F58" i="129"/>
  <c r="F58" i="131"/>
  <c r="G58" i="131" s="1"/>
  <c r="F58" i="145"/>
  <c r="G58" i="145" s="1"/>
  <c r="F58" i="144"/>
  <c r="G58" i="144" s="1"/>
  <c r="F58" i="146"/>
  <c r="G58" i="146" s="1"/>
  <c r="F58" i="147"/>
  <c r="G58" i="147" s="1"/>
  <c r="F58" i="149"/>
  <c r="G58" i="149" s="1"/>
  <c r="F58" i="152"/>
  <c r="G58" i="152" s="1"/>
  <c r="F58" i="114"/>
  <c r="G58" i="114" s="1"/>
  <c r="F58" i="148"/>
  <c r="G58" i="148" s="1"/>
  <c r="F58" i="151"/>
  <c r="G58" i="151" s="1"/>
  <c r="F58" i="153"/>
  <c r="G58" i="153" s="1"/>
  <c r="F60" i="115"/>
  <c r="G60" i="115" s="1"/>
  <c r="F60" i="117"/>
  <c r="F60" i="116"/>
  <c r="F60" i="118"/>
  <c r="G60" i="118" s="1"/>
  <c r="F60" i="119"/>
  <c r="G60" i="119" s="1"/>
  <c r="F60" i="120"/>
  <c r="G60" i="120" s="1"/>
  <c r="F60" i="125"/>
  <c r="G60" i="125" s="1"/>
  <c r="F60" i="127"/>
  <c r="F60" i="126"/>
  <c r="G60" i="126" s="1"/>
  <c r="F60" i="128"/>
  <c r="F60" i="131"/>
  <c r="G60" i="131" s="1"/>
  <c r="F60" i="145"/>
  <c r="G60" i="145" s="1"/>
  <c r="F60" i="129"/>
  <c r="F60" i="144"/>
  <c r="G60" i="144" s="1"/>
  <c r="F60" i="146"/>
  <c r="G60" i="146" s="1"/>
  <c r="F60" i="147"/>
  <c r="G60" i="147" s="1"/>
  <c r="F60" i="149"/>
  <c r="G60" i="149" s="1"/>
  <c r="F60" i="152"/>
  <c r="G60" i="152" s="1"/>
  <c r="F60" i="114"/>
  <c r="F60" i="148"/>
  <c r="G60" i="148" s="1"/>
  <c r="F60" i="151"/>
  <c r="G60" i="151" s="1"/>
  <c r="F60" i="153"/>
  <c r="G60" i="153" s="1"/>
  <c r="F62" i="115"/>
  <c r="G62" i="115" s="1"/>
  <c r="F62" i="117"/>
  <c r="F62" i="116"/>
  <c r="G62" i="116" s="1"/>
  <c r="F62" i="118"/>
  <c r="G62" i="118" s="1"/>
  <c r="F62" i="119"/>
  <c r="G62" i="119" s="1"/>
  <c r="F62" i="125"/>
  <c r="G62" i="125" s="1"/>
  <c r="F62" i="127"/>
  <c r="F62" i="120"/>
  <c r="G62" i="120" s="1"/>
  <c r="F62" i="126"/>
  <c r="G62" i="126" s="1"/>
  <c r="F62" i="128"/>
  <c r="F62" i="129"/>
  <c r="F62" i="131"/>
  <c r="G62" i="131" s="1"/>
  <c r="F62" i="145"/>
  <c r="G62" i="145" s="1"/>
  <c r="F62" i="144"/>
  <c r="G62" i="144" s="1"/>
  <c r="F62" i="146"/>
  <c r="G62" i="146" s="1"/>
  <c r="F62" i="147"/>
  <c r="G62" i="147" s="1"/>
  <c r="F62" i="149"/>
  <c r="G62" i="149" s="1"/>
  <c r="F62" i="152"/>
  <c r="G62" i="152" s="1"/>
  <c r="F62" i="114"/>
  <c r="F62" i="148"/>
  <c r="G62" i="148" s="1"/>
  <c r="F62" i="151"/>
  <c r="G62" i="151" s="1"/>
  <c r="F62" i="153"/>
  <c r="G62" i="153" s="1"/>
  <c r="F64" i="115"/>
  <c r="G64" i="115" s="1"/>
  <c r="F64" i="117"/>
  <c r="F64" i="116"/>
  <c r="F64" i="118"/>
  <c r="G64" i="118" s="1"/>
  <c r="F64" i="119"/>
  <c r="G64" i="119" s="1"/>
  <c r="F64" i="120"/>
  <c r="G64" i="120" s="1"/>
  <c r="F64" i="125"/>
  <c r="G64" i="125" s="1"/>
  <c r="F64" i="127"/>
  <c r="F64" i="126"/>
  <c r="G64" i="126" s="1"/>
  <c r="F64" i="128"/>
  <c r="F64" i="131"/>
  <c r="G64" i="131" s="1"/>
  <c r="F64" i="145"/>
  <c r="G64" i="145" s="1"/>
  <c r="F64" i="129"/>
  <c r="F64" i="144"/>
  <c r="G64" i="144" s="1"/>
  <c r="F64" i="146"/>
  <c r="G64" i="146" s="1"/>
  <c r="F64" i="147"/>
  <c r="G64" i="147" s="1"/>
  <c r="F64" i="149"/>
  <c r="G64" i="149" s="1"/>
  <c r="F64" i="152"/>
  <c r="G64" i="152" s="1"/>
  <c r="F64" i="114"/>
  <c r="F64" i="148"/>
  <c r="G64" i="148" s="1"/>
  <c r="F64" i="151"/>
  <c r="G64" i="151" s="1"/>
  <c r="F64" i="153"/>
  <c r="G64" i="153" s="1"/>
  <c r="F66" i="115"/>
  <c r="G66" i="115" s="1"/>
  <c r="F66" i="117"/>
  <c r="F66" i="116"/>
  <c r="F66" i="118"/>
  <c r="G66" i="118" s="1"/>
  <c r="F66" i="119"/>
  <c r="G66" i="119" s="1"/>
  <c r="F66" i="125"/>
  <c r="G66" i="125" s="1"/>
  <c r="F66" i="127"/>
  <c r="F66" i="120"/>
  <c r="G66" i="120" s="1"/>
  <c r="F66" i="126"/>
  <c r="G66" i="126" s="1"/>
  <c r="F66" i="128"/>
  <c r="F66" i="129"/>
  <c r="F66" i="131"/>
  <c r="G66" i="131" s="1"/>
  <c r="F66" i="145"/>
  <c r="G66" i="145" s="1"/>
  <c r="F66" i="144"/>
  <c r="G66" i="144" s="1"/>
  <c r="F66" i="146"/>
  <c r="G66" i="146" s="1"/>
  <c r="F66" i="147"/>
  <c r="G66" i="147" s="1"/>
  <c r="F66" i="149"/>
  <c r="G66" i="149" s="1"/>
  <c r="F66" i="152"/>
  <c r="G66" i="152" s="1"/>
  <c r="F66" i="114"/>
  <c r="G66" i="114" s="1"/>
  <c r="F66" i="148"/>
  <c r="G66" i="148" s="1"/>
  <c r="F66" i="151"/>
  <c r="G66" i="151" s="1"/>
  <c r="F66" i="153"/>
  <c r="G66" i="153" s="1"/>
  <c r="F68" i="115"/>
  <c r="G68" i="115" s="1"/>
  <c r="F68" i="117"/>
  <c r="G68" i="117" s="1"/>
  <c r="F68" i="116"/>
  <c r="F68" i="118"/>
  <c r="G68" i="118" s="1"/>
  <c r="F68" i="119"/>
  <c r="G68" i="119" s="1"/>
  <c r="F68" i="120"/>
  <c r="G68" i="120" s="1"/>
  <c r="F68" i="125"/>
  <c r="G68" i="125" s="1"/>
  <c r="F68" i="127"/>
  <c r="F68" i="126"/>
  <c r="G68" i="126" s="1"/>
  <c r="F68" i="128"/>
  <c r="F68" i="131"/>
  <c r="G68" i="131" s="1"/>
  <c r="F68" i="145"/>
  <c r="G68" i="145" s="1"/>
  <c r="F68" i="129"/>
  <c r="F68" i="144"/>
  <c r="G68" i="144" s="1"/>
  <c r="F68" i="146"/>
  <c r="G68" i="146" s="1"/>
  <c r="F68" i="147"/>
  <c r="G68" i="147" s="1"/>
  <c r="F68" i="149"/>
  <c r="G68" i="149" s="1"/>
  <c r="F68" i="152"/>
  <c r="G68" i="152" s="1"/>
  <c r="F68" i="114"/>
  <c r="F68" i="148"/>
  <c r="G68" i="148" s="1"/>
  <c r="F68" i="151"/>
  <c r="G68" i="151" s="1"/>
  <c r="F68" i="153"/>
  <c r="G68" i="153" s="1"/>
  <c r="F70" i="115"/>
  <c r="G70" i="115" s="1"/>
  <c r="F70" i="117"/>
  <c r="F70" i="116"/>
  <c r="F70" i="118"/>
  <c r="G70" i="118" s="1"/>
  <c r="F70" i="119"/>
  <c r="G70" i="119" s="1"/>
  <c r="F70" i="125"/>
  <c r="G70" i="125" s="1"/>
  <c r="F70" i="127"/>
  <c r="F70" i="120"/>
  <c r="G70" i="120" s="1"/>
  <c r="F70" i="126"/>
  <c r="G70" i="126" s="1"/>
  <c r="F70" i="128"/>
  <c r="F70" i="129"/>
  <c r="F70" i="131"/>
  <c r="G70" i="131" s="1"/>
  <c r="F70" i="145"/>
  <c r="G70" i="145" s="1"/>
  <c r="F70" i="144"/>
  <c r="G70" i="144" s="1"/>
  <c r="F70" i="146"/>
  <c r="G70" i="146" s="1"/>
  <c r="F70" i="147"/>
  <c r="G70" i="147" s="1"/>
  <c r="F70" i="149"/>
  <c r="G70" i="149" s="1"/>
  <c r="F70" i="152"/>
  <c r="G70" i="152" s="1"/>
  <c r="F70" i="114"/>
  <c r="G70" i="114" s="1"/>
  <c r="F70" i="148"/>
  <c r="G70" i="148" s="1"/>
  <c r="F70" i="151"/>
  <c r="G70" i="151" s="1"/>
  <c r="F70" i="153"/>
  <c r="G70" i="153" s="1"/>
  <c r="F72" i="115"/>
  <c r="G72" i="115" s="1"/>
  <c r="F72" i="117"/>
  <c r="F72" i="116"/>
  <c r="F72" i="118"/>
  <c r="G72" i="118" s="1"/>
  <c r="F72" i="119"/>
  <c r="G72" i="119" s="1"/>
  <c r="F72" i="120"/>
  <c r="G72" i="120" s="1"/>
  <c r="F72" i="125"/>
  <c r="G72" i="125" s="1"/>
  <c r="F72" i="127"/>
  <c r="F72" i="126"/>
  <c r="G72" i="126" s="1"/>
  <c r="F72" i="128"/>
  <c r="G72" i="128" s="1"/>
  <c r="F72" i="131"/>
  <c r="G72" i="131" s="1"/>
  <c r="F72" i="145"/>
  <c r="G72" i="145" s="1"/>
  <c r="F72" i="147"/>
  <c r="G72" i="147" s="1"/>
  <c r="F72" i="129"/>
  <c r="F72" i="144"/>
  <c r="G72" i="144" s="1"/>
  <c r="F72" i="146"/>
  <c r="G72" i="146" s="1"/>
  <c r="F72" i="149"/>
  <c r="G72" i="149" s="1"/>
  <c r="F72" i="152"/>
  <c r="G72" i="152" s="1"/>
  <c r="F72" i="114"/>
  <c r="F72" i="148"/>
  <c r="G72" i="148" s="1"/>
  <c r="F72" i="151"/>
  <c r="G72" i="151" s="1"/>
  <c r="F72" i="153"/>
  <c r="G72" i="153" s="1"/>
  <c r="F74" i="115"/>
  <c r="G74" i="115" s="1"/>
  <c r="F74" i="117"/>
  <c r="F74" i="116"/>
  <c r="G74" i="116" s="1"/>
  <c r="F74" i="118"/>
  <c r="G74" i="118" s="1"/>
  <c r="F74" i="120"/>
  <c r="G74" i="120" s="1"/>
  <c r="F74" i="119"/>
  <c r="G74" i="119" s="1"/>
  <c r="F74" i="125"/>
  <c r="G74" i="125" s="1"/>
  <c r="F74" i="127"/>
  <c r="F74" i="126"/>
  <c r="G74" i="126" s="1"/>
  <c r="F74" i="128"/>
  <c r="F74" i="129"/>
  <c r="F74" i="131"/>
  <c r="G74" i="131" s="1"/>
  <c r="F74" i="145"/>
  <c r="G74" i="145" s="1"/>
  <c r="F74" i="147"/>
  <c r="G74" i="147" s="1"/>
  <c r="F74" i="144"/>
  <c r="G74" i="144" s="1"/>
  <c r="F74" i="146"/>
  <c r="G74" i="146" s="1"/>
  <c r="F74" i="149"/>
  <c r="G74" i="149" s="1"/>
  <c r="F74" i="152"/>
  <c r="G74" i="152" s="1"/>
  <c r="F74" i="114"/>
  <c r="G74" i="114" s="1"/>
  <c r="F74" i="148"/>
  <c r="G74" i="148" s="1"/>
  <c r="F74" i="151"/>
  <c r="G74" i="151" s="1"/>
  <c r="F74" i="153"/>
  <c r="G74" i="153" s="1"/>
  <c r="T5" i="114"/>
  <c r="U5" i="114" s="1"/>
  <c r="V5" i="114" s="1"/>
  <c r="W5" i="114" s="1"/>
  <c r="X5" i="114" s="1"/>
  <c r="Y5" i="114" s="1"/>
  <c r="Z5" i="114" s="1"/>
  <c r="AA5" i="114" s="1"/>
  <c r="AB5" i="114" s="1"/>
  <c r="AC5" i="114" s="1"/>
  <c r="AD5" i="114" s="1"/>
  <c r="AE5" i="114" s="1"/>
  <c r="AF5" i="114" s="1"/>
  <c r="AG5" i="114" s="1"/>
  <c r="AH5" i="114" s="1"/>
  <c r="AI5" i="114" s="1"/>
  <c r="AJ5" i="114" s="1"/>
  <c r="AK5" i="114" s="1"/>
  <c r="T5" i="128"/>
  <c r="U5" i="128" s="1"/>
  <c r="V5" i="128" s="1"/>
  <c r="W5" i="128" s="1"/>
  <c r="X5" i="128" s="1"/>
  <c r="Y5" i="128" s="1"/>
  <c r="Z5" i="128" s="1"/>
  <c r="AA5" i="128" s="1"/>
  <c r="AB5" i="128" s="1"/>
  <c r="AC5" i="128" s="1"/>
  <c r="AD5" i="128" s="1"/>
  <c r="AE5" i="128" s="1"/>
  <c r="AF5" i="128" s="1"/>
  <c r="AG5" i="128" s="1"/>
  <c r="AH5" i="128" s="1"/>
  <c r="AI5" i="128" s="1"/>
  <c r="AJ5" i="128" s="1"/>
  <c r="AK5" i="128" s="1"/>
  <c r="F42" i="115"/>
  <c r="G42" i="115" s="1"/>
  <c r="F42" i="116"/>
  <c r="F42" i="117"/>
  <c r="F42" i="118"/>
  <c r="G42" i="118" s="1"/>
  <c r="F42" i="119"/>
  <c r="G42" i="119" s="1"/>
  <c r="F42" i="120"/>
  <c r="G42" i="120" s="1"/>
  <c r="F42" i="125"/>
  <c r="F42" i="126"/>
  <c r="F42" i="127"/>
  <c r="F42" i="128"/>
  <c r="F42" i="129"/>
  <c r="F42" i="131"/>
  <c r="F42" i="144"/>
  <c r="G42" i="144" s="1"/>
  <c r="F42" i="145"/>
  <c r="G42" i="145" s="1"/>
  <c r="F42" i="146"/>
  <c r="G42" i="146" s="1"/>
  <c r="F42" i="147"/>
  <c r="G42" i="147" s="1"/>
  <c r="F42" i="148"/>
  <c r="G42" i="148" s="1"/>
  <c r="F42" i="149"/>
  <c r="G42" i="149" s="1"/>
  <c r="F42" i="151"/>
  <c r="G42" i="151" s="1"/>
  <c r="F42" i="152"/>
  <c r="G42" i="152" s="1"/>
  <c r="F42" i="153"/>
  <c r="G42" i="153" s="1"/>
  <c r="F42" i="114"/>
  <c r="S5" i="46"/>
  <c r="T5" i="46" s="1"/>
  <c r="U5" i="46" s="1"/>
  <c r="V5" i="46" s="1"/>
  <c r="W5" i="46" s="1"/>
  <c r="X5" i="46" s="1"/>
  <c r="Z77" i="13"/>
  <c r="AA77" i="13"/>
  <c r="AD71" i="13"/>
  <c r="H77" i="13"/>
  <c r="E29" i="81" s="1"/>
  <c r="C71" i="25"/>
  <c r="AD68" i="13"/>
  <c r="AN22" i="13"/>
  <c r="AO22" i="13"/>
  <c r="F21" i="166"/>
  <c r="F22" i="139"/>
  <c r="F27" i="166"/>
  <c r="F28" i="166"/>
  <c r="N4" i="5"/>
  <c r="O4" i="5" s="1"/>
  <c r="P4" i="5" s="1"/>
  <c r="G61" i="31"/>
  <c r="W5" i="113"/>
  <c r="X5" i="113" s="1"/>
  <c r="Y5" i="113" s="1"/>
  <c r="Z5" i="113" s="1"/>
  <c r="AA5" i="113" s="1"/>
  <c r="AB5" i="113" s="1"/>
  <c r="AC5" i="113" s="1"/>
  <c r="AD5" i="113" s="1"/>
  <c r="AE5" i="113" s="1"/>
  <c r="AF5" i="113" s="1"/>
  <c r="AG5" i="113" s="1"/>
  <c r="AH5" i="113" s="1"/>
  <c r="AI5" i="113" s="1"/>
  <c r="AJ5" i="113" s="1"/>
  <c r="AK5" i="113" s="1"/>
  <c r="V5" i="117"/>
  <c r="W5" i="117" s="1"/>
  <c r="X5" i="117" s="1"/>
  <c r="Y5" i="117" s="1"/>
  <c r="Z5" i="117" s="1"/>
  <c r="AA5" i="117" s="1"/>
  <c r="AB5" i="117" s="1"/>
  <c r="AC5" i="117" s="1"/>
  <c r="AD5" i="117" s="1"/>
  <c r="AE5" i="117" s="1"/>
  <c r="AF5" i="117" s="1"/>
  <c r="AG5" i="117" s="1"/>
  <c r="AH5" i="117" s="1"/>
  <c r="AI5" i="117" s="1"/>
  <c r="AJ5" i="117" s="1"/>
  <c r="AK5" i="117" s="1"/>
  <c r="H4" i="67"/>
  <c r="I4" i="67" s="1"/>
  <c r="F3" i="67"/>
  <c r="AE76" i="116"/>
  <c r="AE82" i="116" s="1"/>
  <c r="AC41" i="80"/>
  <c r="AD41" i="80" s="1"/>
  <c r="G68" i="31"/>
  <c r="G67" i="31" s="1"/>
  <c r="G66" i="31" s="1"/>
  <c r="G62" i="31" s="1"/>
  <c r="G60" i="31" s="1"/>
  <c r="G59" i="31" s="1"/>
  <c r="G58" i="31" s="1"/>
  <c r="G57" i="31" s="1"/>
  <c r="G56" i="31" s="1"/>
  <c r="G54" i="31" s="1"/>
  <c r="G53" i="31" s="1"/>
  <c r="G52" i="31" s="1"/>
  <c r="G51" i="31" s="1"/>
  <c r="G50" i="31" s="1"/>
  <c r="G49" i="31" s="1"/>
  <c r="G47" i="31" s="1"/>
  <c r="G45" i="31" s="1"/>
  <c r="G44" i="31" s="1"/>
  <c r="G43" i="31" s="1"/>
  <c r="G41" i="31" s="1"/>
  <c r="G40" i="31" s="1"/>
  <c r="G38" i="31" s="1"/>
  <c r="G36" i="31" s="1"/>
  <c r="G35" i="31" s="1"/>
  <c r="G26" i="31" s="1"/>
  <c r="G29" i="31" s="1"/>
  <c r="G25" i="31" s="1"/>
  <c r="G22" i="31" s="1"/>
  <c r="G20" i="31" s="1"/>
  <c r="G15" i="31" s="1"/>
  <c r="G14" i="31" s="1"/>
  <c r="G13" i="31" s="1"/>
  <c r="G12" i="31" s="1"/>
  <c r="O76" i="116"/>
  <c r="E44" i="81"/>
  <c r="H44" i="81" s="1"/>
  <c r="F94" i="139"/>
  <c r="G23" i="126"/>
  <c r="G23" i="147"/>
  <c r="G23" i="146"/>
  <c r="G23" i="153"/>
  <c r="G23" i="151"/>
  <c r="G23" i="152"/>
  <c r="G23" i="149"/>
  <c r="G23" i="148"/>
  <c r="G23" i="145"/>
  <c r="G23" i="144"/>
  <c r="G45" i="152"/>
  <c r="G45" i="146"/>
  <c r="G45" i="153"/>
  <c r="G45" i="151"/>
  <c r="G45" i="147"/>
  <c r="G45" i="148"/>
  <c r="G45" i="149"/>
  <c r="G45" i="145"/>
  <c r="G45" i="144"/>
  <c r="G23" i="125"/>
  <c r="G48" i="31"/>
  <c r="G30" i="31"/>
  <c r="G39" i="31"/>
  <c r="F105" i="139"/>
  <c r="G105" i="139" s="1"/>
  <c r="I76" i="25"/>
  <c r="E34" i="81"/>
  <c r="H34" i="81" s="1"/>
  <c r="F27" i="139"/>
  <c r="L27" i="139" s="1"/>
  <c r="E35" i="81"/>
  <c r="H35" i="81" s="1"/>
  <c r="F28" i="139"/>
  <c r="L28" i="139" s="1"/>
  <c r="K2" i="72"/>
  <c r="L2" i="72" s="1"/>
  <c r="M2" i="72" s="1"/>
  <c r="N2" i="72" s="1"/>
  <c r="O2" i="72" s="1"/>
  <c r="P2" i="72" s="1"/>
  <c r="Q2" i="72" s="1"/>
  <c r="R2" i="72" s="1"/>
  <c r="S2" i="72" s="1"/>
  <c r="T2" i="72" s="1"/>
  <c r="K52" i="2"/>
  <c r="K29" i="2"/>
  <c r="H35" i="139"/>
  <c r="G35" i="139"/>
  <c r="I8" i="2"/>
  <c r="J8" i="2" s="1"/>
  <c r="I18" i="2"/>
  <c r="J18" i="2" s="1"/>
  <c r="I20" i="2"/>
  <c r="J20" i="2" s="1"/>
  <c r="I22" i="2"/>
  <c r="J22" i="2" s="1"/>
  <c r="I28" i="2"/>
  <c r="J28" i="2" s="1"/>
  <c r="I32" i="2"/>
  <c r="J32" i="2" s="1"/>
  <c r="I34" i="2"/>
  <c r="J34" i="2" s="1"/>
  <c r="I40" i="2"/>
  <c r="J40" i="2" s="1"/>
  <c r="I44" i="2"/>
  <c r="J44" i="2" s="1"/>
  <c r="I48" i="2"/>
  <c r="J48" i="2" s="1"/>
  <c r="I56" i="2"/>
  <c r="J56" i="2" s="1"/>
  <c r="I60" i="2"/>
  <c r="J60" i="2" s="1"/>
  <c r="I64" i="2"/>
  <c r="J64" i="2" s="1"/>
  <c r="I68" i="2"/>
  <c r="J68" i="2" s="1"/>
  <c r="I70" i="2"/>
  <c r="J70" i="2" s="1"/>
  <c r="I72" i="2"/>
  <c r="J72" i="2" s="1"/>
  <c r="I9" i="2"/>
  <c r="J9" i="2" s="1"/>
  <c r="I25" i="2"/>
  <c r="J25" i="2" s="1"/>
  <c r="I33" i="2"/>
  <c r="J33" i="2" s="1"/>
  <c r="E14" i="81"/>
  <c r="H14" i="81" s="1"/>
  <c r="F104" i="139"/>
  <c r="G104" i="139" s="1"/>
  <c r="AN28" i="13"/>
  <c r="AO28" i="13"/>
  <c r="AL59" i="13"/>
  <c r="AM59" i="13"/>
  <c r="G58" i="25" s="1"/>
  <c r="AO59" i="13"/>
  <c r="AN59" i="13"/>
  <c r="AO46" i="13"/>
  <c r="AL46" i="13"/>
  <c r="AM46" i="13"/>
  <c r="G45" i="25" s="1"/>
  <c r="AN46" i="13"/>
  <c r="AM52" i="13"/>
  <c r="G51" i="25" s="1"/>
  <c r="AL52" i="13"/>
  <c r="AO52" i="13"/>
  <c r="AM8" i="13"/>
  <c r="G7" i="25" s="1"/>
  <c r="AL8" i="13"/>
  <c r="AM9" i="13"/>
  <c r="G8" i="25" s="1"/>
  <c r="AL9" i="13"/>
  <c r="AM10" i="13"/>
  <c r="G9" i="25" s="1"/>
  <c r="AO10" i="13"/>
  <c r="F10" i="25"/>
  <c r="AQ11" i="13"/>
  <c r="Y7" i="1" s="1"/>
  <c r="AO13" i="13"/>
  <c r="AL13" i="13"/>
  <c r="AM13" i="13"/>
  <c r="G12" i="25" s="1"/>
  <c r="AM14" i="13"/>
  <c r="G13" i="25" s="1"/>
  <c r="AN14" i="13"/>
  <c r="AM16" i="13"/>
  <c r="G15" i="25" s="1"/>
  <c r="AO16" i="13"/>
  <c r="AN16" i="13"/>
  <c r="AL16" i="13"/>
  <c r="AN21" i="13"/>
  <c r="AO21" i="13"/>
  <c r="AL22" i="13"/>
  <c r="AM22" i="13"/>
  <c r="G21" i="25" s="1"/>
  <c r="AN25" i="13"/>
  <c r="AO25" i="13"/>
  <c r="AK26" i="13"/>
  <c r="F25" i="25"/>
  <c r="AM28" i="13"/>
  <c r="G27" i="25" s="1"/>
  <c r="AL28" i="13"/>
  <c r="AK29" i="13"/>
  <c r="F28" i="25"/>
  <c r="AN35" i="13"/>
  <c r="AM35" i="13"/>
  <c r="G34" i="25" s="1"/>
  <c r="AL35" i="13"/>
  <c r="AL67" i="13"/>
  <c r="AN67" i="13"/>
  <c r="AM67" i="13"/>
  <c r="G66" i="25" s="1"/>
  <c r="AK73" i="13"/>
  <c r="F72" i="25"/>
  <c r="AL44" i="13"/>
  <c r="AM44" i="13"/>
  <c r="G43" i="25" s="1"/>
  <c r="AO60" i="13"/>
  <c r="AN60" i="13"/>
  <c r="AL60" i="13"/>
  <c r="AL36" i="13"/>
  <c r="AM36" i="13"/>
  <c r="G35" i="25" s="1"/>
  <c r="AK38" i="13"/>
  <c r="AM38" i="13" s="1"/>
  <c r="G37" i="25" s="1"/>
  <c r="AQ38" i="13"/>
  <c r="Y34" i="1" s="1"/>
  <c r="AK41" i="13"/>
  <c r="AM41" i="13" s="1"/>
  <c r="G40" i="25" s="1"/>
  <c r="F40" i="25"/>
  <c r="AK45" i="13"/>
  <c r="AQ45" i="13"/>
  <c r="Y41" i="1" s="1"/>
  <c r="AK47" i="13"/>
  <c r="AN47" i="13" s="1"/>
  <c r="AQ47" i="13"/>
  <c r="Y43" i="1" s="1"/>
  <c r="AK55" i="13"/>
  <c r="F54" i="25"/>
  <c r="AK57" i="13"/>
  <c r="F56" i="25"/>
  <c r="AM61" i="13"/>
  <c r="G60" i="25" s="1"/>
  <c r="AL61" i="13"/>
  <c r="AN61" i="13"/>
  <c r="AK62" i="13"/>
  <c r="AQ62" i="13"/>
  <c r="Y58" i="1" s="1"/>
  <c r="AK64" i="13"/>
  <c r="F63" i="25"/>
  <c r="AN66" i="13"/>
  <c r="AM66" i="13"/>
  <c r="G65" i="25" s="1"/>
  <c r="AL66" i="13"/>
  <c r="F67" i="25"/>
  <c r="AK68" i="13"/>
  <c r="AK70" i="13"/>
  <c r="AM70" i="13" s="1"/>
  <c r="G69" i="25" s="1"/>
  <c r="F69" i="25"/>
  <c r="AK72" i="13"/>
  <c r="F71" i="25"/>
  <c r="AL74" i="13"/>
  <c r="AM74" i="13"/>
  <c r="G73" i="25" s="1"/>
  <c r="AN74" i="13"/>
  <c r="AQ36" i="13"/>
  <c r="Y32" i="1" s="1"/>
  <c r="AQ41" i="13"/>
  <c r="Y37" i="1" s="1"/>
  <c r="AQ35" i="13"/>
  <c r="Y31" i="1" s="1"/>
  <c r="AQ49" i="13"/>
  <c r="Y45" i="1" s="1"/>
  <c r="AL18" i="13"/>
  <c r="AM18" i="13"/>
  <c r="G17" i="25" s="1"/>
  <c r="AO18" i="13"/>
  <c r="AN18" i="13"/>
  <c r="AN32" i="13"/>
  <c r="AL32" i="13"/>
  <c r="AM32" i="13"/>
  <c r="G31" i="25" s="1"/>
  <c r="AO32" i="13"/>
  <c r="AN48" i="13"/>
  <c r="AO48" i="13"/>
  <c r="AM48" i="13"/>
  <c r="G47" i="25" s="1"/>
  <c r="AL48" i="13"/>
  <c r="AL65" i="13"/>
  <c r="AM65" i="13"/>
  <c r="G64" i="25" s="1"/>
  <c r="AN65" i="13"/>
  <c r="AO65" i="13"/>
  <c r="AO71" i="13"/>
  <c r="AM71" i="13"/>
  <c r="G70" i="25" s="1"/>
  <c r="AN71" i="13"/>
  <c r="AL71" i="13"/>
  <c r="AL43" i="13"/>
  <c r="AO43" i="13"/>
  <c r="AN43" i="13"/>
  <c r="AM43" i="13"/>
  <c r="G42" i="25" s="1"/>
  <c r="AO47" i="13"/>
  <c r="AM47" i="13"/>
  <c r="G46" i="25" s="1"/>
  <c r="AL47" i="13"/>
  <c r="AL53" i="13"/>
  <c r="AM53" i="13"/>
  <c r="G52" i="25" s="1"/>
  <c r="AO53" i="13"/>
  <c r="AN53" i="13"/>
  <c r="AL70" i="13"/>
  <c r="AN23" i="13"/>
  <c r="AM23" i="13"/>
  <c r="G22" i="25" s="1"/>
  <c r="AO23" i="13"/>
  <c r="AL23" i="13"/>
  <c r="AN26" i="13"/>
  <c r="AM26" i="13"/>
  <c r="G25" i="25" s="1"/>
  <c r="AO26" i="13"/>
  <c r="AL26" i="13"/>
  <c r="AL29" i="13"/>
  <c r="AN29" i="13"/>
  <c r="AL31" i="13"/>
  <c r="AM31" i="13"/>
  <c r="G30" i="25" s="1"/>
  <c r="AO31" i="13"/>
  <c r="AN31" i="13"/>
  <c r="AM34" i="13"/>
  <c r="G33" i="25" s="1"/>
  <c r="AO34" i="13"/>
  <c r="AN34" i="13"/>
  <c r="AL34" i="13"/>
  <c r="AL37" i="13"/>
  <c r="AO37" i="13"/>
  <c r="AL42" i="13"/>
  <c r="AM42" i="13"/>
  <c r="G41" i="25" s="1"/>
  <c r="AN42" i="13"/>
  <c r="AO55" i="13"/>
  <c r="AM55" i="13"/>
  <c r="G54" i="25" s="1"/>
  <c r="AN55" i="13"/>
  <c r="AL55" i="13"/>
  <c r="AL57" i="13"/>
  <c r="AM57" i="13"/>
  <c r="G56" i="25" s="1"/>
  <c r="AN57" i="13"/>
  <c r="AO57" i="13"/>
  <c r="AO69" i="13"/>
  <c r="AN69" i="13"/>
  <c r="AM69" i="13"/>
  <c r="G68" i="25" s="1"/>
  <c r="AL69" i="13"/>
  <c r="AL75" i="13"/>
  <c r="AN75" i="13"/>
  <c r="AM75" i="13"/>
  <c r="G74" i="25" s="1"/>
  <c r="AO75" i="13"/>
  <c r="AM12" i="13"/>
  <c r="AL12" i="13"/>
  <c r="AN12" i="13"/>
  <c r="AO12" i="13"/>
  <c r="AL20" i="13"/>
  <c r="AM20" i="13"/>
  <c r="G19" i="25" s="1"/>
  <c r="AO20" i="13"/>
  <c r="AN20" i="13"/>
  <c r="AM30" i="13"/>
  <c r="G29" i="25" s="1"/>
  <c r="AN30" i="13"/>
  <c r="AO30" i="13"/>
  <c r="AL30" i="13"/>
  <c r="AL38" i="13"/>
  <c r="AN38" i="13"/>
  <c r="AL41" i="13"/>
  <c r="AN41" i="13"/>
  <c r="AN45" i="13"/>
  <c r="AM45" i="13"/>
  <c r="G44" i="25" s="1"/>
  <c r="AL45" i="13"/>
  <c r="AO45" i="13"/>
  <c r="AL49" i="13"/>
  <c r="AN49" i="13"/>
  <c r="AM49" i="13"/>
  <c r="G48" i="25" s="1"/>
  <c r="AO49" i="13"/>
  <c r="AL51" i="13"/>
  <c r="AN51" i="13"/>
  <c r="AM51" i="13"/>
  <c r="G50" i="25" s="1"/>
  <c r="AO51" i="13"/>
  <c r="AN54" i="13"/>
  <c r="AM54" i="13"/>
  <c r="G53" i="25" s="1"/>
  <c r="AO54" i="13"/>
  <c r="AL54" i="13"/>
  <c r="AL63" i="13"/>
  <c r="AM63" i="13"/>
  <c r="G62" i="25" s="1"/>
  <c r="AN63" i="13"/>
  <c r="AO63" i="13"/>
  <c r="Y6" i="1"/>
  <c r="D76" i="25"/>
  <c r="R5" i="80"/>
  <c r="S5" i="80" s="1"/>
  <c r="T5" i="80" s="1"/>
  <c r="AP39" i="72"/>
  <c r="L39" i="100"/>
  <c r="AR39" i="72"/>
  <c r="N39" i="100"/>
  <c r="AM39" i="72"/>
  <c r="AB42" i="117"/>
  <c r="K39" i="100" s="1"/>
  <c r="T39" i="100"/>
  <c r="AT39" i="72"/>
  <c r="I5" i="31"/>
  <c r="J5" i="31" s="1"/>
  <c r="K5" i="31" s="1"/>
  <c r="L5" i="31" s="1"/>
  <c r="K5" i="76"/>
  <c r="L5" i="76" s="1"/>
  <c r="M5" i="76" s="1"/>
  <c r="I5" i="115"/>
  <c r="J5" i="115" s="1"/>
  <c r="K5" i="115" s="1"/>
  <c r="L5" i="115" s="1"/>
  <c r="M5" i="115" s="1"/>
  <c r="N5" i="115" s="1"/>
  <c r="O5" i="115" s="1"/>
  <c r="P5" i="115" s="1"/>
  <c r="I5" i="131"/>
  <c r="J5" i="131" s="1"/>
  <c r="K5" i="131" s="1"/>
  <c r="L5" i="131" s="1"/>
  <c r="M5" i="131" s="1"/>
  <c r="N5" i="131" s="1"/>
  <c r="O5" i="131" s="1"/>
  <c r="P5" i="131" s="1"/>
  <c r="G9" i="128"/>
  <c r="G11" i="128"/>
  <c r="G13" i="128"/>
  <c r="G15" i="128"/>
  <c r="G19" i="128"/>
  <c r="G21" i="128"/>
  <c r="G24" i="128"/>
  <c r="G26" i="128"/>
  <c r="G28" i="128"/>
  <c r="G30" i="128"/>
  <c r="G32" i="128"/>
  <c r="G34" i="128"/>
  <c r="G36" i="128"/>
  <c r="G38" i="128"/>
  <c r="G40" i="128"/>
  <c r="G43" i="128"/>
  <c r="G46" i="128"/>
  <c r="G48" i="128"/>
  <c r="G50" i="128"/>
  <c r="G52" i="128"/>
  <c r="G54" i="128"/>
  <c r="G56" i="128"/>
  <c r="G58" i="128"/>
  <c r="G60" i="128"/>
  <c r="G62" i="128"/>
  <c r="G64" i="128"/>
  <c r="G66" i="128"/>
  <c r="G68" i="128"/>
  <c r="G70" i="128"/>
  <c r="G74" i="128"/>
  <c r="G7" i="128"/>
  <c r="G8" i="128"/>
  <c r="G10" i="128"/>
  <c r="G14" i="128"/>
  <c r="G16" i="128"/>
  <c r="G18" i="128"/>
  <c r="G22" i="128"/>
  <c r="G27" i="128"/>
  <c r="G29" i="128"/>
  <c r="G31" i="128"/>
  <c r="G35" i="128"/>
  <c r="G37" i="128"/>
  <c r="G39" i="128"/>
  <c r="G41" i="128"/>
  <c r="G44" i="128"/>
  <c r="G47" i="128"/>
  <c r="G49" i="128"/>
  <c r="G53" i="128"/>
  <c r="G55" i="128"/>
  <c r="G61" i="128"/>
  <c r="G63" i="128"/>
  <c r="G65" i="128"/>
  <c r="G67" i="128"/>
  <c r="G69" i="128"/>
  <c r="G71" i="128"/>
  <c r="G73" i="128"/>
  <c r="I5" i="120"/>
  <c r="J5" i="120" s="1"/>
  <c r="K5" i="120" s="1"/>
  <c r="L5" i="120" s="1"/>
  <c r="M5" i="120" s="1"/>
  <c r="N5" i="120" s="1"/>
  <c r="O5" i="120" s="1"/>
  <c r="P5" i="120" s="1"/>
  <c r="Q5" i="120" s="1"/>
  <c r="R5" i="120" s="1"/>
  <c r="S5" i="120" s="1"/>
  <c r="I5" i="125"/>
  <c r="J5" i="125" s="1"/>
  <c r="K5" i="125" s="1"/>
  <c r="L5" i="125" s="1"/>
  <c r="M5" i="125" s="1"/>
  <c r="N5" i="125" s="1"/>
  <c r="O5" i="125" s="1"/>
  <c r="P5" i="125" s="1"/>
  <c r="Q5" i="125" s="1"/>
  <c r="R5" i="125" s="1"/>
  <c r="S5" i="125" s="1"/>
  <c r="I5" i="126"/>
  <c r="J5" i="126" s="1"/>
  <c r="K5" i="126" s="1"/>
  <c r="L5" i="126" s="1"/>
  <c r="M5" i="126" s="1"/>
  <c r="N5" i="126" s="1"/>
  <c r="O5" i="126" s="1"/>
  <c r="P5" i="126" s="1"/>
  <c r="Q5" i="126" s="1"/>
  <c r="R5" i="126" s="1"/>
  <c r="S5" i="126" s="1"/>
  <c r="Q5" i="118"/>
  <c r="R5" i="118" s="1"/>
  <c r="S5" i="118" s="1"/>
  <c r="G7" i="114"/>
  <c r="G9" i="114"/>
  <c r="G11" i="114"/>
  <c r="G13" i="114"/>
  <c r="G15" i="114"/>
  <c r="G18" i="114"/>
  <c r="G20" i="114"/>
  <c r="G22" i="114"/>
  <c r="G24" i="114"/>
  <c r="G26" i="114"/>
  <c r="G28" i="114"/>
  <c r="G30" i="114"/>
  <c r="G32" i="114"/>
  <c r="G34" i="114"/>
  <c r="G35" i="114"/>
  <c r="G37" i="114"/>
  <c r="G39" i="114"/>
  <c r="G41" i="114"/>
  <c r="G43" i="114"/>
  <c r="G47" i="114"/>
  <c r="G49" i="114"/>
  <c r="G51" i="114"/>
  <c r="G53" i="114"/>
  <c r="G55" i="114"/>
  <c r="G57" i="114"/>
  <c r="G59" i="114"/>
  <c r="G61" i="114"/>
  <c r="G63" i="114"/>
  <c r="G65" i="114"/>
  <c r="G67" i="114"/>
  <c r="G71" i="114"/>
  <c r="G73" i="114"/>
  <c r="G75" i="114"/>
  <c r="G8" i="114"/>
  <c r="G10" i="114"/>
  <c r="G12" i="114"/>
  <c r="G14" i="114"/>
  <c r="G17" i="114"/>
  <c r="G19" i="114"/>
  <c r="G21" i="114"/>
  <c r="G25" i="114"/>
  <c r="G27" i="114"/>
  <c r="G29" i="114"/>
  <c r="G33" i="114"/>
  <c r="G36" i="114"/>
  <c r="G38" i="114"/>
  <c r="G40" i="114"/>
  <c r="G42" i="114"/>
  <c r="G44" i="114"/>
  <c r="G46" i="114"/>
  <c r="G48" i="114"/>
  <c r="G52" i="114"/>
  <c r="G56" i="114"/>
  <c r="G60" i="114"/>
  <c r="G64" i="114"/>
  <c r="G68" i="114"/>
  <c r="G72" i="114"/>
  <c r="G23" i="129"/>
  <c r="G23" i="131"/>
  <c r="G23" i="127"/>
  <c r="J12" i="46"/>
  <c r="J17" i="46" s="1"/>
  <c r="G69" i="31"/>
  <c r="AC42" i="129"/>
  <c r="AW39" i="72" s="1"/>
  <c r="G13" i="129"/>
  <c r="G21" i="129"/>
  <c r="G26" i="129"/>
  <c r="G38" i="129"/>
  <c r="G48" i="129"/>
  <c r="G56" i="129"/>
  <c r="G64" i="129"/>
  <c r="G72" i="129"/>
  <c r="G14" i="129"/>
  <c r="G22" i="129"/>
  <c r="G31" i="129"/>
  <c r="G44" i="129"/>
  <c r="G53" i="129"/>
  <c r="G61" i="129"/>
  <c r="G69" i="129"/>
  <c r="G11" i="129"/>
  <c r="G15" i="129"/>
  <c r="G19" i="129"/>
  <c r="G24" i="129"/>
  <c r="G28" i="129"/>
  <c r="G32" i="129"/>
  <c r="G36" i="129"/>
  <c r="G40" i="129"/>
  <c r="G46" i="129"/>
  <c r="G50" i="129"/>
  <c r="G54" i="129"/>
  <c r="G58" i="129"/>
  <c r="G62" i="129"/>
  <c r="G66" i="129"/>
  <c r="G70" i="129"/>
  <c r="G74" i="129"/>
  <c r="G9" i="129"/>
  <c r="G17" i="129"/>
  <c r="G30" i="129"/>
  <c r="G34" i="129"/>
  <c r="G43" i="129"/>
  <c r="G52" i="129"/>
  <c r="G60" i="129"/>
  <c r="G68" i="129"/>
  <c r="G7" i="129"/>
  <c r="G10" i="129"/>
  <c r="G18" i="129"/>
  <c r="G27" i="129"/>
  <c r="G35" i="129"/>
  <c r="G39" i="129"/>
  <c r="G49" i="129"/>
  <c r="G57" i="129"/>
  <c r="G65" i="129"/>
  <c r="G73" i="129"/>
  <c r="G8" i="129"/>
  <c r="G12" i="129"/>
  <c r="G16" i="129"/>
  <c r="G20" i="129"/>
  <c r="G25" i="129"/>
  <c r="G29" i="129"/>
  <c r="G33" i="129"/>
  <c r="G37" i="129"/>
  <c r="G41" i="129"/>
  <c r="G47" i="129"/>
  <c r="G51" i="129"/>
  <c r="G55" i="129"/>
  <c r="G59" i="129"/>
  <c r="G63" i="129"/>
  <c r="G67" i="129"/>
  <c r="G71" i="129"/>
  <c r="G75" i="129"/>
  <c r="I16" i="2"/>
  <c r="J16" i="2" s="1"/>
  <c r="I12" i="2"/>
  <c r="J12" i="2" s="1"/>
  <c r="K68" i="2"/>
  <c r="J5" i="129"/>
  <c r="K5" i="129" s="1"/>
  <c r="I66" i="2"/>
  <c r="J66" i="2" s="1"/>
  <c r="I62" i="2"/>
  <c r="J62" i="2" s="1"/>
  <c r="I54" i="2"/>
  <c r="J54" i="2" s="1"/>
  <c r="I50" i="2"/>
  <c r="J50" i="2" s="1"/>
  <c r="I26" i="2"/>
  <c r="J26" i="2" s="1"/>
  <c r="I14" i="2"/>
  <c r="J14" i="2" s="1"/>
  <c r="I5" i="33"/>
  <c r="J5" i="33" s="1"/>
  <c r="K5" i="33" s="1"/>
  <c r="L5" i="33" s="1"/>
  <c r="M5" i="33" s="1"/>
  <c r="N5" i="33" s="1"/>
  <c r="I52" i="2"/>
  <c r="J52" i="2" s="1"/>
  <c r="I36" i="2"/>
  <c r="J36" i="2" s="1"/>
  <c r="K20" i="2"/>
  <c r="G27" i="31"/>
  <c r="I24" i="2"/>
  <c r="J24" i="2" s="1"/>
  <c r="C7" i="5"/>
  <c r="S75" i="67"/>
  <c r="S81" i="67" s="1"/>
  <c r="G45" i="114"/>
  <c r="G23" i="119"/>
  <c r="G45" i="119"/>
  <c r="G23" i="114"/>
  <c r="AC42" i="119"/>
  <c r="AD42" i="119" s="1"/>
  <c r="AC42" i="114"/>
  <c r="AD42" i="114" s="1"/>
  <c r="AC42" i="128"/>
  <c r="AD42" i="128" s="1"/>
  <c r="AF42" i="128" s="1"/>
  <c r="AD41" i="76"/>
  <c r="G74" i="76"/>
  <c r="G72" i="76"/>
  <c r="G64" i="76"/>
  <c r="G62" i="76"/>
  <c r="G60" i="76"/>
  <c r="G58" i="76"/>
  <c r="G56" i="76"/>
  <c r="G54" i="76"/>
  <c r="G52" i="76"/>
  <c r="G49" i="76"/>
  <c r="G47" i="76"/>
  <c r="G45" i="76"/>
  <c r="G42" i="76"/>
  <c r="G39" i="76"/>
  <c r="G37" i="76"/>
  <c r="G35" i="76"/>
  <c r="G33" i="76"/>
  <c r="G31" i="76"/>
  <c r="G29" i="76"/>
  <c r="G27" i="76"/>
  <c r="G25" i="76"/>
  <c r="G23" i="76"/>
  <c r="G20" i="76"/>
  <c r="G18" i="76"/>
  <c r="G16" i="76"/>
  <c r="G14" i="76"/>
  <c r="G12" i="76"/>
  <c r="G10" i="76"/>
  <c r="G8" i="76"/>
  <c r="G71" i="76"/>
  <c r="G69" i="76"/>
  <c r="G67" i="76"/>
  <c r="G65" i="76"/>
  <c r="G63" i="76"/>
  <c r="G61" i="76"/>
  <c r="G59" i="76"/>
  <c r="G57" i="76"/>
  <c r="G55" i="76"/>
  <c r="G53" i="76"/>
  <c r="G51" i="76"/>
  <c r="G38" i="76"/>
  <c r="G32" i="76"/>
  <c r="G28" i="76"/>
  <c r="G26" i="76"/>
  <c r="G24" i="76"/>
  <c r="G21" i="76"/>
  <c r="G19" i="76"/>
  <c r="G17" i="76"/>
  <c r="G15" i="76"/>
  <c r="G13" i="76"/>
  <c r="G22" i="76"/>
  <c r="G44" i="76"/>
  <c r="G73" i="76"/>
  <c r="G70" i="76"/>
  <c r="G68" i="76"/>
  <c r="G66" i="76"/>
  <c r="G50" i="76"/>
  <c r="G48" i="76"/>
  <c r="G46" i="76"/>
  <c r="G43" i="76"/>
  <c r="G40" i="76"/>
  <c r="G36" i="76"/>
  <c r="G34" i="76"/>
  <c r="G30" i="76"/>
  <c r="G11" i="76"/>
  <c r="G9" i="76"/>
  <c r="G7" i="76"/>
  <c r="G41" i="76"/>
  <c r="G6" i="76"/>
  <c r="K75" i="76"/>
  <c r="K81" i="76" s="1"/>
  <c r="G62" i="127"/>
  <c r="G36" i="127"/>
  <c r="G34" i="127"/>
  <c r="G50" i="127"/>
  <c r="G9" i="127"/>
  <c r="G11" i="127"/>
  <c r="G15" i="127"/>
  <c r="G17" i="127"/>
  <c r="G19" i="127"/>
  <c r="G21" i="127"/>
  <c r="G24" i="127"/>
  <c r="G26" i="127"/>
  <c r="G28" i="127"/>
  <c r="G30" i="127"/>
  <c r="G32" i="127"/>
  <c r="G38" i="127"/>
  <c r="G40" i="127"/>
  <c r="G43" i="127"/>
  <c r="G46" i="127"/>
  <c r="G48" i="127"/>
  <c r="G52" i="127"/>
  <c r="G54" i="127"/>
  <c r="G56" i="127"/>
  <c r="G60" i="127"/>
  <c r="G64" i="127"/>
  <c r="G66" i="127"/>
  <c r="G68" i="127"/>
  <c r="G70" i="127"/>
  <c r="G72" i="127"/>
  <c r="G74" i="127"/>
  <c r="G10" i="127"/>
  <c r="G14" i="127"/>
  <c r="G18" i="127"/>
  <c r="G22" i="127"/>
  <c r="G27" i="127"/>
  <c r="G31" i="127"/>
  <c r="G35" i="127"/>
  <c r="G39" i="127"/>
  <c r="G44" i="127"/>
  <c r="G49" i="127"/>
  <c r="G53" i="127"/>
  <c r="G55" i="127"/>
  <c r="G57" i="127"/>
  <c r="G59" i="127"/>
  <c r="G61" i="127"/>
  <c r="G65" i="127"/>
  <c r="G67" i="127"/>
  <c r="G69" i="127"/>
  <c r="G73" i="127"/>
  <c r="G39" i="117"/>
  <c r="G7" i="117"/>
  <c r="G9" i="117"/>
  <c r="G11" i="117"/>
  <c r="G13" i="117"/>
  <c r="G15" i="117"/>
  <c r="G17" i="117"/>
  <c r="G19" i="117"/>
  <c r="G21" i="117"/>
  <c r="G23" i="117"/>
  <c r="G25" i="117"/>
  <c r="G27" i="117"/>
  <c r="G29" i="117"/>
  <c r="G31" i="117"/>
  <c r="G33" i="117"/>
  <c r="G35" i="117"/>
  <c r="G37" i="117"/>
  <c r="G40" i="117"/>
  <c r="G42" i="117"/>
  <c r="G44" i="117"/>
  <c r="G46" i="117"/>
  <c r="G48" i="117"/>
  <c r="G50" i="117"/>
  <c r="G52" i="117"/>
  <c r="G54" i="117"/>
  <c r="G56" i="117"/>
  <c r="G58" i="117"/>
  <c r="G60" i="117"/>
  <c r="G62" i="117"/>
  <c r="G64" i="117"/>
  <c r="G66" i="117"/>
  <c r="G70" i="117"/>
  <c r="G72" i="117"/>
  <c r="G74" i="117"/>
  <c r="G8" i="117"/>
  <c r="G10" i="117"/>
  <c r="G14" i="117"/>
  <c r="G16" i="117"/>
  <c r="G20" i="117"/>
  <c r="G26" i="117"/>
  <c r="G32" i="117"/>
  <c r="G34" i="117"/>
  <c r="G36" i="117"/>
  <c r="G38" i="117"/>
  <c r="G41" i="117"/>
  <c r="G47" i="117"/>
  <c r="G49" i="117"/>
  <c r="G51" i="117"/>
  <c r="G53" i="117"/>
  <c r="G57" i="117"/>
  <c r="G61" i="117"/>
  <c r="G63" i="117"/>
  <c r="G65" i="117"/>
  <c r="G67" i="117"/>
  <c r="G69" i="117"/>
  <c r="AB42" i="116"/>
  <c r="G9" i="116"/>
  <c r="G13" i="116"/>
  <c r="G17" i="116"/>
  <c r="G21" i="116"/>
  <c r="G25" i="116"/>
  <c r="G29" i="116"/>
  <c r="G33" i="116"/>
  <c r="G37" i="116"/>
  <c r="G39" i="116"/>
  <c r="G41" i="116"/>
  <c r="G43" i="116"/>
  <c r="G45" i="116"/>
  <c r="G47" i="116"/>
  <c r="G49" i="116"/>
  <c r="G51" i="116"/>
  <c r="G53" i="116"/>
  <c r="G55" i="116"/>
  <c r="G57" i="116"/>
  <c r="G59" i="116"/>
  <c r="G61" i="116"/>
  <c r="G63" i="116"/>
  <c r="G65" i="116"/>
  <c r="G67" i="116"/>
  <c r="G69" i="116"/>
  <c r="G71" i="116"/>
  <c r="G73" i="116"/>
  <c r="G75" i="116"/>
  <c r="G8" i="116"/>
  <c r="G12" i="116"/>
  <c r="G16" i="116"/>
  <c r="G20" i="116"/>
  <c r="G24" i="116"/>
  <c r="G28" i="116"/>
  <c r="G32" i="116"/>
  <c r="G36" i="116"/>
  <c r="G38" i="116"/>
  <c r="G40" i="116"/>
  <c r="G42" i="116"/>
  <c r="G46" i="116"/>
  <c r="G48" i="116"/>
  <c r="G50" i="116"/>
  <c r="G54" i="116"/>
  <c r="G56" i="116"/>
  <c r="G58" i="116"/>
  <c r="G60" i="116"/>
  <c r="G64" i="116"/>
  <c r="G66" i="116"/>
  <c r="G68" i="116"/>
  <c r="G70" i="116"/>
  <c r="G72" i="116"/>
  <c r="G7" i="113"/>
  <c r="G9" i="113"/>
  <c r="G11" i="113"/>
  <c r="G13" i="113"/>
  <c r="G15" i="113"/>
  <c r="G17" i="113"/>
  <c r="G19" i="113"/>
  <c r="G21" i="113"/>
  <c r="G24" i="113"/>
  <c r="G26" i="113"/>
  <c r="G28" i="113"/>
  <c r="G30" i="113"/>
  <c r="G32" i="113"/>
  <c r="G34" i="113"/>
  <c r="G36" i="113"/>
  <c r="G38" i="113"/>
  <c r="G40" i="113"/>
  <c r="G43" i="113"/>
  <c r="G46" i="113"/>
  <c r="G48" i="113"/>
  <c r="G50" i="113"/>
  <c r="G52" i="113"/>
  <c r="G54" i="113"/>
  <c r="G56" i="113"/>
  <c r="G58" i="113"/>
  <c r="G60" i="113"/>
  <c r="G62" i="113"/>
  <c r="G64" i="113"/>
  <c r="G66" i="113"/>
  <c r="G68" i="113"/>
  <c r="G70" i="113"/>
  <c r="G72" i="113"/>
  <c r="G74" i="113"/>
  <c r="G23" i="113"/>
  <c r="G45" i="113"/>
  <c r="G8" i="113"/>
  <c r="G10" i="113"/>
  <c r="G12" i="113"/>
  <c r="G14" i="113"/>
  <c r="G16" i="113"/>
  <c r="G18" i="113"/>
  <c r="G20" i="113"/>
  <c r="G22" i="113"/>
  <c r="G25" i="113"/>
  <c r="G27" i="113"/>
  <c r="G29" i="113"/>
  <c r="G31" i="113"/>
  <c r="G33" i="113"/>
  <c r="G35" i="113"/>
  <c r="G37" i="113"/>
  <c r="G39" i="113"/>
  <c r="G41" i="113"/>
  <c r="G44" i="113"/>
  <c r="G47" i="113"/>
  <c r="G49" i="113"/>
  <c r="G51" i="113"/>
  <c r="G53" i="113"/>
  <c r="G55" i="113"/>
  <c r="G57" i="113"/>
  <c r="G59" i="113"/>
  <c r="G61" i="113"/>
  <c r="G63" i="113"/>
  <c r="G65" i="113"/>
  <c r="G67" i="113"/>
  <c r="G69" i="113"/>
  <c r="G71" i="113"/>
  <c r="G73" i="113"/>
  <c r="G75" i="113"/>
  <c r="G42" i="113"/>
  <c r="G6" i="46"/>
  <c r="G15" i="46"/>
  <c r="G9" i="46"/>
  <c r="G7" i="46"/>
  <c r="G11" i="46"/>
  <c r="P75" i="76"/>
  <c r="P81" i="76" s="1"/>
  <c r="AF75" i="76"/>
  <c r="AF81" i="76" s="1"/>
  <c r="E15" i="81"/>
  <c r="H15" i="81" s="1"/>
  <c r="C15" i="46"/>
  <c r="C17" i="46" s="1"/>
  <c r="F20" i="33"/>
  <c r="G20" i="33" s="1"/>
  <c r="F28" i="33"/>
  <c r="G28" i="33" s="1"/>
  <c r="F34" i="33"/>
  <c r="H34" i="33" s="1"/>
  <c r="F58" i="33"/>
  <c r="H58" i="33" s="1"/>
  <c r="F60" i="33"/>
  <c r="G60" i="33" s="1"/>
  <c r="Q12" i="46"/>
  <c r="Q17" i="46" s="1"/>
  <c r="H75" i="67"/>
  <c r="H81" i="67" s="1"/>
  <c r="K73" i="1"/>
  <c r="AX39" i="72"/>
  <c r="F50" i="33"/>
  <c r="H50" i="33" s="1"/>
  <c r="F66" i="33"/>
  <c r="H66" i="33" s="1"/>
  <c r="F70" i="33"/>
  <c r="H70" i="33" s="1"/>
  <c r="F10" i="33"/>
  <c r="G10" i="33" s="1"/>
  <c r="F16" i="33"/>
  <c r="H16" i="33" s="1"/>
  <c r="F74" i="33"/>
  <c r="G74" i="33" s="1"/>
  <c r="I19" i="2"/>
  <c r="J19" i="2" s="1"/>
  <c r="I39" i="2"/>
  <c r="J39" i="2" s="1"/>
  <c r="I15" i="2"/>
  <c r="J15" i="2" s="1"/>
  <c r="I67" i="2"/>
  <c r="J67" i="2" s="1"/>
  <c r="I13" i="2"/>
  <c r="J13" i="2" s="1"/>
  <c r="I53" i="2"/>
  <c r="J53" i="2" s="1"/>
  <c r="I41" i="2"/>
  <c r="J41" i="2" s="1"/>
  <c r="I59" i="2"/>
  <c r="J59" i="2" s="1"/>
  <c r="I23" i="2"/>
  <c r="J23" i="2" s="1"/>
  <c r="I31" i="2"/>
  <c r="J31" i="2" s="1"/>
  <c r="K43" i="2"/>
  <c r="I65" i="2"/>
  <c r="J65" i="2" s="1"/>
  <c r="I61" i="2"/>
  <c r="J61" i="2" s="1"/>
  <c r="I57" i="2"/>
  <c r="J57" i="2" s="1"/>
  <c r="I49" i="2"/>
  <c r="J49" i="2" s="1"/>
  <c r="I37" i="2"/>
  <c r="J37" i="2" s="1"/>
  <c r="I29" i="2"/>
  <c r="J29" i="2" s="1"/>
  <c r="I17" i="2"/>
  <c r="J17" i="2" s="1"/>
  <c r="K25" i="2"/>
  <c r="K31" i="2"/>
  <c r="K22" i="2"/>
  <c r="I30" i="2"/>
  <c r="J30" i="2" s="1"/>
  <c r="I38" i="2"/>
  <c r="J38" i="2" s="1"/>
  <c r="K50" i="2"/>
  <c r="G6" i="5"/>
  <c r="G7" i="5" s="1"/>
  <c r="G55" i="31"/>
  <c r="G65" i="31"/>
  <c r="G34" i="31"/>
  <c r="G28" i="31"/>
  <c r="Q72" i="31"/>
  <c r="G16" i="31"/>
  <c r="G23" i="31"/>
  <c r="G37" i="31"/>
  <c r="G24" i="31"/>
  <c r="G32" i="31"/>
  <c r="G63" i="31"/>
  <c r="G42" i="129"/>
  <c r="G46" i="31"/>
  <c r="F18" i="33"/>
  <c r="G18" i="33" s="1"/>
  <c r="F38" i="33"/>
  <c r="H38" i="33" s="1"/>
  <c r="F42" i="33"/>
  <c r="G42" i="33" s="1"/>
  <c r="F57" i="33"/>
  <c r="G57" i="33" s="1"/>
  <c r="F45" i="33"/>
  <c r="H45" i="33" s="1"/>
  <c r="G72" i="33"/>
  <c r="F13" i="33"/>
  <c r="G13" i="33" s="1"/>
  <c r="F12" i="33"/>
  <c r="H12" i="33" s="1"/>
  <c r="F24" i="33"/>
  <c r="G24" i="33" s="1"/>
  <c r="F44" i="33"/>
  <c r="G44" i="33" s="1"/>
  <c r="F56" i="33"/>
  <c r="G56" i="33" s="1"/>
  <c r="F17" i="33"/>
  <c r="H17" i="33" s="1"/>
  <c r="F37" i="33"/>
  <c r="F49" i="33"/>
  <c r="H49" i="33" s="1"/>
  <c r="F69" i="33"/>
  <c r="F14" i="33"/>
  <c r="G14" i="33" s="1"/>
  <c r="F22" i="33"/>
  <c r="H22" i="33" s="1"/>
  <c r="F30" i="33"/>
  <c r="G30" i="33" s="1"/>
  <c r="F46" i="33"/>
  <c r="H46" i="33" s="1"/>
  <c r="F54" i="33"/>
  <c r="H54" i="33" s="1"/>
  <c r="F62" i="33"/>
  <c r="H62" i="33" s="1"/>
  <c r="E76" i="33"/>
  <c r="F9" i="33"/>
  <c r="G9" i="33" s="1"/>
  <c r="F29" i="33"/>
  <c r="F41" i="33"/>
  <c r="H41" i="33" s="1"/>
  <c r="F61" i="33"/>
  <c r="F73" i="33"/>
  <c r="H73" i="33" s="1"/>
  <c r="D76" i="33"/>
  <c r="F21" i="33"/>
  <c r="F33" i="33"/>
  <c r="G33" i="33" s="1"/>
  <c r="F53" i="33"/>
  <c r="F65" i="33"/>
  <c r="H65" i="33" s="1"/>
  <c r="F8" i="33"/>
  <c r="F11" i="33"/>
  <c r="F15" i="33"/>
  <c r="F19" i="33"/>
  <c r="F23" i="33"/>
  <c r="F27" i="33"/>
  <c r="F31" i="33"/>
  <c r="F35" i="33"/>
  <c r="F39" i="33"/>
  <c r="F43" i="33"/>
  <c r="F47" i="33"/>
  <c r="F51" i="33"/>
  <c r="F55" i="33"/>
  <c r="F59" i="33"/>
  <c r="F63" i="33"/>
  <c r="F67" i="33"/>
  <c r="F71" i="33"/>
  <c r="F75" i="33"/>
  <c r="H63" i="81"/>
  <c r="G9" i="81"/>
  <c r="G35" i="81"/>
  <c r="G34" i="81"/>
  <c r="G70" i="81"/>
  <c r="H70" i="81"/>
  <c r="G45" i="125"/>
  <c r="G75" i="2"/>
  <c r="E45" i="81" s="1"/>
  <c r="I10" i="2"/>
  <c r="J10" i="2" s="1"/>
  <c r="I42" i="2"/>
  <c r="J42" i="2" s="1"/>
  <c r="D5" i="2"/>
  <c r="E5" i="2" s="1"/>
  <c r="F5" i="2" s="1"/>
  <c r="G5" i="2" s="1"/>
  <c r="H5" i="2" s="1"/>
  <c r="I5" i="2" s="1"/>
  <c r="J5" i="2" s="1"/>
  <c r="K5" i="2" s="1"/>
  <c r="L5" i="2" s="1"/>
  <c r="M5" i="2" s="1"/>
  <c r="N5" i="2" s="1"/>
  <c r="O5" i="2" s="1"/>
  <c r="P5" i="2" s="1"/>
  <c r="I6" i="2"/>
  <c r="J6" i="2" s="1"/>
  <c r="I74" i="2"/>
  <c r="J74" i="2" s="1"/>
  <c r="I46" i="2"/>
  <c r="J46" i="2" s="1"/>
  <c r="G45" i="126"/>
  <c r="H75" i="2"/>
  <c r="G76" i="120"/>
  <c r="G82" i="120" s="1"/>
  <c r="G45" i="131"/>
  <c r="G75" i="80"/>
  <c r="G81" i="80" s="1"/>
  <c r="G76" i="115"/>
  <c r="G82" i="115" s="1"/>
  <c r="G76" i="118"/>
  <c r="G82" i="118" s="1"/>
  <c r="G42" i="126"/>
  <c r="G42" i="128"/>
  <c r="G42" i="125"/>
  <c r="G42" i="127"/>
  <c r="G42" i="131"/>
  <c r="G73" i="1"/>
  <c r="I73" i="1"/>
  <c r="E73" i="1"/>
  <c r="AE41" i="80" l="1"/>
  <c r="G29" i="81"/>
  <c r="H29" i="81"/>
  <c r="C14" i="25"/>
  <c r="AQ15" i="13"/>
  <c r="Y11" i="1" s="1"/>
  <c r="C32" i="25"/>
  <c r="AQ33" i="13"/>
  <c r="Y29" i="1" s="1"/>
  <c r="AQ56" i="13"/>
  <c r="Y52" i="1" s="1"/>
  <c r="C55" i="25"/>
  <c r="AD56" i="13"/>
  <c r="AQ17" i="13"/>
  <c r="Y13" i="1" s="1"/>
  <c r="C16" i="25"/>
  <c r="AD17" i="13"/>
  <c r="AQ22" i="13"/>
  <c r="Y18" i="1" s="1"/>
  <c r="AD22" i="13"/>
  <c r="C21" i="25"/>
  <c r="AD53" i="13"/>
  <c r="C52" i="25"/>
  <c r="AQ53" i="13"/>
  <c r="Y49" i="1" s="1"/>
  <c r="C61" i="25"/>
  <c r="AD62" i="13"/>
  <c r="AN8" i="13"/>
  <c r="AO8" i="13"/>
  <c r="AN36" i="13"/>
  <c r="AO36" i="13"/>
  <c r="AL21" i="13"/>
  <c r="AM21" i="13"/>
  <c r="G20" i="25" s="1"/>
  <c r="AO9" i="13"/>
  <c r="AN9" i="13"/>
  <c r="C10" i="25"/>
  <c r="AD11" i="13"/>
  <c r="AQ12" i="13"/>
  <c r="Y8" i="1" s="1"/>
  <c r="AD12" i="13"/>
  <c r="C11" i="25"/>
  <c r="C22" i="25"/>
  <c r="AD23" i="13"/>
  <c r="AQ23" i="13"/>
  <c r="Y19" i="1" s="1"/>
  <c r="AD26" i="13"/>
  <c r="C25" i="25"/>
  <c r="AQ26" i="13"/>
  <c r="Y22" i="1" s="1"/>
  <c r="AQ28" i="13"/>
  <c r="Y24" i="1" s="1"/>
  <c r="C27" i="25"/>
  <c r="AD28" i="13"/>
  <c r="AD35" i="13"/>
  <c r="C34" i="25"/>
  <c r="C37" i="25"/>
  <c r="AD38" i="13"/>
  <c r="C47" i="25"/>
  <c r="AQ48" i="13"/>
  <c r="Y44" i="1" s="1"/>
  <c r="AD48" i="13"/>
  <c r="C48" i="25"/>
  <c r="AD49" i="13"/>
  <c r="C58" i="25"/>
  <c r="AD59" i="13"/>
  <c r="AQ59" i="13"/>
  <c r="Y55" i="1" s="1"/>
  <c r="C62" i="25"/>
  <c r="AQ63" i="13"/>
  <c r="Y59" i="1" s="1"/>
  <c r="AD63" i="13"/>
  <c r="AD66" i="13"/>
  <c r="C65" i="25"/>
  <c r="AQ66" i="13"/>
  <c r="Y62" i="1" s="1"/>
  <c r="AD72" i="13"/>
  <c r="AQ72" i="13"/>
  <c r="Y68" i="1" s="1"/>
  <c r="AL39" i="13"/>
  <c r="AN39" i="13"/>
  <c r="AO39" i="13"/>
  <c r="AM39" i="13"/>
  <c r="G38" i="25" s="1"/>
  <c r="AB77" i="13"/>
  <c r="AO15" i="13"/>
  <c r="AM15" i="13"/>
  <c r="G14" i="25" s="1"/>
  <c r="AN15" i="13"/>
  <c r="AL15" i="13"/>
  <c r="AD8" i="13"/>
  <c r="AQ8" i="13"/>
  <c r="Y4" i="1" s="1"/>
  <c r="C7" i="25"/>
  <c r="AE77" i="13"/>
  <c r="C12" i="25"/>
  <c r="AD13" i="13"/>
  <c r="AQ13" i="13"/>
  <c r="Y9" i="1" s="1"/>
  <c r="AD20" i="13"/>
  <c r="AQ20" i="13"/>
  <c r="Y16" i="1" s="1"/>
  <c r="C19" i="25"/>
  <c r="C26" i="25"/>
  <c r="AD27" i="13"/>
  <c r="AQ27" i="13"/>
  <c r="Y23" i="1" s="1"/>
  <c r="AD40" i="13"/>
  <c r="AQ40" i="13"/>
  <c r="Y36" i="1" s="1"/>
  <c r="C39" i="25"/>
  <c r="AD41" i="13"/>
  <c r="C40" i="25"/>
  <c r="AQ43" i="13"/>
  <c r="Y39" i="1" s="1"/>
  <c r="C42" i="25"/>
  <c r="AD43" i="13"/>
  <c r="C44" i="25"/>
  <c r="AD45" i="13"/>
  <c r="C45" i="25"/>
  <c r="AD46" i="13"/>
  <c r="AQ46" i="13"/>
  <c r="Y42" i="1" s="1"/>
  <c r="C53" i="25"/>
  <c r="AD54" i="13"/>
  <c r="AQ54" i="13"/>
  <c r="Y50" i="1" s="1"/>
  <c r="C57" i="25"/>
  <c r="AD58" i="13"/>
  <c r="AQ58" i="13"/>
  <c r="Y54" i="1" s="1"/>
  <c r="AQ71" i="13"/>
  <c r="Y67" i="1" s="1"/>
  <c r="C70" i="25"/>
  <c r="AC77" i="13"/>
  <c r="V5" i="126"/>
  <c r="T5" i="126"/>
  <c r="U5" i="126" s="1"/>
  <c r="V5" i="120"/>
  <c r="T5" i="120"/>
  <c r="U5" i="120" s="1"/>
  <c r="V5" i="118"/>
  <c r="T5" i="118"/>
  <c r="U5" i="118" s="1"/>
  <c r="V5" i="125"/>
  <c r="T5" i="125"/>
  <c r="U5" i="125" s="1"/>
  <c r="F76" i="114"/>
  <c r="G76" i="114" s="1"/>
  <c r="G62" i="114"/>
  <c r="G71" i="31"/>
  <c r="G72" i="31" s="1"/>
  <c r="Y5" i="46"/>
  <c r="Z5" i="46" s="1"/>
  <c r="AA5" i="46" s="1"/>
  <c r="AB5" i="46" s="1"/>
  <c r="AC5" i="46" s="1"/>
  <c r="AD5" i="46" s="1"/>
  <c r="AE5" i="46" s="1"/>
  <c r="AF5" i="46" s="1"/>
  <c r="AG5" i="46" s="1"/>
  <c r="AH5" i="46" s="1"/>
  <c r="AI5" i="46" s="1"/>
  <c r="AJ5" i="46" s="1"/>
  <c r="AK5" i="46" s="1"/>
  <c r="AL5" i="46" s="1"/>
  <c r="AM5" i="46" s="1"/>
  <c r="AN5" i="46" s="1"/>
  <c r="AO5" i="46" s="1"/>
  <c r="AP5" i="46" s="1"/>
  <c r="AQ5" i="46" s="1"/>
  <c r="AR5" i="46" s="1"/>
  <c r="AS5" i="46" s="1"/>
  <c r="AT5" i="46" s="1"/>
  <c r="AU5" i="46" s="1"/>
  <c r="F68" i="33"/>
  <c r="O82" i="116"/>
  <c r="AO41" i="13"/>
  <c r="AO38" i="13"/>
  <c r="H28" i="166"/>
  <c r="G28" i="166"/>
  <c r="H27" i="166"/>
  <c r="G27" i="166"/>
  <c r="H22" i="139"/>
  <c r="L22" i="139"/>
  <c r="G22" i="139"/>
  <c r="H21" i="166"/>
  <c r="G21" i="166"/>
  <c r="G44" i="81"/>
  <c r="AN72" i="31"/>
  <c r="U5" i="80"/>
  <c r="V5" i="80" s="1"/>
  <c r="W5" i="80" s="1"/>
  <c r="X5" i="80" s="1"/>
  <c r="Y5" i="80" s="1"/>
  <c r="Z5" i="80" s="1"/>
  <c r="AA5" i="80" s="1"/>
  <c r="AB5" i="80" s="1"/>
  <c r="AC5" i="80" s="1"/>
  <c r="AD5" i="80" s="1"/>
  <c r="AE5" i="80" s="1"/>
  <c r="AF5" i="80" s="1"/>
  <c r="AG5" i="80" s="1"/>
  <c r="AH5" i="80" s="1"/>
  <c r="AI5" i="80" s="1"/>
  <c r="AJ5" i="80" s="1"/>
  <c r="AK5" i="80" s="1"/>
  <c r="AL5" i="80" s="1"/>
  <c r="S4" i="5"/>
  <c r="T4" i="5" s="1"/>
  <c r="U4" i="5" s="1"/>
  <c r="V4" i="5" s="1"/>
  <c r="W4" i="5" s="1"/>
  <c r="X4" i="5" s="1"/>
  <c r="Q4" i="5"/>
  <c r="R4" i="5" s="1"/>
  <c r="O5" i="33"/>
  <c r="P5" i="33" s="1"/>
  <c r="Q5" i="33" s="1"/>
  <c r="R5" i="33" s="1"/>
  <c r="S5" i="33" s="1"/>
  <c r="T5" i="33" s="1"/>
  <c r="U5" i="33" s="1"/>
  <c r="V5" i="33" s="1"/>
  <c r="W5" i="33" s="1"/>
  <c r="X5" i="33" s="1"/>
  <c r="Y5" i="33" s="1"/>
  <c r="Z5" i="33" s="1"/>
  <c r="AA5" i="33" s="1"/>
  <c r="AB5" i="33" s="1"/>
  <c r="AC5" i="33" s="1"/>
  <c r="AD5" i="33" s="1"/>
  <c r="AE5" i="33" s="1"/>
  <c r="F11" i="166"/>
  <c r="F12" i="166"/>
  <c r="C74" i="31"/>
  <c r="F10" i="166"/>
  <c r="F13" i="166"/>
  <c r="AE39" i="100"/>
  <c r="G14" i="81"/>
  <c r="G76" i="126"/>
  <c r="G82" i="126" s="1"/>
  <c r="N5" i="76"/>
  <c r="O5" i="76" s="1"/>
  <c r="P5" i="76" s="1"/>
  <c r="Q5" i="76" s="1"/>
  <c r="R5" i="76" s="1"/>
  <c r="S5" i="76" s="1"/>
  <c r="T5" i="76" s="1"/>
  <c r="G76" i="149"/>
  <c r="G82" i="149" s="1"/>
  <c r="G76" i="146"/>
  <c r="G82" i="146" s="1"/>
  <c r="G76" i="117"/>
  <c r="G82" i="117" s="1"/>
  <c r="G76" i="116"/>
  <c r="G82" i="116" s="1"/>
  <c r="G76" i="119"/>
  <c r="G82" i="119" s="1"/>
  <c r="BI39" i="72"/>
  <c r="E94" i="139"/>
  <c r="E101" i="139" s="1"/>
  <c r="E107" i="139" s="1"/>
  <c r="F101" i="139"/>
  <c r="G76" i="148"/>
  <c r="G82" i="148" s="1"/>
  <c r="G76" i="153"/>
  <c r="G82" i="153" s="1"/>
  <c r="G77" i="114"/>
  <c r="G83" i="114" s="1"/>
  <c r="G76" i="125"/>
  <c r="G82" i="125" s="1"/>
  <c r="G76" i="144"/>
  <c r="G82" i="144" s="1"/>
  <c r="G76" i="152"/>
  <c r="G82" i="152" s="1"/>
  <c r="G76" i="147"/>
  <c r="G82" i="147" s="1"/>
  <c r="G76" i="145"/>
  <c r="G82" i="145" s="1"/>
  <c r="G76" i="151"/>
  <c r="G82" i="151" s="1"/>
  <c r="M5" i="31"/>
  <c r="N5" i="31" s="1"/>
  <c r="O5" i="31" s="1"/>
  <c r="P5" i="31" s="1"/>
  <c r="Q5" i="31" s="1"/>
  <c r="R5" i="31" s="1"/>
  <c r="F57" i="139"/>
  <c r="L57" i="139" s="1"/>
  <c r="U2" i="72"/>
  <c r="V2" i="72" s="1"/>
  <c r="W2" i="72" s="1"/>
  <c r="X2" i="72" s="1"/>
  <c r="Y2" i="72" s="1"/>
  <c r="Z2" i="72" s="1"/>
  <c r="H105" i="139"/>
  <c r="AO70" i="13"/>
  <c r="AK77" i="13"/>
  <c r="AF77" i="13" s="1"/>
  <c r="G27" i="139"/>
  <c r="H27" i="139"/>
  <c r="H28" i="139"/>
  <c r="G28" i="139"/>
  <c r="AQ77" i="13"/>
  <c r="E13" i="81"/>
  <c r="F102" i="139"/>
  <c r="F58" i="139"/>
  <c r="L58" i="139" s="1"/>
  <c r="H104" i="139"/>
  <c r="E74" i="81"/>
  <c r="E20" i="81"/>
  <c r="H20" i="81" s="1"/>
  <c r="F11" i="139"/>
  <c r="L11" i="139" s="1"/>
  <c r="E21" i="81"/>
  <c r="G21" i="81" s="1"/>
  <c r="F13" i="139"/>
  <c r="L13" i="139" s="1"/>
  <c r="E23" i="81"/>
  <c r="G23" i="81" s="1"/>
  <c r="F15" i="139"/>
  <c r="L15" i="139" s="1"/>
  <c r="E22" i="81"/>
  <c r="G22" i="81" s="1"/>
  <c r="F14" i="139"/>
  <c r="L14" i="139" s="1"/>
  <c r="F76" i="25"/>
  <c r="AN70" i="13"/>
  <c r="AL68" i="13"/>
  <c r="AM68" i="13"/>
  <c r="G67" i="25" s="1"/>
  <c r="AO68" i="13"/>
  <c r="AN68" i="13"/>
  <c r="AM64" i="13"/>
  <c r="G63" i="25" s="1"/>
  <c r="AL64" i="13"/>
  <c r="AN64" i="13"/>
  <c r="AO64" i="13"/>
  <c r="AL62" i="13"/>
  <c r="AO62" i="13"/>
  <c r="AN62" i="13"/>
  <c r="AM62" i="13"/>
  <c r="G61" i="25" s="1"/>
  <c r="AL73" i="13"/>
  <c r="AO73" i="13"/>
  <c r="AN73" i="13"/>
  <c r="AM73" i="13"/>
  <c r="G72" i="25" s="1"/>
  <c r="AM29" i="13"/>
  <c r="G28" i="25" s="1"/>
  <c r="AO29" i="13"/>
  <c r="AM72" i="13"/>
  <c r="G71" i="25" s="1"/>
  <c r="AL72" i="13"/>
  <c r="AO72" i="13"/>
  <c r="AN72" i="13"/>
  <c r="G11" i="25"/>
  <c r="Y73" i="1"/>
  <c r="AC42" i="117"/>
  <c r="AD42" i="126"/>
  <c r="AF42" i="126" s="1"/>
  <c r="P39" i="100"/>
  <c r="AD42" i="125"/>
  <c r="AF42" i="125" s="1"/>
  <c r="AH42" i="125" s="1"/>
  <c r="O39" i="100"/>
  <c r="AD42" i="115"/>
  <c r="AF42" i="115" s="1"/>
  <c r="I39" i="100"/>
  <c r="AC42" i="116"/>
  <c r="AD42" i="116" s="1"/>
  <c r="AF42" i="116" s="1"/>
  <c r="J39" i="100"/>
  <c r="AH42" i="115"/>
  <c r="AD42" i="131"/>
  <c r="AF42" i="131" s="1"/>
  <c r="AD42" i="120"/>
  <c r="AF42" i="120" s="1"/>
  <c r="AD42" i="118"/>
  <c r="AF42" i="118" s="1"/>
  <c r="J4" i="67"/>
  <c r="K4" i="67" s="1"/>
  <c r="L4" i="67" s="1"/>
  <c r="G75" i="76"/>
  <c r="G81" i="76" s="1"/>
  <c r="Q5" i="115"/>
  <c r="R5" i="115" s="1"/>
  <c r="S5" i="115" s="1"/>
  <c r="Q5" i="131"/>
  <c r="R5" i="131" s="1"/>
  <c r="S5" i="131" s="1"/>
  <c r="W5" i="125"/>
  <c r="X5" i="125" s="1"/>
  <c r="Y5" i="125" s="1"/>
  <c r="Z5" i="125" s="1"/>
  <c r="AA5" i="125" s="1"/>
  <c r="AB5" i="125" s="1"/>
  <c r="AC5" i="125" s="1"/>
  <c r="AD5" i="125" s="1"/>
  <c r="AE5" i="125" s="1"/>
  <c r="AF5" i="125" s="1"/>
  <c r="W5" i="126"/>
  <c r="X5" i="126" s="1"/>
  <c r="Y5" i="126" s="1"/>
  <c r="Z5" i="126" s="1"/>
  <c r="AA5" i="126" s="1"/>
  <c r="AB5" i="126" s="1"/>
  <c r="AC5" i="126" s="1"/>
  <c r="AD5" i="126" s="1"/>
  <c r="AE5" i="126" s="1"/>
  <c r="AF5" i="126" s="1"/>
  <c r="W5" i="120"/>
  <c r="X5" i="120" s="1"/>
  <c r="Y5" i="120" s="1"/>
  <c r="Z5" i="120" s="1"/>
  <c r="AA5" i="120" s="1"/>
  <c r="AB5" i="120" s="1"/>
  <c r="AC5" i="120" s="1"/>
  <c r="AD5" i="120" s="1"/>
  <c r="AE5" i="120" s="1"/>
  <c r="AF5" i="120" s="1"/>
  <c r="W5" i="118"/>
  <c r="X5" i="118" s="1"/>
  <c r="Y5" i="118" s="1"/>
  <c r="Z5" i="118" s="1"/>
  <c r="AA5" i="118" s="1"/>
  <c r="AB5" i="118" s="1"/>
  <c r="AC5" i="118" s="1"/>
  <c r="AD5" i="118" s="1"/>
  <c r="AE5" i="118" s="1"/>
  <c r="AF5" i="118" s="1"/>
  <c r="E71" i="81"/>
  <c r="H71" i="81" s="1"/>
  <c r="G50" i="33"/>
  <c r="AL39" i="72"/>
  <c r="AD42" i="129"/>
  <c r="AF42" i="129" s="1"/>
  <c r="G45" i="129"/>
  <c r="G76" i="129" s="1"/>
  <c r="G82" i="129" s="1"/>
  <c r="J76" i="129"/>
  <c r="J82" i="129" s="1"/>
  <c r="L5" i="129"/>
  <c r="M5" i="129" s="1"/>
  <c r="N5" i="129" s="1"/>
  <c r="O5" i="129" s="1"/>
  <c r="P5" i="129" s="1"/>
  <c r="H74" i="33"/>
  <c r="H20" i="33"/>
  <c r="H24" i="33"/>
  <c r="H60" i="33"/>
  <c r="AQ39" i="72"/>
  <c r="AV39" i="72"/>
  <c r="H10" i="33"/>
  <c r="G16" i="33"/>
  <c r="G58" i="33"/>
  <c r="G70" i="33"/>
  <c r="G34" i="33"/>
  <c r="G45" i="33"/>
  <c r="G12" i="46"/>
  <c r="G17" i="46" s="1"/>
  <c r="H18" i="33"/>
  <c r="O44" i="67"/>
  <c r="P44" i="67" s="1"/>
  <c r="K58" i="2"/>
  <c r="M70" i="2"/>
  <c r="N70" i="2" s="1"/>
  <c r="G23" i="128"/>
  <c r="G45" i="128"/>
  <c r="J77" i="114"/>
  <c r="J83" i="114" s="1"/>
  <c r="J76" i="119"/>
  <c r="J82" i="119" s="1"/>
  <c r="AC42" i="127"/>
  <c r="AU39" i="72" s="1"/>
  <c r="BH39" i="72"/>
  <c r="G45" i="127"/>
  <c r="G76" i="127" s="1"/>
  <c r="G82" i="127" s="1"/>
  <c r="J76" i="127"/>
  <c r="J82" i="127" s="1"/>
  <c r="J76" i="117"/>
  <c r="J82" i="117" s="1"/>
  <c r="J76" i="116"/>
  <c r="J82" i="116" s="1"/>
  <c r="G76" i="113"/>
  <c r="G82" i="113" s="1"/>
  <c r="J76" i="113"/>
  <c r="J82" i="113" s="1"/>
  <c r="E72" i="81"/>
  <c r="G72" i="81" s="1"/>
  <c r="AS39" i="72"/>
  <c r="H28" i="33"/>
  <c r="G22" i="33"/>
  <c r="G66" i="33"/>
  <c r="H42" i="33"/>
  <c r="G62" i="33"/>
  <c r="G15" i="81"/>
  <c r="K33" i="2"/>
  <c r="K57" i="2"/>
  <c r="K62" i="2"/>
  <c r="AR23" i="13"/>
  <c r="K61" i="2"/>
  <c r="O21" i="67"/>
  <c r="P21" i="67" s="1"/>
  <c r="K21" i="2"/>
  <c r="K55" i="2"/>
  <c r="M21" i="2"/>
  <c r="N21" i="2" s="1"/>
  <c r="L19" i="1"/>
  <c r="M19" i="1" s="1"/>
  <c r="N19" i="1" s="1"/>
  <c r="O19" i="1" s="1"/>
  <c r="K71" i="2"/>
  <c r="L58" i="1"/>
  <c r="M58" i="1" s="1"/>
  <c r="N58" i="1" s="1"/>
  <c r="O58" i="1" s="1"/>
  <c r="K27" i="2"/>
  <c r="O22" i="67"/>
  <c r="P22" i="67" s="1"/>
  <c r="AR37" i="13"/>
  <c r="AR11" i="13"/>
  <c r="K14" i="2"/>
  <c r="O73" i="67"/>
  <c r="P73" i="67" s="1"/>
  <c r="M73" i="2"/>
  <c r="N73" i="2" s="1"/>
  <c r="L71" i="1"/>
  <c r="M71" i="1" s="1"/>
  <c r="N71" i="1" s="1"/>
  <c r="O71" i="1" s="1"/>
  <c r="AR75" i="13"/>
  <c r="K73" i="2"/>
  <c r="AF42" i="114"/>
  <c r="AG41" i="80"/>
  <c r="J75" i="2"/>
  <c r="E46" i="81" s="1"/>
  <c r="H46" i="81" s="1"/>
  <c r="H44" i="33"/>
  <c r="H9" i="33"/>
  <c r="H57" i="33"/>
  <c r="G12" i="33"/>
  <c r="G54" i="33"/>
  <c r="H14" i="33"/>
  <c r="G73" i="33"/>
  <c r="G65" i="33"/>
  <c r="G17" i="33"/>
  <c r="AF42" i="119"/>
  <c r="AB72" i="31"/>
  <c r="G38" i="33"/>
  <c r="H56" i="33"/>
  <c r="G49" i="33"/>
  <c r="H33" i="33"/>
  <c r="H13" i="33"/>
  <c r="H61" i="33"/>
  <c r="G61" i="33"/>
  <c r="H69" i="33"/>
  <c r="G69" i="33"/>
  <c r="H53" i="33"/>
  <c r="G53" i="33"/>
  <c r="G46" i="33"/>
  <c r="H30" i="33"/>
  <c r="G29" i="33"/>
  <c r="H29" i="33"/>
  <c r="G37" i="33"/>
  <c r="H37" i="33"/>
  <c r="G41" i="33"/>
  <c r="G21" i="33"/>
  <c r="H21" i="33"/>
  <c r="G63" i="33"/>
  <c r="H63" i="33"/>
  <c r="G47" i="33"/>
  <c r="H47" i="33"/>
  <c r="G31" i="33"/>
  <c r="H31" i="33"/>
  <c r="G15" i="33"/>
  <c r="H15" i="33"/>
  <c r="G75" i="33"/>
  <c r="H75" i="33"/>
  <c r="G59" i="33"/>
  <c r="H59" i="33"/>
  <c r="G43" i="33"/>
  <c r="H43" i="33"/>
  <c r="H27" i="33"/>
  <c r="G27" i="33"/>
  <c r="G11" i="33"/>
  <c r="H11" i="33"/>
  <c r="H71" i="33"/>
  <c r="G71" i="33"/>
  <c r="G55" i="33"/>
  <c r="H55" i="33"/>
  <c r="G39" i="33"/>
  <c r="H39" i="33"/>
  <c r="G23" i="33"/>
  <c r="H23" i="33"/>
  <c r="H8" i="33"/>
  <c r="G8" i="33"/>
  <c r="H67" i="33"/>
  <c r="G67" i="33"/>
  <c r="H51" i="33"/>
  <c r="G51" i="33"/>
  <c r="H35" i="33"/>
  <c r="G35" i="33"/>
  <c r="H19" i="33"/>
  <c r="G19" i="33"/>
  <c r="G76" i="131"/>
  <c r="G82" i="131" s="1"/>
  <c r="H45" i="81"/>
  <c r="G45" i="81"/>
  <c r="I75" i="2"/>
  <c r="H21" i="81"/>
  <c r="C76" i="25" l="1"/>
  <c r="E33" i="81"/>
  <c r="AD77" i="13"/>
  <c r="F26" i="139"/>
  <c r="F23" i="166"/>
  <c r="G68" i="33"/>
  <c r="F64" i="33" s="1"/>
  <c r="H68" i="33"/>
  <c r="V5" i="131"/>
  <c r="T5" i="131"/>
  <c r="U5" i="131" s="1"/>
  <c r="V5" i="115"/>
  <c r="T5" i="115"/>
  <c r="U5" i="115" s="1"/>
  <c r="S5" i="31"/>
  <c r="T5" i="31" s="1"/>
  <c r="U5" i="31" s="1"/>
  <c r="V5" i="31" s="1"/>
  <c r="W5" i="31" s="1"/>
  <c r="X5" i="31" s="1"/>
  <c r="Y5" i="31" s="1"/>
  <c r="Z5" i="31" s="1"/>
  <c r="AA5" i="31" s="1"/>
  <c r="AB5" i="31" s="1"/>
  <c r="AC5" i="31" s="1"/>
  <c r="AD5" i="31" s="1"/>
  <c r="AE5" i="31" s="1"/>
  <c r="AF5" i="31" s="1"/>
  <c r="AG5" i="31" s="1"/>
  <c r="AH5" i="31" s="1"/>
  <c r="AI5" i="31" s="1"/>
  <c r="AJ5" i="31" s="1"/>
  <c r="AK5" i="31" s="1"/>
  <c r="AL5" i="31" s="1"/>
  <c r="AM5" i="31" s="1"/>
  <c r="AN5" i="31" s="1"/>
  <c r="AO5" i="31" s="1"/>
  <c r="AP5" i="31" s="1"/>
  <c r="AQ5" i="31" s="1"/>
  <c r="AR5" i="31" s="1"/>
  <c r="AN77" i="13"/>
  <c r="AL77" i="13"/>
  <c r="F19" i="166"/>
  <c r="H4" i="25"/>
  <c r="F26" i="166" s="1"/>
  <c r="H1" i="25"/>
  <c r="M4" i="67"/>
  <c r="N4" i="67" s="1"/>
  <c r="O4" i="67" s="1"/>
  <c r="P4" i="67" s="1"/>
  <c r="Q4" i="67" s="1"/>
  <c r="R4" i="67" s="1"/>
  <c r="S4" i="67" s="1"/>
  <c r="U5" i="76"/>
  <c r="V5" i="76" s="1"/>
  <c r="W5" i="76" s="1"/>
  <c r="X5" i="76" s="1"/>
  <c r="Y5" i="76" s="1"/>
  <c r="Z5" i="76" s="1"/>
  <c r="AA5" i="76" s="1"/>
  <c r="AB5" i="76" s="1"/>
  <c r="AC5" i="76" s="1"/>
  <c r="AD5" i="76" s="1"/>
  <c r="AE5" i="76" s="1"/>
  <c r="AF5" i="76" s="1"/>
  <c r="AG5" i="76" s="1"/>
  <c r="AH5" i="76" s="1"/>
  <c r="AI5" i="76" s="1"/>
  <c r="AJ5" i="76" s="1"/>
  <c r="AK5" i="76" s="1"/>
  <c r="AL5" i="76" s="1"/>
  <c r="H50" i="25"/>
  <c r="H13" i="166"/>
  <c r="G13" i="166"/>
  <c r="H10" i="166"/>
  <c r="G10" i="166"/>
  <c r="H12" i="166"/>
  <c r="G12" i="166"/>
  <c r="H11" i="166"/>
  <c r="G11" i="166"/>
  <c r="AF5" i="33"/>
  <c r="H22" i="81"/>
  <c r="AG5" i="118"/>
  <c r="AH5" i="118" s="1"/>
  <c r="AI5" i="118" s="1"/>
  <c r="AJ5" i="118" s="1"/>
  <c r="AK5" i="118" s="1"/>
  <c r="AG5" i="120"/>
  <c r="AH5" i="120" s="1"/>
  <c r="AI5" i="120" s="1"/>
  <c r="AJ5" i="120" s="1"/>
  <c r="AK5" i="120" s="1"/>
  <c r="AA2" i="72"/>
  <c r="AB2" i="72" s="1"/>
  <c r="AC2" i="72" s="1"/>
  <c r="AD2" i="72" s="1"/>
  <c r="AE2" i="72" s="1"/>
  <c r="G46" i="81"/>
  <c r="AG5" i="125"/>
  <c r="AH5" i="125" s="1"/>
  <c r="AI5" i="125" s="1"/>
  <c r="AJ5" i="125" s="1"/>
  <c r="AK5" i="125" s="1"/>
  <c r="AG5" i="126"/>
  <c r="AH5" i="126" s="1"/>
  <c r="AI5" i="126" s="1"/>
  <c r="AJ5" i="126" s="1"/>
  <c r="AK5" i="126" s="1"/>
  <c r="AN39" i="72"/>
  <c r="K63" i="2"/>
  <c r="M63" i="2"/>
  <c r="N63" i="2" s="1"/>
  <c r="L43" i="1"/>
  <c r="M43" i="1" s="1"/>
  <c r="N43" i="1" s="1"/>
  <c r="O43" i="1" s="1"/>
  <c r="P43" i="1" s="1"/>
  <c r="AR47" i="13"/>
  <c r="O63" i="67"/>
  <c r="P63" i="67" s="1"/>
  <c r="O45" i="67"/>
  <c r="P45" i="67" s="1"/>
  <c r="O57" i="67"/>
  <c r="P57" i="67" s="1"/>
  <c r="K70" i="2"/>
  <c r="G94" i="139"/>
  <c r="O58" i="67"/>
  <c r="P58" i="67" s="1"/>
  <c r="G101" i="139"/>
  <c r="AR65" i="13"/>
  <c r="K45" i="2"/>
  <c r="M45" i="2"/>
  <c r="N45" i="2" s="1"/>
  <c r="L61" i="1"/>
  <c r="M61" i="1" s="1"/>
  <c r="N61" i="1" s="1"/>
  <c r="O61" i="1" s="1"/>
  <c r="P61" i="1" s="1"/>
  <c r="G57" i="139"/>
  <c r="G76" i="128"/>
  <c r="G82" i="128" s="1"/>
  <c r="H57" i="139"/>
  <c r="G71" i="81"/>
  <c r="G102" i="139"/>
  <c r="F107" i="139"/>
  <c r="G107" i="139" s="1"/>
  <c r="G20" i="81"/>
  <c r="AO77" i="13"/>
  <c r="E28" i="81"/>
  <c r="F21" i="139"/>
  <c r="L21" i="139" s="1"/>
  <c r="P58" i="1"/>
  <c r="P71" i="1"/>
  <c r="P19" i="1"/>
  <c r="L55" i="1"/>
  <c r="M55" i="1" s="1"/>
  <c r="N55" i="1" s="1"/>
  <c r="O55" i="1" s="1"/>
  <c r="H23" i="81"/>
  <c r="H102" i="139"/>
  <c r="G58" i="139"/>
  <c r="H58" i="139"/>
  <c r="G13" i="81"/>
  <c r="H13" i="81"/>
  <c r="G14" i="139"/>
  <c r="H14" i="139"/>
  <c r="H15" i="139"/>
  <c r="G15" i="139"/>
  <c r="H13" i="139"/>
  <c r="G13" i="139"/>
  <c r="G11" i="139"/>
  <c r="H11" i="139"/>
  <c r="AI42" i="125"/>
  <c r="O39" i="72" s="1"/>
  <c r="AI42" i="115"/>
  <c r="I39" i="72" s="1"/>
  <c r="AM77" i="13"/>
  <c r="H44" i="25"/>
  <c r="G76" i="25"/>
  <c r="H28" i="25"/>
  <c r="H31" i="25"/>
  <c r="H14" i="25"/>
  <c r="H43" i="25"/>
  <c r="H58" i="25"/>
  <c r="H55" i="25"/>
  <c r="AR59" i="13"/>
  <c r="M57" i="2"/>
  <c r="N57" i="2" s="1"/>
  <c r="AD42" i="117"/>
  <c r="AF42" i="117" s="1"/>
  <c r="AO39" i="72"/>
  <c r="AI41" i="80"/>
  <c r="AH42" i="118"/>
  <c r="AH42" i="131"/>
  <c r="AH42" i="120"/>
  <c r="AH42" i="126"/>
  <c r="W5" i="115"/>
  <c r="X5" i="115" s="1"/>
  <c r="Y5" i="115" s="1"/>
  <c r="Z5" i="115" s="1"/>
  <c r="AA5" i="115" s="1"/>
  <c r="AB5" i="115" s="1"/>
  <c r="AC5" i="115" s="1"/>
  <c r="AD5" i="115" s="1"/>
  <c r="AE5" i="115" s="1"/>
  <c r="AF5" i="115" s="1"/>
  <c r="W5" i="131"/>
  <c r="X5" i="131" s="1"/>
  <c r="Y5" i="131" s="1"/>
  <c r="Z5" i="131" s="1"/>
  <c r="O70" i="67"/>
  <c r="P70" i="67" s="1"/>
  <c r="O62" i="67"/>
  <c r="P62" i="67" s="1"/>
  <c r="AH42" i="129"/>
  <c r="AI42" i="129" s="1"/>
  <c r="Q5" i="129"/>
  <c r="R5" i="129" s="1"/>
  <c r="S5" i="129" s="1"/>
  <c r="M33" i="2"/>
  <c r="N33" i="2" s="1"/>
  <c r="L31" i="1"/>
  <c r="M31" i="1" s="1"/>
  <c r="N31" i="1" s="1"/>
  <c r="O31" i="1" s="1"/>
  <c r="K44" i="2"/>
  <c r="M58" i="2"/>
  <c r="N58" i="2" s="1"/>
  <c r="AR72" i="13"/>
  <c r="L68" i="1"/>
  <c r="M68" i="1" s="1"/>
  <c r="N68" i="1" s="1"/>
  <c r="O68" i="1" s="1"/>
  <c r="AR46" i="13"/>
  <c r="M44" i="2"/>
  <c r="N44" i="2" s="1"/>
  <c r="AR60" i="13"/>
  <c r="L56" i="1"/>
  <c r="M56" i="1" s="1"/>
  <c r="N56" i="1" s="1"/>
  <c r="O56" i="1" s="1"/>
  <c r="L42" i="1"/>
  <c r="M42" i="1" s="1"/>
  <c r="N42" i="1" s="1"/>
  <c r="O42" i="1" s="1"/>
  <c r="L59" i="1"/>
  <c r="M59" i="1" s="1"/>
  <c r="N59" i="1" s="1"/>
  <c r="O59" i="1" s="1"/>
  <c r="AR64" i="13"/>
  <c r="L60" i="1"/>
  <c r="M60" i="1" s="1"/>
  <c r="N60" i="1" s="1"/>
  <c r="O60" i="1" s="1"/>
  <c r="M62" i="2"/>
  <c r="N62" i="2" s="1"/>
  <c r="J76" i="128"/>
  <c r="J82" i="128" s="1"/>
  <c r="AD42" i="127"/>
  <c r="AF42" i="127" s="1"/>
  <c r="AE41" i="76"/>
  <c r="AG41" i="76" s="1"/>
  <c r="H72" i="81"/>
  <c r="O33" i="67"/>
  <c r="P33" i="67" s="1"/>
  <c r="AR35" i="13"/>
  <c r="L33" i="1"/>
  <c r="M33" i="1" s="1"/>
  <c r="N33" i="1" s="1"/>
  <c r="O33" i="1" s="1"/>
  <c r="L9" i="1"/>
  <c r="M9" i="1" s="1"/>
  <c r="N9" i="1" s="1"/>
  <c r="O9" i="1" s="1"/>
  <c r="K11" i="2"/>
  <c r="L22" i="1"/>
  <c r="M22" i="1" s="1"/>
  <c r="N22" i="1" s="1"/>
  <c r="O22" i="1" s="1"/>
  <c r="O27" i="67"/>
  <c r="P27" i="67" s="1"/>
  <c r="O11" i="67"/>
  <c r="P11" i="67" s="1"/>
  <c r="O14" i="67"/>
  <c r="P14" i="67" s="1"/>
  <c r="K24" i="2"/>
  <c r="AR26" i="13"/>
  <c r="AR57" i="13"/>
  <c r="O24" i="67"/>
  <c r="P24" i="67" s="1"/>
  <c r="M24" i="2"/>
  <c r="N24" i="2" s="1"/>
  <c r="AR29" i="13"/>
  <c r="O55" i="67"/>
  <c r="P55" i="67" s="1"/>
  <c r="M27" i="2"/>
  <c r="N27" i="2" s="1"/>
  <c r="AR24" i="13"/>
  <c r="L20" i="1"/>
  <c r="M20" i="1" s="1"/>
  <c r="N20" i="1" s="1"/>
  <c r="O20" i="1" s="1"/>
  <c r="M55" i="2"/>
  <c r="N55" i="2" s="1"/>
  <c r="AR62" i="13"/>
  <c r="AR63" i="13"/>
  <c r="M61" i="2"/>
  <c r="N61" i="2" s="1"/>
  <c r="K60" i="2"/>
  <c r="M22" i="2"/>
  <c r="N22" i="2" s="1"/>
  <c r="L53" i="1"/>
  <c r="M53" i="1" s="1"/>
  <c r="N53" i="1" s="1"/>
  <c r="O53" i="1" s="1"/>
  <c r="O61" i="67"/>
  <c r="P61" i="67" s="1"/>
  <c r="AR73" i="13"/>
  <c r="L12" i="1"/>
  <c r="M12" i="1" s="1"/>
  <c r="N12" i="1" s="1"/>
  <c r="O12" i="1" s="1"/>
  <c r="M35" i="2"/>
  <c r="N35" i="2" s="1"/>
  <c r="O71" i="67"/>
  <c r="P71" i="67" s="1"/>
  <c r="M11" i="2"/>
  <c r="N11" i="2" s="1"/>
  <c r="M14" i="2"/>
  <c r="N14" i="2" s="1"/>
  <c r="AR16" i="13"/>
  <c r="L25" i="1"/>
  <c r="M25" i="1" s="1"/>
  <c r="N25" i="1" s="1"/>
  <c r="O25" i="1" s="1"/>
  <c r="L69" i="1"/>
  <c r="M69" i="1" s="1"/>
  <c r="N69" i="1" s="1"/>
  <c r="O69" i="1" s="1"/>
  <c r="M71" i="2"/>
  <c r="N71" i="2" s="1"/>
  <c r="AR13" i="13"/>
  <c r="M60" i="2"/>
  <c r="N60" i="2" s="1"/>
  <c r="O60" i="67"/>
  <c r="P60" i="67" s="1"/>
  <c r="O19" i="67"/>
  <c r="P19" i="67" s="1"/>
  <c r="M19" i="2"/>
  <c r="N19" i="2" s="1"/>
  <c r="K19" i="2"/>
  <c r="L17" i="1"/>
  <c r="M17" i="1" s="1"/>
  <c r="N17" i="1" s="1"/>
  <c r="O17" i="1" s="1"/>
  <c r="AR21" i="13"/>
  <c r="K35" i="2"/>
  <c r="O35" i="67"/>
  <c r="P35" i="67" s="1"/>
  <c r="L49" i="1"/>
  <c r="M49" i="1" s="1"/>
  <c r="N49" i="1" s="1"/>
  <c r="O49" i="1" s="1"/>
  <c r="O51" i="67"/>
  <c r="P51" i="67" s="1"/>
  <c r="M51" i="2"/>
  <c r="N51" i="2" s="1"/>
  <c r="K51" i="2"/>
  <c r="AR53" i="13"/>
  <c r="M9" i="2"/>
  <c r="N9" i="2" s="1"/>
  <c r="O9" i="67"/>
  <c r="P9" i="67" s="1"/>
  <c r="K9" i="2"/>
  <c r="L7" i="1"/>
  <c r="M7" i="1" s="1"/>
  <c r="N7" i="1" s="1"/>
  <c r="O7" i="1" s="1"/>
  <c r="M50" i="2"/>
  <c r="N50" i="2" s="1"/>
  <c r="AR52" i="13"/>
  <c r="L48" i="1"/>
  <c r="M48" i="1" s="1"/>
  <c r="N48" i="1" s="1"/>
  <c r="O48" i="1" s="1"/>
  <c r="O50" i="67"/>
  <c r="P50" i="67" s="1"/>
  <c r="L27" i="1"/>
  <c r="M27" i="1" s="1"/>
  <c r="N27" i="1" s="1"/>
  <c r="O27" i="1" s="1"/>
  <c r="M29" i="2"/>
  <c r="N29" i="2" s="1"/>
  <c r="O29" i="67"/>
  <c r="P29" i="67" s="1"/>
  <c r="AR31" i="13"/>
  <c r="O43" i="67"/>
  <c r="P43" i="67" s="1"/>
  <c r="L41" i="1"/>
  <c r="M41" i="1" s="1"/>
  <c r="N41" i="1" s="1"/>
  <c r="O41" i="1" s="1"/>
  <c r="AR45" i="13"/>
  <c r="M43" i="2"/>
  <c r="N43" i="2" s="1"/>
  <c r="L4" i="1"/>
  <c r="M4" i="1" s="1"/>
  <c r="N4" i="1" s="1"/>
  <c r="O4" i="1" s="1"/>
  <c r="AR8" i="13"/>
  <c r="K6" i="2"/>
  <c r="M6" i="2"/>
  <c r="N6" i="2" s="1"/>
  <c r="O6" i="67"/>
  <c r="P6" i="67" s="1"/>
  <c r="O37" i="67"/>
  <c r="P37" i="67" s="1"/>
  <c r="L35" i="1"/>
  <c r="M35" i="1" s="1"/>
  <c r="N35" i="1" s="1"/>
  <c r="O35" i="1" s="1"/>
  <c r="M37" i="2"/>
  <c r="N37" i="2" s="1"/>
  <c r="AR39" i="13"/>
  <c r="K37" i="2"/>
  <c r="O12" i="67"/>
  <c r="P12" i="67" s="1"/>
  <c r="K12" i="2"/>
  <c r="M12" i="2"/>
  <c r="N12" i="2" s="1"/>
  <c r="L10" i="1"/>
  <c r="M10" i="1" s="1"/>
  <c r="N10" i="1" s="1"/>
  <c r="O10" i="1" s="1"/>
  <c r="AR14" i="13"/>
  <c r="O15" i="67"/>
  <c r="P15" i="67" s="1"/>
  <c r="M15" i="2"/>
  <c r="N15" i="2" s="1"/>
  <c r="K15" i="2"/>
  <c r="AR17" i="13"/>
  <c r="L13" i="1"/>
  <c r="M13" i="1" s="1"/>
  <c r="N13" i="1" s="1"/>
  <c r="O13" i="1" s="1"/>
  <c r="O10" i="67"/>
  <c r="P10" i="67" s="1"/>
  <c r="L8" i="1"/>
  <c r="M8" i="1" s="1"/>
  <c r="N8" i="1" s="1"/>
  <c r="O8" i="1" s="1"/>
  <c r="AR12" i="13"/>
  <c r="M10" i="2"/>
  <c r="N10" i="2" s="1"/>
  <c r="K10" i="2"/>
  <c r="O41" i="67"/>
  <c r="P41" i="67" s="1"/>
  <c r="AR43" i="13"/>
  <c r="M41" i="2"/>
  <c r="N41" i="2" s="1"/>
  <c r="K41" i="2"/>
  <c r="L39" i="1"/>
  <c r="M39" i="1" s="1"/>
  <c r="N39" i="1" s="1"/>
  <c r="O39" i="1" s="1"/>
  <c r="O49" i="67"/>
  <c r="P49" i="67" s="1"/>
  <c r="K49" i="2"/>
  <c r="L47" i="1"/>
  <c r="M47" i="1" s="1"/>
  <c r="N47" i="1" s="1"/>
  <c r="O47" i="1" s="1"/>
  <c r="AR51" i="13"/>
  <c r="M49" i="2"/>
  <c r="N49" i="2" s="1"/>
  <c r="C73" i="1"/>
  <c r="L26" i="1"/>
  <c r="M26" i="1" s="1"/>
  <c r="N26" i="1" s="1"/>
  <c r="O26" i="1" s="1"/>
  <c r="O28" i="67"/>
  <c r="P28" i="67" s="1"/>
  <c r="M28" i="2"/>
  <c r="N28" i="2" s="1"/>
  <c r="K28" i="2"/>
  <c r="AR30" i="13"/>
  <c r="O32" i="67"/>
  <c r="P32" i="67" s="1"/>
  <c r="L30" i="1"/>
  <c r="M30" i="1" s="1"/>
  <c r="N30" i="1" s="1"/>
  <c r="O30" i="1" s="1"/>
  <c r="K32" i="2"/>
  <c r="AR34" i="13"/>
  <c r="M32" i="2"/>
  <c r="N32" i="2" s="1"/>
  <c r="K38" i="2"/>
  <c r="O38" i="67"/>
  <c r="P38" i="67" s="1"/>
  <c r="M38" i="2"/>
  <c r="N38" i="2" s="1"/>
  <c r="L36" i="1"/>
  <c r="M36" i="1" s="1"/>
  <c r="N36" i="1" s="1"/>
  <c r="O36" i="1" s="1"/>
  <c r="AR40" i="13"/>
  <c r="O68" i="67"/>
  <c r="P68" i="67" s="1"/>
  <c r="AR70" i="13"/>
  <c r="L66" i="1"/>
  <c r="M66" i="1" s="1"/>
  <c r="N66" i="1" s="1"/>
  <c r="O66" i="1" s="1"/>
  <c r="M68" i="2"/>
  <c r="N68" i="2" s="1"/>
  <c r="L51" i="1"/>
  <c r="M51" i="1" s="1"/>
  <c r="N51" i="1" s="1"/>
  <c r="O51" i="1" s="1"/>
  <c r="O53" i="67"/>
  <c r="P53" i="67" s="1"/>
  <c r="AR55" i="13"/>
  <c r="M53" i="2"/>
  <c r="N53" i="2" s="1"/>
  <c r="K53" i="2"/>
  <c r="O36" i="67"/>
  <c r="P36" i="67" s="1"/>
  <c r="M36" i="2"/>
  <c r="N36" i="2" s="1"/>
  <c r="L34" i="1"/>
  <c r="M34" i="1" s="1"/>
  <c r="N34" i="1" s="1"/>
  <c r="O34" i="1" s="1"/>
  <c r="AR38" i="13"/>
  <c r="K36" i="2"/>
  <c r="O74" i="67"/>
  <c r="P74" i="67" s="1"/>
  <c r="L72" i="1"/>
  <c r="M72" i="1" s="1"/>
  <c r="N72" i="1" s="1"/>
  <c r="O72" i="1" s="1"/>
  <c r="AR76" i="13"/>
  <c r="M74" i="2"/>
  <c r="N74" i="2" s="1"/>
  <c r="K74" i="2"/>
  <c r="O42" i="67"/>
  <c r="P42" i="67" s="1"/>
  <c r="L40" i="1"/>
  <c r="M40" i="1" s="1"/>
  <c r="N40" i="1" s="1"/>
  <c r="O40" i="1" s="1"/>
  <c r="M42" i="2"/>
  <c r="N42" i="2" s="1"/>
  <c r="AR44" i="13"/>
  <c r="K42" i="2"/>
  <c r="M39" i="2"/>
  <c r="N39" i="2" s="1"/>
  <c r="O39" i="67"/>
  <c r="P39" i="67" s="1"/>
  <c r="K39" i="2"/>
  <c r="L37" i="1"/>
  <c r="M37" i="1" s="1"/>
  <c r="N37" i="1" s="1"/>
  <c r="O37" i="1" s="1"/>
  <c r="AR41" i="13"/>
  <c r="M25" i="2"/>
  <c r="N25" i="2" s="1"/>
  <c r="L23" i="1"/>
  <c r="M23" i="1" s="1"/>
  <c r="N23" i="1" s="1"/>
  <c r="O23" i="1" s="1"/>
  <c r="AR27" i="13"/>
  <c r="O25" i="67"/>
  <c r="P25" i="67" s="1"/>
  <c r="K8" i="2"/>
  <c r="O8" i="67"/>
  <c r="P8" i="67" s="1"/>
  <c r="L6" i="1"/>
  <c r="M6" i="1" s="1"/>
  <c r="N6" i="1" s="1"/>
  <c r="O6" i="1" s="1"/>
  <c r="M8" i="2"/>
  <c r="N8" i="2" s="1"/>
  <c r="AR10" i="13"/>
  <c r="L64" i="1"/>
  <c r="M64" i="1" s="1"/>
  <c r="N64" i="1" s="1"/>
  <c r="O64" i="1" s="1"/>
  <c r="O66" i="67"/>
  <c r="P66" i="67" s="1"/>
  <c r="AR68" i="13"/>
  <c r="M66" i="2"/>
  <c r="N66" i="2" s="1"/>
  <c r="K66" i="2"/>
  <c r="M46" i="2"/>
  <c r="N46" i="2" s="1"/>
  <c r="O46" i="67"/>
  <c r="P46" i="67" s="1"/>
  <c r="L44" i="1"/>
  <c r="M44" i="1" s="1"/>
  <c r="N44" i="1" s="1"/>
  <c r="O44" i="1" s="1"/>
  <c r="AR48" i="13"/>
  <c r="K46" i="2"/>
  <c r="L28" i="1"/>
  <c r="M28" i="1" s="1"/>
  <c r="N28" i="1" s="1"/>
  <c r="O28" i="1" s="1"/>
  <c r="M30" i="2"/>
  <c r="N30" i="2" s="1"/>
  <c r="O30" i="67"/>
  <c r="P30" i="67" s="1"/>
  <c r="AR32" i="13"/>
  <c r="K30" i="2"/>
  <c r="L11" i="1"/>
  <c r="M11" i="1" s="1"/>
  <c r="N11" i="1" s="1"/>
  <c r="O11" i="1" s="1"/>
  <c r="M13" i="2"/>
  <c r="N13" i="2" s="1"/>
  <c r="O13" i="67"/>
  <c r="P13" i="67" s="1"/>
  <c r="AR15" i="13"/>
  <c r="K13" i="2"/>
  <c r="M64" i="2"/>
  <c r="N64" i="2" s="1"/>
  <c r="K64" i="2"/>
  <c r="L62" i="1"/>
  <c r="M62" i="1" s="1"/>
  <c r="N62" i="1" s="1"/>
  <c r="O62" i="1" s="1"/>
  <c r="O64" i="67"/>
  <c r="P64" i="67" s="1"/>
  <c r="AR66" i="13"/>
  <c r="M52" i="2"/>
  <c r="N52" i="2" s="1"/>
  <c r="O52" i="67"/>
  <c r="P52" i="67" s="1"/>
  <c r="L50" i="1"/>
  <c r="M50" i="1" s="1"/>
  <c r="N50" i="1" s="1"/>
  <c r="O50" i="1" s="1"/>
  <c r="AR54" i="13"/>
  <c r="O26" i="67"/>
  <c r="P26" i="67" s="1"/>
  <c r="L24" i="1"/>
  <c r="M24" i="1" s="1"/>
  <c r="N24" i="1" s="1"/>
  <c r="O24" i="1" s="1"/>
  <c r="M26" i="2"/>
  <c r="N26" i="2" s="1"/>
  <c r="AR28" i="13"/>
  <c r="K26" i="2"/>
  <c r="M56" i="2"/>
  <c r="N56" i="2" s="1"/>
  <c r="L54" i="1"/>
  <c r="M54" i="1" s="1"/>
  <c r="N54" i="1" s="1"/>
  <c r="O54" i="1" s="1"/>
  <c r="O56" i="67"/>
  <c r="P56" i="67" s="1"/>
  <c r="AR58" i="13"/>
  <c r="K56" i="2"/>
  <c r="M7" i="2"/>
  <c r="N7" i="2" s="1"/>
  <c r="O7" i="67"/>
  <c r="P7" i="67" s="1"/>
  <c r="L5" i="1"/>
  <c r="M5" i="1" s="1"/>
  <c r="N5" i="1" s="1"/>
  <c r="O5" i="1" s="1"/>
  <c r="AR9" i="13"/>
  <c r="K7" i="2"/>
  <c r="L32" i="1"/>
  <c r="M32" i="1" s="1"/>
  <c r="N32" i="1" s="1"/>
  <c r="O32" i="1" s="1"/>
  <c r="M34" i="2"/>
  <c r="N34" i="2" s="1"/>
  <c r="AR36" i="13"/>
  <c r="O34" i="67"/>
  <c r="P34" i="67" s="1"/>
  <c r="K34" i="2"/>
  <c r="M20" i="2"/>
  <c r="N20" i="2" s="1"/>
  <c r="L18" i="1"/>
  <c r="M18" i="1" s="1"/>
  <c r="N18" i="1" s="1"/>
  <c r="O18" i="1" s="1"/>
  <c r="AR22" i="13"/>
  <c r="O20" i="67"/>
  <c r="P20" i="67" s="1"/>
  <c r="M54" i="2"/>
  <c r="N54" i="2" s="1"/>
  <c r="L52" i="1"/>
  <c r="M52" i="1" s="1"/>
  <c r="N52" i="1" s="1"/>
  <c r="O52" i="1" s="1"/>
  <c r="O54" i="67"/>
  <c r="P54" i="67" s="1"/>
  <c r="AR56" i="13"/>
  <c r="K54" i="2"/>
  <c r="M72" i="2"/>
  <c r="N72" i="2" s="1"/>
  <c r="O72" i="67"/>
  <c r="P72" i="67" s="1"/>
  <c r="K72" i="2"/>
  <c r="AR74" i="13"/>
  <c r="L70" i="1"/>
  <c r="M70" i="1" s="1"/>
  <c r="N70" i="1" s="1"/>
  <c r="O70" i="1" s="1"/>
  <c r="L38" i="1"/>
  <c r="M38" i="1" s="1"/>
  <c r="N38" i="1" s="1"/>
  <c r="O38" i="1" s="1"/>
  <c r="O40" i="67"/>
  <c r="P40" i="67" s="1"/>
  <c r="AR42" i="13"/>
  <c r="M40" i="2"/>
  <c r="N40" i="2" s="1"/>
  <c r="K40" i="2"/>
  <c r="K17" i="2"/>
  <c r="AR19" i="13"/>
  <c r="L15" i="1"/>
  <c r="M15" i="1" s="1"/>
  <c r="N15" i="1" s="1"/>
  <c r="O15" i="1" s="1"/>
  <c r="M17" i="2"/>
  <c r="N17" i="2" s="1"/>
  <c r="O17" i="67"/>
  <c r="P17" i="67" s="1"/>
  <c r="L21" i="1"/>
  <c r="M21" i="1" s="1"/>
  <c r="N21" i="1" s="1"/>
  <c r="O21" i="1" s="1"/>
  <c r="K23" i="2"/>
  <c r="AR25" i="13"/>
  <c r="O23" i="67"/>
  <c r="P23" i="67" s="1"/>
  <c r="M23" i="2"/>
  <c r="N23" i="2" s="1"/>
  <c r="M67" i="2"/>
  <c r="N67" i="2" s="1"/>
  <c r="O67" i="67"/>
  <c r="P67" i="67" s="1"/>
  <c r="L65" i="1"/>
  <c r="M65" i="1" s="1"/>
  <c r="N65" i="1" s="1"/>
  <c r="O65" i="1" s="1"/>
  <c r="AR69" i="13"/>
  <c r="K67" i="2"/>
  <c r="M65" i="2"/>
  <c r="N65" i="2" s="1"/>
  <c r="O65" i="67"/>
  <c r="P65" i="67" s="1"/>
  <c r="L63" i="1"/>
  <c r="M63" i="1" s="1"/>
  <c r="N63" i="1" s="1"/>
  <c r="O63" i="1" s="1"/>
  <c r="AR67" i="13"/>
  <c r="K65" i="2"/>
  <c r="M59" i="2"/>
  <c r="N59" i="2" s="1"/>
  <c r="O59" i="67"/>
  <c r="P59" i="67" s="1"/>
  <c r="L57" i="1"/>
  <c r="M57" i="1" s="1"/>
  <c r="N57" i="1" s="1"/>
  <c r="O57" i="1" s="1"/>
  <c r="AR61" i="13"/>
  <c r="K59" i="2"/>
  <c r="L67" i="1"/>
  <c r="M67" i="1" s="1"/>
  <c r="N67" i="1" s="1"/>
  <c r="O67" i="1" s="1"/>
  <c r="K69" i="2"/>
  <c r="AR71" i="13"/>
  <c r="O69" i="67"/>
  <c r="P69" i="67" s="1"/>
  <c r="M69" i="2"/>
  <c r="N69" i="2" s="1"/>
  <c r="L46" i="1"/>
  <c r="M46" i="1" s="1"/>
  <c r="N46" i="1" s="1"/>
  <c r="O46" i="1" s="1"/>
  <c r="M48" i="2"/>
  <c r="N48" i="2" s="1"/>
  <c r="AR50" i="13"/>
  <c r="K48" i="2"/>
  <c r="O48" i="67"/>
  <c r="P48" i="67" s="1"/>
  <c r="O16" i="67"/>
  <c r="P16" i="67" s="1"/>
  <c r="L14" i="1"/>
  <c r="M14" i="1" s="1"/>
  <c r="N14" i="1" s="1"/>
  <c r="O14" i="1" s="1"/>
  <c r="M16" i="2"/>
  <c r="N16" i="2" s="1"/>
  <c r="K16" i="2"/>
  <c r="AR18" i="13"/>
  <c r="M18" i="2"/>
  <c r="N18" i="2" s="1"/>
  <c r="AR20" i="13"/>
  <c r="K18" i="2"/>
  <c r="O18" i="67"/>
  <c r="P18" i="67" s="1"/>
  <c r="L16" i="1"/>
  <c r="M16" i="1" s="1"/>
  <c r="N16" i="1" s="1"/>
  <c r="O16" i="1" s="1"/>
  <c r="O47" i="67"/>
  <c r="P47" i="67" s="1"/>
  <c r="L45" i="1"/>
  <c r="M45" i="1" s="1"/>
  <c r="N45" i="1" s="1"/>
  <c r="O45" i="1" s="1"/>
  <c r="M47" i="2"/>
  <c r="N47" i="2" s="1"/>
  <c r="AR49" i="13"/>
  <c r="K47" i="2"/>
  <c r="O31" i="67"/>
  <c r="P31" i="67" s="1"/>
  <c r="AR33" i="13"/>
  <c r="L29" i="1"/>
  <c r="M29" i="1" s="1"/>
  <c r="N29" i="1" s="1"/>
  <c r="O29" i="1" s="1"/>
  <c r="M31" i="2"/>
  <c r="N31" i="2" s="1"/>
  <c r="G74" i="31"/>
  <c r="L26" i="139" l="1"/>
  <c r="H26" i="139"/>
  <c r="G26" i="139"/>
  <c r="H33" i="81"/>
  <c r="G33" i="81"/>
  <c r="G23" i="166"/>
  <c r="H23" i="166"/>
  <c r="E4" i="25"/>
  <c r="E1" i="25"/>
  <c r="H59" i="25"/>
  <c r="H32" i="25"/>
  <c r="H9" i="25"/>
  <c r="H15" i="25"/>
  <c r="H67" i="25"/>
  <c r="H45" i="25"/>
  <c r="H8" i="25"/>
  <c r="H74" i="25"/>
  <c r="H29" i="25"/>
  <c r="H30" i="25"/>
  <c r="H61" i="25"/>
  <c r="H39" i="25"/>
  <c r="H73" i="25"/>
  <c r="H70" i="25"/>
  <c r="H66" i="25"/>
  <c r="H18" i="25"/>
  <c r="H16" i="25"/>
  <c r="H24" i="25"/>
  <c r="H42" i="25"/>
  <c r="H27" i="25"/>
  <c r="H17" i="25"/>
  <c r="H36" i="25"/>
  <c r="H25" i="25"/>
  <c r="H56" i="25"/>
  <c r="H19" i="25"/>
  <c r="F52" i="33"/>
  <c r="G64" i="33"/>
  <c r="H64" i="33"/>
  <c r="V5" i="129"/>
  <c r="W5" i="129" s="1"/>
  <c r="X5" i="129" s="1"/>
  <c r="T5" i="129"/>
  <c r="U5" i="129" s="1"/>
  <c r="H75" i="25"/>
  <c r="H10" i="25"/>
  <c r="H63" i="25"/>
  <c r="H23" i="25"/>
  <c r="H47" i="25"/>
  <c r="H65" i="25"/>
  <c r="H72" i="25"/>
  <c r="H34" i="25"/>
  <c r="H69" i="25"/>
  <c r="H12" i="25"/>
  <c r="H21" i="25"/>
  <c r="H60" i="25"/>
  <c r="H51" i="25"/>
  <c r="H7" i="25"/>
  <c r="H26" i="25"/>
  <c r="H52" i="25"/>
  <c r="H46" i="25"/>
  <c r="H35" i="25"/>
  <c r="H49" i="25"/>
  <c r="H38" i="25"/>
  <c r="H57" i="25"/>
  <c r="H20" i="25"/>
  <c r="H71" i="25"/>
  <c r="H64" i="25"/>
  <c r="H13" i="25"/>
  <c r="H11" i="25"/>
  <c r="H41" i="25"/>
  <c r="H62" i="25"/>
  <c r="H37" i="25"/>
  <c r="H33" i="25"/>
  <c r="H53" i="25"/>
  <c r="H54" i="25"/>
  <c r="H48" i="25"/>
  <c r="H68" i="25"/>
  <c r="H22" i="25"/>
  <c r="H40" i="25"/>
  <c r="F25" i="166"/>
  <c r="H19" i="166"/>
  <c r="G19" i="166"/>
  <c r="AJ5" i="33"/>
  <c r="AK5" i="33" s="1"/>
  <c r="AL5" i="33" s="1"/>
  <c r="AM5" i="33" s="1"/>
  <c r="AN5" i="33" s="1"/>
  <c r="AO5" i="33" s="1"/>
  <c r="AP5" i="33" s="1"/>
  <c r="AG5" i="33"/>
  <c r="AH5" i="33" s="1"/>
  <c r="AI5" i="33" s="1"/>
  <c r="F9" i="166"/>
  <c r="H26" i="166"/>
  <c r="G26" i="166"/>
  <c r="AF2" i="72"/>
  <c r="AG2" i="72" s="1"/>
  <c r="AH2" i="72" s="1"/>
  <c r="AI2" i="72" s="1"/>
  <c r="AJ2" i="72" s="1"/>
  <c r="AK2" i="72" s="1"/>
  <c r="AL2" i="72" s="1"/>
  <c r="AM2" i="72" s="1"/>
  <c r="AN2" i="72" s="1"/>
  <c r="AO2" i="72" s="1"/>
  <c r="AP2" i="72" s="1"/>
  <c r="AQ2" i="72" s="1"/>
  <c r="AR2" i="72" s="1"/>
  <c r="AS2" i="72" s="1"/>
  <c r="AT2" i="72" s="1"/>
  <c r="AU2" i="72" s="1"/>
  <c r="AV2" i="72" s="1"/>
  <c r="AW2" i="72" s="1"/>
  <c r="AX2" i="72" s="1"/>
  <c r="D41" i="2"/>
  <c r="D75" i="2" s="1"/>
  <c r="AG5" i="115"/>
  <c r="AH5" i="115" s="1"/>
  <c r="AI5" i="115" s="1"/>
  <c r="AJ5" i="115" s="1"/>
  <c r="AK5" i="115" s="1"/>
  <c r="Y5" i="129"/>
  <c r="Z5" i="129" s="1"/>
  <c r="AA5" i="129" s="1"/>
  <c r="AB5" i="129" s="1"/>
  <c r="AC5" i="129" s="1"/>
  <c r="AD5" i="129" s="1"/>
  <c r="AE5" i="129" s="1"/>
  <c r="AF5" i="129" s="1"/>
  <c r="AG5" i="129" s="1"/>
  <c r="AH5" i="129" s="1"/>
  <c r="AI5" i="129" s="1"/>
  <c r="AJ5" i="129" s="1"/>
  <c r="AK5" i="129" s="1"/>
  <c r="H107" i="139"/>
  <c r="E30" i="81"/>
  <c r="F23" i="139"/>
  <c r="L23" i="139" s="1"/>
  <c r="G21" i="139"/>
  <c r="H21" i="139"/>
  <c r="G28" i="81"/>
  <c r="H28" i="81"/>
  <c r="R71" i="1"/>
  <c r="AB71" i="1" s="1"/>
  <c r="R58" i="1"/>
  <c r="AB58" i="1" s="1"/>
  <c r="R19" i="1"/>
  <c r="R43" i="1"/>
  <c r="R61" i="1"/>
  <c r="AB61" i="1" s="1"/>
  <c r="P45" i="1"/>
  <c r="P29" i="1"/>
  <c r="P16" i="1"/>
  <c r="P14" i="1"/>
  <c r="P67" i="1"/>
  <c r="P21" i="1"/>
  <c r="P15" i="1"/>
  <c r="P52" i="1"/>
  <c r="P18" i="1"/>
  <c r="P50" i="1"/>
  <c r="P11" i="1"/>
  <c r="P28" i="1"/>
  <c r="P44" i="1"/>
  <c r="P40" i="1"/>
  <c r="P72" i="1"/>
  <c r="P26" i="1"/>
  <c r="P4" i="1"/>
  <c r="P48" i="1"/>
  <c r="P69" i="1"/>
  <c r="P53" i="1"/>
  <c r="P20" i="1"/>
  <c r="P9" i="1"/>
  <c r="P60" i="1"/>
  <c r="P59" i="1"/>
  <c r="P56" i="1"/>
  <c r="P46" i="1"/>
  <c r="P57" i="1"/>
  <c r="P63" i="1"/>
  <c r="P65" i="1"/>
  <c r="P38" i="1"/>
  <c r="P70" i="1"/>
  <c r="P32" i="1"/>
  <c r="P5" i="1"/>
  <c r="P54" i="1"/>
  <c r="P24" i="1"/>
  <c r="P62" i="1"/>
  <c r="P64" i="1"/>
  <c r="P6" i="1"/>
  <c r="P23" i="1"/>
  <c r="P37" i="1"/>
  <c r="P34" i="1"/>
  <c r="P51" i="1"/>
  <c r="P66" i="1"/>
  <c r="P36" i="1"/>
  <c r="P30" i="1"/>
  <c r="P47" i="1"/>
  <c r="P39" i="1"/>
  <c r="P8" i="1"/>
  <c r="P13" i="1"/>
  <c r="P10" i="1"/>
  <c r="P35" i="1"/>
  <c r="P41" i="1"/>
  <c r="P27" i="1"/>
  <c r="P7" i="1"/>
  <c r="P49" i="1"/>
  <c r="P17" i="1"/>
  <c r="P25" i="1"/>
  <c r="P22" i="1"/>
  <c r="P33" i="1"/>
  <c r="P42" i="1"/>
  <c r="P68" i="1"/>
  <c r="P31" i="1"/>
  <c r="P55" i="1"/>
  <c r="E12" i="81"/>
  <c r="G12" i="81" s="1"/>
  <c r="F10" i="139"/>
  <c r="AI42" i="126"/>
  <c r="P39" i="72" s="1"/>
  <c r="AJ41" i="80"/>
  <c r="AE39" i="72" s="1"/>
  <c r="AI42" i="120"/>
  <c r="N39" i="72" s="1"/>
  <c r="AI42" i="131"/>
  <c r="T39" i="72" s="1"/>
  <c r="AI42" i="118"/>
  <c r="L39" i="72" s="1"/>
  <c r="S39" i="72"/>
  <c r="T4" i="67"/>
  <c r="AA5" i="131"/>
  <c r="AB5" i="131" s="1"/>
  <c r="AC5" i="131" s="1"/>
  <c r="AD5" i="131" s="1"/>
  <c r="AE5" i="131" s="1"/>
  <c r="AF5" i="131" s="1"/>
  <c r="AR77" i="13"/>
  <c r="K75" i="2"/>
  <c r="L4" i="2" s="1"/>
  <c r="L64" i="2" s="1"/>
  <c r="L73" i="1"/>
  <c r="N75" i="2"/>
  <c r="O75" i="67"/>
  <c r="O81" i="67" s="1"/>
  <c r="P75" i="67"/>
  <c r="P81" i="67" s="1"/>
  <c r="M75" i="2"/>
  <c r="N73" i="1"/>
  <c r="F22" i="166" l="1"/>
  <c r="E22" i="25"/>
  <c r="J22" i="25" s="1"/>
  <c r="S19" i="1" s="1"/>
  <c r="T19" i="1" s="1"/>
  <c r="E25" i="25"/>
  <c r="J25" i="25" s="1"/>
  <c r="S22" i="1" s="1"/>
  <c r="E9" i="25"/>
  <c r="J9" i="25" s="1"/>
  <c r="S6" i="1" s="1"/>
  <c r="E19" i="25"/>
  <c r="J19" i="25" s="1"/>
  <c r="S16" i="1" s="1"/>
  <c r="E64" i="25"/>
  <c r="E47" i="25"/>
  <c r="J47" i="25" s="1"/>
  <c r="S44" i="1" s="1"/>
  <c r="E15" i="25"/>
  <c r="E34" i="25"/>
  <c r="E70" i="25"/>
  <c r="E29" i="25"/>
  <c r="J29" i="25" s="1"/>
  <c r="S26" i="1" s="1"/>
  <c r="E13" i="25"/>
  <c r="J13" i="25" s="1"/>
  <c r="S10" i="1" s="1"/>
  <c r="E65" i="25"/>
  <c r="E63" i="25"/>
  <c r="J63" i="25" s="1"/>
  <c r="S60" i="1" s="1"/>
  <c r="E45" i="25"/>
  <c r="E38" i="25"/>
  <c r="E35" i="25"/>
  <c r="E66" i="25"/>
  <c r="J66" i="25" s="1"/>
  <c r="S63" i="1" s="1"/>
  <c r="E41" i="25"/>
  <c r="J41" i="25" s="1"/>
  <c r="S38" i="1" s="1"/>
  <c r="E73" i="25"/>
  <c r="J73" i="25" s="1"/>
  <c r="S70" i="1" s="1"/>
  <c r="E68" i="25"/>
  <c r="E53" i="25"/>
  <c r="J53" i="25" s="1"/>
  <c r="S50" i="1" s="1"/>
  <c r="E28" i="25"/>
  <c r="J28" i="25" s="1"/>
  <c r="S25" i="1" s="1"/>
  <c r="E12" i="25"/>
  <c r="E31" i="25"/>
  <c r="J31" i="25" s="1"/>
  <c r="S28" i="1" s="1"/>
  <c r="E30" i="25"/>
  <c r="E62" i="25"/>
  <c r="E74" i="25"/>
  <c r="E72" i="25"/>
  <c r="J72" i="25" s="1"/>
  <c r="S69" i="1" s="1"/>
  <c r="E57" i="25"/>
  <c r="J57" i="25" s="1"/>
  <c r="S54" i="1" s="1"/>
  <c r="E52" i="25"/>
  <c r="E24" i="25"/>
  <c r="E8" i="25"/>
  <c r="J8" i="25" s="1"/>
  <c r="E33" i="25"/>
  <c r="E14" i="25"/>
  <c r="J14" i="25" s="1"/>
  <c r="S11" i="1" s="1"/>
  <c r="E42" i="25"/>
  <c r="J42" i="25" s="1"/>
  <c r="S39" i="1" s="1"/>
  <c r="E17" i="25"/>
  <c r="J17" i="25" s="1"/>
  <c r="S14" i="1" s="1"/>
  <c r="E49" i="25"/>
  <c r="J49" i="25" s="1"/>
  <c r="S46" i="1" s="1"/>
  <c r="E67" i="25"/>
  <c r="J67" i="25" s="1"/>
  <c r="S64" i="1" s="1"/>
  <c r="E61" i="25"/>
  <c r="J61" i="25" s="1"/>
  <c r="S58" i="1" s="1"/>
  <c r="T58" i="1" s="1"/>
  <c r="E44" i="25"/>
  <c r="J44" i="25" s="1"/>
  <c r="S41" i="1" s="1"/>
  <c r="E27" i="25"/>
  <c r="E54" i="25"/>
  <c r="E50" i="25"/>
  <c r="J50" i="25" s="1"/>
  <c r="S47" i="1" s="1"/>
  <c r="E21" i="25"/>
  <c r="J21" i="25" s="1"/>
  <c r="S18" i="1" s="1"/>
  <c r="E40" i="25"/>
  <c r="E59" i="25"/>
  <c r="J59" i="25" s="1"/>
  <c r="S56" i="1" s="1"/>
  <c r="E48" i="25"/>
  <c r="J48" i="25" s="1"/>
  <c r="S45" i="1" s="1"/>
  <c r="E43" i="25"/>
  <c r="J43" i="25" s="1"/>
  <c r="S40" i="1" s="1"/>
  <c r="E46" i="25"/>
  <c r="J46" i="25" s="1"/>
  <c r="S43" i="1" s="1"/>
  <c r="T43" i="1" s="1"/>
  <c r="E26" i="25"/>
  <c r="J26" i="25" s="1"/>
  <c r="S23" i="1" s="1"/>
  <c r="E75" i="25"/>
  <c r="J75" i="25" s="1"/>
  <c r="S72" i="1" s="1"/>
  <c r="E36" i="25"/>
  <c r="E71" i="25"/>
  <c r="J71" i="25" s="1"/>
  <c r="S68" i="1" s="1"/>
  <c r="E56" i="25"/>
  <c r="E51" i="25"/>
  <c r="J51" i="25" s="1"/>
  <c r="S48" i="1" s="1"/>
  <c r="E20" i="25"/>
  <c r="E11" i="25"/>
  <c r="E37" i="25"/>
  <c r="J37" i="25" s="1"/>
  <c r="S34" i="1" s="1"/>
  <c r="E18" i="25"/>
  <c r="E58" i="25"/>
  <c r="J58" i="25" s="1"/>
  <c r="S55" i="1" s="1"/>
  <c r="E60" i="25"/>
  <c r="E69" i="25"/>
  <c r="J69" i="25" s="1"/>
  <c r="S66" i="1" s="1"/>
  <c r="E55" i="25"/>
  <c r="J55" i="25" s="1"/>
  <c r="S52" i="1" s="1"/>
  <c r="E32" i="25"/>
  <c r="E16" i="25"/>
  <c r="J16" i="25" s="1"/>
  <c r="S13" i="1" s="1"/>
  <c r="E23" i="25"/>
  <c r="E39" i="25"/>
  <c r="J39" i="25" s="1"/>
  <c r="S36" i="1" s="1"/>
  <c r="E7" i="25"/>
  <c r="J7" i="25" s="1"/>
  <c r="E10" i="25"/>
  <c r="E76" i="25" s="1"/>
  <c r="J40" i="25"/>
  <c r="S37" i="1" s="1"/>
  <c r="J68" i="25"/>
  <c r="S65" i="1" s="1"/>
  <c r="J54" i="25"/>
  <c r="S51" i="1" s="1"/>
  <c r="J33" i="25"/>
  <c r="S30" i="1" s="1"/>
  <c r="J62" i="25"/>
  <c r="S59" i="1" s="1"/>
  <c r="J11" i="25"/>
  <c r="S8" i="1" s="1"/>
  <c r="J64" i="25"/>
  <c r="S61" i="1" s="1"/>
  <c r="J20" i="25"/>
  <c r="S17" i="1" s="1"/>
  <c r="J38" i="25"/>
  <c r="S35" i="1" s="1"/>
  <c r="J35" i="25"/>
  <c r="S32" i="1" s="1"/>
  <c r="J52" i="25"/>
  <c r="S49" i="1" s="1"/>
  <c r="J60" i="25"/>
  <c r="S57" i="1" s="1"/>
  <c r="J12" i="25"/>
  <c r="S9" i="1" s="1"/>
  <c r="J34" i="25"/>
  <c r="S31" i="1" s="1"/>
  <c r="J65" i="25"/>
  <c r="S62" i="1" s="1"/>
  <c r="J23" i="25"/>
  <c r="S20" i="1" s="1"/>
  <c r="J56" i="25"/>
  <c r="S53" i="1" s="1"/>
  <c r="J36" i="25"/>
  <c r="S33" i="1" s="1"/>
  <c r="J27" i="25"/>
  <c r="S24" i="1" s="1"/>
  <c r="J24" i="25"/>
  <c r="S21" i="1" s="1"/>
  <c r="J18" i="25"/>
  <c r="S15" i="1" s="1"/>
  <c r="J70" i="25"/>
  <c r="S67" i="1" s="1"/>
  <c r="J30" i="25"/>
  <c r="S27" i="1" s="1"/>
  <c r="J74" i="25"/>
  <c r="S71" i="1" s="1"/>
  <c r="J45" i="25"/>
  <c r="S42" i="1" s="1"/>
  <c r="J15" i="25"/>
  <c r="S12" i="1" s="1"/>
  <c r="J32" i="25"/>
  <c r="S29" i="1" s="1"/>
  <c r="H76" i="25"/>
  <c r="G52" i="33"/>
  <c r="F48" i="33" s="1"/>
  <c r="H52" i="33"/>
  <c r="BJ2" i="72"/>
  <c r="BK2" i="72" s="1"/>
  <c r="AY2" i="72"/>
  <c r="AZ2" i="72" s="1"/>
  <c r="BA2" i="72" s="1"/>
  <c r="BB2" i="72" s="1"/>
  <c r="BC2" i="72" s="1"/>
  <c r="BD2" i="72" s="1"/>
  <c r="BE2" i="72" s="1"/>
  <c r="BF2" i="72" s="1"/>
  <c r="BG2" i="72" s="1"/>
  <c r="BH2" i="72" s="1"/>
  <c r="BI2" i="72" s="1"/>
  <c r="H25" i="166"/>
  <c r="G25" i="166"/>
  <c r="G9" i="166"/>
  <c r="H9" i="166"/>
  <c r="F35" i="166"/>
  <c r="F14" i="166"/>
  <c r="F33" i="166"/>
  <c r="P64" i="2"/>
  <c r="AM62" i="1" s="1"/>
  <c r="O64" i="2"/>
  <c r="AI62" i="1" s="1"/>
  <c r="AG5" i="131"/>
  <c r="AH5" i="131" s="1"/>
  <c r="AI5" i="131" s="1"/>
  <c r="AJ5" i="131" s="1"/>
  <c r="AK5" i="131" s="1"/>
  <c r="L10" i="139"/>
  <c r="G10" i="139"/>
  <c r="T61" i="1"/>
  <c r="AA61" i="1" s="1"/>
  <c r="T71" i="1"/>
  <c r="W71" i="1" s="1"/>
  <c r="E19" i="81"/>
  <c r="G19" i="81" s="1"/>
  <c r="G23" i="139"/>
  <c r="H23" i="139"/>
  <c r="H30" i="81"/>
  <c r="G30" i="81"/>
  <c r="L10" i="2"/>
  <c r="O10" i="2" s="1"/>
  <c r="AI8" i="1" s="1"/>
  <c r="R31" i="1"/>
  <c r="R42" i="1"/>
  <c r="R22" i="1"/>
  <c r="AB22" i="1" s="1"/>
  <c r="R17" i="1"/>
  <c r="T17" i="1" s="1"/>
  <c r="R7" i="1"/>
  <c r="AB7" i="1" s="1"/>
  <c r="R41" i="1"/>
  <c r="AB41" i="1" s="1"/>
  <c r="R10" i="1"/>
  <c r="R8" i="1"/>
  <c r="AB8" i="1" s="1"/>
  <c r="R47" i="1"/>
  <c r="AB47" i="1" s="1"/>
  <c r="R36" i="1"/>
  <c r="AB36" i="1" s="1"/>
  <c r="R51" i="1"/>
  <c r="AB51" i="1" s="1"/>
  <c r="R37" i="1"/>
  <c r="T37" i="1" s="1"/>
  <c r="R6" i="1"/>
  <c r="AB6" i="1" s="1"/>
  <c r="R62" i="1"/>
  <c r="AB62" i="1" s="1"/>
  <c r="R54" i="1"/>
  <c r="AB54" i="1" s="1"/>
  <c r="R32" i="1"/>
  <c r="AB32" i="1" s="1"/>
  <c r="R38" i="1"/>
  <c r="R63" i="1"/>
  <c r="AB63" i="1" s="1"/>
  <c r="R46" i="1"/>
  <c r="AB46" i="1" s="1"/>
  <c r="R59" i="1"/>
  <c r="AB59" i="1" s="1"/>
  <c r="R9" i="1"/>
  <c r="R53" i="1"/>
  <c r="AB53" i="1" s="1"/>
  <c r="R48" i="1"/>
  <c r="R26" i="1"/>
  <c r="AB26" i="1" s="1"/>
  <c r="R40" i="1"/>
  <c r="T40" i="1" s="1"/>
  <c r="R28" i="1"/>
  <c r="AB28" i="1" s="1"/>
  <c r="R50" i="1"/>
  <c r="AB50" i="1" s="1"/>
  <c r="R52" i="1"/>
  <c r="AB52" i="1" s="1"/>
  <c r="R21" i="1"/>
  <c r="T21" i="1" s="1"/>
  <c r="R14" i="1"/>
  <c r="AB14" i="1" s="1"/>
  <c r="R29" i="1"/>
  <c r="AB29" i="1" s="1"/>
  <c r="R55" i="1"/>
  <c r="R68" i="1"/>
  <c r="R33" i="1"/>
  <c r="T33" i="1" s="1"/>
  <c r="R25" i="1"/>
  <c r="AB25" i="1" s="1"/>
  <c r="R49" i="1"/>
  <c r="T49" i="1" s="1"/>
  <c r="R27" i="1"/>
  <c r="AB27" i="1" s="1"/>
  <c r="R35" i="1"/>
  <c r="T35" i="1" s="1"/>
  <c r="Z35" i="1" s="1"/>
  <c r="R13" i="1"/>
  <c r="AB13" i="1" s="1"/>
  <c r="R39" i="1"/>
  <c r="AB39" i="1" s="1"/>
  <c r="R30" i="1"/>
  <c r="AB30" i="1" s="1"/>
  <c r="R66" i="1"/>
  <c r="AB66" i="1" s="1"/>
  <c r="R34" i="1"/>
  <c r="AB34" i="1" s="1"/>
  <c r="R23" i="1"/>
  <c r="R64" i="1"/>
  <c r="AB64" i="1" s="1"/>
  <c r="R24" i="1"/>
  <c r="T24" i="1" s="1"/>
  <c r="R5" i="1"/>
  <c r="AB5" i="1" s="1"/>
  <c r="R70" i="1"/>
  <c r="AB70" i="1" s="1"/>
  <c r="R65" i="1"/>
  <c r="T65" i="1" s="1"/>
  <c r="R57" i="1"/>
  <c r="T57" i="1" s="1"/>
  <c r="U57" i="1" s="1"/>
  <c r="R56" i="1"/>
  <c r="R60" i="1"/>
  <c r="R20" i="1"/>
  <c r="T20" i="1" s="1"/>
  <c r="U20" i="1" s="1"/>
  <c r="R69" i="1"/>
  <c r="R4" i="1"/>
  <c r="AB4" i="1" s="1"/>
  <c r="R72" i="1"/>
  <c r="AB72" i="1" s="1"/>
  <c r="R44" i="1"/>
  <c r="R11" i="1"/>
  <c r="AB11" i="1" s="1"/>
  <c r="R18" i="1"/>
  <c r="R15" i="1"/>
  <c r="T15" i="1" s="1"/>
  <c r="R67" i="1"/>
  <c r="AB67" i="1" s="1"/>
  <c r="R16" i="1"/>
  <c r="AB16" i="1" s="1"/>
  <c r="R45" i="1"/>
  <c r="AB45" i="1" s="1"/>
  <c r="AB43" i="1"/>
  <c r="AB19" i="1"/>
  <c r="AB55" i="1"/>
  <c r="H12" i="81"/>
  <c r="E40" i="81"/>
  <c r="G40" i="81" s="1"/>
  <c r="F33" i="139"/>
  <c r="L33" i="139" s="1"/>
  <c r="E24" i="81"/>
  <c r="E10" i="81" s="1"/>
  <c r="H10" i="81" s="1"/>
  <c r="F16" i="139"/>
  <c r="F9" i="139" s="1"/>
  <c r="E42" i="81"/>
  <c r="G42" i="81" s="1"/>
  <c r="F38" i="139"/>
  <c r="L38" i="139" s="1"/>
  <c r="S4" i="1"/>
  <c r="U4" i="67"/>
  <c r="V4" i="67" s="1"/>
  <c r="W4" i="67" s="1"/>
  <c r="X4" i="67" s="1"/>
  <c r="Y4" i="67" s="1"/>
  <c r="L74" i="2"/>
  <c r="L37" i="2"/>
  <c r="L15" i="2"/>
  <c r="L17" i="2"/>
  <c r="L61" i="2"/>
  <c r="L53" i="2"/>
  <c r="L72" i="2"/>
  <c r="L31" i="2"/>
  <c r="L46" i="2"/>
  <c r="L58" i="2"/>
  <c r="L11" i="2"/>
  <c r="L42" i="2"/>
  <c r="L18" i="2"/>
  <c r="L28" i="2"/>
  <c r="L23" i="2"/>
  <c r="L30" i="2"/>
  <c r="L34" i="2"/>
  <c r="L50" i="2"/>
  <c r="L13" i="2"/>
  <c r="L48" i="2"/>
  <c r="L68" i="2"/>
  <c r="L60" i="2"/>
  <c r="L26" i="2"/>
  <c r="L35" i="2"/>
  <c r="L69" i="2"/>
  <c r="L52" i="2"/>
  <c r="L22" i="2"/>
  <c r="L70" i="2"/>
  <c r="L65" i="2"/>
  <c r="L27" i="2"/>
  <c r="L36" i="2"/>
  <c r="L51" i="2"/>
  <c r="L62" i="2"/>
  <c r="L39" i="2"/>
  <c r="L38" i="2"/>
  <c r="L54" i="2"/>
  <c r="L9" i="2"/>
  <c r="L32" i="2"/>
  <c r="L45" i="2"/>
  <c r="L24" i="2"/>
  <c r="L66" i="2"/>
  <c r="L25" i="2"/>
  <c r="L20" i="2"/>
  <c r="L41" i="2"/>
  <c r="L19" i="2"/>
  <c r="L44" i="2"/>
  <c r="L14" i="2"/>
  <c r="L21" i="2"/>
  <c r="L67" i="2"/>
  <c r="L63" i="2"/>
  <c r="L33" i="2"/>
  <c r="L40" i="2"/>
  <c r="L57" i="2"/>
  <c r="L8" i="2"/>
  <c r="L29" i="2"/>
  <c r="L73" i="2"/>
  <c r="L6" i="2"/>
  <c r="L16" i="2"/>
  <c r="L7" i="2"/>
  <c r="L43" i="2"/>
  <c r="L55" i="2"/>
  <c r="L49" i="2"/>
  <c r="L47" i="2"/>
  <c r="L59" i="2"/>
  <c r="L71" i="2"/>
  <c r="L56" i="2"/>
  <c r="L12" i="2"/>
  <c r="AN62" i="1"/>
  <c r="AJ62" i="1"/>
  <c r="P12" i="1"/>
  <c r="O73" i="1"/>
  <c r="C75" i="2"/>
  <c r="T59" i="1" l="1"/>
  <c r="U59" i="1" s="1"/>
  <c r="Z58" i="1"/>
  <c r="AC58" i="1" s="1"/>
  <c r="AS58" i="1" s="1"/>
  <c r="N60" i="67" s="1"/>
  <c r="Q60" i="67" s="1"/>
  <c r="W58" i="1"/>
  <c r="U58" i="1"/>
  <c r="AA58" i="1"/>
  <c r="X58" i="1"/>
  <c r="S5" i="1"/>
  <c r="T18" i="1"/>
  <c r="U18" i="1" s="1"/>
  <c r="T44" i="1"/>
  <c r="T48" i="1"/>
  <c r="U48" i="1" s="1"/>
  <c r="V48" i="1" s="1"/>
  <c r="T38" i="1"/>
  <c r="T10" i="1"/>
  <c r="U10" i="1" s="1"/>
  <c r="J10" i="25"/>
  <c r="S7" i="1" s="1"/>
  <c r="S73" i="1" s="1"/>
  <c r="H22" i="166"/>
  <c r="G22" i="166"/>
  <c r="T69" i="1"/>
  <c r="W69" i="1" s="1"/>
  <c r="T23" i="1"/>
  <c r="U23" i="1" s="1"/>
  <c r="F40" i="33"/>
  <c r="H48" i="33"/>
  <c r="G48" i="33"/>
  <c r="T53" i="1"/>
  <c r="U53" i="1" s="1"/>
  <c r="H35" i="166"/>
  <c r="G35" i="166"/>
  <c r="H14" i="166"/>
  <c r="G14" i="166"/>
  <c r="F8" i="166"/>
  <c r="H33" i="166"/>
  <c r="G33" i="166"/>
  <c r="AB37" i="1"/>
  <c r="P12" i="2"/>
  <c r="AM10" i="1" s="1"/>
  <c r="AN10" i="1" s="1"/>
  <c r="O12" i="2"/>
  <c r="AI10" i="1" s="1"/>
  <c r="P71" i="2"/>
  <c r="AM69" i="1" s="1"/>
  <c r="O71" i="2"/>
  <c r="AI69" i="1" s="1"/>
  <c r="P47" i="2"/>
  <c r="AM45" i="1" s="1"/>
  <c r="AN45" i="1" s="1"/>
  <c r="O47" i="2"/>
  <c r="AI45" i="1" s="1"/>
  <c r="P55" i="2"/>
  <c r="AM53" i="1" s="1"/>
  <c r="O55" i="2"/>
  <c r="AI53" i="1" s="1"/>
  <c r="AJ53" i="1" s="1"/>
  <c r="P7" i="2"/>
  <c r="AM5" i="1" s="1"/>
  <c r="AN5" i="1" s="1"/>
  <c r="O7" i="2"/>
  <c r="AI5" i="1" s="1"/>
  <c r="AJ5" i="1" s="1"/>
  <c r="P6" i="2"/>
  <c r="AM4" i="1" s="1"/>
  <c r="AN4" i="1" s="1"/>
  <c r="O6" i="2"/>
  <c r="P29" i="2"/>
  <c r="AM27" i="1" s="1"/>
  <c r="AN27" i="1" s="1"/>
  <c r="O29" i="2"/>
  <c r="AI27" i="1" s="1"/>
  <c r="AJ27" i="1" s="1"/>
  <c r="P57" i="2"/>
  <c r="AM55" i="1" s="1"/>
  <c r="O57" i="2"/>
  <c r="AI55" i="1" s="1"/>
  <c r="AJ55" i="1" s="1"/>
  <c r="P33" i="2"/>
  <c r="AM31" i="1" s="1"/>
  <c r="O33" i="2"/>
  <c r="AI31" i="1" s="1"/>
  <c r="AJ31" i="1" s="1"/>
  <c r="P67" i="2"/>
  <c r="AM65" i="1" s="1"/>
  <c r="AN65" i="1" s="1"/>
  <c r="O67" i="2"/>
  <c r="AI65" i="1" s="1"/>
  <c r="P14" i="2"/>
  <c r="AM12" i="1" s="1"/>
  <c r="AN12" i="1" s="1"/>
  <c r="O14" i="2"/>
  <c r="AI12" i="1" s="1"/>
  <c r="P19" i="2"/>
  <c r="AM17" i="1" s="1"/>
  <c r="O19" i="2"/>
  <c r="AI17" i="1" s="1"/>
  <c r="P20" i="2"/>
  <c r="AM18" i="1" s="1"/>
  <c r="AN18" i="1" s="1"/>
  <c r="O20" i="2"/>
  <c r="AI18" i="1" s="1"/>
  <c r="P66" i="2"/>
  <c r="AM64" i="1" s="1"/>
  <c r="O66" i="2"/>
  <c r="AI64" i="1" s="1"/>
  <c r="AJ64" i="1" s="1"/>
  <c r="P45" i="2"/>
  <c r="AM43" i="1" s="1"/>
  <c r="O45" i="2"/>
  <c r="AI43" i="1" s="1"/>
  <c r="AJ43" i="1" s="1"/>
  <c r="P9" i="2"/>
  <c r="AM7" i="1" s="1"/>
  <c r="O9" i="2"/>
  <c r="AI7" i="1" s="1"/>
  <c r="AJ7" i="1" s="1"/>
  <c r="P38" i="2"/>
  <c r="AM36" i="1" s="1"/>
  <c r="O38" i="2"/>
  <c r="AI36" i="1" s="1"/>
  <c r="AJ36" i="1" s="1"/>
  <c r="P62" i="2"/>
  <c r="AM60" i="1" s="1"/>
  <c r="AN60" i="1" s="1"/>
  <c r="O62" i="2"/>
  <c r="AI60" i="1" s="1"/>
  <c r="P36" i="2"/>
  <c r="AM34" i="1" s="1"/>
  <c r="AN34" i="1" s="1"/>
  <c r="O36" i="2"/>
  <c r="AI34" i="1" s="1"/>
  <c r="AJ34" i="1" s="1"/>
  <c r="P65" i="2"/>
  <c r="AM63" i="1" s="1"/>
  <c r="AN63" i="1" s="1"/>
  <c r="O65" i="2"/>
  <c r="AI63" i="1" s="1"/>
  <c r="P22" i="2"/>
  <c r="AM20" i="1" s="1"/>
  <c r="AN20" i="1" s="1"/>
  <c r="O22" i="2"/>
  <c r="AI20" i="1" s="1"/>
  <c r="AJ20" i="1" s="1"/>
  <c r="P69" i="2"/>
  <c r="AM67" i="1" s="1"/>
  <c r="O69" i="2"/>
  <c r="AI67" i="1" s="1"/>
  <c r="AJ67" i="1" s="1"/>
  <c r="P26" i="2"/>
  <c r="AM24" i="1" s="1"/>
  <c r="AN24" i="1" s="1"/>
  <c r="O26" i="2"/>
  <c r="AI24" i="1" s="1"/>
  <c r="P68" i="2"/>
  <c r="AM66" i="1" s="1"/>
  <c r="AN66" i="1" s="1"/>
  <c r="O68" i="2"/>
  <c r="AI66" i="1" s="1"/>
  <c r="P13" i="2"/>
  <c r="AM11" i="1" s="1"/>
  <c r="AN11" i="1" s="1"/>
  <c r="O13" i="2"/>
  <c r="AI11" i="1" s="1"/>
  <c r="AJ11" i="1" s="1"/>
  <c r="P34" i="2"/>
  <c r="AM32" i="1" s="1"/>
  <c r="O34" i="2"/>
  <c r="AI32" i="1" s="1"/>
  <c r="P23" i="2"/>
  <c r="AM21" i="1" s="1"/>
  <c r="O23" i="2"/>
  <c r="AI21" i="1" s="1"/>
  <c r="AJ21" i="1" s="1"/>
  <c r="P18" i="2"/>
  <c r="AM16" i="1" s="1"/>
  <c r="O18" i="2"/>
  <c r="AI16" i="1" s="1"/>
  <c r="P42" i="2"/>
  <c r="AM40" i="1" s="1"/>
  <c r="AN40" i="1" s="1"/>
  <c r="O42" i="2"/>
  <c r="AI40" i="1" s="1"/>
  <c r="P58" i="2"/>
  <c r="AM56" i="1" s="1"/>
  <c r="AN56" i="1" s="1"/>
  <c r="O58" i="2"/>
  <c r="AI56" i="1" s="1"/>
  <c r="P31" i="2"/>
  <c r="AM29" i="1" s="1"/>
  <c r="AN29" i="1" s="1"/>
  <c r="O31" i="2"/>
  <c r="AI29" i="1" s="1"/>
  <c r="P53" i="2"/>
  <c r="AM51" i="1" s="1"/>
  <c r="AN51" i="1" s="1"/>
  <c r="O53" i="2"/>
  <c r="AI51" i="1" s="1"/>
  <c r="P17" i="2"/>
  <c r="AM15" i="1" s="1"/>
  <c r="O17" i="2"/>
  <c r="AI15" i="1" s="1"/>
  <c r="AJ15" i="1" s="1"/>
  <c r="P37" i="2"/>
  <c r="AM35" i="1" s="1"/>
  <c r="AN35" i="1" s="1"/>
  <c r="O37" i="2"/>
  <c r="AI35" i="1" s="1"/>
  <c r="P56" i="2"/>
  <c r="AM54" i="1" s="1"/>
  <c r="AN54" i="1" s="1"/>
  <c r="O56" i="2"/>
  <c r="AI54" i="1" s="1"/>
  <c r="P59" i="2"/>
  <c r="AM57" i="1" s="1"/>
  <c r="AN57" i="1" s="1"/>
  <c r="O59" i="2"/>
  <c r="AI57" i="1" s="1"/>
  <c r="P49" i="2"/>
  <c r="AM47" i="1" s="1"/>
  <c r="AN47" i="1" s="1"/>
  <c r="O49" i="2"/>
  <c r="AI47" i="1" s="1"/>
  <c r="P43" i="2"/>
  <c r="AM41" i="1" s="1"/>
  <c r="AN41" i="1" s="1"/>
  <c r="O43" i="2"/>
  <c r="AI41" i="1" s="1"/>
  <c r="P16" i="2"/>
  <c r="AM14" i="1" s="1"/>
  <c r="AN14" i="1" s="1"/>
  <c r="O16" i="2"/>
  <c r="AI14" i="1" s="1"/>
  <c r="P73" i="2"/>
  <c r="AM71" i="1" s="1"/>
  <c r="O73" i="2"/>
  <c r="AI71" i="1" s="1"/>
  <c r="AJ71" i="1" s="1"/>
  <c r="P8" i="2"/>
  <c r="AM6" i="1" s="1"/>
  <c r="O8" i="2"/>
  <c r="AI6" i="1" s="1"/>
  <c r="P40" i="2"/>
  <c r="AM38" i="1" s="1"/>
  <c r="AN38" i="1" s="1"/>
  <c r="O40" i="2"/>
  <c r="AI38" i="1" s="1"/>
  <c r="P63" i="2"/>
  <c r="AM61" i="1" s="1"/>
  <c r="AN61" i="1" s="1"/>
  <c r="O63" i="2"/>
  <c r="AI61" i="1" s="1"/>
  <c r="P21" i="2"/>
  <c r="AM19" i="1" s="1"/>
  <c r="O21" i="2"/>
  <c r="AI19" i="1" s="1"/>
  <c r="P44" i="2"/>
  <c r="AM42" i="1" s="1"/>
  <c r="AN42" i="1" s="1"/>
  <c r="O44" i="2"/>
  <c r="AI42" i="1" s="1"/>
  <c r="P41" i="2"/>
  <c r="AM39" i="1" s="1"/>
  <c r="O41" i="2"/>
  <c r="AI39" i="1" s="1"/>
  <c r="AJ39" i="1" s="1"/>
  <c r="P25" i="2"/>
  <c r="AM23" i="1" s="1"/>
  <c r="O25" i="2"/>
  <c r="AI23" i="1" s="1"/>
  <c r="P24" i="2"/>
  <c r="AM22" i="1" s="1"/>
  <c r="O24" i="2"/>
  <c r="AI22" i="1" s="1"/>
  <c r="AJ22" i="1" s="1"/>
  <c r="P32" i="2"/>
  <c r="AM30" i="1" s="1"/>
  <c r="O32" i="2"/>
  <c r="AI30" i="1" s="1"/>
  <c r="P54" i="2"/>
  <c r="AM52" i="1" s="1"/>
  <c r="AN52" i="1" s="1"/>
  <c r="O54" i="2"/>
  <c r="AI52" i="1" s="1"/>
  <c r="AJ52" i="1" s="1"/>
  <c r="P39" i="2"/>
  <c r="AM37" i="1" s="1"/>
  <c r="AN37" i="1" s="1"/>
  <c r="O39" i="2"/>
  <c r="AI37" i="1" s="1"/>
  <c r="P51" i="2"/>
  <c r="AM49" i="1" s="1"/>
  <c r="AN49" i="1" s="1"/>
  <c r="O51" i="2"/>
  <c r="AI49" i="1" s="1"/>
  <c r="P27" i="2"/>
  <c r="AM25" i="1" s="1"/>
  <c r="O27" i="2"/>
  <c r="AI25" i="1" s="1"/>
  <c r="P70" i="2"/>
  <c r="AM68" i="1" s="1"/>
  <c r="O70" i="2"/>
  <c r="AI68" i="1" s="1"/>
  <c r="AJ68" i="1" s="1"/>
  <c r="P52" i="2"/>
  <c r="AM50" i="1" s="1"/>
  <c r="AN50" i="1" s="1"/>
  <c r="O52" i="2"/>
  <c r="AI50" i="1" s="1"/>
  <c r="P35" i="2"/>
  <c r="AM33" i="1" s="1"/>
  <c r="AN33" i="1" s="1"/>
  <c r="O35" i="2"/>
  <c r="AI33" i="1" s="1"/>
  <c r="P60" i="2"/>
  <c r="AM58" i="1" s="1"/>
  <c r="O60" i="2"/>
  <c r="AI58" i="1" s="1"/>
  <c r="AJ58" i="1" s="1"/>
  <c r="P48" i="2"/>
  <c r="AM46" i="1" s="1"/>
  <c r="O48" i="2"/>
  <c r="AI46" i="1" s="1"/>
  <c r="AJ46" i="1" s="1"/>
  <c r="P50" i="2"/>
  <c r="AM48" i="1" s="1"/>
  <c r="AN48" i="1" s="1"/>
  <c r="O50" i="2"/>
  <c r="AI48" i="1" s="1"/>
  <c r="P30" i="2"/>
  <c r="AM28" i="1" s="1"/>
  <c r="AN28" i="1" s="1"/>
  <c r="O30" i="2"/>
  <c r="AI28" i="1" s="1"/>
  <c r="P28" i="2"/>
  <c r="AM26" i="1" s="1"/>
  <c r="AN26" i="1" s="1"/>
  <c r="O28" i="2"/>
  <c r="AI26" i="1" s="1"/>
  <c r="P11" i="2"/>
  <c r="AM9" i="1" s="1"/>
  <c r="O11" i="2"/>
  <c r="AI9" i="1" s="1"/>
  <c r="P46" i="2"/>
  <c r="AM44" i="1" s="1"/>
  <c r="AN44" i="1" s="1"/>
  <c r="O46" i="2"/>
  <c r="AI44" i="1" s="1"/>
  <c r="P72" i="2"/>
  <c r="AM70" i="1" s="1"/>
  <c r="O72" i="2"/>
  <c r="AI70" i="1" s="1"/>
  <c r="P61" i="2"/>
  <c r="AM59" i="1" s="1"/>
  <c r="AN59" i="1" s="1"/>
  <c r="O61" i="2"/>
  <c r="AI59" i="1" s="1"/>
  <c r="P15" i="2"/>
  <c r="AM13" i="1" s="1"/>
  <c r="O15" i="2"/>
  <c r="AI13" i="1" s="1"/>
  <c r="P74" i="2"/>
  <c r="AM72" i="1" s="1"/>
  <c r="O74" i="2"/>
  <c r="AI72" i="1" s="1"/>
  <c r="AJ8" i="1"/>
  <c r="P10" i="2"/>
  <c r="AM8" i="1" s="1"/>
  <c r="H19" i="81"/>
  <c r="T25" i="1"/>
  <c r="Z25" i="1" s="1"/>
  <c r="AC25" i="1" s="1"/>
  <c r="AB21" i="1"/>
  <c r="AN8" i="1"/>
  <c r="AB38" i="1"/>
  <c r="U71" i="1"/>
  <c r="H24" i="81"/>
  <c r="T72" i="1"/>
  <c r="AA72" i="1" s="1"/>
  <c r="AB57" i="1"/>
  <c r="T16" i="1"/>
  <c r="AA16" i="1" s="1"/>
  <c r="Z61" i="1"/>
  <c r="AC61" i="1" s="1"/>
  <c r="AS61" i="1" s="1"/>
  <c r="T8" i="1"/>
  <c r="U8" i="1" s="1"/>
  <c r="T4" i="1"/>
  <c r="U4" i="1" s="1"/>
  <c r="T30" i="1"/>
  <c r="AA30" i="1" s="1"/>
  <c r="T5" i="1"/>
  <c r="U5" i="1" s="1"/>
  <c r="W20" i="1"/>
  <c r="AB48" i="1"/>
  <c r="T46" i="1"/>
  <c r="X46" i="1" s="1"/>
  <c r="T34" i="1"/>
  <c r="Z34" i="1" s="1"/>
  <c r="AC34" i="1" s="1"/>
  <c r="W61" i="1"/>
  <c r="T39" i="1"/>
  <c r="W39" i="1" s="1"/>
  <c r="T14" i="1"/>
  <c r="X14" i="1" s="1"/>
  <c r="T66" i="1"/>
  <c r="W66" i="1" s="1"/>
  <c r="U61" i="1"/>
  <c r="AB35" i="1"/>
  <c r="AC35" i="1" s="1"/>
  <c r="T70" i="1"/>
  <c r="W70" i="1" s="1"/>
  <c r="T36" i="1"/>
  <c r="X36" i="1" s="1"/>
  <c r="X61" i="1"/>
  <c r="T52" i="1"/>
  <c r="AA52" i="1" s="1"/>
  <c r="AB49" i="1"/>
  <c r="T11" i="1"/>
  <c r="U11" i="1" s="1"/>
  <c r="T62" i="1"/>
  <c r="U62" i="1" s="1"/>
  <c r="T41" i="1"/>
  <c r="W41" i="1" s="1"/>
  <c r="AB69" i="1"/>
  <c r="AB24" i="1"/>
  <c r="AB23" i="1"/>
  <c r="V58" i="1"/>
  <c r="V59" i="1"/>
  <c r="H40" i="81"/>
  <c r="G24" i="81"/>
  <c r="T50" i="1"/>
  <c r="Z50" i="1" s="1"/>
  <c r="AC50" i="1" s="1"/>
  <c r="AB18" i="1"/>
  <c r="AB65" i="1"/>
  <c r="T29" i="1"/>
  <c r="Z29" i="1" s="1"/>
  <c r="AC29" i="1" s="1"/>
  <c r="AA71" i="1"/>
  <c r="T45" i="1"/>
  <c r="W45" i="1" s="1"/>
  <c r="AB10" i="1"/>
  <c r="T7" i="1"/>
  <c r="AA7" i="1" s="1"/>
  <c r="H42" i="81"/>
  <c r="Z71" i="1"/>
  <c r="AC71" i="1" s="1"/>
  <c r="AS71" i="1" s="1"/>
  <c r="N73" i="67" s="1"/>
  <c r="Q73" i="67" s="1"/>
  <c r="X71" i="1"/>
  <c r="AB20" i="1"/>
  <c r="G10" i="81"/>
  <c r="T63" i="1"/>
  <c r="U63" i="1" s="1"/>
  <c r="AB15" i="1"/>
  <c r="T22" i="1"/>
  <c r="X22" i="1" s="1"/>
  <c r="T6" i="1"/>
  <c r="X6" i="1" s="1"/>
  <c r="AB44" i="1"/>
  <c r="T67" i="1"/>
  <c r="AA67" i="1" s="1"/>
  <c r="T47" i="1"/>
  <c r="W47" i="1" s="1"/>
  <c r="T26" i="1"/>
  <c r="AA26" i="1" s="1"/>
  <c r="T28" i="1"/>
  <c r="AA28" i="1" s="1"/>
  <c r="T32" i="1"/>
  <c r="W32" i="1" s="1"/>
  <c r="AB40" i="1"/>
  <c r="AB17" i="1"/>
  <c r="T27" i="1"/>
  <c r="W27" i="1" s="1"/>
  <c r="AB33" i="1"/>
  <c r="T64" i="1"/>
  <c r="X64" i="1" s="1"/>
  <c r="T54" i="1"/>
  <c r="U54" i="1" s="1"/>
  <c r="T13" i="1"/>
  <c r="U13" i="1" s="1"/>
  <c r="T51" i="1"/>
  <c r="X51" i="1" s="1"/>
  <c r="AA20" i="1"/>
  <c r="L9" i="139"/>
  <c r="L16" i="139"/>
  <c r="X20" i="1"/>
  <c r="Z20" i="1"/>
  <c r="AC20" i="1" s="1"/>
  <c r="AS20" i="1" s="1"/>
  <c r="AJ69" i="1"/>
  <c r="AJ19" i="1"/>
  <c r="AJ23" i="1"/>
  <c r="AJ30" i="1"/>
  <c r="AJ32" i="1"/>
  <c r="AJ16" i="1"/>
  <c r="AJ13" i="1"/>
  <c r="X19" i="1"/>
  <c r="AA19" i="1"/>
  <c r="U19" i="1"/>
  <c r="W19" i="1"/>
  <c r="Z19" i="1"/>
  <c r="AC19" i="1" s="1"/>
  <c r="X43" i="1"/>
  <c r="AA43" i="1"/>
  <c r="W43" i="1"/>
  <c r="Z43" i="1"/>
  <c r="AC43" i="1" s="1"/>
  <c r="U43" i="1"/>
  <c r="AB56" i="1"/>
  <c r="T56" i="1"/>
  <c r="T55" i="1"/>
  <c r="U55" i="1" s="1"/>
  <c r="T42" i="1"/>
  <c r="U42" i="1" s="1"/>
  <c r="AB42" i="1"/>
  <c r="T31" i="1"/>
  <c r="AB31" i="1"/>
  <c r="AJ6" i="1"/>
  <c r="AJ17" i="1"/>
  <c r="AN25" i="1"/>
  <c r="AJ9" i="1"/>
  <c r="AJ70" i="1"/>
  <c r="AJ72" i="1"/>
  <c r="AB60" i="1"/>
  <c r="T60" i="1"/>
  <c r="AB68" i="1"/>
  <c r="T68" i="1"/>
  <c r="T9" i="1"/>
  <c r="AB9" i="1"/>
  <c r="AA59" i="1"/>
  <c r="F76" i="141"/>
  <c r="F82" i="141" s="1"/>
  <c r="F76" i="140"/>
  <c r="F82" i="140" s="1"/>
  <c r="G33" i="139"/>
  <c r="H33" i="139"/>
  <c r="H38" i="139"/>
  <c r="G38" i="139"/>
  <c r="G16" i="139"/>
  <c r="H16" i="139"/>
  <c r="W59" i="1"/>
  <c r="Z59" i="1"/>
  <c r="AC59" i="1" s="1"/>
  <c r="AS59" i="1" s="1"/>
  <c r="AT59" i="1" s="1"/>
  <c r="X59" i="1"/>
  <c r="X33" i="1"/>
  <c r="W33" i="1"/>
  <c r="U33" i="1"/>
  <c r="Z33" i="1"/>
  <c r="AA33" i="1"/>
  <c r="V53" i="1"/>
  <c r="Z53" i="1"/>
  <c r="AC53" i="1" s="1"/>
  <c r="W53" i="1"/>
  <c r="X53" i="1"/>
  <c r="AA53" i="1"/>
  <c r="AN64" i="1"/>
  <c r="AA69" i="1"/>
  <c r="X69" i="1"/>
  <c r="AJ60" i="1"/>
  <c r="L75" i="2"/>
  <c r="AJ57" i="1"/>
  <c r="AJ45" i="1"/>
  <c r="AA48" i="1"/>
  <c r="X48" i="1"/>
  <c r="AN55" i="1"/>
  <c r="U17" i="1"/>
  <c r="W17" i="1"/>
  <c r="Z17" i="1"/>
  <c r="X17" i="1"/>
  <c r="AA17" i="1"/>
  <c r="U49" i="1"/>
  <c r="W49" i="1"/>
  <c r="X49" i="1"/>
  <c r="AA49" i="1"/>
  <c r="Z49" i="1"/>
  <c r="V57" i="1"/>
  <c r="AA38" i="1"/>
  <c r="X38" i="1"/>
  <c r="U38" i="1"/>
  <c r="W38" i="1"/>
  <c r="Z38" i="1"/>
  <c r="Z10" i="1"/>
  <c r="W10" i="1"/>
  <c r="U35" i="1"/>
  <c r="AA35" i="1"/>
  <c r="X35" i="1"/>
  <c r="W35" i="1"/>
  <c r="U24" i="1"/>
  <c r="X24" i="1"/>
  <c r="Z24" i="1"/>
  <c r="AA24" i="1"/>
  <c r="W24" i="1"/>
  <c r="AA65" i="1"/>
  <c r="X65" i="1"/>
  <c r="W65" i="1"/>
  <c r="Z65" i="1"/>
  <c r="U21" i="1"/>
  <c r="X21" i="1"/>
  <c r="Z21" i="1"/>
  <c r="AA21" i="1"/>
  <c r="W21" i="1"/>
  <c r="V23" i="1"/>
  <c r="U15" i="1"/>
  <c r="Z15" i="1"/>
  <c r="W15" i="1"/>
  <c r="X15" i="1"/>
  <c r="AA15" i="1"/>
  <c r="U37" i="1"/>
  <c r="Z37" i="1"/>
  <c r="AC37" i="1" s="1"/>
  <c r="X37" i="1"/>
  <c r="W37" i="1"/>
  <c r="AA37" i="1"/>
  <c r="W57" i="1"/>
  <c r="X57" i="1"/>
  <c r="AA57" i="1"/>
  <c r="Z57" i="1"/>
  <c r="X18" i="1"/>
  <c r="W18" i="1"/>
  <c r="U44" i="1"/>
  <c r="X44" i="1"/>
  <c r="W44" i="1"/>
  <c r="AA44" i="1"/>
  <c r="Z44" i="1"/>
  <c r="U40" i="1"/>
  <c r="W40" i="1"/>
  <c r="Z40" i="1"/>
  <c r="AA40" i="1"/>
  <c r="X40" i="1"/>
  <c r="X23" i="1"/>
  <c r="W23" i="1"/>
  <c r="AA23" i="1"/>
  <c r="Z23" i="1"/>
  <c r="U65" i="1"/>
  <c r="V20" i="1"/>
  <c r="F76" i="113"/>
  <c r="R12" i="1"/>
  <c r="P73" i="1"/>
  <c r="AT58" i="1"/>
  <c r="X39" i="1" l="1"/>
  <c r="Z18" i="1"/>
  <c r="AA18" i="1"/>
  <c r="X10" i="1"/>
  <c r="AA10" i="1"/>
  <c r="Z48" i="1"/>
  <c r="W48" i="1"/>
  <c r="U69" i="1"/>
  <c r="Z69" i="1"/>
  <c r="J76" i="25"/>
  <c r="AD58" i="1"/>
  <c r="AE58" i="1" s="1"/>
  <c r="F36" i="33"/>
  <c r="G40" i="33"/>
  <c r="H40" i="33"/>
  <c r="F82" i="113"/>
  <c r="F76" i="116"/>
  <c r="F82" i="116" s="1"/>
  <c r="F76" i="118"/>
  <c r="F82" i="118" s="1"/>
  <c r="F76" i="120"/>
  <c r="F82" i="120" s="1"/>
  <c r="F76" i="126"/>
  <c r="F82" i="126" s="1"/>
  <c r="F76" i="128"/>
  <c r="F82" i="128" s="1"/>
  <c r="F76" i="131"/>
  <c r="F82" i="131" s="1"/>
  <c r="F76" i="145"/>
  <c r="F82" i="145" s="1"/>
  <c r="F76" i="147"/>
  <c r="F82" i="147" s="1"/>
  <c r="F76" i="149"/>
  <c r="F82" i="149" s="1"/>
  <c r="F76" i="152"/>
  <c r="F82" i="152" s="1"/>
  <c r="F76" i="115"/>
  <c r="F82" i="115" s="1"/>
  <c r="F77" i="114"/>
  <c r="F83" i="114" s="1"/>
  <c r="F76" i="117"/>
  <c r="F82" i="117" s="1"/>
  <c r="F76" i="119"/>
  <c r="F82" i="119" s="1"/>
  <c r="F76" i="125"/>
  <c r="F82" i="125" s="1"/>
  <c r="F76" i="127"/>
  <c r="F82" i="127" s="1"/>
  <c r="F76" i="129"/>
  <c r="F82" i="129" s="1"/>
  <c r="F76" i="144"/>
  <c r="F82" i="144" s="1"/>
  <c r="F76" i="146"/>
  <c r="F82" i="146" s="1"/>
  <c r="F76" i="148"/>
  <c r="F82" i="148" s="1"/>
  <c r="F76" i="151"/>
  <c r="F82" i="151" s="1"/>
  <c r="F76" i="153"/>
  <c r="F82" i="153" s="1"/>
  <c r="H8" i="166"/>
  <c r="G8" i="166"/>
  <c r="F34" i="166"/>
  <c r="AC57" i="1"/>
  <c r="AS57" i="1" s="1"/>
  <c r="X29" i="1"/>
  <c r="X7" i="1"/>
  <c r="AC48" i="1"/>
  <c r="AD48" i="1" s="1"/>
  <c r="AE48" i="1" s="1"/>
  <c r="U29" i="1"/>
  <c r="W64" i="1"/>
  <c r="AC38" i="1"/>
  <c r="AS38" i="1" s="1"/>
  <c r="AI4" i="1"/>
  <c r="AJ4" i="1" s="1"/>
  <c r="O75" i="2"/>
  <c r="V54" i="1"/>
  <c r="AA25" i="1"/>
  <c r="AC21" i="1"/>
  <c r="AD21" i="1" s="1"/>
  <c r="AE21" i="1" s="1"/>
  <c r="W25" i="1"/>
  <c r="AD25" i="1" s="1"/>
  <c r="AE25" i="1" s="1"/>
  <c r="U25" i="1"/>
  <c r="V25" i="1" s="1"/>
  <c r="X25" i="1"/>
  <c r="AJ29" i="1"/>
  <c r="AA29" i="1"/>
  <c r="Z4" i="1"/>
  <c r="AC4" i="1" s="1"/>
  <c r="AS4" i="1" s="1"/>
  <c r="AJ63" i="1"/>
  <c r="Z66" i="1"/>
  <c r="AC66" i="1" s="1"/>
  <c r="AS66" i="1" s="1"/>
  <c r="U66" i="1"/>
  <c r="U34" i="1"/>
  <c r="AA34" i="1"/>
  <c r="W5" i="1"/>
  <c r="AA66" i="1"/>
  <c r="AA5" i="1"/>
  <c r="Z11" i="1"/>
  <c r="AC11" i="1" s="1"/>
  <c r="AS11" i="1" s="1"/>
  <c r="Z36" i="1"/>
  <c r="AC36" i="1" s="1"/>
  <c r="AS36" i="1" s="1"/>
  <c r="X34" i="1"/>
  <c r="X66" i="1"/>
  <c r="Z5" i="1"/>
  <c r="AC5" i="1" s="1"/>
  <c r="AS5" i="1" s="1"/>
  <c r="V5" i="1"/>
  <c r="AA36" i="1"/>
  <c r="W34" i="1"/>
  <c r="AD34" i="1" s="1"/>
  <c r="AE34" i="1" s="1"/>
  <c r="X5" i="1"/>
  <c r="W29" i="1"/>
  <c r="AD29" i="1" s="1"/>
  <c r="AE29" i="1" s="1"/>
  <c r="Z16" i="1"/>
  <c r="AC16" i="1" s="1"/>
  <c r="AS16" i="1" s="1"/>
  <c r="U7" i="1"/>
  <c r="Z7" i="1"/>
  <c r="AC7" i="1" s="1"/>
  <c r="AS7" i="1" s="1"/>
  <c r="W22" i="1"/>
  <c r="X72" i="1"/>
  <c r="U72" i="1"/>
  <c r="W16" i="1"/>
  <c r="Z26" i="1"/>
  <c r="AC26" i="1" s="1"/>
  <c r="AS26" i="1" s="1"/>
  <c r="V71" i="1"/>
  <c r="W8" i="1"/>
  <c r="X41" i="1"/>
  <c r="AN70" i="1"/>
  <c r="AJ12" i="1"/>
  <c r="AN69" i="1"/>
  <c r="AJ28" i="1"/>
  <c r="AJ14" i="1"/>
  <c r="AN30" i="1"/>
  <c r="AJ56" i="1"/>
  <c r="AC23" i="1"/>
  <c r="AD23" i="1" s="1"/>
  <c r="AE23" i="1" s="1"/>
  <c r="W72" i="1"/>
  <c r="X16" i="1"/>
  <c r="U16" i="1"/>
  <c r="X8" i="1"/>
  <c r="V8" i="1"/>
  <c r="AJ37" i="1"/>
  <c r="Z72" i="1"/>
  <c r="AC72" i="1" s="1"/>
  <c r="AS72" i="1" s="1"/>
  <c r="W62" i="1"/>
  <c r="AN36" i="1"/>
  <c r="AA41" i="1"/>
  <c r="X4" i="1"/>
  <c r="X52" i="1"/>
  <c r="Z39" i="1"/>
  <c r="AC39" i="1" s="1"/>
  <c r="AS39" i="1" s="1"/>
  <c r="W52" i="1"/>
  <c r="Z70" i="1"/>
  <c r="AC70" i="1" s="1"/>
  <c r="AS70" i="1" s="1"/>
  <c r="Z45" i="1"/>
  <c r="AC45" i="1" s="1"/>
  <c r="AS45" i="1" s="1"/>
  <c r="AA46" i="1"/>
  <c r="AT71" i="1"/>
  <c r="U51" i="1"/>
  <c r="W30" i="1"/>
  <c r="Z52" i="1"/>
  <c r="AC52" i="1" s="1"/>
  <c r="AS52" i="1" s="1"/>
  <c r="U52" i="1"/>
  <c r="Z28" i="1"/>
  <c r="AC28" i="1" s="1"/>
  <c r="AA39" i="1"/>
  <c r="U39" i="1"/>
  <c r="Z30" i="1"/>
  <c r="AC30" i="1" s="1"/>
  <c r="AS30" i="1" s="1"/>
  <c r="W13" i="1"/>
  <c r="Z14" i="1"/>
  <c r="AC14" i="1" s="1"/>
  <c r="AS14" i="1" s="1"/>
  <c r="Z41" i="1"/>
  <c r="AC41" i="1" s="1"/>
  <c r="AD41" i="1" s="1"/>
  <c r="AE41" i="1" s="1"/>
  <c r="U41" i="1"/>
  <c r="AA4" i="1"/>
  <c r="U70" i="1"/>
  <c r="Z54" i="1"/>
  <c r="AC54" i="1" s="1"/>
  <c r="AS54" i="1" s="1"/>
  <c r="X30" i="1"/>
  <c r="Z46" i="1"/>
  <c r="AC46" i="1" s="1"/>
  <c r="AS46" i="1" s="1"/>
  <c r="W50" i="1"/>
  <c r="AD50" i="1" s="1"/>
  <c r="AE50" i="1" s="1"/>
  <c r="W4" i="1"/>
  <c r="V4" i="1"/>
  <c r="U22" i="1"/>
  <c r="V22" i="1" s="1"/>
  <c r="AD61" i="1"/>
  <c r="AE61" i="1" s="1"/>
  <c r="U30" i="1"/>
  <c r="W67" i="1"/>
  <c r="W46" i="1"/>
  <c r="U46" i="1"/>
  <c r="AA8" i="1"/>
  <c r="W14" i="1"/>
  <c r="AA70" i="1"/>
  <c r="Z6" i="1"/>
  <c r="AC6" i="1" s="1"/>
  <c r="AS6" i="1" s="1"/>
  <c r="Z8" i="1"/>
  <c r="AC8" i="1" s="1"/>
  <c r="AD8" i="1" s="1"/>
  <c r="AE8" i="1" s="1"/>
  <c r="U14" i="1"/>
  <c r="AC65" i="1"/>
  <c r="AS65" i="1" s="1"/>
  <c r="AA32" i="1"/>
  <c r="AC15" i="1"/>
  <c r="AS15" i="1" s="1"/>
  <c r="AA62" i="1"/>
  <c r="W7" i="1"/>
  <c r="AA22" i="1"/>
  <c r="X70" i="1"/>
  <c r="AA6" i="1"/>
  <c r="X54" i="1"/>
  <c r="Z62" i="1"/>
  <c r="AC62" i="1" s="1"/>
  <c r="AD62" i="1" s="1"/>
  <c r="AE62" i="1" s="1"/>
  <c r="AA14" i="1"/>
  <c r="AA50" i="1"/>
  <c r="W26" i="1"/>
  <c r="AC49" i="1"/>
  <c r="AD49" i="1" s="1"/>
  <c r="AE49" i="1" s="1"/>
  <c r="V61" i="1"/>
  <c r="X32" i="1"/>
  <c r="U6" i="1"/>
  <c r="V62" i="1"/>
  <c r="X62" i="1"/>
  <c r="Z51" i="1"/>
  <c r="AC51" i="1" s="1"/>
  <c r="AS51" i="1" s="1"/>
  <c r="U50" i="1"/>
  <c r="AC10" i="1"/>
  <c r="AD10" i="1" s="1"/>
  <c r="AE10" i="1" s="1"/>
  <c r="U26" i="1"/>
  <c r="V26" i="1" s="1"/>
  <c r="AC69" i="1"/>
  <c r="AS69" i="1" s="1"/>
  <c r="AA45" i="1"/>
  <c r="U45" i="1"/>
  <c r="AA11" i="1"/>
  <c r="AJ47" i="1"/>
  <c r="AN9" i="1"/>
  <c r="AN58" i="1"/>
  <c r="AC24" i="1"/>
  <c r="AD24" i="1" s="1"/>
  <c r="AE24" i="1" s="1"/>
  <c r="W11" i="1"/>
  <c r="AA27" i="1"/>
  <c r="AN6" i="1"/>
  <c r="AD71" i="1"/>
  <c r="AE71" i="1" s="1"/>
  <c r="AN16" i="1"/>
  <c r="X28" i="1"/>
  <c r="X63" i="1"/>
  <c r="W36" i="1"/>
  <c r="X45" i="1"/>
  <c r="AC18" i="1"/>
  <c r="AD18" i="1" s="1"/>
  <c r="AE18" i="1" s="1"/>
  <c r="Z13" i="1"/>
  <c r="AC13" i="1" s="1"/>
  <c r="AD13" i="1" s="1"/>
  <c r="AE13" i="1" s="1"/>
  <c r="U36" i="1"/>
  <c r="U28" i="1"/>
  <c r="Z63" i="1"/>
  <c r="AC63" i="1" s="1"/>
  <c r="AS63" i="1" s="1"/>
  <c r="X11" i="1"/>
  <c r="X27" i="1"/>
  <c r="AJ42" i="1"/>
  <c r="AN7" i="1"/>
  <c r="AJ59" i="1"/>
  <c r="V63" i="1"/>
  <c r="AJ26" i="1"/>
  <c r="U67" i="1"/>
  <c r="W6" i="1"/>
  <c r="AA54" i="1"/>
  <c r="X67" i="1"/>
  <c r="W51" i="1"/>
  <c r="X50" i="1"/>
  <c r="X26" i="1"/>
  <c r="AJ18" i="1"/>
  <c r="AN67" i="1"/>
  <c r="W54" i="1"/>
  <c r="AC17" i="1"/>
  <c r="AD17" i="1" s="1"/>
  <c r="AE17" i="1" s="1"/>
  <c r="AN39" i="1"/>
  <c r="AJ65" i="1"/>
  <c r="AJ10" i="1"/>
  <c r="AN43" i="1"/>
  <c r="AN31" i="1"/>
  <c r="AN23" i="1"/>
  <c r="AJ61" i="1"/>
  <c r="AJ66" i="1"/>
  <c r="AN21" i="1"/>
  <c r="AN68" i="1"/>
  <c r="AJ49" i="1"/>
  <c r="AN22" i="1"/>
  <c r="AN32" i="1"/>
  <c r="W28" i="1"/>
  <c r="X47" i="1"/>
  <c r="W63" i="1"/>
  <c r="AA13" i="1"/>
  <c r="U27" i="1"/>
  <c r="Z27" i="1"/>
  <c r="AC27" i="1" s="1"/>
  <c r="AD27" i="1" s="1"/>
  <c r="AE27" i="1" s="1"/>
  <c r="Z22" i="1"/>
  <c r="AC22" i="1" s="1"/>
  <c r="AS22" i="1" s="1"/>
  <c r="AA63" i="1"/>
  <c r="AC44" i="1"/>
  <c r="AD44" i="1" s="1"/>
  <c r="AE44" i="1" s="1"/>
  <c r="X13" i="1"/>
  <c r="AA47" i="1"/>
  <c r="U47" i="1"/>
  <c r="Z32" i="1"/>
  <c r="AC32" i="1" s="1"/>
  <c r="AD32" i="1" s="1"/>
  <c r="AE32" i="1" s="1"/>
  <c r="U32" i="1"/>
  <c r="Z47" i="1"/>
  <c r="AC47" i="1" s="1"/>
  <c r="AD47" i="1" s="1"/>
  <c r="AE47" i="1" s="1"/>
  <c r="U64" i="1"/>
  <c r="Z64" i="1"/>
  <c r="AC64" i="1" s="1"/>
  <c r="AS64" i="1" s="1"/>
  <c r="Z67" i="1"/>
  <c r="AC67" i="1" s="1"/>
  <c r="AS67" i="1" s="1"/>
  <c r="AA51" i="1"/>
  <c r="AC33" i="1"/>
  <c r="AD33" i="1" s="1"/>
  <c r="AE33" i="1" s="1"/>
  <c r="AA64" i="1"/>
  <c r="AC40" i="1"/>
  <c r="AS40" i="1" s="1"/>
  <c r="N61" i="67"/>
  <c r="Q61" i="67" s="1"/>
  <c r="R61" i="67" s="1"/>
  <c r="T61" i="67" s="1"/>
  <c r="AJ38" i="1"/>
  <c r="AN71" i="1"/>
  <c r="AJ54" i="1"/>
  <c r="AJ50" i="1"/>
  <c r="AN53" i="1"/>
  <c r="AJ24" i="1"/>
  <c r="P75" i="2"/>
  <c r="AJ25" i="1"/>
  <c r="AJ33" i="1"/>
  <c r="AJ44" i="1"/>
  <c r="AN19" i="1"/>
  <c r="AN46" i="1"/>
  <c r="AJ40" i="1"/>
  <c r="AJ41" i="1"/>
  <c r="AN13" i="1"/>
  <c r="AN17" i="1"/>
  <c r="AJ51" i="1"/>
  <c r="AJ48" i="1"/>
  <c r="AJ35" i="1"/>
  <c r="AN72" i="1"/>
  <c r="AN15" i="1"/>
  <c r="U9" i="1"/>
  <c r="AA9" i="1"/>
  <c r="X9" i="1"/>
  <c r="Z9" i="1"/>
  <c r="AC9" i="1" s="1"/>
  <c r="W9" i="1"/>
  <c r="W31" i="1"/>
  <c r="Z31" i="1"/>
  <c r="AC31" i="1" s="1"/>
  <c r="X31" i="1"/>
  <c r="U31" i="1"/>
  <c r="AA31" i="1"/>
  <c r="V42" i="1"/>
  <c r="V55" i="1"/>
  <c r="U56" i="1"/>
  <c r="Z56" i="1"/>
  <c r="AC56" i="1" s="1"/>
  <c r="AA56" i="1"/>
  <c r="W56" i="1"/>
  <c r="X56" i="1"/>
  <c r="V43" i="1"/>
  <c r="AA68" i="1"/>
  <c r="W68" i="1"/>
  <c r="U68" i="1"/>
  <c r="X68" i="1"/>
  <c r="Z68" i="1"/>
  <c r="AC68" i="1" s="1"/>
  <c r="Z60" i="1"/>
  <c r="AC60" i="1" s="1"/>
  <c r="AA60" i="1"/>
  <c r="X60" i="1"/>
  <c r="U60" i="1"/>
  <c r="W60" i="1"/>
  <c r="AA42" i="1"/>
  <c r="W42" i="1"/>
  <c r="X42" i="1"/>
  <c r="Z42" i="1"/>
  <c r="AC42" i="1" s="1"/>
  <c r="X55" i="1"/>
  <c r="AA55" i="1"/>
  <c r="W55" i="1"/>
  <c r="Z55" i="1"/>
  <c r="AC55" i="1" s="1"/>
  <c r="AS43" i="1"/>
  <c r="AD43" i="1"/>
  <c r="AE43" i="1" s="1"/>
  <c r="AS19" i="1"/>
  <c r="AD19" i="1"/>
  <c r="AE19" i="1" s="1"/>
  <c r="V19" i="1"/>
  <c r="E47" i="81"/>
  <c r="G47" i="81" s="1"/>
  <c r="F37" i="139"/>
  <c r="L37" i="139" s="1"/>
  <c r="G9" i="139"/>
  <c r="H9" i="139"/>
  <c r="AD59" i="1"/>
  <c r="AE59" i="1" s="1"/>
  <c r="R60" i="67"/>
  <c r="T60" i="67" s="1"/>
  <c r="R73" i="67"/>
  <c r="T73" i="67" s="1"/>
  <c r="AD20" i="1"/>
  <c r="AE20" i="1" s="1"/>
  <c r="V33" i="1"/>
  <c r="AS53" i="1"/>
  <c r="AD53" i="1"/>
  <c r="AE53" i="1" s="1"/>
  <c r="AS25" i="1"/>
  <c r="V69" i="1"/>
  <c r="AS48" i="1"/>
  <c r="V49" i="1"/>
  <c r="V17" i="1"/>
  <c r="V18" i="1"/>
  <c r="V37" i="1"/>
  <c r="V13" i="1"/>
  <c r="AS34" i="1"/>
  <c r="AS35" i="1"/>
  <c r="AD35" i="1"/>
  <c r="AE35" i="1" s="1"/>
  <c r="AS29" i="1"/>
  <c r="V44" i="1"/>
  <c r="V15" i="1"/>
  <c r="V21" i="1"/>
  <c r="V24" i="1"/>
  <c r="V11" i="1"/>
  <c r="V38" i="1"/>
  <c r="AS50" i="1"/>
  <c r="V65" i="1"/>
  <c r="N63" i="67"/>
  <c r="Q63" i="67" s="1"/>
  <c r="AT61" i="1"/>
  <c r="V40" i="1"/>
  <c r="AD37" i="1"/>
  <c r="AE37" i="1" s="1"/>
  <c r="AS37" i="1"/>
  <c r="V35" i="1"/>
  <c r="V10" i="1"/>
  <c r="N22" i="67"/>
  <c r="Q22" i="67" s="1"/>
  <c r="AT20" i="1"/>
  <c r="AB12" i="1"/>
  <c r="AB73" i="1" s="1"/>
  <c r="T12" i="1"/>
  <c r="R73" i="1"/>
  <c r="F16" i="166" s="1"/>
  <c r="AG58" i="1" l="1"/>
  <c r="AF58" i="1"/>
  <c r="F32" i="33"/>
  <c r="G36" i="33"/>
  <c r="H36" i="33"/>
  <c r="H34" i="166"/>
  <c r="G34" i="166"/>
  <c r="F32" i="166"/>
  <c r="H16" i="166"/>
  <c r="G16" i="166"/>
  <c r="AD38" i="1"/>
  <c r="AE38" i="1" s="1"/>
  <c r="AF38" i="1" s="1"/>
  <c r="AD57" i="1"/>
  <c r="AE57" i="1" s="1"/>
  <c r="AS21" i="1"/>
  <c r="AT21" i="1" s="1"/>
  <c r="V29" i="1"/>
  <c r="AD63" i="1"/>
  <c r="AE63" i="1" s="1"/>
  <c r="AD11" i="1"/>
  <c r="AE11" i="1" s="1"/>
  <c r="AG71" i="1"/>
  <c r="AK71" i="1" s="1"/>
  <c r="AL71" i="1" s="1"/>
  <c r="V32" i="1"/>
  <c r="V47" i="1"/>
  <c r="V67" i="1"/>
  <c r="AG61" i="1"/>
  <c r="AO61" i="1" s="1"/>
  <c r="V34" i="1"/>
  <c r="AD26" i="1"/>
  <c r="AE26" i="1" s="1"/>
  <c r="AG26" i="1" s="1"/>
  <c r="V66" i="1"/>
  <c r="AD4" i="1"/>
  <c r="AE4" i="1" s="1"/>
  <c r="AD52" i="1"/>
  <c r="AE52" i="1" s="1"/>
  <c r="AF52" i="1" s="1"/>
  <c r="AD16" i="1"/>
  <c r="AE16" i="1" s="1"/>
  <c r="AD5" i="1"/>
  <c r="AE5" i="1" s="1"/>
  <c r="AD66" i="1"/>
  <c r="AE66" i="1" s="1"/>
  <c r="V7" i="1"/>
  <c r="AD70" i="1"/>
  <c r="AE70" i="1" s="1"/>
  <c r="AD7" i="1"/>
  <c r="AE7" i="1" s="1"/>
  <c r="AD36" i="1"/>
  <c r="AE36" i="1" s="1"/>
  <c r="AD69" i="1"/>
  <c r="AE69" i="1" s="1"/>
  <c r="AS41" i="1"/>
  <c r="AT41" i="1" s="1"/>
  <c r="AS23" i="1"/>
  <c r="N25" i="67" s="1"/>
  <c r="Q25" i="67" s="1"/>
  <c r="AD65" i="1"/>
  <c r="AE65" i="1" s="1"/>
  <c r="AG65" i="1" s="1"/>
  <c r="V30" i="1"/>
  <c r="V72" i="1"/>
  <c r="AD72" i="1"/>
  <c r="AE72" i="1" s="1"/>
  <c r="V16" i="1"/>
  <c r="V46" i="1"/>
  <c r="E43" i="81"/>
  <c r="G43" i="81" s="1"/>
  <c r="AO58" i="1"/>
  <c r="AD45" i="1"/>
  <c r="AE45" i="1" s="1"/>
  <c r="V39" i="1"/>
  <c r="AD54" i="1"/>
  <c r="AE54" i="1" s="1"/>
  <c r="AD6" i="1"/>
  <c r="AE6" i="1" s="1"/>
  <c r="AD30" i="1"/>
  <c r="AE30" i="1" s="1"/>
  <c r="AD39" i="1"/>
  <c r="AE39" i="1" s="1"/>
  <c r="AG39" i="1" s="1"/>
  <c r="AO39" i="1" s="1"/>
  <c r="AD64" i="1"/>
  <c r="AE64" i="1" s="1"/>
  <c r="AF61" i="1"/>
  <c r="V51" i="1"/>
  <c r="V70" i="1"/>
  <c r="AD14" i="1"/>
  <c r="AE14" i="1" s="1"/>
  <c r="AD46" i="1"/>
  <c r="AE46" i="1" s="1"/>
  <c r="AD28" i="1"/>
  <c r="AE28" i="1" s="1"/>
  <c r="AS44" i="1"/>
  <c r="AT44" i="1" s="1"/>
  <c r="AD51" i="1"/>
  <c r="AE51" i="1" s="1"/>
  <c r="AS28" i="1"/>
  <c r="AT28" i="1" s="1"/>
  <c r="AS18" i="1"/>
  <c r="N20" i="67" s="1"/>
  <c r="Q20" i="67" s="1"/>
  <c r="AS8" i="1"/>
  <c r="N10" i="67" s="1"/>
  <c r="Q10" i="67" s="1"/>
  <c r="V52" i="1"/>
  <c r="V14" i="1"/>
  <c r="AS47" i="1"/>
  <c r="AT47" i="1" s="1"/>
  <c r="V28" i="1"/>
  <c r="V50" i="1"/>
  <c r="V41" i="1"/>
  <c r="AS62" i="1"/>
  <c r="N64" i="67" s="1"/>
  <c r="Q64" i="67" s="1"/>
  <c r="AD22" i="1"/>
  <c r="AE22" i="1" s="1"/>
  <c r="AS24" i="1"/>
  <c r="AT24" i="1" s="1"/>
  <c r="AF71" i="1"/>
  <c r="AD15" i="1"/>
  <c r="AE15" i="1" s="1"/>
  <c r="AS10" i="1"/>
  <c r="AT10" i="1" s="1"/>
  <c r="AS13" i="1"/>
  <c r="N15" i="67" s="1"/>
  <c r="Q15" i="67" s="1"/>
  <c r="AS49" i="1"/>
  <c r="AT49" i="1" s="1"/>
  <c r="V27" i="1"/>
  <c r="V6" i="1"/>
  <c r="V45" i="1"/>
  <c r="AS17" i="1"/>
  <c r="N19" i="67" s="1"/>
  <c r="Q19" i="67" s="1"/>
  <c r="V36" i="1"/>
  <c r="AS27" i="1"/>
  <c r="N29" i="67" s="1"/>
  <c r="Q29" i="67" s="1"/>
  <c r="AF48" i="1"/>
  <c r="AF32" i="1"/>
  <c r="F18" i="139"/>
  <c r="L18" i="139" s="1"/>
  <c r="AG37" i="1"/>
  <c r="AO37" i="1" s="1"/>
  <c r="AG50" i="1"/>
  <c r="AO50" i="1" s="1"/>
  <c r="AF8" i="1"/>
  <c r="AF23" i="1"/>
  <c r="AG35" i="1"/>
  <c r="AH35" i="1" s="1"/>
  <c r="AF21" i="1"/>
  <c r="AF20" i="1"/>
  <c r="AF59" i="1"/>
  <c r="V64" i="1"/>
  <c r="AD40" i="1"/>
  <c r="AE40" i="1" s="1"/>
  <c r="AS33" i="1"/>
  <c r="N35" i="67" s="1"/>
  <c r="Q35" i="67" s="1"/>
  <c r="AD67" i="1"/>
  <c r="AE67" i="1" s="1"/>
  <c r="AS32" i="1"/>
  <c r="N34" i="67" s="1"/>
  <c r="Q34" i="67" s="1"/>
  <c r="AM73" i="1"/>
  <c r="AN73" i="1" s="1"/>
  <c r="AI73" i="1"/>
  <c r="AJ73" i="1" s="1"/>
  <c r="AT19" i="1"/>
  <c r="N21" i="67"/>
  <c r="Q21" i="67" s="1"/>
  <c r="R21" i="67" s="1"/>
  <c r="T21" i="67" s="1"/>
  <c r="N45" i="67"/>
  <c r="Q45" i="67" s="1"/>
  <c r="R45" i="67" s="1"/>
  <c r="T45" i="67" s="1"/>
  <c r="AT43" i="1"/>
  <c r="V60" i="1"/>
  <c r="AD68" i="1"/>
  <c r="AE68" i="1" s="1"/>
  <c r="AS68" i="1"/>
  <c r="V68" i="1"/>
  <c r="AD56" i="1"/>
  <c r="AE56" i="1" s="1"/>
  <c r="AS56" i="1"/>
  <c r="AS9" i="1"/>
  <c r="AD9" i="1"/>
  <c r="AE9" i="1" s="1"/>
  <c r="AF19" i="1"/>
  <c r="AG19" i="1"/>
  <c r="AF43" i="1"/>
  <c r="AG43" i="1"/>
  <c r="AD55" i="1"/>
  <c r="AE55" i="1" s="1"/>
  <c r="AS55" i="1"/>
  <c r="AD42" i="1"/>
  <c r="AE42" i="1" s="1"/>
  <c r="AS42" i="1"/>
  <c r="AS60" i="1"/>
  <c r="AD60" i="1"/>
  <c r="AE60" i="1" s="1"/>
  <c r="V56" i="1"/>
  <c r="V31" i="1"/>
  <c r="AS31" i="1"/>
  <c r="AD31" i="1"/>
  <c r="AE31" i="1" s="1"/>
  <c r="V9" i="1"/>
  <c r="H47" i="81"/>
  <c r="G37" i="139"/>
  <c r="F36" i="139"/>
  <c r="L36" i="139" s="1"/>
  <c r="H37" i="139"/>
  <c r="AG59" i="1"/>
  <c r="AH59" i="1" s="1"/>
  <c r="R22" i="67"/>
  <c r="T22" i="67" s="1"/>
  <c r="R63" i="67"/>
  <c r="T63" i="67" s="1"/>
  <c r="AG20" i="1"/>
  <c r="AH20" i="1" s="1"/>
  <c r="AT22" i="1"/>
  <c r="N24" i="67"/>
  <c r="Q24" i="67" s="1"/>
  <c r="AG10" i="1"/>
  <c r="AO10" i="1" s="1"/>
  <c r="AF33" i="1"/>
  <c r="AG33" i="1"/>
  <c r="AG53" i="1"/>
  <c r="AF49" i="1"/>
  <c r="AT53" i="1"/>
  <c r="N55" i="67"/>
  <c r="Q55" i="67" s="1"/>
  <c r="AF53" i="1"/>
  <c r="AF25" i="1"/>
  <c r="AG25" i="1"/>
  <c r="N71" i="67"/>
  <c r="Q71" i="67" s="1"/>
  <c r="AT69" i="1"/>
  <c r="N27" i="67"/>
  <c r="Q27" i="67" s="1"/>
  <c r="AT25" i="1"/>
  <c r="N50" i="67"/>
  <c r="Q50" i="67" s="1"/>
  <c r="AT48" i="1"/>
  <c r="AG24" i="1"/>
  <c r="AH24" i="1" s="1"/>
  <c r="AF41" i="1"/>
  <c r="AG41" i="1"/>
  <c r="AT7" i="1"/>
  <c r="N9" i="67"/>
  <c r="Q9" i="67" s="1"/>
  <c r="AG49" i="1"/>
  <c r="AF24" i="1"/>
  <c r="AF10" i="1"/>
  <c r="AF27" i="1"/>
  <c r="AG48" i="1"/>
  <c r="AG27" i="1"/>
  <c r="AG17" i="1"/>
  <c r="AF17" i="1"/>
  <c r="N67" i="67"/>
  <c r="Q67" i="67" s="1"/>
  <c r="AT65" i="1"/>
  <c r="AT40" i="1"/>
  <c r="N42" i="67"/>
  <c r="Q42" i="67" s="1"/>
  <c r="AG62" i="1"/>
  <c r="AF62" i="1"/>
  <c r="AG34" i="1"/>
  <c r="AF13" i="1"/>
  <c r="AG13" i="1"/>
  <c r="N68" i="67"/>
  <c r="Q68" i="67" s="1"/>
  <c r="AT66" i="1"/>
  <c r="N32" i="67"/>
  <c r="Q32" i="67" s="1"/>
  <c r="AT30" i="1"/>
  <c r="N65" i="67"/>
  <c r="Q65" i="67" s="1"/>
  <c r="AT63" i="1"/>
  <c r="N54" i="67"/>
  <c r="Q54" i="67" s="1"/>
  <c r="AT52" i="1"/>
  <c r="AT50" i="1"/>
  <c r="N52" i="67"/>
  <c r="Q52" i="67" s="1"/>
  <c r="AG18" i="1"/>
  <c r="AF18" i="1"/>
  <c r="N16" i="67"/>
  <c r="Q16" i="67" s="1"/>
  <c r="AT14" i="1"/>
  <c r="AG57" i="1"/>
  <c r="AF57" i="1"/>
  <c r="N41" i="67"/>
  <c r="Q41" i="67" s="1"/>
  <c r="AT39" i="1"/>
  <c r="AT36" i="1"/>
  <c r="N38" i="67"/>
  <c r="Q38" i="67" s="1"/>
  <c r="AT11" i="1"/>
  <c r="N13" i="67"/>
  <c r="Q13" i="67" s="1"/>
  <c r="AF37" i="1"/>
  <c r="AT16" i="1"/>
  <c r="N18" i="67"/>
  <c r="Q18" i="67" s="1"/>
  <c r="N37" i="67"/>
  <c r="Q37" i="67" s="1"/>
  <c r="AT35" i="1"/>
  <c r="AT15" i="1"/>
  <c r="N17" i="67"/>
  <c r="Q17" i="67" s="1"/>
  <c r="AT70" i="1"/>
  <c r="N72" i="67"/>
  <c r="Q72" i="67" s="1"/>
  <c r="AT57" i="1"/>
  <c r="N59" i="67"/>
  <c r="Q59" i="67" s="1"/>
  <c r="AT29" i="1"/>
  <c r="N31" i="67"/>
  <c r="Q31" i="67" s="1"/>
  <c r="AT5" i="1"/>
  <c r="N7" i="67"/>
  <c r="Q7" i="67" s="1"/>
  <c r="AF34" i="1"/>
  <c r="AG32" i="1"/>
  <c r="AT6" i="1"/>
  <c r="N8" i="67"/>
  <c r="Q8" i="67" s="1"/>
  <c r="AT38" i="1"/>
  <c r="N40" i="67"/>
  <c r="Q40" i="67" s="1"/>
  <c r="AF47" i="1"/>
  <c r="AG47" i="1"/>
  <c r="N53" i="67"/>
  <c r="Q53" i="67" s="1"/>
  <c r="AT51" i="1"/>
  <c r="AG8" i="1"/>
  <c r="N48" i="67"/>
  <c r="Q48" i="67" s="1"/>
  <c r="AT46" i="1"/>
  <c r="N66" i="67"/>
  <c r="Q66" i="67" s="1"/>
  <c r="AT64" i="1"/>
  <c r="AF44" i="1"/>
  <c r="AG44" i="1"/>
  <c r="AF29" i="1"/>
  <c r="AT34" i="1"/>
  <c r="N36" i="67"/>
  <c r="Q36" i="67" s="1"/>
  <c r="AG21" i="1"/>
  <c r="N39" i="67"/>
  <c r="Q39" i="67" s="1"/>
  <c r="AT37" i="1"/>
  <c r="N56" i="67"/>
  <c r="Q56" i="67" s="1"/>
  <c r="AT54" i="1"/>
  <c r="AT72" i="1"/>
  <c r="N74" i="67"/>
  <c r="Q74" i="67" s="1"/>
  <c r="N47" i="67"/>
  <c r="Q47" i="67" s="1"/>
  <c r="AT45" i="1"/>
  <c r="AF50" i="1"/>
  <c r="AT26" i="1"/>
  <c r="N28" i="67"/>
  <c r="Q28" i="67" s="1"/>
  <c r="AT67" i="1"/>
  <c r="N69" i="67"/>
  <c r="Q69" i="67" s="1"/>
  <c r="AG23" i="1"/>
  <c r="AF35" i="1"/>
  <c r="AG29" i="1"/>
  <c r="U12" i="1"/>
  <c r="X12" i="1"/>
  <c r="Z12" i="1"/>
  <c r="W12" i="1"/>
  <c r="AA12" i="1"/>
  <c r="AA73" i="1" s="1"/>
  <c r="T73" i="1"/>
  <c r="F18" i="166" s="1"/>
  <c r="E25" i="81"/>
  <c r="N6" i="67"/>
  <c r="AT4" i="1"/>
  <c r="AH58" i="1" l="1"/>
  <c r="AK58" i="1"/>
  <c r="AL58" i="1" s="1"/>
  <c r="F26" i="33"/>
  <c r="H32" i="33"/>
  <c r="G32" i="33"/>
  <c r="AG38" i="1"/>
  <c r="AK38" i="1" s="1"/>
  <c r="AL38" i="1" s="1"/>
  <c r="H18" i="166"/>
  <c r="G18" i="166"/>
  <c r="H32" i="166"/>
  <c r="G32" i="166"/>
  <c r="D74" i="141"/>
  <c r="E74" i="141" s="1"/>
  <c r="H74" i="141" s="1"/>
  <c r="L74" i="141" s="1"/>
  <c r="D74" i="140"/>
  <c r="E74" i="140" s="1"/>
  <c r="H74" i="140" s="1"/>
  <c r="L74" i="140" s="1"/>
  <c r="AO71" i="1"/>
  <c r="AH71" i="1"/>
  <c r="AF11" i="1"/>
  <c r="AG11" i="1"/>
  <c r="AH11" i="1" s="1"/>
  <c r="N23" i="67"/>
  <c r="Q23" i="67" s="1"/>
  <c r="R23" i="67" s="1"/>
  <c r="T23" i="67" s="1"/>
  <c r="AF63" i="1"/>
  <c r="AG63" i="1"/>
  <c r="AO63" i="1" s="1"/>
  <c r="AH61" i="1"/>
  <c r="AF26" i="1"/>
  <c r="AK61" i="1"/>
  <c r="AL61" i="1" s="1"/>
  <c r="D74" i="113"/>
  <c r="D73" i="80"/>
  <c r="E73" i="80" s="1"/>
  <c r="H73" i="80" s="1"/>
  <c r="D73" i="76"/>
  <c r="I73" i="76" s="1"/>
  <c r="AG46" i="1"/>
  <c r="AK46" i="1" s="1"/>
  <c r="AL46" i="1" s="1"/>
  <c r="AF28" i="1"/>
  <c r="AG52" i="1"/>
  <c r="AK52" i="1" s="1"/>
  <c r="AL52" i="1" s="1"/>
  <c r="AG66" i="1"/>
  <c r="AK66" i="1" s="1"/>
  <c r="AL66" i="1" s="1"/>
  <c r="AF69" i="1"/>
  <c r="AF30" i="1"/>
  <c r="AG16" i="1"/>
  <c r="AH16" i="1" s="1"/>
  <c r="AG70" i="1"/>
  <c r="AH70" i="1" s="1"/>
  <c r="AF5" i="1"/>
  <c r="AF16" i="1"/>
  <c r="AT27" i="1"/>
  <c r="AF66" i="1"/>
  <c r="AG5" i="1"/>
  <c r="AH5" i="1" s="1"/>
  <c r="E39" i="81"/>
  <c r="H39" i="81" s="1"/>
  <c r="N43" i="67"/>
  <c r="Q43" i="67" s="1"/>
  <c r="R43" i="67" s="1"/>
  <c r="T43" i="67" s="1"/>
  <c r="AG69" i="1"/>
  <c r="AH69" i="1" s="1"/>
  <c r="G18" i="139"/>
  <c r="AG15" i="1"/>
  <c r="AO15" i="1" s="1"/>
  <c r="AF70" i="1"/>
  <c r="AT62" i="1"/>
  <c r="C61" i="33"/>
  <c r="AG7" i="1"/>
  <c r="AK7" i="1" s="1"/>
  <c r="AL7" i="1" s="1"/>
  <c r="AF46" i="1"/>
  <c r="AT8" i="1"/>
  <c r="AG45" i="1"/>
  <c r="AK45" i="1" s="1"/>
  <c r="AL45" i="1" s="1"/>
  <c r="D11" i="137" s="1"/>
  <c r="AF64" i="1"/>
  <c r="AF54" i="1"/>
  <c r="AG51" i="1"/>
  <c r="AO51" i="1" s="1"/>
  <c r="AF7" i="1"/>
  <c r="AF36" i="1"/>
  <c r="AG36" i="1"/>
  <c r="AH36" i="1" s="1"/>
  <c r="AF65" i="1"/>
  <c r="AT23" i="1"/>
  <c r="AG72" i="1"/>
  <c r="AK72" i="1" s="1"/>
  <c r="AL72" i="1" s="1"/>
  <c r="AF45" i="1"/>
  <c r="AF72" i="1"/>
  <c r="AF6" i="1"/>
  <c r="AF51" i="1"/>
  <c r="AG28" i="1"/>
  <c r="AO28" i="1" s="1"/>
  <c r="AG6" i="1"/>
  <c r="AH6" i="1" s="1"/>
  <c r="AG14" i="1"/>
  <c r="AK14" i="1" s="1"/>
  <c r="AL14" i="1" s="1"/>
  <c r="H43" i="81"/>
  <c r="AF39" i="1"/>
  <c r="AW58" i="1"/>
  <c r="AQ58" i="1" s="1"/>
  <c r="AG30" i="1"/>
  <c r="AO30" i="1" s="1"/>
  <c r="N46" i="67"/>
  <c r="Q46" i="67" s="1"/>
  <c r="R46" i="67" s="1"/>
  <c r="T46" i="67" s="1"/>
  <c r="AP58" i="1"/>
  <c r="N30" i="67"/>
  <c r="Q30" i="67" s="1"/>
  <c r="R30" i="67" s="1"/>
  <c r="T30" i="67" s="1"/>
  <c r="AT18" i="1"/>
  <c r="AG54" i="1"/>
  <c r="AO54" i="1" s="1"/>
  <c r="AF15" i="1"/>
  <c r="AG64" i="1"/>
  <c r="AO64" i="1" s="1"/>
  <c r="AT32" i="1"/>
  <c r="AK37" i="1"/>
  <c r="AL37" i="1" s="1"/>
  <c r="AG22" i="1"/>
  <c r="AH22" i="1" s="1"/>
  <c r="N12" i="67"/>
  <c r="Q12" i="67" s="1"/>
  <c r="R12" i="67" s="1"/>
  <c r="T12" i="67" s="1"/>
  <c r="AF14" i="1"/>
  <c r="N51" i="67"/>
  <c r="Q51" i="67" s="1"/>
  <c r="R51" i="67" s="1"/>
  <c r="T51" i="67" s="1"/>
  <c r="AF22" i="1"/>
  <c r="AK35" i="1"/>
  <c r="AL35" i="1" s="1"/>
  <c r="N49" i="67"/>
  <c r="Q49" i="67" s="1"/>
  <c r="R49" i="67" s="1"/>
  <c r="T49" i="67" s="1"/>
  <c r="N26" i="67"/>
  <c r="Q26" i="67" s="1"/>
  <c r="R26" i="67" s="1"/>
  <c r="T26" i="67" s="1"/>
  <c r="AO35" i="1"/>
  <c r="AK39" i="1"/>
  <c r="AL39" i="1" s="1"/>
  <c r="AT33" i="1"/>
  <c r="AH39" i="1"/>
  <c r="AT13" i="1"/>
  <c r="AF40" i="1"/>
  <c r="AH50" i="1"/>
  <c r="AH37" i="1"/>
  <c r="AP50" i="1"/>
  <c r="AK50" i="1"/>
  <c r="AL50" i="1" s="1"/>
  <c r="AT17" i="1"/>
  <c r="AW50" i="1"/>
  <c r="AQ50" i="1" s="1"/>
  <c r="H18" i="139"/>
  <c r="AG40" i="1"/>
  <c r="AK40" i="1" s="1"/>
  <c r="AL40" i="1" s="1"/>
  <c r="C53" i="33"/>
  <c r="AF42" i="1"/>
  <c r="AF55" i="1"/>
  <c r="AG56" i="1"/>
  <c r="AK56" i="1" s="1"/>
  <c r="AL56" i="1" s="1"/>
  <c r="AG67" i="1"/>
  <c r="F20" i="139"/>
  <c r="L20" i="139" s="1"/>
  <c r="AF67" i="1"/>
  <c r="AG68" i="1"/>
  <c r="AH68" i="1" s="1"/>
  <c r="AF68" i="1"/>
  <c r="AO59" i="1"/>
  <c r="AF60" i="1"/>
  <c r="AT31" i="1"/>
  <c r="N33" i="67"/>
  <c r="Q33" i="67" s="1"/>
  <c r="R33" i="67" s="1"/>
  <c r="T33" i="67" s="1"/>
  <c r="AT60" i="1"/>
  <c r="N62" i="67"/>
  <c r="Q62" i="67" s="1"/>
  <c r="R62" i="67" s="1"/>
  <c r="T62" i="67" s="1"/>
  <c r="AT42" i="1"/>
  <c r="N44" i="67"/>
  <c r="Q44" i="67" s="1"/>
  <c r="R44" i="67" s="1"/>
  <c r="T44" i="67" s="1"/>
  <c r="AG55" i="1"/>
  <c r="AK43" i="1"/>
  <c r="AL43" i="1" s="1"/>
  <c r="AO43" i="1"/>
  <c r="AH43" i="1"/>
  <c r="N11" i="67"/>
  <c r="Q11" i="67" s="1"/>
  <c r="R11" i="67" s="1"/>
  <c r="T11" i="67" s="1"/>
  <c r="AT9" i="1"/>
  <c r="AF56" i="1"/>
  <c r="AG60" i="1"/>
  <c r="AG31" i="1"/>
  <c r="AF31" i="1"/>
  <c r="AG42" i="1"/>
  <c r="AT55" i="1"/>
  <c r="N57" i="67"/>
  <c r="Q57" i="67" s="1"/>
  <c r="R57" i="67" s="1"/>
  <c r="T57" i="67" s="1"/>
  <c r="AO19" i="1"/>
  <c r="AK19" i="1"/>
  <c r="AL19" i="1" s="1"/>
  <c r="AH19" i="1"/>
  <c r="AF9" i="1"/>
  <c r="AG9" i="1"/>
  <c r="N58" i="67"/>
  <c r="Q58" i="67" s="1"/>
  <c r="R58" i="67" s="1"/>
  <c r="T58" i="67" s="1"/>
  <c r="AT56" i="1"/>
  <c r="N70" i="67"/>
  <c r="Q70" i="67" s="1"/>
  <c r="R70" i="67" s="1"/>
  <c r="T70" i="67" s="1"/>
  <c r="D68" i="100" s="1"/>
  <c r="AT68" i="1"/>
  <c r="V45" i="67"/>
  <c r="W45" i="67" s="1"/>
  <c r="D43" i="72" s="1"/>
  <c r="D43" i="100"/>
  <c r="G36" i="139"/>
  <c r="H36" i="139"/>
  <c r="F34" i="139"/>
  <c r="AK59" i="1"/>
  <c r="AL59" i="1" s="1"/>
  <c r="D59" i="100"/>
  <c r="R69" i="67"/>
  <c r="T69" i="67" s="1"/>
  <c r="R28" i="67"/>
  <c r="T28" i="67" s="1"/>
  <c r="R20" i="67"/>
  <c r="T20" i="67" s="1"/>
  <c r="R74" i="67"/>
  <c r="T74" i="67" s="1"/>
  <c r="R15" i="67"/>
  <c r="T15" i="67" s="1"/>
  <c r="R7" i="67"/>
  <c r="T7" i="67" s="1"/>
  <c r="R31" i="67"/>
  <c r="T31" i="67" s="1"/>
  <c r="R72" i="67"/>
  <c r="T72" i="67" s="1"/>
  <c r="R37" i="67"/>
  <c r="T37" i="67" s="1"/>
  <c r="R41" i="67"/>
  <c r="T41" i="67" s="1"/>
  <c r="R16" i="67"/>
  <c r="T16" i="67" s="1"/>
  <c r="R52" i="67"/>
  <c r="T52" i="67" s="1"/>
  <c r="R54" i="67"/>
  <c r="T54" i="67" s="1"/>
  <c r="R25" i="67"/>
  <c r="T25" i="67" s="1"/>
  <c r="R42" i="67"/>
  <c r="T42" i="67" s="1"/>
  <c r="R50" i="67"/>
  <c r="T50" i="67" s="1"/>
  <c r="R71" i="67"/>
  <c r="T71" i="67" s="1"/>
  <c r="R55" i="67"/>
  <c r="T55" i="67" s="1"/>
  <c r="R24" i="67"/>
  <c r="T24" i="67" s="1"/>
  <c r="R47" i="67"/>
  <c r="T47" i="67" s="1"/>
  <c r="R56" i="67"/>
  <c r="T56" i="67" s="1"/>
  <c r="R39" i="67"/>
  <c r="T39" i="67" s="1"/>
  <c r="R36" i="67"/>
  <c r="T36" i="67" s="1"/>
  <c r="R66" i="67"/>
  <c r="T66" i="67" s="1"/>
  <c r="R48" i="67"/>
  <c r="T48" i="67" s="1"/>
  <c r="R53" i="67"/>
  <c r="T53" i="67" s="1"/>
  <c r="R40" i="67"/>
  <c r="T40" i="67" s="1"/>
  <c r="R8" i="67"/>
  <c r="T8" i="67" s="1"/>
  <c r="R59" i="67"/>
  <c r="T59" i="67" s="1"/>
  <c r="R64" i="67"/>
  <c r="T64" i="67" s="1"/>
  <c r="R17" i="67"/>
  <c r="T17" i="67" s="1"/>
  <c r="R18" i="67"/>
  <c r="T18" i="67" s="1"/>
  <c r="R34" i="67"/>
  <c r="T34" i="67" s="1"/>
  <c r="R13" i="67"/>
  <c r="T13" i="67" s="1"/>
  <c r="R38" i="67"/>
  <c r="T38" i="67" s="1"/>
  <c r="R10" i="67"/>
  <c r="T10" i="67" s="1"/>
  <c r="R65" i="67"/>
  <c r="T65" i="67" s="1"/>
  <c r="R32" i="67"/>
  <c r="T32" i="67" s="1"/>
  <c r="R68" i="67"/>
  <c r="T68" i="67" s="1"/>
  <c r="R67" i="67"/>
  <c r="T67" i="67" s="1"/>
  <c r="R29" i="67"/>
  <c r="T29" i="67" s="1"/>
  <c r="R19" i="67"/>
  <c r="T19" i="67" s="1"/>
  <c r="R9" i="67"/>
  <c r="T9" i="67" s="1"/>
  <c r="R27" i="67"/>
  <c r="T27" i="67" s="1"/>
  <c r="R35" i="67"/>
  <c r="T35" i="67" s="1"/>
  <c r="AH10" i="1"/>
  <c r="AK20" i="1"/>
  <c r="AL20" i="1" s="1"/>
  <c r="AO20" i="1"/>
  <c r="AK10" i="1"/>
  <c r="AL10" i="1" s="1"/>
  <c r="AO33" i="1"/>
  <c r="AH33" i="1"/>
  <c r="AK33" i="1"/>
  <c r="AL33" i="1" s="1"/>
  <c r="AK24" i="1"/>
  <c r="AL24" i="1" s="1"/>
  <c r="AH53" i="1"/>
  <c r="AO53" i="1"/>
  <c r="AK53" i="1"/>
  <c r="AL53" i="1" s="1"/>
  <c r="AP39" i="1"/>
  <c r="AO24" i="1"/>
  <c r="C42" i="33"/>
  <c r="AW39" i="1"/>
  <c r="AV39" i="1" s="1"/>
  <c r="AO25" i="1"/>
  <c r="AK25" i="1"/>
  <c r="AL25" i="1" s="1"/>
  <c r="AH25" i="1"/>
  <c r="AH27" i="1"/>
  <c r="AO27" i="1"/>
  <c r="AK27" i="1"/>
  <c r="AL27" i="1" s="1"/>
  <c r="AO41" i="1"/>
  <c r="AH41" i="1"/>
  <c r="AK41" i="1"/>
  <c r="AL41" i="1" s="1"/>
  <c r="D12" i="137" s="1"/>
  <c r="AO49" i="1"/>
  <c r="AH49" i="1"/>
  <c r="AK49" i="1"/>
  <c r="AL49" i="1" s="1"/>
  <c r="AO48" i="1"/>
  <c r="AK48" i="1"/>
  <c r="AL48" i="1" s="1"/>
  <c r="AH48" i="1"/>
  <c r="AK17" i="1"/>
  <c r="AL17" i="1" s="1"/>
  <c r="AH17" i="1"/>
  <c r="AO17" i="1"/>
  <c r="AO13" i="1"/>
  <c r="AH13" i="1"/>
  <c r="AK13" i="1"/>
  <c r="AL13" i="1" s="1"/>
  <c r="AO62" i="1"/>
  <c r="AK62" i="1"/>
  <c r="AL62" i="1" s="1"/>
  <c r="AH62" i="1"/>
  <c r="AO29" i="1"/>
  <c r="AK29" i="1"/>
  <c r="AL29" i="1" s="1"/>
  <c r="AH29" i="1"/>
  <c r="AK8" i="1"/>
  <c r="AL8" i="1" s="1"/>
  <c r="D10" i="137" s="1"/>
  <c r="AH8" i="1"/>
  <c r="AO8" i="1"/>
  <c r="AO38" i="1"/>
  <c r="AH38" i="1"/>
  <c r="AK32" i="1"/>
  <c r="AL32" i="1" s="1"/>
  <c r="D14" i="137" s="1"/>
  <c r="AH32" i="1"/>
  <c r="AO32" i="1"/>
  <c r="AH65" i="1"/>
  <c r="AO65" i="1"/>
  <c r="AK65" i="1"/>
  <c r="AL65" i="1" s="1"/>
  <c r="AO21" i="1"/>
  <c r="AH21" i="1"/>
  <c r="AK21" i="1"/>
  <c r="AL21" i="1" s="1"/>
  <c r="AK26" i="1"/>
  <c r="AL26" i="1" s="1"/>
  <c r="AH26" i="1"/>
  <c r="AO26" i="1"/>
  <c r="AO18" i="1"/>
  <c r="AK18" i="1"/>
  <c r="AL18" i="1" s="1"/>
  <c r="AH18" i="1"/>
  <c r="C64" i="33"/>
  <c r="AW61" i="1"/>
  <c r="AP61" i="1"/>
  <c r="AH23" i="1"/>
  <c r="AK23" i="1"/>
  <c r="AL23" i="1" s="1"/>
  <c r="AO23" i="1"/>
  <c r="AH44" i="1"/>
  <c r="AK44" i="1"/>
  <c r="AL44" i="1" s="1"/>
  <c r="AO44" i="1"/>
  <c r="AO47" i="1"/>
  <c r="AK47" i="1"/>
  <c r="AL47" i="1" s="1"/>
  <c r="AH47" i="1"/>
  <c r="AW10" i="1"/>
  <c r="AP10" i="1"/>
  <c r="C13" i="33"/>
  <c r="AO57" i="1"/>
  <c r="AH57" i="1"/>
  <c r="AK57" i="1"/>
  <c r="AL57" i="1" s="1"/>
  <c r="AK34" i="1"/>
  <c r="AL34" i="1" s="1"/>
  <c r="AO34" i="1"/>
  <c r="AH34" i="1"/>
  <c r="AP37" i="1"/>
  <c r="AW37" i="1"/>
  <c r="C40" i="33"/>
  <c r="G25" i="81"/>
  <c r="H25" i="81"/>
  <c r="X73" i="1"/>
  <c r="W73" i="1"/>
  <c r="E27" i="81"/>
  <c r="AC12" i="1"/>
  <c r="Z73" i="1"/>
  <c r="V12" i="1"/>
  <c r="U73" i="1"/>
  <c r="F17" i="166" s="1"/>
  <c r="AG4" i="1"/>
  <c r="AF4" i="1"/>
  <c r="Q6" i="67"/>
  <c r="D61" i="140" l="1"/>
  <c r="E61" i="140" s="1"/>
  <c r="H61" i="140" s="1"/>
  <c r="L61" i="140" s="1"/>
  <c r="N61" i="140" s="1"/>
  <c r="D61" i="141"/>
  <c r="E61" i="141" s="1"/>
  <c r="H61" i="141" s="1"/>
  <c r="L61" i="141" s="1"/>
  <c r="N61" i="141" s="1"/>
  <c r="D60" i="76"/>
  <c r="D61" i="113"/>
  <c r="D60" i="80"/>
  <c r="H26" i="33"/>
  <c r="F25" i="33" s="1"/>
  <c r="G26" i="33"/>
  <c r="E74" i="113"/>
  <c r="H74" i="113" s="1"/>
  <c r="D74" i="115"/>
  <c r="E74" i="115" s="1"/>
  <c r="H74" i="115" s="1"/>
  <c r="D74" i="116"/>
  <c r="E74" i="116" s="1"/>
  <c r="H74" i="116" s="1"/>
  <c r="D74" i="117"/>
  <c r="E74" i="117" s="1"/>
  <c r="H74" i="117" s="1"/>
  <c r="D74" i="118"/>
  <c r="E74" i="118" s="1"/>
  <c r="H74" i="118" s="1"/>
  <c r="D74" i="119"/>
  <c r="E74" i="119" s="1"/>
  <c r="H74" i="119" s="1"/>
  <c r="D74" i="120"/>
  <c r="E74" i="120" s="1"/>
  <c r="H74" i="120" s="1"/>
  <c r="D74" i="125"/>
  <c r="E74" i="125" s="1"/>
  <c r="H74" i="125" s="1"/>
  <c r="D74" i="126"/>
  <c r="E74" i="126" s="1"/>
  <c r="H74" i="126" s="1"/>
  <c r="D74" i="127"/>
  <c r="E74" i="127" s="1"/>
  <c r="H74" i="127" s="1"/>
  <c r="D74" i="128"/>
  <c r="E74" i="128" s="1"/>
  <c r="H74" i="128" s="1"/>
  <c r="D74" i="129"/>
  <c r="E74" i="129" s="1"/>
  <c r="H74" i="129" s="1"/>
  <c r="D74" i="131"/>
  <c r="E74" i="131" s="1"/>
  <c r="H74" i="131" s="1"/>
  <c r="D74" i="144"/>
  <c r="E74" i="144" s="1"/>
  <c r="H74" i="144" s="1"/>
  <c r="L74" i="144" s="1"/>
  <c r="D74" i="145"/>
  <c r="E74" i="145" s="1"/>
  <c r="H74" i="145" s="1"/>
  <c r="L74" i="145" s="1"/>
  <c r="M74" i="145" s="1"/>
  <c r="D74" i="146"/>
  <c r="E74" i="146" s="1"/>
  <c r="H74" i="146" s="1"/>
  <c r="L74" i="146" s="1"/>
  <c r="M74" i="146" s="1"/>
  <c r="D74" i="147"/>
  <c r="E74" i="147" s="1"/>
  <c r="H74" i="147" s="1"/>
  <c r="L74" i="147" s="1"/>
  <c r="M74" i="147" s="1"/>
  <c r="D74" i="148"/>
  <c r="E74" i="148" s="1"/>
  <c r="H74" i="148" s="1"/>
  <c r="L74" i="148" s="1"/>
  <c r="M74" i="148" s="1"/>
  <c r="D74" i="149"/>
  <c r="E74" i="149" s="1"/>
  <c r="H74" i="149" s="1"/>
  <c r="L74" i="149" s="1"/>
  <c r="M74" i="149" s="1"/>
  <c r="D74" i="151"/>
  <c r="E74" i="151" s="1"/>
  <c r="H74" i="151" s="1"/>
  <c r="L74" i="151" s="1"/>
  <c r="D74" i="152"/>
  <c r="E74" i="152" s="1"/>
  <c r="H74" i="152" s="1"/>
  <c r="L74" i="152" s="1"/>
  <c r="D74" i="153"/>
  <c r="E74" i="153" s="1"/>
  <c r="H74" i="153" s="1"/>
  <c r="L74" i="153" s="1"/>
  <c r="M74" i="153" s="1"/>
  <c r="D74" i="114"/>
  <c r="E74" i="114" s="1"/>
  <c r="H74" i="114" s="1"/>
  <c r="D7" i="137"/>
  <c r="D13" i="137"/>
  <c r="E13" i="137" s="1"/>
  <c r="H13" i="137" s="1"/>
  <c r="D8" i="137"/>
  <c r="N74" i="141"/>
  <c r="R74" i="141" s="1"/>
  <c r="N74" i="140"/>
  <c r="R74" i="140" s="1"/>
  <c r="G17" i="166"/>
  <c r="H17" i="166"/>
  <c r="G62" i="166"/>
  <c r="D37" i="141"/>
  <c r="D37" i="140"/>
  <c r="D47" i="141"/>
  <c r="D47" i="140"/>
  <c r="E47" i="140" s="1"/>
  <c r="H47" i="140" s="1"/>
  <c r="L47" i="140" s="1"/>
  <c r="N47" i="140" s="1"/>
  <c r="R47" i="140" s="1"/>
  <c r="D21" i="141"/>
  <c r="D21" i="140"/>
  <c r="D29" i="141"/>
  <c r="D29" i="140"/>
  <c r="E29" i="140" s="1"/>
  <c r="H29" i="140" s="1"/>
  <c r="L29" i="140" s="1"/>
  <c r="N29" i="140" s="1"/>
  <c r="R29" i="140" s="1"/>
  <c r="D68" i="141"/>
  <c r="D68" i="140"/>
  <c r="D65" i="141"/>
  <c r="D65" i="140"/>
  <c r="E65" i="140" s="1"/>
  <c r="H65" i="140" s="1"/>
  <c r="L65" i="140" s="1"/>
  <c r="N65" i="140" s="1"/>
  <c r="R65" i="140" s="1"/>
  <c r="D16" i="141"/>
  <c r="D16" i="140"/>
  <c r="D44" i="141"/>
  <c r="E44" i="141" s="1"/>
  <c r="H44" i="141" s="1"/>
  <c r="L44" i="141" s="1"/>
  <c r="N44" i="141" s="1"/>
  <c r="R44" i="141" s="1"/>
  <c r="D44" i="140"/>
  <c r="D27" i="141"/>
  <c r="D27" i="140"/>
  <c r="D13" i="141"/>
  <c r="D13" i="140"/>
  <c r="D23" i="141"/>
  <c r="D23" i="140"/>
  <c r="E23" i="140" s="1"/>
  <c r="H23" i="140" s="1"/>
  <c r="L23" i="140" s="1"/>
  <c r="N23" i="140" s="1"/>
  <c r="R23" i="140" s="1"/>
  <c r="D59" i="141"/>
  <c r="D59" i="140"/>
  <c r="D40" i="141"/>
  <c r="D40" i="140"/>
  <c r="E40" i="140" s="1"/>
  <c r="H40" i="140" s="1"/>
  <c r="L40" i="140" s="1"/>
  <c r="D55" i="141"/>
  <c r="D55" i="140"/>
  <c r="D49" i="141"/>
  <c r="E49" i="141" s="1"/>
  <c r="H49" i="141" s="1"/>
  <c r="L49" i="141" s="1"/>
  <c r="D49" i="140"/>
  <c r="E49" i="140" s="1"/>
  <c r="H49" i="140" s="1"/>
  <c r="L49" i="140" s="1"/>
  <c r="D60" i="141"/>
  <c r="D60" i="140"/>
  <c r="E60" i="140" s="1"/>
  <c r="H60" i="140" s="1"/>
  <c r="L60" i="140" s="1"/>
  <c r="N60" i="140" s="1"/>
  <c r="R60" i="140" s="1"/>
  <c r="D50" i="141"/>
  <c r="D50" i="140"/>
  <c r="D26" i="141"/>
  <c r="D26" i="140"/>
  <c r="E26" i="140" s="1"/>
  <c r="H26" i="140" s="1"/>
  <c r="L26" i="140" s="1"/>
  <c r="N26" i="140" s="1"/>
  <c r="R26" i="140" s="1"/>
  <c r="D24" i="141"/>
  <c r="D24" i="140"/>
  <c r="D35" i="141"/>
  <c r="D35" i="140"/>
  <c r="D41" i="141"/>
  <c r="D41" i="140"/>
  <c r="E41" i="140" s="1"/>
  <c r="H41" i="140" s="1"/>
  <c r="L41" i="140" s="1"/>
  <c r="N41" i="140" s="1"/>
  <c r="R41" i="140" s="1"/>
  <c r="D11" i="141"/>
  <c r="D11" i="140"/>
  <c r="E11" i="140" s="1"/>
  <c r="H11" i="140" s="1"/>
  <c r="L11" i="140" s="1"/>
  <c r="N11" i="140" s="1"/>
  <c r="R11" i="140" s="1"/>
  <c r="D32" i="141"/>
  <c r="E32" i="141" s="1"/>
  <c r="H32" i="141" s="1"/>
  <c r="L32" i="141" s="1"/>
  <c r="N32" i="141" s="1"/>
  <c r="R32" i="141" s="1"/>
  <c r="D32" i="140"/>
  <c r="D20" i="141"/>
  <c r="D20" i="140"/>
  <c r="D51" i="141"/>
  <c r="E51" i="141" s="1"/>
  <c r="H51" i="141" s="1"/>
  <c r="L51" i="141" s="1"/>
  <c r="N51" i="141" s="1"/>
  <c r="R51" i="141" s="1"/>
  <c r="D51" i="140"/>
  <c r="D52" i="141"/>
  <c r="D52" i="140"/>
  <c r="D30" i="141"/>
  <c r="E30" i="141" s="1"/>
  <c r="H30" i="141" s="1"/>
  <c r="L30" i="141" s="1"/>
  <c r="N30" i="141" s="1"/>
  <c r="R30" i="141" s="1"/>
  <c r="D30" i="140"/>
  <c r="D28" i="141"/>
  <c r="D28" i="140"/>
  <c r="D56" i="141"/>
  <c r="D56" i="140"/>
  <c r="D36" i="141"/>
  <c r="D36" i="140"/>
  <c r="D62" i="141"/>
  <c r="D62" i="140"/>
  <c r="E62" i="140" s="1"/>
  <c r="H62" i="140" s="1"/>
  <c r="L62" i="140" s="1"/>
  <c r="N62" i="140" s="1"/>
  <c r="R62" i="140" s="1"/>
  <c r="D22" i="141"/>
  <c r="E22" i="141" s="1"/>
  <c r="H22" i="141" s="1"/>
  <c r="L22" i="141" s="1"/>
  <c r="N22" i="141" s="1"/>
  <c r="R22" i="141" s="1"/>
  <c r="D22" i="140"/>
  <c r="D46" i="141"/>
  <c r="D46" i="140"/>
  <c r="D43" i="141"/>
  <c r="D43" i="140"/>
  <c r="D53" i="141"/>
  <c r="D53" i="140"/>
  <c r="E53" i="140" s="1"/>
  <c r="H53" i="140" s="1"/>
  <c r="L53" i="140" s="1"/>
  <c r="D42" i="141"/>
  <c r="E42" i="141" s="1"/>
  <c r="H42" i="141" s="1"/>
  <c r="L42" i="141" s="1"/>
  <c r="D42" i="140"/>
  <c r="E42" i="140" s="1"/>
  <c r="H42" i="140" s="1"/>
  <c r="L42" i="140" s="1"/>
  <c r="D38" i="141"/>
  <c r="E38" i="141" s="1"/>
  <c r="H38" i="141" s="1"/>
  <c r="L38" i="141" s="1"/>
  <c r="N38" i="141" s="1"/>
  <c r="R38" i="141" s="1"/>
  <c r="D38" i="140"/>
  <c r="D17" i="141"/>
  <c r="D17" i="140"/>
  <c r="E17" i="140" s="1"/>
  <c r="H17" i="140" s="1"/>
  <c r="L17" i="140" s="1"/>
  <c r="N17" i="140" s="1"/>
  <c r="R17" i="140" s="1"/>
  <c r="D75" i="141"/>
  <c r="D75" i="140"/>
  <c r="D48" i="141"/>
  <c r="D48" i="140"/>
  <c r="D10" i="141"/>
  <c r="D10" i="140"/>
  <c r="D69" i="141"/>
  <c r="D69" i="140"/>
  <c r="E69" i="140" s="1"/>
  <c r="H69" i="140" s="1"/>
  <c r="L69" i="140" s="1"/>
  <c r="N69" i="140" s="1"/>
  <c r="R69" i="140" s="1"/>
  <c r="D64" i="141"/>
  <c r="D64" i="140"/>
  <c r="E64" i="140" s="1"/>
  <c r="H64" i="140" s="1"/>
  <c r="L64" i="140" s="1"/>
  <c r="AH63" i="1"/>
  <c r="C74" i="33"/>
  <c r="AW71" i="1"/>
  <c r="AQ71" i="1" s="1"/>
  <c r="AP71" i="1"/>
  <c r="D73" i="67" s="1"/>
  <c r="AK63" i="1"/>
  <c r="AL63" i="1" s="1"/>
  <c r="D63" i="80"/>
  <c r="E63" i="80" s="1"/>
  <c r="H63" i="80" s="1"/>
  <c r="AH52" i="1"/>
  <c r="D64" i="113"/>
  <c r="D63" i="76"/>
  <c r="E63" i="76" s="1"/>
  <c r="H63" i="76" s="1"/>
  <c r="E55" i="141"/>
  <c r="H55" i="141" s="1"/>
  <c r="L55" i="141" s="1"/>
  <c r="AO52" i="1"/>
  <c r="D48" i="80"/>
  <c r="E48" i="80" s="1"/>
  <c r="H48" i="80" s="1"/>
  <c r="AO70" i="1"/>
  <c r="E64" i="141"/>
  <c r="H64" i="141" s="1"/>
  <c r="L64" i="141" s="1"/>
  <c r="AH46" i="1"/>
  <c r="AO46" i="1"/>
  <c r="D55" i="113"/>
  <c r="D68" i="76"/>
  <c r="I68" i="76" s="1"/>
  <c r="M74" i="151"/>
  <c r="AK11" i="1"/>
  <c r="AL11" i="1" s="1"/>
  <c r="AO11" i="1"/>
  <c r="M74" i="152"/>
  <c r="N74" i="152" s="1"/>
  <c r="P74" i="152" s="1"/>
  <c r="I73" i="80"/>
  <c r="E73" i="76"/>
  <c r="H73" i="76" s="1"/>
  <c r="D61" i="76"/>
  <c r="E61" i="76" s="1"/>
  <c r="H61" i="76" s="1"/>
  <c r="E8" i="137"/>
  <c r="E7" i="137"/>
  <c r="D54" i="76"/>
  <c r="I54" i="76" s="1"/>
  <c r="D54" i="80"/>
  <c r="E54" i="80" s="1"/>
  <c r="H54" i="80" s="1"/>
  <c r="D49" i="113"/>
  <c r="D48" i="76"/>
  <c r="E48" i="76" s="1"/>
  <c r="H48" i="76" s="1"/>
  <c r="D69" i="113"/>
  <c r="E55" i="140"/>
  <c r="H55" i="140" s="1"/>
  <c r="L55" i="140" s="1"/>
  <c r="AH28" i="1"/>
  <c r="AH64" i="1"/>
  <c r="D68" i="80"/>
  <c r="I68" i="80" s="1"/>
  <c r="E69" i="141"/>
  <c r="H69" i="141" s="1"/>
  <c r="L69" i="141" s="1"/>
  <c r="AO66" i="1"/>
  <c r="AH66" i="1"/>
  <c r="AO16" i="1"/>
  <c r="AK5" i="1"/>
  <c r="AL5" i="1" s="1"/>
  <c r="AK16" i="1"/>
  <c r="AL16" i="1" s="1"/>
  <c r="AH51" i="1"/>
  <c r="AO45" i="1"/>
  <c r="AK70" i="1"/>
  <c r="AL70" i="1" s="1"/>
  <c r="AO68" i="1"/>
  <c r="AO69" i="1"/>
  <c r="C38" i="33"/>
  <c r="AO5" i="1"/>
  <c r="AH15" i="1"/>
  <c r="G39" i="81"/>
  <c r="AK36" i="1"/>
  <c r="AL36" i="1" s="1"/>
  <c r="AO36" i="1"/>
  <c r="AP36" i="1" s="1"/>
  <c r="D60" i="67"/>
  <c r="E60" i="67" s="1"/>
  <c r="F60" i="67" s="1"/>
  <c r="AH45" i="1"/>
  <c r="AK69" i="1"/>
  <c r="AL69" i="1" s="1"/>
  <c r="AK51" i="1"/>
  <c r="AL51" i="1" s="1"/>
  <c r="AH72" i="1"/>
  <c r="AK15" i="1"/>
  <c r="AL15" i="1" s="1"/>
  <c r="AH7" i="1"/>
  <c r="D41" i="76"/>
  <c r="E41" i="76" s="1"/>
  <c r="H41" i="76" s="1"/>
  <c r="AO72" i="1"/>
  <c r="AO7" i="1"/>
  <c r="AK64" i="1"/>
  <c r="AL64" i="1" s="1"/>
  <c r="C31" i="33"/>
  <c r="AK30" i="1"/>
  <c r="AL30" i="1" s="1"/>
  <c r="AH30" i="1"/>
  <c r="AH14" i="1"/>
  <c r="AP28" i="1"/>
  <c r="D30" i="67" s="1"/>
  <c r="E30" i="67" s="1"/>
  <c r="F30" i="67" s="1"/>
  <c r="AO14" i="1"/>
  <c r="AK28" i="1"/>
  <c r="AL28" i="1" s="1"/>
  <c r="AW28" i="1"/>
  <c r="AQ28" i="1" s="1"/>
  <c r="AO6" i="1"/>
  <c r="AK54" i="1"/>
  <c r="AL54" i="1" s="1"/>
  <c r="D6" i="137" s="1"/>
  <c r="AK6" i="1"/>
  <c r="AL6" i="1" s="1"/>
  <c r="D38" i="113"/>
  <c r="D41" i="80"/>
  <c r="E41" i="80" s="1"/>
  <c r="H41" i="80" s="1"/>
  <c r="D42" i="113"/>
  <c r="D4" i="31"/>
  <c r="E38" i="140"/>
  <c r="H38" i="140" s="1"/>
  <c r="L38" i="140" s="1"/>
  <c r="N38" i="140" s="1"/>
  <c r="R38" i="140" s="1"/>
  <c r="AX58" i="1"/>
  <c r="AV58" i="1"/>
  <c r="D39" i="80"/>
  <c r="E39" i="80" s="1"/>
  <c r="H39" i="80" s="1"/>
  <c r="D39" i="76"/>
  <c r="E39" i="76" s="1"/>
  <c r="H39" i="76" s="1"/>
  <c r="AH54" i="1"/>
  <c r="D37" i="76"/>
  <c r="E37" i="76" s="1"/>
  <c r="H37" i="76" s="1"/>
  <c r="E40" i="141"/>
  <c r="H40" i="141" s="1"/>
  <c r="L40" i="141" s="1"/>
  <c r="N40" i="141" s="1"/>
  <c r="R40" i="141" s="1"/>
  <c r="D40" i="113"/>
  <c r="D37" i="80"/>
  <c r="I37" i="80" s="1"/>
  <c r="AK22" i="1"/>
  <c r="AL22" i="1" s="1"/>
  <c r="D52" i="67"/>
  <c r="AO22" i="1"/>
  <c r="AW35" i="1"/>
  <c r="AQ35" i="1" s="1"/>
  <c r="AX50" i="1"/>
  <c r="AV50" i="1"/>
  <c r="AK68" i="1"/>
  <c r="AL68" i="1" s="1"/>
  <c r="D5" i="137" s="1"/>
  <c r="AH40" i="1"/>
  <c r="D53" i="113"/>
  <c r="AP35" i="1"/>
  <c r="D37" i="67" s="1"/>
  <c r="E53" i="141"/>
  <c r="H53" i="141" s="1"/>
  <c r="L53" i="141" s="1"/>
  <c r="AO40" i="1"/>
  <c r="H20" i="139"/>
  <c r="D52" i="76"/>
  <c r="E52" i="76" s="1"/>
  <c r="H52" i="76" s="1"/>
  <c r="D52" i="80"/>
  <c r="E52" i="80" s="1"/>
  <c r="H52" i="80" s="1"/>
  <c r="G20" i="139"/>
  <c r="AH56" i="1"/>
  <c r="AO56" i="1"/>
  <c r="AW24" i="1"/>
  <c r="AX24" i="1" s="1"/>
  <c r="F19" i="139"/>
  <c r="L19" i="139" s="1"/>
  <c r="D7" i="46"/>
  <c r="E7" i="46" s="1"/>
  <c r="H7" i="46" s="1"/>
  <c r="C62" i="33"/>
  <c r="AH67" i="1"/>
  <c r="AO67" i="1"/>
  <c r="AK67" i="1"/>
  <c r="AL67" i="1" s="1"/>
  <c r="AP59" i="1"/>
  <c r="AW59" i="1"/>
  <c r="AV59" i="1" s="1"/>
  <c r="V70" i="67"/>
  <c r="W70" i="67" s="1"/>
  <c r="D68" i="72" s="1"/>
  <c r="F32" i="139"/>
  <c r="L32" i="139" s="1"/>
  <c r="L34" i="139"/>
  <c r="N74" i="148"/>
  <c r="P74" i="148" s="1"/>
  <c r="T74" i="148" s="1"/>
  <c r="N74" i="146"/>
  <c r="P74" i="146" s="1"/>
  <c r="T74" i="146" s="1"/>
  <c r="N74" i="151"/>
  <c r="P74" i="151" s="1"/>
  <c r="T74" i="151" s="1"/>
  <c r="N74" i="147"/>
  <c r="P74" i="147" s="1"/>
  <c r="T74" i="147" s="1"/>
  <c r="N74" i="145"/>
  <c r="P74" i="145" s="1"/>
  <c r="N74" i="153"/>
  <c r="P74" i="153" s="1"/>
  <c r="T74" i="153" s="1"/>
  <c r="N74" i="149"/>
  <c r="P74" i="149" s="1"/>
  <c r="T74" i="149" s="1"/>
  <c r="AK9" i="1"/>
  <c r="AL9" i="1" s="1"/>
  <c r="AH9" i="1"/>
  <c r="AO9" i="1"/>
  <c r="AP19" i="1"/>
  <c r="AW19" i="1"/>
  <c r="C22" i="33"/>
  <c r="AK31" i="1"/>
  <c r="AL31" i="1" s="1"/>
  <c r="AH31" i="1"/>
  <c r="AO31" i="1"/>
  <c r="AH60" i="1"/>
  <c r="AO60" i="1"/>
  <c r="AK60" i="1"/>
  <c r="AL60" i="1" s="1"/>
  <c r="E46" i="140"/>
  <c r="H46" i="140" s="1"/>
  <c r="L46" i="140" s="1"/>
  <c r="N46" i="140" s="1"/>
  <c r="R46" i="140" s="1"/>
  <c r="D45" i="76"/>
  <c r="E45" i="76" s="1"/>
  <c r="H45" i="76" s="1"/>
  <c r="D46" i="113"/>
  <c r="E46" i="141"/>
  <c r="H46" i="141" s="1"/>
  <c r="L46" i="141" s="1"/>
  <c r="N46" i="141" s="1"/>
  <c r="R46" i="141" s="1"/>
  <c r="D45" i="80"/>
  <c r="E45" i="80" s="1"/>
  <c r="H45" i="80" s="1"/>
  <c r="AH55" i="1"/>
  <c r="AO55" i="1"/>
  <c r="AK55" i="1"/>
  <c r="AL55" i="1" s="1"/>
  <c r="D23" i="113"/>
  <c r="E22" i="140"/>
  <c r="H22" i="140" s="1"/>
  <c r="L22" i="140" s="1"/>
  <c r="N22" i="140" s="1"/>
  <c r="R22" i="140" s="1"/>
  <c r="D22" i="113"/>
  <c r="D21" i="80"/>
  <c r="D21" i="76"/>
  <c r="AH42" i="1"/>
  <c r="AO42" i="1"/>
  <c r="AK42" i="1"/>
  <c r="AL42" i="1" s="1"/>
  <c r="AW43" i="1"/>
  <c r="AQ43" i="1" s="1"/>
  <c r="AP43" i="1"/>
  <c r="C46" i="33"/>
  <c r="E59" i="141"/>
  <c r="H59" i="141" s="1"/>
  <c r="L59" i="141" s="1"/>
  <c r="N59" i="141" s="1"/>
  <c r="R59" i="141" s="1"/>
  <c r="E59" i="140"/>
  <c r="H59" i="140" s="1"/>
  <c r="L59" i="140" s="1"/>
  <c r="N59" i="140" s="1"/>
  <c r="R59" i="140" s="1"/>
  <c r="D58" i="80"/>
  <c r="D59" i="113"/>
  <c r="D58" i="76"/>
  <c r="D9" i="46"/>
  <c r="E9" i="46" s="1"/>
  <c r="H9" i="46" s="1"/>
  <c r="D22" i="76"/>
  <c r="I22" i="76" s="1"/>
  <c r="AP20" i="1"/>
  <c r="D62" i="113"/>
  <c r="D61" i="80"/>
  <c r="I61" i="80" s="1"/>
  <c r="V61" i="67"/>
  <c r="W61" i="67" s="1"/>
  <c r="D59" i="72" s="1"/>
  <c r="E60" i="141"/>
  <c r="H60" i="141" s="1"/>
  <c r="L60" i="141" s="1"/>
  <c r="N60" i="141" s="1"/>
  <c r="R60" i="141" s="1"/>
  <c r="E68" i="141"/>
  <c r="H68" i="141" s="1"/>
  <c r="L68" i="141" s="1"/>
  <c r="N68" i="141" s="1"/>
  <c r="R68" i="141" s="1"/>
  <c r="E68" i="140"/>
  <c r="H68" i="140" s="1"/>
  <c r="L68" i="140" s="1"/>
  <c r="N68" i="140" s="1"/>
  <c r="R68" i="140" s="1"/>
  <c r="E17" i="141"/>
  <c r="H17" i="141" s="1"/>
  <c r="L17" i="141" s="1"/>
  <c r="N17" i="141" s="1"/>
  <c r="R17" i="141" s="1"/>
  <c r="E35" i="141"/>
  <c r="H35" i="141" s="1"/>
  <c r="L35" i="141" s="1"/>
  <c r="N35" i="141" s="1"/>
  <c r="R35" i="141" s="1"/>
  <c r="E35" i="140"/>
  <c r="H35" i="140" s="1"/>
  <c r="L35" i="140" s="1"/>
  <c r="N35" i="140" s="1"/>
  <c r="R35" i="140" s="1"/>
  <c r="E65" i="141"/>
  <c r="H65" i="141" s="1"/>
  <c r="L65" i="141" s="1"/>
  <c r="N65" i="141" s="1"/>
  <c r="R65" i="141" s="1"/>
  <c r="E16" i="141"/>
  <c r="H16" i="141" s="1"/>
  <c r="L16" i="141" s="1"/>
  <c r="N16" i="141" s="1"/>
  <c r="R16" i="141" s="1"/>
  <c r="E16" i="140"/>
  <c r="H16" i="140" s="1"/>
  <c r="L16" i="140" s="1"/>
  <c r="N16" i="140" s="1"/>
  <c r="R16" i="140" s="1"/>
  <c r="E10" i="141"/>
  <c r="H10" i="141" s="1"/>
  <c r="L10" i="141" s="1"/>
  <c r="N10" i="141" s="1"/>
  <c r="R10" i="141" s="1"/>
  <c r="E10" i="140"/>
  <c r="H10" i="140" s="1"/>
  <c r="L10" i="140" s="1"/>
  <c r="N10" i="140" s="1"/>
  <c r="R10" i="140" s="1"/>
  <c r="E30" i="140"/>
  <c r="H30" i="140" s="1"/>
  <c r="L30" i="140" s="1"/>
  <c r="N30" i="140" s="1"/>
  <c r="R30" i="140" s="1"/>
  <c r="E28" i="141"/>
  <c r="H28" i="141" s="1"/>
  <c r="L28" i="141" s="1"/>
  <c r="N28" i="141" s="1"/>
  <c r="R28" i="141" s="1"/>
  <c r="E28" i="140"/>
  <c r="H28" i="140" s="1"/>
  <c r="L28" i="140" s="1"/>
  <c r="N28" i="140" s="1"/>
  <c r="R28" i="140" s="1"/>
  <c r="E56" i="141"/>
  <c r="H56" i="141" s="1"/>
  <c r="L56" i="141" s="1"/>
  <c r="N56" i="141" s="1"/>
  <c r="R56" i="141" s="1"/>
  <c r="E56" i="140"/>
  <c r="H56" i="140" s="1"/>
  <c r="L56" i="140" s="1"/>
  <c r="N56" i="140" s="1"/>
  <c r="R56" i="140" s="1"/>
  <c r="E27" i="141"/>
  <c r="H27" i="141" s="1"/>
  <c r="L27" i="141" s="1"/>
  <c r="N27" i="141" s="1"/>
  <c r="R27" i="141" s="1"/>
  <c r="E27" i="140"/>
  <c r="H27" i="140" s="1"/>
  <c r="L27" i="140" s="1"/>
  <c r="N27" i="140" s="1"/>
  <c r="R27" i="140" s="1"/>
  <c r="E36" i="141"/>
  <c r="H36" i="141" s="1"/>
  <c r="L36" i="141" s="1"/>
  <c r="N36" i="141" s="1"/>
  <c r="R36" i="141" s="1"/>
  <c r="E36" i="140"/>
  <c r="H36" i="140" s="1"/>
  <c r="L36" i="140" s="1"/>
  <c r="N36" i="140" s="1"/>
  <c r="R36" i="140" s="1"/>
  <c r="E23" i="141"/>
  <c r="H23" i="141" s="1"/>
  <c r="L23" i="141" s="1"/>
  <c r="N23" i="141" s="1"/>
  <c r="R23" i="141" s="1"/>
  <c r="E62" i="141"/>
  <c r="H62" i="141" s="1"/>
  <c r="L62" i="141" s="1"/>
  <c r="N62" i="141" s="1"/>
  <c r="R62" i="141" s="1"/>
  <c r="E75" i="141"/>
  <c r="H75" i="141" s="1"/>
  <c r="L75" i="141" s="1"/>
  <c r="N75" i="141" s="1"/>
  <c r="R75" i="141" s="1"/>
  <c r="E75" i="140"/>
  <c r="H75" i="140" s="1"/>
  <c r="L75" i="140" s="1"/>
  <c r="N75" i="140" s="1"/>
  <c r="R75" i="140" s="1"/>
  <c r="E47" i="141"/>
  <c r="H47" i="141" s="1"/>
  <c r="L47" i="141" s="1"/>
  <c r="N47" i="141" s="1"/>
  <c r="R47" i="141" s="1"/>
  <c r="E37" i="141"/>
  <c r="H37" i="141" s="1"/>
  <c r="L37" i="141" s="1"/>
  <c r="N37" i="141" s="1"/>
  <c r="R37" i="141" s="1"/>
  <c r="E37" i="140"/>
  <c r="H37" i="140" s="1"/>
  <c r="L37" i="140" s="1"/>
  <c r="N37" i="140" s="1"/>
  <c r="R37" i="140" s="1"/>
  <c r="E43" i="141"/>
  <c r="H43" i="141" s="1"/>
  <c r="L43" i="141" s="1"/>
  <c r="N43" i="141" s="1"/>
  <c r="R43" i="141" s="1"/>
  <c r="E43" i="140"/>
  <c r="H43" i="140" s="1"/>
  <c r="L43" i="140" s="1"/>
  <c r="N43" i="140" s="1"/>
  <c r="R43" i="140" s="1"/>
  <c r="E50" i="141"/>
  <c r="H50" i="141" s="1"/>
  <c r="L50" i="141" s="1"/>
  <c r="N50" i="141" s="1"/>
  <c r="R50" i="141" s="1"/>
  <c r="E50" i="140"/>
  <c r="H50" i="140" s="1"/>
  <c r="L50" i="140" s="1"/>
  <c r="N50" i="140" s="1"/>
  <c r="R50" i="140" s="1"/>
  <c r="E26" i="141"/>
  <c r="H26" i="141" s="1"/>
  <c r="L26" i="141" s="1"/>
  <c r="N26" i="141" s="1"/>
  <c r="R26" i="141" s="1"/>
  <c r="E21" i="141"/>
  <c r="H21" i="141" s="1"/>
  <c r="L21" i="141" s="1"/>
  <c r="N21" i="141" s="1"/>
  <c r="R21" i="141" s="1"/>
  <c r="E21" i="140"/>
  <c r="H21" i="140" s="1"/>
  <c r="L21" i="140" s="1"/>
  <c r="N21" i="140" s="1"/>
  <c r="R21" i="140" s="1"/>
  <c r="E29" i="141"/>
  <c r="H29" i="141" s="1"/>
  <c r="L29" i="141" s="1"/>
  <c r="N29" i="141" s="1"/>
  <c r="R29" i="141" s="1"/>
  <c r="E24" i="141"/>
  <c r="H24" i="141" s="1"/>
  <c r="L24" i="141" s="1"/>
  <c r="N24" i="141" s="1"/>
  <c r="R24" i="141" s="1"/>
  <c r="E24" i="140"/>
  <c r="H24" i="140" s="1"/>
  <c r="L24" i="140" s="1"/>
  <c r="N24" i="140" s="1"/>
  <c r="R24" i="140" s="1"/>
  <c r="E48" i="141"/>
  <c r="H48" i="141" s="1"/>
  <c r="L48" i="141" s="1"/>
  <c r="N48" i="141" s="1"/>
  <c r="R48" i="141" s="1"/>
  <c r="E48" i="140"/>
  <c r="H48" i="140" s="1"/>
  <c r="L48" i="140" s="1"/>
  <c r="N48" i="140" s="1"/>
  <c r="R48" i="140" s="1"/>
  <c r="E41" i="141"/>
  <c r="H41" i="141" s="1"/>
  <c r="L41" i="141" s="1"/>
  <c r="N41" i="141" s="1"/>
  <c r="R41" i="141" s="1"/>
  <c r="E11" i="141"/>
  <c r="H11" i="141" s="1"/>
  <c r="L11" i="141" s="1"/>
  <c r="N11" i="141" s="1"/>
  <c r="R11" i="141" s="1"/>
  <c r="E32" i="140"/>
  <c r="H32" i="140" s="1"/>
  <c r="L32" i="140" s="1"/>
  <c r="N32" i="140" s="1"/>
  <c r="R32" i="140" s="1"/>
  <c r="E20" i="141"/>
  <c r="H20" i="141" s="1"/>
  <c r="L20" i="141" s="1"/>
  <c r="N20" i="141" s="1"/>
  <c r="R20" i="141" s="1"/>
  <c r="E20" i="140"/>
  <c r="H20" i="140" s="1"/>
  <c r="L20" i="140" s="1"/>
  <c r="N20" i="140" s="1"/>
  <c r="R20" i="140" s="1"/>
  <c r="E51" i="140"/>
  <c r="H51" i="140" s="1"/>
  <c r="L51" i="140" s="1"/>
  <c r="N51" i="140" s="1"/>
  <c r="R51" i="140" s="1"/>
  <c r="E52" i="141"/>
  <c r="H52" i="141" s="1"/>
  <c r="L52" i="141" s="1"/>
  <c r="N52" i="141" s="1"/>
  <c r="R52" i="141" s="1"/>
  <c r="E52" i="140"/>
  <c r="H52" i="140" s="1"/>
  <c r="L52" i="140" s="1"/>
  <c r="N52" i="140" s="1"/>
  <c r="R52" i="140" s="1"/>
  <c r="E44" i="140"/>
  <c r="H44" i="140" s="1"/>
  <c r="L44" i="140" s="1"/>
  <c r="N44" i="140" s="1"/>
  <c r="R44" i="140" s="1"/>
  <c r="E13" i="141"/>
  <c r="H13" i="141" s="1"/>
  <c r="L13" i="141" s="1"/>
  <c r="N13" i="141" s="1"/>
  <c r="R13" i="141" s="1"/>
  <c r="E13" i="140"/>
  <c r="H13" i="140" s="1"/>
  <c r="L13" i="140" s="1"/>
  <c r="N13" i="140" s="1"/>
  <c r="R13" i="140" s="1"/>
  <c r="G86" i="81"/>
  <c r="G72" i="139"/>
  <c r="G34" i="139"/>
  <c r="H34" i="139"/>
  <c r="D41" i="67"/>
  <c r="V11" i="67"/>
  <c r="D9" i="100"/>
  <c r="V60" i="67"/>
  <c r="D58" i="100"/>
  <c r="V33" i="67"/>
  <c r="D31" i="100"/>
  <c r="V44" i="67"/>
  <c r="D42" i="100"/>
  <c r="V62" i="67"/>
  <c r="D60" i="100"/>
  <c r="V73" i="67"/>
  <c r="D71" i="100"/>
  <c r="V21" i="67"/>
  <c r="D19" i="100"/>
  <c r="R6" i="67"/>
  <c r="T6" i="67" s="1"/>
  <c r="L74" i="129"/>
  <c r="AB74" i="33" s="1"/>
  <c r="D11" i="46"/>
  <c r="E11" i="46" s="1"/>
  <c r="H11" i="46" s="1"/>
  <c r="D8" i="46"/>
  <c r="E8" i="46" s="1"/>
  <c r="H8" i="46" s="1"/>
  <c r="D22" i="80"/>
  <c r="E22" i="80" s="1"/>
  <c r="H22" i="80" s="1"/>
  <c r="D10" i="46"/>
  <c r="D6" i="46"/>
  <c r="C23" i="33"/>
  <c r="AW20" i="1"/>
  <c r="AX20" i="1" s="1"/>
  <c r="AX39" i="1"/>
  <c r="D13" i="113"/>
  <c r="AQ39" i="1"/>
  <c r="D12" i="76"/>
  <c r="D12" i="80"/>
  <c r="E12" i="80" s="1"/>
  <c r="H12" i="80" s="1"/>
  <c r="AW16" i="1"/>
  <c r="AQ16" i="1" s="1"/>
  <c r="AP24" i="1"/>
  <c r="C27" i="33"/>
  <c r="AW33" i="1"/>
  <c r="AQ33" i="1" s="1"/>
  <c r="AP33" i="1"/>
  <c r="C36" i="33"/>
  <c r="D35" i="76"/>
  <c r="D35" i="80"/>
  <c r="E35" i="80" s="1"/>
  <c r="H35" i="80" s="1"/>
  <c r="D36" i="113"/>
  <c r="D26" i="76"/>
  <c r="D26" i="80"/>
  <c r="E26" i="80" s="1"/>
  <c r="H26" i="80" s="1"/>
  <c r="D27" i="113"/>
  <c r="D55" i="76"/>
  <c r="D56" i="113"/>
  <c r="D55" i="80"/>
  <c r="E55" i="80" s="1"/>
  <c r="H55" i="80" s="1"/>
  <c r="AP53" i="1"/>
  <c r="C56" i="33"/>
  <c r="AW53" i="1"/>
  <c r="AQ53" i="1" s="1"/>
  <c r="AW25" i="1"/>
  <c r="AQ25" i="1" s="1"/>
  <c r="C28" i="33"/>
  <c r="AP25" i="1"/>
  <c r="D27" i="76"/>
  <c r="I27" i="76" s="1"/>
  <c r="D27" i="80"/>
  <c r="E27" i="80" s="1"/>
  <c r="H27" i="80" s="1"/>
  <c r="D28" i="113"/>
  <c r="D43" i="80"/>
  <c r="E43" i="80" s="1"/>
  <c r="H43" i="80" s="1"/>
  <c r="D43" i="76"/>
  <c r="D44" i="113"/>
  <c r="D50" i="76"/>
  <c r="D50" i="80"/>
  <c r="E50" i="80" s="1"/>
  <c r="H50" i="80" s="1"/>
  <c r="D51" i="113"/>
  <c r="D20" i="113"/>
  <c r="D19" i="76"/>
  <c r="D19" i="80"/>
  <c r="C51" i="33"/>
  <c r="AW48" i="1"/>
  <c r="AQ48" i="1" s="1"/>
  <c r="AP48" i="1"/>
  <c r="D10" i="113"/>
  <c r="D9" i="76"/>
  <c r="D9" i="80"/>
  <c r="AW41" i="1"/>
  <c r="C44" i="33"/>
  <c r="AP41" i="1"/>
  <c r="C30" i="33"/>
  <c r="AP27" i="1"/>
  <c r="AW27" i="1"/>
  <c r="C20" i="33"/>
  <c r="AW17" i="1"/>
  <c r="AP17" i="1"/>
  <c r="D51" i="80"/>
  <c r="E51" i="80" s="1"/>
  <c r="H51" i="80" s="1"/>
  <c r="D51" i="76"/>
  <c r="D52" i="113"/>
  <c r="D30" i="113"/>
  <c r="D29" i="76"/>
  <c r="D29" i="80"/>
  <c r="E29" i="80" s="1"/>
  <c r="H29" i="80" s="1"/>
  <c r="C52" i="33"/>
  <c r="AP49" i="1"/>
  <c r="AW49" i="1"/>
  <c r="AP26" i="1"/>
  <c r="AW26" i="1"/>
  <c r="C29" i="33"/>
  <c r="D64" i="80"/>
  <c r="E64" i="80" s="1"/>
  <c r="H64" i="80" s="1"/>
  <c r="D64" i="76"/>
  <c r="D65" i="113"/>
  <c r="AP57" i="1"/>
  <c r="C60" i="33"/>
  <c r="AW57" i="1"/>
  <c r="AQ57" i="1" s="1"/>
  <c r="D12" i="67"/>
  <c r="E12" i="67" s="1"/>
  <c r="F12" i="67" s="1"/>
  <c r="D75" i="113"/>
  <c r="D74" i="80"/>
  <c r="E74" i="80" s="1"/>
  <c r="H74" i="80" s="1"/>
  <c r="D74" i="76"/>
  <c r="D50" i="113"/>
  <c r="D49" i="80"/>
  <c r="E49" i="80" s="1"/>
  <c r="H49" i="80" s="1"/>
  <c r="D49" i="76"/>
  <c r="C47" i="33"/>
  <c r="AP44" i="1"/>
  <c r="AW44" i="1"/>
  <c r="D48" i="113"/>
  <c r="D47" i="76"/>
  <c r="D47" i="80"/>
  <c r="E47" i="80" s="1"/>
  <c r="H47" i="80" s="1"/>
  <c r="D68" i="113"/>
  <c r="D67" i="80"/>
  <c r="E67" i="80" s="1"/>
  <c r="H67" i="80" s="1"/>
  <c r="D67" i="76"/>
  <c r="AP30" i="1"/>
  <c r="C33" i="33"/>
  <c r="AW30" i="1"/>
  <c r="AW13" i="1"/>
  <c r="AP13" i="1"/>
  <c r="C16" i="33"/>
  <c r="AP64" i="1"/>
  <c r="C67" i="33"/>
  <c r="AW64" i="1"/>
  <c r="AP23" i="1"/>
  <c r="C26" i="33"/>
  <c r="AW23" i="1"/>
  <c r="D41" i="113"/>
  <c r="D40" i="76"/>
  <c r="D40" i="80"/>
  <c r="D11" i="113"/>
  <c r="D10" i="76"/>
  <c r="D10" i="80"/>
  <c r="E10" i="80" s="1"/>
  <c r="H10" i="80" s="1"/>
  <c r="D31" i="76"/>
  <c r="D32" i="113"/>
  <c r="D31" i="80"/>
  <c r="E31" i="80" s="1"/>
  <c r="H31" i="80" s="1"/>
  <c r="AW62" i="1"/>
  <c r="C65" i="33"/>
  <c r="AP62" i="1"/>
  <c r="C37" i="33"/>
  <c r="AP34" i="1"/>
  <c r="AW34" i="1"/>
  <c r="D60" i="113"/>
  <c r="D59" i="76"/>
  <c r="D59" i="80"/>
  <c r="E59" i="80" s="1"/>
  <c r="H59" i="80" s="1"/>
  <c r="D25" i="76"/>
  <c r="I25" i="76" s="1"/>
  <c r="D26" i="113"/>
  <c r="D25" i="80"/>
  <c r="E25" i="80" s="1"/>
  <c r="H25" i="80" s="1"/>
  <c r="AW63" i="1"/>
  <c r="C66" i="33"/>
  <c r="AP63" i="1"/>
  <c r="D21" i="113"/>
  <c r="D20" i="80"/>
  <c r="D20" i="76"/>
  <c r="D28" i="76"/>
  <c r="D28" i="80"/>
  <c r="D29" i="113"/>
  <c r="AW38" i="1"/>
  <c r="C41" i="33"/>
  <c r="AP38" i="1"/>
  <c r="AP29" i="1"/>
  <c r="AW29" i="1"/>
  <c r="C32" i="33"/>
  <c r="D15" i="76"/>
  <c r="D16" i="113"/>
  <c r="D15" i="80"/>
  <c r="E15" i="80" s="1"/>
  <c r="H15" i="80" s="1"/>
  <c r="D39" i="67"/>
  <c r="E39" i="67" s="1"/>
  <c r="F39" i="67" s="1"/>
  <c r="AV10" i="1"/>
  <c r="AQ10" i="1"/>
  <c r="AX10" i="1"/>
  <c r="D42" i="76"/>
  <c r="D43" i="113"/>
  <c r="D42" i="80"/>
  <c r="C50" i="33"/>
  <c r="AW47" i="1"/>
  <c r="AP47" i="1"/>
  <c r="D47" i="113"/>
  <c r="D46" i="80"/>
  <c r="D46" i="76"/>
  <c r="D63" i="67"/>
  <c r="E63" i="67" s="1"/>
  <c r="F63" i="67" s="1"/>
  <c r="AW21" i="1"/>
  <c r="C24" i="33"/>
  <c r="AP21" i="1"/>
  <c r="C68" i="33"/>
  <c r="AW65" i="1"/>
  <c r="AQ65" i="1" s="1"/>
  <c r="AP65" i="1"/>
  <c r="D34" i="80"/>
  <c r="E34" i="80" s="1"/>
  <c r="H34" i="80" s="1"/>
  <c r="D34" i="76"/>
  <c r="D35" i="113"/>
  <c r="AQ37" i="1"/>
  <c r="AV37" i="1"/>
  <c r="AX37" i="1"/>
  <c r="C54" i="33"/>
  <c r="AW51" i="1"/>
  <c r="AP51" i="1"/>
  <c r="D36" i="76"/>
  <c r="D37" i="113"/>
  <c r="D36" i="80"/>
  <c r="E36" i="80" s="1"/>
  <c r="H36" i="80" s="1"/>
  <c r="AP54" i="1"/>
  <c r="C57" i="33"/>
  <c r="AW54" i="1"/>
  <c r="AX61" i="1"/>
  <c r="AV61" i="1"/>
  <c r="AQ61" i="1"/>
  <c r="AW18" i="1"/>
  <c r="C21" i="33"/>
  <c r="AP18" i="1"/>
  <c r="D24" i="113"/>
  <c r="D23" i="80"/>
  <c r="D23" i="76"/>
  <c r="D17" i="113"/>
  <c r="D16" i="80"/>
  <c r="E16" i="80" s="1"/>
  <c r="H16" i="80" s="1"/>
  <c r="D16" i="76"/>
  <c r="AP32" i="1"/>
  <c r="AW32" i="1"/>
  <c r="C35" i="33"/>
  <c r="AW15" i="1"/>
  <c r="AP15" i="1"/>
  <c r="C18" i="33"/>
  <c r="AP8" i="1"/>
  <c r="C11" i="33"/>
  <c r="AW8" i="1"/>
  <c r="H27" i="81"/>
  <c r="G27" i="81"/>
  <c r="E26" i="81"/>
  <c r="V73" i="1"/>
  <c r="AS12" i="1"/>
  <c r="AD12" i="1"/>
  <c r="AC73" i="1"/>
  <c r="AH4" i="1"/>
  <c r="AO4" i="1"/>
  <c r="AK4" i="1"/>
  <c r="D61" i="116" l="1"/>
  <c r="E61" i="116" s="1"/>
  <c r="H61" i="116" s="1"/>
  <c r="D61" i="118"/>
  <c r="E61" i="118" s="1"/>
  <c r="H61" i="118" s="1"/>
  <c r="D61" i="120"/>
  <c r="E61" i="120" s="1"/>
  <c r="H61" i="120" s="1"/>
  <c r="D61" i="126"/>
  <c r="E61" i="126" s="1"/>
  <c r="H61" i="126" s="1"/>
  <c r="D61" i="128"/>
  <c r="E61" i="128" s="1"/>
  <c r="H61" i="128" s="1"/>
  <c r="D61" i="131"/>
  <c r="E61" i="131" s="1"/>
  <c r="H61" i="131" s="1"/>
  <c r="D61" i="145"/>
  <c r="E61" i="145" s="1"/>
  <c r="H61" i="145" s="1"/>
  <c r="L61" i="145" s="1"/>
  <c r="D61" i="147"/>
  <c r="E61" i="147" s="1"/>
  <c r="H61" i="147" s="1"/>
  <c r="L61" i="147" s="1"/>
  <c r="D61" i="149"/>
  <c r="E61" i="149" s="1"/>
  <c r="H61" i="149" s="1"/>
  <c r="L61" i="149" s="1"/>
  <c r="D61" i="152"/>
  <c r="E61" i="152" s="1"/>
  <c r="H61" i="152" s="1"/>
  <c r="L61" i="152" s="1"/>
  <c r="D61" i="114"/>
  <c r="E61" i="114" s="1"/>
  <c r="H61" i="114" s="1"/>
  <c r="E61" i="113"/>
  <c r="H61" i="113" s="1"/>
  <c r="D61" i="115"/>
  <c r="E61" i="115" s="1"/>
  <c r="H61" i="115" s="1"/>
  <c r="D61" i="117"/>
  <c r="E61" i="117" s="1"/>
  <c r="H61" i="117" s="1"/>
  <c r="D61" i="119"/>
  <c r="E61" i="119" s="1"/>
  <c r="H61" i="119" s="1"/>
  <c r="D61" i="125"/>
  <c r="E61" i="125" s="1"/>
  <c r="H61" i="125" s="1"/>
  <c r="D61" i="127"/>
  <c r="E61" i="127" s="1"/>
  <c r="H61" i="127" s="1"/>
  <c r="D61" i="129"/>
  <c r="E61" i="129" s="1"/>
  <c r="H61" i="129" s="1"/>
  <c r="L61" i="129" s="1"/>
  <c r="AB61" i="33" s="1"/>
  <c r="D61" i="144"/>
  <c r="E61" i="144" s="1"/>
  <c r="H61" i="144" s="1"/>
  <c r="L61" i="144" s="1"/>
  <c r="D61" i="146"/>
  <c r="E61" i="146" s="1"/>
  <c r="H61" i="146" s="1"/>
  <c r="L61" i="146" s="1"/>
  <c r="D61" i="148"/>
  <c r="E61" i="148" s="1"/>
  <c r="H61" i="148" s="1"/>
  <c r="L61" i="148" s="1"/>
  <c r="D61" i="151"/>
  <c r="E61" i="151" s="1"/>
  <c r="H61" i="151" s="1"/>
  <c r="L61" i="151" s="1"/>
  <c r="D61" i="153"/>
  <c r="E61" i="153" s="1"/>
  <c r="H61" i="153" s="1"/>
  <c r="L61" i="153" s="1"/>
  <c r="R61" i="141"/>
  <c r="P61" i="141"/>
  <c r="Q61" i="141" s="1"/>
  <c r="E60" i="80"/>
  <c r="H60" i="80" s="1"/>
  <c r="I60" i="80"/>
  <c r="E60" i="76"/>
  <c r="H60" i="76" s="1"/>
  <c r="I60" i="76"/>
  <c r="R61" i="140"/>
  <c r="P61" i="140"/>
  <c r="Q61" i="140" s="1"/>
  <c r="G25" i="33"/>
  <c r="F7" i="33" s="1"/>
  <c r="H25" i="33"/>
  <c r="I16" i="80"/>
  <c r="D17" i="115"/>
  <c r="E17" i="115" s="1"/>
  <c r="H17" i="115" s="1"/>
  <c r="D17" i="116"/>
  <c r="D17" i="117"/>
  <c r="D17" i="118"/>
  <c r="E17" i="118" s="1"/>
  <c r="H17" i="118" s="1"/>
  <c r="D17" i="119"/>
  <c r="D17" i="120"/>
  <c r="E17" i="120" s="1"/>
  <c r="H17" i="120" s="1"/>
  <c r="D17" i="125"/>
  <c r="E17" i="125" s="1"/>
  <c r="H17" i="125" s="1"/>
  <c r="D17" i="126"/>
  <c r="E17" i="126" s="1"/>
  <c r="H17" i="126" s="1"/>
  <c r="D17" i="127"/>
  <c r="D17" i="128"/>
  <c r="D17" i="129"/>
  <c r="D17" i="131"/>
  <c r="E17" i="131" s="1"/>
  <c r="H17" i="131" s="1"/>
  <c r="D17" i="144"/>
  <c r="E17" i="144" s="1"/>
  <c r="H17" i="144" s="1"/>
  <c r="L17" i="144" s="1"/>
  <c r="M17" i="144" s="1"/>
  <c r="D17" i="145"/>
  <c r="E17" i="145" s="1"/>
  <c r="H17" i="145" s="1"/>
  <c r="D17" i="146"/>
  <c r="E17" i="146" s="1"/>
  <c r="H17" i="146" s="1"/>
  <c r="D17" i="147"/>
  <c r="E17" i="147" s="1"/>
  <c r="H17" i="147" s="1"/>
  <c r="D17" i="148"/>
  <c r="E17" i="148" s="1"/>
  <c r="H17" i="148" s="1"/>
  <c r="D17" i="149"/>
  <c r="E17" i="149" s="1"/>
  <c r="H17" i="149" s="1"/>
  <c r="D17" i="151"/>
  <c r="E17" i="151" s="1"/>
  <c r="H17" i="151" s="1"/>
  <c r="D17" i="152"/>
  <c r="E17" i="152" s="1"/>
  <c r="H17" i="152" s="1"/>
  <c r="D17" i="153"/>
  <c r="E17" i="153" s="1"/>
  <c r="H17" i="153" s="1"/>
  <c r="D17" i="114"/>
  <c r="D37" i="115"/>
  <c r="E37" i="115" s="1"/>
  <c r="H37" i="115" s="1"/>
  <c r="D37" i="116"/>
  <c r="D37" i="117"/>
  <c r="D37" i="118"/>
  <c r="E37" i="118" s="1"/>
  <c r="H37" i="118" s="1"/>
  <c r="D37" i="119"/>
  <c r="D37" i="120"/>
  <c r="E37" i="120" s="1"/>
  <c r="H37" i="120" s="1"/>
  <c r="D37" i="125"/>
  <c r="E37" i="125" s="1"/>
  <c r="H37" i="125" s="1"/>
  <c r="D37" i="126"/>
  <c r="E37" i="126" s="1"/>
  <c r="H37" i="126" s="1"/>
  <c r="D37" i="127"/>
  <c r="D37" i="128"/>
  <c r="D37" i="129"/>
  <c r="D37" i="131"/>
  <c r="E37" i="131" s="1"/>
  <c r="H37" i="131" s="1"/>
  <c r="D37" i="144"/>
  <c r="E37" i="144" s="1"/>
  <c r="H37" i="144" s="1"/>
  <c r="L37" i="144" s="1"/>
  <c r="M37" i="144" s="1"/>
  <c r="D37" i="145"/>
  <c r="E37" i="145" s="1"/>
  <c r="H37" i="145" s="1"/>
  <c r="D37" i="146"/>
  <c r="E37" i="146" s="1"/>
  <c r="H37" i="146" s="1"/>
  <c r="D37" i="147"/>
  <c r="E37" i="147" s="1"/>
  <c r="H37" i="147" s="1"/>
  <c r="D37" i="148"/>
  <c r="E37" i="148" s="1"/>
  <c r="H37" i="148" s="1"/>
  <c r="D37" i="149"/>
  <c r="E37" i="149" s="1"/>
  <c r="H37" i="149" s="1"/>
  <c r="D37" i="151"/>
  <c r="E37" i="151" s="1"/>
  <c r="H37" i="151" s="1"/>
  <c r="D37" i="152"/>
  <c r="E37" i="152" s="1"/>
  <c r="H37" i="152" s="1"/>
  <c r="D37" i="153"/>
  <c r="E37" i="153" s="1"/>
  <c r="H37" i="153" s="1"/>
  <c r="D37" i="114"/>
  <c r="D47" i="115"/>
  <c r="E47" i="115" s="1"/>
  <c r="H47" i="115" s="1"/>
  <c r="D47" i="116"/>
  <c r="D47" i="117"/>
  <c r="D47" i="118"/>
  <c r="E47" i="118" s="1"/>
  <c r="H47" i="118" s="1"/>
  <c r="D47" i="119"/>
  <c r="D47" i="120"/>
  <c r="E47" i="120" s="1"/>
  <c r="H47" i="120" s="1"/>
  <c r="D47" i="125"/>
  <c r="E47" i="125" s="1"/>
  <c r="H47" i="125" s="1"/>
  <c r="D47" i="126"/>
  <c r="E47" i="126" s="1"/>
  <c r="H47" i="126" s="1"/>
  <c r="D47" i="127"/>
  <c r="D47" i="128"/>
  <c r="D47" i="129"/>
  <c r="D47" i="131"/>
  <c r="E47" i="131" s="1"/>
  <c r="H47" i="131" s="1"/>
  <c r="D47" i="144"/>
  <c r="E47" i="144" s="1"/>
  <c r="H47" i="144" s="1"/>
  <c r="D47" i="145"/>
  <c r="E47" i="145" s="1"/>
  <c r="H47" i="145" s="1"/>
  <c r="D47" i="146"/>
  <c r="E47" i="146" s="1"/>
  <c r="H47" i="146" s="1"/>
  <c r="D47" i="147"/>
  <c r="E47" i="147" s="1"/>
  <c r="H47" i="147" s="1"/>
  <c r="D47" i="148"/>
  <c r="E47" i="148" s="1"/>
  <c r="H47" i="148" s="1"/>
  <c r="D47" i="149"/>
  <c r="E47" i="149" s="1"/>
  <c r="H47" i="149" s="1"/>
  <c r="D47" i="151"/>
  <c r="E47" i="151" s="1"/>
  <c r="H47" i="151" s="1"/>
  <c r="D47" i="152"/>
  <c r="E47" i="152" s="1"/>
  <c r="H47" i="152" s="1"/>
  <c r="D47" i="153"/>
  <c r="E47" i="153" s="1"/>
  <c r="H47" i="153" s="1"/>
  <c r="D47" i="114"/>
  <c r="D43" i="115"/>
  <c r="E43" i="115" s="1"/>
  <c r="H43" i="115" s="1"/>
  <c r="D43" i="116"/>
  <c r="D43" i="117"/>
  <c r="D43" i="118"/>
  <c r="E43" i="118" s="1"/>
  <c r="H43" i="118" s="1"/>
  <c r="D43" i="119"/>
  <c r="D43" i="120"/>
  <c r="E43" i="120" s="1"/>
  <c r="H43" i="120" s="1"/>
  <c r="D43" i="125"/>
  <c r="E43" i="125" s="1"/>
  <c r="H43" i="125" s="1"/>
  <c r="D43" i="126"/>
  <c r="E43" i="126" s="1"/>
  <c r="H43" i="126" s="1"/>
  <c r="D43" i="127"/>
  <c r="D43" i="128"/>
  <c r="D43" i="129"/>
  <c r="D43" i="131"/>
  <c r="E43" i="131" s="1"/>
  <c r="H43" i="131" s="1"/>
  <c r="D43" i="144"/>
  <c r="E43" i="144" s="1"/>
  <c r="H43" i="144" s="1"/>
  <c r="L43" i="144" s="1"/>
  <c r="M43" i="144" s="1"/>
  <c r="D43" i="145"/>
  <c r="E43" i="145" s="1"/>
  <c r="H43" i="145" s="1"/>
  <c r="D43" i="146"/>
  <c r="E43" i="146" s="1"/>
  <c r="H43" i="146" s="1"/>
  <c r="D43" i="147"/>
  <c r="E43" i="147" s="1"/>
  <c r="H43" i="147" s="1"/>
  <c r="D43" i="148"/>
  <c r="E43" i="148" s="1"/>
  <c r="H43" i="148" s="1"/>
  <c r="D43" i="149"/>
  <c r="E43" i="149" s="1"/>
  <c r="H43" i="149" s="1"/>
  <c r="D43" i="151"/>
  <c r="E43" i="151" s="1"/>
  <c r="H43" i="151" s="1"/>
  <c r="D43" i="152"/>
  <c r="E43" i="152" s="1"/>
  <c r="H43" i="152" s="1"/>
  <c r="D43" i="153"/>
  <c r="E43" i="153" s="1"/>
  <c r="H43" i="153" s="1"/>
  <c r="D43" i="114"/>
  <c r="D29" i="115"/>
  <c r="E29" i="115" s="1"/>
  <c r="H29" i="115" s="1"/>
  <c r="D29" i="116"/>
  <c r="D29" i="117"/>
  <c r="D29" i="118"/>
  <c r="E29" i="118" s="1"/>
  <c r="H29" i="118" s="1"/>
  <c r="D29" i="119"/>
  <c r="D29" i="120"/>
  <c r="E29" i="120" s="1"/>
  <c r="H29" i="120" s="1"/>
  <c r="D29" i="125"/>
  <c r="E29" i="125" s="1"/>
  <c r="H29" i="125" s="1"/>
  <c r="D29" i="126"/>
  <c r="E29" i="126" s="1"/>
  <c r="H29" i="126" s="1"/>
  <c r="D29" i="127"/>
  <c r="D29" i="128"/>
  <c r="D29" i="129"/>
  <c r="D29" i="131"/>
  <c r="E29" i="131" s="1"/>
  <c r="H29" i="131" s="1"/>
  <c r="D29" i="144"/>
  <c r="E29" i="144" s="1"/>
  <c r="H29" i="144" s="1"/>
  <c r="L29" i="144" s="1"/>
  <c r="M29" i="144" s="1"/>
  <c r="D29" i="145"/>
  <c r="E29" i="145" s="1"/>
  <c r="H29" i="145" s="1"/>
  <c r="D29" i="146"/>
  <c r="E29" i="146" s="1"/>
  <c r="H29" i="146" s="1"/>
  <c r="D29" i="147"/>
  <c r="E29" i="147" s="1"/>
  <c r="H29" i="147" s="1"/>
  <c r="D29" i="148"/>
  <c r="E29" i="148" s="1"/>
  <c r="H29" i="148" s="1"/>
  <c r="D29" i="149"/>
  <c r="E29" i="149" s="1"/>
  <c r="H29" i="149" s="1"/>
  <c r="D29" i="151"/>
  <c r="E29" i="151" s="1"/>
  <c r="H29" i="151" s="1"/>
  <c r="D29" i="152"/>
  <c r="E29" i="152" s="1"/>
  <c r="H29" i="152" s="1"/>
  <c r="D29" i="153"/>
  <c r="E29" i="153" s="1"/>
  <c r="H29" i="153" s="1"/>
  <c r="D29" i="114"/>
  <c r="I25" i="80"/>
  <c r="D60" i="115"/>
  <c r="E60" i="115" s="1"/>
  <c r="H60" i="115" s="1"/>
  <c r="D60" i="116"/>
  <c r="D60" i="117"/>
  <c r="D60" i="118"/>
  <c r="E60" i="118" s="1"/>
  <c r="H60" i="118" s="1"/>
  <c r="D60" i="119"/>
  <c r="D60" i="120"/>
  <c r="E60" i="120" s="1"/>
  <c r="H60" i="120" s="1"/>
  <c r="D60" i="125"/>
  <c r="E60" i="125" s="1"/>
  <c r="H60" i="125" s="1"/>
  <c r="D60" i="126"/>
  <c r="E60" i="126" s="1"/>
  <c r="H60" i="126" s="1"/>
  <c r="D60" i="127"/>
  <c r="D60" i="128"/>
  <c r="D60" i="129"/>
  <c r="D60" i="131"/>
  <c r="E60" i="131" s="1"/>
  <c r="H60" i="131" s="1"/>
  <c r="D60" i="144"/>
  <c r="E60" i="144" s="1"/>
  <c r="H60" i="144" s="1"/>
  <c r="D60" i="145"/>
  <c r="E60" i="145" s="1"/>
  <c r="H60" i="145" s="1"/>
  <c r="D60" i="146"/>
  <c r="E60" i="146" s="1"/>
  <c r="H60" i="146" s="1"/>
  <c r="D60" i="147"/>
  <c r="E60" i="147" s="1"/>
  <c r="H60" i="147" s="1"/>
  <c r="D60" i="148"/>
  <c r="E60" i="148" s="1"/>
  <c r="H60" i="148" s="1"/>
  <c r="D60" i="149"/>
  <c r="E60" i="149" s="1"/>
  <c r="H60" i="149" s="1"/>
  <c r="D60" i="151"/>
  <c r="E60" i="151" s="1"/>
  <c r="H60" i="151" s="1"/>
  <c r="D60" i="152"/>
  <c r="E60" i="152" s="1"/>
  <c r="H60" i="152" s="1"/>
  <c r="D60" i="153"/>
  <c r="E60" i="153" s="1"/>
  <c r="H60" i="153" s="1"/>
  <c r="D60" i="114"/>
  <c r="D32" i="115"/>
  <c r="E32" i="115" s="1"/>
  <c r="H32" i="115" s="1"/>
  <c r="D32" i="116"/>
  <c r="D32" i="117"/>
  <c r="D32" i="118"/>
  <c r="E32" i="118" s="1"/>
  <c r="H32" i="118" s="1"/>
  <c r="D32" i="119"/>
  <c r="D32" i="120"/>
  <c r="E32" i="120" s="1"/>
  <c r="H32" i="120" s="1"/>
  <c r="D32" i="125"/>
  <c r="E32" i="125" s="1"/>
  <c r="H32" i="125" s="1"/>
  <c r="D32" i="126"/>
  <c r="E32" i="126" s="1"/>
  <c r="H32" i="126" s="1"/>
  <c r="D32" i="127"/>
  <c r="D32" i="128"/>
  <c r="D32" i="129"/>
  <c r="D32" i="131"/>
  <c r="E32" i="131" s="1"/>
  <c r="H32" i="131" s="1"/>
  <c r="D32" i="144"/>
  <c r="E32" i="144" s="1"/>
  <c r="H32" i="144" s="1"/>
  <c r="D32" i="145"/>
  <c r="E32" i="145" s="1"/>
  <c r="H32" i="145" s="1"/>
  <c r="D32" i="146"/>
  <c r="E32" i="146" s="1"/>
  <c r="H32" i="146" s="1"/>
  <c r="D32" i="147"/>
  <c r="E32" i="147" s="1"/>
  <c r="H32" i="147" s="1"/>
  <c r="D32" i="148"/>
  <c r="E32" i="148" s="1"/>
  <c r="H32" i="148" s="1"/>
  <c r="D32" i="149"/>
  <c r="E32" i="149" s="1"/>
  <c r="H32" i="149" s="1"/>
  <c r="D32" i="151"/>
  <c r="E32" i="151" s="1"/>
  <c r="H32" i="151" s="1"/>
  <c r="D32" i="152"/>
  <c r="E32" i="152" s="1"/>
  <c r="H32" i="152" s="1"/>
  <c r="D32" i="153"/>
  <c r="E32" i="153" s="1"/>
  <c r="H32" i="153" s="1"/>
  <c r="D32" i="114"/>
  <c r="D41" i="115"/>
  <c r="E41" i="115" s="1"/>
  <c r="H41" i="115" s="1"/>
  <c r="D41" i="116"/>
  <c r="D41" i="117"/>
  <c r="D41" i="118"/>
  <c r="E41" i="118" s="1"/>
  <c r="H41" i="118" s="1"/>
  <c r="D41" i="119"/>
  <c r="D41" i="120"/>
  <c r="E41" i="120" s="1"/>
  <c r="H41" i="120" s="1"/>
  <c r="D41" i="125"/>
  <c r="E41" i="125" s="1"/>
  <c r="H41" i="125" s="1"/>
  <c r="D41" i="126"/>
  <c r="E41" i="126" s="1"/>
  <c r="H41" i="126" s="1"/>
  <c r="D41" i="127"/>
  <c r="D41" i="128"/>
  <c r="D41" i="129"/>
  <c r="D41" i="131"/>
  <c r="E41" i="131" s="1"/>
  <c r="H41" i="131" s="1"/>
  <c r="D41" i="144"/>
  <c r="E41" i="144" s="1"/>
  <c r="H41" i="144" s="1"/>
  <c r="D41" i="145"/>
  <c r="E41" i="145" s="1"/>
  <c r="H41" i="145" s="1"/>
  <c r="D41" i="146"/>
  <c r="E41" i="146" s="1"/>
  <c r="H41" i="146" s="1"/>
  <c r="D41" i="147"/>
  <c r="E41" i="147" s="1"/>
  <c r="H41" i="147" s="1"/>
  <c r="D41" i="148"/>
  <c r="E41" i="148" s="1"/>
  <c r="H41" i="148" s="1"/>
  <c r="D41" i="149"/>
  <c r="E41" i="149" s="1"/>
  <c r="H41" i="149" s="1"/>
  <c r="D41" i="151"/>
  <c r="E41" i="151" s="1"/>
  <c r="H41" i="151" s="1"/>
  <c r="D41" i="152"/>
  <c r="E41" i="152" s="1"/>
  <c r="H41" i="152" s="1"/>
  <c r="D41" i="153"/>
  <c r="E41" i="153" s="1"/>
  <c r="H41" i="153" s="1"/>
  <c r="D41" i="114"/>
  <c r="D24" i="115"/>
  <c r="E24" i="115" s="1"/>
  <c r="H24" i="115" s="1"/>
  <c r="D24" i="116"/>
  <c r="D24" i="117"/>
  <c r="D24" i="118"/>
  <c r="E24" i="118" s="1"/>
  <c r="H24" i="118" s="1"/>
  <c r="D24" i="119"/>
  <c r="D24" i="120"/>
  <c r="E24" i="120" s="1"/>
  <c r="H24" i="120" s="1"/>
  <c r="D24" i="125"/>
  <c r="E24" i="125" s="1"/>
  <c r="H24" i="125" s="1"/>
  <c r="D24" i="126"/>
  <c r="E24" i="126" s="1"/>
  <c r="H24" i="126" s="1"/>
  <c r="D24" i="127"/>
  <c r="D24" i="128"/>
  <c r="D24" i="129"/>
  <c r="D24" i="131"/>
  <c r="E24" i="131" s="1"/>
  <c r="H24" i="131" s="1"/>
  <c r="D24" i="144"/>
  <c r="E24" i="144" s="1"/>
  <c r="H24" i="144" s="1"/>
  <c r="D24" i="145"/>
  <c r="E24" i="145" s="1"/>
  <c r="H24" i="145" s="1"/>
  <c r="D24" i="146"/>
  <c r="E24" i="146" s="1"/>
  <c r="H24" i="146" s="1"/>
  <c r="D24" i="147"/>
  <c r="E24" i="147" s="1"/>
  <c r="H24" i="147" s="1"/>
  <c r="D24" i="148"/>
  <c r="E24" i="148" s="1"/>
  <c r="H24" i="148" s="1"/>
  <c r="D24" i="149"/>
  <c r="E24" i="149" s="1"/>
  <c r="H24" i="149" s="1"/>
  <c r="D24" i="151"/>
  <c r="E24" i="151" s="1"/>
  <c r="H24" i="151" s="1"/>
  <c r="D24" i="152"/>
  <c r="E24" i="152" s="1"/>
  <c r="H24" i="152" s="1"/>
  <c r="D24" i="153"/>
  <c r="E24" i="153" s="1"/>
  <c r="H24" i="153" s="1"/>
  <c r="D24" i="114"/>
  <c r="D35" i="115"/>
  <c r="E35" i="115" s="1"/>
  <c r="H35" i="115" s="1"/>
  <c r="D35" i="116"/>
  <c r="D35" i="117"/>
  <c r="D35" i="118"/>
  <c r="E35" i="118" s="1"/>
  <c r="H35" i="118" s="1"/>
  <c r="D35" i="119"/>
  <c r="D35" i="120"/>
  <c r="E35" i="120" s="1"/>
  <c r="H35" i="120" s="1"/>
  <c r="D35" i="125"/>
  <c r="E35" i="125" s="1"/>
  <c r="H35" i="125" s="1"/>
  <c r="D35" i="126"/>
  <c r="E35" i="126" s="1"/>
  <c r="H35" i="126" s="1"/>
  <c r="D35" i="127"/>
  <c r="D35" i="128"/>
  <c r="D35" i="129"/>
  <c r="D35" i="131"/>
  <c r="E35" i="131" s="1"/>
  <c r="H35" i="131" s="1"/>
  <c r="D35" i="144"/>
  <c r="E35" i="144" s="1"/>
  <c r="H35" i="144" s="1"/>
  <c r="D35" i="145"/>
  <c r="E35" i="145" s="1"/>
  <c r="H35" i="145" s="1"/>
  <c r="D35" i="146"/>
  <c r="E35" i="146" s="1"/>
  <c r="H35" i="146" s="1"/>
  <c r="D35" i="147"/>
  <c r="E35" i="147" s="1"/>
  <c r="H35" i="147" s="1"/>
  <c r="D35" i="148"/>
  <c r="E35" i="148" s="1"/>
  <c r="H35" i="148" s="1"/>
  <c r="D35" i="149"/>
  <c r="E35" i="149" s="1"/>
  <c r="H35" i="149" s="1"/>
  <c r="D35" i="151"/>
  <c r="E35" i="151" s="1"/>
  <c r="H35" i="151" s="1"/>
  <c r="D35" i="152"/>
  <c r="E35" i="152" s="1"/>
  <c r="H35" i="152" s="1"/>
  <c r="D35" i="153"/>
  <c r="E35" i="153" s="1"/>
  <c r="H35" i="153" s="1"/>
  <c r="D35" i="114"/>
  <c r="D16" i="115"/>
  <c r="E16" i="115" s="1"/>
  <c r="H16" i="115" s="1"/>
  <c r="D16" i="116"/>
  <c r="D16" i="117"/>
  <c r="D16" i="118"/>
  <c r="E16" i="118" s="1"/>
  <c r="H16" i="118" s="1"/>
  <c r="D16" i="119"/>
  <c r="D16" i="120"/>
  <c r="E16" i="120" s="1"/>
  <c r="H16" i="120" s="1"/>
  <c r="D16" i="125"/>
  <c r="E16" i="125" s="1"/>
  <c r="H16" i="125" s="1"/>
  <c r="D16" i="126"/>
  <c r="E16" i="126" s="1"/>
  <c r="H16" i="126" s="1"/>
  <c r="D16" i="127"/>
  <c r="D16" i="128"/>
  <c r="D16" i="129"/>
  <c r="D16" i="131"/>
  <c r="E16" i="131" s="1"/>
  <c r="H16" i="131" s="1"/>
  <c r="D16" i="144"/>
  <c r="E16" i="144" s="1"/>
  <c r="H16" i="144" s="1"/>
  <c r="D16" i="145"/>
  <c r="E16" i="145" s="1"/>
  <c r="H16" i="145" s="1"/>
  <c r="D16" i="146"/>
  <c r="E16" i="146" s="1"/>
  <c r="H16" i="146" s="1"/>
  <c r="D16" i="147"/>
  <c r="E16" i="147" s="1"/>
  <c r="H16" i="147" s="1"/>
  <c r="D16" i="148"/>
  <c r="E16" i="148" s="1"/>
  <c r="H16" i="148" s="1"/>
  <c r="D16" i="149"/>
  <c r="E16" i="149" s="1"/>
  <c r="H16" i="149" s="1"/>
  <c r="D16" i="151"/>
  <c r="E16" i="151" s="1"/>
  <c r="H16" i="151" s="1"/>
  <c r="D16" i="152"/>
  <c r="E16" i="152" s="1"/>
  <c r="H16" i="152" s="1"/>
  <c r="D16" i="153"/>
  <c r="E16" i="153" s="1"/>
  <c r="H16" i="153" s="1"/>
  <c r="D16" i="114"/>
  <c r="D21" i="115"/>
  <c r="E21" i="115" s="1"/>
  <c r="H21" i="115" s="1"/>
  <c r="D21" i="116"/>
  <c r="D21" i="117"/>
  <c r="D21" i="118"/>
  <c r="E21" i="118" s="1"/>
  <c r="H21" i="118" s="1"/>
  <c r="D21" i="119"/>
  <c r="D21" i="120"/>
  <c r="E21" i="120" s="1"/>
  <c r="H21" i="120" s="1"/>
  <c r="D21" i="125"/>
  <c r="E21" i="125" s="1"/>
  <c r="H21" i="125" s="1"/>
  <c r="D21" i="126"/>
  <c r="E21" i="126" s="1"/>
  <c r="H21" i="126" s="1"/>
  <c r="D21" i="127"/>
  <c r="D21" i="128"/>
  <c r="D21" i="129"/>
  <c r="D21" i="131"/>
  <c r="E21" i="131" s="1"/>
  <c r="H21" i="131" s="1"/>
  <c r="D21" i="144"/>
  <c r="E21" i="144" s="1"/>
  <c r="H21" i="144" s="1"/>
  <c r="L21" i="144" s="1"/>
  <c r="M21" i="144" s="1"/>
  <c r="D21" i="145"/>
  <c r="E21" i="145" s="1"/>
  <c r="H21" i="145" s="1"/>
  <c r="D21" i="146"/>
  <c r="E21" i="146" s="1"/>
  <c r="H21" i="146" s="1"/>
  <c r="D21" i="147"/>
  <c r="E21" i="147" s="1"/>
  <c r="H21" i="147" s="1"/>
  <c r="D21" i="148"/>
  <c r="E21" i="148" s="1"/>
  <c r="H21" i="148" s="1"/>
  <c r="D21" i="149"/>
  <c r="E21" i="149" s="1"/>
  <c r="H21" i="149" s="1"/>
  <c r="D21" i="151"/>
  <c r="E21" i="151" s="1"/>
  <c r="H21" i="151" s="1"/>
  <c r="D21" i="152"/>
  <c r="E21" i="152" s="1"/>
  <c r="H21" i="152" s="1"/>
  <c r="D21" i="153"/>
  <c r="E21" i="153" s="1"/>
  <c r="H21" i="153" s="1"/>
  <c r="D21" i="114"/>
  <c r="D26" i="115"/>
  <c r="E26" i="115" s="1"/>
  <c r="H26" i="115" s="1"/>
  <c r="D26" i="116"/>
  <c r="D26" i="117"/>
  <c r="D26" i="118"/>
  <c r="E26" i="118" s="1"/>
  <c r="H26" i="118" s="1"/>
  <c r="D26" i="119"/>
  <c r="D26" i="120"/>
  <c r="E26" i="120" s="1"/>
  <c r="H26" i="120" s="1"/>
  <c r="D26" i="125"/>
  <c r="E26" i="125" s="1"/>
  <c r="H26" i="125" s="1"/>
  <c r="D26" i="126"/>
  <c r="E26" i="126" s="1"/>
  <c r="H26" i="126" s="1"/>
  <c r="D26" i="127"/>
  <c r="D26" i="128"/>
  <c r="D26" i="129"/>
  <c r="D26" i="131"/>
  <c r="E26" i="131" s="1"/>
  <c r="H26" i="131" s="1"/>
  <c r="D26" i="144"/>
  <c r="E26" i="144" s="1"/>
  <c r="H26" i="144" s="1"/>
  <c r="D26" i="145"/>
  <c r="E26" i="145" s="1"/>
  <c r="H26" i="145" s="1"/>
  <c r="D26" i="146"/>
  <c r="E26" i="146" s="1"/>
  <c r="H26" i="146" s="1"/>
  <c r="D26" i="147"/>
  <c r="E26" i="147" s="1"/>
  <c r="H26" i="147" s="1"/>
  <c r="D26" i="148"/>
  <c r="E26" i="148" s="1"/>
  <c r="H26" i="148" s="1"/>
  <c r="D26" i="149"/>
  <c r="E26" i="149" s="1"/>
  <c r="H26" i="149" s="1"/>
  <c r="D26" i="151"/>
  <c r="E26" i="151" s="1"/>
  <c r="H26" i="151" s="1"/>
  <c r="D26" i="152"/>
  <c r="E26" i="152" s="1"/>
  <c r="H26" i="152" s="1"/>
  <c r="D26" i="153"/>
  <c r="E26" i="153" s="1"/>
  <c r="H26" i="153" s="1"/>
  <c r="D26" i="114"/>
  <c r="D11" i="115"/>
  <c r="E11" i="115" s="1"/>
  <c r="H11" i="115" s="1"/>
  <c r="D11" i="116"/>
  <c r="D11" i="117"/>
  <c r="D11" i="118"/>
  <c r="E11" i="118" s="1"/>
  <c r="H11" i="118" s="1"/>
  <c r="D11" i="119"/>
  <c r="D11" i="120"/>
  <c r="E11" i="120" s="1"/>
  <c r="H11" i="120" s="1"/>
  <c r="D11" i="125"/>
  <c r="E11" i="125" s="1"/>
  <c r="H11" i="125" s="1"/>
  <c r="D11" i="126"/>
  <c r="E11" i="126" s="1"/>
  <c r="H11" i="126" s="1"/>
  <c r="D11" i="127"/>
  <c r="D11" i="128"/>
  <c r="D11" i="129"/>
  <c r="D11" i="131"/>
  <c r="E11" i="131" s="1"/>
  <c r="H11" i="131" s="1"/>
  <c r="D11" i="144"/>
  <c r="E11" i="144" s="1"/>
  <c r="H11" i="144" s="1"/>
  <c r="L11" i="144" s="1"/>
  <c r="M11" i="144" s="1"/>
  <c r="D11" i="145"/>
  <c r="E11" i="145" s="1"/>
  <c r="H11" i="145" s="1"/>
  <c r="D11" i="146"/>
  <c r="E11" i="146" s="1"/>
  <c r="H11" i="146" s="1"/>
  <c r="D11" i="147"/>
  <c r="E11" i="147" s="1"/>
  <c r="H11" i="147" s="1"/>
  <c r="D11" i="148"/>
  <c r="E11" i="148" s="1"/>
  <c r="H11" i="148" s="1"/>
  <c r="D11" i="149"/>
  <c r="E11" i="149" s="1"/>
  <c r="H11" i="149" s="1"/>
  <c r="D11" i="151"/>
  <c r="E11" i="151" s="1"/>
  <c r="H11" i="151" s="1"/>
  <c r="D11" i="152"/>
  <c r="E11" i="152" s="1"/>
  <c r="H11" i="152" s="1"/>
  <c r="D11" i="153"/>
  <c r="E11" i="153" s="1"/>
  <c r="H11" i="153" s="1"/>
  <c r="D11" i="114"/>
  <c r="D75" i="115"/>
  <c r="E75" i="115" s="1"/>
  <c r="H75" i="115" s="1"/>
  <c r="D75" i="116"/>
  <c r="D75" i="117"/>
  <c r="D75" i="118"/>
  <c r="E75" i="118" s="1"/>
  <c r="H75" i="118" s="1"/>
  <c r="D75" i="119"/>
  <c r="D75" i="120"/>
  <c r="E75" i="120" s="1"/>
  <c r="H75" i="120" s="1"/>
  <c r="D75" i="125"/>
  <c r="E75" i="125" s="1"/>
  <c r="H75" i="125" s="1"/>
  <c r="D75" i="126"/>
  <c r="E75" i="126" s="1"/>
  <c r="H75" i="126" s="1"/>
  <c r="D75" i="127"/>
  <c r="D75" i="128"/>
  <c r="D75" i="129"/>
  <c r="D75" i="131"/>
  <c r="E75" i="131" s="1"/>
  <c r="H75" i="131" s="1"/>
  <c r="D75" i="144"/>
  <c r="E75" i="144" s="1"/>
  <c r="H75" i="144" s="1"/>
  <c r="L75" i="144" s="1"/>
  <c r="M75" i="144" s="1"/>
  <c r="D75" i="145"/>
  <c r="E75" i="145" s="1"/>
  <c r="H75" i="145" s="1"/>
  <c r="D75" i="146"/>
  <c r="E75" i="146" s="1"/>
  <c r="H75" i="146" s="1"/>
  <c r="D75" i="147"/>
  <c r="E75" i="147" s="1"/>
  <c r="H75" i="147" s="1"/>
  <c r="D75" i="148"/>
  <c r="E75" i="148" s="1"/>
  <c r="H75" i="148" s="1"/>
  <c r="D75" i="149"/>
  <c r="E75" i="149" s="1"/>
  <c r="H75" i="149" s="1"/>
  <c r="D75" i="151"/>
  <c r="E75" i="151" s="1"/>
  <c r="H75" i="151" s="1"/>
  <c r="D75" i="152"/>
  <c r="E75" i="152" s="1"/>
  <c r="H75" i="152" s="1"/>
  <c r="D75" i="153"/>
  <c r="E75" i="153" s="1"/>
  <c r="H75" i="153" s="1"/>
  <c r="D75" i="114"/>
  <c r="D65" i="115"/>
  <c r="E65" i="115" s="1"/>
  <c r="H65" i="115" s="1"/>
  <c r="D65" i="116"/>
  <c r="D65" i="117"/>
  <c r="D65" i="118"/>
  <c r="E65" i="118" s="1"/>
  <c r="H65" i="118" s="1"/>
  <c r="D65" i="119"/>
  <c r="D65" i="120"/>
  <c r="E65" i="120" s="1"/>
  <c r="H65" i="120" s="1"/>
  <c r="D65" i="125"/>
  <c r="E65" i="125" s="1"/>
  <c r="H65" i="125" s="1"/>
  <c r="D65" i="126"/>
  <c r="E65" i="126" s="1"/>
  <c r="H65" i="126" s="1"/>
  <c r="D65" i="127"/>
  <c r="D65" i="128"/>
  <c r="D65" i="129"/>
  <c r="D65" i="131"/>
  <c r="E65" i="131" s="1"/>
  <c r="H65" i="131" s="1"/>
  <c r="D65" i="144"/>
  <c r="E65" i="144" s="1"/>
  <c r="H65" i="144" s="1"/>
  <c r="D65" i="145"/>
  <c r="E65" i="145" s="1"/>
  <c r="H65" i="145" s="1"/>
  <c r="D65" i="146"/>
  <c r="E65" i="146" s="1"/>
  <c r="H65" i="146" s="1"/>
  <c r="D65" i="147"/>
  <c r="E65" i="147" s="1"/>
  <c r="H65" i="147" s="1"/>
  <c r="D65" i="148"/>
  <c r="E65" i="148" s="1"/>
  <c r="H65" i="148" s="1"/>
  <c r="D65" i="149"/>
  <c r="E65" i="149" s="1"/>
  <c r="H65" i="149" s="1"/>
  <c r="D65" i="151"/>
  <c r="E65" i="151" s="1"/>
  <c r="H65" i="151" s="1"/>
  <c r="D65" i="152"/>
  <c r="E65" i="152" s="1"/>
  <c r="H65" i="152" s="1"/>
  <c r="D65" i="153"/>
  <c r="E65" i="153" s="1"/>
  <c r="H65" i="153" s="1"/>
  <c r="D65" i="114"/>
  <c r="D52" i="115"/>
  <c r="E52" i="115" s="1"/>
  <c r="H52" i="115" s="1"/>
  <c r="D52" i="116"/>
  <c r="D52" i="117"/>
  <c r="D52" i="118"/>
  <c r="E52" i="118" s="1"/>
  <c r="H52" i="118" s="1"/>
  <c r="D52" i="119"/>
  <c r="D52" i="120"/>
  <c r="E52" i="120" s="1"/>
  <c r="H52" i="120" s="1"/>
  <c r="D52" i="125"/>
  <c r="E52" i="125" s="1"/>
  <c r="H52" i="125" s="1"/>
  <c r="D52" i="126"/>
  <c r="E52" i="126" s="1"/>
  <c r="H52" i="126" s="1"/>
  <c r="D52" i="127"/>
  <c r="D52" i="128"/>
  <c r="D52" i="129"/>
  <c r="D52" i="131"/>
  <c r="E52" i="131" s="1"/>
  <c r="H52" i="131" s="1"/>
  <c r="D52" i="144"/>
  <c r="E52" i="144" s="1"/>
  <c r="H52" i="144" s="1"/>
  <c r="D52" i="145"/>
  <c r="E52" i="145" s="1"/>
  <c r="H52" i="145" s="1"/>
  <c r="D52" i="146"/>
  <c r="E52" i="146" s="1"/>
  <c r="H52" i="146" s="1"/>
  <c r="D52" i="147"/>
  <c r="E52" i="147" s="1"/>
  <c r="H52" i="147" s="1"/>
  <c r="D52" i="148"/>
  <c r="E52" i="148" s="1"/>
  <c r="H52" i="148" s="1"/>
  <c r="D52" i="149"/>
  <c r="E52" i="149" s="1"/>
  <c r="H52" i="149" s="1"/>
  <c r="D52" i="151"/>
  <c r="E52" i="151" s="1"/>
  <c r="H52" i="151" s="1"/>
  <c r="D52" i="152"/>
  <c r="E52" i="152" s="1"/>
  <c r="H52" i="152" s="1"/>
  <c r="D52" i="153"/>
  <c r="E52" i="153" s="1"/>
  <c r="H52" i="153" s="1"/>
  <c r="D52" i="114"/>
  <c r="D44" i="115"/>
  <c r="E44" i="115" s="1"/>
  <c r="H44" i="115" s="1"/>
  <c r="D44" i="116"/>
  <c r="D44" i="117"/>
  <c r="D44" i="118"/>
  <c r="E44" i="118" s="1"/>
  <c r="H44" i="118" s="1"/>
  <c r="D44" i="119"/>
  <c r="D44" i="120"/>
  <c r="E44" i="120" s="1"/>
  <c r="H44" i="120" s="1"/>
  <c r="D44" i="125"/>
  <c r="E44" i="125" s="1"/>
  <c r="H44" i="125" s="1"/>
  <c r="D44" i="126"/>
  <c r="E44" i="126" s="1"/>
  <c r="H44" i="126" s="1"/>
  <c r="D44" i="127"/>
  <c r="D44" i="128"/>
  <c r="D44" i="129"/>
  <c r="D44" i="131"/>
  <c r="E44" i="131" s="1"/>
  <c r="H44" i="131" s="1"/>
  <c r="D44" i="144"/>
  <c r="E44" i="144" s="1"/>
  <c r="H44" i="144" s="1"/>
  <c r="D44" i="145"/>
  <c r="E44" i="145" s="1"/>
  <c r="H44" i="145" s="1"/>
  <c r="D44" i="146"/>
  <c r="E44" i="146" s="1"/>
  <c r="H44" i="146" s="1"/>
  <c r="D44" i="147"/>
  <c r="E44" i="147" s="1"/>
  <c r="H44" i="147" s="1"/>
  <c r="D44" i="148"/>
  <c r="E44" i="148" s="1"/>
  <c r="H44" i="148" s="1"/>
  <c r="D44" i="149"/>
  <c r="E44" i="149" s="1"/>
  <c r="H44" i="149" s="1"/>
  <c r="D44" i="151"/>
  <c r="E44" i="151" s="1"/>
  <c r="H44" i="151" s="1"/>
  <c r="D44" i="152"/>
  <c r="E44" i="152" s="1"/>
  <c r="H44" i="152" s="1"/>
  <c r="D44" i="153"/>
  <c r="E44" i="153" s="1"/>
  <c r="H44" i="153" s="1"/>
  <c r="D44" i="114"/>
  <c r="D28" i="115"/>
  <c r="E28" i="115" s="1"/>
  <c r="H28" i="115" s="1"/>
  <c r="D28" i="116"/>
  <c r="D28" i="117"/>
  <c r="D28" i="118"/>
  <c r="E28" i="118" s="1"/>
  <c r="H28" i="118" s="1"/>
  <c r="D28" i="119"/>
  <c r="D28" i="120"/>
  <c r="E28" i="120" s="1"/>
  <c r="H28" i="120" s="1"/>
  <c r="D28" i="125"/>
  <c r="E28" i="125" s="1"/>
  <c r="H28" i="125" s="1"/>
  <c r="D28" i="126"/>
  <c r="E28" i="126" s="1"/>
  <c r="H28" i="126" s="1"/>
  <c r="D28" i="127"/>
  <c r="D28" i="128"/>
  <c r="D28" i="129"/>
  <c r="D28" i="131"/>
  <c r="E28" i="131" s="1"/>
  <c r="H28" i="131" s="1"/>
  <c r="D28" i="144"/>
  <c r="E28" i="144" s="1"/>
  <c r="H28" i="144" s="1"/>
  <c r="D28" i="145"/>
  <c r="E28" i="145" s="1"/>
  <c r="H28" i="145" s="1"/>
  <c r="D28" i="146"/>
  <c r="E28" i="146" s="1"/>
  <c r="H28" i="146" s="1"/>
  <c r="D28" i="147"/>
  <c r="E28" i="147" s="1"/>
  <c r="H28" i="147" s="1"/>
  <c r="D28" i="148"/>
  <c r="E28" i="148" s="1"/>
  <c r="H28" i="148" s="1"/>
  <c r="D28" i="149"/>
  <c r="E28" i="149" s="1"/>
  <c r="H28" i="149" s="1"/>
  <c r="D28" i="151"/>
  <c r="E28" i="151" s="1"/>
  <c r="H28" i="151" s="1"/>
  <c r="D28" i="152"/>
  <c r="E28" i="152" s="1"/>
  <c r="H28" i="152" s="1"/>
  <c r="D28" i="153"/>
  <c r="E28" i="153" s="1"/>
  <c r="H28" i="153" s="1"/>
  <c r="D28" i="114"/>
  <c r="D36" i="115"/>
  <c r="E36" i="115" s="1"/>
  <c r="H36" i="115" s="1"/>
  <c r="D36" i="116"/>
  <c r="D36" i="117"/>
  <c r="D36" i="118"/>
  <c r="E36" i="118" s="1"/>
  <c r="H36" i="118" s="1"/>
  <c r="D36" i="119"/>
  <c r="D36" i="120"/>
  <c r="E36" i="120" s="1"/>
  <c r="H36" i="120" s="1"/>
  <c r="D36" i="125"/>
  <c r="E36" i="125" s="1"/>
  <c r="H36" i="125" s="1"/>
  <c r="D36" i="126"/>
  <c r="E36" i="126" s="1"/>
  <c r="H36" i="126" s="1"/>
  <c r="D36" i="127"/>
  <c r="D36" i="128"/>
  <c r="D36" i="129"/>
  <c r="D36" i="131"/>
  <c r="E36" i="131" s="1"/>
  <c r="H36" i="131" s="1"/>
  <c r="D36" i="144"/>
  <c r="E36" i="144" s="1"/>
  <c r="H36" i="144" s="1"/>
  <c r="D36" i="145"/>
  <c r="E36" i="145" s="1"/>
  <c r="H36" i="145" s="1"/>
  <c r="D36" i="146"/>
  <c r="E36" i="146" s="1"/>
  <c r="H36" i="146" s="1"/>
  <c r="D36" i="147"/>
  <c r="E36" i="147" s="1"/>
  <c r="H36" i="147" s="1"/>
  <c r="D36" i="148"/>
  <c r="E36" i="148" s="1"/>
  <c r="H36" i="148" s="1"/>
  <c r="D36" i="149"/>
  <c r="E36" i="149" s="1"/>
  <c r="H36" i="149" s="1"/>
  <c r="D36" i="151"/>
  <c r="E36" i="151" s="1"/>
  <c r="H36" i="151" s="1"/>
  <c r="D36" i="152"/>
  <c r="E36" i="152" s="1"/>
  <c r="H36" i="152" s="1"/>
  <c r="D36" i="153"/>
  <c r="E36" i="153" s="1"/>
  <c r="H36" i="153" s="1"/>
  <c r="D36" i="114"/>
  <c r="E22" i="113"/>
  <c r="H22" i="113" s="1"/>
  <c r="D22" i="115"/>
  <c r="E22" i="115" s="1"/>
  <c r="H22" i="115" s="1"/>
  <c r="D22" i="116"/>
  <c r="E22" i="116" s="1"/>
  <c r="H22" i="116" s="1"/>
  <c r="D22" i="117"/>
  <c r="E22" i="117" s="1"/>
  <c r="H22" i="117" s="1"/>
  <c r="D22" i="118"/>
  <c r="E22" i="118" s="1"/>
  <c r="H22" i="118" s="1"/>
  <c r="D22" i="119"/>
  <c r="E22" i="119" s="1"/>
  <c r="H22" i="119" s="1"/>
  <c r="D22" i="120"/>
  <c r="E22" i="120" s="1"/>
  <c r="H22" i="120" s="1"/>
  <c r="D22" i="125"/>
  <c r="E22" i="125" s="1"/>
  <c r="H22" i="125" s="1"/>
  <c r="D22" i="126"/>
  <c r="E22" i="126" s="1"/>
  <c r="H22" i="126" s="1"/>
  <c r="D22" i="127"/>
  <c r="E22" i="127" s="1"/>
  <c r="H22" i="127" s="1"/>
  <c r="D22" i="128"/>
  <c r="E22" i="128" s="1"/>
  <c r="H22" i="128" s="1"/>
  <c r="D22" i="129"/>
  <c r="E22" i="129" s="1"/>
  <c r="H22" i="129" s="1"/>
  <c r="L22" i="129" s="1"/>
  <c r="AB22" i="33" s="1"/>
  <c r="D22" i="131"/>
  <c r="E22" i="131" s="1"/>
  <c r="H22" i="131" s="1"/>
  <c r="D22" i="144"/>
  <c r="E22" i="144" s="1"/>
  <c r="H22" i="144" s="1"/>
  <c r="D22" i="145"/>
  <c r="E22" i="145" s="1"/>
  <c r="H22" i="145" s="1"/>
  <c r="D22" i="146"/>
  <c r="E22" i="146" s="1"/>
  <c r="H22" i="146" s="1"/>
  <c r="D22" i="147"/>
  <c r="E22" i="147" s="1"/>
  <c r="H22" i="147" s="1"/>
  <c r="D22" i="148"/>
  <c r="E22" i="148" s="1"/>
  <c r="H22" i="148" s="1"/>
  <c r="D22" i="149"/>
  <c r="E22" i="149" s="1"/>
  <c r="H22" i="149" s="1"/>
  <c r="D22" i="151"/>
  <c r="E22" i="151" s="1"/>
  <c r="H22" i="151" s="1"/>
  <c r="D22" i="152"/>
  <c r="E22" i="152" s="1"/>
  <c r="H22" i="152" s="1"/>
  <c r="D22" i="153"/>
  <c r="E22" i="153" s="1"/>
  <c r="H22" i="153" s="1"/>
  <c r="D22" i="114"/>
  <c r="E22" i="114" s="1"/>
  <c r="H22" i="114" s="1"/>
  <c r="E40" i="113"/>
  <c r="H40" i="113" s="1"/>
  <c r="D40" i="115"/>
  <c r="E40" i="115" s="1"/>
  <c r="H40" i="115" s="1"/>
  <c r="D40" i="116"/>
  <c r="E40" i="116" s="1"/>
  <c r="H40" i="116" s="1"/>
  <c r="D40" i="117"/>
  <c r="E40" i="117" s="1"/>
  <c r="H40" i="117" s="1"/>
  <c r="D40" i="118"/>
  <c r="E40" i="118" s="1"/>
  <c r="H40" i="118" s="1"/>
  <c r="D40" i="119"/>
  <c r="E40" i="119" s="1"/>
  <c r="H40" i="119" s="1"/>
  <c r="D40" i="120"/>
  <c r="E40" i="120" s="1"/>
  <c r="H40" i="120" s="1"/>
  <c r="D40" i="125"/>
  <c r="E40" i="125" s="1"/>
  <c r="H40" i="125" s="1"/>
  <c r="D40" i="126"/>
  <c r="E40" i="126" s="1"/>
  <c r="H40" i="126" s="1"/>
  <c r="D40" i="127"/>
  <c r="E40" i="127" s="1"/>
  <c r="H40" i="127" s="1"/>
  <c r="D40" i="128"/>
  <c r="E40" i="128" s="1"/>
  <c r="H40" i="128" s="1"/>
  <c r="D40" i="129"/>
  <c r="E40" i="129" s="1"/>
  <c r="H40" i="129" s="1"/>
  <c r="D40" i="131"/>
  <c r="E40" i="131" s="1"/>
  <c r="H40" i="131" s="1"/>
  <c r="D40" i="144"/>
  <c r="E40" i="144" s="1"/>
  <c r="H40" i="144" s="1"/>
  <c r="L40" i="144" s="1"/>
  <c r="M40" i="144" s="1"/>
  <c r="D40" i="145"/>
  <c r="E40" i="145" s="1"/>
  <c r="H40" i="145" s="1"/>
  <c r="D40" i="146"/>
  <c r="E40" i="146" s="1"/>
  <c r="H40" i="146" s="1"/>
  <c r="D40" i="147"/>
  <c r="E40" i="147" s="1"/>
  <c r="H40" i="147" s="1"/>
  <c r="D40" i="148"/>
  <c r="E40" i="148" s="1"/>
  <c r="H40" i="148" s="1"/>
  <c r="D40" i="149"/>
  <c r="E40" i="149" s="1"/>
  <c r="H40" i="149" s="1"/>
  <c r="L40" i="149" s="1"/>
  <c r="M40" i="149" s="1"/>
  <c r="D40" i="151"/>
  <c r="E40" i="151" s="1"/>
  <c r="H40" i="151" s="1"/>
  <c r="L40" i="151" s="1"/>
  <c r="M40" i="151" s="1"/>
  <c r="D40" i="152"/>
  <c r="E40" i="152" s="1"/>
  <c r="H40" i="152" s="1"/>
  <c r="D40" i="153"/>
  <c r="E40" i="153" s="1"/>
  <c r="H40" i="153" s="1"/>
  <c r="L40" i="153" s="1"/>
  <c r="M40" i="153" s="1"/>
  <c r="D40" i="114"/>
  <c r="E40" i="114" s="1"/>
  <c r="H40" i="114" s="1"/>
  <c r="E38" i="113"/>
  <c r="H38" i="113" s="1"/>
  <c r="D38" i="115"/>
  <c r="E38" i="115" s="1"/>
  <c r="H38" i="115" s="1"/>
  <c r="D38" i="116"/>
  <c r="E38" i="116" s="1"/>
  <c r="H38" i="116" s="1"/>
  <c r="D38" i="117"/>
  <c r="E38" i="117" s="1"/>
  <c r="H38" i="117" s="1"/>
  <c r="D38" i="118"/>
  <c r="E38" i="118" s="1"/>
  <c r="H38" i="118" s="1"/>
  <c r="D38" i="119"/>
  <c r="E38" i="119" s="1"/>
  <c r="H38" i="119" s="1"/>
  <c r="D38" i="120"/>
  <c r="E38" i="120" s="1"/>
  <c r="H38" i="120" s="1"/>
  <c r="D38" i="125"/>
  <c r="E38" i="125" s="1"/>
  <c r="H38" i="125" s="1"/>
  <c r="D38" i="126"/>
  <c r="E38" i="126" s="1"/>
  <c r="H38" i="126" s="1"/>
  <c r="D38" i="127"/>
  <c r="E38" i="127" s="1"/>
  <c r="H38" i="127" s="1"/>
  <c r="D38" i="128"/>
  <c r="E38" i="128" s="1"/>
  <c r="H38" i="128" s="1"/>
  <c r="D38" i="129"/>
  <c r="E38" i="129" s="1"/>
  <c r="H38" i="129" s="1"/>
  <c r="D38" i="131"/>
  <c r="E38" i="131" s="1"/>
  <c r="H38" i="131" s="1"/>
  <c r="D38" i="144"/>
  <c r="E38" i="144" s="1"/>
  <c r="H38" i="144" s="1"/>
  <c r="D38" i="145"/>
  <c r="E38" i="145" s="1"/>
  <c r="H38" i="145" s="1"/>
  <c r="D38" i="146"/>
  <c r="E38" i="146" s="1"/>
  <c r="H38" i="146" s="1"/>
  <c r="L38" i="146" s="1"/>
  <c r="M38" i="146" s="1"/>
  <c r="D38" i="147"/>
  <c r="E38" i="147" s="1"/>
  <c r="H38" i="147" s="1"/>
  <c r="D38" i="148"/>
  <c r="E38" i="148" s="1"/>
  <c r="H38" i="148" s="1"/>
  <c r="L38" i="148" s="1"/>
  <c r="M38" i="148" s="1"/>
  <c r="D38" i="149"/>
  <c r="E38" i="149" s="1"/>
  <c r="H38" i="149" s="1"/>
  <c r="D38" i="151"/>
  <c r="E38" i="151" s="1"/>
  <c r="H38" i="151" s="1"/>
  <c r="L38" i="151" s="1"/>
  <c r="M38" i="151" s="1"/>
  <c r="D38" i="152"/>
  <c r="E38" i="152" s="1"/>
  <c r="H38" i="152" s="1"/>
  <c r="L38" i="152" s="1"/>
  <c r="M38" i="152" s="1"/>
  <c r="D38" i="153"/>
  <c r="E38" i="153" s="1"/>
  <c r="H38" i="153" s="1"/>
  <c r="L38" i="153" s="1"/>
  <c r="M38" i="153" s="1"/>
  <c r="D38" i="114"/>
  <c r="E38" i="114" s="1"/>
  <c r="H38" i="114" s="1"/>
  <c r="E64" i="113"/>
  <c r="H64" i="113" s="1"/>
  <c r="D64" i="115"/>
  <c r="E64" i="115" s="1"/>
  <c r="H64" i="115" s="1"/>
  <c r="D64" i="116"/>
  <c r="E64" i="116" s="1"/>
  <c r="H64" i="116" s="1"/>
  <c r="D64" i="117"/>
  <c r="E64" i="117" s="1"/>
  <c r="H64" i="117" s="1"/>
  <c r="D64" i="118"/>
  <c r="E64" i="118" s="1"/>
  <c r="H64" i="118" s="1"/>
  <c r="D64" i="119"/>
  <c r="E64" i="119" s="1"/>
  <c r="H64" i="119" s="1"/>
  <c r="D64" i="120"/>
  <c r="E64" i="120" s="1"/>
  <c r="H64" i="120" s="1"/>
  <c r="D64" i="125"/>
  <c r="E64" i="125" s="1"/>
  <c r="H64" i="125" s="1"/>
  <c r="D64" i="126"/>
  <c r="E64" i="126" s="1"/>
  <c r="H64" i="126" s="1"/>
  <c r="D64" i="127"/>
  <c r="E64" i="127" s="1"/>
  <c r="H64" i="127" s="1"/>
  <c r="D64" i="128"/>
  <c r="E64" i="128" s="1"/>
  <c r="H64" i="128" s="1"/>
  <c r="D64" i="129"/>
  <c r="E64" i="129" s="1"/>
  <c r="H64" i="129" s="1"/>
  <c r="D64" i="131"/>
  <c r="E64" i="131" s="1"/>
  <c r="H64" i="131" s="1"/>
  <c r="D64" i="144"/>
  <c r="E64" i="144" s="1"/>
  <c r="H64" i="144" s="1"/>
  <c r="L64" i="144" s="1"/>
  <c r="M64" i="144" s="1"/>
  <c r="D64" i="145"/>
  <c r="E64" i="145" s="1"/>
  <c r="H64" i="145" s="1"/>
  <c r="L64" i="145" s="1"/>
  <c r="M64" i="145" s="1"/>
  <c r="D64" i="146"/>
  <c r="E64" i="146" s="1"/>
  <c r="H64" i="146" s="1"/>
  <c r="L64" i="146" s="1"/>
  <c r="M64" i="146" s="1"/>
  <c r="D64" i="147"/>
  <c r="E64" i="147" s="1"/>
  <c r="H64" i="147" s="1"/>
  <c r="L64" i="147" s="1"/>
  <c r="M64" i="147" s="1"/>
  <c r="D64" i="148"/>
  <c r="E64" i="148" s="1"/>
  <c r="H64" i="148" s="1"/>
  <c r="L64" i="148" s="1"/>
  <c r="M64" i="148" s="1"/>
  <c r="D64" i="149"/>
  <c r="E64" i="149" s="1"/>
  <c r="H64" i="149" s="1"/>
  <c r="L64" i="149" s="1"/>
  <c r="M64" i="149" s="1"/>
  <c r="D64" i="151"/>
  <c r="E64" i="151" s="1"/>
  <c r="H64" i="151" s="1"/>
  <c r="L64" i="151" s="1"/>
  <c r="M64" i="151" s="1"/>
  <c r="D64" i="152"/>
  <c r="E64" i="152" s="1"/>
  <c r="H64" i="152" s="1"/>
  <c r="L64" i="152" s="1"/>
  <c r="M64" i="152" s="1"/>
  <c r="D64" i="153"/>
  <c r="E64" i="153" s="1"/>
  <c r="H64" i="153" s="1"/>
  <c r="L64" i="153" s="1"/>
  <c r="M64" i="153" s="1"/>
  <c r="D64" i="114"/>
  <c r="E64" i="114" s="1"/>
  <c r="H64" i="114" s="1"/>
  <c r="M74" i="144"/>
  <c r="N74" i="144" s="1"/>
  <c r="P74" i="144" s="1"/>
  <c r="D68" i="115"/>
  <c r="E68" i="115" s="1"/>
  <c r="H68" i="115" s="1"/>
  <c r="D68" i="116"/>
  <c r="D68" i="117"/>
  <c r="D68" i="118"/>
  <c r="E68" i="118" s="1"/>
  <c r="H68" i="118" s="1"/>
  <c r="D68" i="119"/>
  <c r="D68" i="120"/>
  <c r="E68" i="120" s="1"/>
  <c r="H68" i="120" s="1"/>
  <c r="D68" i="125"/>
  <c r="E68" i="125" s="1"/>
  <c r="H68" i="125" s="1"/>
  <c r="D68" i="126"/>
  <c r="E68" i="126" s="1"/>
  <c r="H68" i="126" s="1"/>
  <c r="D68" i="127"/>
  <c r="D68" i="128"/>
  <c r="D68" i="129"/>
  <c r="D68" i="131"/>
  <c r="E68" i="131" s="1"/>
  <c r="H68" i="131" s="1"/>
  <c r="D68" i="144"/>
  <c r="E68" i="144" s="1"/>
  <c r="H68" i="144" s="1"/>
  <c r="D68" i="145"/>
  <c r="E68" i="145" s="1"/>
  <c r="H68" i="145" s="1"/>
  <c r="D68" i="146"/>
  <c r="E68" i="146" s="1"/>
  <c r="H68" i="146" s="1"/>
  <c r="D68" i="147"/>
  <c r="E68" i="147" s="1"/>
  <c r="H68" i="147" s="1"/>
  <c r="D68" i="148"/>
  <c r="E68" i="148" s="1"/>
  <c r="H68" i="148" s="1"/>
  <c r="D68" i="149"/>
  <c r="E68" i="149" s="1"/>
  <c r="H68" i="149" s="1"/>
  <c r="D68" i="151"/>
  <c r="E68" i="151" s="1"/>
  <c r="H68" i="151" s="1"/>
  <c r="D68" i="152"/>
  <c r="E68" i="152" s="1"/>
  <c r="H68" i="152" s="1"/>
  <c r="D68" i="153"/>
  <c r="E68" i="153" s="1"/>
  <c r="H68" i="153" s="1"/>
  <c r="D68" i="114"/>
  <c r="D48" i="115"/>
  <c r="E48" i="115" s="1"/>
  <c r="H48" i="115" s="1"/>
  <c r="D48" i="116"/>
  <c r="D48" i="117"/>
  <c r="D48" i="118"/>
  <c r="E48" i="118" s="1"/>
  <c r="H48" i="118" s="1"/>
  <c r="D48" i="119"/>
  <c r="D48" i="120"/>
  <c r="E48" i="120" s="1"/>
  <c r="H48" i="120" s="1"/>
  <c r="D48" i="125"/>
  <c r="E48" i="125" s="1"/>
  <c r="H48" i="125" s="1"/>
  <c r="D48" i="126"/>
  <c r="E48" i="126" s="1"/>
  <c r="H48" i="126" s="1"/>
  <c r="D48" i="127"/>
  <c r="D48" i="128"/>
  <c r="D48" i="129"/>
  <c r="D48" i="131"/>
  <c r="E48" i="131" s="1"/>
  <c r="H48" i="131" s="1"/>
  <c r="D48" i="144"/>
  <c r="E48" i="144" s="1"/>
  <c r="H48" i="144" s="1"/>
  <c r="D48" i="145"/>
  <c r="E48" i="145" s="1"/>
  <c r="H48" i="145" s="1"/>
  <c r="D48" i="146"/>
  <c r="E48" i="146" s="1"/>
  <c r="H48" i="146" s="1"/>
  <c r="D48" i="147"/>
  <c r="E48" i="147" s="1"/>
  <c r="H48" i="147" s="1"/>
  <c r="D48" i="148"/>
  <c r="E48" i="148" s="1"/>
  <c r="H48" i="148" s="1"/>
  <c r="D48" i="149"/>
  <c r="E48" i="149" s="1"/>
  <c r="H48" i="149" s="1"/>
  <c r="D48" i="151"/>
  <c r="E48" i="151" s="1"/>
  <c r="H48" i="151" s="1"/>
  <c r="D48" i="152"/>
  <c r="E48" i="152" s="1"/>
  <c r="H48" i="152" s="1"/>
  <c r="D48" i="153"/>
  <c r="E48" i="153" s="1"/>
  <c r="H48" i="153" s="1"/>
  <c r="D48" i="114"/>
  <c r="D50" i="115"/>
  <c r="E50" i="115" s="1"/>
  <c r="H50" i="115" s="1"/>
  <c r="D50" i="116"/>
  <c r="D50" i="117"/>
  <c r="D50" i="118"/>
  <c r="E50" i="118" s="1"/>
  <c r="H50" i="118" s="1"/>
  <c r="D50" i="119"/>
  <c r="D50" i="120"/>
  <c r="E50" i="120" s="1"/>
  <c r="H50" i="120" s="1"/>
  <c r="D50" i="125"/>
  <c r="E50" i="125" s="1"/>
  <c r="H50" i="125" s="1"/>
  <c r="D50" i="126"/>
  <c r="E50" i="126" s="1"/>
  <c r="H50" i="126" s="1"/>
  <c r="D50" i="127"/>
  <c r="D50" i="128"/>
  <c r="D50" i="129"/>
  <c r="D50" i="131"/>
  <c r="E50" i="131" s="1"/>
  <c r="H50" i="131" s="1"/>
  <c r="D50" i="144"/>
  <c r="E50" i="144" s="1"/>
  <c r="H50" i="144" s="1"/>
  <c r="L50" i="144" s="1"/>
  <c r="M50" i="144" s="1"/>
  <c r="D50" i="145"/>
  <c r="E50" i="145" s="1"/>
  <c r="H50" i="145" s="1"/>
  <c r="D50" i="146"/>
  <c r="E50" i="146" s="1"/>
  <c r="H50" i="146" s="1"/>
  <c r="D50" i="147"/>
  <c r="E50" i="147" s="1"/>
  <c r="H50" i="147" s="1"/>
  <c r="D50" i="148"/>
  <c r="E50" i="148" s="1"/>
  <c r="H50" i="148" s="1"/>
  <c r="D50" i="149"/>
  <c r="E50" i="149" s="1"/>
  <c r="H50" i="149" s="1"/>
  <c r="D50" i="151"/>
  <c r="E50" i="151" s="1"/>
  <c r="H50" i="151" s="1"/>
  <c r="D50" i="152"/>
  <c r="E50" i="152" s="1"/>
  <c r="H50" i="152" s="1"/>
  <c r="D50" i="153"/>
  <c r="E50" i="153" s="1"/>
  <c r="H50" i="153" s="1"/>
  <c r="D50" i="114"/>
  <c r="D30" i="115"/>
  <c r="E30" i="115" s="1"/>
  <c r="H30" i="115" s="1"/>
  <c r="D30" i="116"/>
  <c r="D30" i="117"/>
  <c r="D30" i="118"/>
  <c r="E30" i="118" s="1"/>
  <c r="H30" i="118" s="1"/>
  <c r="D30" i="119"/>
  <c r="D30" i="120"/>
  <c r="E30" i="120" s="1"/>
  <c r="H30" i="120" s="1"/>
  <c r="D30" i="125"/>
  <c r="E30" i="125" s="1"/>
  <c r="H30" i="125" s="1"/>
  <c r="D30" i="126"/>
  <c r="E30" i="126" s="1"/>
  <c r="H30" i="126" s="1"/>
  <c r="D30" i="127"/>
  <c r="D30" i="128"/>
  <c r="D30" i="129"/>
  <c r="D30" i="131"/>
  <c r="E30" i="131" s="1"/>
  <c r="H30" i="131" s="1"/>
  <c r="D30" i="144"/>
  <c r="E30" i="144" s="1"/>
  <c r="H30" i="144" s="1"/>
  <c r="D30" i="145"/>
  <c r="E30" i="145" s="1"/>
  <c r="H30" i="145" s="1"/>
  <c r="D30" i="146"/>
  <c r="E30" i="146" s="1"/>
  <c r="H30" i="146" s="1"/>
  <c r="D30" i="147"/>
  <c r="E30" i="147" s="1"/>
  <c r="H30" i="147" s="1"/>
  <c r="D30" i="148"/>
  <c r="E30" i="148" s="1"/>
  <c r="H30" i="148" s="1"/>
  <c r="D30" i="149"/>
  <c r="E30" i="149" s="1"/>
  <c r="H30" i="149" s="1"/>
  <c r="D30" i="151"/>
  <c r="E30" i="151" s="1"/>
  <c r="H30" i="151" s="1"/>
  <c r="D30" i="152"/>
  <c r="E30" i="152" s="1"/>
  <c r="H30" i="152" s="1"/>
  <c r="D30" i="153"/>
  <c r="E30" i="153" s="1"/>
  <c r="H30" i="153" s="1"/>
  <c r="D30" i="114"/>
  <c r="D10" i="115"/>
  <c r="E10" i="115" s="1"/>
  <c r="H10" i="115" s="1"/>
  <c r="D10" i="116"/>
  <c r="D10" i="117"/>
  <c r="D10" i="118"/>
  <c r="E10" i="118" s="1"/>
  <c r="H10" i="118" s="1"/>
  <c r="D10" i="119"/>
  <c r="D10" i="120"/>
  <c r="E10" i="120" s="1"/>
  <c r="H10" i="120" s="1"/>
  <c r="D10" i="125"/>
  <c r="E10" i="125" s="1"/>
  <c r="H10" i="125" s="1"/>
  <c r="D10" i="126"/>
  <c r="E10" i="126" s="1"/>
  <c r="H10" i="126" s="1"/>
  <c r="D10" i="127"/>
  <c r="D10" i="128"/>
  <c r="D10" i="129"/>
  <c r="D10" i="131"/>
  <c r="E10" i="131" s="1"/>
  <c r="H10" i="131" s="1"/>
  <c r="D10" i="144"/>
  <c r="E10" i="144" s="1"/>
  <c r="H10" i="144" s="1"/>
  <c r="D10" i="145"/>
  <c r="E10" i="145" s="1"/>
  <c r="H10" i="145" s="1"/>
  <c r="D10" i="146"/>
  <c r="E10" i="146" s="1"/>
  <c r="H10" i="146" s="1"/>
  <c r="D10" i="147"/>
  <c r="E10" i="147" s="1"/>
  <c r="H10" i="147" s="1"/>
  <c r="D10" i="148"/>
  <c r="E10" i="148" s="1"/>
  <c r="H10" i="148" s="1"/>
  <c r="D10" i="149"/>
  <c r="E10" i="149" s="1"/>
  <c r="H10" i="149" s="1"/>
  <c r="D10" i="151"/>
  <c r="E10" i="151" s="1"/>
  <c r="H10" i="151" s="1"/>
  <c r="D10" i="152"/>
  <c r="E10" i="152" s="1"/>
  <c r="H10" i="152" s="1"/>
  <c r="D10" i="153"/>
  <c r="E10" i="153" s="1"/>
  <c r="H10" i="153" s="1"/>
  <c r="D10" i="114"/>
  <c r="D20" i="115"/>
  <c r="E20" i="115" s="1"/>
  <c r="H20" i="115" s="1"/>
  <c r="D20" i="116"/>
  <c r="D20" i="117"/>
  <c r="D20" i="118"/>
  <c r="E20" i="118" s="1"/>
  <c r="H20" i="118" s="1"/>
  <c r="D20" i="119"/>
  <c r="D20" i="120"/>
  <c r="E20" i="120" s="1"/>
  <c r="H20" i="120" s="1"/>
  <c r="D20" i="125"/>
  <c r="E20" i="125" s="1"/>
  <c r="H20" i="125" s="1"/>
  <c r="D20" i="126"/>
  <c r="E20" i="126" s="1"/>
  <c r="H20" i="126" s="1"/>
  <c r="D20" i="127"/>
  <c r="D20" i="128"/>
  <c r="D20" i="129"/>
  <c r="D20" i="131"/>
  <c r="E20" i="131" s="1"/>
  <c r="H20" i="131" s="1"/>
  <c r="D20" i="144"/>
  <c r="E20" i="144" s="1"/>
  <c r="H20" i="144" s="1"/>
  <c r="D20" i="145"/>
  <c r="E20" i="145" s="1"/>
  <c r="H20" i="145" s="1"/>
  <c r="D20" i="146"/>
  <c r="E20" i="146" s="1"/>
  <c r="H20" i="146" s="1"/>
  <c r="D20" i="147"/>
  <c r="E20" i="147" s="1"/>
  <c r="H20" i="147" s="1"/>
  <c r="D20" i="148"/>
  <c r="E20" i="148" s="1"/>
  <c r="H20" i="148" s="1"/>
  <c r="D20" i="149"/>
  <c r="E20" i="149" s="1"/>
  <c r="H20" i="149" s="1"/>
  <c r="D20" i="151"/>
  <c r="E20" i="151" s="1"/>
  <c r="H20" i="151" s="1"/>
  <c r="D20" i="152"/>
  <c r="E20" i="152" s="1"/>
  <c r="H20" i="152" s="1"/>
  <c r="D20" i="153"/>
  <c r="E20" i="153" s="1"/>
  <c r="H20" i="153" s="1"/>
  <c r="D20" i="114"/>
  <c r="D51" i="115"/>
  <c r="E51" i="115" s="1"/>
  <c r="H51" i="115" s="1"/>
  <c r="D51" i="116"/>
  <c r="D51" i="117"/>
  <c r="D51" i="118"/>
  <c r="E51" i="118" s="1"/>
  <c r="H51" i="118" s="1"/>
  <c r="D51" i="119"/>
  <c r="D51" i="120"/>
  <c r="E51" i="120" s="1"/>
  <c r="H51" i="120" s="1"/>
  <c r="D51" i="125"/>
  <c r="E51" i="125" s="1"/>
  <c r="H51" i="125" s="1"/>
  <c r="D51" i="126"/>
  <c r="E51" i="126" s="1"/>
  <c r="H51" i="126" s="1"/>
  <c r="D51" i="127"/>
  <c r="D51" i="128"/>
  <c r="D51" i="129"/>
  <c r="D51" i="131"/>
  <c r="E51" i="131" s="1"/>
  <c r="H51" i="131" s="1"/>
  <c r="D51" i="144"/>
  <c r="E51" i="144" s="1"/>
  <c r="H51" i="144" s="1"/>
  <c r="D51" i="145"/>
  <c r="E51" i="145" s="1"/>
  <c r="H51" i="145" s="1"/>
  <c r="D51" i="146"/>
  <c r="E51" i="146" s="1"/>
  <c r="H51" i="146" s="1"/>
  <c r="D51" i="147"/>
  <c r="E51" i="147" s="1"/>
  <c r="H51" i="147" s="1"/>
  <c r="D51" i="148"/>
  <c r="E51" i="148" s="1"/>
  <c r="H51" i="148" s="1"/>
  <c r="D51" i="149"/>
  <c r="E51" i="149" s="1"/>
  <c r="H51" i="149" s="1"/>
  <c r="D51" i="151"/>
  <c r="E51" i="151" s="1"/>
  <c r="H51" i="151" s="1"/>
  <c r="D51" i="152"/>
  <c r="E51" i="152" s="1"/>
  <c r="H51" i="152" s="1"/>
  <c r="D51" i="153"/>
  <c r="E51" i="153" s="1"/>
  <c r="H51" i="153" s="1"/>
  <c r="D51" i="114"/>
  <c r="D56" i="115"/>
  <c r="E56" i="115" s="1"/>
  <c r="H56" i="115" s="1"/>
  <c r="D56" i="116"/>
  <c r="D56" i="117"/>
  <c r="D56" i="118"/>
  <c r="E56" i="118" s="1"/>
  <c r="H56" i="118" s="1"/>
  <c r="D56" i="119"/>
  <c r="D56" i="120"/>
  <c r="E56" i="120" s="1"/>
  <c r="H56" i="120" s="1"/>
  <c r="D56" i="125"/>
  <c r="E56" i="125" s="1"/>
  <c r="H56" i="125" s="1"/>
  <c r="D56" i="126"/>
  <c r="E56" i="126" s="1"/>
  <c r="H56" i="126" s="1"/>
  <c r="D56" i="127"/>
  <c r="D56" i="128"/>
  <c r="D56" i="129"/>
  <c r="D56" i="131"/>
  <c r="E56" i="131" s="1"/>
  <c r="H56" i="131" s="1"/>
  <c r="D56" i="144"/>
  <c r="E56" i="144" s="1"/>
  <c r="H56" i="144" s="1"/>
  <c r="D56" i="145"/>
  <c r="E56" i="145" s="1"/>
  <c r="H56" i="145" s="1"/>
  <c r="D56" i="146"/>
  <c r="E56" i="146" s="1"/>
  <c r="H56" i="146" s="1"/>
  <c r="D56" i="147"/>
  <c r="E56" i="147" s="1"/>
  <c r="H56" i="147" s="1"/>
  <c r="D56" i="148"/>
  <c r="E56" i="148" s="1"/>
  <c r="H56" i="148" s="1"/>
  <c r="D56" i="149"/>
  <c r="E56" i="149" s="1"/>
  <c r="H56" i="149" s="1"/>
  <c r="D56" i="151"/>
  <c r="E56" i="151" s="1"/>
  <c r="H56" i="151" s="1"/>
  <c r="D56" i="152"/>
  <c r="E56" i="152" s="1"/>
  <c r="H56" i="152" s="1"/>
  <c r="D56" i="153"/>
  <c r="E56" i="153" s="1"/>
  <c r="H56" i="153" s="1"/>
  <c r="D56" i="114"/>
  <c r="D27" i="115"/>
  <c r="E27" i="115" s="1"/>
  <c r="H27" i="115" s="1"/>
  <c r="D27" i="116"/>
  <c r="D27" i="117"/>
  <c r="D27" i="118"/>
  <c r="E27" i="118" s="1"/>
  <c r="H27" i="118" s="1"/>
  <c r="D27" i="119"/>
  <c r="E27" i="119" s="1"/>
  <c r="H27" i="119" s="1"/>
  <c r="D27" i="120"/>
  <c r="E27" i="120" s="1"/>
  <c r="H27" i="120" s="1"/>
  <c r="D27" i="125"/>
  <c r="E27" i="125" s="1"/>
  <c r="H27" i="125" s="1"/>
  <c r="D27" i="126"/>
  <c r="E27" i="126" s="1"/>
  <c r="H27" i="126" s="1"/>
  <c r="D27" i="127"/>
  <c r="D27" i="128"/>
  <c r="D27" i="129"/>
  <c r="D27" i="131"/>
  <c r="E27" i="131" s="1"/>
  <c r="H27" i="131" s="1"/>
  <c r="D27" i="144"/>
  <c r="E27" i="144" s="1"/>
  <c r="H27" i="144" s="1"/>
  <c r="D27" i="145"/>
  <c r="E27" i="145" s="1"/>
  <c r="H27" i="145" s="1"/>
  <c r="D27" i="146"/>
  <c r="E27" i="146" s="1"/>
  <c r="H27" i="146" s="1"/>
  <c r="D27" i="147"/>
  <c r="E27" i="147" s="1"/>
  <c r="H27" i="147" s="1"/>
  <c r="D27" i="148"/>
  <c r="E27" i="148" s="1"/>
  <c r="H27" i="148" s="1"/>
  <c r="D27" i="149"/>
  <c r="E27" i="149" s="1"/>
  <c r="H27" i="149" s="1"/>
  <c r="D27" i="151"/>
  <c r="E27" i="151" s="1"/>
  <c r="H27" i="151" s="1"/>
  <c r="D27" i="152"/>
  <c r="E27" i="152" s="1"/>
  <c r="H27" i="152" s="1"/>
  <c r="D27" i="153"/>
  <c r="E27" i="153" s="1"/>
  <c r="H27" i="153" s="1"/>
  <c r="D27" i="114"/>
  <c r="D13" i="115"/>
  <c r="E13" i="115" s="1"/>
  <c r="H13" i="115" s="1"/>
  <c r="D13" i="116"/>
  <c r="D13" i="117"/>
  <c r="D13" i="118"/>
  <c r="E13" i="118" s="1"/>
  <c r="H13" i="118" s="1"/>
  <c r="D13" i="119"/>
  <c r="D13" i="120"/>
  <c r="E13" i="120" s="1"/>
  <c r="H13" i="120" s="1"/>
  <c r="D13" i="125"/>
  <c r="E13" i="125" s="1"/>
  <c r="H13" i="125" s="1"/>
  <c r="D13" i="126"/>
  <c r="E13" i="126" s="1"/>
  <c r="H13" i="126" s="1"/>
  <c r="D13" i="127"/>
  <c r="D13" i="128"/>
  <c r="D13" i="129"/>
  <c r="D13" i="131"/>
  <c r="E13" i="131" s="1"/>
  <c r="H13" i="131" s="1"/>
  <c r="D13" i="144"/>
  <c r="E13" i="144" s="1"/>
  <c r="H13" i="144" s="1"/>
  <c r="L13" i="144" s="1"/>
  <c r="M13" i="144" s="1"/>
  <c r="D13" i="145"/>
  <c r="E13" i="145" s="1"/>
  <c r="H13" i="145" s="1"/>
  <c r="D13" i="146"/>
  <c r="E13" i="146" s="1"/>
  <c r="H13" i="146" s="1"/>
  <c r="D13" i="147"/>
  <c r="E13" i="147" s="1"/>
  <c r="H13" i="147" s="1"/>
  <c r="D13" i="148"/>
  <c r="E13" i="148" s="1"/>
  <c r="H13" i="148" s="1"/>
  <c r="D13" i="149"/>
  <c r="E13" i="149" s="1"/>
  <c r="H13" i="149" s="1"/>
  <c r="D13" i="151"/>
  <c r="E13" i="151" s="1"/>
  <c r="H13" i="151" s="1"/>
  <c r="D13" i="152"/>
  <c r="E13" i="152" s="1"/>
  <c r="H13" i="152" s="1"/>
  <c r="D13" i="153"/>
  <c r="E13" i="153" s="1"/>
  <c r="H13" i="153" s="1"/>
  <c r="D13" i="114"/>
  <c r="E62" i="113"/>
  <c r="H62" i="113" s="1"/>
  <c r="D62" i="115"/>
  <c r="E62" i="115" s="1"/>
  <c r="H62" i="115" s="1"/>
  <c r="D62" i="116"/>
  <c r="E62" i="116" s="1"/>
  <c r="H62" i="116" s="1"/>
  <c r="D62" i="117"/>
  <c r="E62" i="117" s="1"/>
  <c r="H62" i="117" s="1"/>
  <c r="D62" i="118"/>
  <c r="E62" i="118" s="1"/>
  <c r="H62" i="118" s="1"/>
  <c r="D62" i="119"/>
  <c r="E62" i="119" s="1"/>
  <c r="H62" i="119" s="1"/>
  <c r="D62" i="120"/>
  <c r="E62" i="120" s="1"/>
  <c r="H62" i="120" s="1"/>
  <c r="D62" i="125"/>
  <c r="E62" i="125" s="1"/>
  <c r="H62" i="125" s="1"/>
  <c r="D62" i="126"/>
  <c r="E62" i="126" s="1"/>
  <c r="H62" i="126" s="1"/>
  <c r="D62" i="127"/>
  <c r="E62" i="127" s="1"/>
  <c r="H62" i="127" s="1"/>
  <c r="D62" i="128"/>
  <c r="E62" i="128" s="1"/>
  <c r="H62" i="128" s="1"/>
  <c r="D62" i="129"/>
  <c r="E62" i="129" s="1"/>
  <c r="H62" i="129" s="1"/>
  <c r="D62" i="131"/>
  <c r="E62" i="131" s="1"/>
  <c r="H62" i="131" s="1"/>
  <c r="D62" i="144"/>
  <c r="E62" i="144" s="1"/>
  <c r="H62" i="144" s="1"/>
  <c r="D62" i="145"/>
  <c r="E62" i="145" s="1"/>
  <c r="H62" i="145" s="1"/>
  <c r="D62" i="146"/>
  <c r="E62" i="146" s="1"/>
  <c r="H62" i="146" s="1"/>
  <c r="D62" i="147"/>
  <c r="E62" i="147" s="1"/>
  <c r="H62" i="147" s="1"/>
  <c r="D62" i="148"/>
  <c r="E62" i="148" s="1"/>
  <c r="H62" i="148" s="1"/>
  <c r="D62" i="149"/>
  <c r="E62" i="149" s="1"/>
  <c r="H62" i="149" s="1"/>
  <c r="D62" i="151"/>
  <c r="E62" i="151" s="1"/>
  <c r="H62" i="151" s="1"/>
  <c r="D62" i="152"/>
  <c r="E62" i="152" s="1"/>
  <c r="H62" i="152" s="1"/>
  <c r="D62" i="153"/>
  <c r="E62" i="153" s="1"/>
  <c r="H62" i="153" s="1"/>
  <c r="D62" i="114"/>
  <c r="E59" i="113"/>
  <c r="H59" i="113" s="1"/>
  <c r="D59" i="115"/>
  <c r="E59" i="115" s="1"/>
  <c r="H59" i="115" s="1"/>
  <c r="D59" i="116"/>
  <c r="E59" i="116" s="1"/>
  <c r="H59" i="116" s="1"/>
  <c r="D59" i="117"/>
  <c r="E59" i="117" s="1"/>
  <c r="H59" i="117" s="1"/>
  <c r="D59" i="118"/>
  <c r="E59" i="118" s="1"/>
  <c r="H59" i="118" s="1"/>
  <c r="D59" i="119"/>
  <c r="E59" i="119" s="1"/>
  <c r="H59" i="119" s="1"/>
  <c r="D59" i="120"/>
  <c r="E59" i="120" s="1"/>
  <c r="H59" i="120" s="1"/>
  <c r="D59" i="125"/>
  <c r="E59" i="125" s="1"/>
  <c r="H59" i="125" s="1"/>
  <c r="D59" i="126"/>
  <c r="E59" i="126" s="1"/>
  <c r="H59" i="126" s="1"/>
  <c r="D59" i="127"/>
  <c r="E59" i="127" s="1"/>
  <c r="H59" i="127" s="1"/>
  <c r="D59" i="128"/>
  <c r="E59" i="128" s="1"/>
  <c r="H59" i="128" s="1"/>
  <c r="D59" i="129"/>
  <c r="E59" i="129" s="1"/>
  <c r="H59" i="129" s="1"/>
  <c r="L59" i="129" s="1"/>
  <c r="AB59" i="33" s="1"/>
  <c r="D59" i="131"/>
  <c r="E59" i="131" s="1"/>
  <c r="H59" i="131" s="1"/>
  <c r="D59" i="144"/>
  <c r="E59" i="144" s="1"/>
  <c r="H59" i="144" s="1"/>
  <c r="D59" i="145"/>
  <c r="E59" i="145" s="1"/>
  <c r="H59" i="145" s="1"/>
  <c r="D59" i="146"/>
  <c r="E59" i="146" s="1"/>
  <c r="H59" i="146" s="1"/>
  <c r="D59" i="147"/>
  <c r="E59" i="147" s="1"/>
  <c r="H59" i="147" s="1"/>
  <c r="D59" i="148"/>
  <c r="E59" i="148" s="1"/>
  <c r="H59" i="148" s="1"/>
  <c r="D59" i="149"/>
  <c r="E59" i="149" s="1"/>
  <c r="H59" i="149" s="1"/>
  <c r="D59" i="151"/>
  <c r="E59" i="151" s="1"/>
  <c r="H59" i="151" s="1"/>
  <c r="D59" i="152"/>
  <c r="E59" i="152" s="1"/>
  <c r="H59" i="152" s="1"/>
  <c r="D59" i="153"/>
  <c r="E59" i="153" s="1"/>
  <c r="H59" i="153" s="1"/>
  <c r="D59" i="114"/>
  <c r="E59" i="114" s="1"/>
  <c r="H59" i="114" s="1"/>
  <c r="E23" i="113"/>
  <c r="H23" i="113" s="1"/>
  <c r="D23" i="115"/>
  <c r="E23" i="115" s="1"/>
  <c r="H23" i="115" s="1"/>
  <c r="D23" i="116"/>
  <c r="E23" i="116" s="1"/>
  <c r="H23" i="116" s="1"/>
  <c r="D23" i="117"/>
  <c r="E23" i="117" s="1"/>
  <c r="H23" i="117" s="1"/>
  <c r="D23" i="118"/>
  <c r="E23" i="118" s="1"/>
  <c r="H23" i="118" s="1"/>
  <c r="D23" i="119"/>
  <c r="E23" i="119" s="1"/>
  <c r="H23" i="119" s="1"/>
  <c r="D23" i="120"/>
  <c r="E23" i="120" s="1"/>
  <c r="H23" i="120" s="1"/>
  <c r="D23" i="125"/>
  <c r="E23" i="125" s="1"/>
  <c r="H23" i="125" s="1"/>
  <c r="D23" i="126"/>
  <c r="E23" i="126" s="1"/>
  <c r="H23" i="126" s="1"/>
  <c r="D23" i="127"/>
  <c r="E23" i="127" s="1"/>
  <c r="H23" i="127" s="1"/>
  <c r="D23" i="128"/>
  <c r="E23" i="128" s="1"/>
  <c r="H23" i="128" s="1"/>
  <c r="D23" i="129"/>
  <c r="E23" i="129" s="1"/>
  <c r="H23" i="129" s="1"/>
  <c r="D23" i="131"/>
  <c r="E23" i="131" s="1"/>
  <c r="H23" i="131" s="1"/>
  <c r="D23" i="144"/>
  <c r="E23" i="144" s="1"/>
  <c r="H23" i="144" s="1"/>
  <c r="D23" i="145"/>
  <c r="E23" i="145" s="1"/>
  <c r="H23" i="145" s="1"/>
  <c r="D23" i="146"/>
  <c r="E23" i="146" s="1"/>
  <c r="H23" i="146" s="1"/>
  <c r="D23" i="147"/>
  <c r="E23" i="147" s="1"/>
  <c r="H23" i="147" s="1"/>
  <c r="D23" i="148"/>
  <c r="E23" i="148" s="1"/>
  <c r="H23" i="148" s="1"/>
  <c r="D23" i="149"/>
  <c r="E23" i="149" s="1"/>
  <c r="H23" i="149" s="1"/>
  <c r="D23" i="151"/>
  <c r="E23" i="151" s="1"/>
  <c r="H23" i="151" s="1"/>
  <c r="D23" i="152"/>
  <c r="E23" i="152" s="1"/>
  <c r="H23" i="152" s="1"/>
  <c r="D23" i="153"/>
  <c r="E23" i="153" s="1"/>
  <c r="H23" i="153" s="1"/>
  <c r="D23" i="114"/>
  <c r="E23" i="114" s="1"/>
  <c r="H23" i="114" s="1"/>
  <c r="E46" i="113"/>
  <c r="H46" i="113" s="1"/>
  <c r="D46" i="115"/>
  <c r="E46" i="115" s="1"/>
  <c r="H46" i="115" s="1"/>
  <c r="D46" i="116"/>
  <c r="E46" i="116" s="1"/>
  <c r="H46" i="116" s="1"/>
  <c r="D46" i="117"/>
  <c r="E46" i="117" s="1"/>
  <c r="H46" i="117" s="1"/>
  <c r="D46" i="118"/>
  <c r="E46" i="118" s="1"/>
  <c r="H46" i="118" s="1"/>
  <c r="D46" i="119"/>
  <c r="E46" i="119" s="1"/>
  <c r="H46" i="119" s="1"/>
  <c r="D46" i="120"/>
  <c r="E46" i="120" s="1"/>
  <c r="H46" i="120" s="1"/>
  <c r="D46" i="125"/>
  <c r="E46" i="125" s="1"/>
  <c r="H46" i="125" s="1"/>
  <c r="D46" i="126"/>
  <c r="E46" i="126" s="1"/>
  <c r="H46" i="126" s="1"/>
  <c r="D46" i="127"/>
  <c r="E46" i="127" s="1"/>
  <c r="H46" i="127" s="1"/>
  <c r="D46" i="128"/>
  <c r="E46" i="128" s="1"/>
  <c r="H46" i="128" s="1"/>
  <c r="D46" i="129"/>
  <c r="E46" i="129" s="1"/>
  <c r="H46" i="129" s="1"/>
  <c r="L46" i="129" s="1"/>
  <c r="AB46" i="33" s="1"/>
  <c r="D46" i="131"/>
  <c r="E46" i="131" s="1"/>
  <c r="H46" i="131" s="1"/>
  <c r="D46" i="144"/>
  <c r="E46" i="144" s="1"/>
  <c r="H46" i="144" s="1"/>
  <c r="D46" i="145"/>
  <c r="E46" i="145" s="1"/>
  <c r="H46" i="145" s="1"/>
  <c r="D46" i="146"/>
  <c r="E46" i="146" s="1"/>
  <c r="H46" i="146" s="1"/>
  <c r="D46" i="147"/>
  <c r="E46" i="147" s="1"/>
  <c r="H46" i="147" s="1"/>
  <c r="D46" i="148"/>
  <c r="E46" i="148" s="1"/>
  <c r="H46" i="148" s="1"/>
  <c r="D46" i="149"/>
  <c r="E46" i="149" s="1"/>
  <c r="H46" i="149" s="1"/>
  <c r="D46" i="151"/>
  <c r="E46" i="151" s="1"/>
  <c r="H46" i="151" s="1"/>
  <c r="D46" i="152"/>
  <c r="E46" i="152" s="1"/>
  <c r="H46" i="152" s="1"/>
  <c r="D46" i="153"/>
  <c r="E46" i="153" s="1"/>
  <c r="H46" i="153" s="1"/>
  <c r="D46" i="114"/>
  <c r="E46" i="114" s="1"/>
  <c r="H46" i="114" s="1"/>
  <c r="E53" i="113"/>
  <c r="H53" i="113" s="1"/>
  <c r="D53" i="115"/>
  <c r="E53" i="115" s="1"/>
  <c r="H53" i="115" s="1"/>
  <c r="D53" i="116"/>
  <c r="E53" i="116" s="1"/>
  <c r="H53" i="116" s="1"/>
  <c r="D53" i="117"/>
  <c r="E53" i="117" s="1"/>
  <c r="H53" i="117" s="1"/>
  <c r="D53" i="118"/>
  <c r="E53" i="118" s="1"/>
  <c r="H53" i="118" s="1"/>
  <c r="D53" i="119"/>
  <c r="E53" i="119" s="1"/>
  <c r="H53" i="119" s="1"/>
  <c r="D53" i="120"/>
  <c r="E53" i="120" s="1"/>
  <c r="H53" i="120" s="1"/>
  <c r="D53" i="125"/>
  <c r="E53" i="125" s="1"/>
  <c r="H53" i="125" s="1"/>
  <c r="D53" i="126"/>
  <c r="E53" i="126" s="1"/>
  <c r="H53" i="126" s="1"/>
  <c r="D53" i="127"/>
  <c r="E53" i="127" s="1"/>
  <c r="H53" i="127" s="1"/>
  <c r="D53" i="128"/>
  <c r="E53" i="128" s="1"/>
  <c r="H53" i="128" s="1"/>
  <c r="D53" i="129"/>
  <c r="E53" i="129" s="1"/>
  <c r="H53" i="129" s="1"/>
  <c r="D53" i="131"/>
  <c r="E53" i="131" s="1"/>
  <c r="H53" i="131" s="1"/>
  <c r="D53" i="144"/>
  <c r="E53" i="144" s="1"/>
  <c r="H53" i="144" s="1"/>
  <c r="D53" i="145"/>
  <c r="E53" i="145" s="1"/>
  <c r="H53" i="145" s="1"/>
  <c r="L53" i="145" s="1"/>
  <c r="M53" i="145" s="1"/>
  <c r="D53" i="146"/>
  <c r="E53" i="146" s="1"/>
  <c r="H53" i="146" s="1"/>
  <c r="D53" i="147"/>
  <c r="E53" i="147" s="1"/>
  <c r="H53" i="147" s="1"/>
  <c r="L53" i="147" s="1"/>
  <c r="D53" i="148"/>
  <c r="E53" i="148" s="1"/>
  <c r="H53" i="148" s="1"/>
  <c r="L53" i="148" s="1"/>
  <c r="M53" i="148" s="1"/>
  <c r="D53" i="149"/>
  <c r="E53" i="149" s="1"/>
  <c r="H53" i="149" s="1"/>
  <c r="D53" i="151"/>
  <c r="E53" i="151" s="1"/>
  <c r="H53" i="151" s="1"/>
  <c r="D53" i="152"/>
  <c r="E53" i="152" s="1"/>
  <c r="H53" i="152" s="1"/>
  <c r="L53" i="152" s="1"/>
  <c r="M53" i="152" s="1"/>
  <c r="D53" i="153"/>
  <c r="E53" i="153" s="1"/>
  <c r="H53" i="153" s="1"/>
  <c r="D53" i="114"/>
  <c r="E53" i="114" s="1"/>
  <c r="H53" i="114" s="1"/>
  <c r="E42" i="113"/>
  <c r="H42" i="113" s="1"/>
  <c r="D42" i="115"/>
  <c r="E42" i="115" s="1"/>
  <c r="H42" i="115" s="1"/>
  <c r="D42" i="116"/>
  <c r="E42" i="116" s="1"/>
  <c r="H42" i="116" s="1"/>
  <c r="D42" i="117"/>
  <c r="E42" i="117" s="1"/>
  <c r="H42" i="117" s="1"/>
  <c r="D42" i="118"/>
  <c r="E42" i="118" s="1"/>
  <c r="H42" i="118" s="1"/>
  <c r="D42" i="119"/>
  <c r="E42" i="119" s="1"/>
  <c r="H42" i="119" s="1"/>
  <c r="D42" i="120"/>
  <c r="E42" i="120" s="1"/>
  <c r="H42" i="120" s="1"/>
  <c r="D42" i="125"/>
  <c r="E42" i="125" s="1"/>
  <c r="H42" i="125" s="1"/>
  <c r="D42" i="126"/>
  <c r="E42" i="126" s="1"/>
  <c r="H42" i="126" s="1"/>
  <c r="D42" i="127"/>
  <c r="E42" i="127" s="1"/>
  <c r="H42" i="127" s="1"/>
  <c r="D42" i="128"/>
  <c r="E42" i="128" s="1"/>
  <c r="H42" i="128" s="1"/>
  <c r="D42" i="129"/>
  <c r="E42" i="129" s="1"/>
  <c r="H42" i="129" s="1"/>
  <c r="D42" i="131"/>
  <c r="E42" i="131" s="1"/>
  <c r="H42" i="131" s="1"/>
  <c r="D42" i="144"/>
  <c r="E42" i="144" s="1"/>
  <c r="H42" i="144" s="1"/>
  <c r="D42" i="145"/>
  <c r="E42" i="145" s="1"/>
  <c r="H42" i="145" s="1"/>
  <c r="D42" i="146"/>
  <c r="E42" i="146" s="1"/>
  <c r="H42" i="146" s="1"/>
  <c r="D42" i="147"/>
  <c r="E42" i="147" s="1"/>
  <c r="H42" i="147" s="1"/>
  <c r="L42" i="147" s="1"/>
  <c r="M42" i="147" s="1"/>
  <c r="D42" i="148"/>
  <c r="E42" i="148" s="1"/>
  <c r="H42" i="148" s="1"/>
  <c r="L42" i="148" s="1"/>
  <c r="M42" i="148" s="1"/>
  <c r="D42" i="149"/>
  <c r="E42" i="149" s="1"/>
  <c r="H42" i="149" s="1"/>
  <c r="D42" i="151"/>
  <c r="E42" i="151" s="1"/>
  <c r="H42" i="151" s="1"/>
  <c r="L42" i="151" s="1"/>
  <c r="M42" i="151" s="1"/>
  <c r="D42" i="152"/>
  <c r="E42" i="152" s="1"/>
  <c r="H42" i="152" s="1"/>
  <c r="L42" i="152" s="1"/>
  <c r="M42" i="152" s="1"/>
  <c r="D42" i="153"/>
  <c r="E42" i="153" s="1"/>
  <c r="H42" i="153" s="1"/>
  <c r="L42" i="153" s="1"/>
  <c r="D42" i="114"/>
  <c r="E42" i="114" s="1"/>
  <c r="H42" i="114" s="1"/>
  <c r="E69" i="113"/>
  <c r="H69" i="113" s="1"/>
  <c r="D69" i="115"/>
  <c r="E69" i="115" s="1"/>
  <c r="H69" i="115" s="1"/>
  <c r="D69" i="116"/>
  <c r="E69" i="116" s="1"/>
  <c r="H69" i="116" s="1"/>
  <c r="D69" i="117"/>
  <c r="E69" i="117" s="1"/>
  <c r="H69" i="117" s="1"/>
  <c r="D69" i="118"/>
  <c r="E69" i="118" s="1"/>
  <c r="H69" i="118" s="1"/>
  <c r="D69" i="119"/>
  <c r="E69" i="119" s="1"/>
  <c r="H69" i="119" s="1"/>
  <c r="D69" i="120"/>
  <c r="E69" i="120" s="1"/>
  <c r="H69" i="120" s="1"/>
  <c r="D69" i="125"/>
  <c r="E69" i="125" s="1"/>
  <c r="H69" i="125" s="1"/>
  <c r="D69" i="126"/>
  <c r="E69" i="126" s="1"/>
  <c r="H69" i="126" s="1"/>
  <c r="D69" i="127"/>
  <c r="E69" i="127" s="1"/>
  <c r="H69" i="127" s="1"/>
  <c r="D69" i="128"/>
  <c r="E69" i="128" s="1"/>
  <c r="H69" i="128" s="1"/>
  <c r="D69" i="129"/>
  <c r="E69" i="129" s="1"/>
  <c r="H69" i="129" s="1"/>
  <c r="D69" i="131"/>
  <c r="E69" i="131" s="1"/>
  <c r="H69" i="131" s="1"/>
  <c r="D69" i="144"/>
  <c r="E69" i="144" s="1"/>
  <c r="H69" i="144" s="1"/>
  <c r="L69" i="144" s="1"/>
  <c r="M69" i="144" s="1"/>
  <c r="D69" i="145"/>
  <c r="E69" i="145" s="1"/>
  <c r="H69" i="145" s="1"/>
  <c r="L69" i="145" s="1"/>
  <c r="M69" i="145" s="1"/>
  <c r="D69" i="146"/>
  <c r="E69" i="146" s="1"/>
  <c r="H69" i="146" s="1"/>
  <c r="L69" i="146" s="1"/>
  <c r="M69" i="146" s="1"/>
  <c r="D69" i="147"/>
  <c r="E69" i="147" s="1"/>
  <c r="H69" i="147" s="1"/>
  <c r="L69" i="147" s="1"/>
  <c r="M69" i="147" s="1"/>
  <c r="D69" i="148"/>
  <c r="E69" i="148" s="1"/>
  <c r="H69" i="148" s="1"/>
  <c r="L69" i="148" s="1"/>
  <c r="M69" i="148" s="1"/>
  <c r="D69" i="149"/>
  <c r="E69" i="149" s="1"/>
  <c r="H69" i="149" s="1"/>
  <c r="L69" i="149" s="1"/>
  <c r="M69" i="149" s="1"/>
  <c r="D69" i="151"/>
  <c r="E69" i="151" s="1"/>
  <c r="H69" i="151" s="1"/>
  <c r="L69" i="151" s="1"/>
  <c r="M69" i="151" s="1"/>
  <c r="D69" i="152"/>
  <c r="E69" i="152" s="1"/>
  <c r="H69" i="152" s="1"/>
  <c r="L69" i="152" s="1"/>
  <c r="M69" i="152" s="1"/>
  <c r="D69" i="153"/>
  <c r="E69" i="153" s="1"/>
  <c r="H69" i="153" s="1"/>
  <c r="L69" i="153" s="1"/>
  <c r="M69" i="153" s="1"/>
  <c r="D69" i="114"/>
  <c r="E69" i="114" s="1"/>
  <c r="H69" i="114" s="1"/>
  <c r="E49" i="113"/>
  <c r="H49" i="113" s="1"/>
  <c r="D49" i="115"/>
  <c r="E49" i="115" s="1"/>
  <c r="H49" i="115" s="1"/>
  <c r="D49" i="116"/>
  <c r="E49" i="116" s="1"/>
  <c r="H49" i="116" s="1"/>
  <c r="D49" i="117"/>
  <c r="E49" i="117" s="1"/>
  <c r="H49" i="117" s="1"/>
  <c r="D49" i="118"/>
  <c r="E49" i="118" s="1"/>
  <c r="H49" i="118" s="1"/>
  <c r="D49" i="119"/>
  <c r="E49" i="119" s="1"/>
  <c r="H49" i="119" s="1"/>
  <c r="D49" i="120"/>
  <c r="E49" i="120" s="1"/>
  <c r="H49" i="120" s="1"/>
  <c r="D49" i="125"/>
  <c r="E49" i="125" s="1"/>
  <c r="H49" i="125" s="1"/>
  <c r="D49" i="126"/>
  <c r="E49" i="126" s="1"/>
  <c r="H49" i="126" s="1"/>
  <c r="D49" i="127"/>
  <c r="E49" i="127" s="1"/>
  <c r="H49" i="127" s="1"/>
  <c r="D49" i="128"/>
  <c r="E49" i="128" s="1"/>
  <c r="H49" i="128" s="1"/>
  <c r="D49" i="129"/>
  <c r="E49" i="129" s="1"/>
  <c r="H49" i="129" s="1"/>
  <c r="D49" i="131"/>
  <c r="E49" i="131" s="1"/>
  <c r="H49" i="131" s="1"/>
  <c r="D49" i="144"/>
  <c r="E49" i="144" s="1"/>
  <c r="H49" i="144" s="1"/>
  <c r="L49" i="144" s="1"/>
  <c r="M49" i="144" s="1"/>
  <c r="D49" i="145"/>
  <c r="E49" i="145" s="1"/>
  <c r="H49" i="145" s="1"/>
  <c r="L49" i="145" s="1"/>
  <c r="M49" i="145" s="1"/>
  <c r="D49" i="146"/>
  <c r="E49" i="146" s="1"/>
  <c r="H49" i="146" s="1"/>
  <c r="L49" i="146" s="1"/>
  <c r="M49" i="146" s="1"/>
  <c r="D49" i="147"/>
  <c r="E49" i="147" s="1"/>
  <c r="H49" i="147" s="1"/>
  <c r="L49" i="147" s="1"/>
  <c r="M49" i="147" s="1"/>
  <c r="D49" i="148"/>
  <c r="E49" i="148" s="1"/>
  <c r="H49" i="148" s="1"/>
  <c r="L49" i="148" s="1"/>
  <c r="M49" i="148" s="1"/>
  <c r="D49" i="149"/>
  <c r="E49" i="149" s="1"/>
  <c r="H49" i="149" s="1"/>
  <c r="L49" i="149" s="1"/>
  <c r="M49" i="149" s="1"/>
  <c r="D49" i="151"/>
  <c r="E49" i="151" s="1"/>
  <c r="H49" i="151" s="1"/>
  <c r="L49" i="151" s="1"/>
  <c r="M49" i="151" s="1"/>
  <c r="D49" i="152"/>
  <c r="E49" i="152" s="1"/>
  <c r="H49" i="152" s="1"/>
  <c r="L49" i="152" s="1"/>
  <c r="M49" i="152" s="1"/>
  <c r="D49" i="153"/>
  <c r="E49" i="153" s="1"/>
  <c r="H49" i="153" s="1"/>
  <c r="L49" i="153" s="1"/>
  <c r="M49" i="153" s="1"/>
  <c r="D49" i="114"/>
  <c r="E49" i="114" s="1"/>
  <c r="H49" i="114" s="1"/>
  <c r="E55" i="113"/>
  <c r="H55" i="113" s="1"/>
  <c r="D55" i="115"/>
  <c r="E55" i="115" s="1"/>
  <c r="H55" i="115" s="1"/>
  <c r="D55" i="116"/>
  <c r="E55" i="116" s="1"/>
  <c r="H55" i="116" s="1"/>
  <c r="D55" i="117"/>
  <c r="E55" i="117" s="1"/>
  <c r="H55" i="117" s="1"/>
  <c r="D55" i="118"/>
  <c r="E55" i="118" s="1"/>
  <c r="H55" i="118" s="1"/>
  <c r="D55" i="119"/>
  <c r="E55" i="119" s="1"/>
  <c r="H55" i="119" s="1"/>
  <c r="D55" i="120"/>
  <c r="E55" i="120" s="1"/>
  <c r="H55" i="120" s="1"/>
  <c r="D55" i="125"/>
  <c r="E55" i="125" s="1"/>
  <c r="H55" i="125" s="1"/>
  <c r="D55" i="126"/>
  <c r="E55" i="126" s="1"/>
  <c r="H55" i="126" s="1"/>
  <c r="D55" i="127"/>
  <c r="E55" i="127" s="1"/>
  <c r="H55" i="127" s="1"/>
  <c r="D55" i="128"/>
  <c r="E55" i="128" s="1"/>
  <c r="H55" i="128" s="1"/>
  <c r="D55" i="129"/>
  <c r="E55" i="129" s="1"/>
  <c r="H55" i="129" s="1"/>
  <c r="D55" i="131"/>
  <c r="E55" i="131" s="1"/>
  <c r="H55" i="131" s="1"/>
  <c r="D55" i="144"/>
  <c r="E55" i="144" s="1"/>
  <c r="H55" i="144" s="1"/>
  <c r="L55" i="144" s="1"/>
  <c r="D55" i="145"/>
  <c r="E55" i="145" s="1"/>
  <c r="H55" i="145" s="1"/>
  <c r="L55" i="145" s="1"/>
  <c r="M55" i="145" s="1"/>
  <c r="D55" i="146"/>
  <c r="E55" i="146" s="1"/>
  <c r="H55" i="146" s="1"/>
  <c r="L55" i="146" s="1"/>
  <c r="M55" i="146" s="1"/>
  <c r="D55" i="147"/>
  <c r="E55" i="147" s="1"/>
  <c r="H55" i="147" s="1"/>
  <c r="L55" i="147" s="1"/>
  <c r="M55" i="147" s="1"/>
  <c r="D55" i="148"/>
  <c r="E55" i="148" s="1"/>
  <c r="H55" i="148" s="1"/>
  <c r="L55" i="148" s="1"/>
  <c r="M55" i="148" s="1"/>
  <c r="D55" i="149"/>
  <c r="E55" i="149" s="1"/>
  <c r="H55" i="149" s="1"/>
  <c r="L55" i="149" s="1"/>
  <c r="M55" i="149" s="1"/>
  <c r="D55" i="151"/>
  <c r="E55" i="151" s="1"/>
  <c r="H55" i="151" s="1"/>
  <c r="L55" i="151" s="1"/>
  <c r="M55" i="151" s="1"/>
  <c r="D55" i="152"/>
  <c r="E55" i="152" s="1"/>
  <c r="H55" i="152" s="1"/>
  <c r="L55" i="152" s="1"/>
  <c r="M55" i="152" s="1"/>
  <c r="D55" i="153"/>
  <c r="E55" i="153" s="1"/>
  <c r="H55" i="153" s="1"/>
  <c r="L55" i="153" s="1"/>
  <c r="M55" i="153" s="1"/>
  <c r="D55" i="114"/>
  <c r="E55" i="114" s="1"/>
  <c r="H55" i="114" s="1"/>
  <c r="D16" i="31"/>
  <c r="E16" i="31" s="1"/>
  <c r="H16" i="31" s="1"/>
  <c r="D9" i="31"/>
  <c r="E9" i="31" s="1"/>
  <c r="H9" i="31" s="1"/>
  <c r="L9" i="31" s="1"/>
  <c r="R74" i="145"/>
  <c r="S74" i="145" s="1"/>
  <c r="T74" i="145"/>
  <c r="R74" i="152"/>
  <c r="S74" i="152" s="1"/>
  <c r="T74" i="152"/>
  <c r="P74" i="140"/>
  <c r="Q74" i="140" s="1"/>
  <c r="P74" i="141"/>
  <c r="Q74" i="141" s="1"/>
  <c r="N49" i="141"/>
  <c r="N53" i="141"/>
  <c r="N69" i="141"/>
  <c r="N64" i="141"/>
  <c r="N55" i="141"/>
  <c r="N53" i="140"/>
  <c r="N40" i="140"/>
  <c r="R40" i="140" s="1"/>
  <c r="N49" i="140"/>
  <c r="R49" i="140" s="1"/>
  <c r="N64" i="140"/>
  <c r="R64" i="140" s="1"/>
  <c r="N55" i="140"/>
  <c r="R55" i="140" s="1"/>
  <c r="E52" i="67"/>
  <c r="F52" i="67" s="1"/>
  <c r="G52" i="67" s="1"/>
  <c r="E73" i="67"/>
  <c r="F73" i="67" s="1"/>
  <c r="G73" i="67" s="1"/>
  <c r="E37" i="67"/>
  <c r="F37" i="67" s="1"/>
  <c r="G37" i="67" s="1"/>
  <c r="N42" i="140"/>
  <c r="N42" i="141"/>
  <c r="E41" i="67"/>
  <c r="F41" i="67" s="1"/>
  <c r="G41" i="67" s="1"/>
  <c r="F62" i="166"/>
  <c r="F29" i="166"/>
  <c r="D34" i="141"/>
  <c r="E34" i="141" s="1"/>
  <c r="H34" i="141" s="1"/>
  <c r="L34" i="141" s="1"/>
  <c r="N34" i="141" s="1"/>
  <c r="R34" i="141" s="1"/>
  <c r="D34" i="140"/>
  <c r="D71" i="141"/>
  <c r="E71" i="141" s="1"/>
  <c r="H71" i="141" s="1"/>
  <c r="L71" i="141" s="1"/>
  <c r="N71" i="141" s="1"/>
  <c r="R71" i="141" s="1"/>
  <c r="D71" i="140"/>
  <c r="E71" i="140" s="1"/>
  <c r="H71" i="140" s="1"/>
  <c r="L71" i="140" s="1"/>
  <c r="N71" i="140" s="1"/>
  <c r="R71" i="140" s="1"/>
  <c r="D9" i="141"/>
  <c r="E9" i="141" s="1"/>
  <c r="H9" i="141" s="1"/>
  <c r="L9" i="141" s="1"/>
  <c r="N9" i="141" s="1"/>
  <c r="R9" i="141" s="1"/>
  <c r="D9" i="140"/>
  <c r="E9" i="140" s="1"/>
  <c r="H9" i="140" s="1"/>
  <c r="L9" i="140" s="1"/>
  <c r="D72" i="141"/>
  <c r="E72" i="141" s="1"/>
  <c r="H72" i="141" s="1"/>
  <c r="L72" i="141" s="1"/>
  <c r="D72" i="140"/>
  <c r="D73" i="141"/>
  <c r="E73" i="141" s="1"/>
  <c r="H73" i="141" s="1"/>
  <c r="L73" i="141" s="1"/>
  <c r="D73" i="140"/>
  <c r="E73" i="140" s="1"/>
  <c r="H73" i="140" s="1"/>
  <c r="L73" i="140" s="1"/>
  <c r="N73" i="140" s="1"/>
  <c r="R73" i="140" s="1"/>
  <c r="D8" i="141"/>
  <c r="E8" i="141" s="1"/>
  <c r="H8" i="141" s="1"/>
  <c r="L8" i="141" s="1"/>
  <c r="D8" i="140"/>
  <c r="E8" i="140" s="1"/>
  <c r="H8" i="140" s="1"/>
  <c r="L8" i="140" s="1"/>
  <c r="N8" i="140" s="1"/>
  <c r="R8" i="140" s="1"/>
  <c r="D66" i="141"/>
  <c r="E66" i="141" s="1"/>
  <c r="H66" i="141" s="1"/>
  <c r="L66" i="141" s="1"/>
  <c r="D66" i="140"/>
  <c r="E66" i="140" s="1"/>
  <c r="H66" i="140" s="1"/>
  <c r="L66" i="140" s="1"/>
  <c r="D45" i="141"/>
  <c r="E45" i="141" s="1"/>
  <c r="H45" i="141" s="1"/>
  <c r="L45" i="141" s="1"/>
  <c r="N45" i="141" s="1"/>
  <c r="R45" i="141" s="1"/>
  <c r="D45" i="140"/>
  <c r="D58" i="141"/>
  <c r="E58" i="141" s="1"/>
  <c r="H58" i="141" s="1"/>
  <c r="L58" i="141" s="1"/>
  <c r="N58" i="141" s="1"/>
  <c r="R58" i="141" s="1"/>
  <c r="D58" i="140"/>
  <c r="E58" i="140" s="1"/>
  <c r="H58" i="140" s="1"/>
  <c r="L58" i="140" s="1"/>
  <c r="N58" i="140" s="1"/>
  <c r="R58" i="140" s="1"/>
  <c r="D63" i="141"/>
  <c r="D63" i="140"/>
  <c r="D12" i="141"/>
  <c r="E12" i="141" s="1"/>
  <c r="H12" i="141" s="1"/>
  <c r="L12" i="141" s="1"/>
  <c r="N12" i="141" s="1"/>
  <c r="R12" i="141" s="1"/>
  <c r="D12" i="140"/>
  <c r="E12" i="140" s="1"/>
  <c r="H12" i="140" s="1"/>
  <c r="L12" i="140" s="1"/>
  <c r="N12" i="140" s="1"/>
  <c r="R12" i="140" s="1"/>
  <c r="D70" i="141"/>
  <c r="E70" i="141" s="1"/>
  <c r="H70" i="141" s="1"/>
  <c r="L70" i="141" s="1"/>
  <c r="N70" i="141" s="1"/>
  <c r="R70" i="141" s="1"/>
  <c r="D70" i="140"/>
  <c r="D25" i="141"/>
  <c r="E25" i="141" s="1"/>
  <c r="H25" i="141" s="1"/>
  <c r="L25" i="141" s="1"/>
  <c r="D25" i="140"/>
  <c r="D57" i="141"/>
  <c r="E57" i="141" s="1"/>
  <c r="H57" i="141" s="1"/>
  <c r="L57" i="141" s="1"/>
  <c r="D57" i="140"/>
  <c r="D31" i="141"/>
  <c r="E31" i="141" s="1"/>
  <c r="H31" i="141" s="1"/>
  <c r="L31" i="141" s="1"/>
  <c r="D31" i="140"/>
  <c r="D33" i="141"/>
  <c r="E33" i="141" s="1"/>
  <c r="H33" i="141" s="1"/>
  <c r="L33" i="141" s="1"/>
  <c r="D33" i="140"/>
  <c r="D67" i="141"/>
  <c r="D67" i="140"/>
  <c r="E67" i="140" s="1"/>
  <c r="H67" i="140" s="1"/>
  <c r="L67" i="140" s="1"/>
  <c r="D18" i="141"/>
  <c r="E18" i="141" s="1"/>
  <c r="H18" i="141" s="1"/>
  <c r="L18" i="141" s="1"/>
  <c r="D18" i="140"/>
  <c r="E18" i="140" s="1"/>
  <c r="H18" i="140" s="1"/>
  <c r="L18" i="140" s="1"/>
  <c r="N18" i="140" s="1"/>
  <c r="R18" i="140" s="1"/>
  <c r="D54" i="141"/>
  <c r="E54" i="141" s="1"/>
  <c r="H54" i="141" s="1"/>
  <c r="L54" i="141" s="1"/>
  <c r="D54" i="140"/>
  <c r="E54" i="140" s="1"/>
  <c r="H54" i="140" s="1"/>
  <c r="L54" i="140" s="1"/>
  <c r="D39" i="141"/>
  <c r="E39" i="141" s="1"/>
  <c r="H39" i="141" s="1"/>
  <c r="L39" i="141" s="1"/>
  <c r="N39" i="141" s="1"/>
  <c r="R39" i="141" s="1"/>
  <c r="D39" i="140"/>
  <c r="E39" i="140" s="1"/>
  <c r="H39" i="140" s="1"/>
  <c r="L39" i="140" s="1"/>
  <c r="D19" i="141"/>
  <c r="E19" i="141" s="1"/>
  <c r="H19" i="141" s="1"/>
  <c r="L19" i="141" s="1"/>
  <c r="N19" i="141" s="1"/>
  <c r="R19" i="141" s="1"/>
  <c r="D19" i="140"/>
  <c r="D14" i="141"/>
  <c r="E14" i="141" s="1"/>
  <c r="H14" i="141" s="1"/>
  <c r="L14" i="141" s="1"/>
  <c r="D14" i="140"/>
  <c r="E14" i="140" s="1"/>
  <c r="H14" i="140" s="1"/>
  <c r="L14" i="140" s="1"/>
  <c r="N14" i="140" s="1"/>
  <c r="R14" i="140" s="1"/>
  <c r="AX71" i="1"/>
  <c r="C73" i="33"/>
  <c r="AV71" i="1"/>
  <c r="N69" i="144"/>
  <c r="P69" i="144" s="1"/>
  <c r="AP46" i="1"/>
  <c r="D48" i="67" s="1"/>
  <c r="E48" i="67" s="1"/>
  <c r="F48" i="67" s="1"/>
  <c r="AW46" i="1"/>
  <c r="AV46" i="1" s="1"/>
  <c r="I48" i="80"/>
  <c r="E68" i="76"/>
  <c r="H68" i="76" s="1"/>
  <c r="N64" i="144"/>
  <c r="P64" i="144" s="1"/>
  <c r="D73" i="113"/>
  <c r="I74" i="80"/>
  <c r="I10" i="80"/>
  <c r="AW70" i="1"/>
  <c r="AX70" i="1" s="1"/>
  <c r="I48" i="76"/>
  <c r="C69" i="33"/>
  <c r="AP70" i="1"/>
  <c r="D72" i="67" s="1"/>
  <c r="E72" i="67" s="1"/>
  <c r="F72" i="67" s="1"/>
  <c r="N49" i="144"/>
  <c r="P49" i="144" s="1"/>
  <c r="T49" i="144" s="1"/>
  <c r="C49" i="33"/>
  <c r="I63" i="80"/>
  <c r="I54" i="80"/>
  <c r="D66" i="113"/>
  <c r="D13" i="76"/>
  <c r="E13" i="76" s="1"/>
  <c r="H13" i="76" s="1"/>
  <c r="AP11" i="1"/>
  <c r="D13" i="67" s="1"/>
  <c r="C55" i="33"/>
  <c r="D65" i="80"/>
  <c r="E65" i="80" s="1"/>
  <c r="H65" i="80" s="1"/>
  <c r="AW11" i="1"/>
  <c r="AQ11" i="1" s="1"/>
  <c r="AP52" i="1"/>
  <c r="D54" i="67" s="1"/>
  <c r="E54" i="67" s="1"/>
  <c r="F54" i="67" s="1"/>
  <c r="I63" i="76"/>
  <c r="D7" i="76"/>
  <c r="E7" i="76" s="1"/>
  <c r="H7" i="76" s="1"/>
  <c r="D65" i="76"/>
  <c r="I65" i="76" s="1"/>
  <c r="C14" i="33"/>
  <c r="C19" i="33"/>
  <c r="AW52" i="1"/>
  <c r="AQ52" i="1" s="1"/>
  <c r="D14" i="113"/>
  <c r="I61" i="76"/>
  <c r="C72" i="33"/>
  <c r="C48" i="33"/>
  <c r="D13" i="80"/>
  <c r="E13" i="80" s="1"/>
  <c r="H13" i="80" s="1"/>
  <c r="AW68" i="1"/>
  <c r="AQ68" i="1" s="1"/>
  <c r="E68" i="80"/>
  <c r="H68" i="80" s="1"/>
  <c r="E19" i="140"/>
  <c r="H19" i="140" s="1"/>
  <c r="L19" i="140" s="1"/>
  <c r="P69" i="140"/>
  <c r="Q69" i="140" s="1"/>
  <c r="C8" i="33"/>
  <c r="M55" i="144"/>
  <c r="N55" i="144" s="1"/>
  <c r="P55" i="144" s="1"/>
  <c r="T55" i="144" s="1"/>
  <c r="AW45" i="1"/>
  <c r="AQ45" i="1" s="1"/>
  <c r="D18" i="76"/>
  <c r="E18" i="76" s="1"/>
  <c r="H18" i="76" s="1"/>
  <c r="AP69" i="1"/>
  <c r="D71" i="67" s="1"/>
  <c r="AP16" i="1"/>
  <c r="D18" i="67" s="1"/>
  <c r="E18" i="67" s="1"/>
  <c r="F18" i="67" s="1"/>
  <c r="E54" i="76"/>
  <c r="H54" i="76" s="1"/>
  <c r="AP66" i="1"/>
  <c r="D68" i="67" s="1"/>
  <c r="AW66" i="1"/>
  <c r="AV66" i="1" s="1"/>
  <c r="M46" i="129"/>
  <c r="N46" i="129" s="1"/>
  <c r="P46" i="129" s="1"/>
  <c r="D72" i="80"/>
  <c r="E72" i="80" s="1"/>
  <c r="H72" i="80" s="1"/>
  <c r="E57" i="140"/>
  <c r="H57" i="140" s="1"/>
  <c r="L57" i="140" s="1"/>
  <c r="N57" i="140" s="1"/>
  <c r="R57" i="140" s="1"/>
  <c r="D8" i="113"/>
  <c r="D7" i="80"/>
  <c r="E7" i="80" s="1"/>
  <c r="H7" i="80" s="1"/>
  <c r="D72" i="76"/>
  <c r="I72" i="76" s="1"/>
  <c r="D18" i="80"/>
  <c r="E18" i="80" s="1"/>
  <c r="H18" i="80" s="1"/>
  <c r="D19" i="113"/>
  <c r="C71" i="33"/>
  <c r="AP68" i="1"/>
  <c r="D70" i="67" s="1"/>
  <c r="AP45" i="1"/>
  <c r="E67" i="141"/>
  <c r="H67" i="141" s="1"/>
  <c r="L67" i="141" s="1"/>
  <c r="N38" i="152"/>
  <c r="P38" i="152" s="1"/>
  <c r="D66" i="80"/>
  <c r="E66" i="80" s="1"/>
  <c r="H66" i="80" s="1"/>
  <c r="AP5" i="1"/>
  <c r="D7" i="67" s="1"/>
  <c r="D71" i="76"/>
  <c r="I71" i="76" s="1"/>
  <c r="AW69" i="1"/>
  <c r="AQ69" i="1" s="1"/>
  <c r="N42" i="148"/>
  <c r="P42" i="148" s="1"/>
  <c r="T42" i="148" s="1"/>
  <c r="AJ42" i="148" s="1"/>
  <c r="D66" i="76"/>
  <c r="E66" i="76" s="1"/>
  <c r="H66" i="76" s="1"/>
  <c r="D67" i="113"/>
  <c r="D32" i="76"/>
  <c r="I32" i="76" s="1"/>
  <c r="AW5" i="1"/>
  <c r="AX5" i="1" s="1"/>
  <c r="D72" i="113"/>
  <c r="D71" i="80"/>
  <c r="I71" i="80" s="1"/>
  <c r="E72" i="140"/>
  <c r="H72" i="140" s="1"/>
  <c r="L72" i="140" s="1"/>
  <c r="D38" i="76"/>
  <c r="E38" i="76" s="1"/>
  <c r="H38" i="76" s="1"/>
  <c r="D18" i="113"/>
  <c r="D17" i="80"/>
  <c r="I17" i="80" s="1"/>
  <c r="D9" i="113"/>
  <c r="D57" i="113"/>
  <c r="AW7" i="1"/>
  <c r="AQ7" i="1" s="1"/>
  <c r="D58" i="31"/>
  <c r="E58" i="31" s="1"/>
  <c r="H58" i="31" s="1"/>
  <c r="D39" i="113"/>
  <c r="D42" i="31"/>
  <c r="E42" i="31" s="1"/>
  <c r="H42" i="31" s="1"/>
  <c r="N40" i="149"/>
  <c r="P40" i="149" s="1"/>
  <c r="D56" i="76"/>
  <c r="I56" i="76" s="1"/>
  <c r="C10" i="33"/>
  <c r="D33" i="31"/>
  <c r="E33" i="31" s="1"/>
  <c r="H33" i="31" s="1"/>
  <c r="AW36" i="1"/>
  <c r="AQ36" i="1" s="1"/>
  <c r="D46" i="31"/>
  <c r="E46" i="31" s="1"/>
  <c r="H46" i="31" s="1"/>
  <c r="C39" i="33"/>
  <c r="D8" i="80"/>
  <c r="I8" i="80" s="1"/>
  <c r="D56" i="80"/>
  <c r="E56" i="80" s="1"/>
  <c r="H56" i="80" s="1"/>
  <c r="D17" i="76"/>
  <c r="E17" i="76" s="1"/>
  <c r="H17" i="76" s="1"/>
  <c r="D8" i="76"/>
  <c r="I8" i="76" s="1"/>
  <c r="AP7" i="1"/>
  <c r="D9" i="67" s="1"/>
  <c r="E9" i="67" s="1"/>
  <c r="F9" i="67" s="1"/>
  <c r="D38" i="80"/>
  <c r="E38" i="80" s="1"/>
  <c r="H38" i="80" s="1"/>
  <c r="I41" i="76"/>
  <c r="P38" i="140"/>
  <c r="Q38" i="140" s="1"/>
  <c r="D53" i="76"/>
  <c r="I53" i="76" s="1"/>
  <c r="D54" i="113"/>
  <c r="D32" i="31"/>
  <c r="E32" i="31" s="1"/>
  <c r="H32" i="31" s="1"/>
  <c r="D41" i="31"/>
  <c r="E41" i="31" s="1"/>
  <c r="H41" i="31" s="1"/>
  <c r="L38" i="149"/>
  <c r="D30" i="76"/>
  <c r="E30" i="76" s="1"/>
  <c r="H30" i="76" s="1"/>
  <c r="AP72" i="1"/>
  <c r="D74" i="67" s="1"/>
  <c r="AP14" i="1"/>
  <c r="D16" i="67" s="1"/>
  <c r="D28" i="31"/>
  <c r="E28" i="31" s="1"/>
  <c r="H28" i="31" s="1"/>
  <c r="D30" i="31"/>
  <c r="E30" i="31" s="1"/>
  <c r="H30" i="31" s="1"/>
  <c r="D63" i="31"/>
  <c r="E63" i="31" s="1"/>
  <c r="H63" i="31" s="1"/>
  <c r="L38" i="145"/>
  <c r="D31" i="113"/>
  <c r="D33" i="113"/>
  <c r="C75" i="33"/>
  <c r="C25" i="33"/>
  <c r="AX28" i="1"/>
  <c r="D32" i="80"/>
  <c r="E32" i="80" s="1"/>
  <c r="H32" i="80" s="1"/>
  <c r="AW72" i="1"/>
  <c r="AV72" i="1" s="1"/>
  <c r="D53" i="80"/>
  <c r="E53" i="80" s="1"/>
  <c r="H53" i="80" s="1"/>
  <c r="D59" i="31"/>
  <c r="E59" i="31" s="1"/>
  <c r="H59" i="31" s="1"/>
  <c r="D38" i="31"/>
  <c r="E38" i="31" s="1"/>
  <c r="H38" i="31" s="1"/>
  <c r="E33" i="140"/>
  <c r="H33" i="140" s="1"/>
  <c r="L33" i="140" s="1"/>
  <c r="P40" i="141"/>
  <c r="Q40" i="141" s="1"/>
  <c r="AW6" i="1"/>
  <c r="AX6" i="1" s="1"/>
  <c r="N42" i="147"/>
  <c r="P42" i="147" s="1"/>
  <c r="AV28" i="1"/>
  <c r="C17" i="33"/>
  <c r="N40" i="153"/>
  <c r="P40" i="153" s="1"/>
  <c r="T40" i="153" s="1"/>
  <c r="N40" i="144"/>
  <c r="P40" i="144" s="1"/>
  <c r="D30" i="80"/>
  <c r="E30" i="80" s="1"/>
  <c r="H30" i="80" s="1"/>
  <c r="AW14" i="1"/>
  <c r="AV14" i="1" s="1"/>
  <c r="L42" i="149"/>
  <c r="E31" i="140"/>
  <c r="H31" i="140" s="1"/>
  <c r="L31" i="140" s="1"/>
  <c r="N31" i="140" s="1"/>
  <c r="R31" i="140" s="1"/>
  <c r="D71" i="113"/>
  <c r="L40" i="152"/>
  <c r="L40" i="147"/>
  <c r="R74" i="148"/>
  <c r="S74" i="148" s="1"/>
  <c r="L38" i="144"/>
  <c r="E22" i="76"/>
  <c r="H22" i="76" s="1"/>
  <c r="E37" i="80"/>
  <c r="H37" i="80" s="1"/>
  <c r="AP6" i="1"/>
  <c r="D8" i="67" s="1"/>
  <c r="L40" i="146"/>
  <c r="L40" i="145"/>
  <c r="AP40" i="1"/>
  <c r="D42" i="67" s="1"/>
  <c r="E42" i="67" s="1"/>
  <c r="F42" i="67" s="1"/>
  <c r="C9" i="33"/>
  <c r="L38" i="147"/>
  <c r="D24" i="76"/>
  <c r="E24" i="76" s="1"/>
  <c r="H24" i="76" s="1"/>
  <c r="E25" i="140"/>
  <c r="H25" i="140" s="1"/>
  <c r="L25" i="140" s="1"/>
  <c r="N25" i="140" s="1"/>
  <c r="R25" i="140" s="1"/>
  <c r="N38" i="148"/>
  <c r="P38" i="148" s="1"/>
  <c r="T38" i="148" s="1"/>
  <c r="L40" i="148"/>
  <c r="P38" i="141"/>
  <c r="Q38" i="141" s="1"/>
  <c r="R74" i="146"/>
  <c r="S74" i="146" s="1"/>
  <c r="D36" i="31"/>
  <c r="E36" i="31" s="1"/>
  <c r="H36" i="31" s="1"/>
  <c r="D45" i="31"/>
  <c r="E45" i="31" s="1"/>
  <c r="H45" i="31" s="1"/>
  <c r="D61" i="31"/>
  <c r="E61" i="31" s="1"/>
  <c r="H61" i="31" s="1"/>
  <c r="D55" i="31"/>
  <c r="E55" i="31" s="1"/>
  <c r="H55" i="31" s="1"/>
  <c r="D54" i="31"/>
  <c r="E54" i="31" s="1"/>
  <c r="H54" i="31" s="1"/>
  <c r="D60" i="31"/>
  <c r="E60" i="31" s="1"/>
  <c r="H60" i="31" s="1"/>
  <c r="D25" i="31"/>
  <c r="E25" i="31" s="1"/>
  <c r="H25" i="31" s="1"/>
  <c r="D48" i="31"/>
  <c r="E48" i="31" s="1"/>
  <c r="H48" i="31" s="1"/>
  <c r="I41" i="80"/>
  <c r="D39" i="31"/>
  <c r="E39" i="31" s="1"/>
  <c r="H39" i="31" s="1"/>
  <c r="D70" i="31"/>
  <c r="E70" i="31" s="1"/>
  <c r="H70" i="31" s="1"/>
  <c r="D52" i="31"/>
  <c r="E52" i="31" s="1"/>
  <c r="H52" i="31" s="1"/>
  <c r="D65" i="31"/>
  <c r="E65" i="31" s="1"/>
  <c r="H65" i="31" s="1"/>
  <c r="D13" i="31"/>
  <c r="E13" i="31" s="1"/>
  <c r="H13" i="31" s="1"/>
  <c r="D67" i="31"/>
  <c r="E67" i="31" s="1"/>
  <c r="H67" i="31" s="1"/>
  <c r="D43" i="31"/>
  <c r="E43" i="31" s="1"/>
  <c r="H43" i="31" s="1"/>
  <c r="D21" i="31"/>
  <c r="E21" i="31" s="1"/>
  <c r="H21" i="31" s="1"/>
  <c r="D12" i="31"/>
  <c r="E12" i="31" s="1"/>
  <c r="D24" i="31"/>
  <c r="E24" i="31" s="1"/>
  <c r="H24" i="31" s="1"/>
  <c r="D50" i="31"/>
  <c r="E50" i="31" s="1"/>
  <c r="H50" i="31" s="1"/>
  <c r="D66" i="31"/>
  <c r="E66" i="31" s="1"/>
  <c r="H66" i="31" s="1"/>
  <c r="D37" i="31"/>
  <c r="E37" i="31" s="1"/>
  <c r="H37" i="31" s="1"/>
  <c r="D22" i="31"/>
  <c r="E22" i="31" s="1"/>
  <c r="H22" i="31" s="1"/>
  <c r="D29" i="31"/>
  <c r="E29" i="31" s="1"/>
  <c r="H29" i="31" s="1"/>
  <c r="D57" i="31"/>
  <c r="E57" i="31" s="1"/>
  <c r="H57" i="31" s="1"/>
  <c r="D8" i="31"/>
  <c r="E8" i="31" s="1"/>
  <c r="D40" i="31"/>
  <c r="E40" i="31" s="1"/>
  <c r="H40" i="31" s="1"/>
  <c r="D35" i="31"/>
  <c r="E35" i="31" s="1"/>
  <c r="H35" i="31" s="1"/>
  <c r="D68" i="31"/>
  <c r="E68" i="31" s="1"/>
  <c r="H68" i="31" s="1"/>
  <c r="D44" i="31"/>
  <c r="E44" i="31" s="1"/>
  <c r="H44" i="31" s="1"/>
  <c r="D53" i="31"/>
  <c r="E53" i="31" s="1"/>
  <c r="H53" i="31" s="1"/>
  <c r="D34" i="31"/>
  <c r="E34" i="31" s="1"/>
  <c r="H34" i="31" s="1"/>
  <c r="L42" i="146"/>
  <c r="D64" i="31"/>
  <c r="E64" i="31" s="1"/>
  <c r="H64" i="31" s="1"/>
  <c r="D6" i="31"/>
  <c r="E6" i="31" s="1"/>
  <c r="H6" i="31" s="1"/>
  <c r="L6" i="31" s="1"/>
  <c r="D15" i="31"/>
  <c r="E15" i="31" s="1"/>
  <c r="H15" i="31" s="1"/>
  <c r="D23" i="31"/>
  <c r="E23" i="31" s="1"/>
  <c r="H23" i="31" s="1"/>
  <c r="D31" i="31"/>
  <c r="E31" i="31" s="1"/>
  <c r="H31" i="31" s="1"/>
  <c r="D56" i="31"/>
  <c r="E56" i="31" s="1"/>
  <c r="H56" i="31" s="1"/>
  <c r="D20" i="31"/>
  <c r="E20" i="31" s="1"/>
  <c r="H20" i="31" s="1"/>
  <c r="D69" i="31"/>
  <c r="E69" i="31" s="1"/>
  <c r="H69" i="31" s="1"/>
  <c r="D27" i="31"/>
  <c r="E27" i="31" s="1"/>
  <c r="H27" i="31" s="1"/>
  <c r="D19" i="31"/>
  <c r="E19" i="31" s="1"/>
  <c r="H19" i="31" s="1"/>
  <c r="L19" i="31" s="1"/>
  <c r="D62" i="31"/>
  <c r="E62" i="31" s="1"/>
  <c r="H62" i="31" s="1"/>
  <c r="D49" i="31"/>
  <c r="E49" i="31" s="1"/>
  <c r="H49" i="31" s="1"/>
  <c r="D14" i="31"/>
  <c r="E14" i="31" s="1"/>
  <c r="H14" i="31" s="1"/>
  <c r="D26" i="31"/>
  <c r="E26" i="31" s="1"/>
  <c r="H26" i="31" s="1"/>
  <c r="D47" i="31"/>
  <c r="E47" i="31" s="1"/>
  <c r="H47" i="31" s="1"/>
  <c r="D51" i="31"/>
  <c r="E51" i="31" s="1"/>
  <c r="H51" i="31" s="1"/>
  <c r="I39" i="80"/>
  <c r="I37" i="76"/>
  <c r="I52" i="76"/>
  <c r="I39" i="76"/>
  <c r="N38" i="146"/>
  <c r="P38" i="146" s="1"/>
  <c r="T38" i="146" s="1"/>
  <c r="L42" i="145"/>
  <c r="N38" i="153"/>
  <c r="P38" i="153" s="1"/>
  <c r="T38" i="153" s="1"/>
  <c r="AW22" i="1"/>
  <c r="AQ22" i="1" s="1"/>
  <c r="AP22" i="1"/>
  <c r="L42" i="144"/>
  <c r="L53" i="144"/>
  <c r="D70" i="76"/>
  <c r="E70" i="76" s="1"/>
  <c r="H70" i="76" s="1"/>
  <c r="AV35" i="1"/>
  <c r="D70" i="80"/>
  <c r="E70" i="80" s="1"/>
  <c r="H70" i="80" s="1"/>
  <c r="L53" i="149"/>
  <c r="D25" i="113"/>
  <c r="D24" i="80"/>
  <c r="I24" i="80" s="1"/>
  <c r="D38" i="67"/>
  <c r="AX35" i="1"/>
  <c r="N53" i="145"/>
  <c r="P53" i="145" s="1"/>
  <c r="T53" i="145" s="1"/>
  <c r="L53" i="153"/>
  <c r="L53" i="146"/>
  <c r="C43" i="33"/>
  <c r="L35" i="144"/>
  <c r="AW40" i="1"/>
  <c r="AV40" i="1" s="1"/>
  <c r="N37" i="144"/>
  <c r="P37" i="144" s="1"/>
  <c r="AQ24" i="1"/>
  <c r="AV24" i="1"/>
  <c r="I52" i="80"/>
  <c r="L53" i="151"/>
  <c r="N53" i="148"/>
  <c r="P53" i="148" s="1"/>
  <c r="T53" i="148" s="1"/>
  <c r="H19" i="139"/>
  <c r="AP56" i="1"/>
  <c r="G19" i="139"/>
  <c r="AW56" i="1"/>
  <c r="AQ56" i="1" s="1"/>
  <c r="C59" i="33"/>
  <c r="F72" i="139"/>
  <c r="P13" i="141"/>
  <c r="Q13" i="141" s="1"/>
  <c r="P44" i="141"/>
  <c r="Q44" i="141" s="1"/>
  <c r="P52" i="140"/>
  <c r="Q52" i="140" s="1"/>
  <c r="P51" i="140"/>
  <c r="Q51" i="140" s="1"/>
  <c r="P20" i="140"/>
  <c r="Q20" i="140" s="1"/>
  <c r="P32" i="140"/>
  <c r="Q32" i="140" s="1"/>
  <c r="P11" i="141"/>
  <c r="Q11" i="141" s="1"/>
  <c r="P41" i="141"/>
  <c r="Q41" i="141" s="1"/>
  <c r="P48" i="141"/>
  <c r="Q48" i="141" s="1"/>
  <c r="P24" i="140"/>
  <c r="Q24" i="140" s="1"/>
  <c r="P29" i="140"/>
  <c r="Q29" i="140" s="1"/>
  <c r="P21" i="140"/>
  <c r="Q21" i="140" s="1"/>
  <c r="P26" i="140"/>
  <c r="Q26" i="140" s="1"/>
  <c r="P50" i="140"/>
  <c r="Q50" i="140" s="1"/>
  <c r="P43" i="140"/>
  <c r="Q43" i="140" s="1"/>
  <c r="P47" i="140"/>
  <c r="Q47" i="140" s="1"/>
  <c r="P75" i="140"/>
  <c r="Q75" i="140" s="1"/>
  <c r="P36" i="140"/>
  <c r="Q36" i="140" s="1"/>
  <c r="P27" i="140"/>
  <c r="Q27" i="140" s="1"/>
  <c r="P56" i="141"/>
  <c r="Q56" i="141" s="1"/>
  <c r="P28" i="140"/>
  <c r="Q28" i="140" s="1"/>
  <c r="P30" i="140"/>
  <c r="Q30" i="140" s="1"/>
  <c r="P10" i="140"/>
  <c r="Q10" i="140" s="1"/>
  <c r="P16" i="141"/>
  <c r="Q16" i="141" s="1"/>
  <c r="P65" i="141"/>
  <c r="Q65" i="141" s="1"/>
  <c r="P35" i="141"/>
  <c r="Q35" i="141" s="1"/>
  <c r="P17" i="141"/>
  <c r="Q17" i="141" s="1"/>
  <c r="P68" i="140"/>
  <c r="Q68" i="140" s="1"/>
  <c r="P60" i="140"/>
  <c r="Q60" i="140" s="1"/>
  <c r="P59" i="140"/>
  <c r="Q59" i="140" s="1"/>
  <c r="D69" i="80"/>
  <c r="E70" i="140"/>
  <c r="H70" i="140" s="1"/>
  <c r="L70" i="140" s="1"/>
  <c r="N70" i="140" s="1"/>
  <c r="R70" i="140" s="1"/>
  <c r="D70" i="113"/>
  <c r="D69" i="76"/>
  <c r="P13" i="140"/>
  <c r="Q13" i="140" s="1"/>
  <c r="P44" i="140"/>
  <c r="Q44" i="140" s="1"/>
  <c r="P52" i="141"/>
  <c r="Q52" i="141" s="1"/>
  <c r="P51" i="141"/>
  <c r="Q51" i="141" s="1"/>
  <c r="P20" i="141"/>
  <c r="Q20" i="141" s="1"/>
  <c r="P32" i="141"/>
  <c r="Q32" i="141" s="1"/>
  <c r="P11" i="140"/>
  <c r="Q11" i="140" s="1"/>
  <c r="P41" i="140"/>
  <c r="Q41" i="140" s="1"/>
  <c r="P48" i="140"/>
  <c r="Q48" i="140" s="1"/>
  <c r="P24" i="141"/>
  <c r="Q24" i="141" s="1"/>
  <c r="P29" i="141"/>
  <c r="Q29" i="141" s="1"/>
  <c r="P21" i="141"/>
  <c r="Q21" i="141" s="1"/>
  <c r="P26" i="141"/>
  <c r="Q26" i="141" s="1"/>
  <c r="P50" i="141"/>
  <c r="Q50" i="141" s="1"/>
  <c r="P43" i="141"/>
  <c r="Q43" i="141" s="1"/>
  <c r="P37" i="141"/>
  <c r="Q37" i="141" s="1"/>
  <c r="P47" i="141"/>
  <c r="Q47" i="141" s="1"/>
  <c r="P75" i="141"/>
  <c r="Q75" i="141" s="1"/>
  <c r="P36" i="141"/>
  <c r="Q36" i="141" s="1"/>
  <c r="P27" i="141"/>
  <c r="Q27" i="141" s="1"/>
  <c r="P56" i="140"/>
  <c r="Q56" i="140" s="1"/>
  <c r="P28" i="141"/>
  <c r="Q28" i="141" s="1"/>
  <c r="P30" i="141"/>
  <c r="Q30" i="141" s="1"/>
  <c r="P10" i="141"/>
  <c r="Q10" i="141" s="1"/>
  <c r="P65" i="140"/>
  <c r="Q65" i="140" s="1"/>
  <c r="P35" i="140"/>
  <c r="Q35" i="140" s="1"/>
  <c r="P17" i="140"/>
  <c r="Q17" i="140" s="1"/>
  <c r="P68" i="141"/>
  <c r="Q68" i="141" s="1"/>
  <c r="P60" i="141"/>
  <c r="Q60" i="141" s="1"/>
  <c r="P59" i="141"/>
  <c r="Q59" i="141" s="1"/>
  <c r="P22" i="141"/>
  <c r="Q22" i="141" s="1"/>
  <c r="P22" i="140"/>
  <c r="Q22" i="140" s="1"/>
  <c r="P46" i="141"/>
  <c r="Q46" i="141" s="1"/>
  <c r="P46" i="140"/>
  <c r="Q46" i="140" s="1"/>
  <c r="C70" i="33"/>
  <c r="AP67" i="1"/>
  <c r="AW67" i="1"/>
  <c r="AQ59" i="1"/>
  <c r="L60" i="144"/>
  <c r="L10" i="144"/>
  <c r="AX59" i="1"/>
  <c r="R74" i="151"/>
  <c r="S74" i="151" s="1"/>
  <c r="L24" i="144"/>
  <c r="I45" i="76"/>
  <c r="D61" i="67"/>
  <c r="L27" i="144"/>
  <c r="L51" i="144"/>
  <c r="L47" i="144"/>
  <c r="L41" i="144"/>
  <c r="L65" i="144"/>
  <c r="L28" i="144"/>
  <c r="N50" i="144"/>
  <c r="P50" i="144" s="1"/>
  <c r="T50" i="144" s="1"/>
  <c r="I45" i="80"/>
  <c r="R74" i="147"/>
  <c r="S74" i="147" s="1"/>
  <c r="L32" i="144"/>
  <c r="L48" i="144"/>
  <c r="N21" i="144"/>
  <c r="P21" i="144" s="1"/>
  <c r="L26" i="144"/>
  <c r="N43" i="144"/>
  <c r="P43" i="144" s="1"/>
  <c r="T43" i="144" s="1"/>
  <c r="L36" i="144"/>
  <c r="L44" i="144"/>
  <c r="L52" i="144"/>
  <c r="L20" i="144"/>
  <c r="N11" i="144"/>
  <c r="P11" i="144" s="1"/>
  <c r="T11" i="144" s="1"/>
  <c r="N29" i="144"/>
  <c r="P29" i="144" s="1"/>
  <c r="T29" i="144" s="1"/>
  <c r="N13" i="144"/>
  <c r="P13" i="144" s="1"/>
  <c r="T13" i="144" s="1"/>
  <c r="L56" i="144"/>
  <c r="L30" i="144"/>
  <c r="L16" i="144"/>
  <c r="N17" i="144"/>
  <c r="P17" i="144" s="1"/>
  <c r="T17" i="144" s="1"/>
  <c r="L68" i="144"/>
  <c r="N75" i="144"/>
  <c r="P75" i="144" s="1"/>
  <c r="T75" i="144" s="1"/>
  <c r="N49" i="146"/>
  <c r="P49" i="146" s="1"/>
  <c r="N55" i="153"/>
  <c r="P55" i="153" s="1"/>
  <c r="N55" i="151"/>
  <c r="P55" i="151" s="1"/>
  <c r="N64" i="153"/>
  <c r="P64" i="153" s="1"/>
  <c r="T64" i="153" s="1"/>
  <c r="N64" i="147"/>
  <c r="P64" i="147" s="1"/>
  <c r="T64" i="147" s="1"/>
  <c r="N49" i="152"/>
  <c r="P49" i="152" s="1"/>
  <c r="T49" i="152" s="1"/>
  <c r="N49" i="148"/>
  <c r="P49" i="148" s="1"/>
  <c r="T49" i="148" s="1"/>
  <c r="N38" i="151"/>
  <c r="P38" i="151" s="1"/>
  <c r="T38" i="151" s="1"/>
  <c r="N55" i="152"/>
  <c r="P55" i="152" s="1"/>
  <c r="N69" i="148"/>
  <c r="P69" i="148" s="1"/>
  <c r="T69" i="148" s="1"/>
  <c r="N53" i="152"/>
  <c r="P53" i="152" s="1"/>
  <c r="T53" i="152" s="1"/>
  <c r="N40" i="151"/>
  <c r="P40" i="151" s="1"/>
  <c r="T40" i="151" s="1"/>
  <c r="N42" i="152"/>
  <c r="P42" i="152" s="1"/>
  <c r="N64" i="148"/>
  <c r="P64" i="148" s="1"/>
  <c r="T64" i="148" s="1"/>
  <c r="R74" i="149"/>
  <c r="S74" i="149" s="1"/>
  <c r="L59" i="147"/>
  <c r="M59" i="147" s="1"/>
  <c r="L59" i="145"/>
  <c r="M59" i="145" s="1"/>
  <c r="L59" i="152"/>
  <c r="M59" i="152" s="1"/>
  <c r="L22" i="146"/>
  <c r="M22" i="146" s="1"/>
  <c r="L22" i="148"/>
  <c r="M22" i="148" s="1"/>
  <c r="L22" i="149"/>
  <c r="M22" i="149" s="1"/>
  <c r="L22" i="152"/>
  <c r="M22" i="152" s="1"/>
  <c r="L22" i="153"/>
  <c r="M22" i="153" s="1"/>
  <c r="L62" i="147"/>
  <c r="M62" i="147" s="1"/>
  <c r="L62" i="145"/>
  <c r="M62" i="145" s="1"/>
  <c r="L62" i="152"/>
  <c r="M62" i="152" s="1"/>
  <c r="L23" i="146"/>
  <c r="M23" i="146" s="1"/>
  <c r="L23" i="148"/>
  <c r="M23" i="148" s="1"/>
  <c r="L23" i="149"/>
  <c r="M23" i="149" s="1"/>
  <c r="L23" i="152"/>
  <c r="M23" i="152" s="1"/>
  <c r="L23" i="153"/>
  <c r="M23" i="153" s="1"/>
  <c r="L13" i="147"/>
  <c r="M13" i="147" s="1"/>
  <c r="L13" i="145"/>
  <c r="M13" i="145" s="1"/>
  <c r="L13" i="151"/>
  <c r="M13" i="151" s="1"/>
  <c r="L56" i="147"/>
  <c r="M56" i="147" s="1"/>
  <c r="L56" i="148"/>
  <c r="M56" i="148" s="1"/>
  <c r="L56" i="152"/>
  <c r="M56" i="152" s="1"/>
  <c r="L44" i="146"/>
  <c r="M44" i="146" s="1"/>
  <c r="L44" i="148"/>
  <c r="M44" i="148" s="1"/>
  <c r="L44" i="152"/>
  <c r="M44" i="152" s="1"/>
  <c r="L52" i="147"/>
  <c r="M52" i="147" s="1"/>
  <c r="L52" i="145"/>
  <c r="M52" i="145" s="1"/>
  <c r="L52" i="152"/>
  <c r="M52" i="152" s="1"/>
  <c r="L51" i="147"/>
  <c r="M51" i="147" s="1"/>
  <c r="L51" i="148"/>
  <c r="M51" i="148" s="1"/>
  <c r="L51" i="152"/>
  <c r="M51" i="152" s="1"/>
  <c r="L20" i="146"/>
  <c r="M20" i="146" s="1"/>
  <c r="L20" i="148"/>
  <c r="M20" i="148" s="1"/>
  <c r="L20" i="151"/>
  <c r="M20" i="151" s="1"/>
  <c r="L32" i="146"/>
  <c r="M32" i="146" s="1"/>
  <c r="L32" i="148"/>
  <c r="M32" i="148" s="1"/>
  <c r="L32" i="151"/>
  <c r="M32" i="151" s="1"/>
  <c r="L32" i="152"/>
  <c r="M32" i="152" s="1"/>
  <c r="L11" i="147"/>
  <c r="M11" i="147" s="1"/>
  <c r="L11" i="145"/>
  <c r="M11" i="145" s="1"/>
  <c r="L11" i="151"/>
  <c r="M11" i="151" s="1"/>
  <c r="L41" i="146"/>
  <c r="M41" i="146" s="1"/>
  <c r="L41" i="148"/>
  <c r="M41" i="148" s="1"/>
  <c r="L41" i="151"/>
  <c r="M41" i="151" s="1"/>
  <c r="L41" i="152"/>
  <c r="M41" i="152" s="1"/>
  <c r="L48" i="147"/>
  <c r="M48" i="147" s="1"/>
  <c r="L48" i="148"/>
  <c r="M48" i="148" s="1"/>
  <c r="L48" i="152"/>
  <c r="M48" i="152" s="1"/>
  <c r="L24" i="147"/>
  <c r="M24" i="147" s="1"/>
  <c r="L24" i="145"/>
  <c r="M24" i="145" s="1"/>
  <c r="L24" i="151"/>
  <c r="M24" i="151" s="1"/>
  <c r="L46" i="147"/>
  <c r="M46" i="147" s="1"/>
  <c r="L46" i="149"/>
  <c r="M46" i="149" s="1"/>
  <c r="L46" i="146"/>
  <c r="M46" i="146" s="1"/>
  <c r="L46" i="152"/>
  <c r="M46" i="152" s="1"/>
  <c r="L46" i="153"/>
  <c r="M46" i="153" s="1"/>
  <c r="L36" i="145"/>
  <c r="M36" i="145" s="1"/>
  <c r="L36" i="147"/>
  <c r="M36" i="147" s="1"/>
  <c r="L36" i="149"/>
  <c r="M36" i="149" s="1"/>
  <c r="L36" i="153"/>
  <c r="M36" i="153" s="1"/>
  <c r="L27" i="145"/>
  <c r="M27" i="145" s="1"/>
  <c r="L27" i="147"/>
  <c r="M27" i="147" s="1"/>
  <c r="L27" i="149"/>
  <c r="M27" i="149" s="1"/>
  <c r="L27" i="151"/>
  <c r="M27" i="151" s="1"/>
  <c r="L27" i="153"/>
  <c r="M27" i="153" s="1"/>
  <c r="L28" i="145"/>
  <c r="M28" i="145" s="1"/>
  <c r="L28" i="147"/>
  <c r="M28" i="147" s="1"/>
  <c r="L28" i="149"/>
  <c r="M28" i="149" s="1"/>
  <c r="L28" i="153"/>
  <c r="M28" i="153" s="1"/>
  <c r="L30" i="145"/>
  <c r="M30" i="145" s="1"/>
  <c r="L30" i="147"/>
  <c r="M30" i="147" s="1"/>
  <c r="L30" i="149"/>
  <c r="M30" i="149" s="1"/>
  <c r="L30" i="153"/>
  <c r="M30" i="153" s="1"/>
  <c r="L10" i="146"/>
  <c r="M10" i="146" s="1"/>
  <c r="L10" i="148"/>
  <c r="M10" i="148" s="1"/>
  <c r="L10" i="149"/>
  <c r="M10" i="149" s="1"/>
  <c r="L10" i="152"/>
  <c r="M10" i="152" s="1"/>
  <c r="L10" i="153"/>
  <c r="M10" i="153" s="1"/>
  <c r="L16" i="146"/>
  <c r="M16" i="146" s="1"/>
  <c r="L16" i="145"/>
  <c r="M16" i="145" s="1"/>
  <c r="L16" i="149"/>
  <c r="M16" i="149" s="1"/>
  <c r="L16" i="152"/>
  <c r="M16" i="152" s="1"/>
  <c r="L16" i="153"/>
  <c r="M16" i="153" s="1"/>
  <c r="L65" i="146"/>
  <c r="M65" i="146" s="1"/>
  <c r="L65" i="147"/>
  <c r="M65" i="147" s="1"/>
  <c r="L65" i="149"/>
  <c r="M65" i="149" s="1"/>
  <c r="L65" i="151"/>
  <c r="M65" i="151" s="1"/>
  <c r="L65" i="153"/>
  <c r="M65" i="153" s="1"/>
  <c r="L35" i="145"/>
  <c r="M35" i="145" s="1"/>
  <c r="L35" i="147"/>
  <c r="M35" i="147" s="1"/>
  <c r="L35" i="149"/>
  <c r="M35" i="149" s="1"/>
  <c r="L35" i="153"/>
  <c r="M35" i="153" s="1"/>
  <c r="L17" i="146"/>
  <c r="M17" i="146" s="1"/>
  <c r="L17" i="145"/>
  <c r="M17" i="145" s="1"/>
  <c r="L17" i="149"/>
  <c r="M17" i="149" s="1"/>
  <c r="L17" i="152"/>
  <c r="M17" i="152" s="1"/>
  <c r="L17" i="153"/>
  <c r="M17" i="153" s="1"/>
  <c r="L68" i="146"/>
  <c r="M68" i="146" s="1"/>
  <c r="L68" i="145"/>
  <c r="M68" i="145" s="1"/>
  <c r="L68" i="149"/>
  <c r="M68" i="149" s="1"/>
  <c r="L68" i="151"/>
  <c r="M68" i="151" s="1"/>
  <c r="L68" i="153"/>
  <c r="M68" i="153" s="1"/>
  <c r="L47" i="146"/>
  <c r="M47" i="146" s="1"/>
  <c r="L47" i="148"/>
  <c r="M47" i="148" s="1"/>
  <c r="L47" i="149"/>
  <c r="M47" i="149" s="1"/>
  <c r="L47" i="152"/>
  <c r="M47" i="152" s="1"/>
  <c r="L47" i="153"/>
  <c r="M47" i="153" s="1"/>
  <c r="L75" i="145"/>
  <c r="M75" i="145" s="1"/>
  <c r="L75" i="147"/>
  <c r="M75" i="147" s="1"/>
  <c r="L75" i="149"/>
  <c r="M75" i="149" s="1"/>
  <c r="L75" i="151"/>
  <c r="M75" i="151" s="1"/>
  <c r="L75" i="153"/>
  <c r="M75" i="153" s="1"/>
  <c r="L60" i="146"/>
  <c r="M60" i="146" s="1"/>
  <c r="L60" i="148"/>
  <c r="M60" i="148" s="1"/>
  <c r="L60" i="149"/>
  <c r="M60" i="149" s="1"/>
  <c r="L60" i="151"/>
  <c r="M60" i="151" s="1"/>
  <c r="L60" i="153"/>
  <c r="M60" i="153" s="1"/>
  <c r="L29" i="145"/>
  <c r="M29" i="145" s="1"/>
  <c r="L29" i="147"/>
  <c r="M29" i="147" s="1"/>
  <c r="L29" i="149"/>
  <c r="M29" i="149" s="1"/>
  <c r="L29" i="153"/>
  <c r="M29" i="153" s="1"/>
  <c r="L21" i="146"/>
  <c r="M21" i="146" s="1"/>
  <c r="L21" i="148"/>
  <c r="M21" i="148" s="1"/>
  <c r="L21" i="149"/>
  <c r="M21" i="149" s="1"/>
  <c r="L21" i="152"/>
  <c r="M21" i="152" s="1"/>
  <c r="L21" i="153"/>
  <c r="M21" i="153" s="1"/>
  <c r="L26" i="146"/>
  <c r="M26" i="146" s="1"/>
  <c r="L26" i="148"/>
  <c r="M26" i="148" s="1"/>
  <c r="L26" i="149"/>
  <c r="M26" i="149" s="1"/>
  <c r="L26" i="151"/>
  <c r="M26" i="151" s="1"/>
  <c r="L26" i="153"/>
  <c r="M26" i="153" s="1"/>
  <c r="L50" i="146"/>
  <c r="M50" i="146" s="1"/>
  <c r="L50" i="145"/>
  <c r="M50" i="145" s="1"/>
  <c r="L50" i="149"/>
  <c r="M50" i="149" s="1"/>
  <c r="L50" i="151"/>
  <c r="M50" i="151" s="1"/>
  <c r="L50" i="153"/>
  <c r="M50" i="153" s="1"/>
  <c r="L43" i="145"/>
  <c r="M43" i="145" s="1"/>
  <c r="L43" i="147"/>
  <c r="M43" i="147" s="1"/>
  <c r="L43" i="148"/>
  <c r="M43" i="148" s="1"/>
  <c r="L43" i="151"/>
  <c r="M43" i="151" s="1"/>
  <c r="L43" i="153"/>
  <c r="M43" i="153" s="1"/>
  <c r="L37" i="145"/>
  <c r="M37" i="145" s="1"/>
  <c r="L37" i="147"/>
  <c r="M37" i="147" s="1"/>
  <c r="L37" i="149"/>
  <c r="M37" i="149" s="1"/>
  <c r="L37" i="153"/>
  <c r="M37" i="153" s="1"/>
  <c r="N49" i="147"/>
  <c r="P49" i="147" s="1"/>
  <c r="T49" i="147" s="1"/>
  <c r="N55" i="145"/>
  <c r="P55" i="145" s="1"/>
  <c r="T55" i="145" s="1"/>
  <c r="N69" i="152"/>
  <c r="P69" i="152" s="1"/>
  <c r="T69" i="152" s="1"/>
  <c r="N69" i="147"/>
  <c r="P69" i="147" s="1"/>
  <c r="T69" i="147" s="1"/>
  <c r="R74" i="153"/>
  <c r="S74" i="153" s="1"/>
  <c r="N64" i="152"/>
  <c r="P64" i="152" s="1"/>
  <c r="T64" i="152" s="1"/>
  <c r="N64" i="145"/>
  <c r="P64" i="145" s="1"/>
  <c r="T64" i="145" s="1"/>
  <c r="L59" i="146"/>
  <c r="M59" i="146" s="1"/>
  <c r="L59" i="148"/>
  <c r="M59" i="148" s="1"/>
  <c r="L59" i="149"/>
  <c r="M59" i="149" s="1"/>
  <c r="L59" i="151"/>
  <c r="M59" i="151" s="1"/>
  <c r="L59" i="153"/>
  <c r="M59" i="153" s="1"/>
  <c r="L22" i="147"/>
  <c r="M22" i="147" s="1"/>
  <c r="L22" i="145"/>
  <c r="M22" i="145" s="1"/>
  <c r="L22" i="151"/>
  <c r="M22" i="151" s="1"/>
  <c r="L62" i="146"/>
  <c r="M62" i="146" s="1"/>
  <c r="L62" i="148"/>
  <c r="M62" i="148" s="1"/>
  <c r="L62" i="149"/>
  <c r="M62" i="149" s="1"/>
  <c r="L62" i="151"/>
  <c r="M62" i="151" s="1"/>
  <c r="L62" i="153"/>
  <c r="M62" i="153" s="1"/>
  <c r="L23" i="147"/>
  <c r="M23" i="147" s="1"/>
  <c r="L23" i="145"/>
  <c r="M23" i="145" s="1"/>
  <c r="L23" i="151"/>
  <c r="M23" i="151" s="1"/>
  <c r="L13" i="146"/>
  <c r="M13" i="146" s="1"/>
  <c r="L13" i="148"/>
  <c r="M13" i="148" s="1"/>
  <c r="L13" i="149"/>
  <c r="M13" i="149" s="1"/>
  <c r="L13" i="152"/>
  <c r="M13" i="152" s="1"/>
  <c r="L13" i="153"/>
  <c r="M13" i="153" s="1"/>
  <c r="L56" i="146"/>
  <c r="M56" i="146" s="1"/>
  <c r="L56" i="145"/>
  <c r="M56" i="145" s="1"/>
  <c r="L56" i="149"/>
  <c r="M56" i="149" s="1"/>
  <c r="L56" i="151"/>
  <c r="M56" i="151" s="1"/>
  <c r="L56" i="153"/>
  <c r="M56" i="153" s="1"/>
  <c r="L44" i="145"/>
  <c r="M44" i="145" s="1"/>
  <c r="L44" i="147"/>
  <c r="M44" i="147" s="1"/>
  <c r="L44" i="149"/>
  <c r="M44" i="149" s="1"/>
  <c r="L44" i="151"/>
  <c r="M44" i="151" s="1"/>
  <c r="L44" i="153"/>
  <c r="M44" i="153" s="1"/>
  <c r="L52" i="146"/>
  <c r="M52" i="146" s="1"/>
  <c r="L52" i="148"/>
  <c r="M52" i="148" s="1"/>
  <c r="L52" i="149"/>
  <c r="M52" i="149" s="1"/>
  <c r="L52" i="151"/>
  <c r="M52" i="151" s="1"/>
  <c r="L52" i="153"/>
  <c r="M52" i="153" s="1"/>
  <c r="L51" i="146"/>
  <c r="M51" i="146" s="1"/>
  <c r="L51" i="145"/>
  <c r="M51" i="145" s="1"/>
  <c r="L51" i="149"/>
  <c r="M51" i="149" s="1"/>
  <c r="L51" i="151"/>
  <c r="M51" i="151" s="1"/>
  <c r="L51" i="153"/>
  <c r="M51" i="153" s="1"/>
  <c r="L20" i="145"/>
  <c r="M20" i="145" s="1"/>
  <c r="L20" i="147"/>
  <c r="M20" i="147" s="1"/>
  <c r="L20" i="149"/>
  <c r="M20" i="149" s="1"/>
  <c r="L20" i="152"/>
  <c r="M20" i="152" s="1"/>
  <c r="L20" i="153"/>
  <c r="M20" i="153" s="1"/>
  <c r="L32" i="145"/>
  <c r="M32" i="145" s="1"/>
  <c r="L32" i="147"/>
  <c r="M32" i="147" s="1"/>
  <c r="L32" i="149"/>
  <c r="M32" i="149" s="1"/>
  <c r="L32" i="153"/>
  <c r="M32" i="153" s="1"/>
  <c r="L11" i="146"/>
  <c r="M11" i="146" s="1"/>
  <c r="L11" i="148"/>
  <c r="M11" i="148" s="1"/>
  <c r="L11" i="149"/>
  <c r="M11" i="149" s="1"/>
  <c r="L11" i="152"/>
  <c r="M11" i="152" s="1"/>
  <c r="L11" i="153"/>
  <c r="M11" i="153" s="1"/>
  <c r="L41" i="145"/>
  <c r="M41" i="145" s="1"/>
  <c r="L41" i="147"/>
  <c r="M41" i="147" s="1"/>
  <c r="L41" i="149"/>
  <c r="M41" i="149" s="1"/>
  <c r="L41" i="153"/>
  <c r="M41" i="153" s="1"/>
  <c r="L48" i="146"/>
  <c r="M48" i="146" s="1"/>
  <c r="L48" i="145"/>
  <c r="M48" i="145" s="1"/>
  <c r="L48" i="149"/>
  <c r="M48" i="149" s="1"/>
  <c r="L48" i="151"/>
  <c r="M48" i="151" s="1"/>
  <c r="L48" i="153"/>
  <c r="M48" i="153" s="1"/>
  <c r="L24" i="146"/>
  <c r="M24" i="146" s="1"/>
  <c r="L24" i="148"/>
  <c r="M24" i="148" s="1"/>
  <c r="L24" i="149"/>
  <c r="M24" i="149" s="1"/>
  <c r="L24" i="152"/>
  <c r="M24" i="152" s="1"/>
  <c r="L24" i="153"/>
  <c r="M24" i="153" s="1"/>
  <c r="N49" i="149"/>
  <c r="P49" i="149" s="1"/>
  <c r="T49" i="149" s="1"/>
  <c r="N49" i="145"/>
  <c r="P49" i="145" s="1"/>
  <c r="T49" i="145" s="1"/>
  <c r="N55" i="149"/>
  <c r="P55" i="149" s="1"/>
  <c r="T55" i="149" s="1"/>
  <c r="N55" i="148"/>
  <c r="P55" i="148" s="1"/>
  <c r="T55" i="148" s="1"/>
  <c r="N55" i="146"/>
  <c r="P55" i="146" s="1"/>
  <c r="T55" i="146" s="1"/>
  <c r="N69" i="153"/>
  <c r="P69" i="153" s="1"/>
  <c r="T69" i="153" s="1"/>
  <c r="N69" i="151"/>
  <c r="P69" i="151" s="1"/>
  <c r="T69" i="151" s="1"/>
  <c r="N69" i="149"/>
  <c r="P69" i="149" s="1"/>
  <c r="T69" i="149" s="1"/>
  <c r="N69" i="145"/>
  <c r="P69" i="145" s="1"/>
  <c r="T69" i="145" s="1"/>
  <c r="N69" i="146"/>
  <c r="P69" i="146" s="1"/>
  <c r="T69" i="146" s="1"/>
  <c r="N64" i="151"/>
  <c r="P64" i="151" s="1"/>
  <c r="T64" i="151" s="1"/>
  <c r="N64" i="149"/>
  <c r="P64" i="149" s="1"/>
  <c r="T64" i="149" s="1"/>
  <c r="N64" i="146"/>
  <c r="P64" i="146" s="1"/>
  <c r="T64" i="146" s="1"/>
  <c r="L46" i="148"/>
  <c r="M46" i="148" s="1"/>
  <c r="L46" i="145"/>
  <c r="M46" i="145" s="1"/>
  <c r="L46" i="151"/>
  <c r="M46" i="151" s="1"/>
  <c r="L36" i="146"/>
  <c r="M36" i="146" s="1"/>
  <c r="L36" i="148"/>
  <c r="M36" i="148" s="1"/>
  <c r="L36" i="151"/>
  <c r="M36" i="151" s="1"/>
  <c r="L36" i="152"/>
  <c r="M36" i="152" s="1"/>
  <c r="L27" i="146"/>
  <c r="M27" i="146" s="1"/>
  <c r="L27" i="148"/>
  <c r="M27" i="148" s="1"/>
  <c r="L27" i="152"/>
  <c r="M27" i="152" s="1"/>
  <c r="L28" i="146"/>
  <c r="M28" i="146" s="1"/>
  <c r="L28" i="148"/>
  <c r="M28" i="148" s="1"/>
  <c r="L28" i="151"/>
  <c r="M28" i="151" s="1"/>
  <c r="L28" i="152"/>
  <c r="M28" i="152" s="1"/>
  <c r="L30" i="146"/>
  <c r="M30" i="146" s="1"/>
  <c r="L30" i="148"/>
  <c r="M30" i="148" s="1"/>
  <c r="L30" i="151"/>
  <c r="M30" i="151" s="1"/>
  <c r="L30" i="152"/>
  <c r="M30" i="152" s="1"/>
  <c r="L10" i="147"/>
  <c r="M10" i="147" s="1"/>
  <c r="L10" i="145"/>
  <c r="M10" i="145" s="1"/>
  <c r="L10" i="151"/>
  <c r="M10" i="151" s="1"/>
  <c r="L16" i="147"/>
  <c r="M16" i="147" s="1"/>
  <c r="L16" i="148"/>
  <c r="M16" i="148" s="1"/>
  <c r="L16" i="151"/>
  <c r="M16" i="151" s="1"/>
  <c r="L65" i="145"/>
  <c r="M65" i="145" s="1"/>
  <c r="L65" i="148"/>
  <c r="M65" i="148" s="1"/>
  <c r="L65" i="152"/>
  <c r="M65" i="152" s="1"/>
  <c r="L35" i="146"/>
  <c r="M35" i="146" s="1"/>
  <c r="L35" i="148"/>
  <c r="M35" i="148" s="1"/>
  <c r="L35" i="151"/>
  <c r="M35" i="151" s="1"/>
  <c r="L35" i="152"/>
  <c r="M35" i="152" s="1"/>
  <c r="L17" i="147"/>
  <c r="M17" i="147" s="1"/>
  <c r="L17" i="148"/>
  <c r="M17" i="148" s="1"/>
  <c r="L17" i="151"/>
  <c r="M17" i="151" s="1"/>
  <c r="L68" i="148"/>
  <c r="M68" i="148" s="1"/>
  <c r="L68" i="147"/>
  <c r="M68" i="147" s="1"/>
  <c r="L68" i="152"/>
  <c r="M68" i="152" s="1"/>
  <c r="L47" i="147"/>
  <c r="M47" i="147" s="1"/>
  <c r="L47" i="145"/>
  <c r="M47" i="145" s="1"/>
  <c r="L47" i="151"/>
  <c r="M47" i="151" s="1"/>
  <c r="L75" i="146"/>
  <c r="M75" i="146" s="1"/>
  <c r="L75" i="148"/>
  <c r="M75" i="148" s="1"/>
  <c r="L75" i="152"/>
  <c r="M75" i="152" s="1"/>
  <c r="L60" i="147"/>
  <c r="M60" i="147" s="1"/>
  <c r="L60" i="145"/>
  <c r="M60" i="145" s="1"/>
  <c r="L60" i="152"/>
  <c r="M60" i="152" s="1"/>
  <c r="L29" i="146"/>
  <c r="M29" i="146" s="1"/>
  <c r="L29" i="148"/>
  <c r="M29" i="148" s="1"/>
  <c r="L29" i="151"/>
  <c r="M29" i="151" s="1"/>
  <c r="L29" i="152"/>
  <c r="M29" i="152" s="1"/>
  <c r="L21" i="147"/>
  <c r="M21" i="147" s="1"/>
  <c r="L21" i="145"/>
  <c r="M21" i="145" s="1"/>
  <c r="L21" i="151"/>
  <c r="M21" i="151" s="1"/>
  <c r="L26" i="147"/>
  <c r="M26" i="147" s="1"/>
  <c r="L26" i="145"/>
  <c r="M26" i="145" s="1"/>
  <c r="L26" i="152"/>
  <c r="M26" i="152" s="1"/>
  <c r="L50" i="147"/>
  <c r="M50" i="147" s="1"/>
  <c r="L50" i="148"/>
  <c r="M50" i="148" s="1"/>
  <c r="L50" i="152"/>
  <c r="M50" i="152" s="1"/>
  <c r="L43" i="146"/>
  <c r="M43" i="146" s="1"/>
  <c r="L43" i="149"/>
  <c r="M43" i="149" s="1"/>
  <c r="L43" i="152"/>
  <c r="M43" i="152" s="1"/>
  <c r="L37" i="146"/>
  <c r="M37" i="146" s="1"/>
  <c r="L37" i="148"/>
  <c r="M37" i="148" s="1"/>
  <c r="L37" i="151"/>
  <c r="M37" i="151" s="1"/>
  <c r="L37" i="152"/>
  <c r="M37" i="152" s="1"/>
  <c r="E58" i="80"/>
  <c r="H58" i="80" s="1"/>
  <c r="I58" i="80"/>
  <c r="AV43" i="1"/>
  <c r="AX43" i="1"/>
  <c r="D44" i="80"/>
  <c r="E44" i="80" s="1"/>
  <c r="H44" i="80" s="1"/>
  <c r="E45" i="140"/>
  <c r="H45" i="140" s="1"/>
  <c r="L45" i="140" s="1"/>
  <c r="N45" i="140" s="1"/>
  <c r="R45" i="140" s="1"/>
  <c r="D44" i="76"/>
  <c r="E44" i="76" s="1"/>
  <c r="H44" i="76" s="1"/>
  <c r="D45" i="113"/>
  <c r="L62" i="144"/>
  <c r="M62" i="144" s="1"/>
  <c r="L23" i="144"/>
  <c r="M23" i="144" s="1"/>
  <c r="C58" i="33"/>
  <c r="AP55" i="1"/>
  <c r="AW55" i="1"/>
  <c r="AQ55" i="1" s="1"/>
  <c r="L46" i="144"/>
  <c r="M46" i="144" s="1"/>
  <c r="E63" i="140"/>
  <c r="H63" i="140" s="1"/>
  <c r="L63" i="140" s="1"/>
  <c r="N63" i="140" s="1"/>
  <c r="R63" i="140" s="1"/>
  <c r="E63" i="141"/>
  <c r="H63" i="141" s="1"/>
  <c r="L63" i="141" s="1"/>
  <c r="N63" i="141" s="1"/>
  <c r="R63" i="141" s="1"/>
  <c r="D63" i="113"/>
  <c r="D62" i="76"/>
  <c r="E62" i="76" s="1"/>
  <c r="H62" i="76" s="1"/>
  <c r="D62" i="80"/>
  <c r="E62" i="80" s="1"/>
  <c r="H62" i="80" s="1"/>
  <c r="AP31" i="1"/>
  <c r="C34" i="33"/>
  <c r="AW31" i="1"/>
  <c r="E34" i="140"/>
  <c r="H34" i="140" s="1"/>
  <c r="L34" i="140" s="1"/>
  <c r="N34" i="140" s="1"/>
  <c r="R34" i="140" s="1"/>
  <c r="D33" i="76"/>
  <c r="E33" i="76" s="1"/>
  <c r="H33" i="76" s="1"/>
  <c r="D34" i="113"/>
  <c r="D33" i="80"/>
  <c r="E33" i="80" s="1"/>
  <c r="H33" i="80" s="1"/>
  <c r="D21" i="67"/>
  <c r="E21" i="67" s="1"/>
  <c r="F21" i="67" s="1"/>
  <c r="E58" i="76"/>
  <c r="H58" i="76" s="1"/>
  <c r="I58" i="76"/>
  <c r="L59" i="144"/>
  <c r="M59" i="144" s="1"/>
  <c r="D45" i="67"/>
  <c r="E45" i="67" s="1"/>
  <c r="F45" i="67" s="1"/>
  <c r="AP42" i="1"/>
  <c r="C45" i="33"/>
  <c r="AW42" i="1"/>
  <c r="AQ42" i="1" s="1"/>
  <c r="I21" i="76"/>
  <c r="E21" i="76"/>
  <c r="H21" i="76" s="1"/>
  <c r="E21" i="80"/>
  <c r="H21" i="80" s="1"/>
  <c r="I21" i="80"/>
  <c r="L22" i="144"/>
  <c r="M22" i="144" s="1"/>
  <c r="D57" i="80"/>
  <c r="E57" i="80" s="1"/>
  <c r="H57" i="80" s="1"/>
  <c r="D57" i="76"/>
  <c r="E57" i="76" s="1"/>
  <c r="H57" i="76" s="1"/>
  <c r="D58" i="113"/>
  <c r="AP60" i="1"/>
  <c r="C63" i="33"/>
  <c r="AW60" i="1"/>
  <c r="AV19" i="1"/>
  <c r="AQ19" i="1"/>
  <c r="AX19" i="1"/>
  <c r="AP9" i="1"/>
  <c r="C12" i="33"/>
  <c r="AW9" i="1"/>
  <c r="D11" i="80"/>
  <c r="E11" i="80" s="1"/>
  <c r="H11" i="80" s="1"/>
  <c r="D12" i="113"/>
  <c r="D11" i="76"/>
  <c r="E11" i="76" s="1"/>
  <c r="H11" i="76" s="1"/>
  <c r="AQ20" i="1"/>
  <c r="D22" i="67"/>
  <c r="E61" i="80"/>
  <c r="H61" i="80" s="1"/>
  <c r="E9" i="137"/>
  <c r="H9" i="137" s="1"/>
  <c r="H32" i="139"/>
  <c r="G32" i="139"/>
  <c r="E36" i="81"/>
  <c r="G36" i="81" s="1"/>
  <c r="F29" i="139"/>
  <c r="L29" i="139" s="1"/>
  <c r="W21" i="67"/>
  <c r="D19" i="72" s="1"/>
  <c r="W73" i="67"/>
  <c r="D71" i="72" s="1"/>
  <c r="W62" i="67"/>
  <c r="D60" i="72" s="1"/>
  <c r="W44" i="67"/>
  <c r="D42" i="72" s="1"/>
  <c r="W33" i="67"/>
  <c r="D31" i="72" s="1"/>
  <c r="W60" i="67"/>
  <c r="D58" i="72" s="1"/>
  <c r="W11" i="67"/>
  <c r="D9" i="72" s="1"/>
  <c r="V28" i="67"/>
  <c r="D26" i="100"/>
  <c r="V71" i="67"/>
  <c r="D69" i="100"/>
  <c r="V57" i="67"/>
  <c r="D55" i="100"/>
  <c r="V58" i="67"/>
  <c r="D56" i="100"/>
  <c r="V46" i="67"/>
  <c r="D44" i="100"/>
  <c r="V16" i="67"/>
  <c r="D14" i="100"/>
  <c r="V22" i="67"/>
  <c r="D20" i="100"/>
  <c r="V23" i="67"/>
  <c r="D21" i="100"/>
  <c r="V26" i="67"/>
  <c r="D24" i="100"/>
  <c r="V37" i="67"/>
  <c r="D35" i="100"/>
  <c r="V42" i="67"/>
  <c r="D40" i="100"/>
  <c r="V63" i="67"/>
  <c r="D61" i="100"/>
  <c r="E41" i="129"/>
  <c r="H41" i="129" s="1"/>
  <c r="E13" i="129"/>
  <c r="H13" i="129" s="1"/>
  <c r="L64" i="129"/>
  <c r="AB64" i="33" s="1"/>
  <c r="L23" i="129"/>
  <c r="AB23" i="33" s="1"/>
  <c r="E47" i="129"/>
  <c r="H47" i="129" s="1"/>
  <c r="E26" i="129"/>
  <c r="H26" i="129" s="1"/>
  <c r="E11" i="129"/>
  <c r="H11" i="129" s="1"/>
  <c r="E30" i="129"/>
  <c r="H30" i="129" s="1"/>
  <c r="E10" i="129"/>
  <c r="H10" i="129" s="1"/>
  <c r="E20" i="129"/>
  <c r="H20" i="129" s="1"/>
  <c r="E51" i="129"/>
  <c r="H51" i="129" s="1"/>
  <c r="E44" i="129"/>
  <c r="H44" i="129" s="1"/>
  <c r="M59" i="129"/>
  <c r="N59" i="129" s="1"/>
  <c r="P59" i="129" s="1"/>
  <c r="L53" i="129"/>
  <c r="AB53" i="33" s="1"/>
  <c r="L55" i="129"/>
  <c r="AB55" i="33" s="1"/>
  <c r="M61" i="129"/>
  <c r="N61" i="129" s="1"/>
  <c r="P61" i="129" s="1"/>
  <c r="L42" i="129"/>
  <c r="AB42" i="33" s="1"/>
  <c r="E29" i="129"/>
  <c r="H29" i="129" s="1"/>
  <c r="E50" i="129"/>
  <c r="H50" i="129" s="1"/>
  <c r="E17" i="129"/>
  <c r="H17" i="129" s="1"/>
  <c r="E35" i="129"/>
  <c r="H35" i="129" s="1"/>
  <c r="E60" i="129"/>
  <c r="H60" i="129" s="1"/>
  <c r="E68" i="129"/>
  <c r="H68" i="129" s="1"/>
  <c r="E75" i="129"/>
  <c r="H75" i="129" s="1"/>
  <c r="E65" i="129"/>
  <c r="H65" i="129" s="1"/>
  <c r="E52" i="129"/>
  <c r="H52" i="129" s="1"/>
  <c r="E56" i="129"/>
  <c r="H56" i="129" s="1"/>
  <c r="E27" i="129"/>
  <c r="H27" i="129" s="1"/>
  <c r="E6" i="46"/>
  <c r="H6" i="46" s="1"/>
  <c r="L69" i="129"/>
  <c r="AB69" i="33" s="1"/>
  <c r="L40" i="129"/>
  <c r="AB40" i="33" s="1"/>
  <c r="E21" i="129"/>
  <c r="H21" i="129" s="1"/>
  <c r="E24" i="129"/>
  <c r="H24" i="129" s="1"/>
  <c r="E37" i="129"/>
  <c r="H37" i="129" s="1"/>
  <c r="E43" i="129"/>
  <c r="H43" i="129" s="1"/>
  <c r="E16" i="129"/>
  <c r="H16" i="129" s="1"/>
  <c r="E32" i="129"/>
  <c r="H32" i="129" s="1"/>
  <c r="E48" i="129"/>
  <c r="H48" i="129" s="1"/>
  <c r="E28" i="129"/>
  <c r="H28" i="129" s="1"/>
  <c r="E36" i="129"/>
  <c r="H36" i="129" s="1"/>
  <c r="M74" i="129"/>
  <c r="N74" i="129" s="1"/>
  <c r="P74" i="129" s="1"/>
  <c r="M22" i="129"/>
  <c r="N22" i="129" s="1"/>
  <c r="P22" i="129" s="1"/>
  <c r="L49" i="129"/>
  <c r="AB49" i="33" s="1"/>
  <c r="L62" i="129"/>
  <c r="AB62" i="33" s="1"/>
  <c r="L38" i="129"/>
  <c r="AB38" i="33" s="1"/>
  <c r="AV20" i="1"/>
  <c r="E10" i="46"/>
  <c r="H10" i="46" s="1"/>
  <c r="I22" i="80"/>
  <c r="E24" i="128"/>
  <c r="H24" i="128" s="1"/>
  <c r="E47" i="128"/>
  <c r="H47" i="128" s="1"/>
  <c r="E16" i="128"/>
  <c r="H16" i="128" s="1"/>
  <c r="E21" i="119"/>
  <c r="H21" i="119" s="1"/>
  <c r="E21" i="128"/>
  <c r="H21" i="128" s="1"/>
  <c r="E60" i="128"/>
  <c r="H60" i="128" s="1"/>
  <c r="E32" i="128"/>
  <c r="H32" i="128" s="1"/>
  <c r="E41" i="128"/>
  <c r="H41" i="128" s="1"/>
  <c r="E30" i="128"/>
  <c r="H30" i="128" s="1"/>
  <c r="E30" i="119"/>
  <c r="H30" i="119" s="1"/>
  <c r="E52" i="128"/>
  <c r="H52" i="128" s="1"/>
  <c r="E10" i="128"/>
  <c r="H10" i="128" s="1"/>
  <c r="E10" i="114"/>
  <c r="H10" i="114" s="1"/>
  <c r="E51" i="114"/>
  <c r="H51" i="114" s="1"/>
  <c r="E56" i="114"/>
  <c r="H56" i="114" s="1"/>
  <c r="E13" i="114"/>
  <c r="H13" i="114" s="1"/>
  <c r="E13" i="128"/>
  <c r="H13" i="128" s="1"/>
  <c r="E17" i="114"/>
  <c r="H17" i="114" s="1"/>
  <c r="E17" i="119"/>
  <c r="H17" i="119" s="1"/>
  <c r="E24" i="114"/>
  <c r="H24" i="114" s="1"/>
  <c r="E37" i="128"/>
  <c r="H37" i="128" s="1"/>
  <c r="E16" i="119"/>
  <c r="H16" i="119" s="1"/>
  <c r="E29" i="119"/>
  <c r="H29" i="119" s="1"/>
  <c r="E29" i="128"/>
  <c r="H29" i="128" s="1"/>
  <c r="E21" i="114"/>
  <c r="H21" i="114" s="1"/>
  <c r="E26" i="119"/>
  <c r="H26" i="119" s="1"/>
  <c r="E26" i="114"/>
  <c r="H26" i="114" s="1"/>
  <c r="E60" i="114"/>
  <c r="H60" i="114" s="1"/>
  <c r="E68" i="114"/>
  <c r="H68" i="114" s="1"/>
  <c r="E68" i="119"/>
  <c r="H68" i="119" s="1"/>
  <c r="E48" i="128"/>
  <c r="H48" i="128" s="1"/>
  <c r="E50" i="128"/>
  <c r="H50" i="128" s="1"/>
  <c r="E65" i="114"/>
  <c r="H65" i="114" s="1"/>
  <c r="E10" i="119"/>
  <c r="H10" i="119" s="1"/>
  <c r="E20" i="128"/>
  <c r="H20" i="128" s="1"/>
  <c r="E20" i="119"/>
  <c r="H20" i="119" s="1"/>
  <c r="E44" i="128"/>
  <c r="H44" i="128" s="1"/>
  <c r="E44" i="114"/>
  <c r="H44" i="114" s="1"/>
  <c r="E28" i="119"/>
  <c r="H28" i="119" s="1"/>
  <c r="E36" i="128"/>
  <c r="H36" i="128" s="1"/>
  <c r="E36" i="114"/>
  <c r="H36" i="114" s="1"/>
  <c r="E17" i="128"/>
  <c r="H17" i="128" s="1"/>
  <c r="E24" i="119"/>
  <c r="H24" i="119" s="1"/>
  <c r="E37" i="114"/>
  <c r="H37" i="114" s="1"/>
  <c r="E37" i="119"/>
  <c r="H37" i="119" s="1"/>
  <c r="E35" i="119"/>
  <c r="H35" i="119" s="1"/>
  <c r="E35" i="114"/>
  <c r="H35" i="114" s="1"/>
  <c r="E35" i="128"/>
  <c r="H35" i="128" s="1"/>
  <c r="E47" i="114"/>
  <c r="H47" i="114" s="1"/>
  <c r="E47" i="119"/>
  <c r="H47" i="119" s="1"/>
  <c r="E43" i="114"/>
  <c r="H43" i="114" s="1"/>
  <c r="E43" i="119"/>
  <c r="H43" i="119" s="1"/>
  <c r="E43" i="128"/>
  <c r="H43" i="128" s="1"/>
  <c r="E16" i="114"/>
  <c r="H16" i="114" s="1"/>
  <c r="E29" i="114"/>
  <c r="H29" i="114" s="1"/>
  <c r="E26" i="128"/>
  <c r="H26" i="128" s="1"/>
  <c r="E60" i="119"/>
  <c r="H60" i="119" s="1"/>
  <c r="E32" i="119"/>
  <c r="H32" i="119" s="1"/>
  <c r="E32" i="114"/>
  <c r="H32" i="114" s="1"/>
  <c r="E11" i="114"/>
  <c r="H11" i="114" s="1"/>
  <c r="E11" i="119"/>
  <c r="H11" i="119" s="1"/>
  <c r="E11" i="128"/>
  <c r="H11" i="128" s="1"/>
  <c r="E41" i="119"/>
  <c r="H41" i="119" s="1"/>
  <c r="E41" i="114"/>
  <c r="H41" i="114" s="1"/>
  <c r="E68" i="128"/>
  <c r="H68" i="128" s="1"/>
  <c r="E48" i="114"/>
  <c r="H48" i="114" s="1"/>
  <c r="E48" i="119"/>
  <c r="H48" i="119" s="1"/>
  <c r="E50" i="119"/>
  <c r="H50" i="119" s="1"/>
  <c r="E50" i="114"/>
  <c r="H50" i="114" s="1"/>
  <c r="E75" i="114"/>
  <c r="H75" i="114" s="1"/>
  <c r="E75" i="128"/>
  <c r="H75" i="128" s="1"/>
  <c r="E75" i="119"/>
  <c r="H75" i="119" s="1"/>
  <c r="E65" i="119"/>
  <c r="H65" i="119" s="1"/>
  <c r="E65" i="128"/>
  <c r="H65" i="128" s="1"/>
  <c r="E30" i="114"/>
  <c r="H30" i="114" s="1"/>
  <c r="E52" i="119"/>
  <c r="H52" i="119" s="1"/>
  <c r="E52" i="114"/>
  <c r="H52" i="114" s="1"/>
  <c r="E20" i="114"/>
  <c r="H20" i="114" s="1"/>
  <c r="E51" i="119"/>
  <c r="H51" i="119" s="1"/>
  <c r="E51" i="128"/>
  <c r="H51" i="128" s="1"/>
  <c r="E44" i="119"/>
  <c r="H44" i="119" s="1"/>
  <c r="E28" i="114"/>
  <c r="H28" i="114" s="1"/>
  <c r="E28" i="128"/>
  <c r="H28" i="128" s="1"/>
  <c r="E56" i="128"/>
  <c r="H56" i="128" s="1"/>
  <c r="E56" i="119"/>
  <c r="H56" i="119" s="1"/>
  <c r="E27" i="128"/>
  <c r="H27" i="128" s="1"/>
  <c r="E36" i="119"/>
  <c r="H36" i="119" s="1"/>
  <c r="E27" i="114"/>
  <c r="H27" i="114" s="1"/>
  <c r="E13" i="119"/>
  <c r="H13" i="119" s="1"/>
  <c r="E16" i="76"/>
  <c r="H16" i="76" s="1"/>
  <c r="E15" i="76"/>
  <c r="H15" i="76" s="1"/>
  <c r="E28" i="76"/>
  <c r="H28" i="76" s="1"/>
  <c r="E59" i="76"/>
  <c r="H59" i="76" s="1"/>
  <c r="E10" i="76"/>
  <c r="H10" i="76" s="1"/>
  <c r="E47" i="76"/>
  <c r="H47" i="76" s="1"/>
  <c r="E74" i="76"/>
  <c r="H74" i="76" s="1"/>
  <c r="E50" i="76"/>
  <c r="H50" i="76" s="1"/>
  <c r="E27" i="76"/>
  <c r="H27" i="76" s="1"/>
  <c r="E12" i="76"/>
  <c r="H12" i="76" s="1"/>
  <c r="E36" i="76"/>
  <c r="H36" i="76" s="1"/>
  <c r="E34" i="76"/>
  <c r="H34" i="76" s="1"/>
  <c r="E46" i="76"/>
  <c r="H46" i="76" s="1"/>
  <c r="E25" i="76"/>
  <c r="H25" i="76" s="1"/>
  <c r="E31" i="76"/>
  <c r="H31" i="76" s="1"/>
  <c r="E67" i="76"/>
  <c r="H67" i="76" s="1"/>
  <c r="E49" i="76"/>
  <c r="H49" i="76" s="1"/>
  <c r="E64" i="76"/>
  <c r="H64" i="76" s="1"/>
  <c r="E29" i="76"/>
  <c r="H29" i="76" s="1"/>
  <c r="E51" i="76"/>
  <c r="H51" i="76" s="1"/>
  <c r="E43" i="76"/>
  <c r="H43" i="76" s="1"/>
  <c r="E55" i="76"/>
  <c r="H55" i="76" s="1"/>
  <c r="I26" i="76"/>
  <c r="E35" i="76"/>
  <c r="H35" i="76" s="1"/>
  <c r="E17" i="127"/>
  <c r="H17" i="127" s="1"/>
  <c r="E24" i="127"/>
  <c r="H24" i="127" s="1"/>
  <c r="E37" i="127"/>
  <c r="H37" i="127" s="1"/>
  <c r="E35" i="127"/>
  <c r="H35" i="127" s="1"/>
  <c r="E16" i="127"/>
  <c r="H16" i="127" s="1"/>
  <c r="E26" i="127"/>
  <c r="H26" i="127" s="1"/>
  <c r="E48" i="127"/>
  <c r="H48" i="127" s="1"/>
  <c r="E10" i="127"/>
  <c r="H10" i="127" s="1"/>
  <c r="E20" i="127"/>
  <c r="H20" i="127" s="1"/>
  <c r="E51" i="127"/>
  <c r="H51" i="127" s="1"/>
  <c r="E44" i="127"/>
  <c r="H44" i="127" s="1"/>
  <c r="E28" i="127"/>
  <c r="H28" i="127" s="1"/>
  <c r="E27" i="127"/>
  <c r="H27" i="127" s="1"/>
  <c r="E13" i="127"/>
  <c r="H13" i="127" s="1"/>
  <c r="E47" i="127"/>
  <c r="H47" i="127" s="1"/>
  <c r="E43" i="127"/>
  <c r="H43" i="127" s="1"/>
  <c r="E29" i="127"/>
  <c r="H29" i="127" s="1"/>
  <c r="E21" i="127"/>
  <c r="H21" i="127" s="1"/>
  <c r="E60" i="127"/>
  <c r="H60" i="127" s="1"/>
  <c r="E32" i="127"/>
  <c r="H32" i="127" s="1"/>
  <c r="E11" i="127"/>
  <c r="H11" i="127" s="1"/>
  <c r="E41" i="127"/>
  <c r="H41" i="127" s="1"/>
  <c r="E68" i="127"/>
  <c r="H68" i="127" s="1"/>
  <c r="E50" i="127"/>
  <c r="H50" i="127" s="1"/>
  <c r="E75" i="127"/>
  <c r="H75" i="127" s="1"/>
  <c r="E65" i="127"/>
  <c r="H65" i="127" s="1"/>
  <c r="E30" i="127"/>
  <c r="H30" i="127" s="1"/>
  <c r="E52" i="127"/>
  <c r="H52" i="127" s="1"/>
  <c r="E56" i="127"/>
  <c r="H56" i="127" s="1"/>
  <c r="E36" i="127"/>
  <c r="H36" i="127" s="1"/>
  <c r="E24" i="117"/>
  <c r="H24" i="117" s="1"/>
  <c r="E37" i="117"/>
  <c r="H37" i="117" s="1"/>
  <c r="E47" i="117"/>
  <c r="H47" i="117" s="1"/>
  <c r="E29" i="117"/>
  <c r="H29" i="117" s="1"/>
  <c r="E11" i="117"/>
  <c r="H11" i="117" s="1"/>
  <c r="E65" i="117"/>
  <c r="H65" i="117" s="1"/>
  <c r="E30" i="117"/>
  <c r="H30" i="117" s="1"/>
  <c r="E20" i="117"/>
  <c r="H20" i="117" s="1"/>
  <c r="E28" i="117"/>
  <c r="H28" i="117" s="1"/>
  <c r="E56" i="117"/>
  <c r="H56" i="117" s="1"/>
  <c r="E27" i="117"/>
  <c r="H27" i="117" s="1"/>
  <c r="E13" i="117"/>
  <c r="H13" i="117" s="1"/>
  <c r="E17" i="117"/>
  <c r="H17" i="117" s="1"/>
  <c r="E35" i="117"/>
  <c r="H35" i="117" s="1"/>
  <c r="E43" i="117"/>
  <c r="H43" i="117" s="1"/>
  <c r="E16" i="117"/>
  <c r="H16" i="117" s="1"/>
  <c r="E21" i="117"/>
  <c r="H21" i="117" s="1"/>
  <c r="E26" i="117"/>
  <c r="H26" i="117" s="1"/>
  <c r="E60" i="117"/>
  <c r="H60" i="117" s="1"/>
  <c r="E32" i="117"/>
  <c r="H32" i="117" s="1"/>
  <c r="E41" i="117"/>
  <c r="H41" i="117" s="1"/>
  <c r="E68" i="117"/>
  <c r="H68" i="117" s="1"/>
  <c r="E48" i="117"/>
  <c r="H48" i="117" s="1"/>
  <c r="E50" i="117"/>
  <c r="H50" i="117" s="1"/>
  <c r="E75" i="117"/>
  <c r="H75" i="117" s="1"/>
  <c r="E52" i="117"/>
  <c r="H52" i="117" s="1"/>
  <c r="E10" i="117"/>
  <c r="H10" i="117" s="1"/>
  <c r="E51" i="117"/>
  <c r="H51" i="117" s="1"/>
  <c r="E44" i="117"/>
  <c r="H44" i="117" s="1"/>
  <c r="E36" i="117"/>
  <c r="H36" i="117" s="1"/>
  <c r="E35" i="116"/>
  <c r="H35" i="116" s="1"/>
  <c r="E47" i="116"/>
  <c r="H47" i="116" s="1"/>
  <c r="E29" i="116"/>
  <c r="H29" i="116" s="1"/>
  <c r="E60" i="116"/>
  <c r="H60" i="116" s="1"/>
  <c r="E11" i="116"/>
  <c r="H11" i="116" s="1"/>
  <c r="E41" i="116"/>
  <c r="H41" i="116" s="1"/>
  <c r="E48" i="116"/>
  <c r="H48" i="116" s="1"/>
  <c r="E50" i="116"/>
  <c r="H50" i="116" s="1"/>
  <c r="E75" i="116"/>
  <c r="H75" i="116" s="1"/>
  <c r="E65" i="116"/>
  <c r="H65" i="116" s="1"/>
  <c r="E30" i="116"/>
  <c r="H30" i="116" s="1"/>
  <c r="E52" i="116"/>
  <c r="H52" i="116" s="1"/>
  <c r="E10" i="116"/>
  <c r="H10" i="116" s="1"/>
  <c r="E20" i="116"/>
  <c r="H20" i="116" s="1"/>
  <c r="E51" i="116"/>
  <c r="H51" i="116" s="1"/>
  <c r="E28" i="116"/>
  <c r="H28" i="116" s="1"/>
  <c r="E56" i="116"/>
  <c r="H56" i="116" s="1"/>
  <c r="E17" i="116"/>
  <c r="H17" i="116" s="1"/>
  <c r="E24" i="116"/>
  <c r="H24" i="116" s="1"/>
  <c r="E37" i="116"/>
  <c r="H37" i="116" s="1"/>
  <c r="E43" i="116"/>
  <c r="H43" i="116" s="1"/>
  <c r="E16" i="116"/>
  <c r="H16" i="116" s="1"/>
  <c r="E21" i="116"/>
  <c r="H21" i="116" s="1"/>
  <c r="E26" i="116"/>
  <c r="H26" i="116" s="1"/>
  <c r="E32" i="116"/>
  <c r="H32" i="116" s="1"/>
  <c r="E68" i="116"/>
  <c r="H68" i="116" s="1"/>
  <c r="E44" i="116"/>
  <c r="H44" i="116" s="1"/>
  <c r="E27" i="116"/>
  <c r="H27" i="116" s="1"/>
  <c r="E36" i="116"/>
  <c r="H36" i="116" s="1"/>
  <c r="E13" i="116"/>
  <c r="H13" i="116" s="1"/>
  <c r="E60" i="113"/>
  <c r="H60" i="113" s="1"/>
  <c r="E32" i="113"/>
  <c r="H32" i="113" s="1"/>
  <c r="E11" i="113"/>
  <c r="H11" i="113" s="1"/>
  <c r="E50" i="113"/>
  <c r="H50" i="113" s="1"/>
  <c r="E65" i="113"/>
  <c r="H65" i="113" s="1"/>
  <c r="E20" i="113"/>
  <c r="H20" i="113" s="1"/>
  <c r="E28" i="113"/>
  <c r="H28" i="113" s="1"/>
  <c r="E56" i="113"/>
  <c r="H56" i="113" s="1"/>
  <c r="E36" i="113"/>
  <c r="H36" i="113" s="1"/>
  <c r="E13" i="113"/>
  <c r="H13" i="113" s="1"/>
  <c r="E37" i="113"/>
  <c r="H37" i="113" s="1"/>
  <c r="E47" i="113"/>
  <c r="H47" i="113" s="1"/>
  <c r="E43" i="113"/>
  <c r="H43" i="113" s="1"/>
  <c r="E16" i="113"/>
  <c r="H16" i="113" s="1"/>
  <c r="E17" i="113"/>
  <c r="H17" i="113" s="1"/>
  <c r="E24" i="113"/>
  <c r="H24" i="113" s="1"/>
  <c r="E35" i="113"/>
  <c r="H35" i="113" s="1"/>
  <c r="E29" i="113"/>
  <c r="H29" i="113" s="1"/>
  <c r="E21" i="113"/>
  <c r="H21" i="113" s="1"/>
  <c r="E26" i="113"/>
  <c r="H26" i="113" s="1"/>
  <c r="E41" i="113"/>
  <c r="H41" i="113" s="1"/>
  <c r="E68" i="113"/>
  <c r="H68" i="113" s="1"/>
  <c r="E48" i="113"/>
  <c r="H48" i="113" s="1"/>
  <c r="E75" i="113"/>
  <c r="H75" i="113" s="1"/>
  <c r="E30" i="113"/>
  <c r="H30" i="113" s="1"/>
  <c r="E52" i="113"/>
  <c r="H52" i="113" s="1"/>
  <c r="E10" i="113"/>
  <c r="H10" i="113" s="1"/>
  <c r="E51" i="113"/>
  <c r="H51" i="113" s="1"/>
  <c r="E44" i="113"/>
  <c r="H44" i="113" s="1"/>
  <c r="E27" i="113"/>
  <c r="H27" i="113" s="1"/>
  <c r="I12" i="76"/>
  <c r="E26" i="76"/>
  <c r="H26" i="76" s="1"/>
  <c r="D26" i="67"/>
  <c r="I43" i="76"/>
  <c r="I12" i="80"/>
  <c r="AX16" i="1"/>
  <c r="I35" i="76"/>
  <c r="I35" i="80"/>
  <c r="AV16" i="1"/>
  <c r="AX33" i="1"/>
  <c r="AV33" i="1"/>
  <c r="D35" i="67"/>
  <c r="I26" i="80"/>
  <c r="I67" i="76"/>
  <c r="I29" i="80"/>
  <c r="D55" i="67"/>
  <c r="I55" i="80"/>
  <c r="I27" i="80"/>
  <c r="AX53" i="1"/>
  <c r="AV53" i="1"/>
  <c r="I55" i="76"/>
  <c r="I59" i="76"/>
  <c r="I50" i="76"/>
  <c r="D27" i="67"/>
  <c r="E27" i="67" s="1"/>
  <c r="F27" i="67" s="1"/>
  <c r="AV25" i="1"/>
  <c r="AX25" i="1"/>
  <c r="I10" i="76"/>
  <c r="I34" i="80"/>
  <c r="I29" i="76"/>
  <c r="I50" i="80"/>
  <c r="D50" i="67"/>
  <c r="I47" i="80"/>
  <c r="I49" i="80"/>
  <c r="AQ49" i="1"/>
  <c r="AX49" i="1"/>
  <c r="AV49" i="1"/>
  <c r="I51" i="76"/>
  <c r="I43" i="80"/>
  <c r="D29" i="67"/>
  <c r="E9" i="80"/>
  <c r="H9" i="80" s="1"/>
  <c r="I9" i="80"/>
  <c r="AV48" i="1"/>
  <c r="AX48" i="1"/>
  <c r="AQ17" i="1"/>
  <c r="AX17" i="1"/>
  <c r="AV17" i="1"/>
  <c r="AX27" i="1"/>
  <c r="AV27" i="1"/>
  <c r="D43" i="67"/>
  <c r="I15" i="76"/>
  <c r="E19" i="76"/>
  <c r="H19" i="76" s="1"/>
  <c r="I19" i="76"/>
  <c r="I59" i="80"/>
  <c r="I64" i="76"/>
  <c r="D51" i="67"/>
  <c r="E51" i="67" s="1"/>
  <c r="F51" i="67" s="1"/>
  <c r="I51" i="80"/>
  <c r="D19" i="67"/>
  <c r="AQ27" i="1"/>
  <c r="AV41" i="1"/>
  <c r="AX41" i="1"/>
  <c r="AQ41" i="1"/>
  <c r="E9" i="76"/>
  <c r="H9" i="76" s="1"/>
  <c r="I9" i="76"/>
  <c r="E19" i="80"/>
  <c r="H19" i="80" s="1"/>
  <c r="I19" i="80"/>
  <c r="D53" i="67"/>
  <c r="D23" i="67"/>
  <c r="E42" i="80"/>
  <c r="H42" i="80" s="1"/>
  <c r="I42" i="80"/>
  <c r="E20" i="76"/>
  <c r="H20" i="76" s="1"/>
  <c r="I20" i="76"/>
  <c r="AQ8" i="1"/>
  <c r="AX8" i="1"/>
  <c r="AV8" i="1"/>
  <c r="D20" i="67"/>
  <c r="AQ51" i="1"/>
  <c r="AX51" i="1"/>
  <c r="AV51" i="1"/>
  <c r="AQ63" i="1"/>
  <c r="AX63" i="1"/>
  <c r="AV63" i="1"/>
  <c r="AQ34" i="1"/>
  <c r="AV34" i="1"/>
  <c r="AX34" i="1"/>
  <c r="AQ62" i="1"/>
  <c r="AV62" i="1"/>
  <c r="AX62" i="1"/>
  <c r="AV30" i="1"/>
  <c r="AX30" i="1"/>
  <c r="I49" i="76"/>
  <c r="D59" i="67"/>
  <c r="D28" i="67"/>
  <c r="D17" i="67"/>
  <c r="AV32" i="1"/>
  <c r="AQ32" i="1"/>
  <c r="AX32" i="1"/>
  <c r="I36" i="76"/>
  <c r="AV21" i="1"/>
  <c r="AX21" i="1"/>
  <c r="E46" i="80"/>
  <c r="H46" i="80" s="1"/>
  <c r="I46" i="80"/>
  <c r="D49" i="67"/>
  <c r="D40" i="67"/>
  <c r="I28" i="76"/>
  <c r="D64" i="67"/>
  <c r="I31" i="76"/>
  <c r="D25" i="67"/>
  <c r="D66" i="67"/>
  <c r="E66" i="67" s="1"/>
  <c r="F66" i="67" s="1"/>
  <c r="I67" i="80"/>
  <c r="D46" i="67"/>
  <c r="I74" i="76"/>
  <c r="AX57" i="1"/>
  <c r="AV57" i="1"/>
  <c r="D10" i="67"/>
  <c r="D34" i="67"/>
  <c r="I16" i="76"/>
  <c r="E23" i="80"/>
  <c r="H23" i="80" s="1"/>
  <c r="I23" i="80"/>
  <c r="AQ18" i="1"/>
  <c r="AX18" i="1"/>
  <c r="AV18" i="1"/>
  <c r="D56" i="67"/>
  <c r="I36" i="80"/>
  <c r="I34" i="76"/>
  <c r="D67" i="67"/>
  <c r="AQ21" i="1"/>
  <c r="AQ47" i="1"/>
  <c r="AV47" i="1"/>
  <c r="AX47" i="1"/>
  <c r="I15" i="80"/>
  <c r="AQ29" i="1"/>
  <c r="AX29" i="1"/>
  <c r="AV29" i="1"/>
  <c r="E20" i="80"/>
  <c r="H20" i="80" s="1"/>
  <c r="I20" i="80"/>
  <c r="D65" i="67"/>
  <c r="D36" i="67"/>
  <c r="E36" i="67" s="1"/>
  <c r="F36" i="67" s="1"/>
  <c r="I31" i="80"/>
  <c r="E40" i="80"/>
  <c r="H40" i="80" s="1"/>
  <c r="I40" i="80"/>
  <c r="AQ23" i="1"/>
  <c r="AX23" i="1"/>
  <c r="AV23" i="1"/>
  <c r="AQ64" i="1"/>
  <c r="AX64" i="1"/>
  <c r="AV64" i="1"/>
  <c r="I46" i="76"/>
  <c r="D15" i="67"/>
  <c r="E15" i="67" s="1"/>
  <c r="F15" i="67" s="1"/>
  <c r="AQ30" i="1"/>
  <c r="D32" i="67"/>
  <c r="I47" i="76"/>
  <c r="I64" i="80"/>
  <c r="AQ15" i="1"/>
  <c r="AV15" i="1"/>
  <c r="AX15" i="1"/>
  <c r="E23" i="76"/>
  <c r="H23" i="76" s="1"/>
  <c r="I23" i="76"/>
  <c r="AQ54" i="1"/>
  <c r="AV54" i="1"/>
  <c r="AX54" i="1"/>
  <c r="AV65" i="1"/>
  <c r="AX65" i="1"/>
  <c r="E42" i="76"/>
  <c r="H42" i="76" s="1"/>
  <c r="I42" i="76"/>
  <c r="D31" i="67"/>
  <c r="AX38" i="1"/>
  <c r="AQ38" i="1"/>
  <c r="AV38" i="1"/>
  <c r="E28" i="80"/>
  <c r="H28" i="80" s="1"/>
  <c r="I28" i="80"/>
  <c r="E40" i="76"/>
  <c r="H40" i="76" s="1"/>
  <c r="I40" i="76"/>
  <c r="AQ13" i="1"/>
  <c r="AV13" i="1"/>
  <c r="AX13" i="1"/>
  <c r="AQ44" i="1"/>
  <c r="AX44" i="1"/>
  <c r="AV44" i="1"/>
  <c r="AQ26" i="1"/>
  <c r="AV26" i="1"/>
  <c r="AX26" i="1"/>
  <c r="N14" i="67"/>
  <c r="AT12" i="1"/>
  <c r="AS73" i="1"/>
  <c r="AT73" i="1" s="1"/>
  <c r="E86" i="81"/>
  <c r="F78" i="25"/>
  <c r="AE12" i="1"/>
  <c r="AD73" i="1"/>
  <c r="H26" i="81"/>
  <c r="G26" i="81"/>
  <c r="AL4" i="1"/>
  <c r="C7" i="33"/>
  <c r="AP4" i="1"/>
  <c r="AW4" i="1"/>
  <c r="M61" i="151" l="1"/>
  <c r="N61" i="151" s="1"/>
  <c r="P61" i="151" s="1"/>
  <c r="M61" i="146"/>
  <c r="N61" i="146" s="1"/>
  <c r="P61" i="146" s="1"/>
  <c r="M61" i="152"/>
  <c r="N61" i="152" s="1"/>
  <c r="P61" i="152" s="1"/>
  <c r="M61" i="147"/>
  <c r="N61" i="147" s="1"/>
  <c r="P61" i="147" s="1"/>
  <c r="M61" i="153"/>
  <c r="N61" i="153" s="1"/>
  <c r="P61" i="153" s="1"/>
  <c r="M61" i="148"/>
  <c r="N61" i="148" s="1"/>
  <c r="P61" i="148" s="1"/>
  <c r="M61" i="144"/>
  <c r="N61" i="144" s="1"/>
  <c r="P61" i="144" s="1"/>
  <c r="M61" i="149"/>
  <c r="N61" i="149" s="1"/>
  <c r="P61" i="149" s="1"/>
  <c r="M61" i="145"/>
  <c r="N61" i="145" s="1"/>
  <c r="P61" i="145" s="1"/>
  <c r="N49" i="153"/>
  <c r="P49" i="153" s="1"/>
  <c r="T49" i="153" s="1"/>
  <c r="N55" i="147"/>
  <c r="P55" i="147" s="1"/>
  <c r="T55" i="147" s="1"/>
  <c r="N49" i="151"/>
  <c r="P49" i="151" s="1"/>
  <c r="N42" i="151"/>
  <c r="P42" i="151" s="1"/>
  <c r="T42" i="151" s="1"/>
  <c r="AJ42" i="151" s="1"/>
  <c r="G7" i="33"/>
  <c r="G76" i="33" s="1"/>
  <c r="H7" i="33"/>
  <c r="H76" i="33" s="1"/>
  <c r="F76" i="33"/>
  <c r="L9" i="137"/>
  <c r="M9" i="137" s="1"/>
  <c r="N9" i="137" s="1"/>
  <c r="T74" i="144"/>
  <c r="R74" i="144"/>
  <c r="S74" i="144" s="1"/>
  <c r="E58" i="113"/>
  <c r="H58" i="113" s="1"/>
  <c r="D58" i="115"/>
  <c r="E58" i="115" s="1"/>
  <c r="H58" i="115" s="1"/>
  <c r="D58" i="116"/>
  <c r="E58" i="116" s="1"/>
  <c r="H58" i="116" s="1"/>
  <c r="D58" i="117"/>
  <c r="E58" i="117" s="1"/>
  <c r="H58" i="117" s="1"/>
  <c r="D58" i="118"/>
  <c r="E58" i="118" s="1"/>
  <c r="H58" i="118" s="1"/>
  <c r="D58" i="119"/>
  <c r="E58" i="119" s="1"/>
  <c r="H58" i="119" s="1"/>
  <c r="D58" i="120"/>
  <c r="E58" i="120" s="1"/>
  <c r="H58" i="120" s="1"/>
  <c r="D58" i="125"/>
  <c r="E58" i="125" s="1"/>
  <c r="H58" i="125" s="1"/>
  <c r="D58" i="126"/>
  <c r="E58" i="126" s="1"/>
  <c r="H58" i="126" s="1"/>
  <c r="D58" i="127"/>
  <c r="E58" i="127" s="1"/>
  <c r="H58" i="127" s="1"/>
  <c r="D58" i="128"/>
  <c r="E58" i="128" s="1"/>
  <c r="H58" i="128" s="1"/>
  <c r="D58" i="129"/>
  <c r="E58" i="129" s="1"/>
  <c r="H58" i="129" s="1"/>
  <c r="L58" i="129" s="1"/>
  <c r="D58" i="131"/>
  <c r="E58" i="131" s="1"/>
  <c r="H58" i="131" s="1"/>
  <c r="D58" i="144"/>
  <c r="E58" i="144" s="1"/>
  <c r="H58" i="144" s="1"/>
  <c r="D58" i="145"/>
  <c r="E58" i="145" s="1"/>
  <c r="H58" i="145" s="1"/>
  <c r="D58" i="146"/>
  <c r="E58" i="146" s="1"/>
  <c r="H58" i="146" s="1"/>
  <c r="D58" i="147"/>
  <c r="E58" i="147" s="1"/>
  <c r="H58" i="147" s="1"/>
  <c r="D58" i="148"/>
  <c r="E58" i="148" s="1"/>
  <c r="H58" i="148" s="1"/>
  <c r="D58" i="149"/>
  <c r="E58" i="149" s="1"/>
  <c r="H58" i="149" s="1"/>
  <c r="D58" i="151"/>
  <c r="E58" i="151" s="1"/>
  <c r="H58" i="151" s="1"/>
  <c r="D58" i="152"/>
  <c r="E58" i="152" s="1"/>
  <c r="H58" i="152" s="1"/>
  <c r="D58" i="153"/>
  <c r="E58" i="153" s="1"/>
  <c r="H58" i="153" s="1"/>
  <c r="D58" i="114"/>
  <c r="E58" i="114" s="1"/>
  <c r="H58" i="114" s="1"/>
  <c r="E34" i="113"/>
  <c r="H34" i="113" s="1"/>
  <c r="D34" i="115"/>
  <c r="E34" i="115" s="1"/>
  <c r="H34" i="115" s="1"/>
  <c r="D34" i="116"/>
  <c r="E34" i="116" s="1"/>
  <c r="H34" i="116" s="1"/>
  <c r="D34" i="117"/>
  <c r="E34" i="117" s="1"/>
  <c r="H34" i="117" s="1"/>
  <c r="D34" i="118"/>
  <c r="E34" i="118" s="1"/>
  <c r="H34" i="118" s="1"/>
  <c r="D34" i="119"/>
  <c r="E34" i="119" s="1"/>
  <c r="H34" i="119" s="1"/>
  <c r="D34" i="120"/>
  <c r="E34" i="120" s="1"/>
  <c r="H34" i="120" s="1"/>
  <c r="D34" i="125"/>
  <c r="E34" i="125" s="1"/>
  <c r="H34" i="125" s="1"/>
  <c r="D34" i="126"/>
  <c r="E34" i="126" s="1"/>
  <c r="H34" i="126" s="1"/>
  <c r="D34" i="127"/>
  <c r="E34" i="127" s="1"/>
  <c r="H34" i="127" s="1"/>
  <c r="D34" i="128"/>
  <c r="E34" i="128" s="1"/>
  <c r="H34" i="128" s="1"/>
  <c r="D34" i="129"/>
  <c r="E34" i="129" s="1"/>
  <c r="H34" i="129" s="1"/>
  <c r="L34" i="129" s="1"/>
  <c r="D34" i="131"/>
  <c r="E34" i="131" s="1"/>
  <c r="H34" i="131" s="1"/>
  <c r="D34" i="144"/>
  <c r="E34" i="144" s="1"/>
  <c r="H34" i="144" s="1"/>
  <c r="D34" i="145"/>
  <c r="E34" i="145" s="1"/>
  <c r="H34" i="145" s="1"/>
  <c r="D34" i="146"/>
  <c r="E34" i="146" s="1"/>
  <c r="H34" i="146" s="1"/>
  <c r="D34" i="147"/>
  <c r="E34" i="147" s="1"/>
  <c r="H34" i="147" s="1"/>
  <c r="D34" i="148"/>
  <c r="E34" i="148" s="1"/>
  <c r="H34" i="148" s="1"/>
  <c r="D34" i="149"/>
  <c r="E34" i="149" s="1"/>
  <c r="H34" i="149" s="1"/>
  <c r="D34" i="151"/>
  <c r="E34" i="151" s="1"/>
  <c r="H34" i="151" s="1"/>
  <c r="D34" i="152"/>
  <c r="E34" i="152" s="1"/>
  <c r="H34" i="152" s="1"/>
  <c r="D34" i="153"/>
  <c r="E34" i="153" s="1"/>
  <c r="H34" i="153" s="1"/>
  <c r="D34" i="114"/>
  <c r="E34" i="114" s="1"/>
  <c r="H34" i="114" s="1"/>
  <c r="E63" i="113"/>
  <c r="H63" i="113" s="1"/>
  <c r="D63" i="115"/>
  <c r="E63" i="115" s="1"/>
  <c r="H63" i="115" s="1"/>
  <c r="D63" i="116"/>
  <c r="E63" i="116" s="1"/>
  <c r="H63" i="116" s="1"/>
  <c r="D63" i="117"/>
  <c r="E63" i="117" s="1"/>
  <c r="H63" i="117" s="1"/>
  <c r="D63" i="118"/>
  <c r="E63" i="118" s="1"/>
  <c r="H63" i="118" s="1"/>
  <c r="D63" i="119"/>
  <c r="E63" i="119" s="1"/>
  <c r="H63" i="119" s="1"/>
  <c r="D63" i="120"/>
  <c r="E63" i="120" s="1"/>
  <c r="H63" i="120" s="1"/>
  <c r="D63" i="125"/>
  <c r="E63" i="125" s="1"/>
  <c r="H63" i="125" s="1"/>
  <c r="D63" i="126"/>
  <c r="E63" i="126" s="1"/>
  <c r="H63" i="126" s="1"/>
  <c r="D63" i="127"/>
  <c r="E63" i="127" s="1"/>
  <c r="H63" i="127" s="1"/>
  <c r="D63" i="128"/>
  <c r="E63" i="128" s="1"/>
  <c r="H63" i="128" s="1"/>
  <c r="D63" i="129"/>
  <c r="E63" i="129" s="1"/>
  <c r="H63" i="129" s="1"/>
  <c r="L63" i="129" s="1"/>
  <c r="D63" i="131"/>
  <c r="E63" i="131" s="1"/>
  <c r="H63" i="131" s="1"/>
  <c r="D63" i="144"/>
  <c r="E63" i="144" s="1"/>
  <c r="H63" i="144" s="1"/>
  <c r="D63" i="145"/>
  <c r="E63" i="145" s="1"/>
  <c r="H63" i="145" s="1"/>
  <c r="D63" i="146"/>
  <c r="E63" i="146" s="1"/>
  <c r="H63" i="146" s="1"/>
  <c r="D63" i="147"/>
  <c r="E63" i="147" s="1"/>
  <c r="H63" i="147" s="1"/>
  <c r="D63" i="148"/>
  <c r="E63" i="148" s="1"/>
  <c r="H63" i="148" s="1"/>
  <c r="D63" i="149"/>
  <c r="E63" i="149" s="1"/>
  <c r="H63" i="149" s="1"/>
  <c r="D63" i="151"/>
  <c r="E63" i="151" s="1"/>
  <c r="H63" i="151" s="1"/>
  <c r="D63" i="152"/>
  <c r="E63" i="152" s="1"/>
  <c r="H63" i="152" s="1"/>
  <c r="D63" i="153"/>
  <c r="E63" i="153" s="1"/>
  <c r="H63" i="153" s="1"/>
  <c r="D63" i="114"/>
  <c r="E63" i="114" s="1"/>
  <c r="H63" i="114" s="1"/>
  <c r="E70" i="113"/>
  <c r="H70" i="113" s="1"/>
  <c r="D70" i="115"/>
  <c r="E70" i="115" s="1"/>
  <c r="H70" i="115" s="1"/>
  <c r="D70" i="116"/>
  <c r="E70" i="116" s="1"/>
  <c r="H70" i="116" s="1"/>
  <c r="D70" i="117"/>
  <c r="E70" i="117" s="1"/>
  <c r="H70" i="117" s="1"/>
  <c r="D70" i="118"/>
  <c r="E70" i="118" s="1"/>
  <c r="H70" i="118" s="1"/>
  <c r="D70" i="119"/>
  <c r="E70" i="119" s="1"/>
  <c r="H70" i="119" s="1"/>
  <c r="D70" i="120"/>
  <c r="E70" i="120" s="1"/>
  <c r="H70" i="120" s="1"/>
  <c r="D70" i="125"/>
  <c r="E70" i="125" s="1"/>
  <c r="H70" i="125" s="1"/>
  <c r="D70" i="126"/>
  <c r="E70" i="126" s="1"/>
  <c r="H70" i="126" s="1"/>
  <c r="D70" i="127"/>
  <c r="E70" i="127" s="1"/>
  <c r="H70" i="127" s="1"/>
  <c r="D70" i="128"/>
  <c r="E70" i="128" s="1"/>
  <c r="H70" i="128" s="1"/>
  <c r="D70" i="129"/>
  <c r="E70" i="129" s="1"/>
  <c r="H70" i="129" s="1"/>
  <c r="L70" i="129" s="1"/>
  <c r="AB70" i="33" s="1"/>
  <c r="D70" i="131"/>
  <c r="E70" i="131" s="1"/>
  <c r="H70" i="131" s="1"/>
  <c r="D70" i="144"/>
  <c r="E70" i="144" s="1"/>
  <c r="H70" i="144" s="1"/>
  <c r="D70" i="145"/>
  <c r="E70" i="145" s="1"/>
  <c r="H70" i="145" s="1"/>
  <c r="D70" i="146"/>
  <c r="E70" i="146" s="1"/>
  <c r="H70" i="146" s="1"/>
  <c r="D70" i="147"/>
  <c r="E70" i="147" s="1"/>
  <c r="H70" i="147" s="1"/>
  <c r="D70" i="148"/>
  <c r="E70" i="148" s="1"/>
  <c r="H70" i="148" s="1"/>
  <c r="D70" i="149"/>
  <c r="E70" i="149" s="1"/>
  <c r="H70" i="149" s="1"/>
  <c r="D70" i="151"/>
  <c r="E70" i="151" s="1"/>
  <c r="H70" i="151" s="1"/>
  <c r="D70" i="152"/>
  <c r="E70" i="152" s="1"/>
  <c r="H70" i="152" s="1"/>
  <c r="D70" i="153"/>
  <c r="E70" i="153" s="1"/>
  <c r="H70" i="153" s="1"/>
  <c r="D70" i="114"/>
  <c r="E70" i="114" s="1"/>
  <c r="H70" i="114" s="1"/>
  <c r="E33" i="113"/>
  <c r="H33" i="113" s="1"/>
  <c r="D33" i="115"/>
  <c r="E33" i="115" s="1"/>
  <c r="H33" i="115" s="1"/>
  <c r="D33" i="116"/>
  <c r="E33" i="116" s="1"/>
  <c r="H33" i="116" s="1"/>
  <c r="D33" i="117"/>
  <c r="E33" i="117" s="1"/>
  <c r="H33" i="117" s="1"/>
  <c r="D33" i="118"/>
  <c r="E33" i="118" s="1"/>
  <c r="H33" i="118" s="1"/>
  <c r="D33" i="119"/>
  <c r="E33" i="119" s="1"/>
  <c r="H33" i="119" s="1"/>
  <c r="D33" i="120"/>
  <c r="E33" i="120" s="1"/>
  <c r="H33" i="120" s="1"/>
  <c r="D33" i="125"/>
  <c r="E33" i="125" s="1"/>
  <c r="H33" i="125" s="1"/>
  <c r="D33" i="126"/>
  <c r="E33" i="126" s="1"/>
  <c r="H33" i="126" s="1"/>
  <c r="D33" i="127"/>
  <c r="E33" i="127" s="1"/>
  <c r="H33" i="127" s="1"/>
  <c r="D33" i="128"/>
  <c r="E33" i="128" s="1"/>
  <c r="H33" i="128" s="1"/>
  <c r="D33" i="129"/>
  <c r="E33" i="129" s="1"/>
  <c r="H33" i="129" s="1"/>
  <c r="D33" i="131"/>
  <c r="E33" i="131" s="1"/>
  <c r="H33" i="131" s="1"/>
  <c r="D33" i="144"/>
  <c r="E33" i="144" s="1"/>
  <c r="H33" i="144" s="1"/>
  <c r="L33" i="144" s="1"/>
  <c r="D33" i="145"/>
  <c r="E33" i="145" s="1"/>
  <c r="H33" i="145" s="1"/>
  <c r="D33" i="146"/>
  <c r="E33" i="146" s="1"/>
  <c r="H33" i="146" s="1"/>
  <c r="L33" i="146" s="1"/>
  <c r="M33" i="146" s="1"/>
  <c r="D33" i="147"/>
  <c r="E33" i="147" s="1"/>
  <c r="H33" i="147" s="1"/>
  <c r="D33" i="148"/>
  <c r="E33" i="148" s="1"/>
  <c r="H33" i="148" s="1"/>
  <c r="L33" i="148" s="1"/>
  <c r="M33" i="148" s="1"/>
  <c r="D33" i="149"/>
  <c r="E33" i="149" s="1"/>
  <c r="H33" i="149" s="1"/>
  <c r="L33" i="149" s="1"/>
  <c r="M33" i="149" s="1"/>
  <c r="D33" i="151"/>
  <c r="E33" i="151" s="1"/>
  <c r="H33" i="151" s="1"/>
  <c r="L33" i="151" s="1"/>
  <c r="M33" i="151" s="1"/>
  <c r="D33" i="152"/>
  <c r="E33" i="152" s="1"/>
  <c r="H33" i="152" s="1"/>
  <c r="D33" i="153"/>
  <c r="E33" i="153" s="1"/>
  <c r="H33" i="153" s="1"/>
  <c r="L33" i="153" s="1"/>
  <c r="M33" i="153" s="1"/>
  <c r="D33" i="114"/>
  <c r="E33" i="114" s="1"/>
  <c r="H33" i="114" s="1"/>
  <c r="E31" i="113"/>
  <c r="H31" i="113" s="1"/>
  <c r="D31" i="115"/>
  <c r="E31" i="115" s="1"/>
  <c r="H31" i="115" s="1"/>
  <c r="D31" i="116"/>
  <c r="E31" i="116" s="1"/>
  <c r="H31" i="116" s="1"/>
  <c r="D31" i="117"/>
  <c r="E31" i="117" s="1"/>
  <c r="H31" i="117" s="1"/>
  <c r="D31" i="118"/>
  <c r="E31" i="118" s="1"/>
  <c r="H31" i="118" s="1"/>
  <c r="D31" i="119"/>
  <c r="E31" i="119" s="1"/>
  <c r="H31" i="119" s="1"/>
  <c r="D31" i="120"/>
  <c r="E31" i="120" s="1"/>
  <c r="H31" i="120" s="1"/>
  <c r="D31" i="125"/>
  <c r="E31" i="125" s="1"/>
  <c r="H31" i="125" s="1"/>
  <c r="D31" i="126"/>
  <c r="E31" i="126" s="1"/>
  <c r="H31" i="126" s="1"/>
  <c r="D31" i="127"/>
  <c r="E31" i="127" s="1"/>
  <c r="H31" i="127" s="1"/>
  <c r="D31" i="128"/>
  <c r="E31" i="128" s="1"/>
  <c r="H31" i="128" s="1"/>
  <c r="D31" i="129"/>
  <c r="E31" i="129" s="1"/>
  <c r="H31" i="129" s="1"/>
  <c r="L31" i="129" s="1"/>
  <c r="AB31" i="33" s="1"/>
  <c r="D31" i="131"/>
  <c r="E31" i="131" s="1"/>
  <c r="H31" i="131" s="1"/>
  <c r="D31" i="144"/>
  <c r="E31" i="144" s="1"/>
  <c r="H31" i="144" s="1"/>
  <c r="D31" i="145"/>
  <c r="E31" i="145" s="1"/>
  <c r="H31" i="145" s="1"/>
  <c r="D31" i="146"/>
  <c r="E31" i="146" s="1"/>
  <c r="H31" i="146" s="1"/>
  <c r="D31" i="147"/>
  <c r="E31" i="147" s="1"/>
  <c r="H31" i="147" s="1"/>
  <c r="D31" i="148"/>
  <c r="E31" i="148" s="1"/>
  <c r="H31" i="148" s="1"/>
  <c r="L31" i="148" s="1"/>
  <c r="M31" i="148" s="1"/>
  <c r="D31" i="149"/>
  <c r="E31" i="149" s="1"/>
  <c r="H31" i="149" s="1"/>
  <c r="D31" i="151"/>
  <c r="E31" i="151" s="1"/>
  <c r="H31" i="151" s="1"/>
  <c r="D31" i="152"/>
  <c r="E31" i="152" s="1"/>
  <c r="H31" i="152" s="1"/>
  <c r="L31" i="152" s="1"/>
  <c r="D31" i="153"/>
  <c r="E31" i="153" s="1"/>
  <c r="H31" i="153" s="1"/>
  <c r="L31" i="153" s="1"/>
  <c r="M31" i="153" s="1"/>
  <c r="D31" i="114"/>
  <c r="E31" i="114" s="1"/>
  <c r="H31" i="114" s="1"/>
  <c r="E54" i="113"/>
  <c r="H54" i="113" s="1"/>
  <c r="D54" i="115"/>
  <c r="E54" i="115" s="1"/>
  <c r="H54" i="115" s="1"/>
  <c r="D54" i="116"/>
  <c r="E54" i="116" s="1"/>
  <c r="H54" i="116" s="1"/>
  <c r="D54" i="117"/>
  <c r="E54" i="117" s="1"/>
  <c r="H54" i="117" s="1"/>
  <c r="D54" i="118"/>
  <c r="E54" i="118" s="1"/>
  <c r="H54" i="118" s="1"/>
  <c r="D54" i="119"/>
  <c r="E54" i="119" s="1"/>
  <c r="H54" i="119" s="1"/>
  <c r="D54" i="120"/>
  <c r="E54" i="120" s="1"/>
  <c r="H54" i="120" s="1"/>
  <c r="D54" i="125"/>
  <c r="E54" i="125" s="1"/>
  <c r="H54" i="125" s="1"/>
  <c r="D54" i="126"/>
  <c r="E54" i="126" s="1"/>
  <c r="H54" i="126" s="1"/>
  <c r="D54" i="127"/>
  <c r="E54" i="127" s="1"/>
  <c r="H54" i="127" s="1"/>
  <c r="D54" i="128"/>
  <c r="E54" i="128" s="1"/>
  <c r="H54" i="128" s="1"/>
  <c r="D54" i="129"/>
  <c r="E54" i="129" s="1"/>
  <c r="H54" i="129" s="1"/>
  <c r="D54" i="131"/>
  <c r="E54" i="131" s="1"/>
  <c r="H54" i="131" s="1"/>
  <c r="D54" i="144"/>
  <c r="E54" i="144" s="1"/>
  <c r="H54" i="144" s="1"/>
  <c r="D54" i="145"/>
  <c r="E54" i="145" s="1"/>
  <c r="H54" i="145" s="1"/>
  <c r="D54" i="146"/>
  <c r="E54" i="146" s="1"/>
  <c r="H54" i="146" s="1"/>
  <c r="L54" i="146" s="1"/>
  <c r="M54" i="146" s="1"/>
  <c r="D54" i="147"/>
  <c r="E54" i="147" s="1"/>
  <c r="H54" i="147" s="1"/>
  <c r="L54" i="147" s="1"/>
  <c r="M54" i="147" s="1"/>
  <c r="D54" i="148"/>
  <c r="E54" i="148" s="1"/>
  <c r="H54" i="148" s="1"/>
  <c r="L54" i="148" s="1"/>
  <c r="M54" i="148" s="1"/>
  <c r="D54" i="149"/>
  <c r="E54" i="149" s="1"/>
  <c r="H54" i="149" s="1"/>
  <c r="L54" i="149" s="1"/>
  <c r="M54" i="149" s="1"/>
  <c r="D54" i="151"/>
  <c r="E54" i="151" s="1"/>
  <c r="H54" i="151" s="1"/>
  <c r="D54" i="152"/>
  <c r="E54" i="152" s="1"/>
  <c r="H54" i="152" s="1"/>
  <c r="L54" i="152" s="1"/>
  <c r="M54" i="152" s="1"/>
  <c r="D54" i="153"/>
  <c r="E54" i="153" s="1"/>
  <c r="H54" i="153" s="1"/>
  <c r="L54" i="153" s="1"/>
  <c r="M54" i="153" s="1"/>
  <c r="D54" i="114"/>
  <c r="E54" i="114" s="1"/>
  <c r="H54" i="114" s="1"/>
  <c r="E9" i="113"/>
  <c r="H9" i="113" s="1"/>
  <c r="D9" i="115"/>
  <c r="E9" i="115" s="1"/>
  <c r="H9" i="115" s="1"/>
  <c r="D9" i="116"/>
  <c r="E9" i="116" s="1"/>
  <c r="H9" i="116" s="1"/>
  <c r="D9" i="117"/>
  <c r="E9" i="117" s="1"/>
  <c r="H9" i="117" s="1"/>
  <c r="D9" i="118"/>
  <c r="E9" i="118" s="1"/>
  <c r="H9" i="118" s="1"/>
  <c r="D9" i="119"/>
  <c r="E9" i="119" s="1"/>
  <c r="H9" i="119" s="1"/>
  <c r="D9" i="120"/>
  <c r="E9" i="120" s="1"/>
  <c r="H9" i="120" s="1"/>
  <c r="D9" i="125"/>
  <c r="E9" i="125" s="1"/>
  <c r="H9" i="125" s="1"/>
  <c r="D9" i="126"/>
  <c r="E9" i="126" s="1"/>
  <c r="H9" i="126" s="1"/>
  <c r="D9" i="127"/>
  <c r="E9" i="127" s="1"/>
  <c r="H9" i="127" s="1"/>
  <c r="D9" i="128"/>
  <c r="E9" i="128" s="1"/>
  <c r="H9" i="128" s="1"/>
  <c r="D9" i="129"/>
  <c r="E9" i="129" s="1"/>
  <c r="H9" i="129" s="1"/>
  <c r="D9" i="131"/>
  <c r="E9" i="131" s="1"/>
  <c r="H9" i="131" s="1"/>
  <c r="D9" i="144"/>
  <c r="E9" i="144" s="1"/>
  <c r="H9" i="144" s="1"/>
  <c r="L9" i="144" s="1"/>
  <c r="M9" i="144" s="1"/>
  <c r="D9" i="145"/>
  <c r="E9" i="145" s="1"/>
  <c r="H9" i="145" s="1"/>
  <c r="L9" i="145" s="1"/>
  <c r="M9" i="145" s="1"/>
  <c r="D9" i="146"/>
  <c r="E9" i="146" s="1"/>
  <c r="H9" i="146" s="1"/>
  <c r="D9" i="147"/>
  <c r="E9" i="147" s="1"/>
  <c r="H9" i="147" s="1"/>
  <c r="D9" i="148"/>
  <c r="E9" i="148" s="1"/>
  <c r="H9" i="148" s="1"/>
  <c r="L9" i="148" s="1"/>
  <c r="M9" i="148" s="1"/>
  <c r="D9" i="149"/>
  <c r="E9" i="149" s="1"/>
  <c r="H9" i="149" s="1"/>
  <c r="D9" i="151"/>
  <c r="E9" i="151" s="1"/>
  <c r="H9" i="151" s="1"/>
  <c r="L9" i="151" s="1"/>
  <c r="M9" i="151" s="1"/>
  <c r="D9" i="152"/>
  <c r="E9" i="152" s="1"/>
  <c r="H9" i="152" s="1"/>
  <c r="L9" i="152" s="1"/>
  <c r="M9" i="152" s="1"/>
  <c r="D9" i="153"/>
  <c r="E9" i="153" s="1"/>
  <c r="H9" i="153" s="1"/>
  <c r="D9" i="114"/>
  <c r="E9" i="114" s="1"/>
  <c r="H9" i="114" s="1"/>
  <c r="E18" i="113"/>
  <c r="H18" i="113" s="1"/>
  <c r="D18" i="115"/>
  <c r="E18" i="115" s="1"/>
  <c r="H18" i="115" s="1"/>
  <c r="D18" i="116"/>
  <c r="E18" i="116" s="1"/>
  <c r="H18" i="116" s="1"/>
  <c r="D18" i="117"/>
  <c r="E18" i="117" s="1"/>
  <c r="H18" i="117" s="1"/>
  <c r="D18" i="118"/>
  <c r="E18" i="118" s="1"/>
  <c r="H18" i="118" s="1"/>
  <c r="D18" i="119"/>
  <c r="E18" i="119" s="1"/>
  <c r="H18" i="119" s="1"/>
  <c r="D18" i="120"/>
  <c r="E18" i="120" s="1"/>
  <c r="H18" i="120" s="1"/>
  <c r="D18" i="125"/>
  <c r="E18" i="125" s="1"/>
  <c r="H18" i="125" s="1"/>
  <c r="D18" i="126"/>
  <c r="E18" i="126" s="1"/>
  <c r="H18" i="126" s="1"/>
  <c r="D18" i="127"/>
  <c r="E18" i="127" s="1"/>
  <c r="H18" i="127" s="1"/>
  <c r="D18" i="128"/>
  <c r="E18" i="128" s="1"/>
  <c r="H18" i="128" s="1"/>
  <c r="D18" i="129"/>
  <c r="E18" i="129" s="1"/>
  <c r="H18" i="129" s="1"/>
  <c r="D18" i="131"/>
  <c r="E18" i="131" s="1"/>
  <c r="H18" i="131" s="1"/>
  <c r="D18" i="144"/>
  <c r="E18" i="144" s="1"/>
  <c r="H18" i="144" s="1"/>
  <c r="D18" i="145"/>
  <c r="E18" i="145" s="1"/>
  <c r="H18" i="145" s="1"/>
  <c r="L18" i="145" s="1"/>
  <c r="M18" i="145" s="1"/>
  <c r="D18" i="146"/>
  <c r="E18" i="146" s="1"/>
  <c r="H18" i="146" s="1"/>
  <c r="L18" i="146" s="1"/>
  <c r="M18" i="146" s="1"/>
  <c r="D18" i="147"/>
  <c r="E18" i="147" s="1"/>
  <c r="H18" i="147" s="1"/>
  <c r="D18" i="148"/>
  <c r="E18" i="148" s="1"/>
  <c r="H18" i="148" s="1"/>
  <c r="D18" i="149"/>
  <c r="E18" i="149" s="1"/>
  <c r="H18" i="149" s="1"/>
  <c r="L18" i="149" s="1"/>
  <c r="M18" i="149" s="1"/>
  <c r="D18" i="151"/>
  <c r="E18" i="151" s="1"/>
  <c r="H18" i="151" s="1"/>
  <c r="L18" i="151" s="1"/>
  <c r="M18" i="151" s="1"/>
  <c r="D18" i="152"/>
  <c r="E18" i="152" s="1"/>
  <c r="H18" i="152" s="1"/>
  <c r="D18" i="153"/>
  <c r="E18" i="153" s="1"/>
  <c r="H18" i="153" s="1"/>
  <c r="L18" i="153" s="1"/>
  <c r="M18" i="153" s="1"/>
  <c r="D18" i="114"/>
  <c r="E18" i="114" s="1"/>
  <c r="H18" i="114" s="1"/>
  <c r="E19" i="113"/>
  <c r="H19" i="113" s="1"/>
  <c r="D19" i="115"/>
  <c r="E19" i="115" s="1"/>
  <c r="H19" i="115" s="1"/>
  <c r="D19" i="116"/>
  <c r="E19" i="116" s="1"/>
  <c r="H19" i="116" s="1"/>
  <c r="D19" i="117"/>
  <c r="E19" i="117" s="1"/>
  <c r="H19" i="117" s="1"/>
  <c r="D19" i="118"/>
  <c r="E19" i="118" s="1"/>
  <c r="H19" i="118" s="1"/>
  <c r="D19" i="119"/>
  <c r="E19" i="119" s="1"/>
  <c r="H19" i="119" s="1"/>
  <c r="D19" i="120"/>
  <c r="E19" i="120" s="1"/>
  <c r="H19" i="120" s="1"/>
  <c r="D19" i="125"/>
  <c r="E19" i="125" s="1"/>
  <c r="H19" i="125" s="1"/>
  <c r="D19" i="126"/>
  <c r="E19" i="126" s="1"/>
  <c r="H19" i="126" s="1"/>
  <c r="D19" i="127"/>
  <c r="E19" i="127" s="1"/>
  <c r="H19" i="127" s="1"/>
  <c r="D19" i="128"/>
  <c r="E19" i="128" s="1"/>
  <c r="H19" i="128" s="1"/>
  <c r="D19" i="129"/>
  <c r="E19" i="129" s="1"/>
  <c r="H19" i="129" s="1"/>
  <c r="D19" i="131"/>
  <c r="E19" i="131" s="1"/>
  <c r="H19" i="131" s="1"/>
  <c r="D19" i="144"/>
  <c r="E19" i="144" s="1"/>
  <c r="H19" i="144" s="1"/>
  <c r="L19" i="144" s="1"/>
  <c r="M19" i="144" s="1"/>
  <c r="D19" i="145"/>
  <c r="E19" i="145" s="1"/>
  <c r="H19" i="145" s="1"/>
  <c r="L19" i="145" s="1"/>
  <c r="M19" i="145" s="1"/>
  <c r="D19" i="146"/>
  <c r="E19" i="146" s="1"/>
  <c r="H19" i="146" s="1"/>
  <c r="D19" i="147"/>
  <c r="E19" i="147" s="1"/>
  <c r="H19" i="147" s="1"/>
  <c r="L19" i="147" s="1"/>
  <c r="M19" i="147" s="1"/>
  <c r="D19" i="148"/>
  <c r="E19" i="148" s="1"/>
  <c r="H19" i="148" s="1"/>
  <c r="L19" i="148" s="1"/>
  <c r="M19" i="148" s="1"/>
  <c r="D19" i="149"/>
  <c r="E19" i="149" s="1"/>
  <c r="H19" i="149" s="1"/>
  <c r="L19" i="149" s="1"/>
  <c r="M19" i="149" s="1"/>
  <c r="D19" i="151"/>
  <c r="E19" i="151" s="1"/>
  <c r="H19" i="151" s="1"/>
  <c r="L19" i="151" s="1"/>
  <c r="M19" i="151" s="1"/>
  <c r="D19" i="152"/>
  <c r="E19" i="152" s="1"/>
  <c r="H19" i="152" s="1"/>
  <c r="L19" i="152" s="1"/>
  <c r="M19" i="152" s="1"/>
  <c r="D19" i="153"/>
  <c r="E19" i="153" s="1"/>
  <c r="H19" i="153" s="1"/>
  <c r="L19" i="153" s="1"/>
  <c r="M19" i="153" s="1"/>
  <c r="D19" i="114"/>
  <c r="E19" i="114" s="1"/>
  <c r="H19" i="114" s="1"/>
  <c r="E8" i="113"/>
  <c r="H8" i="113" s="1"/>
  <c r="D8" i="115"/>
  <c r="E8" i="115" s="1"/>
  <c r="H8" i="115" s="1"/>
  <c r="D8" i="116"/>
  <c r="E8" i="116" s="1"/>
  <c r="H8" i="116" s="1"/>
  <c r="D8" i="117"/>
  <c r="E8" i="117" s="1"/>
  <c r="H8" i="117" s="1"/>
  <c r="D8" i="118"/>
  <c r="E8" i="118" s="1"/>
  <c r="H8" i="118" s="1"/>
  <c r="D8" i="119"/>
  <c r="E8" i="119" s="1"/>
  <c r="H8" i="119" s="1"/>
  <c r="D8" i="120"/>
  <c r="E8" i="120" s="1"/>
  <c r="H8" i="120" s="1"/>
  <c r="D8" i="125"/>
  <c r="E8" i="125" s="1"/>
  <c r="H8" i="125" s="1"/>
  <c r="D8" i="126"/>
  <c r="E8" i="126" s="1"/>
  <c r="H8" i="126" s="1"/>
  <c r="D8" i="127"/>
  <c r="E8" i="127" s="1"/>
  <c r="H8" i="127" s="1"/>
  <c r="D8" i="128"/>
  <c r="E8" i="128" s="1"/>
  <c r="H8" i="128" s="1"/>
  <c r="D8" i="129"/>
  <c r="E8" i="129" s="1"/>
  <c r="H8" i="129" s="1"/>
  <c r="D8" i="131"/>
  <c r="E8" i="131" s="1"/>
  <c r="H8" i="131" s="1"/>
  <c r="D8" i="144"/>
  <c r="E8" i="144" s="1"/>
  <c r="H8" i="144" s="1"/>
  <c r="L8" i="144" s="1"/>
  <c r="D8" i="145"/>
  <c r="E8" i="145" s="1"/>
  <c r="H8" i="145" s="1"/>
  <c r="L8" i="145" s="1"/>
  <c r="M8" i="145" s="1"/>
  <c r="D8" i="146"/>
  <c r="E8" i="146" s="1"/>
  <c r="H8" i="146" s="1"/>
  <c r="L8" i="146" s="1"/>
  <c r="M8" i="146" s="1"/>
  <c r="D8" i="147"/>
  <c r="E8" i="147" s="1"/>
  <c r="H8" i="147" s="1"/>
  <c r="L8" i="147" s="1"/>
  <c r="M8" i="147" s="1"/>
  <c r="D8" i="148"/>
  <c r="E8" i="148" s="1"/>
  <c r="H8" i="148" s="1"/>
  <c r="D8" i="149"/>
  <c r="E8" i="149" s="1"/>
  <c r="H8" i="149" s="1"/>
  <c r="L8" i="149" s="1"/>
  <c r="M8" i="149" s="1"/>
  <c r="D8" i="151"/>
  <c r="E8" i="151" s="1"/>
  <c r="H8" i="151" s="1"/>
  <c r="L8" i="151" s="1"/>
  <c r="M8" i="151" s="1"/>
  <c r="D8" i="152"/>
  <c r="E8" i="152" s="1"/>
  <c r="H8" i="152" s="1"/>
  <c r="L8" i="152" s="1"/>
  <c r="M8" i="152" s="1"/>
  <c r="D8" i="153"/>
  <c r="E8" i="153" s="1"/>
  <c r="H8" i="153" s="1"/>
  <c r="L8" i="153" s="1"/>
  <c r="M8" i="153" s="1"/>
  <c r="D8" i="114"/>
  <c r="E8" i="114" s="1"/>
  <c r="H8" i="114" s="1"/>
  <c r="E14" i="113"/>
  <c r="H14" i="113" s="1"/>
  <c r="D14" i="115"/>
  <c r="E14" i="115" s="1"/>
  <c r="H14" i="115" s="1"/>
  <c r="D14" i="116"/>
  <c r="E14" i="116" s="1"/>
  <c r="H14" i="116" s="1"/>
  <c r="D14" i="117"/>
  <c r="E14" i="117" s="1"/>
  <c r="H14" i="117" s="1"/>
  <c r="D14" i="118"/>
  <c r="E14" i="118" s="1"/>
  <c r="H14" i="118" s="1"/>
  <c r="D14" i="119"/>
  <c r="E14" i="119" s="1"/>
  <c r="H14" i="119" s="1"/>
  <c r="D14" i="120"/>
  <c r="E14" i="120" s="1"/>
  <c r="H14" i="120" s="1"/>
  <c r="D14" i="125"/>
  <c r="E14" i="125" s="1"/>
  <c r="H14" i="125" s="1"/>
  <c r="D14" i="126"/>
  <c r="E14" i="126" s="1"/>
  <c r="H14" i="126" s="1"/>
  <c r="D14" i="127"/>
  <c r="E14" i="127" s="1"/>
  <c r="H14" i="127" s="1"/>
  <c r="D14" i="128"/>
  <c r="E14" i="128" s="1"/>
  <c r="H14" i="128" s="1"/>
  <c r="D14" i="129"/>
  <c r="E14" i="129" s="1"/>
  <c r="H14" i="129" s="1"/>
  <c r="D14" i="131"/>
  <c r="E14" i="131" s="1"/>
  <c r="H14" i="131" s="1"/>
  <c r="D14" i="144"/>
  <c r="E14" i="144" s="1"/>
  <c r="H14" i="144" s="1"/>
  <c r="L14" i="144" s="1"/>
  <c r="D14" i="145"/>
  <c r="E14" i="145" s="1"/>
  <c r="H14" i="145" s="1"/>
  <c r="L14" i="145" s="1"/>
  <c r="M14" i="145" s="1"/>
  <c r="D14" i="146"/>
  <c r="E14" i="146" s="1"/>
  <c r="H14" i="146" s="1"/>
  <c r="L14" i="146" s="1"/>
  <c r="M14" i="146" s="1"/>
  <c r="D14" i="147"/>
  <c r="E14" i="147" s="1"/>
  <c r="H14" i="147" s="1"/>
  <c r="L14" i="147" s="1"/>
  <c r="M14" i="147" s="1"/>
  <c r="D14" i="148"/>
  <c r="E14" i="148" s="1"/>
  <c r="H14" i="148" s="1"/>
  <c r="L14" i="148" s="1"/>
  <c r="M14" i="148" s="1"/>
  <c r="D14" i="149"/>
  <c r="E14" i="149" s="1"/>
  <c r="H14" i="149" s="1"/>
  <c r="L14" i="149" s="1"/>
  <c r="M14" i="149" s="1"/>
  <c r="D14" i="151"/>
  <c r="E14" i="151" s="1"/>
  <c r="H14" i="151" s="1"/>
  <c r="L14" i="151" s="1"/>
  <c r="M14" i="151" s="1"/>
  <c r="D14" i="152"/>
  <c r="E14" i="152" s="1"/>
  <c r="H14" i="152" s="1"/>
  <c r="L14" i="152" s="1"/>
  <c r="M14" i="152" s="1"/>
  <c r="D14" i="153"/>
  <c r="E14" i="153" s="1"/>
  <c r="H14" i="153" s="1"/>
  <c r="L14" i="153" s="1"/>
  <c r="M14" i="153" s="1"/>
  <c r="D14" i="114"/>
  <c r="E14" i="114" s="1"/>
  <c r="H14" i="114" s="1"/>
  <c r="E66" i="113"/>
  <c r="H66" i="113" s="1"/>
  <c r="D66" i="115"/>
  <c r="E66" i="115" s="1"/>
  <c r="H66" i="115" s="1"/>
  <c r="D66" i="116"/>
  <c r="E66" i="116" s="1"/>
  <c r="H66" i="116" s="1"/>
  <c r="D66" i="117"/>
  <c r="E66" i="117" s="1"/>
  <c r="H66" i="117" s="1"/>
  <c r="D66" i="118"/>
  <c r="E66" i="118" s="1"/>
  <c r="H66" i="118" s="1"/>
  <c r="D66" i="119"/>
  <c r="E66" i="119" s="1"/>
  <c r="H66" i="119" s="1"/>
  <c r="D66" i="120"/>
  <c r="E66" i="120" s="1"/>
  <c r="H66" i="120" s="1"/>
  <c r="D66" i="125"/>
  <c r="E66" i="125" s="1"/>
  <c r="H66" i="125" s="1"/>
  <c r="D66" i="126"/>
  <c r="E66" i="126" s="1"/>
  <c r="H66" i="126" s="1"/>
  <c r="D66" i="127"/>
  <c r="E66" i="127" s="1"/>
  <c r="H66" i="127" s="1"/>
  <c r="D66" i="128"/>
  <c r="E66" i="128" s="1"/>
  <c r="H66" i="128" s="1"/>
  <c r="D66" i="129"/>
  <c r="E66" i="129" s="1"/>
  <c r="H66" i="129" s="1"/>
  <c r="D66" i="131"/>
  <c r="E66" i="131" s="1"/>
  <c r="H66" i="131" s="1"/>
  <c r="D66" i="144"/>
  <c r="E66" i="144" s="1"/>
  <c r="H66" i="144" s="1"/>
  <c r="L66" i="144" s="1"/>
  <c r="M66" i="144" s="1"/>
  <c r="D66" i="145"/>
  <c r="E66" i="145" s="1"/>
  <c r="H66" i="145" s="1"/>
  <c r="L66" i="145" s="1"/>
  <c r="M66" i="145" s="1"/>
  <c r="D66" i="146"/>
  <c r="E66" i="146" s="1"/>
  <c r="H66" i="146" s="1"/>
  <c r="L66" i="146" s="1"/>
  <c r="M66" i="146" s="1"/>
  <c r="D66" i="147"/>
  <c r="E66" i="147" s="1"/>
  <c r="H66" i="147" s="1"/>
  <c r="L66" i="147" s="1"/>
  <c r="M66" i="147" s="1"/>
  <c r="D66" i="148"/>
  <c r="E66" i="148" s="1"/>
  <c r="H66" i="148" s="1"/>
  <c r="L66" i="148" s="1"/>
  <c r="M66" i="148" s="1"/>
  <c r="D66" i="149"/>
  <c r="E66" i="149" s="1"/>
  <c r="H66" i="149" s="1"/>
  <c r="L66" i="149" s="1"/>
  <c r="M66" i="149" s="1"/>
  <c r="D66" i="151"/>
  <c r="E66" i="151" s="1"/>
  <c r="H66" i="151" s="1"/>
  <c r="L66" i="151" s="1"/>
  <c r="M66" i="151" s="1"/>
  <c r="D66" i="152"/>
  <c r="E66" i="152" s="1"/>
  <c r="H66" i="152" s="1"/>
  <c r="L66" i="152" s="1"/>
  <c r="M66" i="152" s="1"/>
  <c r="D66" i="153"/>
  <c r="E66" i="153" s="1"/>
  <c r="H66" i="153" s="1"/>
  <c r="L66" i="153" s="1"/>
  <c r="M66" i="153" s="1"/>
  <c r="D66" i="114"/>
  <c r="E66" i="114" s="1"/>
  <c r="H66" i="114" s="1"/>
  <c r="D76" i="114"/>
  <c r="E76" i="114" s="1"/>
  <c r="H76" i="114" s="1"/>
  <c r="E62" i="114"/>
  <c r="H62" i="114" s="1"/>
  <c r="E12" i="113"/>
  <c r="H12" i="113" s="1"/>
  <c r="D12" i="115"/>
  <c r="E12" i="115" s="1"/>
  <c r="H12" i="115" s="1"/>
  <c r="D12" i="116"/>
  <c r="E12" i="116" s="1"/>
  <c r="H12" i="116" s="1"/>
  <c r="D12" i="117"/>
  <c r="E12" i="117" s="1"/>
  <c r="H12" i="117" s="1"/>
  <c r="D12" i="118"/>
  <c r="E12" i="118" s="1"/>
  <c r="H12" i="118" s="1"/>
  <c r="D12" i="119"/>
  <c r="E12" i="119" s="1"/>
  <c r="H12" i="119" s="1"/>
  <c r="D12" i="120"/>
  <c r="E12" i="120" s="1"/>
  <c r="H12" i="120" s="1"/>
  <c r="D12" i="125"/>
  <c r="E12" i="125" s="1"/>
  <c r="H12" i="125" s="1"/>
  <c r="D12" i="126"/>
  <c r="E12" i="126" s="1"/>
  <c r="H12" i="126" s="1"/>
  <c r="D12" i="127"/>
  <c r="E12" i="127" s="1"/>
  <c r="H12" i="127" s="1"/>
  <c r="D12" i="128"/>
  <c r="E12" i="128" s="1"/>
  <c r="H12" i="128" s="1"/>
  <c r="D12" i="129"/>
  <c r="E12" i="129" s="1"/>
  <c r="H12" i="129" s="1"/>
  <c r="L12" i="129" s="1"/>
  <c r="D12" i="131"/>
  <c r="E12" i="131" s="1"/>
  <c r="H12" i="131" s="1"/>
  <c r="D12" i="144"/>
  <c r="E12" i="144" s="1"/>
  <c r="H12" i="144" s="1"/>
  <c r="D12" i="145"/>
  <c r="E12" i="145" s="1"/>
  <c r="H12" i="145" s="1"/>
  <c r="D12" i="146"/>
  <c r="E12" i="146" s="1"/>
  <c r="H12" i="146" s="1"/>
  <c r="D12" i="147"/>
  <c r="E12" i="147" s="1"/>
  <c r="H12" i="147" s="1"/>
  <c r="D12" i="148"/>
  <c r="E12" i="148" s="1"/>
  <c r="H12" i="148" s="1"/>
  <c r="D12" i="149"/>
  <c r="E12" i="149" s="1"/>
  <c r="H12" i="149" s="1"/>
  <c r="D12" i="151"/>
  <c r="E12" i="151" s="1"/>
  <c r="H12" i="151" s="1"/>
  <c r="D12" i="152"/>
  <c r="E12" i="152" s="1"/>
  <c r="H12" i="152" s="1"/>
  <c r="D12" i="153"/>
  <c r="E12" i="153" s="1"/>
  <c r="H12" i="153" s="1"/>
  <c r="D12" i="114"/>
  <c r="E12" i="114" s="1"/>
  <c r="H12" i="114" s="1"/>
  <c r="E45" i="113"/>
  <c r="H45" i="113" s="1"/>
  <c r="D45" i="115"/>
  <c r="E45" i="115" s="1"/>
  <c r="H45" i="115" s="1"/>
  <c r="D45" i="116"/>
  <c r="E45" i="116" s="1"/>
  <c r="H45" i="116" s="1"/>
  <c r="D45" i="117"/>
  <c r="E45" i="117" s="1"/>
  <c r="H45" i="117" s="1"/>
  <c r="D45" i="118"/>
  <c r="E45" i="118" s="1"/>
  <c r="H45" i="118" s="1"/>
  <c r="D45" i="119"/>
  <c r="E45" i="119" s="1"/>
  <c r="H45" i="119" s="1"/>
  <c r="D45" i="120"/>
  <c r="E45" i="120" s="1"/>
  <c r="H45" i="120" s="1"/>
  <c r="D45" i="125"/>
  <c r="E45" i="125" s="1"/>
  <c r="H45" i="125" s="1"/>
  <c r="D45" i="126"/>
  <c r="E45" i="126" s="1"/>
  <c r="H45" i="126" s="1"/>
  <c r="D45" i="127"/>
  <c r="E45" i="127" s="1"/>
  <c r="H45" i="127" s="1"/>
  <c r="D45" i="128"/>
  <c r="E45" i="128" s="1"/>
  <c r="H45" i="128" s="1"/>
  <c r="D45" i="129"/>
  <c r="E45" i="129" s="1"/>
  <c r="H45" i="129" s="1"/>
  <c r="L45" i="129" s="1"/>
  <c r="D45" i="131"/>
  <c r="E45" i="131" s="1"/>
  <c r="H45" i="131" s="1"/>
  <c r="D45" i="144"/>
  <c r="E45" i="144" s="1"/>
  <c r="H45" i="144" s="1"/>
  <c r="D45" i="145"/>
  <c r="E45" i="145" s="1"/>
  <c r="H45" i="145" s="1"/>
  <c r="D45" i="146"/>
  <c r="E45" i="146" s="1"/>
  <c r="H45" i="146" s="1"/>
  <c r="D45" i="147"/>
  <c r="E45" i="147" s="1"/>
  <c r="H45" i="147" s="1"/>
  <c r="D45" i="148"/>
  <c r="E45" i="148" s="1"/>
  <c r="H45" i="148" s="1"/>
  <c r="D45" i="149"/>
  <c r="E45" i="149" s="1"/>
  <c r="H45" i="149" s="1"/>
  <c r="D45" i="151"/>
  <c r="E45" i="151" s="1"/>
  <c r="H45" i="151" s="1"/>
  <c r="D45" i="152"/>
  <c r="E45" i="152" s="1"/>
  <c r="H45" i="152" s="1"/>
  <c r="D45" i="153"/>
  <c r="E45" i="153" s="1"/>
  <c r="H45" i="153" s="1"/>
  <c r="D45" i="114"/>
  <c r="E45" i="114" s="1"/>
  <c r="H45" i="114" s="1"/>
  <c r="E25" i="113"/>
  <c r="H25" i="113" s="1"/>
  <c r="D25" i="115"/>
  <c r="E25" i="115" s="1"/>
  <c r="H25" i="115" s="1"/>
  <c r="D25" i="116"/>
  <c r="E25" i="116" s="1"/>
  <c r="H25" i="116" s="1"/>
  <c r="D25" i="117"/>
  <c r="E25" i="117" s="1"/>
  <c r="H25" i="117" s="1"/>
  <c r="D25" i="118"/>
  <c r="E25" i="118" s="1"/>
  <c r="H25" i="118" s="1"/>
  <c r="D25" i="119"/>
  <c r="E25" i="119" s="1"/>
  <c r="H25" i="119" s="1"/>
  <c r="D25" i="120"/>
  <c r="E25" i="120" s="1"/>
  <c r="H25" i="120" s="1"/>
  <c r="D25" i="125"/>
  <c r="E25" i="125" s="1"/>
  <c r="H25" i="125" s="1"/>
  <c r="D25" i="126"/>
  <c r="E25" i="126" s="1"/>
  <c r="H25" i="126" s="1"/>
  <c r="D25" i="127"/>
  <c r="E25" i="127" s="1"/>
  <c r="H25" i="127" s="1"/>
  <c r="D25" i="128"/>
  <c r="E25" i="128" s="1"/>
  <c r="H25" i="128" s="1"/>
  <c r="D25" i="129"/>
  <c r="E25" i="129" s="1"/>
  <c r="H25" i="129" s="1"/>
  <c r="D25" i="131"/>
  <c r="E25" i="131" s="1"/>
  <c r="H25" i="131" s="1"/>
  <c r="D25" i="144"/>
  <c r="E25" i="144" s="1"/>
  <c r="H25" i="144" s="1"/>
  <c r="L25" i="144" s="1"/>
  <c r="M25" i="144" s="1"/>
  <c r="D25" i="145"/>
  <c r="E25" i="145" s="1"/>
  <c r="H25" i="145" s="1"/>
  <c r="L25" i="145" s="1"/>
  <c r="M25" i="145" s="1"/>
  <c r="D25" i="146"/>
  <c r="E25" i="146" s="1"/>
  <c r="H25" i="146" s="1"/>
  <c r="D25" i="147"/>
  <c r="E25" i="147" s="1"/>
  <c r="H25" i="147" s="1"/>
  <c r="L25" i="147" s="1"/>
  <c r="M25" i="147" s="1"/>
  <c r="D25" i="148"/>
  <c r="E25" i="148" s="1"/>
  <c r="H25" i="148" s="1"/>
  <c r="L25" i="148" s="1"/>
  <c r="M25" i="148" s="1"/>
  <c r="D25" i="149"/>
  <c r="E25" i="149" s="1"/>
  <c r="H25" i="149" s="1"/>
  <c r="D25" i="151"/>
  <c r="E25" i="151" s="1"/>
  <c r="H25" i="151" s="1"/>
  <c r="D25" i="152"/>
  <c r="E25" i="152" s="1"/>
  <c r="H25" i="152" s="1"/>
  <c r="D25" i="153"/>
  <c r="E25" i="153" s="1"/>
  <c r="H25" i="153" s="1"/>
  <c r="L25" i="153" s="1"/>
  <c r="M25" i="153" s="1"/>
  <c r="D25" i="114"/>
  <c r="E25" i="114" s="1"/>
  <c r="H25" i="114" s="1"/>
  <c r="E71" i="113"/>
  <c r="H71" i="113" s="1"/>
  <c r="D71" i="115"/>
  <c r="E71" i="115" s="1"/>
  <c r="H71" i="115" s="1"/>
  <c r="D71" i="116"/>
  <c r="E71" i="116" s="1"/>
  <c r="H71" i="116" s="1"/>
  <c r="D71" i="117"/>
  <c r="E71" i="117" s="1"/>
  <c r="H71" i="117" s="1"/>
  <c r="D71" i="118"/>
  <c r="E71" i="118" s="1"/>
  <c r="H71" i="118" s="1"/>
  <c r="D71" i="119"/>
  <c r="E71" i="119" s="1"/>
  <c r="H71" i="119" s="1"/>
  <c r="D71" i="120"/>
  <c r="E71" i="120" s="1"/>
  <c r="H71" i="120" s="1"/>
  <c r="D71" i="125"/>
  <c r="E71" i="125" s="1"/>
  <c r="H71" i="125" s="1"/>
  <c r="D71" i="126"/>
  <c r="E71" i="126" s="1"/>
  <c r="H71" i="126" s="1"/>
  <c r="D71" i="127"/>
  <c r="E71" i="127" s="1"/>
  <c r="H71" i="127" s="1"/>
  <c r="D71" i="128"/>
  <c r="E71" i="128" s="1"/>
  <c r="H71" i="128" s="1"/>
  <c r="D71" i="129"/>
  <c r="E71" i="129" s="1"/>
  <c r="H71" i="129" s="1"/>
  <c r="L71" i="129" s="1"/>
  <c r="D71" i="131"/>
  <c r="E71" i="131" s="1"/>
  <c r="H71" i="131" s="1"/>
  <c r="D71" i="144"/>
  <c r="E71" i="144" s="1"/>
  <c r="H71" i="144" s="1"/>
  <c r="D71" i="145"/>
  <c r="E71" i="145" s="1"/>
  <c r="H71" i="145" s="1"/>
  <c r="D71" i="146"/>
  <c r="E71" i="146" s="1"/>
  <c r="H71" i="146" s="1"/>
  <c r="L71" i="146" s="1"/>
  <c r="M71" i="146" s="1"/>
  <c r="D71" i="147"/>
  <c r="E71" i="147" s="1"/>
  <c r="H71" i="147" s="1"/>
  <c r="D71" i="148"/>
  <c r="E71" i="148" s="1"/>
  <c r="H71" i="148" s="1"/>
  <c r="L71" i="148" s="1"/>
  <c r="M71" i="148" s="1"/>
  <c r="D71" i="149"/>
  <c r="E71" i="149" s="1"/>
  <c r="H71" i="149" s="1"/>
  <c r="D71" i="151"/>
  <c r="E71" i="151" s="1"/>
  <c r="H71" i="151" s="1"/>
  <c r="D71" i="152"/>
  <c r="E71" i="152" s="1"/>
  <c r="H71" i="152" s="1"/>
  <c r="D71" i="153"/>
  <c r="E71" i="153" s="1"/>
  <c r="H71" i="153" s="1"/>
  <c r="L71" i="153" s="1"/>
  <c r="M71" i="153" s="1"/>
  <c r="D71" i="114"/>
  <c r="E71" i="114" s="1"/>
  <c r="H71" i="114" s="1"/>
  <c r="E39" i="113"/>
  <c r="H39" i="113" s="1"/>
  <c r="D39" i="115"/>
  <c r="E39" i="115" s="1"/>
  <c r="H39" i="115" s="1"/>
  <c r="D39" i="116"/>
  <c r="E39" i="116" s="1"/>
  <c r="H39" i="116" s="1"/>
  <c r="D39" i="117"/>
  <c r="E39" i="117" s="1"/>
  <c r="H39" i="117" s="1"/>
  <c r="D39" i="118"/>
  <c r="E39" i="118" s="1"/>
  <c r="H39" i="118" s="1"/>
  <c r="D39" i="119"/>
  <c r="E39" i="119" s="1"/>
  <c r="H39" i="119" s="1"/>
  <c r="D39" i="120"/>
  <c r="E39" i="120" s="1"/>
  <c r="H39" i="120" s="1"/>
  <c r="D39" i="125"/>
  <c r="E39" i="125" s="1"/>
  <c r="H39" i="125" s="1"/>
  <c r="D39" i="126"/>
  <c r="E39" i="126" s="1"/>
  <c r="H39" i="126" s="1"/>
  <c r="D39" i="127"/>
  <c r="E39" i="127" s="1"/>
  <c r="H39" i="127" s="1"/>
  <c r="D39" i="128"/>
  <c r="E39" i="128" s="1"/>
  <c r="H39" i="128" s="1"/>
  <c r="D39" i="129"/>
  <c r="E39" i="129" s="1"/>
  <c r="H39" i="129" s="1"/>
  <c r="D39" i="131"/>
  <c r="E39" i="131" s="1"/>
  <c r="H39" i="131" s="1"/>
  <c r="D39" i="144"/>
  <c r="E39" i="144" s="1"/>
  <c r="H39" i="144" s="1"/>
  <c r="L39" i="144" s="1"/>
  <c r="M39" i="144" s="1"/>
  <c r="D39" i="145"/>
  <c r="E39" i="145" s="1"/>
  <c r="H39" i="145" s="1"/>
  <c r="D39" i="146"/>
  <c r="E39" i="146" s="1"/>
  <c r="H39" i="146" s="1"/>
  <c r="D39" i="147"/>
  <c r="E39" i="147" s="1"/>
  <c r="H39" i="147" s="1"/>
  <c r="D39" i="148"/>
  <c r="E39" i="148" s="1"/>
  <c r="H39" i="148" s="1"/>
  <c r="L39" i="148" s="1"/>
  <c r="M39" i="148" s="1"/>
  <c r="D39" i="149"/>
  <c r="E39" i="149" s="1"/>
  <c r="H39" i="149" s="1"/>
  <c r="L39" i="149" s="1"/>
  <c r="M39" i="149" s="1"/>
  <c r="D39" i="151"/>
  <c r="E39" i="151" s="1"/>
  <c r="H39" i="151" s="1"/>
  <c r="L39" i="151" s="1"/>
  <c r="M39" i="151" s="1"/>
  <c r="D39" i="152"/>
  <c r="E39" i="152" s="1"/>
  <c r="H39" i="152" s="1"/>
  <c r="L39" i="152" s="1"/>
  <c r="M39" i="152" s="1"/>
  <c r="D39" i="153"/>
  <c r="E39" i="153" s="1"/>
  <c r="H39" i="153" s="1"/>
  <c r="L39" i="153" s="1"/>
  <c r="M39" i="153" s="1"/>
  <c r="D39" i="114"/>
  <c r="E39" i="114" s="1"/>
  <c r="H39" i="114" s="1"/>
  <c r="E57" i="113"/>
  <c r="H57" i="113" s="1"/>
  <c r="D57" i="115"/>
  <c r="E57" i="115" s="1"/>
  <c r="H57" i="115" s="1"/>
  <c r="D57" i="116"/>
  <c r="E57" i="116" s="1"/>
  <c r="H57" i="116" s="1"/>
  <c r="D57" i="117"/>
  <c r="E57" i="117" s="1"/>
  <c r="H57" i="117" s="1"/>
  <c r="D57" i="118"/>
  <c r="E57" i="118" s="1"/>
  <c r="H57" i="118" s="1"/>
  <c r="D57" i="119"/>
  <c r="E57" i="119" s="1"/>
  <c r="H57" i="119" s="1"/>
  <c r="D57" i="120"/>
  <c r="E57" i="120" s="1"/>
  <c r="H57" i="120" s="1"/>
  <c r="D57" i="125"/>
  <c r="E57" i="125" s="1"/>
  <c r="H57" i="125" s="1"/>
  <c r="D57" i="126"/>
  <c r="E57" i="126" s="1"/>
  <c r="H57" i="126" s="1"/>
  <c r="D57" i="127"/>
  <c r="E57" i="127" s="1"/>
  <c r="H57" i="127" s="1"/>
  <c r="D57" i="128"/>
  <c r="E57" i="128" s="1"/>
  <c r="H57" i="128" s="1"/>
  <c r="D57" i="129"/>
  <c r="E57" i="129" s="1"/>
  <c r="H57" i="129" s="1"/>
  <c r="D57" i="131"/>
  <c r="E57" i="131" s="1"/>
  <c r="H57" i="131" s="1"/>
  <c r="D57" i="144"/>
  <c r="E57" i="144" s="1"/>
  <c r="H57" i="144" s="1"/>
  <c r="L57" i="144" s="1"/>
  <c r="D57" i="145"/>
  <c r="E57" i="145" s="1"/>
  <c r="H57" i="145" s="1"/>
  <c r="D57" i="146"/>
  <c r="E57" i="146" s="1"/>
  <c r="H57" i="146" s="1"/>
  <c r="D57" i="147"/>
  <c r="E57" i="147" s="1"/>
  <c r="H57" i="147" s="1"/>
  <c r="D57" i="148"/>
  <c r="E57" i="148" s="1"/>
  <c r="H57" i="148" s="1"/>
  <c r="D57" i="149"/>
  <c r="E57" i="149" s="1"/>
  <c r="H57" i="149" s="1"/>
  <c r="L57" i="149" s="1"/>
  <c r="M57" i="149" s="1"/>
  <c r="D57" i="151"/>
  <c r="E57" i="151" s="1"/>
  <c r="H57" i="151" s="1"/>
  <c r="D57" i="152"/>
  <c r="E57" i="152" s="1"/>
  <c r="H57" i="152" s="1"/>
  <c r="L57" i="152" s="1"/>
  <c r="M57" i="152" s="1"/>
  <c r="D57" i="153"/>
  <c r="E57" i="153" s="1"/>
  <c r="H57" i="153" s="1"/>
  <c r="D57" i="114"/>
  <c r="E57" i="114" s="1"/>
  <c r="H57" i="114" s="1"/>
  <c r="E72" i="113"/>
  <c r="H72" i="113" s="1"/>
  <c r="D72" i="115"/>
  <c r="E72" i="115" s="1"/>
  <c r="H72" i="115" s="1"/>
  <c r="D72" i="116"/>
  <c r="E72" i="116" s="1"/>
  <c r="H72" i="116" s="1"/>
  <c r="D72" i="117"/>
  <c r="E72" i="117" s="1"/>
  <c r="H72" i="117" s="1"/>
  <c r="D72" i="118"/>
  <c r="E72" i="118" s="1"/>
  <c r="H72" i="118" s="1"/>
  <c r="D72" i="119"/>
  <c r="E72" i="119" s="1"/>
  <c r="H72" i="119" s="1"/>
  <c r="D72" i="120"/>
  <c r="E72" i="120" s="1"/>
  <c r="H72" i="120" s="1"/>
  <c r="D72" i="125"/>
  <c r="E72" i="125" s="1"/>
  <c r="H72" i="125" s="1"/>
  <c r="D72" i="126"/>
  <c r="E72" i="126" s="1"/>
  <c r="H72" i="126" s="1"/>
  <c r="D72" i="127"/>
  <c r="E72" i="127" s="1"/>
  <c r="H72" i="127" s="1"/>
  <c r="D72" i="128"/>
  <c r="E72" i="128" s="1"/>
  <c r="H72" i="128" s="1"/>
  <c r="D72" i="129"/>
  <c r="E72" i="129" s="1"/>
  <c r="H72" i="129" s="1"/>
  <c r="D72" i="131"/>
  <c r="E72" i="131" s="1"/>
  <c r="H72" i="131" s="1"/>
  <c r="D72" i="144"/>
  <c r="E72" i="144" s="1"/>
  <c r="H72" i="144" s="1"/>
  <c r="D72" i="145"/>
  <c r="E72" i="145" s="1"/>
  <c r="H72" i="145" s="1"/>
  <c r="L72" i="145" s="1"/>
  <c r="M72" i="145" s="1"/>
  <c r="D72" i="146"/>
  <c r="E72" i="146" s="1"/>
  <c r="H72" i="146" s="1"/>
  <c r="L72" i="146" s="1"/>
  <c r="M72" i="146" s="1"/>
  <c r="D72" i="147"/>
  <c r="E72" i="147" s="1"/>
  <c r="H72" i="147" s="1"/>
  <c r="L72" i="147" s="1"/>
  <c r="M72" i="147" s="1"/>
  <c r="D72" i="148"/>
  <c r="E72" i="148" s="1"/>
  <c r="H72" i="148" s="1"/>
  <c r="L72" i="148" s="1"/>
  <c r="M72" i="148" s="1"/>
  <c r="D72" i="149"/>
  <c r="E72" i="149" s="1"/>
  <c r="H72" i="149" s="1"/>
  <c r="L72" i="149" s="1"/>
  <c r="M72" i="149" s="1"/>
  <c r="D72" i="151"/>
  <c r="E72" i="151" s="1"/>
  <c r="H72" i="151" s="1"/>
  <c r="L72" i="151" s="1"/>
  <c r="M72" i="151" s="1"/>
  <c r="D72" i="152"/>
  <c r="E72" i="152" s="1"/>
  <c r="H72" i="152" s="1"/>
  <c r="L72" i="152" s="1"/>
  <c r="M72" i="152" s="1"/>
  <c r="D72" i="153"/>
  <c r="E72" i="153" s="1"/>
  <c r="H72" i="153" s="1"/>
  <c r="L72" i="153" s="1"/>
  <c r="M72" i="153" s="1"/>
  <c r="D72" i="114"/>
  <c r="E72" i="114" s="1"/>
  <c r="H72" i="114" s="1"/>
  <c r="E67" i="113"/>
  <c r="H67" i="113" s="1"/>
  <c r="D67" i="115"/>
  <c r="E67" i="115" s="1"/>
  <c r="H67" i="115" s="1"/>
  <c r="D67" i="116"/>
  <c r="E67" i="116" s="1"/>
  <c r="H67" i="116" s="1"/>
  <c r="D67" i="117"/>
  <c r="E67" i="117" s="1"/>
  <c r="H67" i="117" s="1"/>
  <c r="D67" i="118"/>
  <c r="E67" i="118" s="1"/>
  <c r="H67" i="118" s="1"/>
  <c r="D67" i="119"/>
  <c r="E67" i="119" s="1"/>
  <c r="H67" i="119" s="1"/>
  <c r="D67" i="120"/>
  <c r="E67" i="120" s="1"/>
  <c r="H67" i="120" s="1"/>
  <c r="D67" i="125"/>
  <c r="E67" i="125" s="1"/>
  <c r="H67" i="125" s="1"/>
  <c r="D67" i="126"/>
  <c r="E67" i="126" s="1"/>
  <c r="H67" i="126" s="1"/>
  <c r="D67" i="127"/>
  <c r="E67" i="127" s="1"/>
  <c r="H67" i="127" s="1"/>
  <c r="D67" i="128"/>
  <c r="E67" i="128" s="1"/>
  <c r="H67" i="128" s="1"/>
  <c r="D67" i="129"/>
  <c r="E67" i="129" s="1"/>
  <c r="H67" i="129" s="1"/>
  <c r="D67" i="131"/>
  <c r="E67" i="131" s="1"/>
  <c r="H67" i="131" s="1"/>
  <c r="D67" i="144"/>
  <c r="E67" i="144" s="1"/>
  <c r="H67" i="144" s="1"/>
  <c r="D67" i="145"/>
  <c r="E67" i="145" s="1"/>
  <c r="H67" i="145" s="1"/>
  <c r="L67" i="145" s="1"/>
  <c r="M67" i="145" s="1"/>
  <c r="D67" i="146"/>
  <c r="E67" i="146" s="1"/>
  <c r="H67" i="146" s="1"/>
  <c r="L67" i="146" s="1"/>
  <c r="M67" i="146" s="1"/>
  <c r="D67" i="147"/>
  <c r="E67" i="147" s="1"/>
  <c r="H67" i="147" s="1"/>
  <c r="L67" i="147" s="1"/>
  <c r="M67" i="147" s="1"/>
  <c r="D67" i="148"/>
  <c r="E67" i="148" s="1"/>
  <c r="H67" i="148" s="1"/>
  <c r="D67" i="149"/>
  <c r="E67" i="149" s="1"/>
  <c r="H67" i="149" s="1"/>
  <c r="L67" i="149" s="1"/>
  <c r="M67" i="149" s="1"/>
  <c r="D67" i="151"/>
  <c r="E67" i="151" s="1"/>
  <c r="H67" i="151" s="1"/>
  <c r="L67" i="151" s="1"/>
  <c r="M67" i="151" s="1"/>
  <c r="D67" i="152"/>
  <c r="E67" i="152" s="1"/>
  <c r="H67" i="152" s="1"/>
  <c r="L67" i="152" s="1"/>
  <c r="M67" i="152" s="1"/>
  <c r="D67" i="153"/>
  <c r="E67" i="153" s="1"/>
  <c r="H67" i="153" s="1"/>
  <c r="L67" i="153" s="1"/>
  <c r="M67" i="153" s="1"/>
  <c r="D67" i="114"/>
  <c r="E67" i="114" s="1"/>
  <c r="H67" i="114" s="1"/>
  <c r="E73" i="113"/>
  <c r="H73" i="113" s="1"/>
  <c r="D73" i="115"/>
  <c r="E73" i="115" s="1"/>
  <c r="H73" i="115" s="1"/>
  <c r="D73" i="116"/>
  <c r="E73" i="116" s="1"/>
  <c r="H73" i="116" s="1"/>
  <c r="D73" i="117"/>
  <c r="E73" i="117" s="1"/>
  <c r="H73" i="117" s="1"/>
  <c r="D73" i="118"/>
  <c r="E73" i="118" s="1"/>
  <c r="H73" i="118" s="1"/>
  <c r="D73" i="119"/>
  <c r="E73" i="119" s="1"/>
  <c r="H73" i="119" s="1"/>
  <c r="D73" i="120"/>
  <c r="E73" i="120" s="1"/>
  <c r="H73" i="120" s="1"/>
  <c r="D73" i="125"/>
  <c r="E73" i="125" s="1"/>
  <c r="H73" i="125" s="1"/>
  <c r="D73" i="126"/>
  <c r="E73" i="126" s="1"/>
  <c r="H73" i="126" s="1"/>
  <c r="D73" i="127"/>
  <c r="E73" i="127" s="1"/>
  <c r="H73" i="127" s="1"/>
  <c r="D73" i="128"/>
  <c r="E73" i="128" s="1"/>
  <c r="H73" i="128" s="1"/>
  <c r="D73" i="129"/>
  <c r="E73" i="129" s="1"/>
  <c r="H73" i="129" s="1"/>
  <c r="D73" i="131"/>
  <c r="E73" i="131" s="1"/>
  <c r="H73" i="131" s="1"/>
  <c r="D73" i="144"/>
  <c r="E73" i="144" s="1"/>
  <c r="H73" i="144" s="1"/>
  <c r="L73" i="144" s="1"/>
  <c r="D73" i="145"/>
  <c r="E73" i="145" s="1"/>
  <c r="H73" i="145" s="1"/>
  <c r="L73" i="145" s="1"/>
  <c r="M73" i="145" s="1"/>
  <c r="D73" i="146"/>
  <c r="E73" i="146" s="1"/>
  <c r="H73" i="146" s="1"/>
  <c r="L73" i="146" s="1"/>
  <c r="M73" i="146" s="1"/>
  <c r="D73" i="147"/>
  <c r="E73" i="147" s="1"/>
  <c r="H73" i="147" s="1"/>
  <c r="L73" i="147" s="1"/>
  <c r="M73" i="147" s="1"/>
  <c r="D73" i="148"/>
  <c r="E73" i="148" s="1"/>
  <c r="H73" i="148" s="1"/>
  <c r="L73" i="148" s="1"/>
  <c r="M73" i="148" s="1"/>
  <c r="D73" i="149"/>
  <c r="E73" i="149" s="1"/>
  <c r="H73" i="149" s="1"/>
  <c r="L73" i="149" s="1"/>
  <c r="M73" i="149" s="1"/>
  <c r="D73" i="151"/>
  <c r="E73" i="151" s="1"/>
  <c r="H73" i="151" s="1"/>
  <c r="L73" i="151" s="1"/>
  <c r="M73" i="151" s="1"/>
  <c r="D73" i="152"/>
  <c r="E73" i="152" s="1"/>
  <c r="H73" i="152" s="1"/>
  <c r="L73" i="152" s="1"/>
  <c r="M73" i="152" s="1"/>
  <c r="D73" i="153"/>
  <c r="E73" i="153" s="1"/>
  <c r="H73" i="153" s="1"/>
  <c r="L73" i="153" s="1"/>
  <c r="M73" i="153" s="1"/>
  <c r="D73" i="114"/>
  <c r="E73" i="114" s="1"/>
  <c r="H73" i="114" s="1"/>
  <c r="N19" i="31"/>
  <c r="M19" i="31"/>
  <c r="H12" i="31"/>
  <c r="E71" i="31"/>
  <c r="P55" i="140"/>
  <c r="Q55" i="140" s="1"/>
  <c r="P64" i="140"/>
  <c r="Q64" i="140" s="1"/>
  <c r="P49" i="140"/>
  <c r="Q49" i="140" s="1"/>
  <c r="P40" i="140"/>
  <c r="Q40" i="140" s="1"/>
  <c r="R74" i="129"/>
  <c r="S74" i="129" s="1"/>
  <c r="T74" i="129"/>
  <c r="R59" i="129"/>
  <c r="S59" i="129" s="1"/>
  <c r="T59" i="129"/>
  <c r="R42" i="152"/>
  <c r="S42" i="152" s="1"/>
  <c r="AK42" i="152" s="1"/>
  <c r="T42" i="152"/>
  <c r="AJ42" i="152" s="1"/>
  <c r="R55" i="152"/>
  <c r="S55" i="152" s="1"/>
  <c r="T55" i="152"/>
  <c r="R55" i="151"/>
  <c r="S55" i="151" s="1"/>
  <c r="T55" i="151"/>
  <c r="R49" i="146"/>
  <c r="S49" i="146" s="1"/>
  <c r="T49" i="146"/>
  <c r="R21" i="144"/>
  <c r="S21" i="144" s="1"/>
  <c r="T21" i="144"/>
  <c r="R37" i="144"/>
  <c r="S37" i="144" s="1"/>
  <c r="T37" i="144"/>
  <c r="R40" i="149"/>
  <c r="S40" i="149" s="1"/>
  <c r="T40" i="149"/>
  <c r="R64" i="144"/>
  <c r="S64" i="144" s="1"/>
  <c r="T64" i="144"/>
  <c r="R69" i="144"/>
  <c r="S69" i="144" s="1"/>
  <c r="T69" i="144"/>
  <c r="P53" i="140"/>
  <c r="Q53" i="140" s="1"/>
  <c r="R53" i="140"/>
  <c r="P64" i="141"/>
  <c r="Q64" i="141" s="1"/>
  <c r="R64" i="141"/>
  <c r="P53" i="141"/>
  <c r="Q53" i="141" s="1"/>
  <c r="R53" i="141"/>
  <c r="R22" i="129"/>
  <c r="S22" i="129" s="1"/>
  <c r="T22" i="129"/>
  <c r="R61" i="129"/>
  <c r="S61" i="129" s="1"/>
  <c r="T61" i="129"/>
  <c r="R55" i="153"/>
  <c r="S55" i="153" s="1"/>
  <c r="T55" i="153"/>
  <c r="R49" i="151"/>
  <c r="S49" i="151" s="1"/>
  <c r="T49" i="151"/>
  <c r="R40" i="144"/>
  <c r="S40" i="144" s="1"/>
  <c r="T40" i="144"/>
  <c r="R42" i="147"/>
  <c r="S42" i="147" s="1"/>
  <c r="AK42" i="147" s="1"/>
  <c r="T42" i="147"/>
  <c r="AJ42" i="147" s="1"/>
  <c r="R38" i="152"/>
  <c r="S38" i="152" s="1"/>
  <c r="T38" i="152"/>
  <c r="R46" i="129"/>
  <c r="S46" i="129" s="1"/>
  <c r="T46" i="129"/>
  <c r="P55" i="141"/>
  <c r="Q55" i="141" s="1"/>
  <c r="R55" i="141"/>
  <c r="P69" i="141"/>
  <c r="Q69" i="141" s="1"/>
  <c r="R69" i="141"/>
  <c r="P49" i="141"/>
  <c r="Q49" i="141" s="1"/>
  <c r="R49" i="141"/>
  <c r="H8" i="31"/>
  <c r="P42" i="140"/>
  <c r="Q42" i="140" s="1"/>
  <c r="R42" i="140"/>
  <c r="P42" i="141"/>
  <c r="Q42" i="141" s="1"/>
  <c r="R42" i="141"/>
  <c r="N54" i="141"/>
  <c r="N33" i="141"/>
  <c r="N31" i="141"/>
  <c r="N57" i="141"/>
  <c r="N66" i="141"/>
  <c r="N73" i="141"/>
  <c r="N18" i="141"/>
  <c r="N67" i="141"/>
  <c r="N14" i="141"/>
  <c r="N25" i="141"/>
  <c r="N8" i="141"/>
  <c r="N72" i="141"/>
  <c r="N72" i="140"/>
  <c r="R72" i="140" s="1"/>
  <c r="N54" i="140"/>
  <c r="R54" i="140" s="1"/>
  <c r="N66" i="140"/>
  <c r="R66" i="140" s="1"/>
  <c r="N9" i="140"/>
  <c r="R9" i="140" s="1"/>
  <c r="N33" i="140"/>
  <c r="R33" i="140" s="1"/>
  <c r="N39" i="140"/>
  <c r="R39" i="140" s="1"/>
  <c r="N67" i="140"/>
  <c r="R67" i="140" s="1"/>
  <c r="N19" i="140"/>
  <c r="R19" i="140" s="1"/>
  <c r="I73" i="67"/>
  <c r="M73" i="67" s="1"/>
  <c r="X73" i="67" s="1"/>
  <c r="I37" i="67"/>
  <c r="M37" i="67" s="1"/>
  <c r="X37" i="67" s="1"/>
  <c r="I52" i="67"/>
  <c r="M52" i="67" s="1"/>
  <c r="X52" i="67" s="1"/>
  <c r="E67" i="67"/>
  <c r="F67" i="67" s="1"/>
  <c r="G67" i="67" s="1"/>
  <c r="E34" i="67"/>
  <c r="F34" i="67" s="1"/>
  <c r="G34" i="67" s="1"/>
  <c r="E25" i="67"/>
  <c r="F25" i="67" s="1"/>
  <c r="G25" i="67" s="1"/>
  <c r="E64" i="67"/>
  <c r="F64" i="67" s="1"/>
  <c r="G64" i="67" s="1"/>
  <c r="E40" i="67"/>
  <c r="F40" i="67" s="1"/>
  <c r="G40" i="67" s="1"/>
  <c r="E17" i="67"/>
  <c r="F17" i="67" s="1"/>
  <c r="G17" i="67" s="1"/>
  <c r="E59" i="67"/>
  <c r="F59" i="67" s="1"/>
  <c r="G59" i="67" s="1"/>
  <c r="E20" i="67"/>
  <c r="F20" i="67" s="1"/>
  <c r="G20" i="67" s="1"/>
  <c r="E23" i="67"/>
  <c r="F23" i="67" s="1"/>
  <c r="G23" i="67" s="1"/>
  <c r="E19" i="67"/>
  <c r="F19" i="67" s="1"/>
  <c r="G19" i="67" s="1"/>
  <c r="E43" i="67"/>
  <c r="F43" i="67" s="1"/>
  <c r="G43" i="67" s="1"/>
  <c r="E29" i="67"/>
  <c r="F29" i="67" s="1"/>
  <c r="G29" i="67" s="1"/>
  <c r="E50" i="67"/>
  <c r="F50" i="67" s="1"/>
  <c r="G50" i="67" s="1"/>
  <c r="E26" i="67"/>
  <c r="F26" i="67" s="1"/>
  <c r="G26" i="67" s="1"/>
  <c r="E38" i="67"/>
  <c r="F38" i="67" s="1"/>
  <c r="G38" i="67" s="1"/>
  <c r="E74" i="67"/>
  <c r="F74" i="67" s="1"/>
  <c r="G74" i="67" s="1"/>
  <c r="E7" i="67"/>
  <c r="F7" i="67" s="1"/>
  <c r="G7" i="67" s="1"/>
  <c r="E68" i="67"/>
  <c r="F68" i="67" s="1"/>
  <c r="G68" i="67" s="1"/>
  <c r="E71" i="67"/>
  <c r="F71" i="67" s="1"/>
  <c r="G71" i="67" s="1"/>
  <c r="E32" i="67"/>
  <c r="F32" i="67" s="1"/>
  <c r="G32" i="67" s="1"/>
  <c r="E31" i="67"/>
  <c r="F31" i="67" s="1"/>
  <c r="G31" i="67" s="1"/>
  <c r="E65" i="67"/>
  <c r="F65" i="67" s="1"/>
  <c r="G65" i="67" s="1"/>
  <c r="E56" i="67"/>
  <c r="F56" i="67" s="1"/>
  <c r="G56" i="67" s="1"/>
  <c r="E10" i="67"/>
  <c r="F10" i="67" s="1"/>
  <c r="G10" i="67" s="1"/>
  <c r="E46" i="67"/>
  <c r="F46" i="67" s="1"/>
  <c r="G46" i="67" s="1"/>
  <c r="E49" i="67"/>
  <c r="F49" i="67" s="1"/>
  <c r="G49" i="67" s="1"/>
  <c r="E28" i="67"/>
  <c r="F28" i="67" s="1"/>
  <c r="G28" i="67" s="1"/>
  <c r="E53" i="67"/>
  <c r="F53" i="67" s="1"/>
  <c r="G53" i="67" s="1"/>
  <c r="E55" i="67"/>
  <c r="F55" i="67" s="1"/>
  <c r="G55" i="67" s="1"/>
  <c r="E35" i="67"/>
  <c r="F35" i="67" s="1"/>
  <c r="G35" i="67" s="1"/>
  <c r="E22" i="67"/>
  <c r="F22" i="67" s="1"/>
  <c r="G22" i="67" s="1"/>
  <c r="E61" i="67"/>
  <c r="F61" i="67" s="1"/>
  <c r="G61" i="67" s="1"/>
  <c r="E8" i="67"/>
  <c r="F8" i="67" s="1"/>
  <c r="G8" i="67" s="1"/>
  <c r="E16" i="67"/>
  <c r="F16" i="67" s="1"/>
  <c r="G16" i="67" s="1"/>
  <c r="E70" i="67"/>
  <c r="F70" i="67" s="1"/>
  <c r="G70" i="67" s="1"/>
  <c r="E13" i="67"/>
  <c r="F13" i="67" s="1"/>
  <c r="G13" i="67" s="1"/>
  <c r="I41" i="67"/>
  <c r="M41" i="67" s="1"/>
  <c r="I57" i="80"/>
  <c r="H29" i="166"/>
  <c r="G29" i="166"/>
  <c r="D7" i="141"/>
  <c r="D7" i="140"/>
  <c r="R49" i="144"/>
  <c r="S49" i="144" s="1"/>
  <c r="AX11" i="1"/>
  <c r="AV11" i="1"/>
  <c r="P8" i="140"/>
  <c r="Q8" i="140" s="1"/>
  <c r="P14" i="140"/>
  <c r="Q14" i="140" s="1"/>
  <c r="AX52" i="1"/>
  <c r="I13" i="76"/>
  <c r="N19" i="144"/>
  <c r="P19" i="144" s="1"/>
  <c r="T19" i="144" s="1"/>
  <c r="AV52" i="1"/>
  <c r="AX46" i="1"/>
  <c r="AQ46" i="1"/>
  <c r="P73" i="140"/>
  <c r="Q73" i="140" s="1"/>
  <c r="AQ70" i="1"/>
  <c r="I7" i="76"/>
  <c r="AV70" i="1"/>
  <c r="I18" i="76"/>
  <c r="E65" i="76"/>
  <c r="H65" i="76" s="1"/>
  <c r="I13" i="80"/>
  <c r="AV6" i="1"/>
  <c r="N66" i="144"/>
  <c r="P66" i="144" s="1"/>
  <c r="I65" i="80"/>
  <c r="AX69" i="1"/>
  <c r="I72" i="80"/>
  <c r="AV69" i="1"/>
  <c r="AV68" i="1"/>
  <c r="P18" i="140"/>
  <c r="Q18" i="140" s="1"/>
  <c r="AX45" i="1"/>
  <c r="P39" i="141"/>
  <c r="Q39" i="141" s="1"/>
  <c r="E71" i="76"/>
  <c r="H71" i="76" s="1"/>
  <c r="AX68" i="1"/>
  <c r="E72" i="76"/>
  <c r="H72" i="76" s="1"/>
  <c r="N9" i="144"/>
  <c r="P9" i="144" s="1"/>
  <c r="I30" i="80"/>
  <c r="E71" i="80"/>
  <c r="H71" i="80" s="1"/>
  <c r="I18" i="80"/>
  <c r="E32" i="76"/>
  <c r="H32" i="76" s="1"/>
  <c r="R55" i="144"/>
  <c r="S55" i="144" s="1"/>
  <c r="M30" i="144"/>
  <c r="N30" i="144" s="1"/>
  <c r="P30" i="144" s="1"/>
  <c r="T30" i="144" s="1"/>
  <c r="M56" i="144"/>
  <c r="N56" i="144" s="1"/>
  <c r="P56" i="144" s="1"/>
  <c r="T56" i="144" s="1"/>
  <c r="M73" i="144"/>
  <c r="N73" i="144" s="1"/>
  <c r="P73" i="144" s="1"/>
  <c r="T73" i="144" s="1"/>
  <c r="M20" i="144"/>
  <c r="N20" i="144" s="1"/>
  <c r="P20" i="144" s="1"/>
  <c r="T20" i="144" s="1"/>
  <c r="M44" i="144"/>
  <c r="N44" i="144" s="1"/>
  <c r="P44" i="144" s="1"/>
  <c r="T44" i="144" s="1"/>
  <c r="M26" i="144"/>
  <c r="N26" i="144" s="1"/>
  <c r="P26" i="144" s="1"/>
  <c r="T26" i="144" s="1"/>
  <c r="M48" i="144"/>
  <c r="N48" i="144" s="1"/>
  <c r="P48" i="144" s="1"/>
  <c r="T48" i="144" s="1"/>
  <c r="M8" i="144"/>
  <c r="N8" i="144" s="1"/>
  <c r="P8" i="144" s="1"/>
  <c r="T8" i="144" s="1"/>
  <c r="M41" i="144"/>
  <c r="N41" i="144" s="1"/>
  <c r="P41" i="144" s="1"/>
  <c r="T41" i="144" s="1"/>
  <c r="M51" i="144"/>
  <c r="N51" i="144" s="1"/>
  <c r="P51" i="144" s="1"/>
  <c r="T51" i="144" s="1"/>
  <c r="M27" i="144"/>
  <c r="N27" i="144" s="1"/>
  <c r="P27" i="144" s="1"/>
  <c r="T27" i="144" s="1"/>
  <c r="M24" i="144"/>
  <c r="N24" i="144" s="1"/>
  <c r="P24" i="144" s="1"/>
  <c r="T24" i="144" s="1"/>
  <c r="M60" i="144"/>
  <c r="N60" i="144" s="1"/>
  <c r="P60" i="144" s="1"/>
  <c r="T60" i="144" s="1"/>
  <c r="M53" i="151"/>
  <c r="N53" i="151" s="1"/>
  <c r="P53" i="151" s="1"/>
  <c r="T53" i="151" s="1"/>
  <c r="M53" i="146"/>
  <c r="N53" i="146" s="1"/>
  <c r="P53" i="146" s="1"/>
  <c r="T53" i="146" s="1"/>
  <c r="M53" i="144"/>
  <c r="N53" i="144" s="1"/>
  <c r="P53" i="144" s="1"/>
  <c r="T53" i="144" s="1"/>
  <c r="M38" i="147"/>
  <c r="N38" i="147" s="1"/>
  <c r="P38" i="147" s="1"/>
  <c r="T38" i="147" s="1"/>
  <c r="M40" i="145"/>
  <c r="N40" i="145" s="1"/>
  <c r="P40" i="145" s="1"/>
  <c r="T40" i="145" s="1"/>
  <c r="M53" i="147"/>
  <c r="N53" i="147" s="1"/>
  <c r="P53" i="147" s="1"/>
  <c r="T53" i="147" s="1"/>
  <c r="M40" i="152"/>
  <c r="N40" i="152" s="1"/>
  <c r="P40" i="152" s="1"/>
  <c r="T40" i="152" s="1"/>
  <c r="M42" i="153"/>
  <c r="N42" i="153" s="1"/>
  <c r="P42" i="153" s="1"/>
  <c r="T42" i="153" s="1"/>
  <c r="AJ42" i="153" s="1"/>
  <c r="M31" i="152"/>
  <c r="N31" i="152" s="1"/>
  <c r="P31" i="152" s="1"/>
  <c r="T31" i="152" s="1"/>
  <c r="M38" i="145"/>
  <c r="N38" i="145" s="1"/>
  <c r="P38" i="145" s="1"/>
  <c r="T38" i="145" s="1"/>
  <c r="M38" i="149"/>
  <c r="N38" i="149" s="1"/>
  <c r="P38" i="149" s="1"/>
  <c r="T38" i="149" s="1"/>
  <c r="M68" i="144"/>
  <c r="N68" i="144" s="1"/>
  <c r="P68" i="144" s="1"/>
  <c r="T68" i="144" s="1"/>
  <c r="M16" i="144"/>
  <c r="N16" i="144" s="1"/>
  <c r="P16" i="144" s="1"/>
  <c r="T16" i="144" s="1"/>
  <c r="M14" i="144"/>
  <c r="N14" i="144" s="1"/>
  <c r="P14" i="144" s="1"/>
  <c r="T14" i="144" s="1"/>
  <c r="M52" i="144"/>
  <c r="N52" i="144" s="1"/>
  <c r="P52" i="144" s="1"/>
  <c r="T52" i="144" s="1"/>
  <c r="M36" i="144"/>
  <c r="N36" i="144" s="1"/>
  <c r="P36" i="144" s="1"/>
  <c r="T36" i="144" s="1"/>
  <c r="M32" i="144"/>
  <c r="N32" i="144" s="1"/>
  <c r="P32" i="144" s="1"/>
  <c r="T32" i="144" s="1"/>
  <c r="M28" i="144"/>
  <c r="N28" i="144" s="1"/>
  <c r="P28" i="144" s="1"/>
  <c r="T28" i="144" s="1"/>
  <c r="M65" i="144"/>
  <c r="N65" i="144" s="1"/>
  <c r="P65" i="144" s="1"/>
  <c r="T65" i="144" s="1"/>
  <c r="M47" i="144"/>
  <c r="N47" i="144" s="1"/>
  <c r="P47" i="144" s="1"/>
  <c r="T47" i="144" s="1"/>
  <c r="M10" i="144"/>
  <c r="N10" i="144" s="1"/>
  <c r="P10" i="144" s="1"/>
  <c r="T10" i="144" s="1"/>
  <c r="M35" i="144"/>
  <c r="N35" i="144" s="1"/>
  <c r="P35" i="144" s="1"/>
  <c r="T35" i="144" s="1"/>
  <c r="M53" i="153"/>
  <c r="N53" i="153" s="1"/>
  <c r="P53" i="153" s="1"/>
  <c r="T53" i="153" s="1"/>
  <c r="M53" i="149"/>
  <c r="N53" i="149" s="1"/>
  <c r="P53" i="149" s="1"/>
  <c r="T53" i="149" s="1"/>
  <c r="M42" i="144"/>
  <c r="N42" i="144" s="1"/>
  <c r="P42" i="144" s="1"/>
  <c r="T42" i="144" s="1"/>
  <c r="AJ42" i="144" s="1"/>
  <c r="M42" i="145"/>
  <c r="N42" i="145" s="1"/>
  <c r="P42" i="145" s="1"/>
  <c r="T42" i="145" s="1"/>
  <c r="AJ42" i="145" s="1"/>
  <c r="M33" i="144"/>
  <c r="N33" i="144" s="1"/>
  <c r="P33" i="144" s="1"/>
  <c r="T33" i="144" s="1"/>
  <c r="M42" i="146"/>
  <c r="N42" i="146" s="1"/>
  <c r="P42" i="146" s="1"/>
  <c r="T42" i="146" s="1"/>
  <c r="AJ42" i="146" s="1"/>
  <c r="M40" i="148"/>
  <c r="N40" i="148" s="1"/>
  <c r="P40" i="148" s="1"/>
  <c r="T40" i="148" s="1"/>
  <c r="AX66" i="1"/>
  <c r="M40" i="146"/>
  <c r="N40" i="146" s="1"/>
  <c r="P40" i="146" s="1"/>
  <c r="T40" i="146" s="1"/>
  <c r="M38" i="144"/>
  <c r="N38" i="144" s="1"/>
  <c r="P38" i="144" s="1"/>
  <c r="T38" i="144" s="1"/>
  <c r="M40" i="147"/>
  <c r="N40" i="147" s="1"/>
  <c r="P40" i="147" s="1"/>
  <c r="T40" i="147" s="1"/>
  <c r="M42" i="149"/>
  <c r="N42" i="149" s="1"/>
  <c r="P42" i="149" s="1"/>
  <c r="T42" i="149" s="1"/>
  <c r="AJ42" i="149" s="1"/>
  <c r="AV45" i="1"/>
  <c r="L8" i="148"/>
  <c r="N19" i="147"/>
  <c r="P19" i="147" s="1"/>
  <c r="T19" i="147" s="1"/>
  <c r="L54" i="151"/>
  <c r="M54" i="151" s="1"/>
  <c r="L33" i="147"/>
  <c r="M33" i="147" s="1"/>
  <c r="L18" i="152"/>
  <c r="M18" i="152" s="1"/>
  <c r="P19" i="141"/>
  <c r="Q19" i="141" s="1"/>
  <c r="E8" i="80"/>
  <c r="H8" i="80" s="1"/>
  <c r="I7" i="80"/>
  <c r="I38" i="76"/>
  <c r="N9" i="152"/>
  <c r="P9" i="152" s="1"/>
  <c r="T9" i="152" s="1"/>
  <c r="N18" i="153"/>
  <c r="P18" i="153" s="1"/>
  <c r="L39" i="145"/>
  <c r="M39" i="145" s="1"/>
  <c r="L19" i="146"/>
  <c r="AQ66" i="1"/>
  <c r="L64" i="31"/>
  <c r="N64" i="31" s="1"/>
  <c r="M63" i="129"/>
  <c r="N63" i="129" s="1"/>
  <c r="P63" i="129" s="1"/>
  <c r="AB63" i="33"/>
  <c r="M71" i="129"/>
  <c r="N71" i="129" s="1"/>
  <c r="P71" i="129" s="1"/>
  <c r="AB71" i="33"/>
  <c r="M12" i="129"/>
  <c r="N12" i="129" s="1"/>
  <c r="P12" i="129" s="1"/>
  <c r="AB12" i="33"/>
  <c r="M58" i="129"/>
  <c r="N58" i="129" s="1"/>
  <c r="P58" i="129" s="1"/>
  <c r="AB58" i="33"/>
  <c r="M34" i="129"/>
  <c r="N34" i="129" s="1"/>
  <c r="P34" i="129" s="1"/>
  <c r="AB34" i="33"/>
  <c r="M45" i="129"/>
  <c r="N45" i="129" s="1"/>
  <c r="P45" i="129" s="1"/>
  <c r="AB45" i="33"/>
  <c r="N18" i="146"/>
  <c r="P18" i="146" s="1"/>
  <c r="T18" i="146" s="1"/>
  <c r="N72" i="149"/>
  <c r="P72" i="149" s="1"/>
  <c r="T72" i="149" s="1"/>
  <c r="L67" i="148"/>
  <c r="N33" i="151"/>
  <c r="P33" i="151" s="1"/>
  <c r="N67" i="146"/>
  <c r="P67" i="146" s="1"/>
  <c r="T67" i="146" s="1"/>
  <c r="L33" i="145"/>
  <c r="E56" i="76"/>
  <c r="H56" i="76" s="1"/>
  <c r="N57" i="152"/>
  <c r="P57" i="152" s="1"/>
  <c r="T57" i="152" s="1"/>
  <c r="N67" i="149"/>
  <c r="P67" i="149" s="1"/>
  <c r="T67" i="149" s="1"/>
  <c r="L57" i="146"/>
  <c r="N39" i="153"/>
  <c r="P39" i="153" s="1"/>
  <c r="T39" i="153" s="1"/>
  <c r="L72" i="144"/>
  <c r="AV5" i="1"/>
  <c r="N39" i="151"/>
  <c r="P39" i="151" s="1"/>
  <c r="L9" i="146"/>
  <c r="N9" i="148"/>
  <c r="P9" i="148" s="1"/>
  <c r="T9" i="148" s="1"/>
  <c r="P9" i="141"/>
  <c r="Q9" i="141" s="1"/>
  <c r="D47" i="67"/>
  <c r="I66" i="80"/>
  <c r="L33" i="152"/>
  <c r="L9" i="153"/>
  <c r="L57" i="151"/>
  <c r="L18" i="148"/>
  <c r="L18" i="144"/>
  <c r="N33" i="148"/>
  <c r="P33" i="148" s="1"/>
  <c r="L39" i="146"/>
  <c r="L9" i="149"/>
  <c r="L57" i="145"/>
  <c r="L67" i="144"/>
  <c r="L31" i="151"/>
  <c r="AQ5" i="1"/>
  <c r="L9" i="147"/>
  <c r="I66" i="76"/>
  <c r="L57" i="148"/>
  <c r="N18" i="145"/>
  <c r="P18" i="145" s="1"/>
  <c r="T18" i="145" s="1"/>
  <c r="L39" i="147"/>
  <c r="N71" i="146"/>
  <c r="P71" i="146" s="1"/>
  <c r="AV7" i="1"/>
  <c r="I17" i="76"/>
  <c r="E17" i="80"/>
  <c r="H17" i="80" s="1"/>
  <c r="I38" i="80"/>
  <c r="L57" i="153"/>
  <c r="N31" i="153"/>
  <c r="P31" i="153" s="1"/>
  <c r="E8" i="76"/>
  <c r="H8" i="76" s="1"/>
  <c r="AX72" i="1"/>
  <c r="I56" i="80"/>
  <c r="AX7" i="1"/>
  <c r="I32" i="80"/>
  <c r="AX36" i="1"/>
  <c r="N33" i="146"/>
  <c r="P33" i="146" s="1"/>
  <c r="L18" i="147"/>
  <c r="N54" i="146"/>
  <c r="P54" i="146" s="1"/>
  <c r="N39" i="149"/>
  <c r="P39" i="149" s="1"/>
  <c r="N39" i="144"/>
  <c r="P39" i="144" s="1"/>
  <c r="AQ14" i="1"/>
  <c r="E53" i="76"/>
  <c r="H53" i="76" s="1"/>
  <c r="AV36" i="1"/>
  <c r="L57" i="147"/>
  <c r="N9" i="145"/>
  <c r="P9" i="145" s="1"/>
  <c r="T9" i="145" s="1"/>
  <c r="N33" i="149"/>
  <c r="P33" i="149" s="1"/>
  <c r="AX14" i="1"/>
  <c r="L31" i="147"/>
  <c r="L31" i="145"/>
  <c r="AQ6" i="1"/>
  <c r="AQ72" i="1"/>
  <c r="N54" i="147"/>
  <c r="P54" i="147" s="1"/>
  <c r="T54" i="147" s="1"/>
  <c r="L54" i="144"/>
  <c r="I53" i="80"/>
  <c r="L54" i="145"/>
  <c r="N54" i="148"/>
  <c r="P54" i="148" s="1"/>
  <c r="T54" i="148" s="1"/>
  <c r="N33" i="153"/>
  <c r="P33" i="153" s="1"/>
  <c r="N25" i="144"/>
  <c r="P25" i="144" s="1"/>
  <c r="T25" i="144" s="1"/>
  <c r="L25" i="149"/>
  <c r="P25" i="140"/>
  <c r="Q25" i="140" s="1"/>
  <c r="I30" i="76"/>
  <c r="L71" i="151"/>
  <c r="D24" i="67"/>
  <c r="E24" i="67" s="1"/>
  <c r="F24" i="67" s="1"/>
  <c r="N31" i="148"/>
  <c r="P31" i="148" s="1"/>
  <c r="L31" i="146"/>
  <c r="L31" i="144"/>
  <c r="M31" i="144" s="1"/>
  <c r="L31" i="149"/>
  <c r="M31" i="149" s="1"/>
  <c r="L25" i="146"/>
  <c r="P31" i="140"/>
  <c r="Q31" i="140" s="1"/>
  <c r="E24" i="80"/>
  <c r="H24" i="80" s="1"/>
  <c r="P23" i="140"/>
  <c r="Q23" i="140" s="1"/>
  <c r="AX56" i="1"/>
  <c r="N71" i="153"/>
  <c r="P71" i="153" s="1"/>
  <c r="T71" i="153" s="1"/>
  <c r="L71" i="152"/>
  <c r="I24" i="76"/>
  <c r="E72" i="31"/>
  <c r="L25" i="151"/>
  <c r="AX22" i="1"/>
  <c r="L25" i="152"/>
  <c r="N25" i="147"/>
  <c r="P25" i="147" s="1"/>
  <c r="AV22" i="1"/>
  <c r="L71" i="147"/>
  <c r="N71" i="148"/>
  <c r="P71" i="148" s="1"/>
  <c r="T71" i="148" s="1"/>
  <c r="N25" i="145"/>
  <c r="P25" i="145" s="1"/>
  <c r="I70" i="80"/>
  <c r="I70" i="76"/>
  <c r="N25" i="148"/>
  <c r="P25" i="148" s="1"/>
  <c r="L71" i="145"/>
  <c r="AX40" i="1"/>
  <c r="P71" i="141"/>
  <c r="Q71" i="141" s="1"/>
  <c r="L71" i="144"/>
  <c r="L71" i="149"/>
  <c r="P71" i="140"/>
  <c r="Q71" i="140" s="1"/>
  <c r="AQ40" i="1"/>
  <c r="P62" i="140"/>
  <c r="Q62" i="140" s="1"/>
  <c r="P62" i="141"/>
  <c r="Q62" i="141" s="1"/>
  <c r="R64" i="147"/>
  <c r="S64" i="147" s="1"/>
  <c r="P16" i="140"/>
  <c r="Q16" i="140" s="1"/>
  <c r="P37" i="140"/>
  <c r="Q37" i="140" s="1"/>
  <c r="AV56" i="1"/>
  <c r="D58" i="67"/>
  <c r="R53" i="152"/>
  <c r="S53" i="152" s="1"/>
  <c r="I44" i="76"/>
  <c r="P12" i="141"/>
  <c r="Q12" i="141" s="1"/>
  <c r="P58" i="141"/>
  <c r="Q58" i="141" s="1"/>
  <c r="P58" i="140"/>
  <c r="Q58" i="140" s="1"/>
  <c r="P34" i="141"/>
  <c r="Q34" i="141" s="1"/>
  <c r="P63" i="141"/>
  <c r="Q63" i="141" s="1"/>
  <c r="P63" i="140"/>
  <c r="Q63" i="140" s="1"/>
  <c r="D69" i="67"/>
  <c r="E69" i="67" s="1"/>
  <c r="F69" i="67" s="1"/>
  <c r="P70" i="140"/>
  <c r="Q70" i="140" s="1"/>
  <c r="L70" i="146"/>
  <c r="M70" i="146" s="1"/>
  <c r="L70" i="151"/>
  <c r="M70" i="151" s="1"/>
  <c r="E69" i="80"/>
  <c r="H69" i="80" s="1"/>
  <c r="I69" i="80"/>
  <c r="P70" i="141"/>
  <c r="Q70" i="141" s="1"/>
  <c r="L70" i="145"/>
  <c r="M70" i="145" s="1"/>
  <c r="L70" i="149"/>
  <c r="M70" i="149" s="1"/>
  <c r="L70" i="144"/>
  <c r="M70" i="144" s="1"/>
  <c r="P12" i="140"/>
  <c r="Q12" i="140" s="1"/>
  <c r="P34" i="140"/>
  <c r="Q34" i="140" s="1"/>
  <c r="R69" i="148"/>
  <c r="S69" i="148" s="1"/>
  <c r="AV67" i="1"/>
  <c r="AQ67" i="1"/>
  <c r="AX67" i="1"/>
  <c r="E69" i="76"/>
  <c r="H69" i="76" s="1"/>
  <c r="I69" i="76"/>
  <c r="L70" i="148"/>
  <c r="M70" i="148" s="1"/>
  <c r="L70" i="153"/>
  <c r="M70" i="153" s="1"/>
  <c r="L70" i="147"/>
  <c r="M70" i="147" s="1"/>
  <c r="L70" i="152"/>
  <c r="M70" i="152" s="1"/>
  <c r="P23" i="141"/>
  <c r="Q23" i="141" s="1"/>
  <c r="P45" i="141"/>
  <c r="Q45" i="141" s="1"/>
  <c r="P45" i="140"/>
  <c r="Q45" i="140" s="1"/>
  <c r="R29" i="144"/>
  <c r="S29" i="144" s="1"/>
  <c r="R40" i="151"/>
  <c r="S40" i="151" s="1"/>
  <c r="I62" i="80"/>
  <c r="I11" i="76"/>
  <c r="R64" i="153"/>
  <c r="S64" i="153" s="1"/>
  <c r="H36" i="81"/>
  <c r="R64" i="148"/>
  <c r="S64" i="148" s="1"/>
  <c r="R38" i="151"/>
  <c r="S38" i="151" s="1"/>
  <c r="R49" i="148"/>
  <c r="S49" i="148" s="1"/>
  <c r="R49" i="152"/>
  <c r="S49" i="152" s="1"/>
  <c r="N37" i="151"/>
  <c r="P37" i="151" s="1"/>
  <c r="N37" i="148"/>
  <c r="P37" i="148" s="1"/>
  <c r="T37" i="148" s="1"/>
  <c r="N37" i="146"/>
  <c r="P37" i="146" s="1"/>
  <c r="N43" i="152"/>
  <c r="P43" i="152" s="1"/>
  <c r="N43" i="146"/>
  <c r="P43" i="146" s="1"/>
  <c r="T43" i="146" s="1"/>
  <c r="N50" i="148"/>
  <c r="P50" i="148" s="1"/>
  <c r="T50" i="148" s="1"/>
  <c r="N50" i="147"/>
  <c r="P50" i="147" s="1"/>
  <c r="N26" i="152"/>
  <c r="P26" i="152" s="1"/>
  <c r="T26" i="152" s="1"/>
  <c r="N26" i="145"/>
  <c r="P26" i="145" s="1"/>
  <c r="N66" i="152"/>
  <c r="P66" i="152" s="1"/>
  <c r="N66" i="145"/>
  <c r="P66" i="145" s="1"/>
  <c r="T66" i="145" s="1"/>
  <c r="N21" i="145"/>
  <c r="P21" i="145" s="1"/>
  <c r="N21" i="147"/>
  <c r="P21" i="147" s="1"/>
  <c r="T21" i="147" s="1"/>
  <c r="N29" i="151"/>
  <c r="P29" i="151" s="1"/>
  <c r="N29" i="148"/>
  <c r="P29" i="148" s="1"/>
  <c r="N29" i="146"/>
  <c r="P29" i="146" s="1"/>
  <c r="N54" i="152"/>
  <c r="P54" i="152" s="1"/>
  <c r="N75" i="146"/>
  <c r="P75" i="146" s="1"/>
  <c r="N47" i="145"/>
  <c r="P47" i="145" s="1"/>
  <c r="N47" i="147"/>
  <c r="P47" i="147" s="1"/>
  <c r="T47" i="147" s="1"/>
  <c r="N68" i="152"/>
  <c r="P68" i="152" s="1"/>
  <c r="N68" i="148"/>
  <c r="P68" i="148" s="1"/>
  <c r="N8" i="151"/>
  <c r="P8" i="151" s="1"/>
  <c r="T8" i="151" s="1"/>
  <c r="N17" i="147"/>
  <c r="P17" i="147" s="1"/>
  <c r="N35" i="151"/>
  <c r="P35" i="151" s="1"/>
  <c r="N35" i="148"/>
  <c r="P35" i="148" s="1"/>
  <c r="T35" i="148" s="1"/>
  <c r="N35" i="146"/>
  <c r="P35" i="146" s="1"/>
  <c r="T35" i="146" s="1"/>
  <c r="N18" i="151"/>
  <c r="P18" i="151" s="1"/>
  <c r="T18" i="151" s="1"/>
  <c r="N16" i="151"/>
  <c r="P16" i="151" s="1"/>
  <c r="T16" i="151" s="1"/>
  <c r="N16" i="148"/>
  <c r="P16" i="148" s="1"/>
  <c r="N10" i="151"/>
  <c r="P10" i="151" s="1"/>
  <c r="N10" i="145"/>
  <c r="P10" i="145" s="1"/>
  <c r="T10" i="145" s="1"/>
  <c r="N30" i="146"/>
  <c r="P30" i="146" s="1"/>
  <c r="T30" i="146" s="1"/>
  <c r="N28" i="146"/>
  <c r="P28" i="146" s="1"/>
  <c r="T28" i="146" s="1"/>
  <c r="N27" i="148"/>
  <c r="P27" i="148" s="1"/>
  <c r="N36" i="148"/>
  <c r="P36" i="148" s="1"/>
  <c r="T36" i="148" s="1"/>
  <c r="N36" i="146"/>
  <c r="P36" i="146" s="1"/>
  <c r="N46" i="151"/>
  <c r="P46" i="151" s="1"/>
  <c r="N67" i="153"/>
  <c r="P67" i="153" s="1"/>
  <c r="N24" i="153"/>
  <c r="P24" i="153" s="1"/>
  <c r="T24" i="153" s="1"/>
  <c r="N24" i="146"/>
  <c r="P24" i="146" s="1"/>
  <c r="T24" i="146" s="1"/>
  <c r="N73" i="145"/>
  <c r="P73" i="145" s="1"/>
  <c r="N41" i="153"/>
  <c r="P41" i="153" s="1"/>
  <c r="T41" i="153" s="1"/>
  <c r="N41" i="149"/>
  <c r="P41" i="149" s="1"/>
  <c r="N11" i="148"/>
  <c r="P11" i="148" s="1"/>
  <c r="T11" i="148" s="1"/>
  <c r="N32" i="153"/>
  <c r="P32" i="153" s="1"/>
  <c r="T32" i="153" s="1"/>
  <c r="N20" i="153"/>
  <c r="P20" i="153" s="1"/>
  <c r="N20" i="149"/>
  <c r="P20" i="149" s="1"/>
  <c r="T20" i="149" s="1"/>
  <c r="N20" i="145"/>
  <c r="P20" i="145" s="1"/>
  <c r="N51" i="145"/>
  <c r="P51" i="145" s="1"/>
  <c r="T51" i="145" s="1"/>
  <c r="N52" i="151"/>
  <c r="P52" i="151" s="1"/>
  <c r="T52" i="151" s="1"/>
  <c r="N52" i="149"/>
  <c r="P52" i="149" s="1"/>
  <c r="N52" i="148"/>
  <c r="P52" i="148" s="1"/>
  <c r="N52" i="146"/>
  <c r="P52" i="146" s="1"/>
  <c r="N44" i="153"/>
  <c r="P44" i="153" s="1"/>
  <c r="T44" i="153" s="1"/>
  <c r="N44" i="151"/>
  <c r="P44" i="151" s="1"/>
  <c r="N44" i="149"/>
  <c r="P44" i="149" s="1"/>
  <c r="N44" i="147"/>
  <c r="P44" i="147" s="1"/>
  <c r="T44" i="147" s="1"/>
  <c r="N44" i="145"/>
  <c r="P44" i="145" s="1"/>
  <c r="T44" i="145" s="1"/>
  <c r="N56" i="153"/>
  <c r="P56" i="153" s="1"/>
  <c r="T56" i="153" s="1"/>
  <c r="N56" i="151"/>
  <c r="P56" i="151" s="1"/>
  <c r="N56" i="149"/>
  <c r="P56" i="149" s="1"/>
  <c r="N56" i="146"/>
  <c r="P56" i="146" s="1"/>
  <c r="N13" i="148"/>
  <c r="P13" i="148" s="1"/>
  <c r="T13" i="148" s="1"/>
  <c r="N23" i="145"/>
  <c r="P23" i="145" s="1"/>
  <c r="N23" i="147"/>
  <c r="P23" i="147" s="1"/>
  <c r="N62" i="151"/>
  <c r="P62" i="151" s="1"/>
  <c r="T62" i="151" s="1"/>
  <c r="N62" i="149"/>
  <c r="P62" i="149" s="1"/>
  <c r="N62" i="148"/>
  <c r="P62" i="148" s="1"/>
  <c r="N62" i="146"/>
  <c r="P62" i="146" s="1"/>
  <c r="N22" i="145"/>
  <c r="P22" i="145" s="1"/>
  <c r="N59" i="153"/>
  <c r="P59" i="153" s="1"/>
  <c r="N59" i="149"/>
  <c r="P59" i="149" s="1"/>
  <c r="R11" i="144"/>
  <c r="S11" i="144" s="1"/>
  <c r="N37" i="149"/>
  <c r="P37" i="149" s="1"/>
  <c r="N43" i="151"/>
  <c r="P43" i="151" s="1"/>
  <c r="N43" i="148"/>
  <c r="P43" i="148" s="1"/>
  <c r="T43" i="148" s="1"/>
  <c r="N43" i="147"/>
  <c r="P43" i="147" s="1"/>
  <c r="N50" i="151"/>
  <c r="P50" i="151" s="1"/>
  <c r="N50" i="149"/>
  <c r="P50" i="149" s="1"/>
  <c r="N50" i="146"/>
  <c r="P50" i="146" s="1"/>
  <c r="T50" i="146" s="1"/>
  <c r="N26" i="151"/>
  <c r="P26" i="151" s="1"/>
  <c r="N26" i="149"/>
  <c r="P26" i="149" s="1"/>
  <c r="N26" i="146"/>
  <c r="P26" i="146" s="1"/>
  <c r="N66" i="151"/>
  <c r="P66" i="151" s="1"/>
  <c r="N66" i="149"/>
  <c r="P66" i="149" s="1"/>
  <c r="T66" i="149" s="1"/>
  <c r="N66" i="146"/>
  <c r="P66" i="146" s="1"/>
  <c r="N21" i="148"/>
  <c r="P21" i="148" s="1"/>
  <c r="N29" i="149"/>
  <c r="P29" i="149" s="1"/>
  <c r="N54" i="153"/>
  <c r="P54" i="153" s="1"/>
  <c r="N54" i="149"/>
  <c r="P54" i="149" s="1"/>
  <c r="N75" i="145"/>
  <c r="P75" i="145" s="1"/>
  <c r="N47" i="152"/>
  <c r="P47" i="152" s="1"/>
  <c r="T47" i="152" s="1"/>
  <c r="N47" i="148"/>
  <c r="P47" i="148" s="1"/>
  <c r="N57" i="149"/>
  <c r="P57" i="149" s="1"/>
  <c r="N68" i="151"/>
  <c r="P68" i="151" s="1"/>
  <c r="N68" i="149"/>
  <c r="P68" i="149" s="1"/>
  <c r="N68" i="145"/>
  <c r="P68" i="145" s="1"/>
  <c r="N68" i="146"/>
  <c r="P68" i="146" s="1"/>
  <c r="N8" i="153"/>
  <c r="P8" i="153" s="1"/>
  <c r="N8" i="146"/>
  <c r="P8" i="146" s="1"/>
  <c r="N17" i="145"/>
  <c r="P17" i="145" s="1"/>
  <c r="T17" i="145" s="1"/>
  <c r="N17" i="146"/>
  <c r="P17" i="146" s="1"/>
  <c r="N35" i="153"/>
  <c r="P35" i="153" s="1"/>
  <c r="N35" i="149"/>
  <c r="P35" i="149" s="1"/>
  <c r="N18" i="149"/>
  <c r="P18" i="149" s="1"/>
  <c r="N65" i="147"/>
  <c r="P65" i="147" s="1"/>
  <c r="N16" i="153"/>
  <c r="P16" i="153" s="1"/>
  <c r="N16" i="149"/>
  <c r="P16" i="149" s="1"/>
  <c r="T16" i="149" s="1"/>
  <c r="N16" i="146"/>
  <c r="P16" i="146" s="1"/>
  <c r="T16" i="146" s="1"/>
  <c r="N10" i="149"/>
  <c r="P10" i="149" s="1"/>
  <c r="N10" i="146"/>
  <c r="P10" i="146" s="1"/>
  <c r="N30" i="153"/>
  <c r="P30" i="153" s="1"/>
  <c r="T30" i="153" s="1"/>
  <c r="N28" i="153"/>
  <c r="P28" i="153" s="1"/>
  <c r="N28" i="149"/>
  <c r="P28" i="149" s="1"/>
  <c r="N14" i="153"/>
  <c r="P14" i="153" s="1"/>
  <c r="N14" i="149"/>
  <c r="P14" i="149" s="1"/>
  <c r="N14" i="145"/>
  <c r="P14" i="145" s="1"/>
  <c r="T14" i="145" s="1"/>
  <c r="N14" i="146"/>
  <c r="P14" i="146" s="1"/>
  <c r="N27" i="151"/>
  <c r="P27" i="151" s="1"/>
  <c r="N27" i="147"/>
  <c r="P27" i="147" s="1"/>
  <c r="T27" i="147" s="1"/>
  <c r="N36" i="153"/>
  <c r="P36" i="153" s="1"/>
  <c r="T36" i="153" s="1"/>
  <c r="N36" i="149"/>
  <c r="P36" i="149" s="1"/>
  <c r="N46" i="152"/>
  <c r="P46" i="152" s="1"/>
  <c r="T46" i="152" s="1"/>
  <c r="N46" i="146"/>
  <c r="P46" i="146" s="1"/>
  <c r="T46" i="146" s="1"/>
  <c r="N46" i="149"/>
  <c r="P46" i="149" s="1"/>
  <c r="T46" i="149" s="1"/>
  <c r="N46" i="147"/>
  <c r="P46" i="147" s="1"/>
  <c r="N67" i="147"/>
  <c r="P67" i="147" s="1"/>
  <c r="N24" i="151"/>
  <c r="P24" i="151" s="1"/>
  <c r="N24" i="145"/>
  <c r="P24" i="145" s="1"/>
  <c r="N48" i="152"/>
  <c r="P48" i="152" s="1"/>
  <c r="N48" i="148"/>
  <c r="P48" i="148" s="1"/>
  <c r="T48" i="148" s="1"/>
  <c r="N48" i="147"/>
  <c r="P48" i="147" s="1"/>
  <c r="T48" i="147" s="1"/>
  <c r="N73" i="148"/>
  <c r="P73" i="148" s="1"/>
  <c r="N73" i="146"/>
  <c r="P73" i="146" s="1"/>
  <c r="T73" i="146" s="1"/>
  <c r="N41" i="151"/>
  <c r="P41" i="151" s="1"/>
  <c r="N41" i="148"/>
  <c r="P41" i="148" s="1"/>
  <c r="T41" i="148" s="1"/>
  <c r="N41" i="146"/>
  <c r="P41" i="146" s="1"/>
  <c r="N11" i="145"/>
  <c r="P11" i="145" s="1"/>
  <c r="T11" i="145" s="1"/>
  <c r="N11" i="147"/>
  <c r="P11" i="147" s="1"/>
  <c r="N32" i="152"/>
  <c r="P32" i="152" s="1"/>
  <c r="N32" i="146"/>
  <c r="P32" i="146" s="1"/>
  <c r="N20" i="146"/>
  <c r="P20" i="146" s="1"/>
  <c r="T20" i="146" s="1"/>
  <c r="N51" i="147"/>
  <c r="P51" i="147" s="1"/>
  <c r="T51" i="147" s="1"/>
  <c r="N19" i="148"/>
  <c r="P19" i="148" s="1"/>
  <c r="N44" i="148"/>
  <c r="P44" i="148" s="1"/>
  <c r="N44" i="146"/>
  <c r="P44" i="146" s="1"/>
  <c r="T44" i="146" s="1"/>
  <c r="N56" i="152"/>
  <c r="P56" i="152" s="1"/>
  <c r="T56" i="152" s="1"/>
  <c r="N56" i="148"/>
  <c r="P56" i="148" s="1"/>
  <c r="N56" i="147"/>
  <c r="P56" i="147" s="1"/>
  <c r="T56" i="147" s="1"/>
  <c r="N13" i="145"/>
  <c r="P13" i="145" s="1"/>
  <c r="N13" i="147"/>
  <c r="P13" i="147" s="1"/>
  <c r="N23" i="148"/>
  <c r="P23" i="148" s="1"/>
  <c r="N23" i="146"/>
  <c r="P23" i="146" s="1"/>
  <c r="T23" i="146" s="1"/>
  <c r="I33" i="76"/>
  <c r="I62" i="76"/>
  <c r="N62" i="152"/>
  <c r="P62" i="152" s="1"/>
  <c r="T62" i="152" s="1"/>
  <c r="N62" i="145"/>
  <c r="P62" i="145" s="1"/>
  <c r="T62" i="145" s="1"/>
  <c r="N22" i="153"/>
  <c r="P22" i="153" s="1"/>
  <c r="T22" i="153" s="1"/>
  <c r="N22" i="149"/>
  <c r="P22" i="149" s="1"/>
  <c r="N22" i="146"/>
  <c r="P22" i="146" s="1"/>
  <c r="T22" i="146" s="1"/>
  <c r="N59" i="145"/>
  <c r="P59" i="145" s="1"/>
  <c r="T59" i="145" s="1"/>
  <c r="N59" i="147"/>
  <c r="P59" i="147" s="1"/>
  <c r="T59" i="147" s="1"/>
  <c r="N59" i="144"/>
  <c r="P59" i="144" s="1"/>
  <c r="I44" i="80"/>
  <c r="N37" i="152"/>
  <c r="P37" i="152" s="1"/>
  <c r="T37" i="152" s="1"/>
  <c r="N43" i="149"/>
  <c r="P43" i="149" s="1"/>
  <c r="T43" i="149" s="1"/>
  <c r="N50" i="152"/>
  <c r="P50" i="152" s="1"/>
  <c r="T50" i="152" s="1"/>
  <c r="N26" i="147"/>
  <c r="P26" i="147" s="1"/>
  <c r="T26" i="147" s="1"/>
  <c r="N66" i="148"/>
  <c r="P66" i="148" s="1"/>
  <c r="T66" i="148" s="1"/>
  <c r="N21" i="151"/>
  <c r="P21" i="151" s="1"/>
  <c r="T21" i="151" s="1"/>
  <c r="N29" i="152"/>
  <c r="P29" i="152" s="1"/>
  <c r="T29" i="152" s="1"/>
  <c r="N60" i="152"/>
  <c r="P60" i="152" s="1"/>
  <c r="T60" i="152" s="1"/>
  <c r="N60" i="145"/>
  <c r="P60" i="145" s="1"/>
  <c r="T60" i="145" s="1"/>
  <c r="N60" i="147"/>
  <c r="P60" i="147" s="1"/>
  <c r="T60" i="147" s="1"/>
  <c r="N75" i="152"/>
  <c r="P75" i="152" s="1"/>
  <c r="T75" i="152" s="1"/>
  <c r="N75" i="148"/>
  <c r="P75" i="148" s="1"/>
  <c r="T75" i="148" s="1"/>
  <c r="N47" i="151"/>
  <c r="P47" i="151" s="1"/>
  <c r="T47" i="151" s="1"/>
  <c r="N68" i="147"/>
  <c r="P68" i="147" s="1"/>
  <c r="T68" i="147" s="1"/>
  <c r="N8" i="147"/>
  <c r="P8" i="147" s="1"/>
  <c r="T8" i="147" s="1"/>
  <c r="N17" i="151"/>
  <c r="P17" i="151" s="1"/>
  <c r="T17" i="151" s="1"/>
  <c r="N17" i="148"/>
  <c r="P17" i="148" s="1"/>
  <c r="T17" i="148" s="1"/>
  <c r="N35" i="152"/>
  <c r="P35" i="152" s="1"/>
  <c r="T35" i="152" s="1"/>
  <c r="N65" i="152"/>
  <c r="P65" i="152" s="1"/>
  <c r="T65" i="152" s="1"/>
  <c r="N65" i="148"/>
  <c r="P65" i="148" s="1"/>
  <c r="T65" i="148" s="1"/>
  <c r="N65" i="145"/>
  <c r="P65" i="145" s="1"/>
  <c r="T65" i="145" s="1"/>
  <c r="N16" i="147"/>
  <c r="P16" i="147" s="1"/>
  <c r="T16" i="147" s="1"/>
  <c r="N10" i="147"/>
  <c r="P10" i="147" s="1"/>
  <c r="T10" i="147" s="1"/>
  <c r="N30" i="152"/>
  <c r="P30" i="152" s="1"/>
  <c r="T30" i="152" s="1"/>
  <c r="N30" i="151"/>
  <c r="P30" i="151" s="1"/>
  <c r="T30" i="151" s="1"/>
  <c r="N30" i="148"/>
  <c r="P30" i="148" s="1"/>
  <c r="T30" i="148" s="1"/>
  <c r="N28" i="152"/>
  <c r="P28" i="152" s="1"/>
  <c r="T28" i="152" s="1"/>
  <c r="N28" i="151"/>
  <c r="P28" i="151" s="1"/>
  <c r="T28" i="151" s="1"/>
  <c r="N28" i="148"/>
  <c r="P28" i="148" s="1"/>
  <c r="T28" i="148" s="1"/>
  <c r="N14" i="151"/>
  <c r="P14" i="151" s="1"/>
  <c r="T14" i="151" s="1"/>
  <c r="N14" i="148"/>
  <c r="P14" i="148" s="1"/>
  <c r="T14" i="148" s="1"/>
  <c r="N14" i="147"/>
  <c r="P14" i="147" s="1"/>
  <c r="T14" i="147" s="1"/>
  <c r="N72" i="152"/>
  <c r="P72" i="152" s="1"/>
  <c r="T72" i="152" s="1"/>
  <c r="N72" i="148"/>
  <c r="P72" i="148" s="1"/>
  <c r="T72" i="148" s="1"/>
  <c r="N72" i="146"/>
  <c r="P72" i="146" s="1"/>
  <c r="T72" i="146" s="1"/>
  <c r="N39" i="152"/>
  <c r="P39" i="152" s="1"/>
  <c r="T39" i="152" s="1"/>
  <c r="N39" i="148"/>
  <c r="P39" i="148" s="1"/>
  <c r="T39" i="148" s="1"/>
  <c r="N27" i="152"/>
  <c r="P27" i="152" s="1"/>
  <c r="T27" i="152" s="1"/>
  <c r="N27" i="146"/>
  <c r="P27" i="146" s="1"/>
  <c r="T27" i="146" s="1"/>
  <c r="N36" i="152"/>
  <c r="P36" i="152" s="1"/>
  <c r="T36" i="152" s="1"/>
  <c r="N36" i="151"/>
  <c r="P36" i="151" s="1"/>
  <c r="T36" i="151" s="1"/>
  <c r="N46" i="145"/>
  <c r="P46" i="145" s="1"/>
  <c r="T46" i="145" s="1"/>
  <c r="N46" i="148"/>
  <c r="P46" i="148" s="1"/>
  <c r="T46" i="148" s="1"/>
  <c r="R64" i="146"/>
  <c r="S64" i="146" s="1"/>
  <c r="R64" i="151"/>
  <c r="S64" i="151" s="1"/>
  <c r="R69" i="146"/>
  <c r="S69" i="146" s="1"/>
  <c r="R69" i="149"/>
  <c r="S69" i="149" s="1"/>
  <c r="R69" i="153"/>
  <c r="S69" i="153" s="1"/>
  <c r="R55" i="148"/>
  <c r="S55" i="148" s="1"/>
  <c r="R38" i="153"/>
  <c r="S38" i="153" s="1"/>
  <c r="R49" i="149"/>
  <c r="S49" i="149" s="1"/>
  <c r="N67" i="151"/>
  <c r="P67" i="151" s="1"/>
  <c r="T67" i="151" s="1"/>
  <c r="N67" i="145"/>
  <c r="P67" i="145" s="1"/>
  <c r="T67" i="145" s="1"/>
  <c r="N24" i="152"/>
  <c r="P24" i="152" s="1"/>
  <c r="T24" i="152" s="1"/>
  <c r="N24" i="149"/>
  <c r="P24" i="149" s="1"/>
  <c r="T24" i="149" s="1"/>
  <c r="N24" i="148"/>
  <c r="P24" i="148" s="1"/>
  <c r="T24" i="148" s="1"/>
  <c r="N48" i="153"/>
  <c r="P48" i="153" s="1"/>
  <c r="T48" i="153" s="1"/>
  <c r="N48" i="151"/>
  <c r="P48" i="151" s="1"/>
  <c r="T48" i="151" s="1"/>
  <c r="N48" i="149"/>
  <c r="P48" i="149" s="1"/>
  <c r="T48" i="149" s="1"/>
  <c r="N48" i="145"/>
  <c r="P48" i="145" s="1"/>
  <c r="T48" i="145" s="1"/>
  <c r="N48" i="146"/>
  <c r="P48" i="146" s="1"/>
  <c r="T48" i="146" s="1"/>
  <c r="N73" i="153"/>
  <c r="P73" i="153" s="1"/>
  <c r="T73" i="153" s="1"/>
  <c r="N73" i="151"/>
  <c r="P73" i="151" s="1"/>
  <c r="T73" i="151" s="1"/>
  <c r="N73" i="149"/>
  <c r="P73" i="149" s="1"/>
  <c r="T73" i="149" s="1"/>
  <c r="N73" i="147"/>
  <c r="P73" i="147" s="1"/>
  <c r="T73" i="147" s="1"/>
  <c r="N41" i="147"/>
  <c r="P41" i="147" s="1"/>
  <c r="T41" i="147" s="1"/>
  <c r="N41" i="145"/>
  <c r="P41" i="145" s="1"/>
  <c r="T41" i="145" s="1"/>
  <c r="N11" i="153"/>
  <c r="P11" i="153" s="1"/>
  <c r="T11" i="153" s="1"/>
  <c r="N11" i="152"/>
  <c r="P11" i="152" s="1"/>
  <c r="T11" i="152" s="1"/>
  <c r="N11" i="149"/>
  <c r="P11" i="149" s="1"/>
  <c r="T11" i="149" s="1"/>
  <c r="N11" i="146"/>
  <c r="P11" i="146" s="1"/>
  <c r="T11" i="146" s="1"/>
  <c r="N32" i="149"/>
  <c r="P32" i="149" s="1"/>
  <c r="T32" i="149" s="1"/>
  <c r="N32" i="147"/>
  <c r="P32" i="147" s="1"/>
  <c r="T32" i="147" s="1"/>
  <c r="N32" i="145"/>
  <c r="P32" i="145" s="1"/>
  <c r="T32" i="145" s="1"/>
  <c r="N20" i="152"/>
  <c r="P20" i="152" s="1"/>
  <c r="T20" i="152" s="1"/>
  <c r="N20" i="147"/>
  <c r="P20" i="147" s="1"/>
  <c r="T20" i="147" s="1"/>
  <c r="N51" i="153"/>
  <c r="P51" i="153" s="1"/>
  <c r="T51" i="153" s="1"/>
  <c r="N51" i="151"/>
  <c r="P51" i="151" s="1"/>
  <c r="T51" i="151" s="1"/>
  <c r="N51" i="149"/>
  <c r="P51" i="149" s="1"/>
  <c r="T51" i="149" s="1"/>
  <c r="N51" i="146"/>
  <c r="P51" i="146" s="1"/>
  <c r="T51" i="146" s="1"/>
  <c r="N52" i="153"/>
  <c r="P52" i="153" s="1"/>
  <c r="T52" i="153" s="1"/>
  <c r="N19" i="153"/>
  <c r="P19" i="153" s="1"/>
  <c r="T19" i="153" s="1"/>
  <c r="N19" i="152"/>
  <c r="P19" i="152" s="1"/>
  <c r="T19" i="152" s="1"/>
  <c r="N19" i="149"/>
  <c r="P19" i="149" s="1"/>
  <c r="T19" i="149" s="1"/>
  <c r="N19" i="145"/>
  <c r="P19" i="145" s="1"/>
  <c r="T19" i="145" s="1"/>
  <c r="N56" i="145"/>
  <c r="P56" i="145" s="1"/>
  <c r="T56" i="145" s="1"/>
  <c r="N13" i="153"/>
  <c r="P13" i="153" s="1"/>
  <c r="T13" i="153" s="1"/>
  <c r="N13" i="152"/>
  <c r="P13" i="152" s="1"/>
  <c r="T13" i="152" s="1"/>
  <c r="N13" i="149"/>
  <c r="P13" i="149" s="1"/>
  <c r="T13" i="149" s="1"/>
  <c r="N13" i="146"/>
  <c r="P13" i="146" s="1"/>
  <c r="T13" i="146" s="1"/>
  <c r="N25" i="153"/>
  <c r="P25" i="153" s="1"/>
  <c r="T25" i="153" s="1"/>
  <c r="N23" i="151"/>
  <c r="P23" i="151" s="1"/>
  <c r="T23" i="151" s="1"/>
  <c r="N62" i="153"/>
  <c r="P62" i="153" s="1"/>
  <c r="T62" i="153" s="1"/>
  <c r="N22" i="151"/>
  <c r="P22" i="151" s="1"/>
  <c r="T22" i="151" s="1"/>
  <c r="N22" i="147"/>
  <c r="P22" i="147" s="1"/>
  <c r="T22" i="147" s="1"/>
  <c r="N59" i="151"/>
  <c r="P59" i="151" s="1"/>
  <c r="T59" i="151" s="1"/>
  <c r="N59" i="148"/>
  <c r="P59" i="148" s="1"/>
  <c r="T59" i="148" s="1"/>
  <c r="N59" i="146"/>
  <c r="P59" i="146" s="1"/>
  <c r="T59" i="146" s="1"/>
  <c r="R64" i="145"/>
  <c r="S64" i="145" s="1"/>
  <c r="R42" i="148"/>
  <c r="S42" i="148" s="1"/>
  <c r="AK42" i="148" s="1"/>
  <c r="R53" i="145"/>
  <c r="S53" i="145" s="1"/>
  <c r="R69" i="152"/>
  <c r="S69" i="152" s="1"/>
  <c r="R55" i="145"/>
  <c r="S55" i="145" s="1"/>
  <c r="R38" i="148"/>
  <c r="S38" i="148" s="1"/>
  <c r="L12" i="146"/>
  <c r="M12" i="146" s="1"/>
  <c r="L12" i="148"/>
  <c r="M12" i="148" s="1"/>
  <c r="L12" i="149"/>
  <c r="M12" i="149" s="1"/>
  <c r="L12" i="152"/>
  <c r="M12" i="152" s="1"/>
  <c r="L12" i="153"/>
  <c r="M12" i="153" s="1"/>
  <c r="N37" i="153"/>
  <c r="P37" i="153" s="1"/>
  <c r="T37" i="153" s="1"/>
  <c r="N37" i="147"/>
  <c r="P37" i="147" s="1"/>
  <c r="T37" i="147" s="1"/>
  <c r="N37" i="145"/>
  <c r="P37" i="145" s="1"/>
  <c r="T37" i="145" s="1"/>
  <c r="N43" i="153"/>
  <c r="P43" i="153" s="1"/>
  <c r="T43" i="153" s="1"/>
  <c r="N43" i="145"/>
  <c r="P43" i="145" s="1"/>
  <c r="T43" i="145" s="1"/>
  <c r="N50" i="153"/>
  <c r="P50" i="153" s="1"/>
  <c r="T50" i="153" s="1"/>
  <c r="N50" i="145"/>
  <c r="P50" i="145" s="1"/>
  <c r="T50" i="145" s="1"/>
  <c r="N26" i="153"/>
  <c r="P26" i="153" s="1"/>
  <c r="T26" i="153" s="1"/>
  <c r="N26" i="148"/>
  <c r="P26" i="148" s="1"/>
  <c r="T26" i="148" s="1"/>
  <c r="N66" i="153"/>
  <c r="P66" i="153" s="1"/>
  <c r="T66" i="153" s="1"/>
  <c r="N66" i="147"/>
  <c r="P66" i="147" s="1"/>
  <c r="T66" i="147" s="1"/>
  <c r="N21" i="153"/>
  <c r="P21" i="153" s="1"/>
  <c r="T21" i="153" s="1"/>
  <c r="N21" i="152"/>
  <c r="P21" i="152" s="1"/>
  <c r="T21" i="152" s="1"/>
  <c r="N21" i="149"/>
  <c r="P21" i="149" s="1"/>
  <c r="T21" i="149" s="1"/>
  <c r="N21" i="146"/>
  <c r="P21" i="146" s="1"/>
  <c r="T21" i="146" s="1"/>
  <c r="N29" i="153"/>
  <c r="P29" i="153" s="1"/>
  <c r="T29" i="153" s="1"/>
  <c r="N29" i="147"/>
  <c r="P29" i="147" s="1"/>
  <c r="T29" i="147" s="1"/>
  <c r="N29" i="145"/>
  <c r="P29" i="145" s="1"/>
  <c r="T29" i="145" s="1"/>
  <c r="N60" i="153"/>
  <c r="P60" i="153" s="1"/>
  <c r="T60" i="153" s="1"/>
  <c r="N60" i="151"/>
  <c r="P60" i="151" s="1"/>
  <c r="T60" i="151" s="1"/>
  <c r="N60" i="149"/>
  <c r="P60" i="149" s="1"/>
  <c r="T60" i="149" s="1"/>
  <c r="N60" i="148"/>
  <c r="P60" i="148" s="1"/>
  <c r="T60" i="148" s="1"/>
  <c r="N60" i="146"/>
  <c r="P60" i="146" s="1"/>
  <c r="T60" i="146" s="1"/>
  <c r="N75" i="153"/>
  <c r="P75" i="153" s="1"/>
  <c r="T75" i="153" s="1"/>
  <c r="N75" i="151"/>
  <c r="P75" i="151" s="1"/>
  <c r="T75" i="151" s="1"/>
  <c r="N75" i="149"/>
  <c r="P75" i="149" s="1"/>
  <c r="T75" i="149" s="1"/>
  <c r="N75" i="147"/>
  <c r="P75" i="147" s="1"/>
  <c r="T75" i="147" s="1"/>
  <c r="N47" i="153"/>
  <c r="P47" i="153" s="1"/>
  <c r="T47" i="153" s="1"/>
  <c r="N47" i="149"/>
  <c r="P47" i="149" s="1"/>
  <c r="T47" i="149" s="1"/>
  <c r="N47" i="146"/>
  <c r="P47" i="146" s="1"/>
  <c r="T47" i="146" s="1"/>
  <c r="N68" i="153"/>
  <c r="P68" i="153" s="1"/>
  <c r="T68" i="153" s="1"/>
  <c r="N8" i="152"/>
  <c r="P8" i="152" s="1"/>
  <c r="T8" i="152" s="1"/>
  <c r="N8" i="149"/>
  <c r="P8" i="149" s="1"/>
  <c r="T8" i="149" s="1"/>
  <c r="N8" i="145"/>
  <c r="P8" i="145" s="1"/>
  <c r="T8" i="145" s="1"/>
  <c r="N17" i="153"/>
  <c r="P17" i="153" s="1"/>
  <c r="T17" i="153" s="1"/>
  <c r="N17" i="152"/>
  <c r="P17" i="152" s="1"/>
  <c r="T17" i="152" s="1"/>
  <c r="N17" i="149"/>
  <c r="P17" i="149" s="1"/>
  <c r="T17" i="149" s="1"/>
  <c r="N35" i="147"/>
  <c r="P35" i="147" s="1"/>
  <c r="T35" i="147" s="1"/>
  <c r="N35" i="145"/>
  <c r="P35" i="145" s="1"/>
  <c r="T35" i="145" s="1"/>
  <c r="N65" i="153"/>
  <c r="P65" i="153" s="1"/>
  <c r="T65" i="153" s="1"/>
  <c r="N65" i="151"/>
  <c r="P65" i="151" s="1"/>
  <c r="T65" i="151" s="1"/>
  <c r="N65" i="149"/>
  <c r="P65" i="149" s="1"/>
  <c r="T65" i="149" s="1"/>
  <c r="N65" i="146"/>
  <c r="P65" i="146" s="1"/>
  <c r="T65" i="146" s="1"/>
  <c r="N16" i="152"/>
  <c r="P16" i="152" s="1"/>
  <c r="T16" i="152" s="1"/>
  <c r="N16" i="145"/>
  <c r="P16" i="145" s="1"/>
  <c r="T16" i="145" s="1"/>
  <c r="N10" i="153"/>
  <c r="P10" i="153" s="1"/>
  <c r="T10" i="153" s="1"/>
  <c r="N10" i="152"/>
  <c r="P10" i="152" s="1"/>
  <c r="T10" i="152" s="1"/>
  <c r="N10" i="148"/>
  <c r="P10" i="148" s="1"/>
  <c r="T10" i="148" s="1"/>
  <c r="N30" i="149"/>
  <c r="P30" i="149" s="1"/>
  <c r="T30" i="149" s="1"/>
  <c r="N30" i="147"/>
  <c r="P30" i="147" s="1"/>
  <c r="T30" i="147" s="1"/>
  <c r="N30" i="145"/>
  <c r="P30" i="145" s="1"/>
  <c r="T30" i="145" s="1"/>
  <c r="N28" i="147"/>
  <c r="P28" i="147" s="1"/>
  <c r="T28" i="147" s="1"/>
  <c r="N28" i="145"/>
  <c r="P28" i="145" s="1"/>
  <c r="T28" i="145" s="1"/>
  <c r="N14" i="152"/>
  <c r="P14" i="152" s="1"/>
  <c r="T14" i="152" s="1"/>
  <c r="N72" i="153"/>
  <c r="P72" i="153" s="1"/>
  <c r="T72" i="153" s="1"/>
  <c r="N72" i="151"/>
  <c r="P72" i="151" s="1"/>
  <c r="T72" i="151" s="1"/>
  <c r="N72" i="147"/>
  <c r="P72" i="147" s="1"/>
  <c r="T72" i="147" s="1"/>
  <c r="N72" i="145"/>
  <c r="P72" i="145" s="1"/>
  <c r="T72" i="145" s="1"/>
  <c r="N27" i="153"/>
  <c r="P27" i="153" s="1"/>
  <c r="T27" i="153" s="1"/>
  <c r="N27" i="149"/>
  <c r="P27" i="149" s="1"/>
  <c r="T27" i="149" s="1"/>
  <c r="N27" i="145"/>
  <c r="P27" i="145" s="1"/>
  <c r="T27" i="145" s="1"/>
  <c r="N36" i="147"/>
  <c r="P36" i="147" s="1"/>
  <c r="T36" i="147" s="1"/>
  <c r="N36" i="145"/>
  <c r="P36" i="145" s="1"/>
  <c r="T36" i="145" s="1"/>
  <c r="N46" i="153"/>
  <c r="P46" i="153" s="1"/>
  <c r="T46" i="153" s="1"/>
  <c r="N67" i="152"/>
  <c r="P67" i="152" s="1"/>
  <c r="T67" i="152" s="1"/>
  <c r="N24" i="147"/>
  <c r="P24" i="147" s="1"/>
  <c r="T24" i="147" s="1"/>
  <c r="N9" i="151"/>
  <c r="P9" i="151" s="1"/>
  <c r="T9" i="151" s="1"/>
  <c r="N73" i="152"/>
  <c r="P73" i="152" s="1"/>
  <c r="T73" i="152" s="1"/>
  <c r="N41" i="152"/>
  <c r="P41" i="152" s="1"/>
  <c r="T41" i="152" s="1"/>
  <c r="N11" i="151"/>
  <c r="P11" i="151" s="1"/>
  <c r="T11" i="151" s="1"/>
  <c r="N32" i="151"/>
  <c r="P32" i="151" s="1"/>
  <c r="T32" i="151" s="1"/>
  <c r="N32" i="148"/>
  <c r="P32" i="148" s="1"/>
  <c r="T32" i="148" s="1"/>
  <c r="N20" i="151"/>
  <c r="P20" i="151" s="1"/>
  <c r="T20" i="151" s="1"/>
  <c r="N20" i="148"/>
  <c r="P20" i="148" s="1"/>
  <c r="T20" i="148" s="1"/>
  <c r="N51" i="152"/>
  <c r="P51" i="152" s="1"/>
  <c r="T51" i="152" s="1"/>
  <c r="N51" i="148"/>
  <c r="P51" i="148" s="1"/>
  <c r="T51" i="148" s="1"/>
  <c r="N52" i="152"/>
  <c r="P52" i="152" s="1"/>
  <c r="T52" i="152" s="1"/>
  <c r="N52" i="145"/>
  <c r="P52" i="145" s="1"/>
  <c r="T52" i="145" s="1"/>
  <c r="N52" i="147"/>
  <c r="P52" i="147" s="1"/>
  <c r="T52" i="147" s="1"/>
  <c r="N19" i="151"/>
  <c r="P19" i="151" s="1"/>
  <c r="T19" i="151" s="1"/>
  <c r="N44" i="152"/>
  <c r="P44" i="152" s="1"/>
  <c r="T44" i="152" s="1"/>
  <c r="N13" i="151"/>
  <c r="P13" i="151" s="1"/>
  <c r="T13" i="151" s="1"/>
  <c r="N23" i="153"/>
  <c r="P23" i="153" s="1"/>
  <c r="T23" i="153" s="1"/>
  <c r="N23" i="152"/>
  <c r="P23" i="152" s="1"/>
  <c r="T23" i="152" s="1"/>
  <c r="N23" i="149"/>
  <c r="P23" i="149" s="1"/>
  <c r="T23" i="149" s="1"/>
  <c r="N62" i="147"/>
  <c r="P62" i="147" s="1"/>
  <c r="T62" i="147" s="1"/>
  <c r="N22" i="152"/>
  <c r="P22" i="152" s="1"/>
  <c r="T22" i="152" s="1"/>
  <c r="N22" i="148"/>
  <c r="P22" i="148" s="1"/>
  <c r="T22" i="148" s="1"/>
  <c r="N59" i="152"/>
  <c r="P59" i="152" s="1"/>
  <c r="T59" i="152" s="1"/>
  <c r="L34" i="145"/>
  <c r="M34" i="145" s="1"/>
  <c r="L34" i="147"/>
  <c r="M34" i="147" s="1"/>
  <c r="L34" i="149"/>
  <c r="M34" i="149" s="1"/>
  <c r="L34" i="153"/>
  <c r="M34" i="153" s="1"/>
  <c r="L63" i="147"/>
  <c r="M63" i="147" s="1"/>
  <c r="L63" i="148"/>
  <c r="M63" i="148" s="1"/>
  <c r="L63" i="152"/>
  <c r="M63" i="152" s="1"/>
  <c r="L58" i="146"/>
  <c r="M58" i="146" s="1"/>
  <c r="L58" i="145"/>
  <c r="M58" i="145" s="1"/>
  <c r="L58" i="149"/>
  <c r="M58" i="149" s="1"/>
  <c r="L58" i="151"/>
  <c r="M58" i="151" s="1"/>
  <c r="L58" i="153"/>
  <c r="M58" i="153" s="1"/>
  <c r="L45" i="147"/>
  <c r="M45" i="147" s="1"/>
  <c r="L45" i="149"/>
  <c r="M45" i="149" s="1"/>
  <c r="L45" i="152"/>
  <c r="M45" i="152" s="1"/>
  <c r="R64" i="149"/>
  <c r="S64" i="149" s="1"/>
  <c r="R40" i="153"/>
  <c r="S40" i="153" s="1"/>
  <c r="R53" i="148"/>
  <c r="S53" i="148" s="1"/>
  <c r="R69" i="145"/>
  <c r="S69" i="145" s="1"/>
  <c r="R69" i="151"/>
  <c r="S69" i="151" s="1"/>
  <c r="R55" i="146"/>
  <c r="S55" i="146" s="1"/>
  <c r="R55" i="149"/>
  <c r="S55" i="149" s="1"/>
  <c r="R49" i="145"/>
  <c r="S49" i="145" s="1"/>
  <c r="R49" i="153"/>
  <c r="S49" i="153" s="1"/>
  <c r="R64" i="152"/>
  <c r="S64" i="152" s="1"/>
  <c r="R42" i="151"/>
  <c r="S42" i="151" s="1"/>
  <c r="AK42" i="151" s="1"/>
  <c r="R69" i="147"/>
  <c r="S69" i="147" s="1"/>
  <c r="R55" i="147"/>
  <c r="S55" i="147" s="1"/>
  <c r="R38" i="146"/>
  <c r="S38" i="146" s="1"/>
  <c r="R49" i="147"/>
  <c r="S49" i="147" s="1"/>
  <c r="L12" i="147"/>
  <c r="M12" i="147" s="1"/>
  <c r="L12" i="145"/>
  <c r="M12" i="145" s="1"/>
  <c r="L12" i="151"/>
  <c r="M12" i="151" s="1"/>
  <c r="L34" i="146"/>
  <c r="M34" i="146" s="1"/>
  <c r="L34" i="148"/>
  <c r="M34" i="148" s="1"/>
  <c r="L34" i="151"/>
  <c r="M34" i="151" s="1"/>
  <c r="L34" i="152"/>
  <c r="M34" i="152" s="1"/>
  <c r="L63" i="146"/>
  <c r="M63" i="146" s="1"/>
  <c r="L63" i="145"/>
  <c r="M63" i="145" s="1"/>
  <c r="L63" i="149"/>
  <c r="M63" i="149" s="1"/>
  <c r="L63" i="151"/>
  <c r="M63" i="151" s="1"/>
  <c r="L63" i="153"/>
  <c r="M63" i="153" s="1"/>
  <c r="L58" i="147"/>
  <c r="M58" i="147" s="1"/>
  <c r="L58" i="148"/>
  <c r="M58" i="148" s="1"/>
  <c r="L58" i="152"/>
  <c r="M58" i="152" s="1"/>
  <c r="L45" i="145"/>
  <c r="M45" i="145" s="1"/>
  <c r="L45" i="148"/>
  <c r="M45" i="148" s="1"/>
  <c r="L45" i="146"/>
  <c r="M45" i="146" s="1"/>
  <c r="L45" i="151"/>
  <c r="M45" i="151" s="1"/>
  <c r="L45" i="153"/>
  <c r="M45" i="153" s="1"/>
  <c r="R75" i="144"/>
  <c r="S75" i="144" s="1"/>
  <c r="R17" i="144"/>
  <c r="S17" i="144" s="1"/>
  <c r="I11" i="80"/>
  <c r="AQ9" i="1"/>
  <c r="AV9" i="1"/>
  <c r="AX9" i="1"/>
  <c r="D11" i="67"/>
  <c r="I57" i="76"/>
  <c r="R50" i="144"/>
  <c r="S50" i="144" s="1"/>
  <c r="N22" i="144"/>
  <c r="P22" i="144" s="1"/>
  <c r="T22" i="144" s="1"/>
  <c r="D44" i="67"/>
  <c r="I33" i="80"/>
  <c r="L34" i="144"/>
  <c r="M34" i="144" s="1"/>
  <c r="D33" i="67"/>
  <c r="E33" i="67" s="1"/>
  <c r="F33" i="67" s="1"/>
  <c r="N46" i="144"/>
  <c r="P46" i="144" s="1"/>
  <c r="T46" i="144" s="1"/>
  <c r="L45" i="144"/>
  <c r="M45" i="144" s="1"/>
  <c r="R13" i="144"/>
  <c r="S13" i="144" s="1"/>
  <c r="L12" i="144"/>
  <c r="M12" i="144" s="1"/>
  <c r="AQ60" i="1"/>
  <c r="AV60" i="1"/>
  <c r="AX60" i="1"/>
  <c r="D62" i="67"/>
  <c r="L58" i="144"/>
  <c r="M58" i="144" s="1"/>
  <c r="R43" i="144"/>
  <c r="S43" i="144" s="1"/>
  <c r="AV42" i="1"/>
  <c r="AX42" i="1"/>
  <c r="AQ31" i="1"/>
  <c r="AX31" i="1"/>
  <c r="AV31" i="1"/>
  <c r="L63" i="144"/>
  <c r="M63" i="144" s="1"/>
  <c r="AV55" i="1"/>
  <c r="AX55" i="1"/>
  <c r="D57" i="67"/>
  <c r="E57" i="67" s="1"/>
  <c r="F57" i="67" s="1"/>
  <c r="N23" i="144"/>
  <c r="P23" i="144" s="1"/>
  <c r="T23" i="144" s="1"/>
  <c r="N62" i="144"/>
  <c r="P62" i="144" s="1"/>
  <c r="T62" i="144" s="1"/>
  <c r="E7" i="141"/>
  <c r="E7" i="140"/>
  <c r="G29" i="139"/>
  <c r="H29" i="139"/>
  <c r="W63" i="67"/>
  <c r="D61" i="72" s="1"/>
  <c r="W42" i="67"/>
  <c r="D40" i="72" s="1"/>
  <c r="W37" i="67"/>
  <c r="D35" i="72" s="1"/>
  <c r="W26" i="67"/>
  <c r="D24" i="72" s="1"/>
  <c r="W23" i="67"/>
  <c r="D21" i="72" s="1"/>
  <c r="W22" i="67"/>
  <c r="D20" i="72" s="1"/>
  <c r="W16" i="67"/>
  <c r="D14" i="72" s="1"/>
  <c r="W46" i="67"/>
  <c r="D44" i="72" s="1"/>
  <c r="W58" i="67"/>
  <c r="D56" i="72" s="1"/>
  <c r="W57" i="67"/>
  <c r="D55" i="72" s="1"/>
  <c r="W71" i="67"/>
  <c r="D69" i="72" s="1"/>
  <c r="W28" i="67"/>
  <c r="D26" i="72" s="1"/>
  <c r="V19" i="67"/>
  <c r="D17" i="100"/>
  <c r="V13" i="67"/>
  <c r="D11" i="100"/>
  <c r="V8" i="67"/>
  <c r="D6" i="100"/>
  <c r="V56" i="67"/>
  <c r="D54" i="100"/>
  <c r="V35" i="67"/>
  <c r="D33" i="100"/>
  <c r="V65" i="67"/>
  <c r="D63" i="100"/>
  <c r="V64" i="67"/>
  <c r="D62" i="100"/>
  <c r="V47" i="67"/>
  <c r="D45" i="100"/>
  <c r="V25" i="67"/>
  <c r="D23" i="100"/>
  <c r="V31" i="67"/>
  <c r="D29" i="100"/>
  <c r="V20" i="67"/>
  <c r="D18" i="100"/>
  <c r="V9" i="67"/>
  <c r="D7" i="100"/>
  <c r="V10" i="67"/>
  <c r="D8" i="100"/>
  <c r="V59" i="67"/>
  <c r="D57" i="100"/>
  <c r="V36" i="67"/>
  <c r="D34" i="100"/>
  <c r="V43" i="67"/>
  <c r="D41" i="100"/>
  <c r="V38" i="67"/>
  <c r="D36" i="100"/>
  <c r="V53" i="67"/>
  <c r="D51" i="100"/>
  <c r="V50" i="67"/>
  <c r="D48" i="100"/>
  <c r="V72" i="67"/>
  <c r="D70" i="100"/>
  <c r="V74" i="67"/>
  <c r="D72" i="100"/>
  <c r="V54" i="67"/>
  <c r="D52" i="100"/>
  <c r="V51" i="67"/>
  <c r="D49" i="100"/>
  <c r="V32" i="67"/>
  <c r="D30" i="100"/>
  <c r="V49" i="67"/>
  <c r="D47" i="100"/>
  <c r="V48" i="67"/>
  <c r="D46" i="100"/>
  <c r="V24" i="67"/>
  <c r="D22" i="100"/>
  <c r="V29" i="67"/>
  <c r="D27" i="100"/>
  <c r="V34" i="67"/>
  <c r="D32" i="100"/>
  <c r="V66" i="67"/>
  <c r="D64" i="100"/>
  <c r="V55" i="67"/>
  <c r="D53" i="100"/>
  <c r="V41" i="67"/>
  <c r="D39" i="100"/>
  <c r="V15" i="67"/>
  <c r="D13" i="100"/>
  <c r="V27" i="67"/>
  <c r="D25" i="100"/>
  <c r="V67" i="67"/>
  <c r="D65" i="100"/>
  <c r="V18" i="67"/>
  <c r="D16" i="100"/>
  <c r="V40" i="67"/>
  <c r="D38" i="100"/>
  <c r="V30" i="67"/>
  <c r="D28" i="100"/>
  <c r="V68" i="67"/>
  <c r="D66" i="100"/>
  <c r="V17" i="67"/>
  <c r="D15" i="100"/>
  <c r="V39" i="67"/>
  <c r="D37" i="100"/>
  <c r="V52" i="67"/>
  <c r="W52" i="67" s="1"/>
  <c r="D50" i="72" s="1"/>
  <c r="D50" i="100"/>
  <c r="V7" i="67"/>
  <c r="D5" i="100"/>
  <c r="V69" i="67"/>
  <c r="D67" i="100"/>
  <c r="V12" i="67"/>
  <c r="D10" i="100"/>
  <c r="M31" i="129"/>
  <c r="N31" i="129" s="1"/>
  <c r="P31" i="129" s="1"/>
  <c r="M69" i="129"/>
  <c r="N69" i="129" s="1"/>
  <c r="P69" i="129" s="1"/>
  <c r="M42" i="129"/>
  <c r="N42" i="129" s="1"/>
  <c r="P42" i="129" s="1"/>
  <c r="M53" i="129"/>
  <c r="N53" i="129" s="1"/>
  <c r="P53" i="129" s="1"/>
  <c r="L14" i="129"/>
  <c r="AB14" i="33" s="1"/>
  <c r="L44" i="129"/>
  <c r="AB44" i="33" s="1"/>
  <c r="L20" i="129"/>
  <c r="AB20" i="33" s="1"/>
  <c r="L30" i="129"/>
  <c r="AB30" i="33" s="1"/>
  <c r="M64" i="129"/>
  <c r="N64" i="129" s="1"/>
  <c r="P64" i="129" s="1"/>
  <c r="M62" i="129"/>
  <c r="N62" i="129" s="1"/>
  <c r="P62" i="129" s="1"/>
  <c r="L28" i="129"/>
  <c r="AB28" i="33" s="1"/>
  <c r="L48" i="129"/>
  <c r="AB48" i="33" s="1"/>
  <c r="L54" i="129"/>
  <c r="AB54" i="33" s="1"/>
  <c r="L18" i="129"/>
  <c r="AB18" i="33" s="1"/>
  <c r="L43" i="129"/>
  <c r="AB43" i="33" s="1"/>
  <c r="L24" i="129"/>
  <c r="AB24" i="33" s="1"/>
  <c r="L21" i="129"/>
  <c r="AB21" i="33" s="1"/>
  <c r="L27" i="129"/>
  <c r="AB27" i="33" s="1"/>
  <c r="L19" i="129"/>
  <c r="AB19" i="33" s="1"/>
  <c r="L65" i="129"/>
  <c r="AB65" i="33" s="1"/>
  <c r="L68" i="129"/>
  <c r="AB68" i="33" s="1"/>
  <c r="L9" i="129"/>
  <c r="AB9" i="33" s="1"/>
  <c r="L17" i="129"/>
  <c r="AB17" i="33" s="1"/>
  <c r="L50" i="129"/>
  <c r="AB50" i="33" s="1"/>
  <c r="L11" i="129"/>
  <c r="AB11" i="33" s="1"/>
  <c r="L47" i="129"/>
  <c r="AB47" i="33" s="1"/>
  <c r="L41" i="129"/>
  <c r="AB41" i="33" s="1"/>
  <c r="M49" i="129"/>
  <c r="N49" i="129" s="1"/>
  <c r="P49" i="129" s="1"/>
  <c r="M40" i="129"/>
  <c r="N40" i="129" s="1"/>
  <c r="P40" i="129" s="1"/>
  <c r="M55" i="129"/>
  <c r="N55" i="129" s="1"/>
  <c r="P55" i="129" s="1"/>
  <c r="L25" i="129"/>
  <c r="AB25" i="33" s="1"/>
  <c r="L72" i="129"/>
  <c r="AB72" i="33" s="1"/>
  <c r="L51" i="129"/>
  <c r="AB51" i="33" s="1"/>
  <c r="L10" i="129"/>
  <c r="AB10" i="33" s="1"/>
  <c r="M23" i="129"/>
  <c r="N23" i="129" s="1"/>
  <c r="P23" i="129" s="1"/>
  <c r="M70" i="129"/>
  <c r="N70" i="129" s="1"/>
  <c r="P70" i="129" s="1"/>
  <c r="M38" i="129"/>
  <c r="N38" i="129" s="1"/>
  <c r="P38" i="129" s="1"/>
  <c r="L36" i="129"/>
  <c r="AB36" i="33" s="1"/>
  <c r="L57" i="129"/>
  <c r="AB57" i="33" s="1"/>
  <c r="L32" i="129"/>
  <c r="AB32" i="33" s="1"/>
  <c r="L33" i="129"/>
  <c r="AB33" i="33" s="1"/>
  <c r="L16" i="129"/>
  <c r="AB16" i="33" s="1"/>
  <c r="L37" i="129"/>
  <c r="AB37" i="33" s="1"/>
  <c r="L8" i="129"/>
  <c r="AB8" i="33" s="1"/>
  <c r="L67" i="129"/>
  <c r="AB67" i="33" s="1"/>
  <c r="L56" i="129"/>
  <c r="AB56" i="33" s="1"/>
  <c r="L52" i="129"/>
  <c r="AB52" i="33" s="1"/>
  <c r="L75" i="129"/>
  <c r="AB75" i="33" s="1"/>
  <c r="L60" i="129"/>
  <c r="AB60" i="33" s="1"/>
  <c r="L35" i="129"/>
  <c r="AB35" i="33" s="1"/>
  <c r="L39" i="129"/>
  <c r="AB39" i="33" s="1"/>
  <c r="L29" i="129"/>
  <c r="AB29" i="33" s="1"/>
  <c r="L66" i="129"/>
  <c r="AB66" i="33" s="1"/>
  <c r="L26" i="129"/>
  <c r="AB26" i="33" s="1"/>
  <c r="L13" i="129"/>
  <c r="AB13" i="33" s="1"/>
  <c r="L73" i="129"/>
  <c r="AB73" i="33" s="1"/>
  <c r="H12" i="46"/>
  <c r="E12" i="46"/>
  <c r="AU60" i="1"/>
  <c r="AU53" i="1"/>
  <c r="AU21" i="1"/>
  <c r="AU15" i="1"/>
  <c r="AU25" i="1"/>
  <c r="AU54" i="1"/>
  <c r="AU57" i="1"/>
  <c r="AU59" i="1"/>
  <c r="AU70" i="1"/>
  <c r="AU33" i="1"/>
  <c r="AU31" i="1"/>
  <c r="AU42" i="1"/>
  <c r="AU61" i="1"/>
  <c r="AU56" i="1"/>
  <c r="AU32" i="1"/>
  <c r="AU13" i="1"/>
  <c r="AU38" i="1"/>
  <c r="AU27" i="1"/>
  <c r="AU30" i="1"/>
  <c r="AU20" i="1"/>
  <c r="AU49" i="1"/>
  <c r="AU6" i="1"/>
  <c r="AU28" i="1"/>
  <c r="AU55" i="1"/>
  <c r="AU11" i="1"/>
  <c r="AU4" i="1"/>
  <c r="AU52" i="1"/>
  <c r="AU48" i="1"/>
  <c r="AU10" i="1"/>
  <c r="AU24" i="1"/>
  <c r="AU19" i="1"/>
  <c r="AU23" i="1"/>
  <c r="AU51" i="1"/>
  <c r="AU36" i="1"/>
  <c r="AU12" i="1"/>
  <c r="AU72" i="1"/>
  <c r="AU71" i="1"/>
  <c r="AU40" i="1"/>
  <c r="AU50" i="1"/>
  <c r="AU65" i="1"/>
  <c r="AU37" i="1"/>
  <c r="AU22" i="1"/>
  <c r="AU68" i="1"/>
  <c r="AU17" i="1"/>
  <c r="AU44" i="1"/>
  <c r="AU29" i="1"/>
  <c r="AU45" i="1"/>
  <c r="AU9" i="1"/>
  <c r="AU7" i="1"/>
  <c r="AU58" i="1"/>
  <c r="AU35" i="1"/>
  <c r="AU26" i="1"/>
  <c r="AU62" i="1"/>
  <c r="AU47" i="1"/>
  <c r="AU67" i="1"/>
  <c r="AU66" i="1"/>
  <c r="AU69" i="1"/>
  <c r="AU18" i="1"/>
  <c r="AU14" i="1"/>
  <c r="AU41" i="1"/>
  <c r="AU5" i="1"/>
  <c r="AU34" i="1"/>
  <c r="AU64" i="1"/>
  <c r="AU46" i="1"/>
  <c r="AU63" i="1"/>
  <c r="AU16" i="1"/>
  <c r="AU43" i="1"/>
  <c r="AU39" i="1"/>
  <c r="AU8" i="1"/>
  <c r="AG12" i="1"/>
  <c r="AE73" i="1"/>
  <c r="F30" i="166" s="1"/>
  <c r="AF12" i="1"/>
  <c r="Q14" i="67"/>
  <c r="N75" i="67"/>
  <c r="D6" i="67"/>
  <c r="E6" i="67" s="1"/>
  <c r="F6" i="67" s="1"/>
  <c r="AX4" i="1"/>
  <c r="AV4" i="1"/>
  <c r="D6" i="80"/>
  <c r="E6" i="80" s="1"/>
  <c r="D7" i="113"/>
  <c r="D6" i="76"/>
  <c r="AQ4" i="1"/>
  <c r="T61" i="149" l="1"/>
  <c r="R61" i="149"/>
  <c r="S61" i="149" s="1"/>
  <c r="T61" i="148"/>
  <c r="R61" i="148"/>
  <c r="S61" i="148" s="1"/>
  <c r="T61" i="147"/>
  <c r="R61" i="147"/>
  <c r="S61" i="147" s="1"/>
  <c r="T61" i="146"/>
  <c r="R61" i="146"/>
  <c r="S61" i="146" s="1"/>
  <c r="T61" i="145"/>
  <c r="R61" i="145"/>
  <c r="S61" i="145" s="1"/>
  <c r="T61" i="144"/>
  <c r="R61" i="144"/>
  <c r="S61" i="144" s="1"/>
  <c r="T61" i="153"/>
  <c r="R61" i="153"/>
  <c r="S61" i="153" s="1"/>
  <c r="T61" i="152"/>
  <c r="R61" i="152"/>
  <c r="S61" i="152" s="1"/>
  <c r="T61" i="151"/>
  <c r="R61" i="151"/>
  <c r="S61" i="151" s="1"/>
  <c r="F55" i="139"/>
  <c r="F55" i="166"/>
  <c r="E69" i="81"/>
  <c r="M57" i="144"/>
  <c r="N57" i="144" s="1"/>
  <c r="P57" i="144" s="1"/>
  <c r="D7" i="115"/>
  <c r="E7" i="115" s="1"/>
  <c r="H7" i="115" s="1"/>
  <c r="D7" i="117"/>
  <c r="E7" i="117" s="1"/>
  <c r="H7" i="117" s="1"/>
  <c r="D7" i="119"/>
  <c r="D7" i="125"/>
  <c r="E7" i="125" s="1"/>
  <c r="H7" i="125" s="1"/>
  <c r="D7" i="127"/>
  <c r="D7" i="129"/>
  <c r="D7" i="144"/>
  <c r="E7" i="144" s="1"/>
  <c r="H7" i="144" s="1"/>
  <c r="D7" i="146"/>
  <c r="E7" i="146" s="1"/>
  <c r="H7" i="146" s="1"/>
  <c r="D7" i="148"/>
  <c r="E7" i="148" s="1"/>
  <c r="D7" i="151"/>
  <c r="E7" i="151" s="1"/>
  <c r="H7" i="151" s="1"/>
  <c r="D7" i="153"/>
  <c r="E7" i="153" s="1"/>
  <c r="D7" i="116"/>
  <c r="D7" i="118"/>
  <c r="E7" i="118" s="1"/>
  <c r="D7" i="120"/>
  <c r="E7" i="120" s="1"/>
  <c r="H7" i="120" s="1"/>
  <c r="D7" i="126"/>
  <c r="E7" i="126" s="1"/>
  <c r="D7" i="128"/>
  <c r="D7" i="131"/>
  <c r="E7" i="131" s="1"/>
  <c r="D7" i="145"/>
  <c r="E7" i="145" s="1"/>
  <c r="D7" i="147"/>
  <c r="E7" i="147" s="1"/>
  <c r="D7" i="149"/>
  <c r="E7" i="149" s="1"/>
  <c r="H7" i="149" s="1"/>
  <c r="D7" i="152"/>
  <c r="E7" i="152" s="1"/>
  <c r="D7" i="114"/>
  <c r="E7" i="114" s="1"/>
  <c r="H7" i="114" s="1"/>
  <c r="O19" i="31"/>
  <c r="P19" i="31" s="1"/>
  <c r="H71" i="31"/>
  <c r="R38" i="129"/>
  <c r="S38" i="129" s="1"/>
  <c r="T38" i="129"/>
  <c r="R70" i="129"/>
  <c r="S70" i="129" s="1"/>
  <c r="T70" i="129"/>
  <c r="R55" i="129"/>
  <c r="S55" i="129" s="1"/>
  <c r="T55" i="129"/>
  <c r="R49" i="129"/>
  <c r="S49" i="129" s="1"/>
  <c r="T49" i="129"/>
  <c r="R62" i="129"/>
  <c r="S62" i="129" s="1"/>
  <c r="T62" i="129"/>
  <c r="R53" i="129"/>
  <c r="S53" i="129" s="1"/>
  <c r="T53" i="129"/>
  <c r="R69" i="129"/>
  <c r="S69" i="129" s="1"/>
  <c r="T69" i="129"/>
  <c r="R23" i="148"/>
  <c r="S23" i="148" s="1"/>
  <c r="T23" i="148"/>
  <c r="R13" i="145"/>
  <c r="S13" i="145" s="1"/>
  <c r="T13" i="145"/>
  <c r="R56" i="148"/>
  <c r="S56" i="148" s="1"/>
  <c r="T56" i="148"/>
  <c r="R19" i="148"/>
  <c r="S19" i="148" s="1"/>
  <c r="T19" i="148"/>
  <c r="R32" i="152"/>
  <c r="S32" i="152" s="1"/>
  <c r="T32" i="152"/>
  <c r="R48" i="152"/>
  <c r="S48" i="152" s="1"/>
  <c r="T48" i="152"/>
  <c r="R24" i="151"/>
  <c r="S24" i="151" s="1"/>
  <c r="T24" i="151"/>
  <c r="R46" i="147"/>
  <c r="S46" i="147" s="1"/>
  <c r="T46" i="147"/>
  <c r="R36" i="149"/>
  <c r="S36" i="149" s="1"/>
  <c r="T36" i="149"/>
  <c r="R14" i="146"/>
  <c r="S14" i="146" s="1"/>
  <c r="T14" i="146"/>
  <c r="R14" i="149"/>
  <c r="S14" i="149" s="1"/>
  <c r="T14" i="149"/>
  <c r="R28" i="149"/>
  <c r="S28" i="149" s="1"/>
  <c r="T28" i="149"/>
  <c r="R10" i="149"/>
  <c r="S10" i="149" s="1"/>
  <c r="T10" i="149"/>
  <c r="R65" i="147"/>
  <c r="S65" i="147" s="1"/>
  <c r="T65" i="147"/>
  <c r="R35" i="149"/>
  <c r="S35" i="149" s="1"/>
  <c r="T35" i="149"/>
  <c r="R17" i="146"/>
  <c r="S17" i="146" s="1"/>
  <c r="T17" i="146"/>
  <c r="R8" i="146"/>
  <c r="S8" i="146" s="1"/>
  <c r="T8" i="146"/>
  <c r="R68" i="146"/>
  <c r="S68" i="146" s="1"/>
  <c r="T68" i="146"/>
  <c r="R68" i="149"/>
  <c r="S68" i="149" s="1"/>
  <c r="T68" i="149"/>
  <c r="R57" i="149"/>
  <c r="S57" i="149" s="1"/>
  <c r="T57" i="149"/>
  <c r="R54" i="149"/>
  <c r="S54" i="149" s="1"/>
  <c r="T54" i="149"/>
  <c r="R29" i="149"/>
  <c r="S29" i="149" s="1"/>
  <c r="T29" i="149"/>
  <c r="R66" i="146"/>
  <c r="S66" i="146" s="1"/>
  <c r="T66" i="146"/>
  <c r="R66" i="151"/>
  <c r="S66" i="151" s="1"/>
  <c r="T66" i="151"/>
  <c r="R26" i="149"/>
  <c r="S26" i="149" s="1"/>
  <c r="T26" i="149"/>
  <c r="R50" i="151"/>
  <c r="S50" i="151" s="1"/>
  <c r="T50" i="151"/>
  <c r="R37" i="149"/>
  <c r="S37" i="149" s="1"/>
  <c r="T37" i="149"/>
  <c r="R59" i="149"/>
  <c r="S59" i="149" s="1"/>
  <c r="T59" i="149"/>
  <c r="R22" i="145"/>
  <c r="S22" i="145" s="1"/>
  <c r="T22" i="145"/>
  <c r="R62" i="148"/>
  <c r="S62" i="148" s="1"/>
  <c r="T62" i="148"/>
  <c r="R23" i="145"/>
  <c r="S23" i="145" s="1"/>
  <c r="T23" i="145"/>
  <c r="R56" i="146"/>
  <c r="S56" i="146" s="1"/>
  <c r="T56" i="146"/>
  <c r="R56" i="151"/>
  <c r="S56" i="151" s="1"/>
  <c r="T56" i="151"/>
  <c r="R44" i="149"/>
  <c r="S44" i="149" s="1"/>
  <c r="T44" i="149"/>
  <c r="R52" i="148"/>
  <c r="S52" i="148" s="1"/>
  <c r="T52" i="148"/>
  <c r="R20" i="145"/>
  <c r="S20" i="145" s="1"/>
  <c r="T20" i="145"/>
  <c r="R20" i="153"/>
  <c r="S20" i="153" s="1"/>
  <c r="T20" i="153"/>
  <c r="R67" i="153"/>
  <c r="S67" i="153" s="1"/>
  <c r="T67" i="153"/>
  <c r="R36" i="146"/>
  <c r="S36" i="146" s="1"/>
  <c r="T36" i="146"/>
  <c r="R27" i="148"/>
  <c r="S27" i="148" s="1"/>
  <c r="T27" i="148"/>
  <c r="R10" i="151"/>
  <c r="S10" i="151" s="1"/>
  <c r="T10" i="151"/>
  <c r="R35" i="151"/>
  <c r="S35" i="151" s="1"/>
  <c r="T35" i="151"/>
  <c r="R68" i="152"/>
  <c r="S68" i="152" s="1"/>
  <c r="T68" i="152"/>
  <c r="R47" i="145"/>
  <c r="S47" i="145" s="1"/>
  <c r="T47" i="145"/>
  <c r="R54" i="152"/>
  <c r="S54" i="152" s="1"/>
  <c r="T54" i="152"/>
  <c r="R29" i="148"/>
  <c r="S29" i="148" s="1"/>
  <c r="T29" i="148"/>
  <c r="R26" i="145"/>
  <c r="S26" i="145" s="1"/>
  <c r="T26" i="145"/>
  <c r="R50" i="147"/>
  <c r="S50" i="147" s="1"/>
  <c r="T50" i="147"/>
  <c r="R37" i="146"/>
  <c r="S37" i="146" s="1"/>
  <c r="T37" i="146"/>
  <c r="R37" i="151"/>
  <c r="S37" i="151" s="1"/>
  <c r="T37" i="151"/>
  <c r="R25" i="148"/>
  <c r="S25" i="148" s="1"/>
  <c r="T25" i="148"/>
  <c r="R31" i="148"/>
  <c r="S31" i="148" s="1"/>
  <c r="T31" i="148"/>
  <c r="R33" i="149"/>
  <c r="S33" i="149" s="1"/>
  <c r="T33" i="149"/>
  <c r="R39" i="144"/>
  <c r="S39" i="144" s="1"/>
  <c r="T39" i="144"/>
  <c r="R54" i="146"/>
  <c r="S54" i="146" s="1"/>
  <c r="T54" i="146"/>
  <c r="R33" i="146"/>
  <c r="S33" i="146" s="1"/>
  <c r="T33" i="146"/>
  <c r="R39" i="151"/>
  <c r="S39" i="151" s="1"/>
  <c r="T39" i="151"/>
  <c r="R33" i="151"/>
  <c r="S33" i="151" s="1"/>
  <c r="T33" i="151"/>
  <c r="R18" i="153"/>
  <c r="S18" i="153" s="1"/>
  <c r="T18" i="153"/>
  <c r="R66" i="144"/>
  <c r="S66" i="144" s="1"/>
  <c r="T66" i="144"/>
  <c r="P19" i="140"/>
  <c r="Q19" i="140" s="1"/>
  <c r="P67" i="140"/>
  <c r="Q67" i="140" s="1"/>
  <c r="P39" i="140"/>
  <c r="Q39" i="140" s="1"/>
  <c r="P33" i="140"/>
  <c r="Q33" i="140" s="1"/>
  <c r="P9" i="140"/>
  <c r="Q9" i="140" s="1"/>
  <c r="P66" i="140"/>
  <c r="Q66" i="140" s="1"/>
  <c r="P54" i="140"/>
  <c r="Q54" i="140" s="1"/>
  <c r="P72" i="140"/>
  <c r="Q72" i="140" s="1"/>
  <c r="P8" i="141"/>
  <c r="Q8" i="141" s="1"/>
  <c r="R8" i="141"/>
  <c r="P14" i="141"/>
  <c r="Q14" i="141" s="1"/>
  <c r="R14" i="141"/>
  <c r="P18" i="141"/>
  <c r="Q18" i="141" s="1"/>
  <c r="R18" i="141"/>
  <c r="P66" i="141"/>
  <c r="Q66" i="141" s="1"/>
  <c r="R66" i="141"/>
  <c r="P31" i="141"/>
  <c r="Q31" i="141" s="1"/>
  <c r="R31" i="141"/>
  <c r="P54" i="141"/>
  <c r="Q54" i="141" s="1"/>
  <c r="R54" i="141"/>
  <c r="R23" i="129"/>
  <c r="S23" i="129" s="1"/>
  <c r="T23" i="129"/>
  <c r="R40" i="129"/>
  <c r="S40" i="129" s="1"/>
  <c r="T40" i="129"/>
  <c r="R64" i="129"/>
  <c r="S64" i="129" s="1"/>
  <c r="T64" i="129"/>
  <c r="R42" i="129"/>
  <c r="S42" i="129" s="1"/>
  <c r="AK42" i="129" s="1"/>
  <c r="T42" i="129"/>
  <c r="AJ42" i="129" s="1"/>
  <c r="R31" i="129"/>
  <c r="S31" i="129" s="1"/>
  <c r="T31" i="129"/>
  <c r="R59" i="144"/>
  <c r="S59" i="144" s="1"/>
  <c r="T59" i="144"/>
  <c r="R22" i="149"/>
  <c r="S22" i="149" s="1"/>
  <c r="T22" i="149"/>
  <c r="R13" i="147"/>
  <c r="S13" i="147" s="1"/>
  <c r="T13" i="147"/>
  <c r="R44" i="148"/>
  <c r="S44" i="148" s="1"/>
  <c r="T44" i="148"/>
  <c r="R32" i="146"/>
  <c r="S32" i="146" s="1"/>
  <c r="T32" i="146"/>
  <c r="R11" i="147"/>
  <c r="S11" i="147" s="1"/>
  <c r="T11" i="147"/>
  <c r="R41" i="146"/>
  <c r="S41" i="146" s="1"/>
  <c r="T41" i="146"/>
  <c r="R41" i="151"/>
  <c r="S41" i="151" s="1"/>
  <c r="T41" i="151"/>
  <c r="R73" i="148"/>
  <c r="S73" i="148" s="1"/>
  <c r="T73" i="148"/>
  <c r="R24" i="145"/>
  <c r="S24" i="145" s="1"/>
  <c r="T24" i="145"/>
  <c r="R67" i="147"/>
  <c r="S67" i="147" s="1"/>
  <c r="T67" i="147"/>
  <c r="R27" i="151"/>
  <c r="S27" i="151" s="1"/>
  <c r="T27" i="151"/>
  <c r="R14" i="153"/>
  <c r="S14" i="153" s="1"/>
  <c r="T14" i="153"/>
  <c r="R28" i="153"/>
  <c r="S28" i="153" s="1"/>
  <c r="T28" i="153"/>
  <c r="R10" i="146"/>
  <c r="S10" i="146" s="1"/>
  <c r="T10" i="146"/>
  <c r="R16" i="153"/>
  <c r="S16" i="153" s="1"/>
  <c r="T16" i="153"/>
  <c r="R18" i="149"/>
  <c r="S18" i="149" s="1"/>
  <c r="T18" i="149"/>
  <c r="R35" i="153"/>
  <c r="S35" i="153" s="1"/>
  <c r="T35" i="153"/>
  <c r="R8" i="153"/>
  <c r="S8" i="153" s="1"/>
  <c r="T8" i="153"/>
  <c r="R68" i="145"/>
  <c r="S68" i="145" s="1"/>
  <c r="T68" i="145"/>
  <c r="R68" i="151"/>
  <c r="S68" i="151" s="1"/>
  <c r="T68" i="151"/>
  <c r="R47" i="148"/>
  <c r="S47" i="148" s="1"/>
  <c r="T47" i="148"/>
  <c r="R75" i="145"/>
  <c r="S75" i="145" s="1"/>
  <c r="T75" i="145"/>
  <c r="R54" i="153"/>
  <c r="S54" i="153" s="1"/>
  <c r="T54" i="153"/>
  <c r="R21" i="148"/>
  <c r="S21" i="148" s="1"/>
  <c r="T21" i="148"/>
  <c r="R26" i="146"/>
  <c r="S26" i="146" s="1"/>
  <c r="T26" i="146"/>
  <c r="R26" i="151"/>
  <c r="S26" i="151" s="1"/>
  <c r="T26" i="151"/>
  <c r="R50" i="149"/>
  <c r="S50" i="149" s="1"/>
  <c r="T50" i="149"/>
  <c r="R43" i="147"/>
  <c r="S43" i="147" s="1"/>
  <c r="T43" i="147"/>
  <c r="R43" i="151"/>
  <c r="S43" i="151" s="1"/>
  <c r="T43" i="151"/>
  <c r="R59" i="153"/>
  <c r="S59" i="153" s="1"/>
  <c r="T59" i="153"/>
  <c r="R62" i="146"/>
  <c r="S62" i="146" s="1"/>
  <c r="T62" i="146"/>
  <c r="R62" i="149"/>
  <c r="S62" i="149" s="1"/>
  <c r="T62" i="149"/>
  <c r="R23" i="147"/>
  <c r="S23" i="147" s="1"/>
  <c r="T23" i="147"/>
  <c r="R56" i="149"/>
  <c r="S56" i="149" s="1"/>
  <c r="T56" i="149"/>
  <c r="R44" i="151"/>
  <c r="S44" i="151" s="1"/>
  <c r="T44" i="151"/>
  <c r="R52" i="146"/>
  <c r="S52" i="146" s="1"/>
  <c r="T52" i="146"/>
  <c r="R52" i="149"/>
  <c r="S52" i="149" s="1"/>
  <c r="T52" i="149"/>
  <c r="R41" i="149"/>
  <c r="S41" i="149" s="1"/>
  <c r="T41" i="149"/>
  <c r="R73" i="145"/>
  <c r="S73" i="145" s="1"/>
  <c r="T73" i="145"/>
  <c r="R46" i="151"/>
  <c r="S46" i="151" s="1"/>
  <c r="T46" i="151"/>
  <c r="R16" i="148"/>
  <c r="S16" i="148" s="1"/>
  <c r="T16" i="148"/>
  <c r="R17" i="147"/>
  <c r="S17" i="147" s="1"/>
  <c r="T17" i="147"/>
  <c r="R68" i="148"/>
  <c r="S68" i="148" s="1"/>
  <c r="T68" i="148"/>
  <c r="R75" i="146"/>
  <c r="S75" i="146" s="1"/>
  <c r="T75" i="146"/>
  <c r="R29" i="146"/>
  <c r="S29" i="146" s="1"/>
  <c r="T29" i="146"/>
  <c r="R29" i="151"/>
  <c r="S29" i="151" s="1"/>
  <c r="T29" i="151"/>
  <c r="R21" i="145"/>
  <c r="S21" i="145" s="1"/>
  <c r="T21" i="145"/>
  <c r="R66" i="152"/>
  <c r="S66" i="152" s="1"/>
  <c r="T66" i="152"/>
  <c r="R43" i="152"/>
  <c r="S43" i="152" s="1"/>
  <c r="T43" i="152"/>
  <c r="R25" i="145"/>
  <c r="S25" i="145" s="1"/>
  <c r="T25" i="145"/>
  <c r="R25" i="147"/>
  <c r="S25" i="147" s="1"/>
  <c r="T25" i="147"/>
  <c r="R33" i="153"/>
  <c r="S33" i="153" s="1"/>
  <c r="T33" i="153"/>
  <c r="R39" i="149"/>
  <c r="S39" i="149" s="1"/>
  <c r="T39" i="149"/>
  <c r="R31" i="153"/>
  <c r="S31" i="153" s="1"/>
  <c r="T31" i="153"/>
  <c r="R71" i="146"/>
  <c r="S71" i="146" s="1"/>
  <c r="T71" i="146"/>
  <c r="R33" i="148"/>
  <c r="S33" i="148" s="1"/>
  <c r="T33" i="148"/>
  <c r="R45" i="129"/>
  <c r="S45" i="129" s="1"/>
  <c r="T45" i="129"/>
  <c r="R34" i="129"/>
  <c r="S34" i="129" s="1"/>
  <c r="T34" i="129"/>
  <c r="R58" i="129"/>
  <c r="S58" i="129" s="1"/>
  <c r="T58" i="129"/>
  <c r="R12" i="129"/>
  <c r="S12" i="129" s="1"/>
  <c r="T12" i="129"/>
  <c r="R71" i="129"/>
  <c r="S71" i="129" s="1"/>
  <c r="T71" i="129"/>
  <c r="R63" i="129"/>
  <c r="S63" i="129" s="1"/>
  <c r="T63" i="129"/>
  <c r="R9" i="144"/>
  <c r="S9" i="144" s="1"/>
  <c r="T9" i="144"/>
  <c r="P72" i="141"/>
  <c r="Q72" i="141" s="1"/>
  <c r="R72" i="141"/>
  <c r="P25" i="141"/>
  <c r="Q25" i="141" s="1"/>
  <c r="R25" i="141"/>
  <c r="P67" i="141"/>
  <c r="Q67" i="141" s="1"/>
  <c r="R67" i="141"/>
  <c r="P73" i="141"/>
  <c r="Q73" i="141" s="1"/>
  <c r="R73" i="141"/>
  <c r="P57" i="141"/>
  <c r="Q57" i="141" s="1"/>
  <c r="R57" i="141"/>
  <c r="P33" i="141"/>
  <c r="Q33" i="141" s="1"/>
  <c r="R33" i="141"/>
  <c r="E74" i="31"/>
  <c r="X41" i="67"/>
  <c r="Q75" i="67"/>
  <c r="Q81" i="67" s="1"/>
  <c r="N81" i="67"/>
  <c r="I13" i="67"/>
  <c r="M13" i="67" s="1"/>
  <c r="X13" i="67" s="1"/>
  <c r="I16" i="67"/>
  <c r="M16" i="67" s="1"/>
  <c r="X16" i="67" s="1"/>
  <c r="I61" i="67"/>
  <c r="M61" i="67" s="1"/>
  <c r="X61" i="67" s="1"/>
  <c r="I35" i="67"/>
  <c r="M35" i="67" s="1"/>
  <c r="X35" i="67" s="1"/>
  <c r="I53" i="67"/>
  <c r="M53" i="67" s="1"/>
  <c r="X53" i="67" s="1"/>
  <c r="I49" i="67"/>
  <c r="M49" i="67" s="1"/>
  <c r="X49" i="67" s="1"/>
  <c r="I10" i="67"/>
  <c r="M10" i="67" s="1"/>
  <c r="X10" i="67" s="1"/>
  <c r="I65" i="67"/>
  <c r="M65" i="67" s="1"/>
  <c r="X65" i="67" s="1"/>
  <c r="I32" i="67"/>
  <c r="M32" i="67" s="1"/>
  <c r="X32" i="67" s="1"/>
  <c r="I68" i="67"/>
  <c r="M68" i="67" s="1"/>
  <c r="X68" i="67" s="1"/>
  <c r="I74" i="67"/>
  <c r="M74" i="67" s="1"/>
  <c r="X74" i="67" s="1"/>
  <c r="I26" i="67"/>
  <c r="M26" i="67" s="1"/>
  <c r="X26" i="67" s="1"/>
  <c r="I29" i="67"/>
  <c r="M29" i="67" s="1"/>
  <c r="X29" i="67" s="1"/>
  <c r="I19" i="67"/>
  <c r="M19" i="67" s="1"/>
  <c r="X19" i="67" s="1"/>
  <c r="I20" i="67"/>
  <c r="M20" i="67" s="1"/>
  <c r="X20" i="67" s="1"/>
  <c r="I17" i="67"/>
  <c r="M17" i="67" s="1"/>
  <c r="X17" i="67" s="1"/>
  <c r="I64" i="67"/>
  <c r="M64" i="67" s="1"/>
  <c r="X64" i="67" s="1"/>
  <c r="I34" i="67"/>
  <c r="M34" i="67" s="1"/>
  <c r="X34" i="67" s="1"/>
  <c r="I70" i="67"/>
  <c r="M70" i="67" s="1"/>
  <c r="X70" i="67" s="1"/>
  <c r="I8" i="67"/>
  <c r="M8" i="67" s="1"/>
  <c r="X8" i="67" s="1"/>
  <c r="I22" i="67"/>
  <c r="M22" i="67" s="1"/>
  <c r="X22" i="67" s="1"/>
  <c r="I55" i="67"/>
  <c r="M55" i="67" s="1"/>
  <c r="X55" i="67" s="1"/>
  <c r="I28" i="67"/>
  <c r="M28" i="67" s="1"/>
  <c r="X28" i="67" s="1"/>
  <c r="I46" i="67"/>
  <c r="M46" i="67" s="1"/>
  <c r="X46" i="67" s="1"/>
  <c r="I56" i="67"/>
  <c r="M56" i="67" s="1"/>
  <c r="X56" i="67" s="1"/>
  <c r="I31" i="67"/>
  <c r="M31" i="67" s="1"/>
  <c r="X31" i="67" s="1"/>
  <c r="I71" i="67"/>
  <c r="M71" i="67" s="1"/>
  <c r="X71" i="67" s="1"/>
  <c r="I7" i="67"/>
  <c r="M7" i="67" s="1"/>
  <c r="X7" i="67" s="1"/>
  <c r="I38" i="67"/>
  <c r="M38" i="67" s="1"/>
  <c r="X38" i="67" s="1"/>
  <c r="I50" i="67"/>
  <c r="M50" i="67" s="1"/>
  <c r="X50" i="67" s="1"/>
  <c r="I43" i="67"/>
  <c r="M43" i="67" s="1"/>
  <c r="X43" i="67" s="1"/>
  <c r="I23" i="67"/>
  <c r="M23" i="67" s="1"/>
  <c r="X23" i="67" s="1"/>
  <c r="I59" i="67"/>
  <c r="M59" i="67" s="1"/>
  <c r="X59" i="67" s="1"/>
  <c r="I40" i="67"/>
  <c r="M40" i="67" s="1"/>
  <c r="X40" i="67" s="1"/>
  <c r="I25" i="67"/>
  <c r="M25" i="67" s="1"/>
  <c r="X25" i="67" s="1"/>
  <c r="I67" i="67"/>
  <c r="M67" i="67" s="1"/>
  <c r="X67" i="67" s="1"/>
  <c r="E11" i="67"/>
  <c r="F11" i="67" s="1"/>
  <c r="G11" i="67" s="1"/>
  <c r="E47" i="67"/>
  <c r="F47" i="67" s="1"/>
  <c r="G47" i="67" s="1"/>
  <c r="E62" i="67"/>
  <c r="F62" i="67" s="1"/>
  <c r="G62" i="67" s="1"/>
  <c r="E44" i="67"/>
  <c r="F44" i="67" s="1"/>
  <c r="G44" i="67" s="1"/>
  <c r="E58" i="67"/>
  <c r="F58" i="67" s="1"/>
  <c r="G58" i="67" s="1"/>
  <c r="H30" i="166"/>
  <c r="G30" i="166"/>
  <c r="F31" i="166"/>
  <c r="F82" i="139"/>
  <c r="H82" i="139" s="1"/>
  <c r="R19" i="144"/>
  <c r="S19" i="144" s="1"/>
  <c r="N39" i="145"/>
  <c r="P39" i="145" s="1"/>
  <c r="P57" i="140"/>
  <c r="Q57" i="140" s="1"/>
  <c r="F84" i="139"/>
  <c r="G84" i="139" s="1"/>
  <c r="N18" i="152"/>
  <c r="P18" i="152" s="1"/>
  <c r="N33" i="147"/>
  <c r="P33" i="147" s="1"/>
  <c r="E57" i="81"/>
  <c r="H57" i="81" s="1"/>
  <c r="N54" i="151"/>
  <c r="P54" i="151" s="1"/>
  <c r="T54" i="151" s="1"/>
  <c r="E59" i="81"/>
  <c r="H59" i="81" s="1"/>
  <c r="R42" i="149"/>
  <c r="S42" i="149" s="1"/>
  <c r="AK42" i="149" s="1"/>
  <c r="R38" i="144"/>
  <c r="S38" i="144" s="1"/>
  <c r="R40" i="147"/>
  <c r="S40" i="147" s="1"/>
  <c r="R40" i="146"/>
  <c r="S40" i="146" s="1"/>
  <c r="R40" i="148"/>
  <c r="S40" i="148" s="1"/>
  <c r="R33" i="144"/>
  <c r="S33" i="144" s="1"/>
  <c r="R42" i="144"/>
  <c r="S42" i="144" s="1"/>
  <c r="AK42" i="144" s="1"/>
  <c r="R53" i="153"/>
  <c r="S53" i="153" s="1"/>
  <c r="R10" i="144"/>
  <c r="S10" i="144" s="1"/>
  <c r="R65" i="144"/>
  <c r="S65" i="144" s="1"/>
  <c r="R32" i="144"/>
  <c r="S32" i="144" s="1"/>
  <c r="R52" i="144"/>
  <c r="S52" i="144" s="1"/>
  <c r="R16" i="144"/>
  <c r="S16" i="144" s="1"/>
  <c r="R38" i="149"/>
  <c r="S38" i="149" s="1"/>
  <c r="R31" i="152"/>
  <c r="S31" i="152" s="1"/>
  <c r="R40" i="152"/>
  <c r="S40" i="152" s="1"/>
  <c r="R40" i="145"/>
  <c r="S40" i="145" s="1"/>
  <c r="R53" i="144"/>
  <c r="S53" i="144" s="1"/>
  <c r="R53" i="151"/>
  <c r="S53" i="151" s="1"/>
  <c r="R24" i="144"/>
  <c r="S24" i="144" s="1"/>
  <c r="R51" i="144"/>
  <c r="S51" i="144" s="1"/>
  <c r="R8" i="144"/>
  <c r="S8" i="144" s="1"/>
  <c r="R26" i="144"/>
  <c r="S26" i="144" s="1"/>
  <c r="R20" i="144"/>
  <c r="S20" i="144" s="1"/>
  <c r="R56" i="144"/>
  <c r="S56" i="144" s="1"/>
  <c r="R42" i="146"/>
  <c r="S42" i="146" s="1"/>
  <c r="AK42" i="146" s="1"/>
  <c r="R42" i="145"/>
  <c r="S42" i="145" s="1"/>
  <c r="AK42" i="145" s="1"/>
  <c r="R53" i="149"/>
  <c r="S53" i="149" s="1"/>
  <c r="R35" i="144"/>
  <c r="S35" i="144" s="1"/>
  <c r="R47" i="144"/>
  <c r="S47" i="144" s="1"/>
  <c r="R28" i="144"/>
  <c r="S28" i="144" s="1"/>
  <c r="R36" i="144"/>
  <c r="S36" i="144" s="1"/>
  <c r="R14" i="144"/>
  <c r="S14" i="144" s="1"/>
  <c r="R68" i="144"/>
  <c r="S68" i="144" s="1"/>
  <c r="R38" i="145"/>
  <c r="S38" i="145" s="1"/>
  <c r="R42" i="153"/>
  <c r="S42" i="153" s="1"/>
  <c r="AK42" i="153" s="1"/>
  <c r="R53" i="147"/>
  <c r="S53" i="147" s="1"/>
  <c r="R38" i="147"/>
  <c r="S38" i="147" s="1"/>
  <c r="R53" i="146"/>
  <c r="S53" i="146" s="1"/>
  <c r="R60" i="144"/>
  <c r="S60" i="144" s="1"/>
  <c r="R27" i="144"/>
  <c r="S27" i="144" s="1"/>
  <c r="R41" i="144"/>
  <c r="S41" i="144" s="1"/>
  <c r="R48" i="144"/>
  <c r="S48" i="144" s="1"/>
  <c r="R44" i="144"/>
  <c r="S44" i="144" s="1"/>
  <c r="R73" i="144"/>
  <c r="S73" i="144" s="1"/>
  <c r="R30" i="144"/>
  <c r="S30" i="144" s="1"/>
  <c r="M71" i="149"/>
  <c r="N71" i="149" s="1"/>
  <c r="P71" i="149" s="1"/>
  <c r="T71" i="149" s="1"/>
  <c r="M71" i="147"/>
  <c r="N71" i="147" s="1"/>
  <c r="P71" i="147" s="1"/>
  <c r="T71" i="147" s="1"/>
  <c r="M25" i="146"/>
  <c r="N25" i="146" s="1"/>
  <c r="P25" i="146" s="1"/>
  <c r="T25" i="146" s="1"/>
  <c r="M25" i="149"/>
  <c r="N25" i="149" s="1"/>
  <c r="P25" i="149" s="1"/>
  <c r="T25" i="149" s="1"/>
  <c r="M54" i="145"/>
  <c r="N54" i="145" s="1"/>
  <c r="P54" i="145" s="1"/>
  <c r="T54" i="145" s="1"/>
  <c r="M31" i="147"/>
  <c r="N31" i="147" s="1"/>
  <c r="P31" i="147" s="1"/>
  <c r="T31" i="147" s="1"/>
  <c r="M57" i="153"/>
  <c r="N57" i="153" s="1"/>
  <c r="P57" i="153" s="1"/>
  <c r="T57" i="153" s="1"/>
  <c r="M67" i="144"/>
  <c r="N67" i="144" s="1"/>
  <c r="P67" i="144" s="1"/>
  <c r="T67" i="144" s="1"/>
  <c r="M9" i="149"/>
  <c r="N9" i="149" s="1"/>
  <c r="P9" i="149" s="1"/>
  <c r="T9" i="149" s="1"/>
  <c r="M18" i="144"/>
  <c r="N18" i="144" s="1"/>
  <c r="P18" i="144" s="1"/>
  <c r="T18" i="144" s="1"/>
  <c r="M57" i="151"/>
  <c r="N57" i="151" s="1"/>
  <c r="P57" i="151" s="1"/>
  <c r="T57" i="151" s="1"/>
  <c r="M33" i="152"/>
  <c r="N33" i="152" s="1"/>
  <c r="P33" i="152" s="1"/>
  <c r="T33" i="152" s="1"/>
  <c r="M19" i="146"/>
  <c r="N19" i="146" s="1"/>
  <c r="P19" i="146" s="1"/>
  <c r="T19" i="146" s="1"/>
  <c r="M71" i="144"/>
  <c r="N71" i="144" s="1"/>
  <c r="P71" i="144" s="1"/>
  <c r="T71" i="144" s="1"/>
  <c r="M71" i="145"/>
  <c r="N71" i="145" s="1"/>
  <c r="P71" i="145" s="1"/>
  <c r="T71" i="145" s="1"/>
  <c r="M25" i="152"/>
  <c r="N25" i="152" s="1"/>
  <c r="P25" i="152" s="1"/>
  <c r="T25" i="152" s="1"/>
  <c r="M25" i="151"/>
  <c r="N25" i="151" s="1"/>
  <c r="P25" i="151" s="1"/>
  <c r="T25" i="151" s="1"/>
  <c r="M71" i="152"/>
  <c r="N71" i="152" s="1"/>
  <c r="P71" i="152" s="1"/>
  <c r="T71" i="152" s="1"/>
  <c r="M31" i="146"/>
  <c r="N31" i="146" s="1"/>
  <c r="P31" i="146" s="1"/>
  <c r="T31" i="146" s="1"/>
  <c r="M71" i="151"/>
  <c r="N71" i="151" s="1"/>
  <c r="P71" i="151" s="1"/>
  <c r="T71" i="151" s="1"/>
  <c r="M54" i="144"/>
  <c r="N54" i="144" s="1"/>
  <c r="P54" i="144" s="1"/>
  <c r="T54" i="144" s="1"/>
  <c r="M31" i="145"/>
  <c r="N31" i="145" s="1"/>
  <c r="P31" i="145" s="1"/>
  <c r="T31" i="145" s="1"/>
  <c r="M57" i="147"/>
  <c r="N57" i="147" s="1"/>
  <c r="P57" i="147" s="1"/>
  <c r="T57" i="147" s="1"/>
  <c r="M18" i="147"/>
  <c r="N18" i="147" s="1"/>
  <c r="P18" i="147" s="1"/>
  <c r="T18" i="147" s="1"/>
  <c r="M39" i="147"/>
  <c r="N39" i="147" s="1"/>
  <c r="P39" i="147" s="1"/>
  <c r="T39" i="147" s="1"/>
  <c r="M57" i="148"/>
  <c r="N57" i="148" s="1"/>
  <c r="P57" i="148" s="1"/>
  <c r="T57" i="148" s="1"/>
  <c r="M9" i="147"/>
  <c r="N9" i="147" s="1"/>
  <c r="P9" i="147" s="1"/>
  <c r="T9" i="147" s="1"/>
  <c r="M31" i="151"/>
  <c r="N31" i="151" s="1"/>
  <c r="P31" i="151" s="1"/>
  <c r="T31" i="151" s="1"/>
  <c r="M57" i="145"/>
  <c r="N57" i="145" s="1"/>
  <c r="P57" i="145" s="1"/>
  <c r="T57" i="145" s="1"/>
  <c r="M39" i="146"/>
  <c r="N39" i="146" s="1"/>
  <c r="P39" i="146" s="1"/>
  <c r="T39" i="146" s="1"/>
  <c r="M18" i="148"/>
  <c r="N18" i="148" s="1"/>
  <c r="P18" i="148" s="1"/>
  <c r="T18" i="148" s="1"/>
  <c r="M9" i="153"/>
  <c r="N9" i="153" s="1"/>
  <c r="P9" i="153" s="1"/>
  <c r="T9" i="153" s="1"/>
  <c r="M9" i="146"/>
  <c r="N9" i="146" s="1"/>
  <c r="P9" i="146" s="1"/>
  <c r="T9" i="146" s="1"/>
  <c r="M72" i="144"/>
  <c r="N72" i="144" s="1"/>
  <c r="P72" i="144" s="1"/>
  <c r="T72" i="144" s="1"/>
  <c r="M57" i="146"/>
  <c r="N57" i="146" s="1"/>
  <c r="P57" i="146" s="1"/>
  <c r="T57" i="146" s="1"/>
  <c r="M33" i="145"/>
  <c r="N33" i="145" s="1"/>
  <c r="P33" i="145" s="1"/>
  <c r="T33" i="145" s="1"/>
  <c r="M67" i="148"/>
  <c r="N67" i="148" s="1"/>
  <c r="P67" i="148" s="1"/>
  <c r="T67" i="148" s="1"/>
  <c r="M8" i="148"/>
  <c r="N8" i="148" s="1"/>
  <c r="P8" i="148" s="1"/>
  <c r="T8" i="148" s="1"/>
  <c r="M64" i="31"/>
  <c r="O64" i="31" s="1"/>
  <c r="P64" i="31" s="1"/>
  <c r="R64" i="31" s="1"/>
  <c r="U64" i="31" s="1"/>
  <c r="Y64" i="31" s="1"/>
  <c r="R25" i="144"/>
  <c r="S25" i="144" s="1"/>
  <c r="N31" i="149"/>
  <c r="P31" i="149" s="1"/>
  <c r="T31" i="149" s="1"/>
  <c r="N31" i="144"/>
  <c r="P31" i="144" s="1"/>
  <c r="T31" i="144" s="1"/>
  <c r="R35" i="148"/>
  <c r="S35" i="148" s="1"/>
  <c r="R11" i="145"/>
  <c r="S11" i="145" s="1"/>
  <c r="R47" i="147"/>
  <c r="S47" i="147" s="1"/>
  <c r="R56" i="153"/>
  <c r="S56" i="153" s="1"/>
  <c r="R11" i="148"/>
  <c r="S11" i="148" s="1"/>
  <c r="R30" i="146"/>
  <c r="S30" i="146" s="1"/>
  <c r="R14" i="145"/>
  <c r="S14" i="145" s="1"/>
  <c r="R20" i="146"/>
  <c r="S20" i="146" s="1"/>
  <c r="R18" i="146"/>
  <c r="S18" i="146" s="1"/>
  <c r="R13" i="148"/>
  <c r="S13" i="148" s="1"/>
  <c r="R16" i="151"/>
  <c r="S16" i="151" s="1"/>
  <c r="R26" i="152"/>
  <c r="S26" i="152" s="1"/>
  <c r="N70" i="153"/>
  <c r="P70" i="153" s="1"/>
  <c r="T70" i="153" s="1"/>
  <c r="R9" i="145"/>
  <c r="S9" i="145" s="1"/>
  <c r="R8" i="151"/>
  <c r="S8" i="151" s="1"/>
  <c r="R19" i="147"/>
  <c r="S19" i="147" s="1"/>
  <c r="R62" i="152"/>
  <c r="S62" i="152" s="1"/>
  <c r="R44" i="146"/>
  <c r="S44" i="146" s="1"/>
  <c r="R73" i="146"/>
  <c r="S73" i="146" s="1"/>
  <c r="R46" i="152"/>
  <c r="S46" i="152" s="1"/>
  <c r="R50" i="146"/>
  <c r="S50" i="146" s="1"/>
  <c r="R67" i="149"/>
  <c r="S67" i="149" s="1"/>
  <c r="R22" i="146"/>
  <c r="S22" i="146" s="1"/>
  <c r="R23" i="146"/>
  <c r="S23" i="146" s="1"/>
  <c r="R51" i="147"/>
  <c r="S51" i="147" s="1"/>
  <c r="R27" i="147"/>
  <c r="S27" i="147" s="1"/>
  <c r="R16" i="146"/>
  <c r="S16" i="146" s="1"/>
  <c r="R43" i="148"/>
  <c r="S43" i="148" s="1"/>
  <c r="R21" i="147"/>
  <c r="S21" i="147" s="1"/>
  <c r="R32" i="153"/>
  <c r="S32" i="153" s="1"/>
  <c r="R28" i="146"/>
  <c r="S28" i="146" s="1"/>
  <c r="R43" i="146"/>
  <c r="S43" i="146" s="1"/>
  <c r="R18" i="151"/>
  <c r="S18" i="151" s="1"/>
  <c r="N70" i="151"/>
  <c r="P70" i="151" s="1"/>
  <c r="T70" i="151" s="1"/>
  <c r="N70" i="146"/>
  <c r="P70" i="146" s="1"/>
  <c r="T70" i="146" s="1"/>
  <c r="N70" i="152"/>
  <c r="P70" i="152" s="1"/>
  <c r="T70" i="152" s="1"/>
  <c r="N70" i="147"/>
  <c r="P70" i="147" s="1"/>
  <c r="T70" i="147" s="1"/>
  <c r="N70" i="148"/>
  <c r="P70" i="148" s="1"/>
  <c r="T70" i="148" s="1"/>
  <c r="N70" i="144"/>
  <c r="P70" i="144" s="1"/>
  <c r="T70" i="144" s="1"/>
  <c r="N70" i="149"/>
  <c r="P70" i="149" s="1"/>
  <c r="T70" i="149" s="1"/>
  <c r="N70" i="145"/>
  <c r="P70" i="145" s="1"/>
  <c r="T70" i="145" s="1"/>
  <c r="F30" i="139"/>
  <c r="L30" i="139" s="1"/>
  <c r="E56" i="81"/>
  <c r="G56" i="81" s="1"/>
  <c r="R48" i="148"/>
  <c r="S48" i="148" s="1"/>
  <c r="R62" i="151"/>
  <c r="S62" i="151" s="1"/>
  <c r="R51" i="145"/>
  <c r="S51" i="145" s="1"/>
  <c r="R36" i="148"/>
  <c r="S36" i="148" s="1"/>
  <c r="R56" i="152"/>
  <c r="S56" i="152" s="1"/>
  <c r="R66" i="149"/>
  <c r="S66" i="149" s="1"/>
  <c r="R35" i="146"/>
  <c r="S35" i="146" s="1"/>
  <c r="R37" i="148"/>
  <c r="S37" i="148" s="1"/>
  <c r="R62" i="145"/>
  <c r="S62" i="145" s="1"/>
  <c r="R36" i="153"/>
  <c r="S36" i="153" s="1"/>
  <c r="R24" i="153"/>
  <c r="S24" i="153" s="1"/>
  <c r="R59" i="145"/>
  <c r="S59" i="145" s="1"/>
  <c r="R46" i="146"/>
  <c r="S46" i="146" s="1"/>
  <c r="R59" i="147"/>
  <c r="S59" i="147" s="1"/>
  <c r="R22" i="153"/>
  <c r="S22" i="153" s="1"/>
  <c r="R17" i="145"/>
  <c r="S17" i="145" s="1"/>
  <c r="R41" i="148"/>
  <c r="S41" i="148" s="1"/>
  <c r="R30" i="153"/>
  <c r="S30" i="153" s="1"/>
  <c r="R44" i="147"/>
  <c r="S44" i="147" s="1"/>
  <c r="R52" i="151"/>
  <c r="S52" i="151" s="1"/>
  <c r="R41" i="153"/>
  <c r="S41" i="153" s="1"/>
  <c r="R50" i="148"/>
  <c r="S50" i="148" s="1"/>
  <c r="R56" i="147"/>
  <c r="S56" i="147" s="1"/>
  <c r="R48" i="147"/>
  <c r="S48" i="147" s="1"/>
  <c r="R46" i="149"/>
  <c r="S46" i="149" s="1"/>
  <c r="R47" i="152"/>
  <c r="S47" i="152" s="1"/>
  <c r="R44" i="145"/>
  <c r="S44" i="145" s="1"/>
  <c r="R44" i="153"/>
  <c r="S44" i="153" s="1"/>
  <c r="R20" i="149"/>
  <c r="S20" i="149" s="1"/>
  <c r="R24" i="146"/>
  <c r="S24" i="146" s="1"/>
  <c r="R10" i="145"/>
  <c r="S10" i="145" s="1"/>
  <c r="R18" i="145"/>
  <c r="S18" i="145" s="1"/>
  <c r="R66" i="145"/>
  <c r="S66" i="145" s="1"/>
  <c r="R16" i="149"/>
  <c r="S16" i="149" s="1"/>
  <c r="N45" i="144"/>
  <c r="P45" i="144" s="1"/>
  <c r="N45" i="153"/>
  <c r="P45" i="153" s="1"/>
  <c r="N45" i="151"/>
  <c r="P45" i="151" s="1"/>
  <c r="T45" i="151" s="1"/>
  <c r="N58" i="148"/>
  <c r="P58" i="148" s="1"/>
  <c r="T58" i="148" s="1"/>
  <c r="N63" i="153"/>
  <c r="P63" i="153" s="1"/>
  <c r="T63" i="153" s="1"/>
  <c r="N63" i="149"/>
  <c r="P63" i="149" s="1"/>
  <c r="N34" i="151"/>
  <c r="P34" i="151" s="1"/>
  <c r="N12" i="151"/>
  <c r="P12" i="151" s="1"/>
  <c r="T12" i="151" s="1"/>
  <c r="N12" i="145"/>
  <c r="P12" i="145" s="1"/>
  <c r="N12" i="147"/>
  <c r="P12" i="147" s="1"/>
  <c r="N12" i="149"/>
  <c r="P12" i="149" s="1"/>
  <c r="N12" i="146"/>
  <c r="P12" i="146" s="1"/>
  <c r="N45" i="152"/>
  <c r="P45" i="152" s="1"/>
  <c r="T45" i="152" s="1"/>
  <c r="N45" i="147"/>
  <c r="P45" i="147" s="1"/>
  <c r="T45" i="147" s="1"/>
  <c r="N58" i="149"/>
  <c r="P58" i="149" s="1"/>
  <c r="T58" i="149" s="1"/>
  <c r="N58" i="146"/>
  <c r="P58" i="146" s="1"/>
  <c r="N63" i="152"/>
  <c r="P63" i="152" s="1"/>
  <c r="T63" i="152" s="1"/>
  <c r="N63" i="148"/>
  <c r="P63" i="148" s="1"/>
  <c r="N34" i="153"/>
  <c r="P34" i="153" s="1"/>
  <c r="T34" i="153" s="1"/>
  <c r="N34" i="149"/>
  <c r="P34" i="149" s="1"/>
  <c r="H7" i="147"/>
  <c r="H7" i="148"/>
  <c r="R59" i="152"/>
  <c r="S59" i="152" s="1"/>
  <c r="R22" i="152"/>
  <c r="S22" i="152" s="1"/>
  <c r="R23" i="152"/>
  <c r="S23" i="152" s="1"/>
  <c r="R44" i="152"/>
  <c r="S44" i="152" s="1"/>
  <c r="R19" i="151"/>
  <c r="S19" i="151" s="1"/>
  <c r="R52" i="145"/>
  <c r="S52" i="145" s="1"/>
  <c r="R51" i="148"/>
  <c r="S51" i="148" s="1"/>
  <c r="R51" i="152"/>
  <c r="S51" i="152" s="1"/>
  <c r="R32" i="148"/>
  <c r="S32" i="148" s="1"/>
  <c r="R11" i="151"/>
  <c r="S11" i="151" s="1"/>
  <c r="R73" i="152"/>
  <c r="S73" i="152" s="1"/>
  <c r="R9" i="151"/>
  <c r="S9" i="151" s="1"/>
  <c r="R67" i="152"/>
  <c r="S67" i="152" s="1"/>
  <c r="R71" i="148"/>
  <c r="S71" i="148" s="1"/>
  <c r="R36" i="145"/>
  <c r="S36" i="145" s="1"/>
  <c r="R27" i="149"/>
  <c r="S27" i="149" s="1"/>
  <c r="R39" i="153"/>
  <c r="S39" i="153" s="1"/>
  <c r="R72" i="147"/>
  <c r="S72" i="147" s="1"/>
  <c r="R72" i="151"/>
  <c r="S72" i="151" s="1"/>
  <c r="R14" i="152"/>
  <c r="S14" i="152" s="1"/>
  <c r="R28" i="147"/>
  <c r="S28" i="147" s="1"/>
  <c r="R30" i="145"/>
  <c r="S30" i="145" s="1"/>
  <c r="R30" i="149"/>
  <c r="S30" i="149" s="1"/>
  <c r="R10" i="148"/>
  <c r="S10" i="148" s="1"/>
  <c r="R10" i="153"/>
  <c r="S10" i="153" s="1"/>
  <c r="R16" i="152"/>
  <c r="S16" i="152" s="1"/>
  <c r="R65" i="149"/>
  <c r="S65" i="149" s="1"/>
  <c r="R65" i="153"/>
  <c r="S65" i="153" s="1"/>
  <c r="R35" i="147"/>
  <c r="S35" i="147" s="1"/>
  <c r="R17" i="152"/>
  <c r="S17" i="152" s="1"/>
  <c r="R8" i="149"/>
  <c r="S8" i="149" s="1"/>
  <c r="R68" i="153"/>
  <c r="S68" i="153" s="1"/>
  <c r="R47" i="146"/>
  <c r="S47" i="146" s="1"/>
  <c r="R47" i="153"/>
  <c r="S47" i="153" s="1"/>
  <c r="R75" i="149"/>
  <c r="S75" i="149" s="1"/>
  <c r="R75" i="153"/>
  <c r="S75" i="153" s="1"/>
  <c r="R60" i="148"/>
  <c r="S60" i="148" s="1"/>
  <c r="R60" i="151"/>
  <c r="S60" i="151" s="1"/>
  <c r="R54" i="148"/>
  <c r="S54" i="148" s="1"/>
  <c r="R29" i="147"/>
  <c r="S29" i="147" s="1"/>
  <c r="R21" i="146"/>
  <c r="S21" i="146" s="1"/>
  <c r="R21" i="152"/>
  <c r="S21" i="152" s="1"/>
  <c r="R66" i="147"/>
  <c r="S66" i="147" s="1"/>
  <c r="R26" i="148"/>
  <c r="S26" i="148" s="1"/>
  <c r="R50" i="145"/>
  <c r="S50" i="145" s="1"/>
  <c r="R43" i="145"/>
  <c r="S43" i="145" s="1"/>
  <c r="R37" i="145"/>
  <c r="S37" i="145" s="1"/>
  <c r="R37" i="153"/>
  <c r="S37" i="153" s="1"/>
  <c r="R59" i="148"/>
  <c r="S59" i="148" s="1"/>
  <c r="R22" i="147"/>
  <c r="S22" i="147" s="1"/>
  <c r="R22" i="151"/>
  <c r="S22" i="151" s="1"/>
  <c r="R23" i="151"/>
  <c r="S23" i="151" s="1"/>
  <c r="R13" i="146"/>
  <c r="S13" i="146" s="1"/>
  <c r="R13" i="152"/>
  <c r="S13" i="152" s="1"/>
  <c r="R56" i="145"/>
  <c r="S56" i="145" s="1"/>
  <c r="R19" i="149"/>
  <c r="S19" i="149" s="1"/>
  <c r="R19" i="153"/>
  <c r="S19" i="153" s="1"/>
  <c r="R51" i="146"/>
  <c r="S51" i="146" s="1"/>
  <c r="R51" i="151"/>
  <c r="S51" i="151" s="1"/>
  <c r="R20" i="147"/>
  <c r="S20" i="147" s="1"/>
  <c r="R32" i="145"/>
  <c r="S32" i="145" s="1"/>
  <c r="R32" i="149"/>
  <c r="S32" i="149" s="1"/>
  <c r="R11" i="146"/>
  <c r="S11" i="146" s="1"/>
  <c r="R11" i="152"/>
  <c r="S11" i="152" s="1"/>
  <c r="R41" i="145"/>
  <c r="S41" i="145" s="1"/>
  <c r="R73" i="147"/>
  <c r="S73" i="147" s="1"/>
  <c r="R73" i="151"/>
  <c r="S73" i="151" s="1"/>
  <c r="R48" i="146"/>
  <c r="S48" i="146" s="1"/>
  <c r="R48" i="149"/>
  <c r="S48" i="149" s="1"/>
  <c r="R48" i="153"/>
  <c r="S48" i="153" s="1"/>
  <c r="R24" i="149"/>
  <c r="S24" i="149" s="1"/>
  <c r="R67" i="146"/>
  <c r="S67" i="146" s="1"/>
  <c r="R67" i="151"/>
  <c r="S67" i="151" s="1"/>
  <c r="R46" i="145"/>
  <c r="S46" i="145" s="1"/>
  <c r="R36" i="151"/>
  <c r="S36" i="151" s="1"/>
  <c r="R27" i="146"/>
  <c r="S27" i="146" s="1"/>
  <c r="R27" i="152"/>
  <c r="S27" i="152" s="1"/>
  <c r="R39" i="152"/>
  <c r="S39" i="152" s="1"/>
  <c r="R72" i="148"/>
  <c r="S72" i="148" s="1"/>
  <c r="R14" i="147"/>
  <c r="S14" i="147" s="1"/>
  <c r="R28" i="148"/>
  <c r="S28" i="148" s="1"/>
  <c r="R28" i="152"/>
  <c r="S28" i="152" s="1"/>
  <c r="R30" i="151"/>
  <c r="S30" i="151" s="1"/>
  <c r="R10" i="147"/>
  <c r="S10" i="147" s="1"/>
  <c r="R16" i="147"/>
  <c r="S16" i="147" s="1"/>
  <c r="R65" i="145"/>
  <c r="S65" i="145" s="1"/>
  <c r="R65" i="152"/>
  <c r="S65" i="152" s="1"/>
  <c r="R17" i="148"/>
  <c r="S17" i="148" s="1"/>
  <c r="R8" i="147"/>
  <c r="S8" i="147" s="1"/>
  <c r="R68" i="147"/>
  <c r="S68" i="147" s="1"/>
  <c r="R57" i="152"/>
  <c r="S57" i="152" s="1"/>
  <c r="R47" i="151"/>
  <c r="S47" i="151" s="1"/>
  <c r="R75" i="152"/>
  <c r="S75" i="152" s="1"/>
  <c r="R60" i="145"/>
  <c r="S60" i="145" s="1"/>
  <c r="R54" i="147"/>
  <c r="S54" i="147" s="1"/>
  <c r="R29" i="152"/>
  <c r="S29" i="152" s="1"/>
  <c r="R66" i="148"/>
  <c r="S66" i="148" s="1"/>
  <c r="R26" i="147"/>
  <c r="S26" i="147" s="1"/>
  <c r="R43" i="149"/>
  <c r="S43" i="149" s="1"/>
  <c r="R37" i="152"/>
  <c r="S37" i="152" s="1"/>
  <c r="N45" i="146"/>
  <c r="P45" i="146" s="1"/>
  <c r="T45" i="146" s="1"/>
  <c r="N45" i="148"/>
  <c r="P45" i="148" s="1"/>
  <c r="T45" i="148" s="1"/>
  <c r="N45" i="145"/>
  <c r="P45" i="145" s="1"/>
  <c r="T45" i="145" s="1"/>
  <c r="N58" i="152"/>
  <c r="P58" i="152" s="1"/>
  <c r="T58" i="152" s="1"/>
  <c r="N58" i="147"/>
  <c r="P58" i="147" s="1"/>
  <c r="T58" i="147" s="1"/>
  <c r="N63" i="151"/>
  <c r="P63" i="151" s="1"/>
  <c r="T63" i="151" s="1"/>
  <c r="N63" i="145"/>
  <c r="P63" i="145" s="1"/>
  <c r="T63" i="145" s="1"/>
  <c r="N63" i="146"/>
  <c r="P63" i="146" s="1"/>
  <c r="T63" i="146" s="1"/>
  <c r="N34" i="152"/>
  <c r="P34" i="152" s="1"/>
  <c r="T34" i="152" s="1"/>
  <c r="N34" i="148"/>
  <c r="P34" i="148" s="1"/>
  <c r="T34" i="148" s="1"/>
  <c r="N34" i="146"/>
  <c r="P34" i="146" s="1"/>
  <c r="T34" i="146" s="1"/>
  <c r="H7" i="145"/>
  <c r="H7" i="152"/>
  <c r="H7" i="153"/>
  <c r="N45" i="149"/>
  <c r="P45" i="149" s="1"/>
  <c r="T45" i="149" s="1"/>
  <c r="N58" i="153"/>
  <c r="P58" i="153" s="1"/>
  <c r="T58" i="153" s="1"/>
  <c r="N58" i="151"/>
  <c r="P58" i="151" s="1"/>
  <c r="T58" i="151" s="1"/>
  <c r="N58" i="145"/>
  <c r="P58" i="145" s="1"/>
  <c r="T58" i="145" s="1"/>
  <c r="N63" i="147"/>
  <c r="P63" i="147" s="1"/>
  <c r="T63" i="147" s="1"/>
  <c r="N34" i="147"/>
  <c r="P34" i="147" s="1"/>
  <c r="T34" i="147" s="1"/>
  <c r="N34" i="145"/>
  <c r="P34" i="145" s="1"/>
  <c r="T34" i="145" s="1"/>
  <c r="R22" i="148"/>
  <c r="S22" i="148" s="1"/>
  <c r="R62" i="147"/>
  <c r="S62" i="147" s="1"/>
  <c r="R23" i="149"/>
  <c r="S23" i="149" s="1"/>
  <c r="R23" i="153"/>
  <c r="S23" i="153" s="1"/>
  <c r="R13" i="151"/>
  <c r="S13" i="151" s="1"/>
  <c r="R52" i="147"/>
  <c r="S52" i="147" s="1"/>
  <c r="R52" i="152"/>
  <c r="S52" i="152" s="1"/>
  <c r="R20" i="148"/>
  <c r="S20" i="148" s="1"/>
  <c r="R20" i="151"/>
  <c r="S20" i="151" s="1"/>
  <c r="R32" i="151"/>
  <c r="S32" i="151" s="1"/>
  <c r="R41" i="152"/>
  <c r="S41" i="152" s="1"/>
  <c r="R9" i="148"/>
  <c r="S9" i="148" s="1"/>
  <c r="R24" i="147"/>
  <c r="S24" i="147" s="1"/>
  <c r="R46" i="153"/>
  <c r="S46" i="153" s="1"/>
  <c r="R36" i="147"/>
  <c r="S36" i="147" s="1"/>
  <c r="R27" i="145"/>
  <c r="S27" i="145" s="1"/>
  <c r="R27" i="153"/>
  <c r="S27" i="153" s="1"/>
  <c r="R72" i="145"/>
  <c r="S72" i="145" s="1"/>
  <c r="R72" i="149"/>
  <c r="S72" i="149" s="1"/>
  <c r="R72" i="153"/>
  <c r="S72" i="153" s="1"/>
  <c r="R28" i="145"/>
  <c r="S28" i="145" s="1"/>
  <c r="R30" i="147"/>
  <c r="S30" i="147" s="1"/>
  <c r="R10" i="152"/>
  <c r="S10" i="152" s="1"/>
  <c r="R16" i="145"/>
  <c r="S16" i="145" s="1"/>
  <c r="R65" i="146"/>
  <c r="S65" i="146" s="1"/>
  <c r="R65" i="151"/>
  <c r="S65" i="151" s="1"/>
  <c r="R35" i="145"/>
  <c r="S35" i="145" s="1"/>
  <c r="R17" i="149"/>
  <c r="S17" i="149" s="1"/>
  <c r="R17" i="153"/>
  <c r="S17" i="153" s="1"/>
  <c r="R8" i="145"/>
  <c r="S8" i="145" s="1"/>
  <c r="R8" i="152"/>
  <c r="S8" i="152" s="1"/>
  <c r="R47" i="149"/>
  <c r="S47" i="149" s="1"/>
  <c r="R75" i="147"/>
  <c r="S75" i="147" s="1"/>
  <c r="R75" i="151"/>
  <c r="S75" i="151" s="1"/>
  <c r="R60" i="146"/>
  <c r="S60" i="146" s="1"/>
  <c r="R60" i="149"/>
  <c r="S60" i="149" s="1"/>
  <c r="R60" i="153"/>
  <c r="S60" i="153" s="1"/>
  <c r="R29" i="145"/>
  <c r="S29" i="145" s="1"/>
  <c r="R29" i="153"/>
  <c r="S29" i="153" s="1"/>
  <c r="R21" i="149"/>
  <c r="S21" i="149" s="1"/>
  <c r="R21" i="153"/>
  <c r="S21" i="153" s="1"/>
  <c r="R66" i="153"/>
  <c r="S66" i="153" s="1"/>
  <c r="R26" i="153"/>
  <c r="S26" i="153" s="1"/>
  <c r="R50" i="153"/>
  <c r="S50" i="153" s="1"/>
  <c r="R43" i="153"/>
  <c r="S43" i="153" s="1"/>
  <c r="R37" i="147"/>
  <c r="S37" i="147" s="1"/>
  <c r="N12" i="153"/>
  <c r="P12" i="153" s="1"/>
  <c r="T12" i="153" s="1"/>
  <c r="N12" i="152"/>
  <c r="P12" i="152" s="1"/>
  <c r="T12" i="152" s="1"/>
  <c r="N12" i="148"/>
  <c r="P12" i="148" s="1"/>
  <c r="T12" i="148" s="1"/>
  <c r="R59" i="146"/>
  <c r="S59" i="146" s="1"/>
  <c r="R59" i="151"/>
  <c r="S59" i="151" s="1"/>
  <c r="R62" i="153"/>
  <c r="S62" i="153" s="1"/>
  <c r="R25" i="153"/>
  <c r="S25" i="153" s="1"/>
  <c r="R13" i="149"/>
  <c r="S13" i="149" s="1"/>
  <c r="R13" i="153"/>
  <c r="S13" i="153" s="1"/>
  <c r="R19" i="145"/>
  <c r="S19" i="145" s="1"/>
  <c r="R19" i="152"/>
  <c r="S19" i="152" s="1"/>
  <c r="R52" i="153"/>
  <c r="S52" i="153" s="1"/>
  <c r="R51" i="149"/>
  <c r="S51" i="149" s="1"/>
  <c r="R51" i="153"/>
  <c r="S51" i="153" s="1"/>
  <c r="R20" i="152"/>
  <c r="S20" i="152" s="1"/>
  <c r="R32" i="147"/>
  <c r="S32" i="147" s="1"/>
  <c r="R11" i="149"/>
  <c r="S11" i="149" s="1"/>
  <c r="R11" i="153"/>
  <c r="S11" i="153" s="1"/>
  <c r="R41" i="147"/>
  <c r="S41" i="147" s="1"/>
  <c r="R73" i="149"/>
  <c r="S73" i="149" s="1"/>
  <c r="R73" i="153"/>
  <c r="S73" i="153" s="1"/>
  <c r="R48" i="145"/>
  <c r="S48" i="145" s="1"/>
  <c r="R48" i="151"/>
  <c r="S48" i="151" s="1"/>
  <c r="R9" i="152"/>
  <c r="S9" i="152" s="1"/>
  <c r="R24" i="148"/>
  <c r="S24" i="148" s="1"/>
  <c r="R24" i="152"/>
  <c r="S24" i="152" s="1"/>
  <c r="R67" i="145"/>
  <c r="S67" i="145" s="1"/>
  <c r="R46" i="148"/>
  <c r="S46" i="148" s="1"/>
  <c r="R71" i="153"/>
  <c r="S71" i="153" s="1"/>
  <c r="R36" i="152"/>
  <c r="S36" i="152" s="1"/>
  <c r="R39" i="148"/>
  <c r="S39" i="148" s="1"/>
  <c r="R72" i="146"/>
  <c r="S72" i="146" s="1"/>
  <c r="R72" i="152"/>
  <c r="S72" i="152" s="1"/>
  <c r="R14" i="148"/>
  <c r="S14" i="148" s="1"/>
  <c r="R14" i="151"/>
  <c r="S14" i="151" s="1"/>
  <c r="R28" i="151"/>
  <c r="S28" i="151" s="1"/>
  <c r="R30" i="148"/>
  <c r="S30" i="148" s="1"/>
  <c r="R30" i="152"/>
  <c r="S30" i="152" s="1"/>
  <c r="R65" i="148"/>
  <c r="S65" i="148" s="1"/>
  <c r="R35" i="152"/>
  <c r="S35" i="152" s="1"/>
  <c r="R17" i="151"/>
  <c r="S17" i="151" s="1"/>
  <c r="R75" i="148"/>
  <c r="S75" i="148" s="1"/>
  <c r="R60" i="147"/>
  <c r="S60" i="147" s="1"/>
  <c r="R60" i="152"/>
  <c r="S60" i="152" s="1"/>
  <c r="R21" i="151"/>
  <c r="S21" i="151" s="1"/>
  <c r="R50" i="152"/>
  <c r="S50" i="152" s="1"/>
  <c r="G82" i="139"/>
  <c r="R23" i="144"/>
  <c r="S23" i="144" s="1"/>
  <c r="L7" i="144"/>
  <c r="M7" i="144" s="1"/>
  <c r="R46" i="144"/>
  <c r="S46" i="144" s="1"/>
  <c r="R22" i="144"/>
  <c r="S22" i="144" s="1"/>
  <c r="R62" i="144"/>
  <c r="S62" i="144" s="1"/>
  <c r="N63" i="144"/>
  <c r="P63" i="144" s="1"/>
  <c r="T63" i="144" s="1"/>
  <c r="N58" i="144"/>
  <c r="P58" i="144" s="1"/>
  <c r="T58" i="144" s="1"/>
  <c r="N12" i="144"/>
  <c r="P12" i="144" s="1"/>
  <c r="T12" i="144" s="1"/>
  <c r="N34" i="144"/>
  <c r="P34" i="144" s="1"/>
  <c r="T34" i="144" s="1"/>
  <c r="H7" i="141"/>
  <c r="H7" i="140"/>
  <c r="F81" i="139"/>
  <c r="W12" i="67"/>
  <c r="D10" i="72" s="1"/>
  <c r="W69" i="67"/>
  <c r="D67" i="72" s="1"/>
  <c r="W7" i="67"/>
  <c r="D5" i="72" s="1"/>
  <c r="W39" i="67"/>
  <c r="D37" i="72" s="1"/>
  <c r="W17" i="67"/>
  <c r="D15" i="72" s="1"/>
  <c r="W68" i="67"/>
  <c r="D66" i="72" s="1"/>
  <c r="W30" i="67"/>
  <c r="D28" i="72" s="1"/>
  <c r="W40" i="67"/>
  <c r="D38" i="72" s="1"/>
  <c r="W18" i="67"/>
  <c r="D16" i="72" s="1"/>
  <c r="W67" i="67"/>
  <c r="D65" i="72" s="1"/>
  <c r="W27" i="67"/>
  <c r="D25" i="72" s="1"/>
  <c r="W15" i="67"/>
  <c r="D13" i="72" s="1"/>
  <c r="W41" i="67"/>
  <c r="D39" i="72" s="1"/>
  <c r="W55" i="67"/>
  <c r="D53" i="72" s="1"/>
  <c r="W66" i="67"/>
  <c r="D64" i="72" s="1"/>
  <c r="W34" i="67"/>
  <c r="D32" i="72" s="1"/>
  <c r="W29" i="67"/>
  <c r="D27" i="72" s="1"/>
  <c r="W24" i="67"/>
  <c r="D22" i="72" s="1"/>
  <c r="W48" i="67"/>
  <c r="D46" i="72" s="1"/>
  <c r="W49" i="67"/>
  <c r="D47" i="72" s="1"/>
  <c r="W32" i="67"/>
  <c r="D30" i="72" s="1"/>
  <c r="W51" i="67"/>
  <c r="D49" i="72" s="1"/>
  <c r="W54" i="67"/>
  <c r="D52" i="72" s="1"/>
  <c r="W74" i="67"/>
  <c r="D72" i="72" s="1"/>
  <c r="W72" i="67"/>
  <c r="D70" i="72" s="1"/>
  <c r="W50" i="67"/>
  <c r="D48" i="72" s="1"/>
  <c r="W53" i="67"/>
  <c r="D51" i="72" s="1"/>
  <c r="W38" i="67"/>
  <c r="D36" i="72" s="1"/>
  <c r="W43" i="67"/>
  <c r="D41" i="72" s="1"/>
  <c r="W36" i="67"/>
  <c r="D34" i="72" s="1"/>
  <c r="W59" i="67"/>
  <c r="D57" i="72" s="1"/>
  <c r="W10" i="67"/>
  <c r="D8" i="72" s="1"/>
  <c r="W9" i="67"/>
  <c r="D7" i="72" s="1"/>
  <c r="W20" i="67"/>
  <c r="D18" i="72" s="1"/>
  <c r="W31" i="67"/>
  <c r="D29" i="72" s="1"/>
  <c r="W25" i="67"/>
  <c r="D23" i="72" s="1"/>
  <c r="W47" i="67"/>
  <c r="D45" i="72" s="1"/>
  <c r="W64" i="67"/>
  <c r="D62" i="72" s="1"/>
  <c r="W65" i="67"/>
  <c r="D63" i="72" s="1"/>
  <c r="W35" i="67"/>
  <c r="D33" i="72" s="1"/>
  <c r="W56" i="67"/>
  <c r="D54" i="72" s="1"/>
  <c r="W8" i="67"/>
  <c r="D6" i="72" s="1"/>
  <c r="W13" i="67"/>
  <c r="D11" i="72" s="1"/>
  <c r="W19" i="67"/>
  <c r="D17" i="72" s="1"/>
  <c r="V6" i="67"/>
  <c r="W6" i="67" s="1"/>
  <c r="D4" i="72" s="1"/>
  <c r="D4" i="100"/>
  <c r="R14" i="67"/>
  <c r="T14" i="67" s="1"/>
  <c r="M13" i="129"/>
  <c r="N13" i="129" s="1"/>
  <c r="P13" i="129" s="1"/>
  <c r="M66" i="129"/>
  <c r="N66" i="129" s="1"/>
  <c r="P66" i="129" s="1"/>
  <c r="M29" i="129"/>
  <c r="N29" i="129" s="1"/>
  <c r="P29" i="129" s="1"/>
  <c r="M35" i="129"/>
  <c r="N35" i="129" s="1"/>
  <c r="P35" i="129" s="1"/>
  <c r="M75" i="129"/>
  <c r="N75" i="129" s="1"/>
  <c r="P75" i="129" s="1"/>
  <c r="M56" i="129"/>
  <c r="N56" i="129" s="1"/>
  <c r="P56" i="129" s="1"/>
  <c r="M8" i="129"/>
  <c r="N8" i="129" s="1"/>
  <c r="P8" i="129" s="1"/>
  <c r="M16" i="129"/>
  <c r="N16" i="129" s="1"/>
  <c r="P16" i="129" s="1"/>
  <c r="M32" i="129"/>
  <c r="N32" i="129" s="1"/>
  <c r="P32" i="129" s="1"/>
  <c r="M36" i="129"/>
  <c r="N36" i="129" s="1"/>
  <c r="P36" i="129" s="1"/>
  <c r="M10" i="129"/>
  <c r="N10" i="129" s="1"/>
  <c r="P10" i="129" s="1"/>
  <c r="M72" i="129"/>
  <c r="N72" i="129" s="1"/>
  <c r="P72" i="129" s="1"/>
  <c r="M41" i="129"/>
  <c r="N41" i="129" s="1"/>
  <c r="P41" i="129" s="1"/>
  <c r="M47" i="129"/>
  <c r="N47" i="129" s="1"/>
  <c r="P47" i="129" s="1"/>
  <c r="M50" i="129"/>
  <c r="N50" i="129" s="1"/>
  <c r="P50" i="129" s="1"/>
  <c r="M9" i="129"/>
  <c r="N9" i="129" s="1"/>
  <c r="P9" i="129" s="1"/>
  <c r="M65" i="129"/>
  <c r="N65" i="129" s="1"/>
  <c r="P65" i="129" s="1"/>
  <c r="M27" i="129"/>
  <c r="N27" i="129" s="1"/>
  <c r="P27" i="129" s="1"/>
  <c r="M24" i="129"/>
  <c r="N24" i="129" s="1"/>
  <c r="P24" i="129" s="1"/>
  <c r="M18" i="129"/>
  <c r="N18" i="129" s="1"/>
  <c r="P18" i="129" s="1"/>
  <c r="M48" i="129"/>
  <c r="N48" i="129" s="1"/>
  <c r="P48" i="129" s="1"/>
  <c r="M20" i="129"/>
  <c r="N20" i="129" s="1"/>
  <c r="P20" i="129" s="1"/>
  <c r="M14" i="129"/>
  <c r="N14" i="129" s="1"/>
  <c r="P14" i="129" s="1"/>
  <c r="E7" i="129"/>
  <c r="H7" i="129" s="1"/>
  <c r="M73" i="129"/>
  <c r="N73" i="129" s="1"/>
  <c r="P73" i="129" s="1"/>
  <c r="M26" i="129"/>
  <c r="N26" i="129" s="1"/>
  <c r="P26" i="129" s="1"/>
  <c r="M39" i="129"/>
  <c r="N39" i="129" s="1"/>
  <c r="P39" i="129" s="1"/>
  <c r="M60" i="129"/>
  <c r="N60" i="129" s="1"/>
  <c r="P60" i="129" s="1"/>
  <c r="M52" i="129"/>
  <c r="N52" i="129" s="1"/>
  <c r="P52" i="129" s="1"/>
  <c r="M67" i="129"/>
  <c r="N67" i="129" s="1"/>
  <c r="P67" i="129" s="1"/>
  <c r="M37" i="129"/>
  <c r="N37" i="129" s="1"/>
  <c r="P37" i="129" s="1"/>
  <c r="M33" i="129"/>
  <c r="N33" i="129" s="1"/>
  <c r="P33" i="129" s="1"/>
  <c r="M57" i="129"/>
  <c r="N57" i="129" s="1"/>
  <c r="P57" i="129" s="1"/>
  <c r="M51" i="129"/>
  <c r="N51" i="129" s="1"/>
  <c r="P51" i="129" s="1"/>
  <c r="M25" i="129"/>
  <c r="N25" i="129" s="1"/>
  <c r="P25" i="129" s="1"/>
  <c r="M11" i="129"/>
  <c r="N11" i="129" s="1"/>
  <c r="P11" i="129" s="1"/>
  <c r="M17" i="129"/>
  <c r="N17" i="129" s="1"/>
  <c r="P17" i="129" s="1"/>
  <c r="M68" i="129"/>
  <c r="N68" i="129" s="1"/>
  <c r="P68" i="129" s="1"/>
  <c r="M19" i="129"/>
  <c r="N19" i="129" s="1"/>
  <c r="P19" i="129" s="1"/>
  <c r="M21" i="129"/>
  <c r="N21" i="129" s="1"/>
  <c r="P21" i="129" s="1"/>
  <c r="M43" i="129"/>
  <c r="N43" i="129" s="1"/>
  <c r="P43" i="129" s="1"/>
  <c r="M54" i="129"/>
  <c r="N54" i="129" s="1"/>
  <c r="P54" i="129" s="1"/>
  <c r="M28" i="129"/>
  <c r="N28" i="129" s="1"/>
  <c r="P28" i="129" s="1"/>
  <c r="M30" i="129"/>
  <c r="N30" i="129" s="1"/>
  <c r="P30" i="129" s="1"/>
  <c r="M44" i="129"/>
  <c r="N44" i="129" s="1"/>
  <c r="P44" i="129" s="1"/>
  <c r="E7" i="119"/>
  <c r="H7" i="119" s="1"/>
  <c r="E7" i="128"/>
  <c r="H7" i="128" s="1"/>
  <c r="E6" i="76"/>
  <c r="H6" i="76" s="1"/>
  <c r="E7" i="127"/>
  <c r="H7" i="127" s="1"/>
  <c r="E7" i="116"/>
  <c r="H7" i="116" s="1"/>
  <c r="E7" i="113"/>
  <c r="H7" i="113" s="1"/>
  <c r="I6" i="80"/>
  <c r="E37" i="81"/>
  <c r="AF73" i="1"/>
  <c r="AO12" i="1"/>
  <c r="AK12" i="1"/>
  <c r="AH12" i="1"/>
  <c r="AG73" i="1"/>
  <c r="H6" i="80"/>
  <c r="H7" i="126"/>
  <c r="H7" i="118"/>
  <c r="H7" i="131"/>
  <c r="I6" i="76"/>
  <c r="H55" i="166" l="1"/>
  <c r="G55" i="166"/>
  <c r="H69" i="81"/>
  <c r="G69" i="81"/>
  <c r="L55" i="139"/>
  <c r="F54" i="139"/>
  <c r="H55" i="139"/>
  <c r="G55" i="139"/>
  <c r="T57" i="144"/>
  <c r="R57" i="144"/>
  <c r="S57" i="144" s="1"/>
  <c r="H72" i="31"/>
  <c r="R44" i="129"/>
  <c r="S44" i="129" s="1"/>
  <c r="T44" i="129"/>
  <c r="R25" i="129"/>
  <c r="S25" i="129" s="1"/>
  <c r="T25" i="129"/>
  <c r="R12" i="149"/>
  <c r="S12" i="149" s="1"/>
  <c r="T12" i="149"/>
  <c r="R12" i="145"/>
  <c r="S12" i="145" s="1"/>
  <c r="T12" i="145"/>
  <c r="R34" i="151"/>
  <c r="S34" i="151" s="1"/>
  <c r="T34" i="151"/>
  <c r="R45" i="144"/>
  <c r="S45" i="144" s="1"/>
  <c r="T45" i="144"/>
  <c r="R33" i="147"/>
  <c r="S33" i="147" s="1"/>
  <c r="T33" i="147"/>
  <c r="R39" i="145"/>
  <c r="S39" i="145" s="1"/>
  <c r="T39" i="145"/>
  <c r="R28" i="129"/>
  <c r="S28" i="129" s="1"/>
  <c r="T28" i="129"/>
  <c r="R43" i="129"/>
  <c r="S43" i="129" s="1"/>
  <c r="T43" i="129"/>
  <c r="R19" i="129"/>
  <c r="S19" i="129" s="1"/>
  <c r="T19" i="129"/>
  <c r="R17" i="129"/>
  <c r="S17" i="129" s="1"/>
  <c r="T17" i="129"/>
  <c r="R57" i="129"/>
  <c r="S57" i="129" s="1"/>
  <c r="T57" i="129"/>
  <c r="R37" i="129"/>
  <c r="S37" i="129" s="1"/>
  <c r="T37" i="129"/>
  <c r="R52" i="129"/>
  <c r="S52" i="129" s="1"/>
  <c r="T52" i="129"/>
  <c r="R39" i="129"/>
  <c r="S39" i="129" s="1"/>
  <c r="T39" i="129"/>
  <c r="R73" i="129"/>
  <c r="S73" i="129" s="1"/>
  <c r="T73" i="129"/>
  <c r="R14" i="129"/>
  <c r="S14" i="129" s="1"/>
  <c r="T14" i="129"/>
  <c r="R48" i="129"/>
  <c r="S48" i="129" s="1"/>
  <c r="T48" i="129"/>
  <c r="R24" i="129"/>
  <c r="S24" i="129" s="1"/>
  <c r="T24" i="129"/>
  <c r="R65" i="129"/>
  <c r="S65" i="129" s="1"/>
  <c r="T65" i="129"/>
  <c r="R50" i="129"/>
  <c r="S50" i="129" s="1"/>
  <c r="T50" i="129"/>
  <c r="R41" i="129"/>
  <c r="S41" i="129" s="1"/>
  <c r="T41" i="129"/>
  <c r="R10" i="129"/>
  <c r="S10" i="129" s="1"/>
  <c r="T10" i="129"/>
  <c r="R32" i="129"/>
  <c r="S32" i="129" s="1"/>
  <c r="T32" i="129"/>
  <c r="R8" i="129"/>
  <c r="S8" i="129" s="1"/>
  <c r="T8" i="129"/>
  <c r="R75" i="129"/>
  <c r="S75" i="129" s="1"/>
  <c r="T75" i="129"/>
  <c r="R29" i="129"/>
  <c r="S29" i="129" s="1"/>
  <c r="T29" i="129"/>
  <c r="R13" i="129"/>
  <c r="S13" i="129" s="1"/>
  <c r="T13" i="129"/>
  <c r="R30" i="129"/>
  <c r="S30" i="129" s="1"/>
  <c r="T30" i="129"/>
  <c r="R54" i="129"/>
  <c r="S54" i="129" s="1"/>
  <c r="T54" i="129"/>
  <c r="R21" i="129"/>
  <c r="S21" i="129" s="1"/>
  <c r="T21" i="129"/>
  <c r="R68" i="129"/>
  <c r="S68" i="129" s="1"/>
  <c r="T68" i="129"/>
  <c r="R11" i="129"/>
  <c r="S11" i="129" s="1"/>
  <c r="T11" i="129"/>
  <c r="R51" i="129"/>
  <c r="S51" i="129" s="1"/>
  <c r="T51" i="129"/>
  <c r="R33" i="129"/>
  <c r="S33" i="129" s="1"/>
  <c r="T33" i="129"/>
  <c r="R67" i="129"/>
  <c r="S67" i="129" s="1"/>
  <c r="T67" i="129"/>
  <c r="R60" i="129"/>
  <c r="S60" i="129" s="1"/>
  <c r="T60" i="129"/>
  <c r="R26" i="129"/>
  <c r="S26" i="129" s="1"/>
  <c r="T26" i="129"/>
  <c r="R20" i="129"/>
  <c r="S20" i="129" s="1"/>
  <c r="T20" i="129"/>
  <c r="R18" i="129"/>
  <c r="S18" i="129" s="1"/>
  <c r="T18" i="129"/>
  <c r="R27" i="129"/>
  <c r="S27" i="129" s="1"/>
  <c r="T27" i="129"/>
  <c r="R9" i="129"/>
  <c r="S9" i="129" s="1"/>
  <c r="T9" i="129"/>
  <c r="R47" i="129"/>
  <c r="S47" i="129" s="1"/>
  <c r="T47" i="129"/>
  <c r="R72" i="129"/>
  <c r="S72" i="129" s="1"/>
  <c r="T72" i="129"/>
  <c r="R36" i="129"/>
  <c r="S36" i="129" s="1"/>
  <c r="T36" i="129"/>
  <c r="R16" i="129"/>
  <c r="S16" i="129" s="1"/>
  <c r="T16" i="129"/>
  <c r="R56" i="129"/>
  <c r="S56" i="129" s="1"/>
  <c r="T56" i="129"/>
  <c r="R35" i="129"/>
  <c r="S35" i="129" s="1"/>
  <c r="T35" i="129"/>
  <c r="R66" i="129"/>
  <c r="S66" i="129" s="1"/>
  <c r="T66" i="129"/>
  <c r="R34" i="149"/>
  <c r="S34" i="149" s="1"/>
  <c r="T34" i="149"/>
  <c r="R63" i="148"/>
  <c r="S63" i="148" s="1"/>
  <c r="T63" i="148"/>
  <c r="R58" i="146"/>
  <c r="S58" i="146" s="1"/>
  <c r="T58" i="146"/>
  <c r="R12" i="146"/>
  <c r="S12" i="146" s="1"/>
  <c r="T12" i="146"/>
  <c r="R12" i="147"/>
  <c r="S12" i="147" s="1"/>
  <c r="T12" i="147"/>
  <c r="R63" i="149"/>
  <c r="S63" i="149" s="1"/>
  <c r="T63" i="149"/>
  <c r="R45" i="153"/>
  <c r="S45" i="153" s="1"/>
  <c r="T45" i="153"/>
  <c r="R18" i="152"/>
  <c r="S18" i="152" s="1"/>
  <c r="T18" i="152"/>
  <c r="I44" i="67"/>
  <c r="M44" i="67" s="1"/>
  <c r="X44" i="67" s="1"/>
  <c r="I47" i="67"/>
  <c r="M47" i="67" s="1"/>
  <c r="X47" i="67" s="1"/>
  <c r="I58" i="67"/>
  <c r="M58" i="67" s="1"/>
  <c r="X58" i="67" s="1"/>
  <c r="I62" i="67"/>
  <c r="M62" i="67" s="1"/>
  <c r="X62" i="67" s="1"/>
  <c r="I11" i="67"/>
  <c r="M11" i="67" s="1"/>
  <c r="X11" i="67" s="1"/>
  <c r="F36" i="166"/>
  <c r="G31" i="166"/>
  <c r="H31" i="166"/>
  <c r="G57" i="81"/>
  <c r="H84" i="139"/>
  <c r="G59" i="81"/>
  <c r="R33" i="145"/>
  <c r="S33" i="145" s="1"/>
  <c r="R18" i="147"/>
  <c r="S18" i="147" s="1"/>
  <c r="R33" i="152"/>
  <c r="S33" i="152" s="1"/>
  <c r="R57" i="146"/>
  <c r="S57" i="146" s="1"/>
  <c r="R18" i="148"/>
  <c r="S18" i="148" s="1"/>
  <c r="R9" i="147"/>
  <c r="S9" i="147" s="1"/>
  <c r="R57" i="147"/>
  <c r="S57" i="147" s="1"/>
  <c r="R31" i="146"/>
  <c r="S31" i="146" s="1"/>
  <c r="R71" i="145"/>
  <c r="S71" i="145" s="1"/>
  <c r="R57" i="151"/>
  <c r="S57" i="151" s="1"/>
  <c r="R57" i="153"/>
  <c r="S57" i="153" s="1"/>
  <c r="R25" i="146"/>
  <c r="S25" i="146" s="1"/>
  <c r="R67" i="148"/>
  <c r="S67" i="148" s="1"/>
  <c r="R9" i="146"/>
  <c r="S9" i="146" s="1"/>
  <c r="R57" i="145"/>
  <c r="S57" i="145" s="1"/>
  <c r="R39" i="147"/>
  <c r="S39" i="147" s="1"/>
  <c r="R54" i="144"/>
  <c r="S54" i="144" s="1"/>
  <c r="R25" i="151"/>
  <c r="S25" i="151" s="1"/>
  <c r="R19" i="146"/>
  <c r="S19" i="146" s="1"/>
  <c r="R9" i="149"/>
  <c r="S9" i="149" s="1"/>
  <c r="R54" i="145"/>
  <c r="S54" i="145" s="1"/>
  <c r="R71" i="149"/>
  <c r="S71" i="149" s="1"/>
  <c r="R9" i="153"/>
  <c r="S9" i="153" s="1"/>
  <c r="R71" i="151"/>
  <c r="S71" i="151" s="1"/>
  <c r="R25" i="152"/>
  <c r="S25" i="152" s="1"/>
  <c r="R67" i="144"/>
  <c r="S67" i="144" s="1"/>
  <c r="R25" i="149"/>
  <c r="S25" i="149" s="1"/>
  <c r="R8" i="148"/>
  <c r="S8" i="148" s="1"/>
  <c r="R72" i="144"/>
  <c r="S72" i="144" s="1"/>
  <c r="R39" i="146"/>
  <c r="S39" i="146" s="1"/>
  <c r="R57" i="148"/>
  <c r="S57" i="148" s="1"/>
  <c r="R31" i="145"/>
  <c r="S31" i="145" s="1"/>
  <c r="R71" i="152"/>
  <c r="S71" i="152" s="1"/>
  <c r="R71" i="144"/>
  <c r="S71" i="144" s="1"/>
  <c r="R18" i="144"/>
  <c r="S18" i="144" s="1"/>
  <c r="R31" i="147"/>
  <c r="S31" i="147" s="1"/>
  <c r="R71" i="147"/>
  <c r="S71" i="147" s="1"/>
  <c r="R54" i="151"/>
  <c r="S54" i="151" s="1"/>
  <c r="R31" i="151"/>
  <c r="S31" i="151" s="1"/>
  <c r="R31" i="144"/>
  <c r="S31" i="144" s="1"/>
  <c r="R31" i="149"/>
  <c r="S31" i="149" s="1"/>
  <c r="R70" i="153"/>
  <c r="S70" i="153" s="1"/>
  <c r="G30" i="139"/>
  <c r="R75" i="67"/>
  <c r="R81" i="67" s="1"/>
  <c r="R70" i="146"/>
  <c r="S70" i="146" s="1"/>
  <c r="R70" i="151"/>
  <c r="S70" i="151" s="1"/>
  <c r="H30" i="139"/>
  <c r="F31" i="139"/>
  <c r="L31" i="139" s="1"/>
  <c r="R70" i="149"/>
  <c r="S70" i="149" s="1"/>
  <c r="R70" i="148"/>
  <c r="S70" i="148" s="1"/>
  <c r="R70" i="152"/>
  <c r="S70" i="152" s="1"/>
  <c r="R70" i="145"/>
  <c r="S70" i="145" s="1"/>
  <c r="R70" i="144"/>
  <c r="S70" i="144" s="1"/>
  <c r="R70" i="147"/>
  <c r="S70" i="147" s="1"/>
  <c r="H56" i="81"/>
  <c r="R45" i="151"/>
  <c r="S45" i="151" s="1"/>
  <c r="R34" i="153"/>
  <c r="S34" i="153" s="1"/>
  <c r="R58" i="149"/>
  <c r="S58" i="149" s="1"/>
  <c r="R63" i="152"/>
  <c r="S63" i="152" s="1"/>
  <c r="R45" i="152"/>
  <c r="S45" i="152" s="1"/>
  <c r="R12" i="151"/>
  <c r="S12" i="151" s="1"/>
  <c r="R58" i="148"/>
  <c r="S58" i="148" s="1"/>
  <c r="R45" i="147"/>
  <c r="S45" i="147" s="1"/>
  <c r="R63" i="153"/>
  <c r="S63" i="153" s="1"/>
  <c r="R12" i="152"/>
  <c r="S12" i="152" s="1"/>
  <c r="R34" i="145"/>
  <c r="S34" i="145" s="1"/>
  <c r="R58" i="151"/>
  <c r="S58" i="151" s="1"/>
  <c r="R45" i="149"/>
  <c r="S45" i="149" s="1"/>
  <c r="L7" i="152"/>
  <c r="M7" i="152" s="1"/>
  <c r="L7" i="149"/>
  <c r="M7" i="149" s="1"/>
  <c r="R34" i="146"/>
  <c r="S34" i="146" s="1"/>
  <c r="R34" i="152"/>
  <c r="S34" i="152" s="1"/>
  <c r="R63" i="145"/>
  <c r="S63" i="145" s="1"/>
  <c r="R58" i="147"/>
  <c r="S58" i="147" s="1"/>
  <c r="R45" i="145"/>
  <c r="S45" i="145" s="1"/>
  <c r="R45" i="146"/>
  <c r="S45" i="146" s="1"/>
  <c r="L7" i="148"/>
  <c r="M7" i="148" s="1"/>
  <c r="L7" i="147"/>
  <c r="M7" i="147" s="1"/>
  <c r="R12" i="148"/>
  <c r="S12" i="148" s="1"/>
  <c r="R12" i="153"/>
  <c r="S12" i="153" s="1"/>
  <c r="R34" i="147"/>
  <c r="S34" i="147" s="1"/>
  <c r="R63" i="147"/>
  <c r="S63" i="147" s="1"/>
  <c r="R58" i="145"/>
  <c r="S58" i="145" s="1"/>
  <c r="R58" i="153"/>
  <c r="S58" i="153" s="1"/>
  <c r="L7" i="153"/>
  <c r="M7" i="153" s="1"/>
  <c r="L7" i="145"/>
  <c r="M7" i="145" s="1"/>
  <c r="L7" i="146"/>
  <c r="M7" i="146" s="1"/>
  <c r="R34" i="148"/>
  <c r="S34" i="148" s="1"/>
  <c r="R63" i="146"/>
  <c r="S63" i="146" s="1"/>
  <c r="R63" i="151"/>
  <c r="S63" i="151" s="1"/>
  <c r="R58" i="152"/>
  <c r="S58" i="152" s="1"/>
  <c r="R45" i="148"/>
  <c r="S45" i="148" s="1"/>
  <c r="L7" i="151"/>
  <c r="M7" i="151" s="1"/>
  <c r="R58" i="144"/>
  <c r="S58" i="144" s="1"/>
  <c r="R34" i="144"/>
  <c r="S34" i="144" s="1"/>
  <c r="R12" i="144"/>
  <c r="S12" i="144" s="1"/>
  <c r="R63" i="144"/>
  <c r="S63" i="144" s="1"/>
  <c r="N7" i="144"/>
  <c r="L7" i="140"/>
  <c r="N7" i="140" s="1"/>
  <c r="R7" i="140" s="1"/>
  <c r="L7" i="141"/>
  <c r="N7" i="141" s="1"/>
  <c r="R7" i="141" s="1"/>
  <c r="G81" i="139"/>
  <c r="H81" i="139"/>
  <c r="AP12" i="1"/>
  <c r="AW12" i="1"/>
  <c r="C15" i="33"/>
  <c r="AO73" i="1"/>
  <c r="AH73" i="1"/>
  <c r="AL12" i="1"/>
  <c r="AK73" i="1"/>
  <c r="AL73" i="1" s="1"/>
  <c r="G37" i="81"/>
  <c r="H37" i="81"/>
  <c r="E38" i="81"/>
  <c r="L54" i="139" l="1"/>
  <c r="H54" i="139"/>
  <c r="G54" i="139"/>
  <c r="E55" i="81"/>
  <c r="F80" i="139"/>
  <c r="H74" i="31"/>
  <c r="R19" i="31"/>
  <c r="D82" i="113"/>
  <c r="D76" i="113"/>
  <c r="P9" i="137"/>
  <c r="G36" i="166"/>
  <c r="H36" i="166"/>
  <c r="D15" i="141"/>
  <c r="E15" i="141" s="1"/>
  <c r="D15" i="140"/>
  <c r="E15" i="140" s="1"/>
  <c r="G31" i="139"/>
  <c r="H31" i="139"/>
  <c r="F39" i="139"/>
  <c r="L39" i="139" s="1"/>
  <c r="N7" i="151"/>
  <c r="N7" i="145"/>
  <c r="N7" i="149"/>
  <c r="N7" i="146"/>
  <c r="N7" i="153"/>
  <c r="N7" i="147"/>
  <c r="N7" i="148"/>
  <c r="N7" i="152"/>
  <c r="P7" i="144"/>
  <c r="T7" i="144" s="1"/>
  <c r="L7" i="129"/>
  <c r="AB7" i="33" s="1"/>
  <c r="C76" i="33"/>
  <c r="E48" i="81"/>
  <c r="H38" i="81"/>
  <c r="G38" i="81"/>
  <c r="D14" i="76"/>
  <c r="D15" i="113"/>
  <c r="D14" i="46"/>
  <c r="D14" i="80"/>
  <c r="E14" i="80" s="1"/>
  <c r="AP73" i="1"/>
  <c r="F37" i="166" s="1"/>
  <c r="AQ12" i="1"/>
  <c r="AX12" i="1"/>
  <c r="AV12" i="1"/>
  <c r="AW73" i="1"/>
  <c r="D14" i="67"/>
  <c r="D6" i="5"/>
  <c r="E6" i="5" s="1"/>
  <c r="H6" i="5" s="1"/>
  <c r="D5" i="5"/>
  <c r="D76" i="116" l="1"/>
  <c r="D82" i="116" s="1"/>
  <c r="D76" i="118"/>
  <c r="D82" i="118" s="1"/>
  <c r="D76" i="120"/>
  <c r="D82" i="120" s="1"/>
  <c r="D76" i="126"/>
  <c r="D82" i="126" s="1"/>
  <c r="D76" i="128"/>
  <c r="D82" i="128" s="1"/>
  <c r="D76" i="131"/>
  <c r="D82" i="131" s="1"/>
  <c r="D76" i="145"/>
  <c r="D82" i="145" s="1"/>
  <c r="D76" i="147"/>
  <c r="D82" i="147" s="1"/>
  <c r="D76" i="149"/>
  <c r="D82" i="149" s="1"/>
  <c r="D76" i="152"/>
  <c r="D82" i="152" s="1"/>
  <c r="D76" i="115"/>
  <c r="D82" i="115" s="1"/>
  <c r="D76" i="117"/>
  <c r="D82" i="117" s="1"/>
  <c r="D76" i="119"/>
  <c r="D82" i="119" s="1"/>
  <c r="D76" i="125"/>
  <c r="D82" i="125" s="1"/>
  <c r="D76" i="127"/>
  <c r="D82" i="127" s="1"/>
  <c r="D76" i="129"/>
  <c r="D82" i="129" s="1"/>
  <c r="D76" i="144"/>
  <c r="D82" i="144" s="1"/>
  <c r="D76" i="146"/>
  <c r="D82" i="146" s="1"/>
  <c r="D76" i="148"/>
  <c r="D82" i="148" s="1"/>
  <c r="D76" i="151"/>
  <c r="D82" i="151" s="1"/>
  <c r="D76" i="153"/>
  <c r="D82" i="153" s="1"/>
  <c r="D77" i="114"/>
  <c r="D83" i="114" s="1"/>
  <c r="D15" i="115"/>
  <c r="E15" i="115" s="1"/>
  <c r="D15" i="116"/>
  <c r="D15" i="117"/>
  <c r="D15" i="118"/>
  <c r="E15" i="118" s="1"/>
  <c r="E76" i="118" s="1"/>
  <c r="E82" i="118" s="1"/>
  <c r="D15" i="119"/>
  <c r="D15" i="120"/>
  <c r="E15" i="120" s="1"/>
  <c r="E76" i="120" s="1"/>
  <c r="E82" i="120" s="1"/>
  <c r="D15" i="125"/>
  <c r="E15" i="125" s="1"/>
  <c r="D15" i="126"/>
  <c r="E15" i="126" s="1"/>
  <c r="E76" i="126" s="1"/>
  <c r="E82" i="126" s="1"/>
  <c r="D15" i="127"/>
  <c r="D15" i="128"/>
  <c r="D15" i="129"/>
  <c r="D15" i="131"/>
  <c r="E15" i="131" s="1"/>
  <c r="E76" i="131" s="1"/>
  <c r="E82" i="131" s="1"/>
  <c r="D15" i="144"/>
  <c r="E15" i="144" s="1"/>
  <c r="E76" i="144" s="1"/>
  <c r="E82" i="144" s="1"/>
  <c r="D15" i="145"/>
  <c r="E15" i="145" s="1"/>
  <c r="H15" i="145" s="1"/>
  <c r="D15" i="146"/>
  <c r="E15" i="146" s="1"/>
  <c r="D15" i="147"/>
  <c r="E15" i="147" s="1"/>
  <c r="E76" i="147" s="1"/>
  <c r="E82" i="147" s="1"/>
  <c r="D15" i="148"/>
  <c r="E15" i="148" s="1"/>
  <c r="D15" i="149"/>
  <c r="E15" i="149" s="1"/>
  <c r="H15" i="149" s="1"/>
  <c r="D15" i="151"/>
  <c r="E15" i="151" s="1"/>
  <c r="D15" i="152"/>
  <c r="E15" i="152" s="1"/>
  <c r="H15" i="152" s="1"/>
  <c r="D15" i="153"/>
  <c r="E15" i="153" s="1"/>
  <c r="D15" i="114"/>
  <c r="E15" i="114" s="1"/>
  <c r="U19" i="31"/>
  <c r="G80" i="139"/>
  <c r="H80" i="139"/>
  <c r="G55" i="81"/>
  <c r="H55" i="81"/>
  <c r="S9" i="137"/>
  <c r="E14" i="67"/>
  <c r="F14" i="67" s="1"/>
  <c r="G14" i="67" s="1"/>
  <c r="H37" i="166"/>
  <c r="G37" i="166"/>
  <c r="F47" i="166"/>
  <c r="E5" i="5"/>
  <c r="H5" i="5" s="1"/>
  <c r="G39" i="139"/>
  <c r="H39" i="139"/>
  <c r="F48" i="139"/>
  <c r="L48" i="139" s="1"/>
  <c r="F40" i="139"/>
  <c r="L40" i="139" s="1"/>
  <c r="H15" i="144"/>
  <c r="H76" i="144" s="1"/>
  <c r="H82" i="144" s="1"/>
  <c r="P7" i="152"/>
  <c r="T7" i="152" s="1"/>
  <c r="P7" i="147"/>
  <c r="T7" i="147" s="1"/>
  <c r="P7" i="153"/>
  <c r="T7" i="153" s="1"/>
  <c r="H15" i="148"/>
  <c r="E76" i="148"/>
  <c r="E82" i="148" s="1"/>
  <c r="H15" i="151"/>
  <c r="E76" i="151"/>
  <c r="E82" i="151" s="1"/>
  <c r="P7" i="149"/>
  <c r="T7" i="149" s="1"/>
  <c r="P7" i="148"/>
  <c r="T7" i="148" s="1"/>
  <c r="P7" i="146"/>
  <c r="T7" i="146" s="1"/>
  <c r="H15" i="146"/>
  <c r="E76" i="146"/>
  <c r="E82" i="146" s="1"/>
  <c r="E76" i="149"/>
  <c r="E82" i="149" s="1"/>
  <c r="H15" i="153"/>
  <c r="E76" i="153"/>
  <c r="E82" i="153" s="1"/>
  <c r="P7" i="145"/>
  <c r="T7" i="145" s="1"/>
  <c r="P7" i="151"/>
  <c r="T7" i="151" s="1"/>
  <c r="R7" i="144"/>
  <c r="H15" i="140"/>
  <c r="E76" i="140"/>
  <c r="E82" i="140" s="1"/>
  <c r="H15" i="141"/>
  <c r="E76" i="141"/>
  <c r="E82" i="141" s="1"/>
  <c r="P7" i="140"/>
  <c r="P7" i="141"/>
  <c r="E15" i="129"/>
  <c r="H15" i="129" s="1"/>
  <c r="M7" i="129"/>
  <c r="N7" i="129" s="1"/>
  <c r="P7" i="129" s="1"/>
  <c r="T7" i="129" s="1"/>
  <c r="E14" i="46"/>
  <c r="H14" i="46" s="1"/>
  <c r="E15" i="119"/>
  <c r="E76" i="119" s="1"/>
  <c r="E82" i="119" s="1"/>
  <c r="E15" i="128"/>
  <c r="H15" i="128" s="1"/>
  <c r="E14" i="76"/>
  <c r="E75" i="76" s="1"/>
  <c r="E81" i="76" s="1"/>
  <c r="E15" i="127"/>
  <c r="E76" i="127" s="1"/>
  <c r="E82" i="127" s="1"/>
  <c r="E15" i="117"/>
  <c r="E76" i="117" s="1"/>
  <c r="E82" i="117" s="1"/>
  <c r="E15" i="116"/>
  <c r="E76" i="116" s="1"/>
  <c r="E82" i="116" s="1"/>
  <c r="E15" i="113"/>
  <c r="H15" i="113" s="1"/>
  <c r="I14" i="76"/>
  <c r="I75" i="76" s="1"/>
  <c r="I81" i="76" s="1"/>
  <c r="I14" i="80"/>
  <c r="I75" i="80" s="1"/>
  <c r="I81" i="80" s="1"/>
  <c r="E66" i="81"/>
  <c r="AR15" i="1"/>
  <c r="AR68" i="1"/>
  <c r="AR4" i="1"/>
  <c r="AR13" i="1"/>
  <c r="AR37" i="1"/>
  <c r="AR41" i="1"/>
  <c r="AR62" i="1"/>
  <c r="AR36" i="1"/>
  <c r="AR53" i="1"/>
  <c r="AR14" i="1"/>
  <c r="AR49" i="1"/>
  <c r="AR47" i="1"/>
  <c r="AR72" i="1"/>
  <c r="AR8" i="1"/>
  <c r="AR67" i="1"/>
  <c r="AR10" i="1"/>
  <c r="AR65" i="1"/>
  <c r="AR40" i="1"/>
  <c r="AR11" i="1"/>
  <c r="AR25" i="1"/>
  <c r="AR7" i="1"/>
  <c r="AR55" i="1"/>
  <c r="AR22" i="1"/>
  <c r="AR30" i="1"/>
  <c r="AR6" i="1"/>
  <c r="AR21" i="1"/>
  <c r="AR56" i="1"/>
  <c r="AR70" i="1"/>
  <c r="AR57" i="1"/>
  <c r="AR54" i="1"/>
  <c r="AR29" i="1"/>
  <c r="AR64" i="1"/>
  <c r="AR26" i="1"/>
  <c r="AR66" i="1"/>
  <c r="AR45" i="1"/>
  <c r="AR51" i="1"/>
  <c r="AR71" i="1"/>
  <c r="AR50" i="1"/>
  <c r="AR12" i="1"/>
  <c r="AR48" i="1"/>
  <c r="AR19" i="1"/>
  <c r="AR46" i="1"/>
  <c r="AR58" i="1"/>
  <c r="AR17" i="1"/>
  <c r="AR33" i="1"/>
  <c r="AR38" i="1"/>
  <c r="AR61" i="1"/>
  <c r="AR18" i="1"/>
  <c r="AR44" i="1"/>
  <c r="AR16" i="1"/>
  <c r="AR32" i="1"/>
  <c r="AR31" i="1"/>
  <c r="AR35" i="1"/>
  <c r="AR5" i="1"/>
  <c r="AR20" i="1"/>
  <c r="AR69" i="1"/>
  <c r="AR59" i="1"/>
  <c r="AR52" i="1"/>
  <c r="AR28" i="1"/>
  <c r="AR39" i="1"/>
  <c r="AR27" i="1"/>
  <c r="AR24" i="1"/>
  <c r="AR63" i="1"/>
  <c r="AR34" i="1"/>
  <c r="AR23" i="1"/>
  <c r="AR9" i="1"/>
  <c r="AR43" i="1"/>
  <c r="AR60" i="1"/>
  <c r="AR42" i="1"/>
  <c r="E49" i="81"/>
  <c r="D75" i="67"/>
  <c r="H15" i="118"/>
  <c r="H15" i="125"/>
  <c r="E76" i="125"/>
  <c r="E82" i="125" s="1"/>
  <c r="H48" i="81"/>
  <c r="G48" i="81"/>
  <c r="E53" i="81"/>
  <c r="AQ73" i="1"/>
  <c r="AX73" i="1"/>
  <c r="AV73" i="1"/>
  <c r="AY51" i="1"/>
  <c r="AY13" i="1"/>
  <c r="AY15" i="1"/>
  <c r="AY50" i="1"/>
  <c r="AY71" i="1"/>
  <c r="AY37" i="1"/>
  <c r="AY41" i="1"/>
  <c r="AY14" i="1"/>
  <c r="AY58" i="1"/>
  <c r="AY72" i="1"/>
  <c r="AY23" i="1"/>
  <c r="AY18" i="1"/>
  <c r="AY61" i="1"/>
  <c r="AY47" i="1"/>
  <c r="AY67" i="1"/>
  <c r="AY16" i="1"/>
  <c r="AY54" i="1"/>
  <c r="AY44" i="1"/>
  <c r="AY20" i="1"/>
  <c r="AY65" i="1"/>
  <c r="AY34" i="1"/>
  <c r="AY31" i="1"/>
  <c r="AY24" i="1"/>
  <c r="AY10" i="1"/>
  <c r="AY40" i="1"/>
  <c r="AY6" i="1"/>
  <c r="AY43" i="1"/>
  <c r="AY52" i="1"/>
  <c r="AY25" i="1"/>
  <c r="AY29" i="1"/>
  <c r="AY21" i="1"/>
  <c r="AY70" i="1"/>
  <c r="AY9" i="1"/>
  <c r="AY66" i="1"/>
  <c r="AY68" i="1"/>
  <c r="AY12" i="1"/>
  <c r="AY4" i="1"/>
  <c r="AY62" i="1"/>
  <c r="AY48" i="1"/>
  <c r="AY19" i="1"/>
  <c r="AY36" i="1"/>
  <c r="AY46" i="1"/>
  <c r="AY17" i="1"/>
  <c r="AY53" i="1"/>
  <c r="AY33" i="1"/>
  <c r="AY30" i="1"/>
  <c r="AY22" i="1"/>
  <c r="AY7" i="1"/>
  <c r="AY38" i="1"/>
  <c r="AY28" i="1"/>
  <c r="AY49" i="1"/>
  <c r="AY8" i="1"/>
  <c r="AY59" i="1"/>
  <c r="AY57" i="1"/>
  <c r="AY69" i="1"/>
  <c r="AY60" i="1"/>
  <c r="AY64" i="1"/>
  <c r="AY5" i="1"/>
  <c r="AY42" i="1"/>
  <c r="AY45" i="1"/>
  <c r="AY39" i="1"/>
  <c r="AY32" i="1"/>
  <c r="AY26" i="1"/>
  <c r="AY27" i="1"/>
  <c r="AY11" i="1"/>
  <c r="AY35" i="1"/>
  <c r="AY63" i="1"/>
  <c r="AY56" i="1"/>
  <c r="AY55" i="1"/>
  <c r="H14" i="80"/>
  <c r="E75" i="80"/>
  <c r="E81" i="80" s="1"/>
  <c r="H15" i="115"/>
  <c r="E76" i="115"/>
  <c r="E82" i="115" s="1"/>
  <c r="H15" i="126"/>
  <c r="H15" i="120" l="1"/>
  <c r="H15" i="131"/>
  <c r="E7" i="5"/>
  <c r="E76" i="152"/>
  <c r="E82" i="152" s="1"/>
  <c r="E76" i="145"/>
  <c r="E82" i="145" s="1"/>
  <c r="H15" i="147"/>
  <c r="Y19" i="31"/>
  <c r="U9" i="137"/>
  <c r="V9" i="137" s="1"/>
  <c r="Z9" i="137"/>
  <c r="E75" i="67"/>
  <c r="D81" i="67"/>
  <c r="I14" i="67"/>
  <c r="M14" i="67" s="1"/>
  <c r="X14" i="67" s="1"/>
  <c r="H47" i="166"/>
  <c r="G47" i="166"/>
  <c r="F53" i="166"/>
  <c r="F46" i="166"/>
  <c r="E77" i="114"/>
  <c r="E83" i="114" s="1"/>
  <c r="H15" i="114"/>
  <c r="H77" i="114" s="1"/>
  <c r="G48" i="139"/>
  <c r="G40" i="139"/>
  <c r="H15" i="116"/>
  <c r="H76" i="116" s="1"/>
  <c r="H48" i="139"/>
  <c r="F47" i="139"/>
  <c r="L47" i="139" s="1"/>
  <c r="H40" i="139"/>
  <c r="F63" i="139"/>
  <c r="L15" i="144"/>
  <c r="M15" i="144" s="1"/>
  <c r="M76" i="144" s="1"/>
  <c r="M82" i="144" s="1"/>
  <c r="H15" i="119"/>
  <c r="H76" i="119" s="1"/>
  <c r="R7" i="145"/>
  <c r="R7" i="153"/>
  <c r="R7" i="147"/>
  <c r="R7" i="152"/>
  <c r="R7" i="151"/>
  <c r="L15" i="153"/>
  <c r="M15" i="153" s="1"/>
  <c r="M76" i="153" s="1"/>
  <c r="M82" i="153" s="1"/>
  <c r="H76" i="153"/>
  <c r="H82" i="153" s="1"/>
  <c r="L15" i="152"/>
  <c r="M15" i="152" s="1"/>
  <c r="M76" i="152" s="1"/>
  <c r="M82" i="152" s="1"/>
  <c r="H76" i="152"/>
  <c r="H82" i="152" s="1"/>
  <c r="L15" i="149"/>
  <c r="M15" i="149" s="1"/>
  <c r="M76" i="149" s="1"/>
  <c r="M82" i="149" s="1"/>
  <c r="H76" i="149"/>
  <c r="H82" i="149" s="1"/>
  <c r="L15" i="145"/>
  <c r="M15" i="145" s="1"/>
  <c r="M76" i="145" s="1"/>
  <c r="M82" i="145" s="1"/>
  <c r="H76" i="145"/>
  <c r="H82" i="145" s="1"/>
  <c r="L15" i="146"/>
  <c r="M15" i="146" s="1"/>
  <c r="M76" i="146" s="1"/>
  <c r="M82" i="146" s="1"/>
  <c r="H76" i="146"/>
  <c r="H82" i="146" s="1"/>
  <c r="R7" i="146"/>
  <c r="R7" i="148"/>
  <c r="R7" i="149"/>
  <c r="L15" i="151"/>
  <c r="M15" i="151" s="1"/>
  <c r="M76" i="151" s="1"/>
  <c r="M82" i="151" s="1"/>
  <c r="H76" i="151"/>
  <c r="H82" i="151" s="1"/>
  <c r="L15" i="148"/>
  <c r="M15" i="148" s="1"/>
  <c r="M76" i="148" s="1"/>
  <c r="M82" i="148" s="1"/>
  <c r="H76" i="148"/>
  <c r="H82" i="148" s="1"/>
  <c r="L15" i="147"/>
  <c r="M15" i="147" s="1"/>
  <c r="M76" i="147" s="1"/>
  <c r="M82" i="147" s="1"/>
  <c r="H76" i="147"/>
  <c r="H82" i="147" s="1"/>
  <c r="S7" i="144"/>
  <c r="L15" i="140"/>
  <c r="N15" i="140" s="1"/>
  <c r="R15" i="140" s="1"/>
  <c r="R76" i="140" s="1"/>
  <c r="R82" i="140" s="1"/>
  <c r="H76" i="140"/>
  <c r="H82" i="140" s="1"/>
  <c r="L15" i="141"/>
  <c r="N15" i="141" s="1"/>
  <c r="R15" i="141" s="1"/>
  <c r="R76" i="141" s="1"/>
  <c r="R82" i="141" s="1"/>
  <c r="H76" i="141"/>
  <c r="H82" i="141" s="1"/>
  <c r="Q7" i="141"/>
  <c r="Q7" i="140"/>
  <c r="H14" i="76"/>
  <c r="H75" i="76" s="1"/>
  <c r="H81" i="76" s="1"/>
  <c r="V14" i="67"/>
  <c r="D12" i="100"/>
  <c r="D73" i="100" s="1"/>
  <c r="T75" i="67"/>
  <c r="T81" i="67" s="1"/>
  <c r="E76" i="128"/>
  <c r="E82" i="128" s="1"/>
  <c r="R7" i="129"/>
  <c r="S7" i="129" s="1"/>
  <c r="E76" i="129"/>
  <c r="E82" i="129" s="1"/>
  <c r="K76" i="129"/>
  <c r="K82" i="129" s="1"/>
  <c r="E15" i="46"/>
  <c r="E17" i="46" s="1"/>
  <c r="E76" i="113"/>
  <c r="E82" i="113" s="1"/>
  <c r="H15" i="117"/>
  <c r="H76" i="117" s="1"/>
  <c r="H15" i="127"/>
  <c r="H76" i="127" s="1"/>
  <c r="G53" i="81"/>
  <c r="H53" i="81"/>
  <c r="E52" i="81"/>
  <c r="H7" i="5"/>
  <c r="H15" i="46"/>
  <c r="G66" i="81"/>
  <c r="H66" i="81"/>
  <c r="E65" i="81"/>
  <c r="H75" i="80"/>
  <c r="H81" i="80" s="1"/>
  <c r="H76" i="129"/>
  <c r="H76" i="131"/>
  <c r="H76" i="120"/>
  <c r="H76" i="126"/>
  <c r="H76" i="115"/>
  <c r="H76" i="125"/>
  <c r="H76" i="113"/>
  <c r="H82" i="113" s="1"/>
  <c r="H76" i="118"/>
  <c r="H76" i="128"/>
  <c r="G49" i="81"/>
  <c r="H49" i="81"/>
  <c r="H82" i="125" l="1"/>
  <c r="H82" i="131"/>
  <c r="H82" i="117"/>
  <c r="H82" i="119"/>
  <c r="H82" i="116"/>
  <c r="H83" i="114"/>
  <c r="H82" i="118"/>
  <c r="H82" i="126"/>
  <c r="H82" i="128"/>
  <c r="H82" i="115"/>
  <c r="H82" i="120"/>
  <c r="H82" i="129"/>
  <c r="H82" i="127"/>
  <c r="F75" i="67"/>
  <c r="F81" i="67" s="1"/>
  <c r="E81" i="67"/>
  <c r="H17" i="46"/>
  <c r="F49" i="166"/>
  <c r="H49" i="166" s="1"/>
  <c r="H46" i="166"/>
  <c r="G46" i="166"/>
  <c r="G53" i="166"/>
  <c r="H53" i="166"/>
  <c r="N15" i="144"/>
  <c r="P15" i="144" s="1"/>
  <c r="T15" i="144" s="1"/>
  <c r="H47" i="139"/>
  <c r="G47" i="139"/>
  <c r="F83" i="139"/>
  <c r="F79" i="139" s="1"/>
  <c r="F86" i="139"/>
  <c r="G86" i="139" s="1"/>
  <c r="F87" i="139"/>
  <c r="G87" i="139" s="1"/>
  <c r="F85" i="139"/>
  <c r="F88" i="139"/>
  <c r="G88" i="139" s="1"/>
  <c r="G63" i="139"/>
  <c r="L63" i="139"/>
  <c r="F90" i="139"/>
  <c r="G90" i="139" s="1"/>
  <c r="F89" i="139"/>
  <c r="G89" i="139" s="1"/>
  <c r="L76" i="144"/>
  <c r="L82" i="144" s="1"/>
  <c r="N15" i="147"/>
  <c r="L76" i="147"/>
  <c r="L82" i="147" s="1"/>
  <c r="N15" i="148"/>
  <c r="L76" i="148"/>
  <c r="L82" i="148" s="1"/>
  <c r="N15" i="151"/>
  <c r="L76" i="151"/>
  <c r="L82" i="151" s="1"/>
  <c r="S7" i="149"/>
  <c r="S7" i="146"/>
  <c r="N15" i="145"/>
  <c r="L76" i="145"/>
  <c r="L82" i="145" s="1"/>
  <c r="N15" i="149"/>
  <c r="L76" i="149"/>
  <c r="L82" i="149" s="1"/>
  <c r="N15" i="153"/>
  <c r="L76" i="153"/>
  <c r="L82" i="153" s="1"/>
  <c r="S7" i="147"/>
  <c r="S7" i="153"/>
  <c r="S7" i="148"/>
  <c r="N15" i="146"/>
  <c r="L76" i="146"/>
  <c r="L82" i="146" s="1"/>
  <c r="N15" i="152"/>
  <c r="L76" i="152"/>
  <c r="L82" i="152" s="1"/>
  <c r="S7" i="151"/>
  <c r="S7" i="152"/>
  <c r="S7" i="145"/>
  <c r="L76" i="140"/>
  <c r="L76" i="141"/>
  <c r="L82" i="141" s="1"/>
  <c r="V75" i="67"/>
  <c r="V81" i="67" s="1"/>
  <c r="W14" i="67"/>
  <c r="W75" i="67" s="1"/>
  <c r="W81" i="67" s="1"/>
  <c r="L15" i="129"/>
  <c r="E61" i="81"/>
  <c r="E58" i="81"/>
  <c r="E51" i="81"/>
  <c r="G52" i="81"/>
  <c r="H52" i="81"/>
  <c r="E60" i="81"/>
  <c r="G65" i="81"/>
  <c r="H65" i="81"/>
  <c r="T76" i="144" l="1"/>
  <c r="T82" i="144" s="1"/>
  <c r="F52" i="166"/>
  <c r="L82" i="140"/>
  <c r="G49" i="166"/>
  <c r="F51" i="166"/>
  <c r="H51" i="166" s="1"/>
  <c r="N76" i="144"/>
  <c r="N82" i="144" s="1"/>
  <c r="G83" i="139"/>
  <c r="M15" i="129"/>
  <c r="N15" i="129" s="1"/>
  <c r="P15" i="129" s="1"/>
  <c r="T15" i="129" s="1"/>
  <c r="AB15" i="33"/>
  <c r="AB76" i="33" s="1"/>
  <c r="H83" i="139"/>
  <c r="G85" i="139"/>
  <c r="H85" i="139"/>
  <c r="P15" i="153"/>
  <c r="T15" i="153" s="1"/>
  <c r="N76" i="153"/>
  <c r="N82" i="153" s="1"/>
  <c r="P15" i="149"/>
  <c r="T15" i="149" s="1"/>
  <c r="N76" i="149"/>
  <c r="N82" i="149" s="1"/>
  <c r="P15" i="145"/>
  <c r="T15" i="145" s="1"/>
  <c r="N76" i="145"/>
  <c r="N82" i="145" s="1"/>
  <c r="P15" i="152"/>
  <c r="T15" i="152" s="1"/>
  <c r="N76" i="152"/>
  <c r="N82" i="152" s="1"/>
  <c r="P15" i="146"/>
  <c r="T15" i="146" s="1"/>
  <c r="N76" i="146"/>
  <c r="N82" i="146" s="1"/>
  <c r="P15" i="151"/>
  <c r="T15" i="151" s="1"/>
  <c r="N76" i="151"/>
  <c r="N82" i="151" s="1"/>
  <c r="P15" i="148"/>
  <c r="T15" i="148" s="1"/>
  <c r="N76" i="148"/>
  <c r="N82" i="148" s="1"/>
  <c r="P15" i="147"/>
  <c r="T15" i="147" s="1"/>
  <c r="N76" i="147"/>
  <c r="N82" i="147" s="1"/>
  <c r="R15" i="144"/>
  <c r="P76" i="144"/>
  <c r="P82" i="144" s="1"/>
  <c r="P15" i="141"/>
  <c r="N76" i="141"/>
  <c r="N82" i="141" s="1"/>
  <c r="P15" i="140"/>
  <c r="N76" i="140"/>
  <c r="N82" i="140" s="1"/>
  <c r="D12" i="72"/>
  <c r="G79" i="139"/>
  <c r="H79" i="139"/>
  <c r="L76" i="129"/>
  <c r="L82" i="129" s="1"/>
  <c r="G60" i="81"/>
  <c r="H60" i="81"/>
  <c r="H58" i="81"/>
  <c r="G58" i="81"/>
  <c r="E54" i="81"/>
  <c r="G51" i="81"/>
  <c r="H51" i="81"/>
  <c r="E79" i="81"/>
  <c r="G79" i="81" s="1"/>
  <c r="H61" i="81"/>
  <c r="G61" i="81"/>
  <c r="G52" i="166" l="1"/>
  <c r="H52" i="166"/>
  <c r="T76" i="129"/>
  <c r="T82" i="129" s="1"/>
  <c r="T76" i="147"/>
  <c r="T82" i="147" s="1"/>
  <c r="T76" i="148"/>
  <c r="T82" i="148" s="1"/>
  <c r="T76" i="151"/>
  <c r="T82" i="151" s="1"/>
  <c r="T76" i="146"/>
  <c r="T82" i="146" s="1"/>
  <c r="T76" i="152"/>
  <c r="T82" i="152" s="1"/>
  <c r="T76" i="145"/>
  <c r="T82" i="145" s="1"/>
  <c r="T76" i="149"/>
  <c r="T82" i="149" s="1"/>
  <c r="T76" i="153"/>
  <c r="T82" i="153" s="1"/>
  <c r="G51" i="166"/>
  <c r="N76" i="129"/>
  <c r="N82" i="129" s="1"/>
  <c r="M76" i="129"/>
  <c r="M82" i="129" s="1"/>
  <c r="D73" i="72"/>
  <c r="F62" i="139"/>
  <c r="R15" i="147"/>
  <c r="P76" i="147"/>
  <c r="P82" i="147" s="1"/>
  <c r="R15" i="148"/>
  <c r="P76" i="148"/>
  <c r="P82" i="148" s="1"/>
  <c r="R15" i="151"/>
  <c r="P76" i="151"/>
  <c r="P82" i="151" s="1"/>
  <c r="R15" i="146"/>
  <c r="P76" i="146"/>
  <c r="P82" i="146" s="1"/>
  <c r="R15" i="152"/>
  <c r="P76" i="152"/>
  <c r="P82" i="152" s="1"/>
  <c r="R15" i="145"/>
  <c r="P76" i="145"/>
  <c r="P82" i="145" s="1"/>
  <c r="R15" i="149"/>
  <c r="P76" i="149"/>
  <c r="P82" i="149" s="1"/>
  <c r="R15" i="153"/>
  <c r="P76" i="153"/>
  <c r="P82" i="153" s="1"/>
  <c r="S15" i="144"/>
  <c r="R76" i="144"/>
  <c r="R82" i="144" s="1"/>
  <c r="Q15" i="141"/>
  <c r="P76" i="141"/>
  <c r="P82" i="141" s="1"/>
  <c r="Q15" i="140"/>
  <c r="P76" i="140"/>
  <c r="P82" i="140" s="1"/>
  <c r="R15" i="129"/>
  <c r="S15" i="129" s="1"/>
  <c r="P76" i="129"/>
  <c r="P82" i="129" s="1"/>
  <c r="H54" i="81"/>
  <c r="G54" i="81"/>
  <c r="L62" i="139" l="1"/>
  <c r="G62" i="139"/>
  <c r="S15" i="149"/>
  <c r="R76" i="149"/>
  <c r="R82" i="149" s="1"/>
  <c r="S15" i="145"/>
  <c r="R76" i="145"/>
  <c r="R82" i="145" s="1"/>
  <c r="S15" i="148"/>
  <c r="R76" i="148"/>
  <c r="R82" i="148" s="1"/>
  <c r="S15" i="153"/>
  <c r="R76" i="153"/>
  <c r="R82" i="153" s="1"/>
  <c r="S15" i="152"/>
  <c r="R76" i="152"/>
  <c r="R82" i="152" s="1"/>
  <c r="S15" i="146"/>
  <c r="R76" i="146"/>
  <c r="R82" i="146" s="1"/>
  <c r="S15" i="151"/>
  <c r="R76" i="151"/>
  <c r="R82" i="151" s="1"/>
  <c r="S15" i="147"/>
  <c r="R76" i="147"/>
  <c r="R82" i="147" s="1"/>
  <c r="S76" i="144"/>
  <c r="S82" i="144" s="1"/>
  <c r="Q76" i="140"/>
  <c r="Q82" i="140" s="1"/>
  <c r="Q76" i="141"/>
  <c r="Q82" i="141" s="1"/>
  <c r="R76" i="129"/>
  <c r="R82" i="129" s="1"/>
  <c r="S76" i="129"/>
  <c r="S82" i="129" s="1"/>
  <c r="S76" i="147" l="1"/>
  <c r="S82" i="147" s="1"/>
  <c r="S76" i="151"/>
  <c r="S82" i="151" s="1"/>
  <c r="S76" i="146"/>
  <c r="S82" i="146" s="1"/>
  <c r="S76" i="152"/>
  <c r="S82" i="152" s="1"/>
  <c r="S76" i="153"/>
  <c r="S82" i="153" s="1"/>
  <c r="S76" i="148"/>
  <c r="S82" i="148" s="1"/>
  <c r="S76" i="145"/>
  <c r="S82" i="145" s="1"/>
  <c r="S76" i="149"/>
  <c r="S82" i="149" s="1"/>
  <c r="AH42" i="116" l="1"/>
  <c r="AI42" i="116" s="1"/>
  <c r="AH42" i="127"/>
  <c r="AI42" i="127" s="1"/>
  <c r="AH42" i="128"/>
  <c r="AI42" i="128" s="1"/>
  <c r="Q39" i="72" l="1"/>
  <c r="R39" i="72"/>
  <c r="J39" i="72"/>
  <c r="AI41" i="76"/>
  <c r="AJ41" i="76" s="1"/>
  <c r="AH42" i="117"/>
  <c r="AI42" i="117" s="1"/>
  <c r="AH42" i="119"/>
  <c r="AI42" i="119" s="1"/>
  <c r="AH42" i="114"/>
  <c r="AI42" i="114" s="1"/>
  <c r="M39" i="72" l="1"/>
  <c r="AD39" i="72"/>
  <c r="K39" i="72"/>
  <c r="H39" i="72"/>
  <c r="AG77" i="114"/>
  <c r="AG83" i="114" s="1"/>
  <c r="AG76" i="128"/>
  <c r="AG82" i="128" s="1"/>
  <c r="AG76" i="113"/>
  <c r="AG82" i="113" s="1"/>
  <c r="AG76" i="116"/>
  <c r="AG82" i="116" s="1"/>
  <c r="AG76" i="119"/>
  <c r="AG82" i="119" s="1"/>
  <c r="AG76" i="127" l="1"/>
  <c r="AG82" i="127" s="1"/>
  <c r="AH75" i="76"/>
  <c r="AH81" i="76" s="1"/>
  <c r="AG76" i="117"/>
  <c r="AG82" i="117" s="1"/>
  <c r="Q77" i="114" l="1"/>
  <c r="Q83" i="114" s="1"/>
  <c r="R75" i="76"/>
  <c r="R81" i="76" s="1"/>
  <c r="Q76" i="117"/>
  <c r="Q82" i="117" s="1"/>
  <c r="AG68" i="31" l="1"/>
  <c r="AH68" i="31" s="1"/>
  <c r="AI68" i="31" l="1"/>
  <c r="AJ68" i="31"/>
  <c r="K70" i="128"/>
  <c r="L70" i="128" s="1"/>
  <c r="K58" i="126"/>
  <c r="L58" i="126" s="1"/>
  <c r="M58" i="126" s="1"/>
  <c r="K66" i="126"/>
  <c r="L66" i="126" s="1"/>
  <c r="M66" i="126" s="1"/>
  <c r="K70" i="126"/>
  <c r="L70" i="126" s="1"/>
  <c r="M70" i="126" s="1"/>
  <c r="K17" i="127"/>
  <c r="L17" i="127" s="1"/>
  <c r="K58" i="127"/>
  <c r="L58" i="127" s="1"/>
  <c r="K50" i="131"/>
  <c r="L50" i="131" s="1"/>
  <c r="M50" i="131" s="1"/>
  <c r="K74" i="128"/>
  <c r="L74" i="128" s="1"/>
  <c r="K72" i="128"/>
  <c r="L72" i="128" s="1"/>
  <c r="K62" i="126"/>
  <c r="L62" i="126" s="1"/>
  <c r="M62" i="126" s="1"/>
  <c r="K60" i="126"/>
  <c r="L60" i="126" s="1"/>
  <c r="M60" i="126" s="1"/>
  <c r="K68" i="126"/>
  <c r="L68" i="126" s="1"/>
  <c r="M68" i="126" s="1"/>
  <c r="K15" i="131"/>
  <c r="L15" i="131" s="1"/>
  <c r="M15" i="131" s="1"/>
  <c r="K16" i="131"/>
  <c r="L16" i="131" s="1"/>
  <c r="M16" i="131" s="1"/>
  <c r="K17" i="131"/>
  <c r="L17" i="131" s="1"/>
  <c r="M17" i="131" s="1"/>
  <c r="K18" i="131"/>
  <c r="L18" i="131" s="1"/>
  <c r="M18" i="131" s="1"/>
  <c r="K19" i="131"/>
  <c r="L19" i="131" s="1"/>
  <c r="M19" i="131" s="1"/>
  <c r="K21" i="131"/>
  <c r="L21" i="131" s="1"/>
  <c r="M21" i="131" s="1"/>
  <c r="K23" i="131"/>
  <c r="L23" i="131" s="1"/>
  <c r="M23" i="131" s="1"/>
  <c r="K25" i="131"/>
  <c r="L25" i="131" s="1"/>
  <c r="M25" i="131" s="1"/>
  <c r="K9" i="131"/>
  <c r="L9" i="131" s="1"/>
  <c r="M9" i="131" s="1"/>
  <c r="K11" i="131"/>
  <c r="L11" i="131" s="1"/>
  <c r="M11" i="131" s="1"/>
  <c r="K13" i="131"/>
  <c r="L13" i="131" s="1"/>
  <c r="M13" i="131" s="1"/>
  <c r="K14" i="131"/>
  <c r="L14" i="131" s="1"/>
  <c r="M14" i="131" s="1"/>
  <c r="K8" i="131"/>
  <c r="L8" i="131" s="1"/>
  <c r="M8" i="131" s="1"/>
  <c r="K10" i="131"/>
  <c r="L10" i="131" s="1"/>
  <c r="M10" i="131" s="1"/>
  <c r="K12" i="131"/>
  <c r="L12" i="131" s="1"/>
  <c r="M12" i="131" s="1"/>
  <c r="K20" i="131"/>
  <c r="L20" i="131" s="1"/>
  <c r="M20" i="131" s="1"/>
  <c r="K22" i="131"/>
  <c r="L22" i="131" s="1"/>
  <c r="M22" i="131" s="1"/>
  <c r="K24" i="131"/>
  <c r="L24" i="131" s="1"/>
  <c r="M24" i="131" s="1"/>
  <c r="K26" i="131"/>
  <c r="L26" i="131" s="1"/>
  <c r="M26" i="131" s="1"/>
  <c r="K27" i="131"/>
  <c r="L27" i="131" s="1"/>
  <c r="M27" i="131" s="1"/>
  <c r="K29" i="131"/>
  <c r="L29" i="131" s="1"/>
  <c r="M29" i="131" s="1"/>
  <c r="K30" i="131"/>
  <c r="L30" i="131" s="1"/>
  <c r="M30" i="131" s="1"/>
  <c r="K45" i="131"/>
  <c r="L45" i="131" s="1"/>
  <c r="M45" i="131" s="1"/>
  <c r="K47" i="131"/>
  <c r="L47" i="131" s="1"/>
  <c r="M47" i="131" s="1"/>
  <c r="K49" i="131"/>
  <c r="L49" i="131" s="1"/>
  <c r="M49" i="131" s="1"/>
  <c r="K51" i="131"/>
  <c r="L51" i="131" s="1"/>
  <c r="M51" i="131" s="1"/>
  <c r="K31" i="131"/>
  <c r="L31" i="131" s="1"/>
  <c r="M31" i="131" s="1"/>
  <c r="K32" i="131"/>
  <c r="L32" i="131" s="1"/>
  <c r="M32" i="131" s="1"/>
  <c r="K34" i="131"/>
  <c r="L34" i="131" s="1"/>
  <c r="M34" i="131" s="1"/>
  <c r="K36" i="131"/>
  <c r="L36" i="131" s="1"/>
  <c r="M36" i="131" s="1"/>
  <c r="K38" i="131"/>
  <c r="L38" i="131" s="1"/>
  <c r="M38" i="131" s="1"/>
  <c r="K40" i="131"/>
  <c r="L40" i="131" s="1"/>
  <c r="M40" i="131" s="1"/>
  <c r="K42" i="131"/>
  <c r="L42" i="131" s="1"/>
  <c r="M42" i="131" s="1"/>
  <c r="K43" i="131"/>
  <c r="L43" i="131" s="1"/>
  <c r="M43" i="131" s="1"/>
  <c r="K44" i="131"/>
  <c r="L44" i="131" s="1"/>
  <c r="M44" i="131" s="1"/>
  <c r="K33" i="131"/>
  <c r="L33" i="131" s="1"/>
  <c r="M33" i="131" s="1"/>
  <c r="K35" i="131"/>
  <c r="L35" i="131" s="1"/>
  <c r="M35" i="131" s="1"/>
  <c r="K37" i="131"/>
  <c r="L37" i="131" s="1"/>
  <c r="M37" i="131" s="1"/>
  <c r="K39" i="131"/>
  <c r="L39" i="131" s="1"/>
  <c r="M39" i="131" s="1"/>
  <c r="K41" i="131"/>
  <c r="L41" i="131" s="1"/>
  <c r="M41" i="131" s="1"/>
  <c r="K52" i="131"/>
  <c r="L52" i="131" s="1"/>
  <c r="M52" i="131" s="1"/>
  <c r="K53" i="131"/>
  <c r="L53" i="131" s="1"/>
  <c r="M53" i="131" s="1"/>
  <c r="K73" i="131"/>
  <c r="L73" i="131" s="1"/>
  <c r="M73" i="131" s="1"/>
  <c r="K75" i="131"/>
  <c r="L75" i="131" s="1"/>
  <c r="M75" i="131" s="1"/>
  <c r="K54" i="131"/>
  <c r="L54" i="131" s="1"/>
  <c r="M54" i="131" s="1"/>
  <c r="K55" i="131"/>
  <c r="L55" i="131" s="1"/>
  <c r="M55" i="131" s="1"/>
  <c r="K56" i="131"/>
  <c r="L56" i="131" s="1"/>
  <c r="M56" i="131" s="1"/>
  <c r="K57" i="131"/>
  <c r="L57" i="131" s="1"/>
  <c r="M57" i="131" s="1"/>
  <c r="K58" i="131"/>
  <c r="L58" i="131" s="1"/>
  <c r="M58" i="131" s="1"/>
  <c r="K60" i="131"/>
  <c r="L60" i="131" s="1"/>
  <c r="M60" i="131" s="1"/>
  <c r="K62" i="131"/>
  <c r="L62" i="131" s="1"/>
  <c r="M62" i="131" s="1"/>
  <c r="K64" i="131"/>
  <c r="L64" i="131" s="1"/>
  <c r="M64" i="131" s="1"/>
  <c r="K65" i="131"/>
  <c r="L65" i="131" s="1"/>
  <c r="M65" i="131" s="1"/>
  <c r="K66" i="131"/>
  <c r="L66" i="131" s="1"/>
  <c r="M66" i="131" s="1"/>
  <c r="K67" i="131"/>
  <c r="L67" i="131" s="1"/>
  <c r="M67" i="131" s="1"/>
  <c r="K68" i="131"/>
  <c r="L68" i="131" s="1"/>
  <c r="M68" i="131" s="1"/>
  <c r="K69" i="131"/>
  <c r="L69" i="131" s="1"/>
  <c r="M69" i="131" s="1"/>
  <c r="K70" i="131"/>
  <c r="L70" i="131" s="1"/>
  <c r="M70" i="131" s="1"/>
  <c r="K71" i="131"/>
  <c r="L71" i="131" s="1"/>
  <c r="M71" i="131" s="1"/>
  <c r="K72" i="131"/>
  <c r="L72" i="131" s="1"/>
  <c r="M72" i="131" s="1"/>
  <c r="K59" i="131"/>
  <c r="L59" i="131" s="1"/>
  <c r="M59" i="131" s="1"/>
  <c r="K61" i="131"/>
  <c r="L61" i="131" s="1"/>
  <c r="M61" i="131" s="1"/>
  <c r="K63" i="131"/>
  <c r="L63" i="131" s="1"/>
  <c r="M63" i="131" s="1"/>
  <c r="K8" i="128"/>
  <c r="L8" i="128" s="1"/>
  <c r="K10" i="128"/>
  <c r="L10" i="128" s="1"/>
  <c r="K12" i="128"/>
  <c r="L12" i="128" s="1"/>
  <c r="K14" i="128"/>
  <c r="L14" i="128" s="1"/>
  <c r="K16" i="128"/>
  <c r="L16" i="128" s="1"/>
  <c r="K18" i="128"/>
  <c r="L18" i="128" s="1"/>
  <c r="K20" i="128"/>
  <c r="L20" i="128" s="1"/>
  <c r="K22" i="128"/>
  <c r="L22" i="128" s="1"/>
  <c r="K24" i="128"/>
  <c r="L24" i="128" s="1"/>
  <c r="K26" i="128"/>
  <c r="L26" i="128" s="1"/>
  <c r="K9" i="128"/>
  <c r="L9" i="128" s="1"/>
  <c r="K11" i="128"/>
  <c r="L11" i="128" s="1"/>
  <c r="K13" i="128"/>
  <c r="L13" i="128" s="1"/>
  <c r="K15" i="128"/>
  <c r="L15" i="128" s="1"/>
  <c r="AA15" i="33" s="1"/>
  <c r="K17" i="128"/>
  <c r="L17" i="128" s="1"/>
  <c r="K19" i="128"/>
  <c r="L19" i="128" s="1"/>
  <c r="K21" i="128"/>
  <c r="L21" i="128" s="1"/>
  <c r="K23" i="128"/>
  <c r="L23" i="128" s="1"/>
  <c r="K25" i="128"/>
  <c r="L25" i="128" s="1"/>
  <c r="K27" i="128"/>
  <c r="L27" i="128" s="1"/>
  <c r="K29" i="128"/>
  <c r="L29" i="128" s="1"/>
  <c r="K32" i="128"/>
  <c r="L32" i="128" s="1"/>
  <c r="K34" i="128"/>
  <c r="L34" i="128" s="1"/>
  <c r="K36" i="128"/>
  <c r="L36" i="128" s="1"/>
  <c r="K38" i="128"/>
  <c r="L38" i="128" s="1"/>
  <c r="K40" i="128"/>
  <c r="L40" i="128" s="1"/>
  <c r="K42" i="128"/>
  <c r="L42" i="128" s="1"/>
  <c r="K44" i="128"/>
  <c r="L44" i="128" s="1"/>
  <c r="K46" i="128"/>
  <c r="L46" i="128" s="1"/>
  <c r="K48" i="128"/>
  <c r="L48" i="128" s="1"/>
  <c r="K50" i="128"/>
  <c r="L50" i="128" s="1"/>
  <c r="K30" i="128"/>
  <c r="L30" i="128" s="1"/>
  <c r="K31" i="128"/>
  <c r="L31" i="128" s="1"/>
  <c r="K33" i="128"/>
  <c r="L33" i="128" s="1"/>
  <c r="K35" i="128"/>
  <c r="L35" i="128" s="1"/>
  <c r="K37" i="128"/>
  <c r="L37" i="128" s="1"/>
  <c r="K39" i="128"/>
  <c r="L39" i="128" s="1"/>
  <c r="K41" i="128"/>
  <c r="L41" i="128" s="1"/>
  <c r="K43" i="128"/>
  <c r="L43" i="128" s="1"/>
  <c r="K45" i="128"/>
  <c r="L45" i="128" s="1"/>
  <c r="K47" i="128"/>
  <c r="L47" i="128" s="1"/>
  <c r="K49" i="128"/>
  <c r="L49" i="128" s="1"/>
  <c r="K52" i="128"/>
  <c r="L52" i="128" s="1"/>
  <c r="K54" i="128"/>
  <c r="L54" i="128" s="1"/>
  <c r="K56" i="128"/>
  <c r="L56" i="128" s="1"/>
  <c r="K58" i="128"/>
  <c r="L58" i="128" s="1"/>
  <c r="K59" i="128"/>
  <c r="L59" i="128" s="1"/>
  <c r="K60" i="128"/>
  <c r="L60" i="128" s="1"/>
  <c r="K61" i="128"/>
  <c r="L61" i="128" s="1"/>
  <c r="K62" i="128"/>
  <c r="L62" i="128" s="1"/>
  <c r="K63" i="128"/>
  <c r="L63" i="128" s="1"/>
  <c r="K64" i="128"/>
  <c r="L64" i="128" s="1"/>
  <c r="K65" i="128"/>
  <c r="L65" i="128" s="1"/>
  <c r="K66" i="128"/>
  <c r="L66" i="128" s="1"/>
  <c r="K67" i="128"/>
  <c r="L67" i="128" s="1"/>
  <c r="K69" i="128"/>
  <c r="L69" i="128" s="1"/>
  <c r="K71" i="128"/>
  <c r="L71" i="128" s="1"/>
  <c r="K73" i="128"/>
  <c r="L73" i="128" s="1"/>
  <c r="K75" i="128"/>
  <c r="L75" i="128" s="1"/>
  <c r="K51" i="128"/>
  <c r="L51" i="128" s="1"/>
  <c r="K53" i="128"/>
  <c r="L53" i="128" s="1"/>
  <c r="K55" i="128"/>
  <c r="L55" i="128" s="1"/>
  <c r="K57" i="128"/>
  <c r="L57" i="128" s="1"/>
  <c r="K8" i="127"/>
  <c r="L8" i="127" s="1"/>
  <c r="K10" i="127"/>
  <c r="L10" i="127" s="1"/>
  <c r="K12" i="127"/>
  <c r="L12" i="127" s="1"/>
  <c r="K14" i="127"/>
  <c r="L14" i="127" s="1"/>
  <c r="K16" i="127"/>
  <c r="L16" i="127" s="1"/>
  <c r="K18" i="127"/>
  <c r="L18" i="127" s="1"/>
  <c r="K20" i="127"/>
  <c r="L20" i="127" s="1"/>
  <c r="K22" i="127"/>
  <c r="L22" i="127" s="1"/>
  <c r="K24" i="127"/>
  <c r="L24" i="127" s="1"/>
  <c r="K26" i="127"/>
  <c r="L26" i="127" s="1"/>
  <c r="K28" i="127"/>
  <c r="L28" i="127" s="1"/>
  <c r="K30" i="127"/>
  <c r="L30" i="127" s="1"/>
  <c r="K31" i="127"/>
  <c r="L31" i="127" s="1"/>
  <c r="K33" i="127"/>
  <c r="L33" i="127" s="1"/>
  <c r="K35" i="127"/>
  <c r="L35" i="127" s="1"/>
  <c r="K37" i="127"/>
  <c r="L37" i="127" s="1"/>
  <c r="K39" i="127"/>
  <c r="L39" i="127" s="1"/>
  <c r="K41" i="127"/>
  <c r="L41" i="127" s="1"/>
  <c r="K43" i="127"/>
  <c r="L43" i="127" s="1"/>
  <c r="K45" i="127"/>
  <c r="L45" i="127" s="1"/>
  <c r="K47" i="127"/>
  <c r="L47" i="127" s="1"/>
  <c r="K49" i="127"/>
  <c r="L49" i="127" s="1"/>
  <c r="K51" i="127"/>
  <c r="L51" i="127" s="1"/>
  <c r="K32" i="127"/>
  <c r="L32" i="127" s="1"/>
  <c r="K34" i="127"/>
  <c r="L34" i="127" s="1"/>
  <c r="K36" i="127"/>
  <c r="L36" i="127" s="1"/>
  <c r="K38" i="127"/>
  <c r="L38" i="127" s="1"/>
  <c r="K40" i="127"/>
  <c r="L40" i="127" s="1"/>
  <c r="K42" i="127"/>
  <c r="L42" i="127" s="1"/>
  <c r="K44" i="127"/>
  <c r="L44" i="127" s="1"/>
  <c r="K46" i="127"/>
  <c r="L46" i="127" s="1"/>
  <c r="K48" i="127"/>
  <c r="L48" i="127" s="1"/>
  <c r="K50" i="127"/>
  <c r="L50" i="127" s="1"/>
  <c r="K52" i="127"/>
  <c r="L52" i="127" s="1"/>
  <c r="K55" i="127"/>
  <c r="L55" i="127" s="1"/>
  <c r="K57" i="127"/>
  <c r="L57" i="127" s="1"/>
  <c r="K59" i="127"/>
  <c r="L59" i="127" s="1"/>
  <c r="K61" i="127"/>
  <c r="L61" i="127" s="1"/>
  <c r="K63" i="127"/>
  <c r="L63" i="127" s="1"/>
  <c r="K65" i="127"/>
  <c r="L65" i="127" s="1"/>
  <c r="K67" i="127"/>
  <c r="L67" i="127" s="1"/>
  <c r="K69" i="127"/>
  <c r="L69" i="127" s="1"/>
  <c r="K71" i="127"/>
  <c r="L71" i="127" s="1"/>
  <c r="K73" i="127"/>
  <c r="L73" i="127" s="1"/>
  <c r="K75" i="127"/>
  <c r="L75" i="127" s="1"/>
  <c r="K53" i="127"/>
  <c r="L53" i="127" s="1"/>
  <c r="K54" i="127"/>
  <c r="L54" i="127" s="1"/>
  <c r="K8" i="126"/>
  <c r="L8" i="126" s="1"/>
  <c r="M8" i="126" s="1"/>
  <c r="K10" i="126"/>
  <c r="L10" i="126" s="1"/>
  <c r="M10" i="126" s="1"/>
  <c r="K12" i="126"/>
  <c r="L12" i="126" s="1"/>
  <c r="M12" i="126" s="1"/>
  <c r="K14" i="126"/>
  <c r="L14" i="126" s="1"/>
  <c r="M14" i="126" s="1"/>
  <c r="K16" i="126"/>
  <c r="L16" i="126" s="1"/>
  <c r="M16" i="126" s="1"/>
  <c r="K18" i="126"/>
  <c r="L18" i="126" s="1"/>
  <c r="M18" i="126" s="1"/>
  <c r="K20" i="126"/>
  <c r="L20" i="126" s="1"/>
  <c r="M20" i="126" s="1"/>
  <c r="K22" i="126"/>
  <c r="L22" i="126" s="1"/>
  <c r="M22" i="126" s="1"/>
  <c r="K24" i="126"/>
  <c r="L24" i="126" s="1"/>
  <c r="M24" i="126" s="1"/>
  <c r="K26" i="126"/>
  <c r="L26" i="126" s="1"/>
  <c r="M26" i="126" s="1"/>
  <c r="K28" i="126"/>
  <c r="L28" i="126" s="1"/>
  <c r="M28" i="126" s="1"/>
  <c r="K30" i="126"/>
  <c r="L30" i="126" s="1"/>
  <c r="M30" i="126" s="1"/>
  <c r="K9" i="126"/>
  <c r="L9" i="126" s="1"/>
  <c r="M9" i="126" s="1"/>
  <c r="K11" i="126"/>
  <c r="L11" i="126" s="1"/>
  <c r="M11" i="126" s="1"/>
  <c r="K13" i="126"/>
  <c r="L13" i="126" s="1"/>
  <c r="M13" i="126" s="1"/>
  <c r="K15" i="126"/>
  <c r="L15" i="126" s="1"/>
  <c r="M15" i="126" s="1"/>
  <c r="K17" i="126"/>
  <c r="L17" i="126" s="1"/>
  <c r="M17" i="126" s="1"/>
  <c r="K19" i="126"/>
  <c r="L19" i="126" s="1"/>
  <c r="M19" i="126" s="1"/>
  <c r="K21" i="126"/>
  <c r="L21" i="126" s="1"/>
  <c r="M21" i="126" s="1"/>
  <c r="K23" i="126"/>
  <c r="L23" i="126" s="1"/>
  <c r="M23" i="126" s="1"/>
  <c r="K25" i="126"/>
  <c r="L25" i="126" s="1"/>
  <c r="M25" i="126" s="1"/>
  <c r="K27" i="126"/>
  <c r="L27" i="126" s="1"/>
  <c r="M27" i="126" s="1"/>
  <c r="K29" i="126"/>
  <c r="L29" i="126" s="1"/>
  <c r="M29" i="126" s="1"/>
  <c r="K31" i="126"/>
  <c r="L31" i="126" s="1"/>
  <c r="M31" i="126" s="1"/>
  <c r="K33" i="126"/>
  <c r="L33" i="126" s="1"/>
  <c r="M33" i="126" s="1"/>
  <c r="K35" i="126"/>
  <c r="L35" i="126" s="1"/>
  <c r="M35" i="126" s="1"/>
  <c r="K37" i="126"/>
  <c r="L37" i="126" s="1"/>
  <c r="M37" i="126" s="1"/>
  <c r="K39" i="126"/>
  <c r="L39" i="126" s="1"/>
  <c r="M39" i="126" s="1"/>
  <c r="K41" i="126"/>
  <c r="L41" i="126" s="1"/>
  <c r="M41" i="126" s="1"/>
  <c r="K43" i="126"/>
  <c r="L43" i="126" s="1"/>
  <c r="M43" i="126" s="1"/>
  <c r="K45" i="126"/>
  <c r="L45" i="126" s="1"/>
  <c r="M45" i="126" s="1"/>
  <c r="K47" i="126"/>
  <c r="L47" i="126" s="1"/>
  <c r="M47" i="126" s="1"/>
  <c r="K49" i="126"/>
  <c r="L49" i="126" s="1"/>
  <c r="M49" i="126" s="1"/>
  <c r="K51" i="126"/>
  <c r="L51" i="126" s="1"/>
  <c r="M51" i="126" s="1"/>
  <c r="K32" i="126"/>
  <c r="L32" i="126" s="1"/>
  <c r="M32" i="126" s="1"/>
  <c r="K34" i="126"/>
  <c r="L34" i="126" s="1"/>
  <c r="M34" i="126" s="1"/>
  <c r="K36" i="126"/>
  <c r="L36" i="126" s="1"/>
  <c r="M36" i="126" s="1"/>
  <c r="K38" i="126"/>
  <c r="L38" i="126" s="1"/>
  <c r="M38" i="126" s="1"/>
  <c r="K40" i="126"/>
  <c r="L40" i="126" s="1"/>
  <c r="M40" i="126" s="1"/>
  <c r="K42" i="126"/>
  <c r="L42" i="126" s="1"/>
  <c r="M42" i="126" s="1"/>
  <c r="K44" i="126"/>
  <c r="L44" i="126" s="1"/>
  <c r="M44" i="126" s="1"/>
  <c r="K46" i="126"/>
  <c r="L46" i="126" s="1"/>
  <c r="M46" i="126" s="1"/>
  <c r="K48" i="126"/>
  <c r="L48" i="126" s="1"/>
  <c r="M48" i="126" s="1"/>
  <c r="K50" i="126"/>
  <c r="L50" i="126" s="1"/>
  <c r="M50" i="126" s="1"/>
  <c r="K52" i="126"/>
  <c r="L52" i="126" s="1"/>
  <c r="M52" i="126" s="1"/>
  <c r="K55" i="126"/>
  <c r="L55" i="126" s="1"/>
  <c r="M55" i="126" s="1"/>
  <c r="K57" i="126"/>
  <c r="L57" i="126" s="1"/>
  <c r="M57" i="126" s="1"/>
  <c r="K59" i="126"/>
  <c r="L59" i="126" s="1"/>
  <c r="M59" i="126" s="1"/>
  <c r="K61" i="126"/>
  <c r="L61" i="126" s="1"/>
  <c r="M61" i="126" s="1"/>
  <c r="K63" i="126"/>
  <c r="L63" i="126" s="1"/>
  <c r="M63" i="126" s="1"/>
  <c r="K65" i="126"/>
  <c r="L65" i="126" s="1"/>
  <c r="M65" i="126" s="1"/>
  <c r="K67" i="126"/>
  <c r="L67" i="126" s="1"/>
  <c r="M67" i="126" s="1"/>
  <c r="K69" i="126"/>
  <c r="L69" i="126" s="1"/>
  <c r="M69" i="126" s="1"/>
  <c r="K71" i="126"/>
  <c r="L71" i="126" s="1"/>
  <c r="M71" i="126" s="1"/>
  <c r="K73" i="126"/>
  <c r="L73" i="126" s="1"/>
  <c r="M73" i="126" s="1"/>
  <c r="K75" i="126"/>
  <c r="L75" i="126" s="1"/>
  <c r="M75" i="126" s="1"/>
  <c r="K53" i="126"/>
  <c r="L53" i="126" s="1"/>
  <c r="M53" i="126" s="1"/>
  <c r="K9" i="125"/>
  <c r="L9" i="125" s="1"/>
  <c r="M9" i="125" s="1"/>
  <c r="K11" i="125"/>
  <c r="L11" i="125" s="1"/>
  <c r="M11" i="125" s="1"/>
  <c r="K13" i="125"/>
  <c r="L13" i="125" s="1"/>
  <c r="M13" i="125" s="1"/>
  <c r="K15" i="125"/>
  <c r="L15" i="125" s="1"/>
  <c r="M15" i="125" s="1"/>
  <c r="K17" i="125"/>
  <c r="L17" i="125" s="1"/>
  <c r="M17" i="125" s="1"/>
  <c r="K19" i="125"/>
  <c r="L19" i="125" s="1"/>
  <c r="M19" i="125" s="1"/>
  <c r="K21" i="125"/>
  <c r="L21" i="125" s="1"/>
  <c r="M21" i="125" s="1"/>
  <c r="K23" i="125"/>
  <c r="L23" i="125" s="1"/>
  <c r="M23" i="125" s="1"/>
  <c r="K25" i="125"/>
  <c r="L25" i="125" s="1"/>
  <c r="M25" i="125" s="1"/>
  <c r="K27" i="125"/>
  <c r="L27" i="125" s="1"/>
  <c r="M27" i="125" s="1"/>
  <c r="K8" i="125"/>
  <c r="L8" i="125" s="1"/>
  <c r="M8" i="125" s="1"/>
  <c r="K10" i="125"/>
  <c r="L10" i="125" s="1"/>
  <c r="M10" i="125" s="1"/>
  <c r="K12" i="125"/>
  <c r="L12" i="125" s="1"/>
  <c r="M12" i="125" s="1"/>
  <c r="K14" i="125"/>
  <c r="L14" i="125" s="1"/>
  <c r="M14" i="125" s="1"/>
  <c r="K16" i="125"/>
  <c r="L16" i="125" s="1"/>
  <c r="M16" i="125" s="1"/>
  <c r="K18" i="125"/>
  <c r="L18" i="125" s="1"/>
  <c r="M18" i="125" s="1"/>
  <c r="K20" i="125"/>
  <c r="L20" i="125" s="1"/>
  <c r="M20" i="125" s="1"/>
  <c r="K22" i="125"/>
  <c r="L22" i="125" s="1"/>
  <c r="M22" i="125" s="1"/>
  <c r="K24" i="125"/>
  <c r="L24" i="125" s="1"/>
  <c r="M24" i="125" s="1"/>
  <c r="K26" i="125"/>
  <c r="L26" i="125" s="1"/>
  <c r="M26" i="125" s="1"/>
  <c r="K28" i="125"/>
  <c r="L28" i="125" s="1"/>
  <c r="M28" i="125" s="1"/>
  <c r="K29" i="125"/>
  <c r="L29" i="125" s="1"/>
  <c r="M29" i="125" s="1"/>
  <c r="K31" i="125"/>
  <c r="L31" i="125" s="1"/>
  <c r="M31" i="125" s="1"/>
  <c r="K33" i="125"/>
  <c r="L33" i="125" s="1"/>
  <c r="M33" i="125" s="1"/>
  <c r="K35" i="125"/>
  <c r="L35" i="125" s="1"/>
  <c r="M35" i="125" s="1"/>
  <c r="K37" i="125"/>
  <c r="L37" i="125" s="1"/>
  <c r="M37" i="125" s="1"/>
  <c r="K46" i="125"/>
  <c r="L46" i="125" s="1"/>
  <c r="M46" i="125" s="1"/>
  <c r="K48" i="125"/>
  <c r="L48" i="125" s="1"/>
  <c r="M48" i="125" s="1"/>
  <c r="K50" i="125"/>
  <c r="L50" i="125" s="1"/>
  <c r="M50" i="125" s="1"/>
  <c r="K52" i="125"/>
  <c r="L52" i="125" s="1"/>
  <c r="M52" i="125" s="1"/>
  <c r="K54" i="125"/>
  <c r="L54" i="125" s="1"/>
  <c r="M54" i="125" s="1"/>
  <c r="K30" i="125"/>
  <c r="L30" i="125" s="1"/>
  <c r="M30" i="125" s="1"/>
  <c r="K32" i="125"/>
  <c r="L32" i="125" s="1"/>
  <c r="M32" i="125" s="1"/>
  <c r="K34" i="125"/>
  <c r="L34" i="125" s="1"/>
  <c r="M34" i="125" s="1"/>
  <c r="K36" i="125"/>
  <c r="L36" i="125" s="1"/>
  <c r="M36" i="125" s="1"/>
  <c r="K38" i="125"/>
  <c r="L38" i="125" s="1"/>
  <c r="M38" i="125" s="1"/>
  <c r="K47" i="125"/>
  <c r="L47" i="125" s="1"/>
  <c r="M47" i="125" s="1"/>
  <c r="K49" i="125"/>
  <c r="L49" i="125" s="1"/>
  <c r="M49" i="125" s="1"/>
  <c r="K51" i="125"/>
  <c r="L51" i="125" s="1"/>
  <c r="M51" i="125" s="1"/>
  <c r="K53" i="125"/>
  <c r="L53" i="125" s="1"/>
  <c r="M53" i="125" s="1"/>
  <c r="K55" i="125"/>
  <c r="L55" i="125" s="1"/>
  <c r="M55" i="125" s="1"/>
  <c r="K39" i="125"/>
  <c r="L39" i="125" s="1"/>
  <c r="M39" i="125" s="1"/>
  <c r="K40" i="125"/>
  <c r="L40" i="125" s="1"/>
  <c r="M40" i="125" s="1"/>
  <c r="K41" i="125"/>
  <c r="L41" i="125" s="1"/>
  <c r="M41" i="125" s="1"/>
  <c r="K42" i="125"/>
  <c r="L42" i="125" s="1"/>
  <c r="M42" i="125" s="1"/>
  <c r="K43" i="125"/>
  <c r="L43" i="125" s="1"/>
  <c r="M43" i="125" s="1"/>
  <c r="K44" i="125"/>
  <c r="L44" i="125" s="1"/>
  <c r="M44" i="125" s="1"/>
  <c r="K45" i="125"/>
  <c r="L45" i="125" s="1"/>
  <c r="M45" i="125" s="1"/>
  <c r="K58" i="125"/>
  <c r="L58" i="125" s="1"/>
  <c r="M58" i="125" s="1"/>
  <c r="K60" i="125"/>
  <c r="L60" i="125" s="1"/>
  <c r="M60" i="125" s="1"/>
  <c r="K62" i="125"/>
  <c r="L62" i="125" s="1"/>
  <c r="M62" i="125" s="1"/>
  <c r="K64" i="125"/>
  <c r="L64" i="125" s="1"/>
  <c r="M64" i="125" s="1"/>
  <c r="K66" i="125"/>
  <c r="L66" i="125" s="1"/>
  <c r="M66" i="125" s="1"/>
  <c r="K68" i="125"/>
  <c r="L68" i="125" s="1"/>
  <c r="M68" i="125" s="1"/>
  <c r="K70" i="125"/>
  <c r="L70" i="125" s="1"/>
  <c r="M70" i="125" s="1"/>
  <c r="K72" i="125"/>
  <c r="L72" i="125" s="1"/>
  <c r="M72" i="125" s="1"/>
  <c r="K74" i="125"/>
  <c r="L74" i="125" s="1"/>
  <c r="M74" i="125" s="1"/>
  <c r="K56" i="125"/>
  <c r="L56" i="125" s="1"/>
  <c r="M56" i="125" s="1"/>
  <c r="K57" i="125"/>
  <c r="L57" i="125" s="1"/>
  <c r="M57" i="125" s="1"/>
  <c r="K59" i="125"/>
  <c r="L59" i="125" s="1"/>
  <c r="M59" i="125" s="1"/>
  <c r="K61" i="125"/>
  <c r="L61" i="125" s="1"/>
  <c r="M61" i="125" s="1"/>
  <c r="K63" i="125"/>
  <c r="L63" i="125" s="1"/>
  <c r="M63" i="125" s="1"/>
  <c r="K65" i="125"/>
  <c r="L65" i="125" s="1"/>
  <c r="M65" i="125" s="1"/>
  <c r="K67" i="125"/>
  <c r="L67" i="125" s="1"/>
  <c r="M67" i="125" s="1"/>
  <c r="K69" i="125"/>
  <c r="L69" i="125" s="1"/>
  <c r="M69" i="125" s="1"/>
  <c r="K71" i="125"/>
  <c r="L71" i="125" s="1"/>
  <c r="M71" i="125" s="1"/>
  <c r="K73" i="125"/>
  <c r="L73" i="125" s="1"/>
  <c r="M73" i="125" s="1"/>
  <c r="K75" i="125"/>
  <c r="L75" i="125" s="1"/>
  <c r="M75" i="125" s="1"/>
  <c r="N67" i="125" l="1"/>
  <c r="P67" i="125" s="1"/>
  <c r="X67" i="33"/>
  <c r="N59" i="125"/>
  <c r="P59" i="125" s="1"/>
  <c r="X59" i="33"/>
  <c r="N72" i="125"/>
  <c r="P72" i="125" s="1"/>
  <c r="X72" i="33"/>
  <c r="N60" i="125"/>
  <c r="P60" i="125" s="1"/>
  <c r="X60" i="33"/>
  <c r="N43" i="125"/>
  <c r="P43" i="125" s="1"/>
  <c r="X43" i="33"/>
  <c r="N41" i="125"/>
  <c r="P41" i="125" s="1"/>
  <c r="X41" i="33"/>
  <c r="N39" i="125"/>
  <c r="P39" i="125" s="1"/>
  <c r="X39" i="33"/>
  <c r="N53" i="125"/>
  <c r="P53" i="125" s="1"/>
  <c r="X53" i="33"/>
  <c r="N49" i="125"/>
  <c r="P49" i="125" s="1"/>
  <c r="X49" i="33"/>
  <c r="N38" i="125"/>
  <c r="P38" i="125" s="1"/>
  <c r="X38" i="33"/>
  <c r="N34" i="125"/>
  <c r="P34" i="125" s="1"/>
  <c r="X34" i="33"/>
  <c r="N30" i="125"/>
  <c r="P30" i="125" s="1"/>
  <c r="X30" i="33"/>
  <c r="N52" i="125"/>
  <c r="P52" i="125" s="1"/>
  <c r="X52" i="33"/>
  <c r="N48" i="125"/>
  <c r="P48" i="125" s="1"/>
  <c r="X48" i="33"/>
  <c r="N37" i="125"/>
  <c r="P37" i="125" s="1"/>
  <c r="X37" i="33"/>
  <c r="N33" i="125"/>
  <c r="P33" i="125" s="1"/>
  <c r="X33" i="33"/>
  <c r="N29" i="125"/>
  <c r="P29" i="125" s="1"/>
  <c r="X29" i="33"/>
  <c r="N26" i="125"/>
  <c r="P26" i="125" s="1"/>
  <c r="X26" i="33"/>
  <c r="N22" i="125"/>
  <c r="P22" i="125" s="1"/>
  <c r="X22" i="33"/>
  <c r="N18" i="125"/>
  <c r="P18" i="125" s="1"/>
  <c r="X18" i="33"/>
  <c r="N14" i="125"/>
  <c r="P14" i="125" s="1"/>
  <c r="X14" i="33"/>
  <c r="N10" i="125"/>
  <c r="P10" i="125" s="1"/>
  <c r="X10" i="33"/>
  <c r="N27" i="125"/>
  <c r="P27" i="125" s="1"/>
  <c r="X27" i="33"/>
  <c r="N23" i="125"/>
  <c r="P23" i="125" s="1"/>
  <c r="X23" i="33"/>
  <c r="N19" i="125"/>
  <c r="P19" i="125" s="1"/>
  <c r="X19" i="33"/>
  <c r="N15" i="125"/>
  <c r="P15" i="125" s="1"/>
  <c r="X15" i="33"/>
  <c r="N11" i="125"/>
  <c r="P11" i="125" s="1"/>
  <c r="X11" i="33"/>
  <c r="N53" i="126"/>
  <c r="P53" i="126" s="1"/>
  <c r="Y53" i="33"/>
  <c r="N73" i="126"/>
  <c r="P73" i="126" s="1"/>
  <c r="Y73" i="33"/>
  <c r="N69" i="126"/>
  <c r="P69" i="126" s="1"/>
  <c r="Y69" i="33"/>
  <c r="N65" i="126"/>
  <c r="P65" i="126" s="1"/>
  <c r="Y65" i="33"/>
  <c r="N61" i="126"/>
  <c r="P61" i="126" s="1"/>
  <c r="Y61" i="33"/>
  <c r="N57" i="126"/>
  <c r="P57" i="126" s="1"/>
  <c r="Y57" i="33"/>
  <c r="N52" i="126"/>
  <c r="P52" i="126" s="1"/>
  <c r="Y52" i="33"/>
  <c r="N48" i="126"/>
  <c r="P48" i="126" s="1"/>
  <c r="Y48" i="33"/>
  <c r="N44" i="126"/>
  <c r="P44" i="126" s="1"/>
  <c r="Y44" i="33"/>
  <c r="N40" i="126"/>
  <c r="P40" i="126" s="1"/>
  <c r="Y40" i="33"/>
  <c r="N36" i="126"/>
  <c r="P36" i="126" s="1"/>
  <c r="Y36" i="33"/>
  <c r="N32" i="126"/>
  <c r="P32" i="126" s="1"/>
  <c r="Y32" i="33"/>
  <c r="N49" i="126"/>
  <c r="P49" i="126" s="1"/>
  <c r="Y49" i="33"/>
  <c r="N45" i="126"/>
  <c r="P45" i="126" s="1"/>
  <c r="Y45" i="33"/>
  <c r="N41" i="126"/>
  <c r="P41" i="126" s="1"/>
  <c r="Y41" i="33"/>
  <c r="N37" i="126"/>
  <c r="P37" i="126" s="1"/>
  <c r="Y37" i="33"/>
  <c r="N33" i="126"/>
  <c r="P33" i="126" s="1"/>
  <c r="Y33" i="33"/>
  <c r="N29" i="126"/>
  <c r="P29" i="126" s="1"/>
  <c r="Y29" i="33"/>
  <c r="N25" i="126"/>
  <c r="P25" i="126" s="1"/>
  <c r="Y25" i="33"/>
  <c r="N21" i="126"/>
  <c r="P21" i="126" s="1"/>
  <c r="Y21" i="33"/>
  <c r="N17" i="126"/>
  <c r="P17" i="126" s="1"/>
  <c r="Y17" i="33"/>
  <c r="N13" i="126"/>
  <c r="P13" i="126" s="1"/>
  <c r="Y13" i="33"/>
  <c r="N9" i="126"/>
  <c r="P9" i="126" s="1"/>
  <c r="Y9" i="33"/>
  <c r="N28" i="126"/>
  <c r="P28" i="126" s="1"/>
  <c r="Y28" i="33"/>
  <c r="N24" i="126"/>
  <c r="P24" i="126" s="1"/>
  <c r="Y24" i="33"/>
  <c r="N20" i="126"/>
  <c r="P20" i="126" s="1"/>
  <c r="Y20" i="33"/>
  <c r="N16" i="126"/>
  <c r="P16" i="126" s="1"/>
  <c r="Y16" i="33"/>
  <c r="N12" i="126"/>
  <c r="P12" i="126" s="1"/>
  <c r="Y12" i="33"/>
  <c r="N8" i="126"/>
  <c r="P8" i="126" s="1"/>
  <c r="Y8" i="33"/>
  <c r="M53" i="127"/>
  <c r="N53" i="127" s="1"/>
  <c r="P53" i="127" s="1"/>
  <c r="Z53" i="33"/>
  <c r="M73" i="127"/>
  <c r="N73" i="127" s="1"/>
  <c r="P73" i="127" s="1"/>
  <c r="Z73" i="33"/>
  <c r="M69" i="127"/>
  <c r="N69" i="127" s="1"/>
  <c r="P69" i="127" s="1"/>
  <c r="Z69" i="33"/>
  <c r="M65" i="127"/>
  <c r="N65" i="127" s="1"/>
  <c r="P65" i="127" s="1"/>
  <c r="Z65" i="33"/>
  <c r="M61" i="127"/>
  <c r="N61" i="127" s="1"/>
  <c r="P61" i="127" s="1"/>
  <c r="Z61" i="33"/>
  <c r="M57" i="127"/>
  <c r="N57" i="127" s="1"/>
  <c r="P57" i="127" s="1"/>
  <c r="Z57" i="33"/>
  <c r="M52" i="127"/>
  <c r="N52" i="127" s="1"/>
  <c r="P52" i="127" s="1"/>
  <c r="T52" i="127" s="1"/>
  <c r="Z52" i="33"/>
  <c r="M48" i="127"/>
  <c r="N48" i="127" s="1"/>
  <c r="P48" i="127" s="1"/>
  <c r="T48" i="127" s="1"/>
  <c r="Z48" i="33"/>
  <c r="M44" i="127"/>
  <c r="N44" i="127" s="1"/>
  <c r="P44" i="127" s="1"/>
  <c r="T44" i="127" s="1"/>
  <c r="Z44" i="33"/>
  <c r="M40" i="127"/>
  <c r="N40" i="127" s="1"/>
  <c r="P40" i="127" s="1"/>
  <c r="T40" i="127" s="1"/>
  <c r="Z40" i="33"/>
  <c r="M36" i="127"/>
  <c r="N36" i="127" s="1"/>
  <c r="P36" i="127" s="1"/>
  <c r="T36" i="127" s="1"/>
  <c r="Z36" i="33"/>
  <c r="M32" i="127"/>
  <c r="N32" i="127" s="1"/>
  <c r="P32" i="127" s="1"/>
  <c r="T32" i="127" s="1"/>
  <c r="Z32" i="33"/>
  <c r="M49" i="127"/>
  <c r="N49" i="127" s="1"/>
  <c r="P49" i="127" s="1"/>
  <c r="Z49" i="33"/>
  <c r="M45" i="127"/>
  <c r="N45" i="127" s="1"/>
  <c r="P45" i="127" s="1"/>
  <c r="Z45" i="33"/>
  <c r="M41" i="127"/>
  <c r="N41" i="127" s="1"/>
  <c r="P41" i="127" s="1"/>
  <c r="Z41" i="33"/>
  <c r="M37" i="127"/>
  <c r="N37" i="127" s="1"/>
  <c r="P37" i="127" s="1"/>
  <c r="Z37" i="33"/>
  <c r="M33" i="127"/>
  <c r="N33" i="127" s="1"/>
  <c r="P33" i="127" s="1"/>
  <c r="Z33" i="33"/>
  <c r="M30" i="127"/>
  <c r="N30" i="127" s="1"/>
  <c r="P30" i="127" s="1"/>
  <c r="T30" i="127" s="1"/>
  <c r="Z30" i="33"/>
  <c r="M26" i="127"/>
  <c r="N26" i="127" s="1"/>
  <c r="P26" i="127" s="1"/>
  <c r="T26" i="127" s="1"/>
  <c r="Z26" i="33"/>
  <c r="M22" i="127"/>
  <c r="N22" i="127" s="1"/>
  <c r="P22" i="127" s="1"/>
  <c r="T22" i="127" s="1"/>
  <c r="Z22" i="33"/>
  <c r="M18" i="127"/>
  <c r="N18" i="127" s="1"/>
  <c r="P18" i="127" s="1"/>
  <c r="T18" i="127" s="1"/>
  <c r="Z18" i="33"/>
  <c r="M14" i="127"/>
  <c r="N14" i="127" s="1"/>
  <c r="P14" i="127" s="1"/>
  <c r="T14" i="127" s="1"/>
  <c r="Z14" i="33"/>
  <c r="M10" i="127"/>
  <c r="N10" i="127" s="1"/>
  <c r="P10" i="127" s="1"/>
  <c r="T10" i="127" s="1"/>
  <c r="Z10" i="33"/>
  <c r="M57" i="128"/>
  <c r="N57" i="128" s="1"/>
  <c r="P57" i="128" s="1"/>
  <c r="AA57" i="33"/>
  <c r="M53" i="128"/>
  <c r="N53" i="128" s="1"/>
  <c r="P53" i="128" s="1"/>
  <c r="AA53" i="33"/>
  <c r="M75" i="128"/>
  <c r="N75" i="128" s="1"/>
  <c r="P75" i="128" s="1"/>
  <c r="AA75" i="33"/>
  <c r="M71" i="128"/>
  <c r="N71" i="128" s="1"/>
  <c r="P71" i="128" s="1"/>
  <c r="AA71" i="33"/>
  <c r="M67" i="128"/>
  <c r="N67" i="128" s="1"/>
  <c r="P67" i="128" s="1"/>
  <c r="AA67" i="33"/>
  <c r="M65" i="128"/>
  <c r="N65" i="128" s="1"/>
  <c r="P65" i="128" s="1"/>
  <c r="AA65" i="33"/>
  <c r="M63" i="128"/>
  <c r="N63" i="128" s="1"/>
  <c r="P63" i="128" s="1"/>
  <c r="AA63" i="33"/>
  <c r="M61" i="128"/>
  <c r="N61" i="128" s="1"/>
  <c r="P61" i="128" s="1"/>
  <c r="T61" i="128" s="1"/>
  <c r="AA61" i="33"/>
  <c r="M59" i="128"/>
  <c r="N59" i="128" s="1"/>
  <c r="P59" i="128" s="1"/>
  <c r="T59" i="128" s="1"/>
  <c r="AA59" i="33"/>
  <c r="M56" i="128"/>
  <c r="N56" i="128" s="1"/>
  <c r="P56" i="128" s="1"/>
  <c r="AA56" i="33"/>
  <c r="M52" i="128"/>
  <c r="N52" i="128" s="1"/>
  <c r="P52" i="128" s="1"/>
  <c r="T52" i="128" s="1"/>
  <c r="AA52" i="33"/>
  <c r="M47" i="128"/>
  <c r="N47" i="128" s="1"/>
  <c r="P47" i="128" s="1"/>
  <c r="T47" i="128" s="1"/>
  <c r="AA47" i="33"/>
  <c r="M43" i="128"/>
  <c r="N43" i="128" s="1"/>
  <c r="P43" i="128" s="1"/>
  <c r="T43" i="128" s="1"/>
  <c r="AA43" i="33"/>
  <c r="M39" i="128"/>
  <c r="N39" i="128" s="1"/>
  <c r="P39" i="128" s="1"/>
  <c r="T39" i="128" s="1"/>
  <c r="AA39" i="33"/>
  <c r="M35" i="128"/>
  <c r="N35" i="128" s="1"/>
  <c r="P35" i="128" s="1"/>
  <c r="T35" i="128" s="1"/>
  <c r="AA35" i="33"/>
  <c r="M31" i="128"/>
  <c r="N31" i="128" s="1"/>
  <c r="P31" i="128" s="1"/>
  <c r="T31" i="128" s="1"/>
  <c r="AA31" i="33"/>
  <c r="M50" i="128"/>
  <c r="N50" i="128" s="1"/>
  <c r="P50" i="128" s="1"/>
  <c r="T50" i="128" s="1"/>
  <c r="AA50" i="33"/>
  <c r="M46" i="128"/>
  <c r="N46" i="128" s="1"/>
  <c r="P46" i="128" s="1"/>
  <c r="T46" i="128" s="1"/>
  <c r="AA46" i="33"/>
  <c r="M42" i="128"/>
  <c r="N42" i="128" s="1"/>
  <c r="P42" i="128" s="1"/>
  <c r="T42" i="128" s="1"/>
  <c r="AJ42" i="128" s="1"/>
  <c r="AA42" i="33"/>
  <c r="M38" i="128"/>
  <c r="N38" i="128" s="1"/>
  <c r="P38" i="128" s="1"/>
  <c r="T38" i="128" s="1"/>
  <c r="AA38" i="33"/>
  <c r="M34" i="128"/>
  <c r="N34" i="128" s="1"/>
  <c r="P34" i="128" s="1"/>
  <c r="T34" i="128" s="1"/>
  <c r="AA34" i="33"/>
  <c r="M29" i="128"/>
  <c r="N29" i="128" s="1"/>
  <c r="P29" i="128" s="1"/>
  <c r="T29" i="128" s="1"/>
  <c r="AA29" i="33"/>
  <c r="M25" i="128"/>
  <c r="N25" i="128" s="1"/>
  <c r="P25" i="128" s="1"/>
  <c r="T25" i="128" s="1"/>
  <c r="AA25" i="33"/>
  <c r="M21" i="128"/>
  <c r="N21" i="128" s="1"/>
  <c r="P21" i="128" s="1"/>
  <c r="T21" i="128" s="1"/>
  <c r="AA21" i="33"/>
  <c r="M17" i="128"/>
  <c r="N17" i="128" s="1"/>
  <c r="P17" i="128" s="1"/>
  <c r="T17" i="128" s="1"/>
  <c r="AA17" i="33"/>
  <c r="M13" i="128"/>
  <c r="N13" i="128" s="1"/>
  <c r="P13" i="128" s="1"/>
  <c r="AA13" i="33"/>
  <c r="M9" i="128"/>
  <c r="N9" i="128" s="1"/>
  <c r="P9" i="128" s="1"/>
  <c r="AA9" i="33"/>
  <c r="M24" i="128"/>
  <c r="N24" i="128" s="1"/>
  <c r="P24" i="128" s="1"/>
  <c r="AA24" i="33"/>
  <c r="M20" i="128"/>
  <c r="N20" i="128" s="1"/>
  <c r="P20" i="128" s="1"/>
  <c r="AA20" i="33"/>
  <c r="M16" i="128"/>
  <c r="N16" i="128" s="1"/>
  <c r="P16" i="128" s="1"/>
  <c r="AA16" i="33"/>
  <c r="M12" i="128"/>
  <c r="N12" i="128" s="1"/>
  <c r="P12" i="128" s="1"/>
  <c r="T12" i="128" s="1"/>
  <c r="AA12" i="33"/>
  <c r="M8" i="128"/>
  <c r="N8" i="128" s="1"/>
  <c r="P8" i="128" s="1"/>
  <c r="T8" i="128" s="1"/>
  <c r="AA8" i="33"/>
  <c r="N61" i="131"/>
  <c r="P61" i="131" s="1"/>
  <c r="AC61" i="33"/>
  <c r="N72" i="131"/>
  <c r="P72" i="131" s="1"/>
  <c r="AC72" i="33"/>
  <c r="N70" i="131"/>
  <c r="P70" i="131" s="1"/>
  <c r="AC70" i="33"/>
  <c r="N68" i="131"/>
  <c r="P68" i="131" s="1"/>
  <c r="AC68" i="33"/>
  <c r="N66" i="131"/>
  <c r="P66" i="131" s="1"/>
  <c r="AC66" i="33"/>
  <c r="N64" i="131"/>
  <c r="P64" i="131" s="1"/>
  <c r="AC64" i="33"/>
  <c r="N60" i="131"/>
  <c r="P60" i="131" s="1"/>
  <c r="AC60" i="33"/>
  <c r="N57" i="131"/>
  <c r="P57" i="131" s="1"/>
  <c r="AC57" i="33"/>
  <c r="N55" i="131"/>
  <c r="P55" i="131" s="1"/>
  <c r="AC55" i="33"/>
  <c r="N75" i="131"/>
  <c r="P75" i="131" s="1"/>
  <c r="T75" i="131" s="1"/>
  <c r="AC75" i="33"/>
  <c r="N53" i="131"/>
  <c r="P53" i="131" s="1"/>
  <c r="T53" i="131" s="1"/>
  <c r="AC53" i="33"/>
  <c r="N41" i="131"/>
  <c r="P41" i="131" s="1"/>
  <c r="T41" i="131" s="1"/>
  <c r="AC41" i="33"/>
  <c r="N37" i="131"/>
  <c r="P37" i="131" s="1"/>
  <c r="AC37" i="33"/>
  <c r="N33" i="131"/>
  <c r="P33" i="131" s="1"/>
  <c r="AC33" i="33"/>
  <c r="N43" i="131"/>
  <c r="P43" i="131" s="1"/>
  <c r="AC43" i="33"/>
  <c r="N40" i="131"/>
  <c r="P40" i="131" s="1"/>
  <c r="AC40" i="33"/>
  <c r="N36" i="131"/>
  <c r="P36" i="131" s="1"/>
  <c r="AC36" i="33"/>
  <c r="N32" i="131"/>
  <c r="P32" i="131" s="1"/>
  <c r="AC32" i="33"/>
  <c r="N51" i="131"/>
  <c r="P51" i="131" s="1"/>
  <c r="T51" i="131" s="1"/>
  <c r="AC51" i="33"/>
  <c r="N47" i="131"/>
  <c r="P47" i="131" s="1"/>
  <c r="T47" i="131" s="1"/>
  <c r="AC47" i="33"/>
  <c r="N30" i="131"/>
  <c r="P30" i="131" s="1"/>
  <c r="AC30" i="33"/>
  <c r="N27" i="131"/>
  <c r="P27" i="131" s="1"/>
  <c r="T27" i="131" s="1"/>
  <c r="AC27" i="33"/>
  <c r="N24" i="131"/>
  <c r="P24" i="131" s="1"/>
  <c r="T24" i="131" s="1"/>
  <c r="AC24" i="33"/>
  <c r="N20" i="131"/>
  <c r="P20" i="131" s="1"/>
  <c r="T20" i="131" s="1"/>
  <c r="AC20" i="33"/>
  <c r="N10" i="131"/>
  <c r="P10" i="131" s="1"/>
  <c r="AC10" i="33"/>
  <c r="N14" i="131"/>
  <c r="P14" i="131" s="1"/>
  <c r="T14" i="131" s="1"/>
  <c r="AC14" i="33"/>
  <c r="N11" i="131"/>
  <c r="P11" i="131" s="1"/>
  <c r="AC11" i="33"/>
  <c r="N25" i="131"/>
  <c r="P25" i="131" s="1"/>
  <c r="AC25" i="33"/>
  <c r="N21" i="131"/>
  <c r="P21" i="131" s="1"/>
  <c r="AC21" i="33"/>
  <c r="N18" i="131"/>
  <c r="P18" i="131" s="1"/>
  <c r="T18" i="131" s="1"/>
  <c r="AC18" i="33"/>
  <c r="N16" i="131"/>
  <c r="P16" i="131" s="1"/>
  <c r="T16" i="131" s="1"/>
  <c r="AC16" i="33"/>
  <c r="N68" i="126"/>
  <c r="P68" i="126" s="1"/>
  <c r="Y68" i="33"/>
  <c r="N62" i="126"/>
  <c r="P62" i="126" s="1"/>
  <c r="Y62" i="33"/>
  <c r="M74" i="128"/>
  <c r="N74" i="128" s="1"/>
  <c r="P74" i="128" s="1"/>
  <c r="T74" i="128" s="1"/>
  <c r="AA74" i="33"/>
  <c r="M58" i="127"/>
  <c r="N58" i="127" s="1"/>
  <c r="P58" i="127" s="1"/>
  <c r="T58" i="127" s="1"/>
  <c r="Z58" i="33"/>
  <c r="N70" i="126"/>
  <c r="P70" i="126" s="1"/>
  <c r="Y70" i="33"/>
  <c r="N58" i="126"/>
  <c r="P58" i="126" s="1"/>
  <c r="Y58" i="33"/>
  <c r="N75" i="125"/>
  <c r="P75" i="125" s="1"/>
  <c r="X75" i="33"/>
  <c r="N71" i="125"/>
  <c r="P71" i="125" s="1"/>
  <c r="X71" i="33"/>
  <c r="N63" i="125"/>
  <c r="P63" i="125" s="1"/>
  <c r="X63" i="33"/>
  <c r="N56" i="125"/>
  <c r="P56" i="125" s="1"/>
  <c r="X56" i="33"/>
  <c r="N68" i="125"/>
  <c r="P68" i="125" s="1"/>
  <c r="X68" i="33"/>
  <c r="N64" i="125"/>
  <c r="P64" i="125" s="1"/>
  <c r="X64" i="33"/>
  <c r="N45" i="125"/>
  <c r="P45" i="125" s="1"/>
  <c r="X45" i="33"/>
  <c r="N73" i="125"/>
  <c r="P73" i="125" s="1"/>
  <c r="X73" i="33"/>
  <c r="N69" i="125"/>
  <c r="P69" i="125" s="1"/>
  <c r="X69" i="33"/>
  <c r="N65" i="125"/>
  <c r="P65" i="125" s="1"/>
  <c r="X65" i="33"/>
  <c r="N61" i="125"/>
  <c r="P61" i="125" s="1"/>
  <c r="X61" i="33"/>
  <c r="N57" i="125"/>
  <c r="P57" i="125" s="1"/>
  <c r="X57" i="33"/>
  <c r="N74" i="125"/>
  <c r="P74" i="125" s="1"/>
  <c r="X74" i="33"/>
  <c r="N70" i="125"/>
  <c r="P70" i="125" s="1"/>
  <c r="X70" i="33"/>
  <c r="N66" i="125"/>
  <c r="P66" i="125" s="1"/>
  <c r="X66" i="33"/>
  <c r="N62" i="125"/>
  <c r="P62" i="125" s="1"/>
  <c r="X62" i="33"/>
  <c r="N58" i="125"/>
  <c r="P58" i="125" s="1"/>
  <c r="X58" i="33"/>
  <c r="N44" i="125"/>
  <c r="P44" i="125" s="1"/>
  <c r="X44" i="33"/>
  <c r="N42" i="125"/>
  <c r="P42" i="125" s="1"/>
  <c r="X42" i="33"/>
  <c r="N40" i="125"/>
  <c r="P40" i="125" s="1"/>
  <c r="X40" i="33"/>
  <c r="N55" i="125"/>
  <c r="P55" i="125" s="1"/>
  <c r="X55" i="33"/>
  <c r="N51" i="125"/>
  <c r="P51" i="125" s="1"/>
  <c r="X51" i="33"/>
  <c r="N47" i="125"/>
  <c r="P47" i="125" s="1"/>
  <c r="X47" i="33"/>
  <c r="N36" i="125"/>
  <c r="P36" i="125" s="1"/>
  <c r="X36" i="33"/>
  <c r="N32" i="125"/>
  <c r="P32" i="125" s="1"/>
  <c r="X32" i="33"/>
  <c r="N54" i="125"/>
  <c r="P54" i="125" s="1"/>
  <c r="X54" i="33"/>
  <c r="N50" i="125"/>
  <c r="P50" i="125" s="1"/>
  <c r="X50" i="33"/>
  <c r="N46" i="125"/>
  <c r="P46" i="125" s="1"/>
  <c r="X46" i="33"/>
  <c r="N35" i="125"/>
  <c r="P35" i="125" s="1"/>
  <c r="X35" i="33"/>
  <c r="N31" i="125"/>
  <c r="P31" i="125" s="1"/>
  <c r="X31" i="33"/>
  <c r="N28" i="125"/>
  <c r="P28" i="125" s="1"/>
  <c r="X28" i="33"/>
  <c r="N24" i="125"/>
  <c r="P24" i="125" s="1"/>
  <c r="X24" i="33"/>
  <c r="N20" i="125"/>
  <c r="P20" i="125" s="1"/>
  <c r="X20" i="33"/>
  <c r="N16" i="125"/>
  <c r="P16" i="125" s="1"/>
  <c r="X16" i="33"/>
  <c r="N12" i="125"/>
  <c r="P12" i="125" s="1"/>
  <c r="X12" i="33"/>
  <c r="N8" i="125"/>
  <c r="P8" i="125" s="1"/>
  <c r="X8" i="33"/>
  <c r="N25" i="125"/>
  <c r="P25" i="125" s="1"/>
  <c r="X25" i="33"/>
  <c r="N21" i="125"/>
  <c r="P21" i="125" s="1"/>
  <c r="X21" i="33"/>
  <c r="N17" i="125"/>
  <c r="P17" i="125" s="1"/>
  <c r="X17" i="33"/>
  <c r="N13" i="125"/>
  <c r="P13" i="125" s="1"/>
  <c r="X13" i="33"/>
  <c r="N9" i="125"/>
  <c r="P9" i="125" s="1"/>
  <c r="X9" i="33"/>
  <c r="N75" i="126"/>
  <c r="P75" i="126" s="1"/>
  <c r="Y75" i="33"/>
  <c r="N71" i="126"/>
  <c r="P71" i="126" s="1"/>
  <c r="Y71" i="33"/>
  <c r="N67" i="126"/>
  <c r="P67" i="126" s="1"/>
  <c r="Y67" i="33"/>
  <c r="N63" i="126"/>
  <c r="P63" i="126" s="1"/>
  <c r="Y63" i="33"/>
  <c r="N59" i="126"/>
  <c r="P59" i="126" s="1"/>
  <c r="Y59" i="33"/>
  <c r="N55" i="126"/>
  <c r="P55" i="126" s="1"/>
  <c r="Y55" i="33"/>
  <c r="N50" i="126"/>
  <c r="P50" i="126" s="1"/>
  <c r="Y50" i="33"/>
  <c r="N46" i="126"/>
  <c r="P46" i="126" s="1"/>
  <c r="Y46" i="33"/>
  <c r="N42" i="126"/>
  <c r="P42" i="126" s="1"/>
  <c r="Y42" i="33"/>
  <c r="N38" i="126"/>
  <c r="P38" i="126" s="1"/>
  <c r="Y38" i="33"/>
  <c r="N34" i="126"/>
  <c r="P34" i="126" s="1"/>
  <c r="Y34" i="33"/>
  <c r="N51" i="126"/>
  <c r="P51" i="126" s="1"/>
  <c r="Y51" i="33"/>
  <c r="N47" i="126"/>
  <c r="P47" i="126" s="1"/>
  <c r="Y47" i="33"/>
  <c r="N43" i="126"/>
  <c r="P43" i="126" s="1"/>
  <c r="Y43" i="33"/>
  <c r="N39" i="126"/>
  <c r="P39" i="126" s="1"/>
  <c r="Y39" i="33"/>
  <c r="N35" i="126"/>
  <c r="P35" i="126" s="1"/>
  <c r="Y35" i="33"/>
  <c r="N31" i="126"/>
  <c r="P31" i="126" s="1"/>
  <c r="Y31" i="33"/>
  <c r="N27" i="126"/>
  <c r="P27" i="126" s="1"/>
  <c r="Y27" i="33"/>
  <c r="N23" i="126"/>
  <c r="P23" i="126" s="1"/>
  <c r="Y23" i="33"/>
  <c r="N19" i="126"/>
  <c r="P19" i="126" s="1"/>
  <c r="Y19" i="33"/>
  <c r="N15" i="126"/>
  <c r="P15" i="126" s="1"/>
  <c r="Y15" i="33"/>
  <c r="N11" i="126"/>
  <c r="P11" i="126" s="1"/>
  <c r="Y11" i="33"/>
  <c r="N30" i="126"/>
  <c r="P30" i="126" s="1"/>
  <c r="Y30" i="33"/>
  <c r="N26" i="126"/>
  <c r="P26" i="126" s="1"/>
  <c r="Y26" i="33"/>
  <c r="N22" i="126"/>
  <c r="P22" i="126" s="1"/>
  <c r="Y22" i="33"/>
  <c r="N18" i="126"/>
  <c r="P18" i="126" s="1"/>
  <c r="Y18" i="33"/>
  <c r="N14" i="126"/>
  <c r="P14" i="126" s="1"/>
  <c r="Y14" i="33"/>
  <c r="N10" i="126"/>
  <c r="P10" i="126" s="1"/>
  <c r="Y10" i="33"/>
  <c r="M54" i="127"/>
  <c r="N54" i="127" s="1"/>
  <c r="P54" i="127" s="1"/>
  <c r="T54" i="127" s="1"/>
  <c r="Z54" i="33"/>
  <c r="M75" i="127"/>
  <c r="N75" i="127" s="1"/>
  <c r="P75" i="127" s="1"/>
  <c r="T75" i="127" s="1"/>
  <c r="Z75" i="33"/>
  <c r="M71" i="127"/>
  <c r="N71" i="127" s="1"/>
  <c r="P71" i="127" s="1"/>
  <c r="T71" i="127" s="1"/>
  <c r="Z71" i="33"/>
  <c r="M67" i="127"/>
  <c r="N67" i="127" s="1"/>
  <c r="P67" i="127" s="1"/>
  <c r="T67" i="127" s="1"/>
  <c r="Z67" i="33"/>
  <c r="M63" i="127"/>
  <c r="N63" i="127" s="1"/>
  <c r="P63" i="127" s="1"/>
  <c r="T63" i="127" s="1"/>
  <c r="Z63" i="33"/>
  <c r="M59" i="127"/>
  <c r="N59" i="127" s="1"/>
  <c r="P59" i="127" s="1"/>
  <c r="T59" i="127" s="1"/>
  <c r="Z59" i="33"/>
  <c r="M55" i="127"/>
  <c r="N55" i="127" s="1"/>
  <c r="P55" i="127" s="1"/>
  <c r="T55" i="127" s="1"/>
  <c r="Z55" i="33"/>
  <c r="M50" i="127"/>
  <c r="N50" i="127" s="1"/>
  <c r="P50" i="127" s="1"/>
  <c r="T50" i="127" s="1"/>
  <c r="Z50" i="33"/>
  <c r="M46" i="127"/>
  <c r="N46" i="127" s="1"/>
  <c r="P46" i="127" s="1"/>
  <c r="T46" i="127" s="1"/>
  <c r="Z46" i="33"/>
  <c r="M42" i="127"/>
  <c r="N42" i="127" s="1"/>
  <c r="P42" i="127" s="1"/>
  <c r="T42" i="127" s="1"/>
  <c r="AJ42" i="127" s="1"/>
  <c r="Z42" i="33"/>
  <c r="M38" i="127"/>
  <c r="N38" i="127" s="1"/>
  <c r="P38" i="127" s="1"/>
  <c r="T38" i="127" s="1"/>
  <c r="Z38" i="33"/>
  <c r="M34" i="127"/>
  <c r="N34" i="127" s="1"/>
  <c r="P34" i="127" s="1"/>
  <c r="T34" i="127" s="1"/>
  <c r="Z34" i="33"/>
  <c r="M51" i="127"/>
  <c r="N51" i="127" s="1"/>
  <c r="P51" i="127" s="1"/>
  <c r="T51" i="127" s="1"/>
  <c r="Z51" i="33"/>
  <c r="M47" i="127"/>
  <c r="N47" i="127" s="1"/>
  <c r="P47" i="127" s="1"/>
  <c r="T47" i="127" s="1"/>
  <c r="Z47" i="33"/>
  <c r="M43" i="127"/>
  <c r="N43" i="127" s="1"/>
  <c r="P43" i="127" s="1"/>
  <c r="T43" i="127" s="1"/>
  <c r="Z43" i="33"/>
  <c r="M39" i="127"/>
  <c r="N39" i="127" s="1"/>
  <c r="P39" i="127" s="1"/>
  <c r="T39" i="127" s="1"/>
  <c r="Z39" i="33"/>
  <c r="M35" i="127"/>
  <c r="N35" i="127" s="1"/>
  <c r="P35" i="127" s="1"/>
  <c r="T35" i="127" s="1"/>
  <c r="Z35" i="33"/>
  <c r="M31" i="127"/>
  <c r="N31" i="127" s="1"/>
  <c r="P31" i="127" s="1"/>
  <c r="T31" i="127" s="1"/>
  <c r="Z31" i="33"/>
  <c r="M28" i="127"/>
  <c r="N28" i="127" s="1"/>
  <c r="P28" i="127" s="1"/>
  <c r="T28" i="127" s="1"/>
  <c r="Z28" i="33"/>
  <c r="M24" i="127"/>
  <c r="N24" i="127" s="1"/>
  <c r="P24" i="127" s="1"/>
  <c r="T24" i="127" s="1"/>
  <c r="Z24" i="33"/>
  <c r="M20" i="127"/>
  <c r="N20" i="127" s="1"/>
  <c r="P20" i="127" s="1"/>
  <c r="T20" i="127" s="1"/>
  <c r="Z20" i="33"/>
  <c r="M16" i="127"/>
  <c r="N16" i="127" s="1"/>
  <c r="P16" i="127" s="1"/>
  <c r="T16" i="127" s="1"/>
  <c r="Z16" i="33"/>
  <c r="M12" i="127"/>
  <c r="N12" i="127" s="1"/>
  <c r="P12" i="127" s="1"/>
  <c r="T12" i="127" s="1"/>
  <c r="Z12" i="33"/>
  <c r="M8" i="127"/>
  <c r="N8" i="127" s="1"/>
  <c r="P8" i="127" s="1"/>
  <c r="T8" i="127" s="1"/>
  <c r="Z8" i="33"/>
  <c r="M55" i="128"/>
  <c r="N55" i="128" s="1"/>
  <c r="P55" i="128" s="1"/>
  <c r="T55" i="128" s="1"/>
  <c r="AA55" i="33"/>
  <c r="M51" i="128"/>
  <c r="N51" i="128" s="1"/>
  <c r="P51" i="128" s="1"/>
  <c r="T51" i="128" s="1"/>
  <c r="AA51" i="33"/>
  <c r="M73" i="128"/>
  <c r="N73" i="128" s="1"/>
  <c r="P73" i="128" s="1"/>
  <c r="AA73" i="33"/>
  <c r="M69" i="128"/>
  <c r="N69" i="128" s="1"/>
  <c r="P69" i="128" s="1"/>
  <c r="AA69" i="33"/>
  <c r="M66" i="128"/>
  <c r="N66" i="128" s="1"/>
  <c r="P66" i="128" s="1"/>
  <c r="T66" i="128" s="1"/>
  <c r="AA66" i="33"/>
  <c r="M64" i="128"/>
  <c r="N64" i="128" s="1"/>
  <c r="P64" i="128" s="1"/>
  <c r="T64" i="128" s="1"/>
  <c r="AA64" i="33"/>
  <c r="M62" i="128"/>
  <c r="N62" i="128" s="1"/>
  <c r="P62" i="128" s="1"/>
  <c r="T62" i="128" s="1"/>
  <c r="AA62" i="33"/>
  <c r="M60" i="128"/>
  <c r="N60" i="128" s="1"/>
  <c r="P60" i="128" s="1"/>
  <c r="T60" i="128" s="1"/>
  <c r="AA60" i="33"/>
  <c r="M58" i="128"/>
  <c r="N58" i="128" s="1"/>
  <c r="P58" i="128" s="1"/>
  <c r="T58" i="128" s="1"/>
  <c r="AA58" i="33"/>
  <c r="M54" i="128"/>
  <c r="N54" i="128" s="1"/>
  <c r="P54" i="128" s="1"/>
  <c r="T54" i="128" s="1"/>
  <c r="AA54" i="33"/>
  <c r="M49" i="128"/>
  <c r="N49" i="128" s="1"/>
  <c r="P49" i="128" s="1"/>
  <c r="T49" i="128" s="1"/>
  <c r="AA49" i="33"/>
  <c r="M45" i="128"/>
  <c r="N45" i="128" s="1"/>
  <c r="P45" i="128" s="1"/>
  <c r="T45" i="128" s="1"/>
  <c r="AA45" i="33"/>
  <c r="M41" i="128"/>
  <c r="N41" i="128" s="1"/>
  <c r="P41" i="128" s="1"/>
  <c r="T41" i="128" s="1"/>
  <c r="AA41" i="33"/>
  <c r="M37" i="128"/>
  <c r="N37" i="128" s="1"/>
  <c r="P37" i="128" s="1"/>
  <c r="T37" i="128" s="1"/>
  <c r="AA37" i="33"/>
  <c r="M33" i="128"/>
  <c r="N33" i="128" s="1"/>
  <c r="P33" i="128" s="1"/>
  <c r="T33" i="128" s="1"/>
  <c r="AA33" i="33"/>
  <c r="M30" i="128"/>
  <c r="N30" i="128" s="1"/>
  <c r="P30" i="128" s="1"/>
  <c r="AA30" i="33"/>
  <c r="M48" i="128"/>
  <c r="N48" i="128" s="1"/>
  <c r="P48" i="128" s="1"/>
  <c r="AA48" i="33"/>
  <c r="M44" i="128"/>
  <c r="N44" i="128" s="1"/>
  <c r="P44" i="128" s="1"/>
  <c r="AA44" i="33"/>
  <c r="M40" i="128"/>
  <c r="N40" i="128" s="1"/>
  <c r="P40" i="128" s="1"/>
  <c r="AA40" i="33"/>
  <c r="M36" i="128"/>
  <c r="N36" i="128" s="1"/>
  <c r="P36" i="128" s="1"/>
  <c r="AA36" i="33"/>
  <c r="M32" i="128"/>
  <c r="N32" i="128" s="1"/>
  <c r="P32" i="128" s="1"/>
  <c r="AA32" i="33"/>
  <c r="M27" i="128"/>
  <c r="N27" i="128" s="1"/>
  <c r="P27" i="128" s="1"/>
  <c r="AA27" i="33"/>
  <c r="M23" i="128"/>
  <c r="N23" i="128" s="1"/>
  <c r="P23" i="128" s="1"/>
  <c r="AA23" i="33"/>
  <c r="M19" i="128"/>
  <c r="N19" i="128" s="1"/>
  <c r="P19" i="128" s="1"/>
  <c r="AA19" i="33"/>
  <c r="M11" i="128"/>
  <c r="N11" i="128" s="1"/>
  <c r="P11" i="128" s="1"/>
  <c r="T11" i="128" s="1"/>
  <c r="AA11" i="33"/>
  <c r="M26" i="128"/>
  <c r="N26" i="128" s="1"/>
  <c r="P26" i="128" s="1"/>
  <c r="T26" i="128" s="1"/>
  <c r="AA26" i="33"/>
  <c r="M22" i="128"/>
  <c r="N22" i="128" s="1"/>
  <c r="P22" i="128" s="1"/>
  <c r="T22" i="128" s="1"/>
  <c r="AA22" i="33"/>
  <c r="M18" i="128"/>
  <c r="N18" i="128" s="1"/>
  <c r="P18" i="128" s="1"/>
  <c r="T18" i="128" s="1"/>
  <c r="AA18" i="33"/>
  <c r="M14" i="128"/>
  <c r="N14" i="128" s="1"/>
  <c r="P14" i="128" s="1"/>
  <c r="T14" i="128" s="1"/>
  <c r="AA14" i="33"/>
  <c r="M10" i="128"/>
  <c r="N10" i="128" s="1"/>
  <c r="P10" i="128" s="1"/>
  <c r="T10" i="128" s="1"/>
  <c r="AA10" i="33"/>
  <c r="N63" i="131"/>
  <c r="P63" i="131" s="1"/>
  <c r="AC63" i="33"/>
  <c r="N59" i="131"/>
  <c r="P59" i="131" s="1"/>
  <c r="AC59" i="33"/>
  <c r="N71" i="131"/>
  <c r="P71" i="131" s="1"/>
  <c r="T71" i="131" s="1"/>
  <c r="AC71" i="33"/>
  <c r="N69" i="131"/>
  <c r="P69" i="131" s="1"/>
  <c r="AC69" i="33"/>
  <c r="N67" i="131"/>
  <c r="P67" i="131" s="1"/>
  <c r="AC67" i="33"/>
  <c r="N65" i="131"/>
  <c r="P65" i="131" s="1"/>
  <c r="AC65" i="33"/>
  <c r="N62" i="131"/>
  <c r="P62" i="131" s="1"/>
  <c r="AC62" i="33"/>
  <c r="N58" i="131"/>
  <c r="P58" i="131" s="1"/>
  <c r="T58" i="131" s="1"/>
  <c r="AC58" i="33"/>
  <c r="N56" i="131"/>
  <c r="P56" i="131" s="1"/>
  <c r="AC56" i="33"/>
  <c r="N54" i="131"/>
  <c r="P54" i="131" s="1"/>
  <c r="AC54" i="33"/>
  <c r="N73" i="131"/>
  <c r="P73" i="131" s="1"/>
  <c r="AC73" i="33"/>
  <c r="N52" i="131"/>
  <c r="P52" i="131" s="1"/>
  <c r="AC52" i="33"/>
  <c r="N39" i="131"/>
  <c r="P39" i="131" s="1"/>
  <c r="AC39" i="33"/>
  <c r="N35" i="131"/>
  <c r="P35" i="131" s="1"/>
  <c r="AC35" i="33"/>
  <c r="N44" i="131"/>
  <c r="P44" i="131" s="1"/>
  <c r="AC44" i="33"/>
  <c r="N42" i="131"/>
  <c r="P42" i="131" s="1"/>
  <c r="T42" i="131" s="1"/>
  <c r="AJ42" i="131" s="1"/>
  <c r="AC42" i="33"/>
  <c r="N38" i="131"/>
  <c r="P38" i="131" s="1"/>
  <c r="AC38" i="33"/>
  <c r="N34" i="131"/>
  <c r="P34" i="131" s="1"/>
  <c r="T34" i="131" s="1"/>
  <c r="AC34" i="33"/>
  <c r="N31" i="131"/>
  <c r="P31" i="131" s="1"/>
  <c r="T31" i="131" s="1"/>
  <c r="AC31" i="33"/>
  <c r="N49" i="131"/>
  <c r="P49" i="131" s="1"/>
  <c r="T49" i="131" s="1"/>
  <c r="AC49" i="33"/>
  <c r="N45" i="131"/>
  <c r="P45" i="131" s="1"/>
  <c r="T45" i="131" s="1"/>
  <c r="AC45" i="33"/>
  <c r="N29" i="131"/>
  <c r="P29" i="131" s="1"/>
  <c r="AC29" i="33"/>
  <c r="N26" i="131"/>
  <c r="P26" i="131" s="1"/>
  <c r="AC26" i="33"/>
  <c r="N22" i="131"/>
  <c r="P22" i="131" s="1"/>
  <c r="AC22" i="33"/>
  <c r="N12" i="131"/>
  <c r="P12" i="131" s="1"/>
  <c r="AC12" i="33"/>
  <c r="N8" i="131"/>
  <c r="P8" i="131" s="1"/>
  <c r="AC8" i="33"/>
  <c r="N13" i="131"/>
  <c r="P13" i="131" s="1"/>
  <c r="AC13" i="33"/>
  <c r="N9" i="131"/>
  <c r="P9" i="131" s="1"/>
  <c r="AC9" i="33"/>
  <c r="N23" i="131"/>
  <c r="P23" i="131" s="1"/>
  <c r="AC23" i="33"/>
  <c r="N19" i="131"/>
  <c r="P19" i="131" s="1"/>
  <c r="AC19" i="33"/>
  <c r="N17" i="131"/>
  <c r="P17" i="131" s="1"/>
  <c r="AC17" i="33"/>
  <c r="N15" i="131"/>
  <c r="P15" i="131" s="1"/>
  <c r="AC15" i="33"/>
  <c r="N60" i="126"/>
  <c r="P60" i="126" s="1"/>
  <c r="Y60" i="33"/>
  <c r="M72" i="128"/>
  <c r="N72" i="128" s="1"/>
  <c r="P72" i="128" s="1"/>
  <c r="T72" i="128" s="1"/>
  <c r="AA72" i="33"/>
  <c r="N50" i="131"/>
  <c r="P50" i="131" s="1"/>
  <c r="AC50" i="33"/>
  <c r="M17" i="127"/>
  <c r="N17" i="127" s="1"/>
  <c r="P17" i="127" s="1"/>
  <c r="Z17" i="33"/>
  <c r="N66" i="126"/>
  <c r="P66" i="126" s="1"/>
  <c r="T66" i="126" s="1"/>
  <c r="Y66" i="33"/>
  <c r="M70" i="128"/>
  <c r="N70" i="128" s="1"/>
  <c r="P70" i="128" s="1"/>
  <c r="AA70" i="33"/>
  <c r="AK68" i="31"/>
  <c r="AL68" i="31" s="1"/>
  <c r="AO68" i="31" s="1"/>
  <c r="AQ68" i="31" s="1"/>
  <c r="AR68" i="31" s="1"/>
  <c r="K72" i="126"/>
  <c r="L72" i="126" s="1"/>
  <c r="M72" i="126" s="1"/>
  <c r="K64" i="126"/>
  <c r="L64" i="126" s="1"/>
  <c r="M64" i="126" s="1"/>
  <c r="K74" i="126"/>
  <c r="L74" i="126" s="1"/>
  <c r="M74" i="126" s="1"/>
  <c r="K54" i="126"/>
  <c r="L54" i="126" s="1"/>
  <c r="M54" i="126" s="1"/>
  <c r="K70" i="127"/>
  <c r="L70" i="127" s="1"/>
  <c r="K62" i="127"/>
  <c r="L62" i="127" s="1"/>
  <c r="K25" i="127"/>
  <c r="L25" i="127" s="1"/>
  <c r="K13" i="127"/>
  <c r="L13" i="127" s="1"/>
  <c r="K72" i="127"/>
  <c r="L72" i="127" s="1"/>
  <c r="K56" i="127"/>
  <c r="L56" i="127" s="1"/>
  <c r="K15" i="127"/>
  <c r="L15" i="127" s="1"/>
  <c r="Z15" i="33" s="1"/>
  <c r="K68" i="128"/>
  <c r="L68" i="128" s="1"/>
  <c r="K74" i="131"/>
  <c r="L74" i="131" s="1"/>
  <c r="M74" i="131" s="1"/>
  <c r="K46" i="131"/>
  <c r="L46" i="131" s="1"/>
  <c r="M46" i="131" s="1"/>
  <c r="K48" i="131"/>
  <c r="L48" i="131" s="1"/>
  <c r="M48" i="131" s="1"/>
  <c r="K60" i="127"/>
  <c r="L60" i="127" s="1"/>
  <c r="K23" i="127"/>
  <c r="L23" i="127" s="1"/>
  <c r="K56" i="126"/>
  <c r="L56" i="126" s="1"/>
  <c r="M56" i="126" s="1"/>
  <c r="K7" i="127"/>
  <c r="M15" i="128"/>
  <c r="K7" i="126"/>
  <c r="I76" i="126"/>
  <c r="I82" i="126" s="1"/>
  <c r="K74" i="127"/>
  <c r="L74" i="127" s="1"/>
  <c r="K66" i="127"/>
  <c r="L66" i="127" s="1"/>
  <c r="K29" i="127"/>
  <c r="L29" i="127" s="1"/>
  <c r="K21" i="127"/>
  <c r="L21" i="127" s="1"/>
  <c r="K9" i="127"/>
  <c r="L9" i="127" s="1"/>
  <c r="K68" i="127"/>
  <c r="L68" i="127" s="1"/>
  <c r="K19" i="127"/>
  <c r="L19" i="127" s="1"/>
  <c r="K28" i="128"/>
  <c r="L28" i="128" s="1"/>
  <c r="K28" i="131"/>
  <c r="L28" i="131" s="1"/>
  <c r="M28" i="131" s="1"/>
  <c r="K64" i="127"/>
  <c r="L64" i="127" s="1"/>
  <c r="K27" i="127"/>
  <c r="L27" i="127" s="1"/>
  <c r="K11" i="127"/>
  <c r="L11" i="127" s="1"/>
  <c r="R15" i="131" l="1"/>
  <c r="S15" i="131" s="1"/>
  <c r="T15" i="131"/>
  <c r="R19" i="131"/>
  <c r="S19" i="131" s="1"/>
  <c r="T19" i="131"/>
  <c r="R9" i="131"/>
  <c r="S9" i="131" s="1"/>
  <c r="T9" i="131"/>
  <c r="R8" i="131"/>
  <c r="S8" i="131" s="1"/>
  <c r="T8" i="131"/>
  <c r="R22" i="131"/>
  <c r="S22" i="131" s="1"/>
  <c r="T22" i="131"/>
  <c r="R29" i="131"/>
  <c r="T29" i="131"/>
  <c r="R38" i="131"/>
  <c r="S38" i="131" s="1"/>
  <c r="T38" i="131"/>
  <c r="R44" i="131"/>
  <c r="S44" i="131" s="1"/>
  <c r="T44" i="131"/>
  <c r="R39" i="131"/>
  <c r="S39" i="131" s="1"/>
  <c r="T39" i="131"/>
  <c r="R73" i="131"/>
  <c r="S73" i="131" s="1"/>
  <c r="T73" i="131"/>
  <c r="R65" i="131"/>
  <c r="T65" i="131"/>
  <c r="R69" i="131"/>
  <c r="S69" i="131" s="1"/>
  <c r="T69" i="131"/>
  <c r="R59" i="131"/>
  <c r="S59" i="131" s="1"/>
  <c r="T59" i="131"/>
  <c r="R19" i="128"/>
  <c r="S19" i="128" s="1"/>
  <c r="T19" i="128"/>
  <c r="R27" i="128"/>
  <c r="S27" i="128" s="1"/>
  <c r="T27" i="128"/>
  <c r="R36" i="128"/>
  <c r="T36" i="128"/>
  <c r="R44" i="128"/>
  <c r="S44" i="128" s="1"/>
  <c r="T44" i="128"/>
  <c r="R73" i="128"/>
  <c r="S73" i="128" s="1"/>
  <c r="T73" i="128"/>
  <c r="R10" i="126"/>
  <c r="S10" i="126" s="1"/>
  <c r="T10" i="126"/>
  <c r="R18" i="126"/>
  <c r="S18" i="126" s="1"/>
  <c r="T18" i="126"/>
  <c r="R26" i="126"/>
  <c r="S26" i="126" s="1"/>
  <c r="T26" i="126"/>
  <c r="R11" i="126"/>
  <c r="S11" i="126" s="1"/>
  <c r="T11" i="126"/>
  <c r="R23" i="126"/>
  <c r="S23" i="126" s="1"/>
  <c r="T23" i="126"/>
  <c r="R31" i="126"/>
  <c r="S31" i="126" s="1"/>
  <c r="T31" i="126"/>
  <c r="R39" i="126"/>
  <c r="S39" i="126" s="1"/>
  <c r="T39" i="126"/>
  <c r="R43" i="126"/>
  <c r="S43" i="126" s="1"/>
  <c r="T43" i="126"/>
  <c r="R51" i="126"/>
  <c r="S51" i="126" s="1"/>
  <c r="T51" i="126"/>
  <c r="R42" i="126"/>
  <c r="S42" i="126" s="1"/>
  <c r="AK42" i="126" s="1"/>
  <c r="T42" i="126"/>
  <c r="AJ42" i="126" s="1"/>
  <c r="R50" i="126"/>
  <c r="S50" i="126" s="1"/>
  <c r="T50" i="126"/>
  <c r="R59" i="126"/>
  <c r="S59" i="126" s="1"/>
  <c r="T59" i="126"/>
  <c r="R67" i="126"/>
  <c r="S67" i="126" s="1"/>
  <c r="T67" i="126"/>
  <c r="R75" i="126"/>
  <c r="S75" i="126" s="1"/>
  <c r="T75" i="126"/>
  <c r="R9" i="125"/>
  <c r="S9" i="125" s="1"/>
  <c r="T9" i="125"/>
  <c r="R17" i="125"/>
  <c r="S17" i="125" s="1"/>
  <c r="T17" i="125"/>
  <c r="R25" i="125"/>
  <c r="S25" i="125" s="1"/>
  <c r="T25" i="125"/>
  <c r="R12" i="125"/>
  <c r="S12" i="125" s="1"/>
  <c r="T12" i="125"/>
  <c r="R24" i="125"/>
  <c r="S24" i="125" s="1"/>
  <c r="T24" i="125"/>
  <c r="R31" i="125"/>
  <c r="S31" i="125" s="1"/>
  <c r="T31" i="125"/>
  <c r="R46" i="125"/>
  <c r="S46" i="125" s="1"/>
  <c r="T46" i="125"/>
  <c r="R50" i="125"/>
  <c r="S50" i="125" s="1"/>
  <c r="T50" i="125"/>
  <c r="R32" i="125"/>
  <c r="S32" i="125" s="1"/>
  <c r="T32" i="125"/>
  <c r="R47" i="125"/>
  <c r="S47" i="125" s="1"/>
  <c r="T47" i="125"/>
  <c r="R55" i="125"/>
  <c r="S55" i="125" s="1"/>
  <c r="T55" i="125"/>
  <c r="R44" i="125"/>
  <c r="S44" i="125" s="1"/>
  <c r="T44" i="125"/>
  <c r="R62" i="125"/>
  <c r="S62" i="125" s="1"/>
  <c r="T62" i="125"/>
  <c r="R70" i="125"/>
  <c r="S70" i="125" s="1"/>
  <c r="T70" i="125"/>
  <c r="R57" i="125"/>
  <c r="S57" i="125" s="1"/>
  <c r="T57" i="125"/>
  <c r="R65" i="125"/>
  <c r="S65" i="125" s="1"/>
  <c r="T65" i="125"/>
  <c r="R73" i="125"/>
  <c r="S73" i="125" s="1"/>
  <c r="T73" i="125"/>
  <c r="R64" i="125"/>
  <c r="S64" i="125" s="1"/>
  <c r="T64" i="125"/>
  <c r="R56" i="125"/>
  <c r="S56" i="125" s="1"/>
  <c r="T56" i="125"/>
  <c r="R75" i="125"/>
  <c r="S75" i="125" s="1"/>
  <c r="T75" i="125"/>
  <c r="R70" i="126"/>
  <c r="S70" i="126" s="1"/>
  <c r="T70" i="126"/>
  <c r="R21" i="131"/>
  <c r="S21" i="131" s="1"/>
  <c r="T21" i="131"/>
  <c r="R30" i="131"/>
  <c r="T30" i="131"/>
  <c r="R70" i="128"/>
  <c r="S70" i="128" s="1"/>
  <c r="T70" i="128"/>
  <c r="R17" i="127"/>
  <c r="S17" i="127" s="1"/>
  <c r="T17" i="127"/>
  <c r="R50" i="131"/>
  <c r="T50" i="131"/>
  <c r="R60" i="126"/>
  <c r="S60" i="126" s="1"/>
  <c r="T60" i="126"/>
  <c r="R17" i="131"/>
  <c r="S17" i="131" s="1"/>
  <c r="T17" i="131"/>
  <c r="R23" i="131"/>
  <c r="T23" i="131"/>
  <c r="R13" i="131"/>
  <c r="S13" i="131" s="1"/>
  <c r="T13" i="131"/>
  <c r="R12" i="131"/>
  <c r="S12" i="131" s="1"/>
  <c r="T12" i="131"/>
  <c r="R26" i="131"/>
  <c r="S26" i="131" s="1"/>
  <c r="T26" i="131"/>
  <c r="R35" i="131"/>
  <c r="S35" i="131" s="1"/>
  <c r="T35" i="131"/>
  <c r="R52" i="131"/>
  <c r="S52" i="131" s="1"/>
  <c r="T52" i="131"/>
  <c r="R54" i="131"/>
  <c r="S54" i="131" s="1"/>
  <c r="T54" i="131"/>
  <c r="R56" i="131"/>
  <c r="S56" i="131" s="1"/>
  <c r="T56" i="131"/>
  <c r="R62" i="131"/>
  <c r="S62" i="131" s="1"/>
  <c r="T62" i="131"/>
  <c r="R67" i="131"/>
  <c r="T67" i="131"/>
  <c r="R63" i="131"/>
  <c r="S63" i="131" s="1"/>
  <c r="T63" i="131"/>
  <c r="R23" i="128"/>
  <c r="S23" i="128" s="1"/>
  <c r="T23" i="128"/>
  <c r="R32" i="128"/>
  <c r="T32" i="128"/>
  <c r="R40" i="128"/>
  <c r="S40" i="128" s="1"/>
  <c r="T40" i="128"/>
  <c r="R48" i="128"/>
  <c r="T48" i="128"/>
  <c r="R30" i="128"/>
  <c r="S30" i="128" s="1"/>
  <c r="T30" i="128"/>
  <c r="R69" i="128"/>
  <c r="T69" i="128"/>
  <c r="R14" i="126"/>
  <c r="S14" i="126" s="1"/>
  <c r="T14" i="126"/>
  <c r="R22" i="126"/>
  <c r="S22" i="126" s="1"/>
  <c r="T22" i="126"/>
  <c r="R30" i="126"/>
  <c r="S30" i="126" s="1"/>
  <c r="T30" i="126"/>
  <c r="R15" i="126"/>
  <c r="S15" i="126" s="1"/>
  <c r="T15" i="126"/>
  <c r="R19" i="126"/>
  <c r="S19" i="126" s="1"/>
  <c r="T19" i="126"/>
  <c r="R27" i="126"/>
  <c r="S27" i="126" s="1"/>
  <c r="T27" i="126"/>
  <c r="R35" i="126"/>
  <c r="S35" i="126" s="1"/>
  <c r="T35" i="126"/>
  <c r="R47" i="126"/>
  <c r="S47" i="126" s="1"/>
  <c r="T47" i="126"/>
  <c r="R34" i="126"/>
  <c r="S34" i="126" s="1"/>
  <c r="T34" i="126"/>
  <c r="R38" i="126"/>
  <c r="S38" i="126" s="1"/>
  <c r="T38" i="126"/>
  <c r="R46" i="126"/>
  <c r="S46" i="126" s="1"/>
  <c r="T46" i="126"/>
  <c r="R55" i="126"/>
  <c r="S55" i="126" s="1"/>
  <c r="T55" i="126"/>
  <c r="R63" i="126"/>
  <c r="S63" i="126" s="1"/>
  <c r="T63" i="126"/>
  <c r="R71" i="126"/>
  <c r="S71" i="126" s="1"/>
  <c r="T71" i="126"/>
  <c r="R13" i="125"/>
  <c r="S13" i="125" s="1"/>
  <c r="T13" i="125"/>
  <c r="R21" i="125"/>
  <c r="S21" i="125" s="1"/>
  <c r="T21" i="125"/>
  <c r="R8" i="125"/>
  <c r="S8" i="125" s="1"/>
  <c r="T8" i="125"/>
  <c r="R16" i="125"/>
  <c r="S16" i="125" s="1"/>
  <c r="T16" i="125"/>
  <c r="R20" i="125"/>
  <c r="S20" i="125" s="1"/>
  <c r="T20" i="125"/>
  <c r="R28" i="125"/>
  <c r="S28" i="125" s="1"/>
  <c r="T28" i="125"/>
  <c r="R35" i="125"/>
  <c r="S35" i="125" s="1"/>
  <c r="T35" i="125"/>
  <c r="R54" i="125"/>
  <c r="S54" i="125" s="1"/>
  <c r="T54" i="125"/>
  <c r="R36" i="125"/>
  <c r="S36" i="125" s="1"/>
  <c r="T36" i="125"/>
  <c r="R51" i="125"/>
  <c r="S51" i="125" s="1"/>
  <c r="T51" i="125"/>
  <c r="R40" i="125"/>
  <c r="S40" i="125" s="1"/>
  <c r="T40" i="125"/>
  <c r="R42" i="125"/>
  <c r="S42" i="125" s="1"/>
  <c r="AK42" i="125" s="1"/>
  <c r="T42" i="125"/>
  <c r="AJ42" i="125" s="1"/>
  <c r="R58" i="125"/>
  <c r="S58" i="125" s="1"/>
  <c r="T58" i="125"/>
  <c r="R66" i="125"/>
  <c r="S66" i="125" s="1"/>
  <c r="T66" i="125"/>
  <c r="R74" i="125"/>
  <c r="S74" i="125" s="1"/>
  <c r="T74" i="125"/>
  <c r="R61" i="125"/>
  <c r="S61" i="125" s="1"/>
  <c r="T61" i="125"/>
  <c r="R69" i="125"/>
  <c r="S69" i="125" s="1"/>
  <c r="T69" i="125"/>
  <c r="R45" i="125"/>
  <c r="S45" i="125" s="1"/>
  <c r="T45" i="125"/>
  <c r="R68" i="125"/>
  <c r="S68" i="125" s="1"/>
  <c r="T68" i="125"/>
  <c r="R63" i="125"/>
  <c r="S63" i="125" s="1"/>
  <c r="T63" i="125"/>
  <c r="R71" i="125"/>
  <c r="S71" i="125" s="1"/>
  <c r="T71" i="125"/>
  <c r="R58" i="126"/>
  <c r="S58" i="126" s="1"/>
  <c r="T58" i="126"/>
  <c r="R62" i="126"/>
  <c r="S62" i="126" s="1"/>
  <c r="T62" i="126"/>
  <c r="R68" i="126"/>
  <c r="S68" i="126" s="1"/>
  <c r="T68" i="126"/>
  <c r="R25" i="131"/>
  <c r="S25" i="131" s="1"/>
  <c r="T25" i="131"/>
  <c r="R11" i="131"/>
  <c r="S11" i="131" s="1"/>
  <c r="T11" i="131"/>
  <c r="R10" i="131"/>
  <c r="S10" i="131" s="1"/>
  <c r="T10" i="131"/>
  <c r="R32" i="131"/>
  <c r="S32" i="131" s="1"/>
  <c r="T32" i="131"/>
  <c r="R36" i="131"/>
  <c r="S36" i="131" s="1"/>
  <c r="T36" i="131"/>
  <c r="R40" i="131"/>
  <c r="S40" i="131" s="1"/>
  <c r="T40" i="131"/>
  <c r="R43" i="131"/>
  <c r="S43" i="131" s="1"/>
  <c r="T43" i="131"/>
  <c r="R33" i="131"/>
  <c r="T33" i="131"/>
  <c r="R37" i="131"/>
  <c r="T37" i="131"/>
  <c r="R55" i="131"/>
  <c r="S55" i="131" s="1"/>
  <c r="T55" i="131"/>
  <c r="R57" i="131"/>
  <c r="S57" i="131" s="1"/>
  <c r="T57" i="131"/>
  <c r="R60" i="131"/>
  <c r="S60" i="131" s="1"/>
  <c r="T60" i="131"/>
  <c r="R64" i="131"/>
  <c r="S64" i="131" s="1"/>
  <c r="T64" i="131"/>
  <c r="R66" i="131"/>
  <c r="S66" i="131" s="1"/>
  <c r="T66" i="131"/>
  <c r="R68" i="131"/>
  <c r="S68" i="131" s="1"/>
  <c r="T68" i="131"/>
  <c r="R70" i="131"/>
  <c r="S70" i="131" s="1"/>
  <c r="T70" i="131"/>
  <c r="R72" i="131"/>
  <c r="S72" i="131" s="1"/>
  <c r="T72" i="131"/>
  <c r="R61" i="131"/>
  <c r="S61" i="131" s="1"/>
  <c r="T61" i="131"/>
  <c r="R16" i="128"/>
  <c r="S16" i="128" s="1"/>
  <c r="T16" i="128"/>
  <c r="R20" i="128"/>
  <c r="T20" i="128"/>
  <c r="R24" i="128"/>
  <c r="S24" i="128" s="1"/>
  <c r="T24" i="128"/>
  <c r="R9" i="128"/>
  <c r="S9" i="128" s="1"/>
  <c r="T9" i="128"/>
  <c r="R13" i="128"/>
  <c r="S13" i="128" s="1"/>
  <c r="T13" i="128"/>
  <c r="R56" i="128"/>
  <c r="S56" i="128" s="1"/>
  <c r="T56" i="128"/>
  <c r="R63" i="128"/>
  <c r="S63" i="128" s="1"/>
  <c r="T63" i="128"/>
  <c r="R65" i="128"/>
  <c r="S65" i="128" s="1"/>
  <c r="T65" i="128"/>
  <c r="R67" i="128"/>
  <c r="S67" i="128" s="1"/>
  <c r="T67" i="128"/>
  <c r="R71" i="128"/>
  <c r="S71" i="128" s="1"/>
  <c r="T71" i="128"/>
  <c r="R75" i="128"/>
  <c r="S75" i="128" s="1"/>
  <c r="T75" i="128"/>
  <c r="R53" i="128"/>
  <c r="S53" i="128" s="1"/>
  <c r="T53" i="128"/>
  <c r="R57" i="128"/>
  <c r="S57" i="128" s="1"/>
  <c r="T57" i="128"/>
  <c r="R33" i="127"/>
  <c r="S33" i="127" s="1"/>
  <c r="T33" i="127"/>
  <c r="R37" i="127"/>
  <c r="S37" i="127" s="1"/>
  <c r="T37" i="127"/>
  <c r="R41" i="127"/>
  <c r="S41" i="127" s="1"/>
  <c r="T41" i="127"/>
  <c r="R45" i="127"/>
  <c r="S45" i="127" s="1"/>
  <c r="T45" i="127"/>
  <c r="R49" i="127"/>
  <c r="S49" i="127" s="1"/>
  <c r="T49" i="127"/>
  <c r="R57" i="127"/>
  <c r="S57" i="127" s="1"/>
  <c r="T57" i="127"/>
  <c r="R61" i="127"/>
  <c r="S61" i="127" s="1"/>
  <c r="T61" i="127"/>
  <c r="R65" i="127"/>
  <c r="S65" i="127" s="1"/>
  <c r="T65" i="127"/>
  <c r="R69" i="127"/>
  <c r="S69" i="127" s="1"/>
  <c r="T69" i="127"/>
  <c r="R73" i="127"/>
  <c r="S73" i="127" s="1"/>
  <c r="T73" i="127"/>
  <c r="R53" i="127"/>
  <c r="S53" i="127" s="1"/>
  <c r="T53" i="127"/>
  <c r="R8" i="126"/>
  <c r="S8" i="126" s="1"/>
  <c r="T8" i="126"/>
  <c r="R12" i="126"/>
  <c r="S12" i="126" s="1"/>
  <c r="T12" i="126"/>
  <c r="R16" i="126"/>
  <c r="S16" i="126" s="1"/>
  <c r="T16" i="126"/>
  <c r="R20" i="126"/>
  <c r="S20" i="126" s="1"/>
  <c r="T20" i="126"/>
  <c r="R24" i="126"/>
  <c r="S24" i="126" s="1"/>
  <c r="T24" i="126"/>
  <c r="R28" i="126"/>
  <c r="S28" i="126" s="1"/>
  <c r="T28" i="126"/>
  <c r="R9" i="126"/>
  <c r="S9" i="126" s="1"/>
  <c r="T9" i="126"/>
  <c r="R13" i="126"/>
  <c r="S13" i="126" s="1"/>
  <c r="T13" i="126"/>
  <c r="R17" i="126"/>
  <c r="S17" i="126" s="1"/>
  <c r="T17" i="126"/>
  <c r="R21" i="126"/>
  <c r="S21" i="126" s="1"/>
  <c r="T21" i="126"/>
  <c r="R25" i="126"/>
  <c r="S25" i="126" s="1"/>
  <c r="T25" i="126"/>
  <c r="R29" i="126"/>
  <c r="S29" i="126" s="1"/>
  <c r="T29" i="126"/>
  <c r="R33" i="126"/>
  <c r="S33" i="126" s="1"/>
  <c r="T33" i="126"/>
  <c r="R37" i="126"/>
  <c r="S37" i="126" s="1"/>
  <c r="T37" i="126"/>
  <c r="R41" i="126"/>
  <c r="S41" i="126" s="1"/>
  <c r="T41" i="126"/>
  <c r="R45" i="126"/>
  <c r="S45" i="126" s="1"/>
  <c r="T45" i="126"/>
  <c r="R49" i="126"/>
  <c r="S49" i="126" s="1"/>
  <c r="T49" i="126"/>
  <c r="R32" i="126"/>
  <c r="S32" i="126" s="1"/>
  <c r="T32" i="126"/>
  <c r="R36" i="126"/>
  <c r="S36" i="126" s="1"/>
  <c r="T36" i="126"/>
  <c r="R40" i="126"/>
  <c r="S40" i="126" s="1"/>
  <c r="T40" i="126"/>
  <c r="R44" i="126"/>
  <c r="S44" i="126" s="1"/>
  <c r="T44" i="126"/>
  <c r="R48" i="126"/>
  <c r="S48" i="126" s="1"/>
  <c r="T48" i="126"/>
  <c r="R52" i="126"/>
  <c r="S52" i="126" s="1"/>
  <c r="T52" i="126"/>
  <c r="R57" i="126"/>
  <c r="S57" i="126" s="1"/>
  <c r="T57" i="126"/>
  <c r="R61" i="126"/>
  <c r="S61" i="126" s="1"/>
  <c r="T61" i="126"/>
  <c r="R65" i="126"/>
  <c r="S65" i="126" s="1"/>
  <c r="T65" i="126"/>
  <c r="R69" i="126"/>
  <c r="S69" i="126" s="1"/>
  <c r="T69" i="126"/>
  <c r="R73" i="126"/>
  <c r="S73" i="126" s="1"/>
  <c r="T73" i="126"/>
  <c r="R53" i="126"/>
  <c r="S53" i="126" s="1"/>
  <c r="T53" i="126"/>
  <c r="R11" i="125"/>
  <c r="S11" i="125" s="1"/>
  <c r="T11" i="125"/>
  <c r="R15" i="125"/>
  <c r="S15" i="125" s="1"/>
  <c r="T15" i="125"/>
  <c r="R19" i="125"/>
  <c r="S19" i="125" s="1"/>
  <c r="T19" i="125"/>
  <c r="R23" i="125"/>
  <c r="S23" i="125" s="1"/>
  <c r="T23" i="125"/>
  <c r="R27" i="125"/>
  <c r="S27" i="125" s="1"/>
  <c r="T27" i="125"/>
  <c r="R10" i="125"/>
  <c r="S10" i="125" s="1"/>
  <c r="T10" i="125"/>
  <c r="R14" i="125"/>
  <c r="S14" i="125" s="1"/>
  <c r="T14" i="125"/>
  <c r="R18" i="125"/>
  <c r="S18" i="125" s="1"/>
  <c r="T18" i="125"/>
  <c r="R22" i="125"/>
  <c r="S22" i="125" s="1"/>
  <c r="T22" i="125"/>
  <c r="R26" i="125"/>
  <c r="S26" i="125" s="1"/>
  <c r="T26" i="125"/>
  <c r="R29" i="125"/>
  <c r="S29" i="125" s="1"/>
  <c r="T29" i="125"/>
  <c r="R33" i="125"/>
  <c r="S33" i="125" s="1"/>
  <c r="T33" i="125"/>
  <c r="R37" i="125"/>
  <c r="S37" i="125" s="1"/>
  <c r="T37" i="125"/>
  <c r="R48" i="125"/>
  <c r="S48" i="125" s="1"/>
  <c r="T48" i="125"/>
  <c r="R52" i="125"/>
  <c r="S52" i="125" s="1"/>
  <c r="T52" i="125"/>
  <c r="R30" i="125"/>
  <c r="S30" i="125" s="1"/>
  <c r="T30" i="125"/>
  <c r="R34" i="125"/>
  <c r="S34" i="125" s="1"/>
  <c r="T34" i="125"/>
  <c r="R38" i="125"/>
  <c r="S38" i="125" s="1"/>
  <c r="T38" i="125"/>
  <c r="R49" i="125"/>
  <c r="S49" i="125" s="1"/>
  <c r="T49" i="125"/>
  <c r="R53" i="125"/>
  <c r="S53" i="125" s="1"/>
  <c r="T53" i="125"/>
  <c r="R39" i="125"/>
  <c r="S39" i="125" s="1"/>
  <c r="T39" i="125"/>
  <c r="R41" i="125"/>
  <c r="S41" i="125" s="1"/>
  <c r="T41" i="125"/>
  <c r="R43" i="125"/>
  <c r="S43" i="125" s="1"/>
  <c r="T43" i="125"/>
  <c r="R60" i="125"/>
  <c r="S60" i="125" s="1"/>
  <c r="T60" i="125"/>
  <c r="R72" i="125"/>
  <c r="S72" i="125" s="1"/>
  <c r="T72" i="125"/>
  <c r="R59" i="125"/>
  <c r="S59" i="125" s="1"/>
  <c r="T59" i="125"/>
  <c r="R67" i="125"/>
  <c r="S67" i="125" s="1"/>
  <c r="T67" i="125"/>
  <c r="R40" i="127"/>
  <c r="S40" i="127" s="1"/>
  <c r="R30" i="127"/>
  <c r="S30" i="127" s="1"/>
  <c r="R14" i="127"/>
  <c r="S14" i="127" s="1"/>
  <c r="R22" i="127"/>
  <c r="S22" i="127" s="1"/>
  <c r="R21" i="128"/>
  <c r="S21" i="128" s="1"/>
  <c r="R10" i="127"/>
  <c r="S10" i="127" s="1"/>
  <c r="R18" i="127"/>
  <c r="S18" i="127" s="1"/>
  <c r="R26" i="127"/>
  <c r="R52" i="128"/>
  <c r="S52" i="128" s="1"/>
  <c r="R29" i="128"/>
  <c r="S29" i="128" s="1"/>
  <c r="R32" i="127"/>
  <c r="S32" i="127" s="1"/>
  <c r="R48" i="127"/>
  <c r="S48" i="127" s="1"/>
  <c r="R17" i="128"/>
  <c r="S17" i="128" s="1"/>
  <c r="R25" i="128"/>
  <c r="S25" i="128" s="1"/>
  <c r="R50" i="128"/>
  <c r="S50" i="128" s="1"/>
  <c r="R35" i="128"/>
  <c r="S35" i="128" s="1"/>
  <c r="R36" i="127"/>
  <c r="S36" i="127" s="1"/>
  <c r="R44" i="127"/>
  <c r="S44" i="127" s="1"/>
  <c r="R52" i="127"/>
  <c r="S52" i="127" s="1"/>
  <c r="R62" i="128"/>
  <c r="S62" i="128" s="1"/>
  <c r="R38" i="128"/>
  <c r="S38" i="128" s="1"/>
  <c r="R59" i="128"/>
  <c r="S59" i="128" s="1"/>
  <c r="R74" i="128"/>
  <c r="S74" i="128" s="1"/>
  <c r="R46" i="128"/>
  <c r="S46" i="128" s="1"/>
  <c r="R43" i="128"/>
  <c r="S43" i="128" s="1"/>
  <c r="R61" i="128"/>
  <c r="S61" i="128" s="1"/>
  <c r="R12" i="128"/>
  <c r="S12" i="128" s="1"/>
  <c r="R34" i="128"/>
  <c r="S34" i="128" s="1"/>
  <c r="R42" i="128"/>
  <c r="S42" i="128" s="1"/>
  <c r="AK42" i="128" s="1"/>
  <c r="R31" i="128"/>
  <c r="S31" i="128" s="1"/>
  <c r="R39" i="128"/>
  <c r="S39" i="128" s="1"/>
  <c r="R47" i="128"/>
  <c r="S47" i="128" s="1"/>
  <c r="R71" i="131"/>
  <c r="S71" i="131" s="1"/>
  <c r="R16" i="131"/>
  <c r="S16" i="131" s="1"/>
  <c r="R27" i="131"/>
  <c r="S27" i="131" s="1"/>
  <c r="R51" i="127"/>
  <c r="S51" i="127" s="1"/>
  <c r="R34" i="131"/>
  <c r="S34" i="131" s="1"/>
  <c r="R58" i="127"/>
  <c r="S58" i="127" s="1"/>
  <c r="R51" i="131"/>
  <c r="S51" i="131" s="1"/>
  <c r="R53" i="131"/>
  <c r="S53" i="131" s="1"/>
  <c r="R58" i="131"/>
  <c r="S58" i="131" s="1"/>
  <c r="R8" i="128"/>
  <c r="S8" i="128" s="1"/>
  <c r="R33" i="128"/>
  <c r="S33" i="128" s="1"/>
  <c r="R20" i="127"/>
  <c r="S20" i="127" s="1"/>
  <c r="R63" i="127"/>
  <c r="S63" i="127" s="1"/>
  <c r="R22" i="128"/>
  <c r="S22" i="128" s="1"/>
  <c r="R54" i="127"/>
  <c r="S54" i="127" s="1"/>
  <c r="R18" i="131"/>
  <c r="S18" i="131" s="1"/>
  <c r="R14" i="131"/>
  <c r="S14" i="131" s="1"/>
  <c r="R20" i="131"/>
  <c r="S20" i="131" s="1"/>
  <c r="R24" i="131"/>
  <c r="S24" i="131" s="1"/>
  <c r="R47" i="131"/>
  <c r="R41" i="131"/>
  <c r="S41" i="131" s="1"/>
  <c r="R75" i="131"/>
  <c r="S75" i="131" s="1"/>
  <c r="R49" i="128"/>
  <c r="S49" i="128" s="1"/>
  <c r="R55" i="128"/>
  <c r="S55" i="128" s="1"/>
  <c r="R35" i="127"/>
  <c r="S35" i="127" s="1"/>
  <c r="R46" i="127"/>
  <c r="S46" i="127" s="1"/>
  <c r="R45" i="131"/>
  <c r="S45" i="131" s="1"/>
  <c r="R42" i="131"/>
  <c r="S42" i="131" s="1"/>
  <c r="AK42" i="131" s="1"/>
  <c r="R14" i="128"/>
  <c r="S14" i="128" s="1"/>
  <c r="R11" i="128"/>
  <c r="S11" i="128" s="1"/>
  <c r="R31" i="131"/>
  <c r="S31" i="131" s="1"/>
  <c r="R41" i="128"/>
  <c r="S41" i="128" s="1"/>
  <c r="R58" i="128"/>
  <c r="S58" i="128" s="1"/>
  <c r="R66" i="128"/>
  <c r="S66" i="128" s="1"/>
  <c r="R12" i="127"/>
  <c r="S12" i="127" s="1"/>
  <c r="R28" i="127"/>
  <c r="S28" i="127" s="1"/>
  <c r="R43" i="127"/>
  <c r="S43" i="127" s="1"/>
  <c r="R38" i="127"/>
  <c r="S38" i="127" s="1"/>
  <c r="R55" i="127"/>
  <c r="S55" i="127" s="1"/>
  <c r="R71" i="127"/>
  <c r="S71" i="127" s="1"/>
  <c r="R66" i="126"/>
  <c r="S66" i="126" s="1"/>
  <c r="R72" i="128"/>
  <c r="S72" i="128" s="1"/>
  <c r="R49" i="131"/>
  <c r="S49" i="131" s="1"/>
  <c r="R10" i="128"/>
  <c r="S10" i="128" s="1"/>
  <c r="R18" i="128"/>
  <c r="S18" i="128" s="1"/>
  <c r="R26" i="128"/>
  <c r="S26" i="128" s="1"/>
  <c r="R37" i="128"/>
  <c r="S37" i="128" s="1"/>
  <c r="R45" i="128"/>
  <c r="S45" i="128" s="1"/>
  <c r="R54" i="128"/>
  <c r="S54" i="128" s="1"/>
  <c r="R60" i="128"/>
  <c r="S60" i="128" s="1"/>
  <c r="R64" i="128"/>
  <c r="S64" i="128" s="1"/>
  <c r="R51" i="128"/>
  <c r="S51" i="128" s="1"/>
  <c r="R8" i="127"/>
  <c r="S8" i="127" s="1"/>
  <c r="R16" i="127"/>
  <c r="S16" i="127" s="1"/>
  <c r="R24" i="127"/>
  <c r="S24" i="127" s="1"/>
  <c r="R31" i="127"/>
  <c r="S31" i="127" s="1"/>
  <c r="R39" i="127"/>
  <c r="S39" i="127" s="1"/>
  <c r="R47" i="127"/>
  <c r="S47" i="127" s="1"/>
  <c r="R34" i="127"/>
  <c r="S34" i="127" s="1"/>
  <c r="R42" i="127"/>
  <c r="S42" i="127" s="1"/>
  <c r="AK42" i="127" s="1"/>
  <c r="R50" i="127"/>
  <c r="S50" i="127" s="1"/>
  <c r="R59" i="127"/>
  <c r="S59" i="127" s="1"/>
  <c r="R67" i="127"/>
  <c r="S67" i="127" s="1"/>
  <c r="R75" i="127"/>
  <c r="S75" i="127" s="1"/>
  <c r="M11" i="127"/>
  <c r="N11" i="127" s="1"/>
  <c r="P11" i="127" s="1"/>
  <c r="T11" i="127" s="1"/>
  <c r="Z11" i="33"/>
  <c r="M68" i="127"/>
  <c r="N68" i="127" s="1"/>
  <c r="P68" i="127" s="1"/>
  <c r="T68" i="127" s="1"/>
  <c r="Z68" i="33"/>
  <c r="M21" i="127"/>
  <c r="N21" i="127" s="1"/>
  <c r="P21" i="127" s="1"/>
  <c r="T21" i="127" s="1"/>
  <c r="Z21" i="33"/>
  <c r="N56" i="126"/>
  <c r="P56" i="126" s="1"/>
  <c r="Y56" i="33"/>
  <c r="N46" i="131"/>
  <c r="P46" i="131" s="1"/>
  <c r="T46" i="131" s="1"/>
  <c r="AC46" i="33"/>
  <c r="M56" i="127"/>
  <c r="N56" i="127" s="1"/>
  <c r="P56" i="127" s="1"/>
  <c r="T56" i="127" s="1"/>
  <c r="Z56" i="33"/>
  <c r="M62" i="127"/>
  <c r="N62" i="127" s="1"/>
  <c r="P62" i="127" s="1"/>
  <c r="Z62" i="33"/>
  <c r="N54" i="126"/>
  <c r="P54" i="126" s="1"/>
  <c r="Y54" i="33"/>
  <c r="M27" i="127"/>
  <c r="N27" i="127" s="1"/>
  <c r="P27" i="127" s="1"/>
  <c r="T27" i="127" s="1"/>
  <c r="Z27" i="33"/>
  <c r="N28" i="131"/>
  <c r="P28" i="131" s="1"/>
  <c r="T28" i="131" s="1"/>
  <c r="AC28" i="33"/>
  <c r="M19" i="127"/>
  <c r="N19" i="127" s="1"/>
  <c r="P19" i="127" s="1"/>
  <c r="T19" i="127" s="1"/>
  <c r="Z19" i="33"/>
  <c r="M9" i="127"/>
  <c r="N9" i="127" s="1"/>
  <c r="P9" i="127" s="1"/>
  <c r="T9" i="127" s="1"/>
  <c r="Z9" i="33"/>
  <c r="M29" i="127"/>
  <c r="N29" i="127" s="1"/>
  <c r="P29" i="127" s="1"/>
  <c r="T29" i="127" s="1"/>
  <c r="Z29" i="33"/>
  <c r="M74" i="127"/>
  <c r="N74" i="127" s="1"/>
  <c r="P74" i="127" s="1"/>
  <c r="Z74" i="33"/>
  <c r="M23" i="127"/>
  <c r="N23" i="127" s="1"/>
  <c r="P23" i="127" s="1"/>
  <c r="T23" i="127" s="1"/>
  <c r="Z23" i="33"/>
  <c r="N48" i="131"/>
  <c r="P48" i="131" s="1"/>
  <c r="AC48" i="33"/>
  <c r="N74" i="131"/>
  <c r="P74" i="131" s="1"/>
  <c r="AC74" i="33"/>
  <c r="M72" i="127"/>
  <c r="N72" i="127" s="1"/>
  <c r="P72" i="127" s="1"/>
  <c r="Z72" i="33"/>
  <c r="M25" i="127"/>
  <c r="N25" i="127" s="1"/>
  <c r="P25" i="127" s="1"/>
  <c r="Z25" i="33"/>
  <c r="M70" i="127"/>
  <c r="N70" i="127" s="1"/>
  <c r="P70" i="127" s="1"/>
  <c r="Z70" i="33"/>
  <c r="N74" i="126"/>
  <c r="P74" i="126" s="1"/>
  <c r="Y74" i="33"/>
  <c r="N72" i="126"/>
  <c r="P72" i="126" s="1"/>
  <c r="Y72" i="33"/>
  <c r="M64" i="127"/>
  <c r="N64" i="127" s="1"/>
  <c r="P64" i="127" s="1"/>
  <c r="T64" i="127" s="1"/>
  <c r="Z64" i="33"/>
  <c r="M28" i="128"/>
  <c r="N28" i="128" s="1"/>
  <c r="P28" i="128" s="1"/>
  <c r="AA28" i="33"/>
  <c r="M66" i="127"/>
  <c r="N66" i="127" s="1"/>
  <c r="P66" i="127" s="1"/>
  <c r="Z66" i="33"/>
  <c r="M60" i="127"/>
  <c r="N60" i="127" s="1"/>
  <c r="P60" i="127" s="1"/>
  <c r="T60" i="127" s="1"/>
  <c r="Z60" i="33"/>
  <c r="M68" i="128"/>
  <c r="N68" i="128" s="1"/>
  <c r="P68" i="128" s="1"/>
  <c r="T68" i="128" s="1"/>
  <c r="AA68" i="33"/>
  <c r="M13" i="127"/>
  <c r="N13" i="127" s="1"/>
  <c r="P13" i="127" s="1"/>
  <c r="Z13" i="33"/>
  <c r="N64" i="126"/>
  <c r="P64" i="126" s="1"/>
  <c r="Y64" i="33"/>
  <c r="S29" i="131"/>
  <c r="S32" i="128"/>
  <c r="S48" i="128"/>
  <c r="S26" i="127"/>
  <c r="S65" i="131"/>
  <c r="S37" i="131"/>
  <c r="S50" i="131"/>
  <c r="S30" i="131"/>
  <c r="S67" i="131"/>
  <c r="S36" i="128"/>
  <c r="S69" i="128"/>
  <c r="S23" i="131"/>
  <c r="S47" i="131"/>
  <c r="S33" i="131"/>
  <c r="S20" i="128"/>
  <c r="I76" i="129"/>
  <c r="I82" i="129" s="1"/>
  <c r="K7" i="131"/>
  <c r="I76" i="131"/>
  <c r="I82" i="131" s="1"/>
  <c r="L7" i="127"/>
  <c r="Z7" i="33" s="1"/>
  <c r="K76" i="127"/>
  <c r="K82" i="127" s="1"/>
  <c r="K7" i="128"/>
  <c r="I76" i="128"/>
  <c r="I82" i="128" s="1"/>
  <c r="M15" i="127"/>
  <c r="N15" i="127" s="1"/>
  <c r="P15" i="127" s="1"/>
  <c r="T15" i="127" s="1"/>
  <c r="K7" i="125"/>
  <c r="I76" i="125"/>
  <c r="I82" i="125" s="1"/>
  <c r="K76" i="126"/>
  <c r="K82" i="126" s="1"/>
  <c r="L7" i="126"/>
  <c r="N15" i="128"/>
  <c r="P15" i="128" s="1"/>
  <c r="T15" i="128" s="1"/>
  <c r="I76" i="127"/>
  <c r="I82" i="127" s="1"/>
  <c r="R13" i="127" l="1"/>
  <c r="S13" i="127" s="1"/>
  <c r="T13" i="127"/>
  <c r="R28" i="128"/>
  <c r="S28" i="128" s="1"/>
  <c r="T28" i="128"/>
  <c r="R72" i="126"/>
  <c r="S72" i="126" s="1"/>
  <c r="T72" i="126"/>
  <c r="R70" i="127"/>
  <c r="S70" i="127" s="1"/>
  <c r="T70" i="127"/>
  <c r="R72" i="127"/>
  <c r="S72" i="127" s="1"/>
  <c r="T72" i="127"/>
  <c r="R74" i="127"/>
  <c r="S74" i="127" s="1"/>
  <c r="T74" i="127"/>
  <c r="R62" i="127"/>
  <c r="T62" i="127"/>
  <c r="R64" i="126"/>
  <c r="S64" i="126" s="1"/>
  <c r="T64" i="126"/>
  <c r="R66" i="127"/>
  <c r="S66" i="127" s="1"/>
  <c r="T66" i="127"/>
  <c r="R74" i="126"/>
  <c r="S74" i="126" s="1"/>
  <c r="T74" i="126"/>
  <c r="R25" i="127"/>
  <c r="S25" i="127" s="1"/>
  <c r="T25" i="127"/>
  <c r="R74" i="131"/>
  <c r="S74" i="131" s="1"/>
  <c r="T74" i="131"/>
  <c r="R48" i="131"/>
  <c r="S48" i="131" s="1"/>
  <c r="T48" i="131"/>
  <c r="R54" i="126"/>
  <c r="S54" i="126" s="1"/>
  <c r="T54" i="126"/>
  <c r="R56" i="126"/>
  <c r="S56" i="126" s="1"/>
  <c r="T56" i="126"/>
  <c r="R21" i="127"/>
  <c r="S21" i="127" s="1"/>
  <c r="R11" i="127"/>
  <c r="S11" i="127" s="1"/>
  <c r="Y7" i="33"/>
  <c r="Y76" i="33" s="1"/>
  <c r="M7" i="126"/>
  <c r="M76" i="126" s="1"/>
  <c r="M82" i="126" s="1"/>
  <c r="R60" i="127"/>
  <c r="S60" i="127" s="1"/>
  <c r="R68" i="127"/>
  <c r="S68" i="127" s="1"/>
  <c r="R56" i="127"/>
  <c r="S56" i="127" s="1"/>
  <c r="R28" i="131"/>
  <c r="S28" i="131" s="1"/>
  <c r="R29" i="127"/>
  <c r="S29" i="127" s="1"/>
  <c r="R9" i="127"/>
  <c r="S9" i="127" s="1"/>
  <c r="R19" i="127"/>
  <c r="S19" i="127" s="1"/>
  <c r="R46" i="131"/>
  <c r="S46" i="131" s="1"/>
  <c r="R27" i="127"/>
  <c r="S27" i="127" s="1"/>
  <c r="R68" i="128"/>
  <c r="S68" i="128" s="1"/>
  <c r="R64" i="127"/>
  <c r="S64" i="127" s="1"/>
  <c r="Z76" i="33"/>
  <c r="R23" i="127"/>
  <c r="S23" i="127" s="1"/>
  <c r="S62" i="127"/>
  <c r="R15" i="127"/>
  <c r="L76" i="126"/>
  <c r="L82" i="126" s="1"/>
  <c r="L7" i="128"/>
  <c r="AA7" i="33" s="1"/>
  <c r="AA76" i="33" s="1"/>
  <c r="K76" i="128"/>
  <c r="K82" i="128" s="1"/>
  <c r="R15" i="128"/>
  <c r="K76" i="125"/>
  <c r="K82" i="125" s="1"/>
  <c r="L7" i="125"/>
  <c r="M7" i="127"/>
  <c r="L76" i="127"/>
  <c r="L82" i="127" s="1"/>
  <c r="K76" i="131"/>
  <c r="K82" i="131" s="1"/>
  <c r="L7" i="131"/>
  <c r="N7" i="126" l="1"/>
  <c r="P7" i="126" s="1"/>
  <c r="T7" i="126" s="1"/>
  <c r="AC7" i="33"/>
  <c r="AC76" i="33" s="1"/>
  <c r="M7" i="131"/>
  <c r="M76" i="131" s="1"/>
  <c r="M82" i="131" s="1"/>
  <c r="X7" i="33"/>
  <c r="X76" i="33" s="1"/>
  <c r="M7" i="125"/>
  <c r="M76" i="125" s="1"/>
  <c r="M82" i="125" s="1"/>
  <c r="S15" i="128"/>
  <c r="S15" i="127"/>
  <c r="N7" i="127"/>
  <c r="M76" i="127"/>
  <c r="M82" i="127" s="1"/>
  <c r="L76" i="131"/>
  <c r="L82" i="131" s="1"/>
  <c r="L76" i="125"/>
  <c r="L82" i="125" s="1"/>
  <c r="M7" i="128"/>
  <c r="M76" i="128" s="1"/>
  <c r="M82" i="128" s="1"/>
  <c r="L76" i="128"/>
  <c r="L82" i="128" s="1"/>
  <c r="T76" i="126" l="1"/>
  <c r="T82" i="126" s="1"/>
  <c r="N76" i="126"/>
  <c r="N82" i="126" s="1"/>
  <c r="N7" i="125"/>
  <c r="N76" i="125" s="1"/>
  <c r="N82" i="125" s="1"/>
  <c r="N7" i="131"/>
  <c r="P7" i="131" s="1"/>
  <c r="T7" i="131" s="1"/>
  <c r="R7" i="126"/>
  <c r="S7" i="126" s="1"/>
  <c r="P76" i="126"/>
  <c r="P82" i="126" s="1"/>
  <c r="N7" i="128"/>
  <c r="P7" i="127"/>
  <c r="T7" i="127" s="1"/>
  <c r="N76" i="127"/>
  <c r="N82" i="127" s="1"/>
  <c r="T76" i="127" l="1"/>
  <c r="T82" i="127" s="1"/>
  <c r="T76" i="131"/>
  <c r="T82" i="131" s="1"/>
  <c r="P7" i="125"/>
  <c r="N76" i="131"/>
  <c r="N82" i="131" s="1"/>
  <c r="R76" i="126"/>
  <c r="R82" i="126" s="1"/>
  <c r="P76" i="127"/>
  <c r="P82" i="127" s="1"/>
  <c r="R7" i="127"/>
  <c r="S7" i="127" s="1"/>
  <c r="R7" i="131"/>
  <c r="S7" i="131" s="1"/>
  <c r="P76" i="131"/>
  <c r="P82" i="131" s="1"/>
  <c r="P7" i="128"/>
  <c r="T7" i="128" s="1"/>
  <c r="N76" i="128"/>
  <c r="N82" i="128" s="1"/>
  <c r="S76" i="126"/>
  <c r="S82" i="126" s="1"/>
  <c r="T76" i="128" l="1"/>
  <c r="T82" i="128" s="1"/>
  <c r="T7" i="125"/>
  <c r="R7" i="125"/>
  <c r="S7" i="125" s="1"/>
  <c r="P76" i="125"/>
  <c r="P82" i="125" s="1"/>
  <c r="R76" i="131"/>
  <c r="R82" i="131" s="1"/>
  <c r="P76" i="128"/>
  <c r="P82" i="128" s="1"/>
  <c r="R7" i="128"/>
  <c r="S7" i="128" s="1"/>
  <c r="S76" i="131"/>
  <c r="S82" i="131" s="1"/>
  <c r="R76" i="127"/>
  <c r="R82" i="127" s="1"/>
  <c r="T76" i="125" l="1"/>
  <c r="T82" i="125" s="1"/>
  <c r="S76" i="125"/>
  <c r="S82" i="125" s="1"/>
  <c r="R76" i="125"/>
  <c r="R82" i="125" s="1"/>
  <c r="S76" i="127"/>
  <c r="S82" i="127" s="1"/>
  <c r="R76" i="128"/>
  <c r="R82" i="128" s="1"/>
  <c r="S76" i="128" l="1"/>
  <c r="S82" i="128" s="1"/>
  <c r="AG56" i="31" l="1"/>
  <c r="AH56" i="31" s="1"/>
  <c r="AI56" i="31" l="1"/>
  <c r="AJ56" i="31"/>
  <c r="AG54" i="31"/>
  <c r="AH54" i="31" s="1"/>
  <c r="X42" i="113"/>
  <c r="AA42" i="113" s="1"/>
  <c r="AB42" i="113" s="1"/>
  <c r="AG62" i="31"/>
  <c r="AH62" i="31" s="1"/>
  <c r="AG66" i="31"/>
  <c r="AH66" i="31" s="1"/>
  <c r="AG57" i="31"/>
  <c r="AH57" i="31" s="1"/>
  <c r="AG38" i="31"/>
  <c r="AH38" i="31" s="1"/>
  <c r="AG8" i="31"/>
  <c r="AH8" i="31" s="1"/>
  <c r="AK56" i="31" l="1"/>
  <c r="AL56" i="31" s="1"/>
  <c r="AO56" i="31" s="1"/>
  <c r="AQ56" i="31" s="1"/>
  <c r="AR56" i="31" s="1"/>
  <c r="AG28" i="31"/>
  <c r="AH28" i="31" s="1"/>
  <c r="AI38" i="31"/>
  <c r="AJ38" i="31"/>
  <c r="AG47" i="31"/>
  <c r="AH47" i="31" s="1"/>
  <c r="AI57" i="31"/>
  <c r="AJ57" i="31"/>
  <c r="AI66" i="31"/>
  <c r="AJ66" i="31"/>
  <c r="AG13" i="31"/>
  <c r="AH13" i="31" s="1"/>
  <c r="AG15" i="31"/>
  <c r="AH15" i="31" s="1"/>
  <c r="AG37" i="31"/>
  <c r="AH37" i="31" s="1"/>
  <c r="AG50" i="31"/>
  <c r="AH50" i="31" s="1"/>
  <c r="AG60" i="31"/>
  <c r="AH60" i="31" s="1"/>
  <c r="AG70" i="31"/>
  <c r="AH70" i="31" s="1"/>
  <c r="AG21" i="31"/>
  <c r="AH21" i="31" s="1"/>
  <c r="AG46" i="31"/>
  <c r="AH46" i="31" s="1"/>
  <c r="AG32" i="31"/>
  <c r="AH32" i="31" s="1"/>
  <c r="AG36" i="31"/>
  <c r="AH36" i="31" s="1"/>
  <c r="AG55" i="31"/>
  <c r="AH55" i="31" s="1"/>
  <c r="AG20" i="31"/>
  <c r="AH20" i="31" s="1"/>
  <c r="AG24" i="31"/>
  <c r="AH24" i="31" s="1"/>
  <c r="AG26" i="31"/>
  <c r="AH26" i="31" s="1"/>
  <c r="AG35" i="31"/>
  <c r="AH35" i="31" s="1"/>
  <c r="AG40" i="31"/>
  <c r="AH40" i="31" s="1"/>
  <c r="AG42" i="31"/>
  <c r="AH42" i="31" s="1"/>
  <c r="AG48" i="31"/>
  <c r="AH48" i="31" s="1"/>
  <c r="AG63" i="31"/>
  <c r="AH63" i="31" s="1"/>
  <c r="AG67" i="31"/>
  <c r="AH67" i="31" s="1"/>
  <c r="AG58" i="31"/>
  <c r="AH58" i="31" s="1"/>
  <c r="AG45" i="31"/>
  <c r="AH45" i="31" s="1"/>
  <c r="G39" i="100"/>
  <c r="AC42" i="113"/>
  <c r="AK39" i="72" s="1"/>
  <c r="AG22" i="31"/>
  <c r="AH22" i="31" s="1"/>
  <c r="AG31" i="31"/>
  <c r="AH31" i="31" s="1"/>
  <c r="AG51" i="31"/>
  <c r="AH51" i="31" s="1"/>
  <c r="AG61" i="31"/>
  <c r="AH61" i="31" s="1"/>
  <c r="AG14" i="31"/>
  <c r="AH14" i="31" s="1"/>
  <c r="AG16" i="31"/>
  <c r="AH16" i="31" s="1"/>
  <c r="AG30" i="31"/>
  <c r="AH30" i="31" s="1"/>
  <c r="AG49" i="31"/>
  <c r="AH49" i="31" s="1"/>
  <c r="AG59" i="31"/>
  <c r="AH59" i="31" s="1"/>
  <c r="AG69" i="31"/>
  <c r="AH69" i="31" s="1"/>
  <c r="AG34" i="31"/>
  <c r="AH34" i="31" s="1"/>
  <c r="AG33" i="31"/>
  <c r="AH33" i="31" s="1"/>
  <c r="AG53" i="31"/>
  <c r="AH53" i="31" s="1"/>
  <c r="AI62" i="31"/>
  <c r="AJ62" i="31"/>
  <c r="AG23" i="31"/>
  <c r="AH23" i="31" s="1"/>
  <c r="AG25" i="31"/>
  <c r="AH25" i="31" s="1"/>
  <c r="AG27" i="31"/>
  <c r="AH27" i="31" s="1"/>
  <c r="AG39" i="31"/>
  <c r="AH39" i="31" s="1"/>
  <c r="AG41" i="31"/>
  <c r="AH41" i="31" s="1"/>
  <c r="AG43" i="31"/>
  <c r="AH43" i="31" s="1"/>
  <c r="AG52" i="31"/>
  <c r="AH52" i="31" s="1"/>
  <c r="AG65" i="31"/>
  <c r="AH65" i="31" s="1"/>
  <c r="AG12" i="31"/>
  <c r="AG29" i="31"/>
  <c r="AH29" i="31" s="1"/>
  <c r="AI54" i="31"/>
  <c r="AJ54" i="31"/>
  <c r="AH12" i="31" l="1"/>
  <c r="AJ12" i="31" s="1"/>
  <c r="AK66" i="31"/>
  <c r="AL66" i="31" s="1"/>
  <c r="AO66" i="31" s="1"/>
  <c r="AQ66" i="31" s="1"/>
  <c r="AR66" i="31" s="1"/>
  <c r="AK62" i="31"/>
  <c r="AL62" i="31" s="1"/>
  <c r="AO62" i="31" s="1"/>
  <c r="AQ62" i="31" s="1"/>
  <c r="AR62" i="31" s="1"/>
  <c r="AD42" i="113"/>
  <c r="AF42" i="113" s="1"/>
  <c r="AH42" i="113" s="1"/>
  <c r="AK38" i="31"/>
  <c r="AL38" i="31" s="1"/>
  <c r="AO38" i="31" s="1"/>
  <c r="AQ38" i="31" s="1"/>
  <c r="AR38" i="31" s="1"/>
  <c r="AK54" i="31"/>
  <c r="AL54" i="31" s="1"/>
  <c r="AO54" i="31" s="1"/>
  <c r="AQ54" i="31" s="1"/>
  <c r="AR54" i="31" s="1"/>
  <c r="AI29" i="31"/>
  <c r="AJ29" i="31"/>
  <c r="AI12" i="31"/>
  <c r="AI53" i="31"/>
  <c r="AJ53" i="31"/>
  <c r="AI33" i="31"/>
  <c r="AJ33" i="31"/>
  <c r="AE12" i="46"/>
  <c r="AE17" i="46" s="1"/>
  <c r="W76" i="113"/>
  <c r="W82" i="113" s="1"/>
  <c r="AI45" i="31"/>
  <c r="AJ45" i="31"/>
  <c r="AI58" i="31"/>
  <c r="AJ58" i="31"/>
  <c r="AK57" i="31"/>
  <c r="AL57" i="31" s="1"/>
  <c r="AO57" i="31" s="1"/>
  <c r="AQ57" i="31" s="1"/>
  <c r="AR57" i="31" s="1"/>
  <c r="AI28" i="31"/>
  <c r="AJ28" i="31"/>
  <c r="AI65" i="31"/>
  <c r="AJ65" i="31"/>
  <c r="AI52" i="31"/>
  <c r="AJ52" i="31"/>
  <c r="AI43" i="31"/>
  <c r="AJ43" i="31"/>
  <c r="AI41" i="31"/>
  <c r="AJ41" i="31"/>
  <c r="AI39" i="31"/>
  <c r="AJ39" i="31"/>
  <c r="AI27" i="31"/>
  <c r="AJ27" i="31"/>
  <c r="AI25" i="31"/>
  <c r="AJ25" i="31"/>
  <c r="AI23" i="31"/>
  <c r="AJ23" i="31"/>
  <c r="AI34" i="31"/>
  <c r="AJ34" i="31"/>
  <c r="AI69" i="31"/>
  <c r="AJ69" i="31"/>
  <c r="AI59" i="31"/>
  <c r="AJ59" i="31"/>
  <c r="AI49" i="31"/>
  <c r="AJ49" i="31"/>
  <c r="AI30" i="31"/>
  <c r="AJ30" i="31"/>
  <c r="AI16" i="31"/>
  <c r="AJ16" i="31"/>
  <c r="AI14" i="31"/>
  <c r="AJ14" i="31"/>
  <c r="AF12" i="46"/>
  <c r="AF17" i="46" s="1"/>
  <c r="AI61" i="31"/>
  <c r="AJ61" i="31"/>
  <c r="AI51" i="31"/>
  <c r="AJ51" i="31"/>
  <c r="AG44" i="31"/>
  <c r="AG71" i="31" s="1"/>
  <c r="AI31" i="31"/>
  <c r="AJ31" i="31"/>
  <c r="AI22" i="31"/>
  <c r="AJ22" i="31"/>
  <c r="AI67" i="31"/>
  <c r="AJ67" i="31"/>
  <c r="AI63" i="31"/>
  <c r="AJ63" i="31"/>
  <c r="AI48" i="31"/>
  <c r="AJ48" i="31"/>
  <c r="AI42" i="31"/>
  <c r="AJ42" i="31"/>
  <c r="AI40" i="31"/>
  <c r="AJ40" i="31"/>
  <c r="AI35" i="31"/>
  <c r="AJ35" i="31"/>
  <c r="AI26" i="31"/>
  <c r="AJ26" i="31"/>
  <c r="AI24" i="31"/>
  <c r="AJ24" i="31"/>
  <c r="AI20" i="31"/>
  <c r="AJ20" i="31"/>
  <c r="AI55" i="31"/>
  <c r="AJ55" i="31"/>
  <c r="AI36" i="31"/>
  <c r="AJ36" i="31"/>
  <c r="AI32" i="31"/>
  <c r="AJ32" i="31"/>
  <c r="AI46" i="31"/>
  <c r="AJ46" i="31"/>
  <c r="AI21" i="31"/>
  <c r="AJ21" i="31"/>
  <c r="AI70" i="31"/>
  <c r="AJ70" i="31"/>
  <c r="AI60" i="31"/>
  <c r="AJ60" i="31"/>
  <c r="AI50" i="31"/>
  <c r="AJ50" i="31"/>
  <c r="AI37" i="31"/>
  <c r="AJ37" i="31"/>
  <c r="AI15" i="31"/>
  <c r="AJ15" i="31"/>
  <c r="AI13" i="31"/>
  <c r="AJ13" i="31"/>
  <c r="AI47" i="31"/>
  <c r="AJ47" i="31"/>
  <c r="AC72" i="31" l="1"/>
  <c r="AD72" i="31"/>
  <c r="AI42" i="113"/>
  <c r="G39" i="72" s="1"/>
  <c r="AK42" i="31"/>
  <c r="AL42" i="31" s="1"/>
  <c r="AO42" i="31" s="1"/>
  <c r="AQ42" i="31" s="1"/>
  <c r="AR42" i="31" s="1"/>
  <c r="AK61" i="31"/>
  <c r="AL61" i="31" s="1"/>
  <c r="AO61" i="31" s="1"/>
  <c r="AQ61" i="31" s="1"/>
  <c r="AR61" i="31" s="1"/>
  <c r="AK65" i="31"/>
  <c r="AL65" i="31" s="1"/>
  <c r="AO65" i="31" s="1"/>
  <c r="AQ65" i="31" s="1"/>
  <c r="AR65" i="31" s="1"/>
  <c r="AK70" i="31"/>
  <c r="AL70" i="31" s="1"/>
  <c r="AO70" i="31" s="1"/>
  <c r="AQ70" i="31" s="1"/>
  <c r="AR70" i="31" s="1"/>
  <c r="AK21" i="31"/>
  <c r="AL21" i="31" s="1"/>
  <c r="AO21" i="31" s="1"/>
  <c r="AQ21" i="31" s="1"/>
  <c r="AR21" i="31" s="1"/>
  <c r="AK69" i="31"/>
  <c r="AL69" i="31" s="1"/>
  <c r="AO69" i="31" s="1"/>
  <c r="AQ69" i="31" s="1"/>
  <c r="AR69" i="31" s="1"/>
  <c r="AK39" i="31"/>
  <c r="AL39" i="31" s="1"/>
  <c r="AO39" i="31" s="1"/>
  <c r="AQ39" i="31" s="1"/>
  <c r="AR39" i="31" s="1"/>
  <c r="AK24" i="31"/>
  <c r="AL24" i="31" s="1"/>
  <c r="AO24" i="31" s="1"/>
  <c r="AQ24" i="31" s="1"/>
  <c r="AR24" i="31" s="1"/>
  <c r="AK63" i="31"/>
  <c r="AL63" i="31" s="1"/>
  <c r="AO63" i="31" s="1"/>
  <c r="AQ63" i="31" s="1"/>
  <c r="AR63" i="31" s="1"/>
  <c r="AK31" i="31"/>
  <c r="AL31" i="31" s="1"/>
  <c r="AO31" i="31" s="1"/>
  <c r="AQ31" i="31" s="1"/>
  <c r="AR31" i="31" s="1"/>
  <c r="AK16" i="31"/>
  <c r="AL16" i="31" s="1"/>
  <c r="AO16" i="31" s="1"/>
  <c r="AQ16" i="31" s="1"/>
  <c r="AR16" i="31" s="1"/>
  <c r="AK43" i="31"/>
  <c r="AL43" i="31" s="1"/>
  <c r="AO43" i="31" s="1"/>
  <c r="AQ43" i="31" s="1"/>
  <c r="AR43" i="31" s="1"/>
  <c r="AK58" i="31"/>
  <c r="AL58" i="31" s="1"/>
  <c r="AO58" i="31" s="1"/>
  <c r="AQ58" i="31" s="1"/>
  <c r="AR58" i="31" s="1"/>
  <c r="AK45" i="31"/>
  <c r="AL45" i="31" s="1"/>
  <c r="AO45" i="31" s="1"/>
  <c r="AQ45" i="31" s="1"/>
  <c r="AR45" i="31" s="1"/>
  <c r="AK13" i="31"/>
  <c r="AL13" i="31" s="1"/>
  <c r="AO13" i="31" s="1"/>
  <c r="AQ13" i="31" s="1"/>
  <c r="AR13" i="31" s="1"/>
  <c r="AK50" i="31"/>
  <c r="AL50" i="31" s="1"/>
  <c r="AO50" i="31" s="1"/>
  <c r="AQ50" i="31" s="1"/>
  <c r="AR50" i="31" s="1"/>
  <c r="AK32" i="31"/>
  <c r="AL32" i="31" s="1"/>
  <c r="AO32" i="31" s="1"/>
  <c r="AQ32" i="31" s="1"/>
  <c r="AR32" i="31" s="1"/>
  <c r="AK55" i="31"/>
  <c r="AL55" i="31" s="1"/>
  <c r="AO55" i="31" s="1"/>
  <c r="AQ55" i="31" s="1"/>
  <c r="AR55" i="31" s="1"/>
  <c r="AK35" i="31"/>
  <c r="AL35" i="31" s="1"/>
  <c r="AO35" i="31" s="1"/>
  <c r="AQ35" i="31" s="1"/>
  <c r="AR35" i="31" s="1"/>
  <c r="AK49" i="31"/>
  <c r="AL49" i="31" s="1"/>
  <c r="AO49" i="31" s="1"/>
  <c r="AQ49" i="31" s="1"/>
  <c r="AR49" i="31" s="1"/>
  <c r="AK25" i="31"/>
  <c r="AL25" i="31" s="1"/>
  <c r="AO25" i="31" s="1"/>
  <c r="AQ25" i="31" s="1"/>
  <c r="AR25" i="31" s="1"/>
  <c r="AK53" i="31"/>
  <c r="AL53" i="31" s="1"/>
  <c r="AO53" i="31" s="1"/>
  <c r="AQ53" i="31" s="1"/>
  <c r="AR53" i="31" s="1"/>
  <c r="AK12" i="31"/>
  <c r="AK47" i="31"/>
  <c r="AL47" i="31" s="1"/>
  <c r="AO47" i="31" s="1"/>
  <c r="AQ47" i="31" s="1"/>
  <c r="AR47" i="31" s="1"/>
  <c r="AK15" i="31"/>
  <c r="AL15" i="31" s="1"/>
  <c r="AO15" i="31" s="1"/>
  <c r="AQ15" i="31" s="1"/>
  <c r="AR15" i="31" s="1"/>
  <c r="AK37" i="31"/>
  <c r="AL37" i="31" s="1"/>
  <c r="AO37" i="31" s="1"/>
  <c r="AQ37" i="31" s="1"/>
  <c r="AR37" i="31" s="1"/>
  <c r="AK60" i="31"/>
  <c r="AL60" i="31" s="1"/>
  <c r="AO60" i="31" s="1"/>
  <c r="AQ60" i="31" s="1"/>
  <c r="AR60" i="31" s="1"/>
  <c r="AK46" i="31"/>
  <c r="AL46" i="31" s="1"/>
  <c r="AO46" i="31" s="1"/>
  <c r="AQ46" i="31" s="1"/>
  <c r="AR46" i="31" s="1"/>
  <c r="AK36" i="31"/>
  <c r="AL36" i="31" s="1"/>
  <c r="AO36" i="31" s="1"/>
  <c r="AQ36" i="31" s="1"/>
  <c r="AR36" i="31" s="1"/>
  <c r="AK20" i="31"/>
  <c r="AL20" i="31" s="1"/>
  <c r="AO20" i="31" s="1"/>
  <c r="AQ20" i="31" s="1"/>
  <c r="AR20" i="31" s="1"/>
  <c r="AK26" i="31"/>
  <c r="AL26" i="31" s="1"/>
  <c r="AO26" i="31" s="1"/>
  <c r="AQ26" i="31" s="1"/>
  <c r="AR26" i="31" s="1"/>
  <c r="AK40" i="31"/>
  <c r="AL40" i="31" s="1"/>
  <c r="AO40" i="31" s="1"/>
  <c r="AQ40" i="31" s="1"/>
  <c r="AR40" i="31" s="1"/>
  <c r="AK48" i="31"/>
  <c r="AL48" i="31" s="1"/>
  <c r="AO48" i="31" s="1"/>
  <c r="AQ48" i="31" s="1"/>
  <c r="AR48" i="31" s="1"/>
  <c r="AK67" i="31"/>
  <c r="AL67" i="31" s="1"/>
  <c r="AO67" i="31" s="1"/>
  <c r="AQ67" i="31" s="1"/>
  <c r="AR67" i="31" s="1"/>
  <c r="AK22" i="31"/>
  <c r="AL22" i="31" s="1"/>
  <c r="AO22" i="31" s="1"/>
  <c r="AQ22" i="31" s="1"/>
  <c r="AR22" i="31" s="1"/>
  <c r="AH44" i="31"/>
  <c r="AH71" i="31" s="1"/>
  <c r="AK51" i="31"/>
  <c r="AL51" i="31" s="1"/>
  <c r="AO51" i="31" s="1"/>
  <c r="AQ51" i="31" s="1"/>
  <c r="AR51" i="31" s="1"/>
  <c r="AK14" i="31"/>
  <c r="AL14" i="31" s="1"/>
  <c r="AO14" i="31" s="1"/>
  <c r="AQ14" i="31" s="1"/>
  <c r="AR14" i="31" s="1"/>
  <c r="AK30" i="31"/>
  <c r="AL30" i="31" s="1"/>
  <c r="AO30" i="31" s="1"/>
  <c r="AQ30" i="31" s="1"/>
  <c r="AR30" i="31" s="1"/>
  <c r="AK59" i="31"/>
  <c r="AL59" i="31" s="1"/>
  <c r="AO59" i="31" s="1"/>
  <c r="AQ59" i="31" s="1"/>
  <c r="AR59" i="31" s="1"/>
  <c r="AK34" i="31"/>
  <c r="AL34" i="31" s="1"/>
  <c r="AO34" i="31" s="1"/>
  <c r="AQ34" i="31" s="1"/>
  <c r="AR34" i="31" s="1"/>
  <c r="AK23" i="31"/>
  <c r="AL23" i="31" s="1"/>
  <c r="AO23" i="31" s="1"/>
  <c r="AQ23" i="31" s="1"/>
  <c r="AR23" i="31" s="1"/>
  <c r="AK27" i="31"/>
  <c r="AL27" i="31" s="1"/>
  <c r="AO27" i="31" s="1"/>
  <c r="AQ27" i="31" s="1"/>
  <c r="AR27" i="31" s="1"/>
  <c r="AK41" i="31"/>
  <c r="AL41" i="31" s="1"/>
  <c r="AO41" i="31" s="1"/>
  <c r="AQ41" i="31" s="1"/>
  <c r="AR41" i="31" s="1"/>
  <c r="AK52" i="31"/>
  <c r="AL52" i="31" s="1"/>
  <c r="AO52" i="31" s="1"/>
  <c r="AQ52" i="31" s="1"/>
  <c r="AR52" i="31" s="1"/>
  <c r="AK28" i="31"/>
  <c r="AL28" i="31" s="1"/>
  <c r="AO28" i="31" s="1"/>
  <c r="AQ28" i="31" s="1"/>
  <c r="AR28" i="31" s="1"/>
  <c r="AK33" i="31"/>
  <c r="AL33" i="31" s="1"/>
  <c r="AO33" i="31" s="1"/>
  <c r="AQ33" i="31" s="1"/>
  <c r="AR33" i="31" s="1"/>
  <c r="AK29" i="31"/>
  <c r="AL29" i="31" s="1"/>
  <c r="AO29" i="31" s="1"/>
  <c r="AQ29" i="31" s="1"/>
  <c r="AR29" i="31" s="1"/>
  <c r="AG72" i="31" l="1"/>
  <c r="AI44" i="31"/>
  <c r="AI71" i="31" s="1"/>
  <c r="AI9" i="31" s="1"/>
  <c r="AK9" i="31" s="1"/>
  <c r="AL9" i="31" s="1"/>
  <c r="AJ44" i="31"/>
  <c r="AH72" i="31"/>
  <c r="F39" i="100" s="1"/>
  <c r="AL12" i="31"/>
  <c r="K40" i="33"/>
  <c r="K40" i="120"/>
  <c r="L40" i="120" s="1"/>
  <c r="M40" i="120" s="1"/>
  <c r="K40" i="118"/>
  <c r="L40" i="118" s="1"/>
  <c r="M40" i="118" s="1"/>
  <c r="K40" i="116"/>
  <c r="L40" i="116" s="1"/>
  <c r="K40" i="114"/>
  <c r="L40" i="114" s="1"/>
  <c r="K17" i="113"/>
  <c r="L17" i="113" s="1"/>
  <c r="K17" i="119"/>
  <c r="L17" i="119" s="1"/>
  <c r="K17" i="117"/>
  <c r="L17" i="117" s="1"/>
  <c r="K17" i="115"/>
  <c r="L17" i="115" s="1"/>
  <c r="M17" i="115" s="1"/>
  <c r="K39" i="120"/>
  <c r="L39" i="120" s="1"/>
  <c r="M39" i="120" s="1"/>
  <c r="K39" i="118"/>
  <c r="L39" i="118" s="1"/>
  <c r="M39" i="118" s="1"/>
  <c r="K39" i="116"/>
  <c r="L39" i="116" s="1"/>
  <c r="K39" i="114"/>
  <c r="L39" i="114" s="1"/>
  <c r="K46" i="113"/>
  <c r="L46" i="113" s="1"/>
  <c r="K46" i="119"/>
  <c r="L46" i="119" s="1"/>
  <c r="K46" i="117"/>
  <c r="L46" i="117" s="1"/>
  <c r="K46" i="115"/>
  <c r="L46" i="115" s="1"/>
  <c r="M46" i="115" s="1"/>
  <c r="K54" i="33"/>
  <c r="K54" i="120"/>
  <c r="L54" i="120" s="1"/>
  <c r="M54" i="120" s="1"/>
  <c r="K54" i="118"/>
  <c r="L54" i="118" s="1"/>
  <c r="M54" i="118" s="1"/>
  <c r="K54" i="116"/>
  <c r="L54" i="116" s="1"/>
  <c r="K54" i="114"/>
  <c r="L54" i="114" s="1"/>
  <c r="K52" i="113"/>
  <c r="L52" i="113" s="1"/>
  <c r="K52" i="119"/>
  <c r="L52" i="119" s="1"/>
  <c r="K52" i="117"/>
  <c r="L52" i="117" s="1"/>
  <c r="K52" i="115"/>
  <c r="L52" i="115" s="1"/>
  <c r="M52" i="115" s="1"/>
  <c r="K41" i="33"/>
  <c r="K41" i="120"/>
  <c r="L41" i="120" s="1"/>
  <c r="M41" i="120" s="1"/>
  <c r="K41" i="118"/>
  <c r="L41" i="118" s="1"/>
  <c r="M41" i="118" s="1"/>
  <c r="K41" i="116"/>
  <c r="L41" i="116" s="1"/>
  <c r="K41" i="114"/>
  <c r="L41" i="114" s="1"/>
  <c r="K38" i="113"/>
  <c r="L38" i="113" s="1"/>
  <c r="K38" i="119"/>
  <c r="L38" i="119" s="1"/>
  <c r="K38" i="117"/>
  <c r="L38" i="117" s="1"/>
  <c r="K38" i="115"/>
  <c r="L38" i="115" s="1"/>
  <c r="M38" i="115" s="1"/>
  <c r="K24" i="33"/>
  <c r="K24" i="120"/>
  <c r="L24" i="120" s="1"/>
  <c r="M24" i="120" s="1"/>
  <c r="K24" i="118"/>
  <c r="L24" i="118" s="1"/>
  <c r="M24" i="118" s="1"/>
  <c r="K24" i="116"/>
  <c r="L24" i="116" s="1"/>
  <c r="K24" i="114"/>
  <c r="L24" i="114" s="1"/>
  <c r="K21" i="113"/>
  <c r="L21" i="113" s="1"/>
  <c r="K21" i="119"/>
  <c r="L21" i="119" s="1"/>
  <c r="K21" i="117"/>
  <c r="L21" i="117" s="1"/>
  <c r="K21" i="115"/>
  <c r="L21" i="115" s="1"/>
  <c r="M21" i="115" s="1"/>
  <c r="K65" i="33"/>
  <c r="K65" i="120"/>
  <c r="L65" i="120" s="1"/>
  <c r="M65" i="120" s="1"/>
  <c r="K65" i="118"/>
  <c r="L65" i="118" s="1"/>
  <c r="M65" i="118" s="1"/>
  <c r="K65" i="116"/>
  <c r="L65" i="116" s="1"/>
  <c r="K65" i="114"/>
  <c r="L65" i="114" s="1"/>
  <c r="K73" i="113"/>
  <c r="L73" i="113" s="1"/>
  <c r="K73" i="119"/>
  <c r="L73" i="119" s="1"/>
  <c r="K73" i="117"/>
  <c r="L73" i="117" s="1"/>
  <c r="K73" i="115"/>
  <c r="L73" i="115" s="1"/>
  <c r="M73" i="115" s="1"/>
  <c r="K18" i="33"/>
  <c r="K18" i="120"/>
  <c r="L18" i="120" s="1"/>
  <c r="M18" i="120" s="1"/>
  <c r="K18" i="118"/>
  <c r="L18" i="118" s="1"/>
  <c r="M18" i="118" s="1"/>
  <c r="K18" i="116"/>
  <c r="L18" i="116" s="1"/>
  <c r="K18" i="114"/>
  <c r="L18" i="114" s="1"/>
  <c r="K47" i="113"/>
  <c r="L47" i="113" s="1"/>
  <c r="K47" i="119"/>
  <c r="L47" i="119" s="1"/>
  <c r="K47" i="117"/>
  <c r="L47" i="117" s="1"/>
  <c r="K47" i="115"/>
  <c r="L47" i="115" s="1"/>
  <c r="M47" i="115" s="1"/>
  <c r="K25" i="33"/>
  <c r="K25" i="120"/>
  <c r="L25" i="120" s="1"/>
  <c r="M25" i="120" s="1"/>
  <c r="K25" i="118"/>
  <c r="L25" i="118" s="1"/>
  <c r="M25" i="118" s="1"/>
  <c r="K25" i="116"/>
  <c r="L25" i="116" s="1"/>
  <c r="K25" i="114"/>
  <c r="L25" i="114" s="1"/>
  <c r="K55" i="113"/>
  <c r="L55" i="113" s="1"/>
  <c r="K55" i="119"/>
  <c r="L55" i="119" s="1"/>
  <c r="K55" i="117"/>
  <c r="L55" i="117" s="1"/>
  <c r="K55" i="115"/>
  <c r="L55" i="115" s="1"/>
  <c r="M55" i="115" s="1"/>
  <c r="K59" i="33"/>
  <c r="K59" i="120"/>
  <c r="L59" i="120" s="1"/>
  <c r="M59" i="120" s="1"/>
  <c r="K59" i="118"/>
  <c r="L59" i="118" s="1"/>
  <c r="M59" i="118" s="1"/>
  <c r="K59" i="116"/>
  <c r="L59" i="116" s="1"/>
  <c r="K59" i="114"/>
  <c r="L59" i="114" s="1"/>
  <c r="K74" i="113"/>
  <c r="L74" i="113" s="1"/>
  <c r="K74" i="119"/>
  <c r="L74" i="119" s="1"/>
  <c r="K74" i="117"/>
  <c r="L74" i="117" s="1"/>
  <c r="K74" i="115"/>
  <c r="L74" i="115" s="1"/>
  <c r="M74" i="115" s="1"/>
  <c r="K33" i="33"/>
  <c r="K33" i="120"/>
  <c r="L33" i="120" s="1"/>
  <c r="M33" i="120" s="1"/>
  <c r="K33" i="118"/>
  <c r="L33" i="118" s="1"/>
  <c r="M33" i="118" s="1"/>
  <c r="K33" i="116"/>
  <c r="L33" i="116" s="1"/>
  <c r="K33" i="114"/>
  <c r="L33" i="114" s="1"/>
  <c r="K50" i="113"/>
  <c r="L50" i="113" s="1"/>
  <c r="K50" i="119"/>
  <c r="L50" i="119" s="1"/>
  <c r="K50" i="117"/>
  <c r="L50" i="117" s="1"/>
  <c r="K50" i="115"/>
  <c r="L50" i="115" s="1"/>
  <c r="M50" i="115" s="1"/>
  <c r="K49" i="33"/>
  <c r="K49" i="120"/>
  <c r="L49" i="120" s="1"/>
  <c r="M49" i="120" s="1"/>
  <c r="K49" i="118"/>
  <c r="L49" i="118" s="1"/>
  <c r="M49" i="118" s="1"/>
  <c r="K49" i="116"/>
  <c r="L49" i="116" s="1"/>
  <c r="K49" i="114"/>
  <c r="L49" i="114" s="1"/>
  <c r="K37" i="113"/>
  <c r="L37" i="113" s="1"/>
  <c r="K37" i="119"/>
  <c r="L37" i="119" s="1"/>
  <c r="K37" i="117"/>
  <c r="L37" i="117" s="1"/>
  <c r="K37" i="115"/>
  <c r="L37" i="115" s="1"/>
  <c r="M37" i="115" s="1"/>
  <c r="K14" i="33"/>
  <c r="K14" i="120"/>
  <c r="L14" i="120" s="1"/>
  <c r="M14" i="120" s="1"/>
  <c r="K14" i="118"/>
  <c r="L14" i="118" s="1"/>
  <c r="M14" i="118" s="1"/>
  <c r="K14" i="116"/>
  <c r="L14" i="116" s="1"/>
  <c r="K14" i="114"/>
  <c r="L14" i="114" s="1"/>
  <c r="K72" i="113"/>
  <c r="L72" i="113" s="1"/>
  <c r="K72" i="119"/>
  <c r="L72" i="119" s="1"/>
  <c r="K72" i="117"/>
  <c r="L72" i="117" s="1"/>
  <c r="K72" i="115"/>
  <c r="L72" i="115" s="1"/>
  <c r="M72" i="115" s="1"/>
  <c r="K63" i="33"/>
  <c r="K63" i="120"/>
  <c r="L63" i="120" s="1"/>
  <c r="M63" i="120" s="1"/>
  <c r="K63" i="118"/>
  <c r="L63" i="118" s="1"/>
  <c r="M63" i="118" s="1"/>
  <c r="K63" i="116"/>
  <c r="L63" i="116" s="1"/>
  <c r="K63" i="114"/>
  <c r="L63" i="114" s="1"/>
  <c r="K35" i="113"/>
  <c r="L35" i="113" s="1"/>
  <c r="K35" i="119"/>
  <c r="L35" i="119" s="1"/>
  <c r="K35" i="117"/>
  <c r="L35" i="117" s="1"/>
  <c r="K35" i="115"/>
  <c r="L35" i="115" s="1"/>
  <c r="M35" i="115" s="1"/>
  <c r="K75" i="33"/>
  <c r="K75" i="120"/>
  <c r="L75" i="120" s="1"/>
  <c r="M75" i="120" s="1"/>
  <c r="K75" i="118"/>
  <c r="L75" i="118" s="1"/>
  <c r="M75" i="118" s="1"/>
  <c r="K75" i="116"/>
  <c r="L75" i="116" s="1"/>
  <c r="K75" i="114"/>
  <c r="L75" i="114" s="1"/>
  <c r="K68" i="113"/>
  <c r="L68" i="113" s="1"/>
  <c r="K68" i="119"/>
  <c r="L68" i="119" s="1"/>
  <c r="K68" i="117"/>
  <c r="L68" i="117" s="1"/>
  <c r="K68" i="115"/>
  <c r="L68" i="115" s="1"/>
  <c r="M68" i="115" s="1"/>
  <c r="K36" i="33"/>
  <c r="K36" i="120"/>
  <c r="L36" i="120" s="1"/>
  <c r="M36" i="120" s="1"/>
  <c r="K36" i="118"/>
  <c r="L36" i="118" s="1"/>
  <c r="M36" i="118" s="1"/>
  <c r="K36" i="116"/>
  <c r="L36" i="116" s="1"/>
  <c r="K36" i="114"/>
  <c r="L36" i="114" s="1"/>
  <c r="K13" i="113"/>
  <c r="L13" i="113" s="1"/>
  <c r="K13" i="119"/>
  <c r="L13" i="119" s="1"/>
  <c r="K13" i="117"/>
  <c r="L13" i="117" s="1"/>
  <c r="K13" i="115"/>
  <c r="L13" i="115" s="1"/>
  <c r="M13" i="115" s="1"/>
  <c r="K62" i="120"/>
  <c r="L62" i="120" s="1"/>
  <c r="M62" i="120" s="1"/>
  <c r="K62" i="118"/>
  <c r="L62" i="118" s="1"/>
  <c r="M62" i="118" s="1"/>
  <c r="K62" i="116"/>
  <c r="L62" i="116" s="1"/>
  <c r="K62" i="114"/>
  <c r="L62" i="114" s="1"/>
  <c r="K11" i="113"/>
  <c r="L11" i="113" s="1"/>
  <c r="K11" i="119"/>
  <c r="L11" i="119" s="1"/>
  <c r="K11" i="117"/>
  <c r="L11" i="117" s="1"/>
  <c r="K11" i="115"/>
  <c r="L11" i="115" s="1"/>
  <c r="M11" i="115" s="1"/>
  <c r="K66" i="33"/>
  <c r="K66" i="120"/>
  <c r="L66" i="120" s="1"/>
  <c r="M66" i="120" s="1"/>
  <c r="K66" i="118"/>
  <c r="L66" i="118" s="1"/>
  <c r="M66" i="118" s="1"/>
  <c r="K66" i="116"/>
  <c r="L66" i="116" s="1"/>
  <c r="K66" i="114"/>
  <c r="L66" i="114" s="1"/>
  <c r="K45" i="113"/>
  <c r="L45" i="113" s="1"/>
  <c r="K45" i="119"/>
  <c r="L45" i="119" s="1"/>
  <c r="K45" i="117"/>
  <c r="L45" i="117" s="1"/>
  <c r="K45" i="115"/>
  <c r="L45" i="115" s="1"/>
  <c r="M45" i="115" s="1"/>
  <c r="K40" i="113"/>
  <c r="L40" i="113" s="1"/>
  <c r="K40" i="119"/>
  <c r="L40" i="119" s="1"/>
  <c r="K40" i="117"/>
  <c r="L40" i="117" s="1"/>
  <c r="K40" i="115"/>
  <c r="L40" i="115" s="1"/>
  <c r="M40" i="115" s="1"/>
  <c r="K17" i="33"/>
  <c r="K17" i="120"/>
  <c r="L17" i="120" s="1"/>
  <c r="M17" i="120" s="1"/>
  <c r="K17" i="118"/>
  <c r="L17" i="118" s="1"/>
  <c r="M17" i="118" s="1"/>
  <c r="K17" i="116"/>
  <c r="L17" i="116" s="1"/>
  <c r="K17" i="114"/>
  <c r="L17" i="114" s="1"/>
  <c r="K39" i="113"/>
  <c r="L39" i="113" s="1"/>
  <c r="K39" i="119"/>
  <c r="L39" i="119" s="1"/>
  <c r="K39" i="117"/>
  <c r="L39" i="117" s="1"/>
  <c r="K39" i="115"/>
  <c r="L39" i="115" s="1"/>
  <c r="M39" i="115" s="1"/>
  <c r="K46" i="33"/>
  <c r="K46" i="120"/>
  <c r="L46" i="120" s="1"/>
  <c r="M46" i="120" s="1"/>
  <c r="K46" i="118"/>
  <c r="L46" i="118" s="1"/>
  <c r="M46" i="118" s="1"/>
  <c r="K46" i="116"/>
  <c r="L46" i="116" s="1"/>
  <c r="K46" i="114"/>
  <c r="L46" i="114" s="1"/>
  <c r="K54" i="113"/>
  <c r="L54" i="113" s="1"/>
  <c r="K54" i="119"/>
  <c r="L54" i="119" s="1"/>
  <c r="K54" i="117"/>
  <c r="L54" i="117" s="1"/>
  <c r="K54" i="115"/>
  <c r="L54" i="115" s="1"/>
  <c r="M54" i="115" s="1"/>
  <c r="K52" i="33"/>
  <c r="K52" i="120"/>
  <c r="L52" i="120" s="1"/>
  <c r="M52" i="120" s="1"/>
  <c r="K52" i="118"/>
  <c r="L52" i="118" s="1"/>
  <c r="M52" i="118" s="1"/>
  <c r="K52" i="116"/>
  <c r="L52" i="116" s="1"/>
  <c r="K52" i="114"/>
  <c r="L52" i="114" s="1"/>
  <c r="K41" i="113"/>
  <c r="L41" i="113" s="1"/>
  <c r="K41" i="119"/>
  <c r="L41" i="119" s="1"/>
  <c r="K41" i="117"/>
  <c r="L41" i="117" s="1"/>
  <c r="K41" i="115"/>
  <c r="L41" i="115" s="1"/>
  <c r="M41" i="115" s="1"/>
  <c r="K38" i="33"/>
  <c r="K38" i="120"/>
  <c r="L38" i="120" s="1"/>
  <c r="M38" i="120" s="1"/>
  <c r="K38" i="118"/>
  <c r="L38" i="118" s="1"/>
  <c r="M38" i="118" s="1"/>
  <c r="K38" i="116"/>
  <c r="L38" i="116" s="1"/>
  <c r="K38" i="114"/>
  <c r="L38" i="114" s="1"/>
  <c r="K24" i="113"/>
  <c r="L24" i="113" s="1"/>
  <c r="K24" i="119"/>
  <c r="L24" i="119" s="1"/>
  <c r="K24" i="117"/>
  <c r="L24" i="117" s="1"/>
  <c r="K24" i="115"/>
  <c r="L24" i="115" s="1"/>
  <c r="M24" i="115" s="1"/>
  <c r="K21" i="33"/>
  <c r="K21" i="120"/>
  <c r="L21" i="120" s="1"/>
  <c r="M21" i="120" s="1"/>
  <c r="K21" i="118"/>
  <c r="L21" i="118" s="1"/>
  <c r="M21" i="118" s="1"/>
  <c r="K21" i="116"/>
  <c r="L21" i="116" s="1"/>
  <c r="K21" i="114"/>
  <c r="L21" i="114" s="1"/>
  <c r="K65" i="113"/>
  <c r="L65" i="113" s="1"/>
  <c r="K65" i="119"/>
  <c r="L65" i="119" s="1"/>
  <c r="K65" i="117"/>
  <c r="L65" i="117" s="1"/>
  <c r="K65" i="115"/>
  <c r="L65" i="115" s="1"/>
  <c r="M65" i="115" s="1"/>
  <c r="K73" i="33"/>
  <c r="K73" i="120"/>
  <c r="L73" i="120" s="1"/>
  <c r="M73" i="120" s="1"/>
  <c r="K73" i="118"/>
  <c r="L73" i="118" s="1"/>
  <c r="M73" i="118" s="1"/>
  <c r="K73" i="116"/>
  <c r="L73" i="116" s="1"/>
  <c r="K73" i="114"/>
  <c r="L73" i="114" s="1"/>
  <c r="K18" i="113"/>
  <c r="L18" i="113" s="1"/>
  <c r="K18" i="119"/>
  <c r="L18" i="119" s="1"/>
  <c r="K18" i="117"/>
  <c r="L18" i="117" s="1"/>
  <c r="K18" i="115"/>
  <c r="L18" i="115" s="1"/>
  <c r="M18" i="115" s="1"/>
  <c r="K47" i="33"/>
  <c r="K47" i="120"/>
  <c r="L47" i="120" s="1"/>
  <c r="M47" i="120" s="1"/>
  <c r="K47" i="118"/>
  <c r="L47" i="118" s="1"/>
  <c r="M47" i="118" s="1"/>
  <c r="K47" i="116"/>
  <c r="L47" i="116" s="1"/>
  <c r="K47" i="114"/>
  <c r="L47" i="114" s="1"/>
  <c r="K25" i="113"/>
  <c r="L25" i="113" s="1"/>
  <c r="K25" i="119"/>
  <c r="L25" i="119" s="1"/>
  <c r="K25" i="117"/>
  <c r="L25" i="117" s="1"/>
  <c r="K25" i="115"/>
  <c r="L25" i="115" s="1"/>
  <c r="M25" i="115" s="1"/>
  <c r="K55" i="33"/>
  <c r="K55" i="120"/>
  <c r="L55" i="120" s="1"/>
  <c r="M55" i="120" s="1"/>
  <c r="K55" i="118"/>
  <c r="L55" i="118" s="1"/>
  <c r="M55" i="118" s="1"/>
  <c r="K55" i="116"/>
  <c r="L55" i="116" s="1"/>
  <c r="K55" i="114"/>
  <c r="L55" i="114" s="1"/>
  <c r="K59" i="113"/>
  <c r="L59" i="113" s="1"/>
  <c r="K59" i="119"/>
  <c r="L59" i="119" s="1"/>
  <c r="K59" i="117"/>
  <c r="L59" i="117" s="1"/>
  <c r="K59" i="115"/>
  <c r="L59" i="115" s="1"/>
  <c r="M59" i="115" s="1"/>
  <c r="K74" i="33"/>
  <c r="K74" i="120"/>
  <c r="L74" i="120" s="1"/>
  <c r="M74" i="120" s="1"/>
  <c r="K74" i="118"/>
  <c r="L74" i="118" s="1"/>
  <c r="M74" i="118" s="1"/>
  <c r="K74" i="116"/>
  <c r="L74" i="116" s="1"/>
  <c r="K74" i="114"/>
  <c r="L74" i="114" s="1"/>
  <c r="K33" i="113"/>
  <c r="L33" i="113" s="1"/>
  <c r="K33" i="119"/>
  <c r="L33" i="119" s="1"/>
  <c r="K33" i="117"/>
  <c r="L33" i="117" s="1"/>
  <c r="K33" i="115"/>
  <c r="L33" i="115" s="1"/>
  <c r="M33" i="115" s="1"/>
  <c r="K50" i="33"/>
  <c r="K50" i="120"/>
  <c r="L50" i="120" s="1"/>
  <c r="M50" i="120" s="1"/>
  <c r="K50" i="118"/>
  <c r="L50" i="118" s="1"/>
  <c r="M50" i="118" s="1"/>
  <c r="K50" i="116"/>
  <c r="L50" i="116" s="1"/>
  <c r="K50" i="114"/>
  <c r="L50" i="114" s="1"/>
  <c r="K49" i="113"/>
  <c r="L49" i="113" s="1"/>
  <c r="K49" i="119"/>
  <c r="L49" i="119" s="1"/>
  <c r="K49" i="117"/>
  <c r="L49" i="117" s="1"/>
  <c r="K49" i="115"/>
  <c r="L49" i="115" s="1"/>
  <c r="M49" i="115" s="1"/>
  <c r="K37" i="33"/>
  <c r="K37" i="120"/>
  <c r="L37" i="120" s="1"/>
  <c r="M37" i="120" s="1"/>
  <c r="K37" i="118"/>
  <c r="L37" i="118" s="1"/>
  <c r="M37" i="118" s="1"/>
  <c r="K37" i="116"/>
  <c r="L37" i="116" s="1"/>
  <c r="K37" i="114"/>
  <c r="L37" i="114" s="1"/>
  <c r="K14" i="113"/>
  <c r="L14" i="113" s="1"/>
  <c r="K14" i="119"/>
  <c r="L14" i="119" s="1"/>
  <c r="K14" i="117"/>
  <c r="L14" i="117" s="1"/>
  <c r="K14" i="115"/>
  <c r="L14" i="115" s="1"/>
  <c r="M14" i="115" s="1"/>
  <c r="K72" i="120"/>
  <c r="L72" i="120" s="1"/>
  <c r="M72" i="120" s="1"/>
  <c r="K72" i="118"/>
  <c r="L72" i="118" s="1"/>
  <c r="M72" i="118" s="1"/>
  <c r="K72" i="116"/>
  <c r="L72" i="116" s="1"/>
  <c r="K72" i="114"/>
  <c r="L72" i="114" s="1"/>
  <c r="K63" i="113"/>
  <c r="L63" i="113" s="1"/>
  <c r="K63" i="119"/>
  <c r="L63" i="119" s="1"/>
  <c r="K63" i="117"/>
  <c r="L63" i="117" s="1"/>
  <c r="K63" i="115"/>
  <c r="L63" i="115" s="1"/>
  <c r="M63" i="115" s="1"/>
  <c r="K35" i="33"/>
  <c r="K35" i="120"/>
  <c r="L35" i="120" s="1"/>
  <c r="M35" i="120" s="1"/>
  <c r="K35" i="118"/>
  <c r="L35" i="118" s="1"/>
  <c r="M35" i="118" s="1"/>
  <c r="K35" i="116"/>
  <c r="L35" i="116" s="1"/>
  <c r="K35" i="114"/>
  <c r="L35" i="114" s="1"/>
  <c r="K75" i="113"/>
  <c r="L75" i="113" s="1"/>
  <c r="K75" i="119"/>
  <c r="L75" i="119" s="1"/>
  <c r="K75" i="117"/>
  <c r="L75" i="117" s="1"/>
  <c r="K75" i="115"/>
  <c r="L75" i="115" s="1"/>
  <c r="M75" i="115" s="1"/>
  <c r="K68" i="33"/>
  <c r="K68" i="120"/>
  <c r="L68" i="120" s="1"/>
  <c r="M68" i="120" s="1"/>
  <c r="K68" i="118"/>
  <c r="L68" i="118" s="1"/>
  <c r="M68" i="118" s="1"/>
  <c r="K68" i="116"/>
  <c r="L68" i="116" s="1"/>
  <c r="K68" i="114"/>
  <c r="L68" i="114" s="1"/>
  <c r="K36" i="113"/>
  <c r="L36" i="113" s="1"/>
  <c r="K36" i="119"/>
  <c r="L36" i="119" s="1"/>
  <c r="K36" i="117"/>
  <c r="L36" i="117" s="1"/>
  <c r="K36" i="115"/>
  <c r="L36" i="115" s="1"/>
  <c r="M36" i="115" s="1"/>
  <c r="K13" i="33"/>
  <c r="K13" i="120"/>
  <c r="L13" i="120" s="1"/>
  <c r="M13" i="120" s="1"/>
  <c r="K13" i="118"/>
  <c r="L13" i="118" s="1"/>
  <c r="M13" i="118" s="1"/>
  <c r="K13" i="116"/>
  <c r="L13" i="116" s="1"/>
  <c r="K13" i="114"/>
  <c r="L13" i="114" s="1"/>
  <c r="K62" i="113"/>
  <c r="L62" i="113" s="1"/>
  <c r="K62" i="119"/>
  <c r="L62" i="119" s="1"/>
  <c r="K62" i="117"/>
  <c r="L62" i="117" s="1"/>
  <c r="K62" i="115"/>
  <c r="L62" i="115" s="1"/>
  <c r="M62" i="115" s="1"/>
  <c r="K11" i="33"/>
  <c r="K11" i="120"/>
  <c r="L11" i="120" s="1"/>
  <c r="M11" i="120" s="1"/>
  <c r="K11" i="118"/>
  <c r="L11" i="118" s="1"/>
  <c r="M11" i="118" s="1"/>
  <c r="K11" i="116"/>
  <c r="L11" i="116" s="1"/>
  <c r="K11" i="114"/>
  <c r="L11" i="114" s="1"/>
  <c r="K66" i="113"/>
  <c r="L66" i="113" s="1"/>
  <c r="K66" i="119"/>
  <c r="L66" i="119" s="1"/>
  <c r="K66" i="117"/>
  <c r="L66" i="117" s="1"/>
  <c r="K66" i="115"/>
  <c r="L66" i="115" s="1"/>
  <c r="M66" i="115" s="1"/>
  <c r="K45" i="33"/>
  <c r="K45" i="120"/>
  <c r="L45" i="120" s="1"/>
  <c r="M45" i="120" s="1"/>
  <c r="K45" i="118"/>
  <c r="L45" i="118" s="1"/>
  <c r="M45" i="118" s="1"/>
  <c r="K45" i="116"/>
  <c r="L45" i="116" s="1"/>
  <c r="K45" i="114"/>
  <c r="L45" i="114" s="1"/>
  <c r="AJ71" i="31" l="1"/>
  <c r="AJ72" i="31" s="1"/>
  <c r="AO12" i="31"/>
  <c r="AF39" i="100"/>
  <c r="AK44" i="31"/>
  <c r="AK71" i="31" s="1"/>
  <c r="M62" i="117"/>
  <c r="N62" i="117" s="1"/>
  <c r="P62" i="117" s="1"/>
  <c r="T62" i="117" s="1"/>
  <c r="T62" i="33"/>
  <c r="V62" i="33"/>
  <c r="M62" i="119"/>
  <c r="N62" i="119" s="1"/>
  <c r="P62" i="119" s="1"/>
  <c r="T62" i="119" s="1"/>
  <c r="M62" i="113"/>
  <c r="N62" i="113" s="1"/>
  <c r="P62" i="113" s="1"/>
  <c r="T62" i="113" s="1"/>
  <c r="P62" i="33"/>
  <c r="M13" i="114"/>
  <c r="N13" i="114" s="1"/>
  <c r="P13" i="114" s="1"/>
  <c r="T13" i="114" s="1"/>
  <c r="Q13" i="33"/>
  <c r="M13" i="116"/>
  <c r="N13" i="116" s="1"/>
  <c r="P13" i="116" s="1"/>
  <c r="T13" i="116" s="1"/>
  <c r="S13" i="33"/>
  <c r="N13" i="118"/>
  <c r="P13" i="118" s="1"/>
  <c r="T13" i="118" s="1"/>
  <c r="U13" i="33"/>
  <c r="N13" i="120"/>
  <c r="P13" i="120" s="1"/>
  <c r="W13" i="33"/>
  <c r="R75" i="33"/>
  <c r="N75" i="115"/>
  <c r="P75" i="115" s="1"/>
  <c r="T75" i="115" s="1"/>
  <c r="M75" i="117"/>
  <c r="N75" i="117" s="1"/>
  <c r="P75" i="117" s="1"/>
  <c r="T75" i="117" s="1"/>
  <c r="T75" i="33"/>
  <c r="V75" i="33"/>
  <c r="M75" i="119"/>
  <c r="N75" i="119" s="1"/>
  <c r="P75" i="119" s="1"/>
  <c r="T75" i="119" s="1"/>
  <c r="P75" i="33"/>
  <c r="M75" i="113"/>
  <c r="N75" i="113" s="1"/>
  <c r="P75" i="113" s="1"/>
  <c r="T75" i="113" s="1"/>
  <c r="Q35" i="33"/>
  <c r="M35" i="114"/>
  <c r="N35" i="114" s="1"/>
  <c r="P35" i="114" s="1"/>
  <c r="T35" i="114" s="1"/>
  <c r="M35" i="116"/>
  <c r="N35" i="116" s="1"/>
  <c r="P35" i="116" s="1"/>
  <c r="T35" i="116" s="1"/>
  <c r="S35" i="33"/>
  <c r="U35" i="33"/>
  <c r="N35" i="118"/>
  <c r="P35" i="118" s="1"/>
  <c r="T35" i="118" s="1"/>
  <c r="W35" i="33"/>
  <c r="N35" i="120"/>
  <c r="P35" i="120" s="1"/>
  <c r="N14" i="115"/>
  <c r="P14" i="115" s="1"/>
  <c r="T14" i="115" s="1"/>
  <c r="R14" i="33"/>
  <c r="M14" i="117"/>
  <c r="N14" i="117" s="1"/>
  <c r="P14" i="117" s="1"/>
  <c r="T14" i="117" s="1"/>
  <c r="T14" i="33"/>
  <c r="M14" i="119"/>
  <c r="N14" i="119" s="1"/>
  <c r="P14" i="119" s="1"/>
  <c r="T14" i="119" s="1"/>
  <c r="V14" i="33"/>
  <c r="P14" i="33"/>
  <c r="M14" i="113"/>
  <c r="N14" i="113" s="1"/>
  <c r="P14" i="113" s="1"/>
  <c r="T14" i="113" s="1"/>
  <c r="M37" i="114"/>
  <c r="N37" i="114" s="1"/>
  <c r="P37" i="114" s="1"/>
  <c r="T37" i="114" s="1"/>
  <c r="Q37" i="33"/>
  <c r="M37" i="116"/>
  <c r="N37" i="116" s="1"/>
  <c r="P37" i="116" s="1"/>
  <c r="T37" i="116" s="1"/>
  <c r="S37" i="33"/>
  <c r="N37" i="118"/>
  <c r="P37" i="118" s="1"/>
  <c r="T37" i="118" s="1"/>
  <c r="U37" i="33"/>
  <c r="N37" i="120"/>
  <c r="P37" i="120" s="1"/>
  <c r="W37" i="33"/>
  <c r="N33" i="115"/>
  <c r="P33" i="115" s="1"/>
  <c r="T33" i="115" s="1"/>
  <c r="R33" i="33"/>
  <c r="T33" i="33"/>
  <c r="M33" i="117"/>
  <c r="N33" i="117" s="1"/>
  <c r="P33" i="117" s="1"/>
  <c r="T33" i="117" s="1"/>
  <c r="M33" i="119"/>
  <c r="N33" i="119" s="1"/>
  <c r="P33" i="119" s="1"/>
  <c r="T33" i="119" s="1"/>
  <c r="V33" i="33"/>
  <c r="P33" i="33"/>
  <c r="M33" i="113"/>
  <c r="N33" i="113" s="1"/>
  <c r="P33" i="113" s="1"/>
  <c r="T33" i="113" s="1"/>
  <c r="M74" i="114"/>
  <c r="N74" i="114" s="1"/>
  <c r="P74" i="114" s="1"/>
  <c r="T74" i="114" s="1"/>
  <c r="Q74" i="33"/>
  <c r="M74" i="116"/>
  <c r="N74" i="116" s="1"/>
  <c r="P74" i="116" s="1"/>
  <c r="T74" i="116" s="1"/>
  <c r="S74" i="33"/>
  <c r="U74" i="33"/>
  <c r="N74" i="118"/>
  <c r="P74" i="118" s="1"/>
  <c r="T74" i="118" s="1"/>
  <c r="N74" i="120"/>
  <c r="P74" i="120" s="1"/>
  <c r="W74" i="33"/>
  <c r="R25" i="33"/>
  <c r="N25" i="115"/>
  <c r="P25" i="115" s="1"/>
  <c r="T25" i="115" s="1"/>
  <c r="M25" i="117"/>
  <c r="N25" i="117" s="1"/>
  <c r="P25" i="117" s="1"/>
  <c r="T25" i="117" s="1"/>
  <c r="T25" i="33"/>
  <c r="M25" i="119"/>
  <c r="N25" i="119" s="1"/>
  <c r="P25" i="119" s="1"/>
  <c r="T25" i="119" s="1"/>
  <c r="V25" i="33"/>
  <c r="P25" i="33"/>
  <c r="M25" i="113"/>
  <c r="N25" i="113" s="1"/>
  <c r="P25" i="113" s="1"/>
  <c r="T25" i="113" s="1"/>
  <c r="M47" i="114"/>
  <c r="N47" i="114" s="1"/>
  <c r="P47" i="114" s="1"/>
  <c r="T47" i="114" s="1"/>
  <c r="Q47" i="33"/>
  <c r="S47" i="33"/>
  <c r="M47" i="116"/>
  <c r="N47" i="116" s="1"/>
  <c r="P47" i="116" s="1"/>
  <c r="T47" i="116" s="1"/>
  <c r="U47" i="33"/>
  <c r="N47" i="118"/>
  <c r="P47" i="118" s="1"/>
  <c r="T47" i="118" s="1"/>
  <c r="W47" i="33"/>
  <c r="N47" i="120"/>
  <c r="P47" i="120" s="1"/>
  <c r="R65" i="33"/>
  <c r="N65" i="115"/>
  <c r="P65" i="115" s="1"/>
  <c r="T65" i="115" s="1"/>
  <c r="M65" i="117"/>
  <c r="N65" i="117" s="1"/>
  <c r="P65" i="117" s="1"/>
  <c r="T65" i="117" s="1"/>
  <c r="T65" i="33"/>
  <c r="V65" i="33"/>
  <c r="M65" i="119"/>
  <c r="N65" i="119" s="1"/>
  <c r="P65" i="119" s="1"/>
  <c r="T65" i="119" s="1"/>
  <c r="P65" i="33"/>
  <c r="M65" i="113"/>
  <c r="N65" i="113" s="1"/>
  <c r="P65" i="113" s="1"/>
  <c r="T65" i="113" s="1"/>
  <c r="M21" i="114"/>
  <c r="N21" i="114" s="1"/>
  <c r="P21" i="114" s="1"/>
  <c r="T21" i="114" s="1"/>
  <c r="Q21" i="33"/>
  <c r="M21" i="116"/>
  <c r="N21" i="116" s="1"/>
  <c r="P21" i="116" s="1"/>
  <c r="T21" i="116" s="1"/>
  <c r="S21" i="33"/>
  <c r="U21" i="33"/>
  <c r="N21" i="118"/>
  <c r="P21" i="118" s="1"/>
  <c r="T21" i="118" s="1"/>
  <c r="N21" i="120"/>
  <c r="P21" i="120" s="1"/>
  <c r="W21" i="33"/>
  <c r="N41" i="115"/>
  <c r="P41" i="115" s="1"/>
  <c r="T41" i="115" s="1"/>
  <c r="R41" i="33"/>
  <c r="M41" i="117"/>
  <c r="N41" i="117" s="1"/>
  <c r="P41" i="117" s="1"/>
  <c r="T41" i="117" s="1"/>
  <c r="T41" i="33"/>
  <c r="M41" i="119"/>
  <c r="N41" i="119" s="1"/>
  <c r="P41" i="119" s="1"/>
  <c r="T41" i="119" s="1"/>
  <c r="V41" i="33"/>
  <c r="P41" i="33"/>
  <c r="M41" i="113"/>
  <c r="N41" i="113" s="1"/>
  <c r="P41" i="113" s="1"/>
  <c r="T41" i="113" s="1"/>
  <c r="M52" i="114"/>
  <c r="N52" i="114" s="1"/>
  <c r="P52" i="114" s="1"/>
  <c r="T52" i="114" s="1"/>
  <c r="Q52" i="33"/>
  <c r="M52" i="116"/>
  <c r="N52" i="116" s="1"/>
  <c r="P52" i="116" s="1"/>
  <c r="T52" i="116" s="1"/>
  <c r="S52" i="33"/>
  <c r="U52" i="33"/>
  <c r="N52" i="118"/>
  <c r="P52" i="118" s="1"/>
  <c r="T52" i="118" s="1"/>
  <c r="N52" i="120"/>
  <c r="P52" i="120" s="1"/>
  <c r="W52" i="33"/>
  <c r="R54" i="33"/>
  <c r="N54" i="115"/>
  <c r="P54" i="115" s="1"/>
  <c r="T54" i="115" s="1"/>
  <c r="M54" i="117"/>
  <c r="N54" i="117" s="1"/>
  <c r="P54" i="117" s="1"/>
  <c r="T54" i="117" s="1"/>
  <c r="T54" i="33"/>
  <c r="M54" i="119"/>
  <c r="N54" i="119" s="1"/>
  <c r="P54" i="119" s="1"/>
  <c r="T54" i="119" s="1"/>
  <c r="V54" i="33"/>
  <c r="P54" i="33"/>
  <c r="M54" i="113"/>
  <c r="N54" i="113" s="1"/>
  <c r="P54" i="113" s="1"/>
  <c r="T54" i="113" s="1"/>
  <c r="M46" i="114"/>
  <c r="N46" i="114" s="1"/>
  <c r="P46" i="114" s="1"/>
  <c r="T46" i="114" s="1"/>
  <c r="Q46" i="33"/>
  <c r="M46" i="116"/>
  <c r="N46" i="116" s="1"/>
  <c r="P46" i="116" s="1"/>
  <c r="T46" i="116" s="1"/>
  <c r="S46" i="33"/>
  <c r="N46" i="118"/>
  <c r="P46" i="118" s="1"/>
  <c r="T46" i="118" s="1"/>
  <c r="U46" i="33"/>
  <c r="W46" i="33"/>
  <c r="N46" i="120"/>
  <c r="P46" i="120" s="1"/>
  <c r="R40" i="33"/>
  <c r="N40" i="115"/>
  <c r="P40" i="115" s="1"/>
  <c r="T40" i="115" s="1"/>
  <c r="T40" i="33"/>
  <c r="M40" i="117"/>
  <c r="N40" i="117" s="1"/>
  <c r="P40" i="117" s="1"/>
  <c r="T40" i="117" s="1"/>
  <c r="M40" i="119"/>
  <c r="N40" i="119" s="1"/>
  <c r="P40" i="119" s="1"/>
  <c r="T40" i="119" s="1"/>
  <c r="V40" i="33"/>
  <c r="M40" i="113"/>
  <c r="N40" i="113" s="1"/>
  <c r="P40" i="113" s="1"/>
  <c r="T40" i="113" s="1"/>
  <c r="P40" i="33"/>
  <c r="R45" i="33"/>
  <c r="N45" i="115"/>
  <c r="P45" i="115" s="1"/>
  <c r="T45" i="115" s="1"/>
  <c r="T45" i="33"/>
  <c r="M45" i="117"/>
  <c r="N45" i="117" s="1"/>
  <c r="P45" i="117" s="1"/>
  <c r="T45" i="117" s="1"/>
  <c r="V45" i="33"/>
  <c r="M45" i="119"/>
  <c r="N45" i="119" s="1"/>
  <c r="P45" i="119" s="1"/>
  <c r="T45" i="119" s="1"/>
  <c r="P45" i="33"/>
  <c r="M45" i="113"/>
  <c r="N45" i="113" s="1"/>
  <c r="P45" i="113" s="1"/>
  <c r="T45" i="113" s="1"/>
  <c r="M66" i="114"/>
  <c r="N66" i="114" s="1"/>
  <c r="P66" i="114" s="1"/>
  <c r="T66" i="114" s="1"/>
  <c r="Q66" i="33"/>
  <c r="M66" i="116"/>
  <c r="N66" i="116" s="1"/>
  <c r="P66" i="116" s="1"/>
  <c r="T66" i="116" s="1"/>
  <c r="S66" i="33"/>
  <c r="U66" i="33"/>
  <c r="N66" i="118"/>
  <c r="P66" i="118" s="1"/>
  <c r="T66" i="118" s="1"/>
  <c r="N66" i="120"/>
  <c r="P66" i="120" s="1"/>
  <c r="W66" i="33"/>
  <c r="R13" i="33"/>
  <c r="N13" i="115"/>
  <c r="P13" i="115" s="1"/>
  <c r="T13" i="115" s="1"/>
  <c r="M13" i="117"/>
  <c r="N13" i="117" s="1"/>
  <c r="P13" i="117" s="1"/>
  <c r="T13" i="117" s="1"/>
  <c r="T13" i="33"/>
  <c r="M13" i="119"/>
  <c r="N13" i="119" s="1"/>
  <c r="P13" i="119" s="1"/>
  <c r="T13" i="119" s="1"/>
  <c r="V13" i="33"/>
  <c r="P13" i="33"/>
  <c r="M13" i="113"/>
  <c r="N13" i="113" s="1"/>
  <c r="P13" i="113" s="1"/>
  <c r="T13" i="113" s="1"/>
  <c r="M36" i="114"/>
  <c r="N36" i="114" s="1"/>
  <c r="P36" i="114" s="1"/>
  <c r="T36" i="114" s="1"/>
  <c r="Q36" i="33"/>
  <c r="M36" i="116"/>
  <c r="N36" i="116" s="1"/>
  <c r="P36" i="116" s="1"/>
  <c r="T36" i="116" s="1"/>
  <c r="S36" i="33"/>
  <c r="N36" i="118"/>
  <c r="P36" i="118" s="1"/>
  <c r="T36" i="118" s="1"/>
  <c r="U36" i="33"/>
  <c r="N36" i="120"/>
  <c r="P36" i="120" s="1"/>
  <c r="W36" i="33"/>
  <c r="R35" i="33"/>
  <c r="N35" i="115"/>
  <c r="P35" i="115" s="1"/>
  <c r="T35" i="115" s="1"/>
  <c r="T35" i="33"/>
  <c r="M35" i="117"/>
  <c r="N35" i="117" s="1"/>
  <c r="P35" i="117" s="1"/>
  <c r="T35" i="117" s="1"/>
  <c r="V35" i="33"/>
  <c r="M35" i="119"/>
  <c r="N35" i="119" s="1"/>
  <c r="P35" i="119" s="1"/>
  <c r="T35" i="119" s="1"/>
  <c r="P35" i="33"/>
  <c r="M35" i="113"/>
  <c r="N35" i="113" s="1"/>
  <c r="P35" i="113" s="1"/>
  <c r="T35" i="113" s="1"/>
  <c r="Q63" i="33"/>
  <c r="M63" i="114"/>
  <c r="N63" i="114" s="1"/>
  <c r="P63" i="114" s="1"/>
  <c r="T63" i="114" s="1"/>
  <c r="M63" i="116"/>
  <c r="N63" i="116" s="1"/>
  <c r="P63" i="116" s="1"/>
  <c r="T63" i="116" s="1"/>
  <c r="S63" i="33"/>
  <c r="U63" i="33"/>
  <c r="N63" i="118"/>
  <c r="P63" i="118" s="1"/>
  <c r="T63" i="118" s="1"/>
  <c r="N63" i="120"/>
  <c r="P63" i="120" s="1"/>
  <c r="W63" i="33"/>
  <c r="N37" i="115"/>
  <c r="P37" i="115" s="1"/>
  <c r="T37" i="115" s="1"/>
  <c r="R37" i="33"/>
  <c r="T37" i="33"/>
  <c r="M37" i="117"/>
  <c r="N37" i="117" s="1"/>
  <c r="P37" i="117" s="1"/>
  <c r="T37" i="117" s="1"/>
  <c r="V37" i="33"/>
  <c r="M37" i="119"/>
  <c r="N37" i="119" s="1"/>
  <c r="P37" i="119" s="1"/>
  <c r="T37" i="119" s="1"/>
  <c r="P37" i="33"/>
  <c r="M37" i="113"/>
  <c r="N37" i="113" s="1"/>
  <c r="P37" i="113" s="1"/>
  <c r="T37" i="113" s="1"/>
  <c r="Q49" i="33"/>
  <c r="M49" i="114"/>
  <c r="N49" i="114" s="1"/>
  <c r="P49" i="114" s="1"/>
  <c r="T49" i="114" s="1"/>
  <c r="M49" i="116"/>
  <c r="N49" i="116" s="1"/>
  <c r="P49" i="116" s="1"/>
  <c r="T49" i="116" s="1"/>
  <c r="S49" i="33"/>
  <c r="N49" i="118"/>
  <c r="P49" i="118" s="1"/>
  <c r="T49" i="118" s="1"/>
  <c r="U49" i="33"/>
  <c r="W49" i="33"/>
  <c r="N49" i="120"/>
  <c r="P49" i="120" s="1"/>
  <c r="N74" i="115"/>
  <c r="P74" i="115" s="1"/>
  <c r="T74" i="115" s="1"/>
  <c r="R74" i="33"/>
  <c r="T74" i="33"/>
  <c r="M74" i="117"/>
  <c r="N74" i="117" s="1"/>
  <c r="P74" i="117" s="1"/>
  <c r="T74" i="117" s="1"/>
  <c r="V74" i="33"/>
  <c r="M74" i="119"/>
  <c r="N74" i="119" s="1"/>
  <c r="P74" i="119" s="1"/>
  <c r="T74" i="119" s="1"/>
  <c r="M74" i="113"/>
  <c r="N74" i="113" s="1"/>
  <c r="P74" i="113" s="1"/>
  <c r="T74" i="113" s="1"/>
  <c r="P74" i="33"/>
  <c r="M59" i="114"/>
  <c r="N59" i="114" s="1"/>
  <c r="P59" i="114" s="1"/>
  <c r="T59" i="114" s="1"/>
  <c r="Q59" i="33"/>
  <c r="S59" i="33"/>
  <c r="M59" i="116"/>
  <c r="N59" i="116" s="1"/>
  <c r="P59" i="116" s="1"/>
  <c r="T59" i="116" s="1"/>
  <c r="U59" i="33"/>
  <c r="N59" i="118"/>
  <c r="P59" i="118" s="1"/>
  <c r="T59" i="118" s="1"/>
  <c r="N59" i="120"/>
  <c r="P59" i="120" s="1"/>
  <c r="W59" i="33"/>
  <c r="R47" i="33"/>
  <c r="N47" i="115"/>
  <c r="P47" i="115" s="1"/>
  <c r="T47" i="115" s="1"/>
  <c r="M47" i="117"/>
  <c r="N47" i="117" s="1"/>
  <c r="P47" i="117" s="1"/>
  <c r="T47" i="117" s="1"/>
  <c r="T47" i="33"/>
  <c r="M47" i="119"/>
  <c r="N47" i="119" s="1"/>
  <c r="P47" i="119" s="1"/>
  <c r="T47" i="119" s="1"/>
  <c r="V47" i="33"/>
  <c r="P47" i="33"/>
  <c r="M47" i="113"/>
  <c r="N47" i="113" s="1"/>
  <c r="P47" i="113" s="1"/>
  <c r="T47" i="113" s="1"/>
  <c r="M18" i="114"/>
  <c r="N18" i="114" s="1"/>
  <c r="P18" i="114" s="1"/>
  <c r="T18" i="114" s="1"/>
  <c r="Q18" i="33"/>
  <c r="M18" i="116"/>
  <c r="N18" i="116" s="1"/>
  <c r="P18" i="116" s="1"/>
  <c r="T18" i="116" s="1"/>
  <c r="S18" i="33"/>
  <c r="U18" i="33"/>
  <c r="N18" i="118"/>
  <c r="P18" i="118" s="1"/>
  <c r="T18" i="118" s="1"/>
  <c r="N18" i="120"/>
  <c r="P18" i="120" s="1"/>
  <c r="W18" i="33"/>
  <c r="N21" i="115"/>
  <c r="P21" i="115" s="1"/>
  <c r="T21" i="115" s="1"/>
  <c r="R21" i="33"/>
  <c r="M21" i="117"/>
  <c r="N21" i="117" s="1"/>
  <c r="P21" i="117" s="1"/>
  <c r="T21" i="117" s="1"/>
  <c r="T21" i="33"/>
  <c r="M21" i="119"/>
  <c r="N21" i="119" s="1"/>
  <c r="P21" i="119" s="1"/>
  <c r="T21" i="119" s="1"/>
  <c r="V21" i="33"/>
  <c r="P21" i="33"/>
  <c r="M21" i="113"/>
  <c r="N21" i="113" s="1"/>
  <c r="P21" i="113" s="1"/>
  <c r="T21" i="113" s="1"/>
  <c r="M24" i="114"/>
  <c r="N24" i="114" s="1"/>
  <c r="P24" i="114" s="1"/>
  <c r="T24" i="114" s="1"/>
  <c r="Q24" i="33"/>
  <c r="M24" i="116"/>
  <c r="N24" i="116" s="1"/>
  <c r="P24" i="116" s="1"/>
  <c r="T24" i="116" s="1"/>
  <c r="S24" i="33"/>
  <c r="U24" i="33"/>
  <c r="N24" i="118"/>
  <c r="P24" i="118" s="1"/>
  <c r="T24" i="118" s="1"/>
  <c r="N24" i="120"/>
  <c r="P24" i="120" s="1"/>
  <c r="W24" i="33"/>
  <c r="N52" i="115"/>
  <c r="P52" i="115" s="1"/>
  <c r="T52" i="115" s="1"/>
  <c r="R52" i="33"/>
  <c r="T52" i="33"/>
  <c r="M52" i="117"/>
  <c r="N52" i="117" s="1"/>
  <c r="P52" i="117" s="1"/>
  <c r="T52" i="117" s="1"/>
  <c r="V52" i="33"/>
  <c r="M52" i="119"/>
  <c r="N52" i="119" s="1"/>
  <c r="P52" i="119" s="1"/>
  <c r="T52" i="119" s="1"/>
  <c r="P52" i="33"/>
  <c r="M52" i="113"/>
  <c r="N52" i="113" s="1"/>
  <c r="P52" i="113" s="1"/>
  <c r="T52" i="113" s="1"/>
  <c r="Q54" i="33"/>
  <c r="M54" i="114"/>
  <c r="N54" i="114" s="1"/>
  <c r="P54" i="114" s="1"/>
  <c r="T54" i="114" s="1"/>
  <c r="M54" i="116"/>
  <c r="N54" i="116" s="1"/>
  <c r="P54" i="116" s="1"/>
  <c r="T54" i="116" s="1"/>
  <c r="S54" i="33"/>
  <c r="N54" i="118"/>
  <c r="P54" i="118" s="1"/>
  <c r="T54" i="118" s="1"/>
  <c r="U54" i="33"/>
  <c r="W54" i="33"/>
  <c r="N54" i="120"/>
  <c r="P54" i="120" s="1"/>
  <c r="R17" i="33"/>
  <c r="N17" i="115"/>
  <c r="P17" i="115" s="1"/>
  <c r="T17" i="115" s="1"/>
  <c r="T17" i="33"/>
  <c r="M17" i="117"/>
  <c r="N17" i="117" s="1"/>
  <c r="P17" i="117" s="1"/>
  <c r="T17" i="117" s="1"/>
  <c r="M17" i="119"/>
  <c r="N17" i="119" s="1"/>
  <c r="P17" i="119" s="1"/>
  <c r="T17" i="119" s="1"/>
  <c r="V17" i="33"/>
  <c r="P17" i="33"/>
  <c r="M17" i="113"/>
  <c r="N17" i="113" s="1"/>
  <c r="P17" i="113" s="1"/>
  <c r="T17" i="113" s="1"/>
  <c r="Q40" i="33"/>
  <c r="M40" i="114"/>
  <c r="N40" i="114" s="1"/>
  <c r="P40" i="114" s="1"/>
  <c r="T40" i="114" s="1"/>
  <c r="S40" i="33"/>
  <c r="M40" i="116"/>
  <c r="N40" i="116" s="1"/>
  <c r="P40" i="116" s="1"/>
  <c r="T40" i="116" s="1"/>
  <c r="U40" i="33"/>
  <c r="N40" i="118"/>
  <c r="P40" i="118" s="1"/>
  <c r="T40" i="118" s="1"/>
  <c r="N40" i="120"/>
  <c r="P40" i="120" s="1"/>
  <c r="W40" i="33"/>
  <c r="N62" i="115"/>
  <c r="P62" i="115" s="1"/>
  <c r="T62" i="115" s="1"/>
  <c r="R62" i="33"/>
  <c r="Q45" i="33"/>
  <c r="M45" i="114"/>
  <c r="N45" i="114" s="1"/>
  <c r="P45" i="114" s="1"/>
  <c r="T45" i="114" s="1"/>
  <c r="S45" i="33"/>
  <c r="M45" i="116"/>
  <c r="N45" i="116" s="1"/>
  <c r="P45" i="116" s="1"/>
  <c r="T45" i="116" s="1"/>
  <c r="U45" i="33"/>
  <c r="N45" i="118"/>
  <c r="P45" i="118" s="1"/>
  <c r="T45" i="118" s="1"/>
  <c r="N45" i="120"/>
  <c r="P45" i="120" s="1"/>
  <c r="W45" i="33"/>
  <c r="R66" i="33"/>
  <c r="N66" i="115"/>
  <c r="P66" i="115" s="1"/>
  <c r="T66" i="115" s="1"/>
  <c r="T66" i="33"/>
  <c r="M66" i="117"/>
  <c r="N66" i="117" s="1"/>
  <c r="P66" i="117" s="1"/>
  <c r="T66" i="117" s="1"/>
  <c r="V66" i="33"/>
  <c r="M66" i="119"/>
  <c r="N66" i="119" s="1"/>
  <c r="P66" i="119" s="1"/>
  <c r="T66" i="119" s="1"/>
  <c r="P66" i="33"/>
  <c r="M66" i="113"/>
  <c r="N66" i="113" s="1"/>
  <c r="P66" i="113" s="1"/>
  <c r="T66" i="113" s="1"/>
  <c r="M11" i="114"/>
  <c r="N11" i="114" s="1"/>
  <c r="P11" i="114" s="1"/>
  <c r="T11" i="114" s="1"/>
  <c r="Q11" i="33"/>
  <c r="M11" i="116"/>
  <c r="N11" i="116" s="1"/>
  <c r="P11" i="116" s="1"/>
  <c r="T11" i="116" s="1"/>
  <c r="S11" i="33"/>
  <c r="N11" i="118"/>
  <c r="P11" i="118" s="1"/>
  <c r="T11" i="118" s="1"/>
  <c r="U11" i="33"/>
  <c r="N11" i="120"/>
  <c r="P11" i="120" s="1"/>
  <c r="W11" i="33"/>
  <c r="N36" i="115"/>
  <c r="P36" i="115" s="1"/>
  <c r="T36" i="115" s="1"/>
  <c r="R36" i="33"/>
  <c r="T36" i="33"/>
  <c r="M36" i="117"/>
  <c r="N36" i="117" s="1"/>
  <c r="P36" i="117" s="1"/>
  <c r="T36" i="117" s="1"/>
  <c r="V36" i="33"/>
  <c r="M36" i="119"/>
  <c r="N36" i="119" s="1"/>
  <c r="P36" i="119" s="1"/>
  <c r="T36" i="119" s="1"/>
  <c r="P36" i="33"/>
  <c r="M36" i="113"/>
  <c r="N36" i="113" s="1"/>
  <c r="P36" i="113" s="1"/>
  <c r="T36" i="113" s="1"/>
  <c r="M68" i="114"/>
  <c r="N68" i="114" s="1"/>
  <c r="P68" i="114" s="1"/>
  <c r="T68" i="114" s="1"/>
  <c r="Q68" i="33"/>
  <c r="M68" i="116"/>
  <c r="N68" i="116" s="1"/>
  <c r="P68" i="116" s="1"/>
  <c r="T68" i="116" s="1"/>
  <c r="S68" i="33"/>
  <c r="U68" i="33"/>
  <c r="N68" i="118"/>
  <c r="P68" i="118" s="1"/>
  <c r="T68" i="118" s="1"/>
  <c r="W68" i="33"/>
  <c r="N68" i="120"/>
  <c r="P68" i="120" s="1"/>
  <c r="N63" i="115"/>
  <c r="P63" i="115" s="1"/>
  <c r="T63" i="115" s="1"/>
  <c r="R63" i="33"/>
  <c r="M63" i="117"/>
  <c r="N63" i="117" s="1"/>
  <c r="P63" i="117" s="1"/>
  <c r="T63" i="117" s="1"/>
  <c r="T63" i="33"/>
  <c r="M63" i="119"/>
  <c r="N63" i="119" s="1"/>
  <c r="P63" i="119" s="1"/>
  <c r="T63" i="119" s="1"/>
  <c r="V63" i="33"/>
  <c r="P63" i="33"/>
  <c r="M63" i="113"/>
  <c r="N63" i="113" s="1"/>
  <c r="P63" i="113" s="1"/>
  <c r="T63" i="113" s="1"/>
  <c r="M72" i="114"/>
  <c r="N72" i="114" s="1"/>
  <c r="P72" i="114" s="1"/>
  <c r="T72" i="114" s="1"/>
  <c r="Q72" i="33"/>
  <c r="M72" i="116"/>
  <c r="N72" i="116" s="1"/>
  <c r="P72" i="116" s="1"/>
  <c r="T72" i="116" s="1"/>
  <c r="S72" i="33"/>
  <c r="N72" i="118"/>
  <c r="P72" i="118" s="1"/>
  <c r="T72" i="118" s="1"/>
  <c r="U72" i="33"/>
  <c r="N72" i="120"/>
  <c r="P72" i="120" s="1"/>
  <c r="W72" i="33"/>
  <c r="K72" i="33"/>
  <c r="R49" i="33"/>
  <c r="N49" i="115"/>
  <c r="P49" i="115" s="1"/>
  <c r="T49" i="115" s="1"/>
  <c r="T49" i="33"/>
  <c r="M49" i="117"/>
  <c r="N49" i="117" s="1"/>
  <c r="P49" i="117" s="1"/>
  <c r="T49" i="117" s="1"/>
  <c r="V49" i="33"/>
  <c r="M49" i="119"/>
  <c r="N49" i="119" s="1"/>
  <c r="P49" i="119" s="1"/>
  <c r="T49" i="119" s="1"/>
  <c r="P49" i="33"/>
  <c r="M49" i="113"/>
  <c r="N49" i="113" s="1"/>
  <c r="P49" i="113" s="1"/>
  <c r="T49" i="113" s="1"/>
  <c r="M50" i="114"/>
  <c r="N50" i="114" s="1"/>
  <c r="P50" i="114" s="1"/>
  <c r="T50" i="114" s="1"/>
  <c r="Q50" i="33"/>
  <c r="M50" i="116"/>
  <c r="N50" i="116" s="1"/>
  <c r="P50" i="116" s="1"/>
  <c r="T50" i="116" s="1"/>
  <c r="S50" i="33"/>
  <c r="U50" i="33"/>
  <c r="N50" i="118"/>
  <c r="P50" i="118" s="1"/>
  <c r="T50" i="118" s="1"/>
  <c r="N50" i="120"/>
  <c r="P50" i="120" s="1"/>
  <c r="W50" i="33"/>
  <c r="N59" i="115"/>
  <c r="P59" i="115" s="1"/>
  <c r="T59" i="115" s="1"/>
  <c r="R59" i="33"/>
  <c r="M59" i="117"/>
  <c r="N59" i="117" s="1"/>
  <c r="P59" i="117" s="1"/>
  <c r="T59" i="117" s="1"/>
  <c r="T59" i="33"/>
  <c r="V59" i="33"/>
  <c r="M59" i="119"/>
  <c r="N59" i="119" s="1"/>
  <c r="P59" i="119" s="1"/>
  <c r="T59" i="119" s="1"/>
  <c r="P59" i="33"/>
  <c r="M59" i="113"/>
  <c r="N59" i="113" s="1"/>
  <c r="P59" i="113" s="1"/>
  <c r="T59" i="113" s="1"/>
  <c r="Q55" i="33"/>
  <c r="M55" i="114"/>
  <c r="N55" i="114" s="1"/>
  <c r="P55" i="114" s="1"/>
  <c r="T55" i="114" s="1"/>
  <c r="M55" i="116"/>
  <c r="N55" i="116" s="1"/>
  <c r="P55" i="116" s="1"/>
  <c r="T55" i="116" s="1"/>
  <c r="S55" i="33"/>
  <c r="N55" i="118"/>
  <c r="P55" i="118" s="1"/>
  <c r="T55" i="118" s="1"/>
  <c r="U55" i="33"/>
  <c r="W55" i="33"/>
  <c r="N55" i="120"/>
  <c r="P55" i="120" s="1"/>
  <c r="N18" i="115"/>
  <c r="P18" i="115" s="1"/>
  <c r="T18" i="115" s="1"/>
  <c r="R18" i="33"/>
  <c r="M18" i="117"/>
  <c r="N18" i="117" s="1"/>
  <c r="P18" i="117" s="1"/>
  <c r="T18" i="117" s="1"/>
  <c r="T18" i="33"/>
  <c r="M18" i="119"/>
  <c r="N18" i="119" s="1"/>
  <c r="P18" i="119" s="1"/>
  <c r="T18" i="119" s="1"/>
  <c r="V18" i="33"/>
  <c r="P18" i="33"/>
  <c r="M18" i="113"/>
  <c r="N18" i="113" s="1"/>
  <c r="P18" i="113" s="1"/>
  <c r="T18" i="113" s="1"/>
  <c r="Q73" i="33"/>
  <c r="M73" i="114"/>
  <c r="N73" i="114" s="1"/>
  <c r="P73" i="114" s="1"/>
  <c r="T73" i="114" s="1"/>
  <c r="M73" i="116"/>
  <c r="N73" i="116" s="1"/>
  <c r="P73" i="116" s="1"/>
  <c r="T73" i="116" s="1"/>
  <c r="S73" i="33"/>
  <c r="N73" i="118"/>
  <c r="P73" i="118" s="1"/>
  <c r="T73" i="118" s="1"/>
  <c r="U73" i="33"/>
  <c r="W73" i="33"/>
  <c r="N73" i="120"/>
  <c r="P73" i="120" s="1"/>
  <c r="R24" i="33"/>
  <c r="N24" i="115"/>
  <c r="P24" i="115" s="1"/>
  <c r="T24" i="115" s="1"/>
  <c r="M24" i="117"/>
  <c r="N24" i="117" s="1"/>
  <c r="P24" i="117" s="1"/>
  <c r="T24" i="117" s="1"/>
  <c r="T24" i="33"/>
  <c r="M24" i="119"/>
  <c r="N24" i="119" s="1"/>
  <c r="P24" i="119" s="1"/>
  <c r="T24" i="119" s="1"/>
  <c r="V24" i="33"/>
  <c r="P24" i="33"/>
  <c r="M24" i="113"/>
  <c r="N24" i="113" s="1"/>
  <c r="P24" i="113" s="1"/>
  <c r="T24" i="113" s="1"/>
  <c r="Q38" i="33"/>
  <c r="M38" i="114"/>
  <c r="N38" i="114" s="1"/>
  <c r="P38" i="114" s="1"/>
  <c r="T38" i="114" s="1"/>
  <c r="S38" i="33"/>
  <c r="M38" i="116"/>
  <c r="N38" i="116" s="1"/>
  <c r="P38" i="116" s="1"/>
  <c r="T38" i="116" s="1"/>
  <c r="N38" i="118"/>
  <c r="P38" i="118" s="1"/>
  <c r="T38" i="118" s="1"/>
  <c r="U38" i="33"/>
  <c r="W38" i="33"/>
  <c r="N38" i="120"/>
  <c r="P38" i="120" s="1"/>
  <c r="N39" i="115"/>
  <c r="P39" i="115" s="1"/>
  <c r="T39" i="115" s="1"/>
  <c r="R39" i="33"/>
  <c r="M39" i="117"/>
  <c r="N39" i="117" s="1"/>
  <c r="P39" i="117" s="1"/>
  <c r="T39" i="117" s="1"/>
  <c r="T39" i="33"/>
  <c r="V39" i="33"/>
  <c r="M39" i="119"/>
  <c r="N39" i="119" s="1"/>
  <c r="P39" i="119" s="1"/>
  <c r="T39" i="119" s="1"/>
  <c r="P39" i="33"/>
  <c r="M39" i="113"/>
  <c r="N39" i="113" s="1"/>
  <c r="P39" i="113" s="1"/>
  <c r="T39" i="113" s="1"/>
  <c r="M17" i="114"/>
  <c r="N17" i="114" s="1"/>
  <c r="P17" i="114" s="1"/>
  <c r="T17" i="114" s="1"/>
  <c r="Q17" i="33"/>
  <c r="M17" i="116"/>
  <c r="N17" i="116" s="1"/>
  <c r="P17" i="116" s="1"/>
  <c r="T17" i="116" s="1"/>
  <c r="S17" i="33"/>
  <c r="U17" i="33"/>
  <c r="N17" i="118"/>
  <c r="P17" i="118" s="1"/>
  <c r="T17" i="118" s="1"/>
  <c r="W17" i="33"/>
  <c r="N17" i="120"/>
  <c r="P17" i="120" s="1"/>
  <c r="R11" i="33"/>
  <c r="N11" i="115"/>
  <c r="P11" i="115" s="1"/>
  <c r="T11" i="115" s="1"/>
  <c r="M11" i="117"/>
  <c r="N11" i="117" s="1"/>
  <c r="P11" i="117" s="1"/>
  <c r="T11" i="117" s="1"/>
  <c r="T11" i="33"/>
  <c r="M11" i="119"/>
  <c r="N11" i="119" s="1"/>
  <c r="P11" i="119" s="1"/>
  <c r="T11" i="119" s="1"/>
  <c r="V11" i="33"/>
  <c r="P11" i="33"/>
  <c r="M11" i="113"/>
  <c r="N11" i="113" s="1"/>
  <c r="P11" i="113" s="1"/>
  <c r="T11" i="113" s="1"/>
  <c r="M62" i="114"/>
  <c r="N62" i="114" s="1"/>
  <c r="P62" i="114" s="1"/>
  <c r="T62" i="114" s="1"/>
  <c r="M62" i="116"/>
  <c r="N62" i="116" s="1"/>
  <c r="P62" i="116" s="1"/>
  <c r="T62" i="116" s="1"/>
  <c r="S62" i="33"/>
  <c r="N62" i="118"/>
  <c r="P62" i="118" s="1"/>
  <c r="T62" i="118" s="1"/>
  <c r="U62" i="33"/>
  <c r="W62" i="33"/>
  <c r="N62" i="120"/>
  <c r="P62" i="120" s="1"/>
  <c r="K62" i="33"/>
  <c r="N68" i="115"/>
  <c r="P68" i="115" s="1"/>
  <c r="T68" i="115" s="1"/>
  <c r="R68" i="33"/>
  <c r="T68" i="33"/>
  <c r="M68" i="117"/>
  <c r="N68" i="117" s="1"/>
  <c r="P68" i="117" s="1"/>
  <c r="T68" i="117" s="1"/>
  <c r="M68" i="119"/>
  <c r="N68" i="119" s="1"/>
  <c r="P68" i="119" s="1"/>
  <c r="T68" i="119" s="1"/>
  <c r="V68" i="33"/>
  <c r="P68" i="33"/>
  <c r="M68" i="113"/>
  <c r="N68" i="113" s="1"/>
  <c r="P68" i="113" s="1"/>
  <c r="T68" i="113" s="1"/>
  <c r="M75" i="114"/>
  <c r="N75" i="114" s="1"/>
  <c r="P75" i="114" s="1"/>
  <c r="T75" i="114" s="1"/>
  <c r="Q75" i="33"/>
  <c r="M75" i="116"/>
  <c r="N75" i="116" s="1"/>
  <c r="P75" i="116" s="1"/>
  <c r="T75" i="116" s="1"/>
  <c r="S75" i="33"/>
  <c r="U75" i="33"/>
  <c r="N75" i="118"/>
  <c r="P75" i="118" s="1"/>
  <c r="T75" i="118" s="1"/>
  <c r="W75" i="33"/>
  <c r="N75" i="120"/>
  <c r="P75" i="120" s="1"/>
  <c r="N72" i="115"/>
  <c r="P72" i="115" s="1"/>
  <c r="T72" i="115" s="1"/>
  <c r="R72" i="33"/>
  <c r="M72" i="117"/>
  <c r="N72" i="117" s="1"/>
  <c r="P72" i="117" s="1"/>
  <c r="T72" i="117" s="1"/>
  <c r="T72" i="33"/>
  <c r="M72" i="119"/>
  <c r="N72" i="119" s="1"/>
  <c r="P72" i="119" s="1"/>
  <c r="T72" i="119" s="1"/>
  <c r="V72" i="33"/>
  <c r="P72" i="33"/>
  <c r="M72" i="113"/>
  <c r="N72" i="113" s="1"/>
  <c r="P72" i="113" s="1"/>
  <c r="T72" i="113" s="1"/>
  <c r="M14" i="114"/>
  <c r="N14" i="114" s="1"/>
  <c r="P14" i="114" s="1"/>
  <c r="T14" i="114" s="1"/>
  <c r="Q14" i="33"/>
  <c r="M14" i="116"/>
  <c r="N14" i="116" s="1"/>
  <c r="P14" i="116" s="1"/>
  <c r="T14" i="116" s="1"/>
  <c r="S14" i="33"/>
  <c r="N14" i="118"/>
  <c r="P14" i="118" s="1"/>
  <c r="T14" i="118" s="1"/>
  <c r="U14" i="33"/>
  <c r="N14" i="120"/>
  <c r="P14" i="120" s="1"/>
  <c r="W14" i="33"/>
  <c r="N50" i="115"/>
  <c r="P50" i="115" s="1"/>
  <c r="T50" i="115" s="1"/>
  <c r="R50" i="33"/>
  <c r="T50" i="33"/>
  <c r="M50" i="117"/>
  <c r="N50" i="117" s="1"/>
  <c r="P50" i="117" s="1"/>
  <c r="T50" i="117" s="1"/>
  <c r="M50" i="119"/>
  <c r="N50" i="119" s="1"/>
  <c r="P50" i="119" s="1"/>
  <c r="T50" i="119" s="1"/>
  <c r="V50" i="33"/>
  <c r="P50" i="33"/>
  <c r="M50" i="113"/>
  <c r="N50" i="113" s="1"/>
  <c r="P50" i="113" s="1"/>
  <c r="T50" i="113" s="1"/>
  <c r="M33" i="114"/>
  <c r="N33" i="114" s="1"/>
  <c r="P33" i="114" s="1"/>
  <c r="T33" i="114" s="1"/>
  <c r="Q33" i="33"/>
  <c r="M33" i="116"/>
  <c r="N33" i="116" s="1"/>
  <c r="P33" i="116" s="1"/>
  <c r="T33" i="116" s="1"/>
  <c r="S33" i="33"/>
  <c r="U33" i="33"/>
  <c r="N33" i="118"/>
  <c r="P33" i="118" s="1"/>
  <c r="T33" i="118" s="1"/>
  <c r="W33" i="33"/>
  <c r="N33" i="120"/>
  <c r="P33" i="120" s="1"/>
  <c r="R55" i="33"/>
  <c r="N55" i="115"/>
  <c r="P55" i="115" s="1"/>
  <c r="T55" i="115" s="1"/>
  <c r="M55" i="117"/>
  <c r="N55" i="117" s="1"/>
  <c r="P55" i="117" s="1"/>
  <c r="T55" i="117" s="1"/>
  <c r="T55" i="33"/>
  <c r="V55" i="33"/>
  <c r="M55" i="119"/>
  <c r="N55" i="119" s="1"/>
  <c r="P55" i="119" s="1"/>
  <c r="T55" i="119" s="1"/>
  <c r="P55" i="33"/>
  <c r="M55" i="113"/>
  <c r="N55" i="113" s="1"/>
  <c r="P55" i="113" s="1"/>
  <c r="T55" i="113" s="1"/>
  <c r="M25" i="114"/>
  <c r="N25" i="114" s="1"/>
  <c r="P25" i="114" s="1"/>
  <c r="T25" i="114" s="1"/>
  <c r="Q25" i="33"/>
  <c r="M25" i="116"/>
  <c r="N25" i="116" s="1"/>
  <c r="P25" i="116" s="1"/>
  <c r="T25" i="116" s="1"/>
  <c r="S25" i="33"/>
  <c r="U25" i="33"/>
  <c r="N25" i="118"/>
  <c r="P25" i="118" s="1"/>
  <c r="T25" i="118" s="1"/>
  <c r="W25" i="33"/>
  <c r="N25" i="120"/>
  <c r="P25" i="120" s="1"/>
  <c r="N73" i="115"/>
  <c r="P73" i="115" s="1"/>
  <c r="T73" i="115" s="1"/>
  <c r="R73" i="33"/>
  <c r="M73" i="117"/>
  <c r="N73" i="117" s="1"/>
  <c r="P73" i="117" s="1"/>
  <c r="T73" i="117" s="1"/>
  <c r="T73" i="33"/>
  <c r="M73" i="119"/>
  <c r="N73" i="119" s="1"/>
  <c r="P73" i="119" s="1"/>
  <c r="T73" i="119" s="1"/>
  <c r="V73" i="33"/>
  <c r="P73" i="33"/>
  <c r="M73" i="113"/>
  <c r="N73" i="113" s="1"/>
  <c r="P73" i="113" s="1"/>
  <c r="T73" i="113" s="1"/>
  <c r="M65" i="114"/>
  <c r="N65" i="114" s="1"/>
  <c r="P65" i="114" s="1"/>
  <c r="T65" i="114" s="1"/>
  <c r="Q65" i="33"/>
  <c r="M65" i="116"/>
  <c r="N65" i="116" s="1"/>
  <c r="P65" i="116" s="1"/>
  <c r="T65" i="116" s="1"/>
  <c r="S65" i="33"/>
  <c r="U65" i="33"/>
  <c r="N65" i="118"/>
  <c r="P65" i="118" s="1"/>
  <c r="T65" i="118" s="1"/>
  <c r="W65" i="33"/>
  <c r="N65" i="120"/>
  <c r="P65" i="120" s="1"/>
  <c r="N38" i="115"/>
  <c r="P38" i="115" s="1"/>
  <c r="T38" i="115" s="1"/>
  <c r="R38" i="33"/>
  <c r="M38" i="117"/>
  <c r="N38" i="117" s="1"/>
  <c r="P38" i="117" s="1"/>
  <c r="T38" i="117" s="1"/>
  <c r="T38" i="33"/>
  <c r="V38" i="33"/>
  <c r="M38" i="119"/>
  <c r="N38" i="119" s="1"/>
  <c r="P38" i="119" s="1"/>
  <c r="T38" i="119" s="1"/>
  <c r="M38" i="113"/>
  <c r="N38" i="113" s="1"/>
  <c r="P38" i="113" s="1"/>
  <c r="T38" i="113" s="1"/>
  <c r="P38" i="33"/>
  <c r="Q41" i="33"/>
  <c r="M41" i="114"/>
  <c r="N41" i="114" s="1"/>
  <c r="P41" i="114" s="1"/>
  <c r="T41" i="114" s="1"/>
  <c r="M41" i="116"/>
  <c r="N41" i="116" s="1"/>
  <c r="P41" i="116" s="1"/>
  <c r="T41" i="116" s="1"/>
  <c r="S41" i="33"/>
  <c r="U41" i="33"/>
  <c r="N41" i="118"/>
  <c r="P41" i="118" s="1"/>
  <c r="T41" i="118" s="1"/>
  <c r="W41" i="33"/>
  <c r="N41" i="120"/>
  <c r="P41" i="120" s="1"/>
  <c r="N46" i="115"/>
  <c r="P46" i="115" s="1"/>
  <c r="T46" i="115" s="1"/>
  <c r="R46" i="33"/>
  <c r="T46" i="33"/>
  <c r="M46" i="117"/>
  <c r="N46" i="117" s="1"/>
  <c r="P46" i="117" s="1"/>
  <c r="T46" i="117" s="1"/>
  <c r="V46" i="33"/>
  <c r="M46" i="119"/>
  <c r="N46" i="119" s="1"/>
  <c r="P46" i="119" s="1"/>
  <c r="T46" i="119" s="1"/>
  <c r="P46" i="33"/>
  <c r="M46" i="113"/>
  <c r="N46" i="113" s="1"/>
  <c r="P46" i="113" s="1"/>
  <c r="T46" i="113" s="1"/>
  <c r="Q39" i="33"/>
  <c r="M39" i="114"/>
  <c r="N39" i="114" s="1"/>
  <c r="P39" i="114" s="1"/>
  <c r="T39" i="114" s="1"/>
  <c r="S39" i="33"/>
  <c r="M39" i="116"/>
  <c r="N39" i="116" s="1"/>
  <c r="P39" i="116" s="1"/>
  <c r="T39" i="116" s="1"/>
  <c r="N39" i="118"/>
  <c r="P39" i="118" s="1"/>
  <c r="T39" i="118" s="1"/>
  <c r="U39" i="33"/>
  <c r="N39" i="120"/>
  <c r="P39" i="120" s="1"/>
  <c r="W39" i="33"/>
  <c r="K39" i="33"/>
  <c r="K68" i="31"/>
  <c r="L68" i="31" s="1"/>
  <c r="L44" i="76"/>
  <c r="M44" i="76" s="1"/>
  <c r="L35" i="80"/>
  <c r="M35" i="80" s="1"/>
  <c r="N35" i="80" s="1"/>
  <c r="L67" i="80"/>
  <c r="M67" i="80" s="1"/>
  <c r="N67" i="80" s="1"/>
  <c r="L62" i="76"/>
  <c r="M62" i="76" s="1"/>
  <c r="L71" i="80"/>
  <c r="M71" i="80" s="1"/>
  <c r="N71" i="80" s="1"/>
  <c r="L46" i="76"/>
  <c r="M46" i="76" s="1"/>
  <c r="L40" i="76"/>
  <c r="M40" i="76" s="1"/>
  <c r="L39" i="80"/>
  <c r="M39" i="80" s="1"/>
  <c r="N39" i="80" s="1"/>
  <c r="L36" i="76"/>
  <c r="M36" i="76" s="1"/>
  <c r="L45" i="76"/>
  <c r="M45" i="76" s="1"/>
  <c r="L58" i="76"/>
  <c r="M58" i="76" s="1"/>
  <c r="L65" i="76"/>
  <c r="M65" i="76" s="1"/>
  <c r="L74" i="76"/>
  <c r="M74" i="76" s="1"/>
  <c r="L34" i="76"/>
  <c r="M34" i="76" s="1"/>
  <c r="L48" i="76"/>
  <c r="M48" i="76" s="1"/>
  <c r="L53" i="76"/>
  <c r="M53" i="76" s="1"/>
  <c r="L38" i="76"/>
  <c r="M38" i="76" s="1"/>
  <c r="L61" i="76"/>
  <c r="M61" i="76" s="1"/>
  <c r="L54" i="76"/>
  <c r="M54" i="76" s="1"/>
  <c r="L72" i="76"/>
  <c r="M72" i="76" s="1"/>
  <c r="L64" i="76"/>
  <c r="M64" i="76" s="1"/>
  <c r="L23" i="80"/>
  <c r="M23" i="80" s="1"/>
  <c r="N23" i="80" s="1"/>
  <c r="L37" i="76"/>
  <c r="M37" i="76" s="1"/>
  <c r="L51" i="80"/>
  <c r="M51" i="80" s="1"/>
  <c r="N51" i="80" s="1"/>
  <c r="L49" i="76"/>
  <c r="M49" i="76" s="1"/>
  <c r="L32" i="76"/>
  <c r="M32" i="76" s="1"/>
  <c r="L73" i="76"/>
  <c r="M73" i="76" s="1"/>
  <c r="K26" i="33"/>
  <c r="K26" i="120"/>
  <c r="L26" i="120" s="1"/>
  <c r="M26" i="120" s="1"/>
  <c r="K26" i="118"/>
  <c r="L26" i="118" s="1"/>
  <c r="M26" i="118" s="1"/>
  <c r="K26" i="116"/>
  <c r="L26" i="116" s="1"/>
  <c r="K26" i="114"/>
  <c r="L26" i="114" s="1"/>
  <c r="K8" i="113"/>
  <c r="L8" i="113" s="1"/>
  <c r="K8" i="119"/>
  <c r="L8" i="119" s="1"/>
  <c r="K8" i="117"/>
  <c r="L8" i="117" s="1"/>
  <c r="K8" i="115"/>
  <c r="L8" i="115" s="1"/>
  <c r="M8" i="115" s="1"/>
  <c r="K70" i="33"/>
  <c r="K70" i="120"/>
  <c r="L70" i="120" s="1"/>
  <c r="M70" i="120" s="1"/>
  <c r="K70" i="118"/>
  <c r="L70" i="118" s="1"/>
  <c r="M70" i="118" s="1"/>
  <c r="K70" i="116"/>
  <c r="L70" i="116" s="1"/>
  <c r="K70" i="114"/>
  <c r="L70" i="114" s="1"/>
  <c r="K9" i="113"/>
  <c r="L9" i="113" s="1"/>
  <c r="K9" i="119"/>
  <c r="L9" i="119" s="1"/>
  <c r="K9" i="117"/>
  <c r="L9" i="117" s="1"/>
  <c r="K9" i="115"/>
  <c r="L9" i="115" s="1"/>
  <c r="M9" i="115" s="1"/>
  <c r="K22" i="33"/>
  <c r="K22" i="120"/>
  <c r="L22" i="120" s="1"/>
  <c r="M22" i="120" s="1"/>
  <c r="K22" i="118"/>
  <c r="L22" i="118" s="1"/>
  <c r="M22" i="118" s="1"/>
  <c r="K22" i="116"/>
  <c r="L22" i="116" s="1"/>
  <c r="K22" i="114"/>
  <c r="L22" i="114" s="1"/>
  <c r="K28" i="113"/>
  <c r="L28" i="113" s="1"/>
  <c r="K28" i="119"/>
  <c r="L28" i="119" s="1"/>
  <c r="K28" i="117"/>
  <c r="L28" i="117" s="1"/>
  <c r="K28" i="115"/>
  <c r="L28" i="115" s="1"/>
  <c r="M28" i="115" s="1"/>
  <c r="K53" i="33"/>
  <c r="K53" i="120"/>
  <c r="L53" i="120" s="1"/>
  <c r="M53" i="120" s="1"/>
  <c r="K53" i="118"/>
  <c r="L53" i="118" s="1"/>
  <c r="M53" i="118" s="1"/>
  <c r="K53" i="116"/>
  <c r="L53" i="116" s="1"/>
  <c r="K53" i="114"/>
  <c r="L53" i="114" s="1"/>
  <c r="K31" i="113"/>
  <c r="L31" i="113" s="1"/>
  <c r="K31" i="119"/>
  <c r="L31" i="119" s="1"/>
  <c r="K31" i="117"/>
  <c r="L31" i="117" s="1"/>
  <c r="K31" i="115"/>
  <c r="L31" i="115" s="1"/>
  <c r="M31" i="115" s="1"/>
  <c r="K32" i="33"/>
  <c r="K32" i="120"/>
  <c r="L32" i="120" s="1"/>
  <c r="M32" i="120" s="1"/>
  <c r="K32" i="118"/>
  <c r="L32" i="118" s="1"/>
  <c r="M32" i="118" s="1"/>
  <c r="K32" i="116"/>
  <c r="L32" i="116" s="1"/>
  <c r="K32" i="114"/>
  <c r="L32" i="114" s="1"/>
  <c r="K29" i="113"/>
  <c r="L29" i="113" s="1"/>
  <c r="K29" i="119"/>
  <c r="L29" i="119" s="1"/>
  <c r="K29" i="117"/>
  <c r="L29" i="117" s="1"/>
  <c r="K29" i="115"/>
  <c r="L29" i="115" s="1"/>
  <c r="M29" i="115" s="1"/>
  <c r="K57" i="33"/>
  <c r="K57" i="120"/>
  <c r="L57" i="120" s="1"/>
  <c r="M57" i="120" s="1"/>
  <c r="K57" i="118"/>
  <c r="L57" i="118" s="1"/>
  <c r="M57" i="118" s="1"/>
  <c r="K57" i="116"/>
  <c r="L57" i="116" s="1"/>
  <c r="K57" i="114"/>
  <c r="L57" i="114" s="1"/>
  <c r="K16" i="113"/>
  <c r="L16" i="113" s="1"/>
  <c r="K16" i="119"/>
  <c r="L16" i="119" s="1"/>
  <c r="K16" i="117"/>
  <c r="L16" i="117" s="1"/>
  <c r="K16" i="115"/>
  <c r="L16" i="115" s="1"/>
  <c r="M16" i="115" s="1"/>
  <c r="K56" i="33"/>
  <c r="K56" i="120"/>
  <c r="L56" i="120" s="1"/>
  <c r="M56" i="120" s="1"/>
  <c r="K56" i="118"/>
  <c r="L56" i="118" s="1"/>
  <c r="M56" i="118" s="1"/>
  <c r="K56" i="116"/>
  <c r="L56" i="116" s="1"/>
  <c r="K56" i="114"/>
  <c r="L56" i="114" s="1"/>
  <c r="K58" i="113"/>
  <c r="L58" i="113" s="1"/>
  <c r="K58" i="119"/>
  <c r="L58" i="119" s="1"/>
  <c r="K58" i="117"/>
  <c r="L58" i="117" s="1"/>
  <c r="K58" i="115"/>
  <c r="L58" i="115" s="1"/>
  <c r="M58" i="115" s="1"/>
  <c r="K51" i="33"/>
  <c r="K51" i="120"/>
  <c r="L51" i="120" s="1"/>
  <c r="M51" i="120" s="1"/>
  <c r="K51" i="118"/>
  <c r="L51" i="118" s="1"/>
  <c r="M51" i="118" s="1"/>
  <c r="K51" i="116"/>
  <c r="L51" i="116" s="1"/>
  <c r="K51" i="114"/>
  <c r="L51" i="114" s="1"/>
  <c r="K60" i="113"/>
  <c r="L60" i="113" s="1"/>
  <c r="K60" i="119"/>
  <c r="L60" i="119" s="1"/>
  <c r="K60" i="117"/>
  <c r="L60" i="117" s="1"/>
  <c r="K60" i="115"/>
  <c r="L60" i="115" s="1"/>
  <c r="M60" i="115" s="1"/>
  <c r="K30" i="33"/>
  <c r="K30" i="120"/>
  <c r="L30" i="120" s="1"/>
  <c r="M30" i="120" s="1"/>
  <c r="K30" i="118"/>
  <c r="L30" i="118" s="1"/>
  <c r="M30" i="118" s="1"/>
  <c r="K30" i="116"/>
  <c r="L30" i="116" s="1"/>
  <c r="K30" i="114"/>
  <c r="L30" i="114" s="1"/>
  <c r="K27" i="113"/>
  <c r="L27" i="113" s="1"/>
  <c r="K27" i="119"/>
  <c r="L27" i="119" s="1"/>
  <c r="K27" i="117"/>
  <c r="L27" i="117" s="1"/>
  <c r="K27" i="115"/>
  <c r="L27" i="115" s="1"/>
  <c r="M27" i="115" s="1"/>
  <c r="K43" i="33"/>
  <c r="K43" i="120"/>
  <c r="L43" i="120" s="1"/>
  <c r="M43" i="120" s="1"/>
  <c r="K43" i="118"/>
  <c r="L43" i="118" s="1"/>
  <c r="M43" i="118" s="1"/>
  <c r="K43" i="116"/>
  <c r="L43" i="116" s="1"/>
  <c r="K43" i="114"/>
  <c r="L43" i="114" s="1"/>
  <c r="K61" i="113"/>
  <c r="L61" i="113" s="1"/>
  <c r="K61" i="119"/>
  <c r="L61" i="119" s="1"/>
  <c r="K61" i="117"/>
  <c r="L61" i="117" s="1"/>
  <c r="K61" i="115"/>
  <c r="L61" i="115" s="1"/>
  <c r="M61" i="115" s="1"/>
  <c r="K48" i="33"/>
  <c r="K48" i="120"/>
  <c r="L48" i="120" s="1"/>
  <c r="M48" i="120" s="1"/>
  <c r="K48" i="118"/>
  <c r="L48" i="118" s="1"/>
  <c r="M48" i="118" s="1"/>
  <c r="K48" i="116"/>
  <c r="L48" i="116" s="1"/>
  <c r="K48" i="114"/>
  <c r="L48" i="114" s="1"/>
  <c r="K67" i="113"/>
  <c r="L67" i="113" s="1"/>
  <c r="K67" i="119"/>
  <c r="L67" i="119" s="1"/>
  <c r="K67" i="117"/>
  <c r="L67" i="117" s="1"/>
  <c r="K67" i="115"/>
  <c r="L67" i="115" s="1"/>
  <c r="M67" i="115" s="1"/>
  <c r="K76" i="114"/>
  <c r="L76" i="114" s="1"/>
  <c r="M76" i="114" s="1"/>
  <c r="N76" i="114" s="1"/>
  <c r="P76" i="114" s="1"/>
  <c r="T76" i="114" s="1"/>
  <c r="AJ76" i="114" s="1"/>
  <c r="K34" i="113"/>
  <c r="L34" i="113" s="1"/>
  <c r="K34" i="119"/>
  <c r="L34" i="119" s="1"/>
  <c r="K34" i="117"/>
  <c r="L34" i="117" s="1"/>
  <c r="K34" i="115"/>
  <c r="L34" i="115" s="1"/>
  <c r="M34" i="115" s="1"/>
  <c r="K42" i="33"/>
  <c r="K42" i="120"/>
  <c r="L42" i="120" s="1"/>
  <c r="M42" i="120" s="1"/>
  <c r="K42" i="118"/>
  <c r="L42" i="118" s="1"/>
  <c r="M42" i="118" s="1"/>
  <c r="K42" i="116"/>
  <c r="L42" i="116" s="1"/>
  <c r="K42" i="114"/>
  <c r="L42" i="114" s="1"/>
  <c r="K23" i="113"/>
  <c r="L23" i="113" s="1"/>
  <c r="K23" i="119"/>
  <c r="L23" i="119" s="1"/>
  <c r="K23" i="117"/>
  <c r="L23" i="117" s="1"/>
  <c r="K23" i="115"/>
  <c r="L23" i="115" s="1"/>
  <c r="M23" i="115" s="1"/>
  <c r="K64" i="33"/>
  <c r="K64" i="120"/>
  <c r="L64" i="120" s="1"/>
  <c r="M64" i="120" s="1"/>
  <c r="K64" i="118"/>
  <c r="L64" i="118" s="1"/>
  <c r="M64" i="118" s="1"/>
  <c r="K64" i="116"/>
  <c r="L64" i="116" s="1"/>
  <c r="K64" i="114"/>
  <c r="L64" i="114" s="1"/>
  <c r="K20" i="113"/>
  <c r="L20" i="113" s="1"/>
  <c r="K20" i="119"/>
  <c r="L20" i="119" s="1"/>
  <c r="K20" i="117"/>
  <c r="L20" i="117" s="1"/>
  <c r="K20" i="115"/>
  <c r="L20" i="115" s="1"/>
  <c r="M20" i="115" s="1"/>
  <c r="K12" i="33"/>
  <c r="K12" i="120"/>
  <c r="L12" i="120" s="1"/>
  <c r="M12" i="120" s="1"/>
  <c r="K12" i="118"/>
  <c r="L12" i="118" s="1"/>
  <c r="M12" i="118" s="1"/>
  <c r="K12" i="116"/>
  <c r="L12" i="116" s="1"/>
  <c r="K12" i="114"/>
  <c r="L12" i="114" s="1"/>
  <c r="K44" i="113"/>
  <c r="L44" i="113" s="1"/>
  <c r="K44" i="119"/>
  <c r="L44" i="119" s="1"/>
  <c r="K44" i="117"/>
  <c r="L44" i="117" s="1"/>
  <c r="K44" i="115"/>
  <c r="L44" i="115" s="1"/>
  <c r="M44" i="115" s="1"/>
  <c r="K69" i="33"/>
  <c r="K69" i="120"/>
  <c r="L69" i="120" s="1"/>
  <c r="M69" i="120" s="1"/>
  <c r="K69" i="118"/>
  <c r="L69" i="118" s="1"/>
  <c r="M69" i="118" s="1"/>
  <c r="K69" i="116"/>
  <c r="L69" i="116" s="1"/>
  <c r="K69" i="114"/>
  <c r="L69" i="114" s="1"/>
  <c r="K71" i="113"/>
  <c r="L71" i="113" s="1"/>
  <c r="K71" i="119"/>
  <c r="L71" i="119" s="1"/>
  <c r="K71" i="117"/>
  <c r="L71" i="117" s="1"/>
  <c r="K71" i="115"/>
  <c r="L71" i="115" s="1"/>
  <c r="M71" i="115" s="1"/>
  <c r="K19" i="33"/>
  <c r="K19" i="120"/>
  <c r="L19" i="120" s="1"/>
  <c r="M19" i="120" s="1"/>
  <c r="K19" i="118"/>
  <c r="L19" i="118" s="1"/>
  <c r="M19" i="118" s="1"/>
  <c r="K19" i="116"/>
  <c r="L19" i="116" s="1"/>
  <c r="K19" i="114"/>
  <c r="L19" i="114" s="1"/>
  <c r="K10" i="113"/>
  <c r="L10" i="113" s="1"/>
  <c r="K10" i="119"/>
  <c r="L10" i="119" s="1"/>
  <c r="K10" i="117"/>
  <c r="L10" i="117" s="1"/>
  <c r="K10" i="115"/>
  <c r="L10" i="115" s="1"/>
  <c r="M10" i="115" s="1"/>
  <c r="K26" i="113"/>
  <c r="L26" i="113" s="1"/>
  <c r="K26" i="119"/>
  <c r="L26" i="119" s="1"/>
  <c r="K26" i="117"/>
  <c r="L26" i="117" s="1"/>
  <c r="K26" i="115"/>
  <c r="L26" i="115" s="1"/>
  <c r="M26" i="115" s="1"/>
  <c r="K8" i="33"/>
  <c r="K8" i="120"/>
  <c r="L8" i="120" s="1"/>
  <c r="M8" i="120" s="1"/>
  <c r="K8" i="118"/>
  <c r="L8" i="118" s="1"/>
  <c r="M8" i="118" s="1"/>
  <c r="K8" i="116"/>
  <c r="L8" i="116" s="1"/>
  <c r="K8" i="114"/>
  <c r="L8" i="114" s="1"/>
  <c r="K70" i="113"/>
  <c r="L70" i="113" s="1"/>
  <c r="K70" i="119"/>
  <c r="L70" i="119" s="1"/>
  <c r="K70" i="117"/>
  <c r="L70" i="117" s="1"/>
  <c r="K70" i="115"/>
  <c r="L70" i="115" s="1"/>
  <c r="M70" i="115" s="1"/>
  <c r="K9" i="33"/>
  <c r="K9" i="120"/>
  <c r="L9" i="120" s="1"/>
  <c r="M9" i="120" s="1"/>
  <c r="K9" i="118"/>
  <c r="L9" i="118" s="1"/>
  <c r="M9" i="118" s="1"/>
  <c r="K9" i="116"/>
  <c r="L9" i="116" s="1"/>
  <c r="K9" i="114"/>
  <c r="L9" i="114" s="1"/>
  <c r="K22" i="113"/>
  <c r="L22" i="113" s="1"/>
  <c r="K22" i="119"/>
  <c r="L22" i="119" s="1"/>
  <c r="K22" i="117"/>
  <c r="L22" i="117" s="1"/>
  <c r="K22" i="115"/>
  <c r="L22" i="115" s="1"/>
  <c r="M22" i="115" s="1"/>
  <c r="K28" i="33"/>
  <c r="K28" i="120"/>
  <c r="L28" i="120" s="1"/>
  <c r="M28" i="120" s="1"/>
  <c r="K28" i="118"/>
  <c r="L28" i="118" s="1"/>
  <c r="M28" i="118" s="1"/>
  <c r="K28" i="116"/>
  <c r="L28" i="116" s="1"/>
  <c r="K28" i="114"/>
  <c r="L28" i="114" s="1"/>
  <c r="K53" i="113"/>
  <c r="L53" i="113" s="1"/>
  <c r="K53" i="119"/>
  <c r="L53" i="119" s="1"/>
  <c r="K53" i="117"/>
  <c r="L53" i="117" s="1"/>
  <c r="K53" i="115"/>
  <c r="L53" i="115" s="1"/>
  <c r="M53" i="115" s="1"/>
  <c r="K31" i="33"/>
  <c r="K31" i="120"/>
  <c r="L31" i="120" s="1"/>
  <c r="M31" i="120" s="1"/>
  <c r="K31" i="118"/>
  <c r="L31" i="118" s="1"/>
  <c r="M31" i="118" s="1"/>
  <c r="K31" i="116"/>
  <c r="L31" i="116" s="1"/>
  <c r="K31" i="114"/>
  <c r="L31" i="114" s="1"/>
  <c r="K32" i="113"/>
  <c r="L32" i="113" s="1"/>
  <c r="K32" i="119"/>
  <c r="L32" i="119" s="1"/>
  <c r="K32" i="117"/>
  <c r="L32" i="117" s="1"/>
  <c r="K32" i="115"/>
  <c r="L32" i="115" s="1"/>
  <c r="M32" i="115" s="1"/>
  <c r="K29" i="33"/>
  <c r="K29" i="120"/>
  <c r="L29" i="120" s="1"/>
  <c r="M29" i="120" s="1"/>
  <c r="K29" i="118"/>
  <c r="L29" i="118" s="1"/>
  <c r="M29" i="118" s="1"/>
  <c r="K29" i="116"/>
  <c r="L29" i="116" s="1"/>
  <c r="K29" i="114"/>
  <c r="L29" i="114" s="1"/>
  <c r="K57" i="113"/>
  <c r="L57" i="113" s="1"/>
  <c r="K57" i="119"/>
  <c r="L57" i="119" s="1"/>
  <c r="K57" i="117"/>
  <c r="L57" i="117" s="1"/>
  <c r="K57" i="115"/>
  <c r="L57" i="115" s="1"/>
  <c r="M57" i="115" s="1"/>
  <c r="K16" i="33"/>
  <c r="K16" i="120"/>
  <c r="L16" i="120" s="1"/>
  <c r="M16" i="120" s="1"/>
  <c r="K16" i="118"/>
  <c r="L16" i="118" s="1"/>
  <c r="M16" i="118" s="1"/>
  <c r="K16" i="116"/>
  <c r="L16" i="116" s="1"/>
  <c r="K16" i="114"/>
  <c r="L16" i="114" s="1"/>
  <c r="K56" i="113"/>
  <c r="L56" i="113" s="1"/>
  <c r="K56" i="119"/>
  <c r="L56" i="119" s="1"/>
  <c r="K56" i="117"/>
  <c r="L56" i="117" s="1"/>
  <c r="K56" i="115"/>
  <c r="L56" i="115" s="1"/>
  <c r="M56" i="115" s="1"/>
  <c r="K58" i="33"/>
  <c r="K58" i="120"/>
  <c r="L58" i="120" s="1"/>
  <c r="M58" i="120" s="1"/>
  <c r="K58" i="118"/>
  <c r="L58" i="118" s="1"/>
  <c r="M58" i="118" s="1"/>
  <c r="K58" i="116"/>
  <c r="L58" i="116" s="1"/>
  <c r="K58" i="114"/>
  <c r="L58" i="114" s="1"/>
  <c r="K51" i="113"/>
  <c r="L51" i="113" s="1"/>
  <c r="K51" i="119"/>
  <c r="L51" i="119" s="1"/>
  <c r="K51" i="117"/>
  <c r="L51" i="117" s="1"/>
  <c r="K51" i="115"/>
  <c r="L51" i="115" s="1"/>
  <c r="M51" i="115" s="1"/>
  <c r="K60" i="33"/>
  <c r="K60" i="120"/>
  <c r="L60" i="120" s="1"/>
  <c r="M60" i="120" s="1"/>
  <c r="K60" i="118"/>
  <c r="L60" i="118" s="1"/>
  <c r="M60" i="118" s="1"/>
  <c r="K60" i="116"/>
  <c r="L60" i="116" s="1"/>
  <c r="K60" i="114"/>
  <c r="L60" i="114" s="1"/>
  <c r="K30" i="113"/>
  <c r="L30" i="113" s="1"/>
  <c r="K30" i="119"/>
  <c r="L30" i="119" s="1"/>
  <c r="K30" i="117"/>
  <c r="L30" i="117" s="1"/>
  <c r="K30" i="115"/>
  <c r="L30" i="115" s="1"/>
  <c r="M30" i="115" s="1"/>
  <c r="K27" i="33"/>
  <c r="K27" i="120"/>
  <c r="L27" i="120" s="1"/>
  <c r="M27" i="120" s="1"/>
  <c r="K27" i="118"/>
  <c r="L27" i="118" s="1"/>
  <c r="M27" i="118" s="1"/>
  <c r="K27" i="116"/>
  <c r="L27" i="116" s="1"/>
  <c r="K27" i="114"/>
  <c r="L27" i="114" s="1"/>
  <c r="K43" i="113"/>
  <c r="L43" i="113" s="1"/>
  <c r="K43" i="119"/>
  <c r="L43" i="119" s="1"/>
  <c r="K43" i="117"/>
  <c r="L43" i="117" s="1"/>
  <c r="K43" i="115"/>
  <c r="L43" i="115" s="1"/>
  <c r="M43" i="115" s="1"/>
  <c r="K61" i="33"/>
  <c r="K61" i="120"/>
  <c r="L61" i="120" s="1"/>
  <c r="M61" i="120" s="1"/>
  <c r="K61" i="118"/>
  <c r="L61" i="118" s="1"/>
  <c r="M61" i="118" s="1"/>
  <c r="K61" i="116"/>
  <c r="L61" i="116" s="1"/>
  <c r="K61" i="114"/>
  <c r="L61" i="114" s="1"/>
  <c r="K48" i="113"/>
  <c r="L48" i="113" s="1"/>
  <c r="K48" i="119"/>
  <c r="L48" i="119" s="1"/>
  <c r="K48" i="117"/>
  <c r="L48" i="117" s="1"/>
  <c r="K48" i="115"/>
  <c r="L48" i="115" s="1"/>
  <c r="M48" i="115" s="1"/>
  <c r="K67" i="33"/>
  <c r="K67" i="120"/>
  <c r="L67" i="120" s="1"/>
  <c r="M67" i="120" s="1"/>
  <c r="K67" i="118"/>
  <c r="L67" i="118" s="1"/>
  <c r="M67" i="118" s="1"/>
  <c r="K67" i="116"/>
  <c r="L67" i="116" s="1"/>
  <c r="K67" i="114"/>
  <c r="L67" i="114" s="1"/>
  <c r="L44" i="80"/>
  <c r="M44" i="80" s="1"/>
  <c r="N44" i="80" s="1"/>
  <c r="L35" i="76"/>
  <c r="M35" i="76" s="1"/>
  <c r="L67" i="76"/>
  <c r="M67" i="76" s="1"/>
  <c r="L62" i="80"/>
  <c r="M62" i="80" s="1"/>
  <c r="N62" i="80" s="1"/>
  <c r="L71" i="76"/>
  <c r="M71" i="76" s="1"/>
  <c r="L24" i="80"/>
  <c r="M24" i="80" s="1"/>
  <c r="N24" i="80" s="1"/>
  <c r="L24" i="76"/>
  <c r="M24" i="76" s="1"/>
  <c r="L46" i="80"/>
  <c r="M46" i="80" s="1"/>
  <c r="N46" i="80" s="1"/>
  <c r="L40" i="80"/>
  <c r="M40" i="80" s="1"/>
  <c r="N40" i="80" s="1"/>
  <c r="L39" i="76"/>
  <c r="M39" i="76" s="1"/>
  <c r="L36" i="80"/>
  <c r="M36" i="80" s="1"/>
  <c r="N36" i="80" s="1"/>
  <c r="L45" i="80"/>
  <c r="M45" i="80" s="1"/>
  <c r="N45" i="80" s="1"/>
  <c r="L58" i="80"/>
  <c r="M58" i="80" s="1"/>
  <c r="N58" i="80" s="1"/>
  <c r="L65" i="80"/>
  <c r="M65" i="80" s="1"/>
  <c r="N65" i="80" s="1"/>
  <c r="L10" i="80"/>
  <c r="M10" i="80" s="1"/>
  <c r="N10" i="80" s="1"/>
  <c r="L10" i="76"/>
  <c r="M10" i="76" s="1"/>
  <c r="L74" i="80"/>
  <c r="M74" i="80" s="1"/>
  <c r="N74" i="80" s="1"/>
  <c r="L34" i="80"/>
  <c r="M34" i="80" s="1"/>
  <c r="N34" i="80" s="1"/>
  <c r="L13" i="80"/>
  <c r="M13" i="80" s="1"/>
  <c r="N13" i="80" s="1"/>
  <c r="L13" i="76"/>
  <c r="M13" i="76" s="1"/>
  <c r="L48" i="80"/>
  <c r="M48" i="80" s="1"/>
  <c r="N48" i="80" s="1"/>
  <c r="L53" i="80"/>
  <c r="M53" i="80" s="1"/>
  <c r="N53" i="80" s="1"/>
  <c r="L38" i="80"/>
  <c r="M38" i="80" s="1"/>
  <c r="N38" i="80" s="1"/>
  <c r="L16" i="80"/>
  <c r="M16" i="80" s="1"/>
  <c r="N16" i="80" s="1"/>
  <c r="L16" i="76"/>
  <c r="M16" i="76" s="1"/>
  <c r="L61" i="80"/>
  <c r="M61" i="80" s="1"/>
  <c r="N61" i="80" s="1"/>
  <c r="L12" i="80"/>
  <c r="M12" i="80" s="1"/>
  <c r="N12" i="80" s="1"/>
  <c r="L12" i="76"/>
  <c r="M12" i="76" s="1"/>
  <c r="L54" i="80"/>
  <c r="M54" i="80" s="1"/>
  <c r="N54" i="80" s="1"/>
  <c r="L17" i="80"/>
  <c r="M17" i="80" s="1"/>
  <c r="N17" i="80" s="1"/>
  <c r="L17" i="76"/>
  <c r="M17" i="76" s="1"/>
  <c r="L72" i="80"/>
  <c r="M72" i="80" s="1"/>
  <c r="N72" i="80" s="1"/>
  <c r="L64" i="80"/>
  <c r="M64" i="80" s="1"/>
  <c r="N64" i="80" s="1"/>
  <c r="L20" i="80"/>
  <c r="M20" i="80" s="1"/>
  <c r="N20" i="80" s="1"/>
  <c r="L20" i="76"/>
  <c r="M20" i="76" s="1"/>
  <c r="L23" i="76"/>
  <c r="M23" i="76" s="1"/>
  <c r="L37" i="80"/>
  <c r="M37" i="80" s="1"/>
  <c r="N37" i="80" s="1"/>
  <c r="L51" i="76"/>
  <c r="M51" i="76" s="1"/>
  <c r="L49" i="80"/>
  <c r="M49" i="80" s="1"/>
  <c r="N49" i="80" s="1"/>
  <c r="L32" i="80"/>
  <c r="M32" i="80" s="1"/>
  <c r="N32" i="80" s="1"/>
  <c r="L73" i="80"/>
  <c r="M73" i="80" s="1"/>
  <c r="N73" i="80" s="1"/>
  <c r="K34" i="33"/>
  <c r="K34" i="120"/>
  <c r="L34" i="120" s="1"/>
  <c r="M34" i="120" s="1"/>
  <c r="K34" i="118"/>
  <c r="L34" i="118" s="1"/>
  <c r="M34" i="118" s="1"/>
  <c r="K34" i="116"/>
  <c r="L34" i="116" s="1"/>
  <c r="K34" i="114"/>
  <c r="L34" i="114" s="1"/>
  <c r="K42" i="113"/>
  <c r="L42" i="113" s="1"/>
  <c r="K42" i="119"/>
  <c r="L42" i="119" s="1"/>
  <c r="K42" i="117"/>
  <c r="L42" i="117" s="1"/>
  <c r="K42" i="115"/>
  <c r="L42" i="115" s="1"/>
  <c r="M42" i="115" s="1"/>
  <c r="K23" i="33"/>
  <c r="K23" i="120"/>
  <c r="L23" i="120" s="1"/>
  <c r="M23" i="120" s="1"/>
  <c r="K23" i="118"/>
  <c r="L23" i="118" s="1"/>
  <c r="M23" i="118" s="1"/>
  <c r="K23" i="116"/>
  <c r="L23" i="116" s="1"/>
  <c r="K23" i="114"/>
  <c r="L23" i="114" s="1"/>
  <c r="K64" i="113"/>
  <c r="L64" i="113" s="1"/>
  <c r="K64" i="119"/>
  <c r="L64" i="119" s="1"/>
  <c r="K64" i="117"/>
  <c r="L64" i="117" s="1"/>
  <c r="K64" i="115"/>
  <c r="L64" i="115" s="1"/>
  <c r="M64" i="115" s="1"/>
  <c r="K20" i="33"/>
  <c r="K20" i="120"/>
  <c r="L20" i="120" s="1"/>
  <c r="M20" i="120" s="1"/>
  <c r="K20" i="118"/>
  <c r="L20" i="118" s="1"/>
  <c r="M20" i="118" s="1"/>
  <c r="K20" i="116"/>
  <c r="L20" i="116" s="1"/>
  <c r="K20" i="114"/>
  <c r="L20" i="114" s="1"/>
  <c r="K12" i="113"/>
  <c r="L12" i="113" s="1"/>
  <c r="K12" i="119"/>
  <c r="L12" i="119" s="1"/>
  <c r="K12" i="117"/>
  <c r="L12" i="117" s="1"/>
  <c r="K12" i="115"/>
  <c r="L12" i="115" s="1"/>
  <c r="M12" i="115" s="1"/>
  <c r="K44" i="33"/>
  <c r="K44" i="120"/>
  <c r="L44" i="120" s="1"/>
  <c r="M44" i="120" s="1"/>
  <c r="K44" i="118"/>
  <c r="L44" i="118" s="1"/>
  <c r="M44" i="118" s="1"/>
  <c r="K44" i="116"/>
  <c r="L44" i="116" s="1"/>
  <c r="K44" i="114"/>
  <c r="L44" i="114" s="1"/>
  <c r="K69" i="113"/>
  <c r="L69" i="113" s="1"/>
  <c r="K69" i="119"/>
  <c r="L69" i="119" s="1"/>
  <c r="K69" i="117"/>
  <c r="L69" i="117" s="1"/>
  <c r="K69" i="115"/>
  <c r="L69" i="115" s="1"/>
  <c r="M69" i="115" s="1"/>
  <c r="K71" i="33"/>
  <c r="K71" i="120"/>
  <c r="L71" i="120" s="1"/>
  <c r="M71" i="120" s="1"/>
  <c r="K71" i="118"/>
  <c r="L71" i="118" s="1"/>
  <c r="M71" i="118" s="1"/>
  <c r="K71" i="116"/>
  <c r="L71" i="116" s="1"/>
  <c r="K71" i="114"/>
  <c r="L71" i="114" s="1"/>
  <c r="K19" i="113"/>
  <c r="L19" i="113" s="1"/>
  <c r="K19" i="119"/>
  <c r="L19" i="119" s="1"/>
  <c r="K19" i="117"/>
  <c r="L19" i="117" s="1"/>
  <c r="K19" i="115"/>
  <c r="L19" i="115" s="1"/>
  <c r="M19" i="115" s="1"/>
  <c r="K10" i="33"/>
  <c r="K10" i="120"/>
  <c r="L10" i="120" s="1"/>
  <c r="M10" i="120" s="1"/>
  <c r="K10" i="118"/>
  <c r="L10" i="118" s="1"/>
  <c r="M10" i="118" s="1"/>
  <c r="K10" i="116"/>
  <c r="L10" i="116" s="1"/>
  <c r="K10" i="114"/>
  <c r="L10" i="114" s="1"/>
  <c r="AJ39" i="72" l="1"/>
  <c r="AJ73" i="72" s="1"/>
  <c r="R41" i="120"/>
  <c r="S41" i="120" s="1"/>
  <c r="T41" i="120"/>
  <c r="R65" i="120"/>
  <c r="S65" i="120" s="1"/>
  <c r="T65" i="120"/>
  <c r="R25" i="120"/>
  <c r="S25" i="120" s="1"/>
  <c r="T25" i="120"/>
  <c r="R33" i="120"/>
  <c r="S33" i="120" s="1"/>
  <c r="T33" i="120"/>
  <c r="R75" i="120"/>
  <c r="S75" i="120" s="1"/>
  <c r="T75" i="120"/>
  <c r="R17" i="120"/>
  <c r="S17" i="120" s="1"/>
  <c r="T17" i="120"/>
  <c r="R38" i="120"/>
  <c r="S38" i="120" s="1"/>
  <c r="T38" i="120"/>
  <c r="R73" i="120"/>
  <c r="S73" i="120" s="1"/>
  <c r="T73" i="120"/>
  <c r="R55" i="120"/>
  <c r="S55" i="120" s="1"/>
  <c r="T55" i="120"/>
  <c r="R72" i="120"/>
  <c r="S72" i="120" s="1"/>
  <c r="T72" i="120"/>
  <c r="R11" i="120"/>
  <c r="S11" i="120" s="1"/>
  <c r="T11" i="120"/>
  <c r="R45" i="120"/>
  <c r="S45" i="120" s="1"/>
  <c r="T45" i="120"/>
  <c r="R40" i="120"/>
  <c r="S40" i="120" s="1"/>
  <c r="T40" i="120"/>
  <c r="R24" i="120"/>
  <c r="S24" i="120" s="1"/>
  <c r="T24" i="120"/>
  <c r="R18" i="120"/>
  <c r="S18" i="120" s="1"/>
  <c r="T18" i="120"/>
  <c r="R59" i="120"/>
  <c r="S59" i="120" s="1"/>
  <c r="T59" i="120"/>
  <c r="R63" i="120"/>
  <c r="S63" i="120" s="1"/>
  <c r="T63" i="120"/>
  <c r="R36" i="120"/>
  <c r="S36" i="120" s="1"/>
  <c r="T36" i="120"/>
  <c r="R66" i="120"/>
  <c r="S66" i="120" s="1"/>
  <c r="T66" i="120"/>
  <c r="R52" i="120"/>
  <c r="S52" i="120" s="1"/>
  <c r="T52" i="120"/>
  <c r="R21" i="120"/>
  <c r="S21" i="120" s="1"/>
  <c r="T21" i="120"/>
  <c r="R74" i="120"/>
  <c r="S74" i="120" s="1"/>
  <c r="T74" i="120"/>
  <c r="R37" i="120"/>
  <c r="S37" i="120" s="1"/>
  <c r="T37" i="120"/>
  <c r="R13" i="120"/>
  <c r="S13" i="120" s="1"/>
  <c r="T13" i="120"/>
  <c r="R39" i="120"/>
  <c r="S39" i="120" s="1"/>
  <c r="T39" i="120"/>
  <c r="R14" i="120"/>
  <c r="S14" i="120" s="1"/>
  <c r="T14" i="120"/>
  <c r="R62" i="120"/>
  <c r="S62" i="120" s="1"/>
  <c r="T62" i="120"/>
  <c r="R50" i="120"/>
  <c r="S50" i="120" s="1"/>
  <c r="T50" i="120"/>
  <c r="R68" i="120"/>
  <c r="S68" i="120" s="1"/>
  <c r="T68" i="120"/>
  <c r="R54" i="120"/>
  <c r="S54" i="120" s="1"/>
  <c r="T54" i="120"/>
  <c r="R49" i="120"/>
  <c r="S49" i="120" s="1"/>
  <c r="T49" i="120"/>
  <c r="R46" i="120"/>
  <c r="S46" i="120" s="1"/>
  <c r="T46" i="120"/>
  <c r="R47" i="120"/>
  <c r="S47" i="120" s="1"/>
  <c r="T47" i="120"/>
  <c r="R35" i="120"/>
  <c r="S35" i="120" s="1"/>
  <c r="T35" i="120"/>
  <c r="AL44" i="31"/>
  <c r="AL71" i="31" s="1"/>
  <c r="AQ12" i="31"/>
  <c r="AL8" i="31"/>
  <c r="AO8" i="31" s="1"/>
  <c r="AQ8" i="31" s="1"/>
  <c r="AR8" i="31" s="1"/>
  <c r="F73" i="100"/>
  <c r="N68" i="31"/>
  <c r="M68" i="31"/>
  <c r="N19" i="115"/>
  <c r="P19" i="115" s="1"/>
  <c r="T19" i="115" s="1"/>
  <c r="R19" i="33"/>
  <c r="M19" i="117"/>
  <c r="N19" i="117" s="1"/>
  <c r="P19" i="117" s="1"/>
  <c r="T19" i="117" s="1"/>
  <c r="T19" i="33"/>
  <c r="M19" i="119"/>
  <c r="N19" i="119" s="1"/>
  <c r="P19" i="119" s="1"/>
  <c r="T19" i="119" s="1"/>
  <c r="V19" i="33"/>
  <c r="P19" i="33"/>
  <c r="M19" i="113"/>
  <c r="N19" i="113" s="1"/>
  <c r="P19" i="113" s="1"/>
  <c r="T19" i="113" s="1"/>
  <c r="M71" i="114"/>
  <c r="N71" i="114" s="1"/>
  <c r="P71" i="114" s="1"/>
  <c r="T71" i="114" s="1"/>
  <c r="Q71" i="33"/>
  <c r="S71" i="33"/>
  <c r="M71" i="116"/>
  <c r="N71" i="116" s="1"/>
  <c r="P71" i="116" s="1"/>
  <c r="T71" i="116" s="1"/>
  <c r="N71" i="118"/>
  <c r="P71" i="118" s="1"/>
  <c r="T71" i="118" s="1"/>
  <c r="U71" i="33"/>
  <c r="N71" i="120"/>
  <c r="P71" i="120" s="1"/>
  <c r="W71" i="33"/>
  <c r="R12" i="33"/>
  <c r="N12" i="115"/>
  <c r="P12" i="115" s="1"/>
  <c r="T12" i="115" s="1"/>
  <c r="M12" i="117"/>
  <c r="N12" i="117" s="1"/>
  <c r="P12" i="117" s="1"/>
  <c r="T12" i="117" s="1"/>
  <c r="T12" i="33"/>
  <c r="M12" i="119"/>
  <c r="N12" i="119" s="1"/>
  <c r="P12" i="119" s="1"/>
  <c r="T12" i="119" s="1"/>
  <c r="V12" i="33"/>
  <c r="P12" i="33"/>
  <c r="M12" i="113"/>
  <c r="N12" i="113" s="1"/>
  <c r="P12" i="113" s="1"/>
  <c r="T12" i="113" s="1"/>
  <c r="M20" i="114"/>
  <c r="N20" i="114" s="1"/>
  <c r="P20" i="114" s="1"/>
  <c r="T20" i="114" s="1"/>
  <c r="Q20" i="33"/>
  <c r="M20" i="116"/>
  <c r="N20" i="116" s="1"/>
  <c r="P20" i="116" s="1"/>
  <c r="T20" i="116" s="1"/>
  <c r="S20" i="33"/>
  <c r="N20" i="118"/>
  <c r="P20" i="118" s="1"/>
  <c r="T20" i="118" s="1"/>
  <c r="U20" i="33"/>
  <c r="N20" i="120"/>
  <c r="P20" i="120" s="1"/>
  <c r="W20" i="33"/>
  <c r="R42" i="33"/>
  <c r="N42" i="115"/>
  <c r="P42" i="115" s="1"/>
  <c r="T42" i="115" s="1"/>
  <c r="AJ42" i="115" s="1"/>
  <c r="T42" i="33"/>
  <c r="M42" i="117"/>
  <c r="N42" i="117" s="1"/>
  <c r="P42" i="117" s="1"/>
  <c r="T42" i="117" s="1"/>
  <c r="AJ42" i="117" s="1"/>
  <c r="V42" i="33"/>
  <c r="M42" i="119"/>
  <c r="N42" i="119" s="1"/>
  <c r="P42" i="119" s="1"/>
  <c r="T42" i="119" s="1"/>
  <c r="AJ42" i="119" s="1"/>
  <c r="P42" i="33"/>
  <c r="M42" i="113"/>
  <c r="N42" i="113" s="1"/>
  <c r="P42" i="113" s="1"/>
  <c r="T42" i="113" s="1"/>
  <c r="Q34" i="33"/>
  <c r="M34" i="114"/>
  <c r="N34" i="114" s="1"/>
  <c r="P34" i="114" s="1"/>
  <c r="T34" i="114" s="1"/>
  <c r="S34" i="33"/>
  <c r="M34" i="116"/>
  <c r="N34" i="116" s="1"/>
  <c r="P34" i="116" s="1"/>
  <c r="T34" i="116" s="1"/>
  <c r="N34" i="118"/>
  <c r="P34" i="118" s="1"/>
  <c r="T34" i="118" s="1"/>
  <c r="U34" i="33"/>
  <c r="W34" i="33"/>
  <c r="N34" i="120"/>
  <c r="P34" i="120" s="1"/>
  <c r="Q67" i="33"/>
  <c r="M67" i="114"/>
  <c r="N67" i="114" s="1"/>
  <c r="P67" i="114" s="1"/>
  <c r="T67" i="114" s="1"/>
  <c r="M67" i="116"/>
  <c r="N67" i="116" s="1"/>
  <c r="P67" i="116" s="1"/>
  <c r="T67" i="116" s="1"/>
  <c r="S67" i="33"/>
  <c r="N67" i="118"/>
  <c r="P67" i="118" s="1"/>
  <c r="T67" i="118" s="1"/>
  <c r="U67" i="33"/>
  <c r="W67" i="33"/>
  <c r="N67" i="120"/>
  <c r="P67" i="120" s="1"/>
  <c r="N43" i="115"/>
  <c r="P43" i="115" s="1"/>
  <c r="T43" i="115" s="1"/>
  <c r="R43" i="33"/>
  <c r="M43" i="117"/>
  <c r="N43" i="117" s="1"/>
  <c r="P43" i="117" s="1"/>
  <c r="T43" i="117" s="1"/>
  <c r="T43" i="33"/>
  <c r="M43" i="119"/>
  <c r="N43" i="119" s="1"/>
  <c r="P43" i="119" s="1"/>
  <c r="T43" i="119" s="1"/>
  <c r="V43" i="33"/>
  <c r="P43" i="33"/>
  <c r="M43" i="113"/>
  <c r="N43" i="113" s="1"/>
  <c r="P43" i="113" s="1"/>
  <c r="T43" i="113" s="1"/>
  <c r="M27" i="114"/>
  <c r="N27" i="114" s="1"/>
  <c r="P27" i="114" s="1"/>
  <c r="T27" i="114" s="1"/>
  <c r="Q27" i="33"/>
  <c r="M27" i="116"/>
  <c r="N27" i="116" s="1"/>
  <c r="P27" i="116" s="1"/>
  <c r="T27" i="116" s="1"/>
  <c r="S27" i="33"/>
  <c r="N27" i="118"/>
  <c r="P27" i="118" s="1"/>
  <c r="T27" i="118" s="1"/>
  <c r="U27" i="33"/>
  <c r="N27" i="120"/>
  <c r="P27" i="120" s="1"/>
  <c r="W27" i="33"/>
  <c r="N51" i="115"/>
  <c r="P51" i="115" s="1"/>
  <c r="T51" i="115" s="1"/>
  <c r="R51" i="33"/>
  <c r="T51" i="33"/>
  <c r="M51" i="117"/>
  <c r="N51" i="117" s="1"/>
  <c r="P51" i="117" s="1"/>
  <c r="T51" i="117" s="1"/>
  <c r="M51" i="119"/>
  <c r="N51" i="119" s="1"/>
  <c r="P51" i="119" s="1"/>
  <c r="T51" i="119" s="1"/>
  <c r="V51" i="33"/>
  <c r="P51" i="33"/>
  <c r="M51" i="113"/>
  <c r="N51" i="113" s="1"/>
  <c r="P51" i="113" s="1"/>
  <c r="T51" i="113" s="1"/>
  <c r="Q58" i="33"/>
  <c r="M58" i="114"/>
  <c r="N58" i="114" s="1"/>
  <c r="P58" i="114" s="1"/>
  <c r="T58" i="114" s="1"/>
  <c r="M58" i="116"/>
  <c r="N58" i="116" s="1"/>
  <c r="P58" i="116" s="1"/>
  <c r="T58" i="116" s="1"/>
  <c r="S58" i="33"/>
  <c r="N58" i="118"/>
  <c r="P58" i="118" s="1"/>
  <c r="T58" i="118" s="1"/>
  <c r="U58" i="33"/>
  <c r="N58" i="120"/>
  <c r="P58" i="120" s="1"/>
  <c r="W58" i="33"/>
  <c r="N57" i="115"/>
  <c r="P57" i="115" s="1"/>
  <c r="T57" i="115" s="1"/>
  <c r="R57" i="33"/>
  <c r="M57" i="117"/>
  <c r="N57" i="117" s="1"/>
  <c r="P57" i="117" s="1"/>
  <c r="T57" i="117" s="1"/>
  <c r="T57" i="33"/>
  <c r="M57" i="119"/>
  <c r="N57" i="119" s="1"/>
  <c r="P57" i="119" s="1"/>
  <c r="T57" i="119" s="1"/>
  <c r="V57" i="33"/>
  <c r="P57" i="33"/>
  <c r="M57" i="113"/>
  <c r="N57" i="113" s="1"/>
  <c r="P57" i="113" s="1"/>
  <c r="T57" i="113" s="1"/>
  <c r="M29" i="114"/>
  <c r="N29" i="114" s="1"/>
  <c r="P29" i="114" s="1"/>
  <c r="T29" i="114" s="1"/>
  <c r="Q29" i="33"/>
  <c r="M29" i="116"/>
  <c r="N29" i="116" s="1"/>
  <c r="P29" i="116" s="1"/>
  <c r="T29" i="116" s="1"/>
  <c r="S29" i="33"/>
  <c r="N29" i="118"/>
  <c r="P29" i="118" s="1"/>
  <c r="T29" i="118" s="1"/>
  <c r="U29" i="33"/>
  <c r="N29" i="120"/>
  <c r="P29" i="120" s="1"/>
  <c r="W29" i="33"/>
  <c r="R53" i="33"/>
  <c r="N53" i="115"/>
  <c r="P53" i="115" s="1"/>
  <c r="T53" i="115" s="1"/>
  <c r="M53" i="117"/>
  <c r="N53" i="117" s="1"/>
  <c r="P53" i="117" s="1"/>
  <c r="T53" i="117" s="1"/>
  <c r="T53" i="33"/>
  <c r="V53" i="33"/>
  <c r="M53" i="119"/>
  <c r="N53" i="119" s="1"/>
  <c r="P53" i="119" s="1"/>
  <c r="T53" i="119" s="1"/>
  <c r="M53" i="113"/>
  <c r="N53" i="113" s="1"/>
  <c r="P53" i="113" s="1"/>
  <c r="T53" i="113" s="1"/>
  <c r="P53" i="33"/>
  <c r="M28" i="114"/>
  <c r="N28" i="114" s="1"/>
  <c r="P28" i="114" s="1"/>
  <c r="T28" i="114" s="1"/>
  <c r="Q28" i="33"/>
  <c r="M28" i="116"/>
  <c r="N28" i="116" s="1"/>
  <c r="P28" i="116" s="1"/>
  <c r="T28" i="116" s="1"/>
  <c r="S28" i="33"/>
  <c r="U28" i="33"/>
  <c r="N28" i="118"/>
  <c r="P28" i="118" s="1"/>
  <c r="T28" i="118" s="1"/>
  <c r="W28" i="33"/>
  <c r="N28" i="120"/>
  <c r="P28" i="120" s="1"/>
  <c r="R70" i="33"/>
  <c r="N70" i="115"/>
  <c r="P70" i="115" s="1"/>
  <c r="T70" i="115" s="1"/>
  <c r="T70" i="33"/>
  <c r="M70" i="117"/>
  <c r="N70" i="117" s="1"/>
  <c r="P70" i="117" s="1"/>
  <c r="T70" i="117" s="1"/>
  <c r="V70" i="33"/>
  <c r="M70" i="119"/>
  <c r="N70" i="119" s="1"/>
  <c r="P70" i="119" s="1"/>
  <c r="T70" i="119" s="1"/>
  <c r="P70" i="33"/>
  <c r="M70" i="113"/>
  <c r="N70" i="113" s="1"/>
  <c r="P70" i="113" s="1"/>
  <c r="T70" i="113" s="1"/>
  <c r="M8" i="114"/>
  <c r="N8" i="114" s="1"/>
  <c r="P8" i="114" s="1"/>
  <c r="T8" i="114" s="1"/>
  <c r="Q8" i="33"/>
  <c r="S8" i="33"/>
  <c r="M8" i="116"/>
  <c r="N8" i="116" s="1"/>
  <c r="P8" i="116" s="1"/>
  <c r="T8" i="116" s="1"/>
  <c r="N8" i="118"/>
  <c r="P8" i="118" s="1"/>
  <c r="T8" i="118" s="1"/>
  <c r="U8" i="33"/>
  <c r="W8" i="33"/>
  <c r="N8" i="120"/>
  <c r="P8" i="120" s="1"/>
  <c r="N71" i="115"/>
  <c r="P71" i="115" s="1"/>
  <c r="T71" i="115" s="1"/>
  <c r="R71" i="33"/>
  <c r="M71" i="117"/>
  <c r="N71" i="117" s="1"/>
  <c r="P71" i="117" s="1"/>
  <c r="T71" i="117" s="1"/>
  <c r="T71" i="33"/>
  <c r="M71" i="119"/>
  <c r="N71" i="119" s="1"/>
  <c r="P71" i="119" s="1"/>
  <c r="T71" i="119" s="1"/>
  <c r="V71" i="33"/>
  <c r="P71" i="33"/>
  <c r="M71" i="113"/>
  <c r="N71" i="113" s="1"/>
  <c r="P71" i="113" s="1"/>
  <c r="T71" i="113" s="1"/>
  <c r="Q69" i="33"/>
  <c r="M69" i="114"/>
  <c r="N69" i="114" s="1"/>
  <c r="P69" i="114" s="1"/>
  <c r="T69" i="114" s="1"/>
  <c r="S69" i="33"/>
  <c r="M69" i="116"/>
  <c r="N69" i="116" s="1"/>
  <c r="P69" i="116" s="1"/>
  <c r="T69" i="116" s="1"/>
  <c r="N69" i="118"/>
  <c r="P69" i="118" s="1"/>
  <c r="T69" i="118" s="1"/>
  <c r="U69" i="33"/>
  <c r="N69" i="120"/>
  <c r="P69" i="120" s="1"/>
  <c r="W69" i="33"/>
  <c r="N20" i="115"/>
  <c r="P20" i="115" s="1"/>
  <c r="T20" i="115" s="1"/>
  <c r="R20" i="33"/>
  <c r="M20" i="117"/>
  <c r="N20" i="117" s="1"/>
  <c r="P20" i="117" s="1"/>
  <c r="T20" i="117" s="1"/>
  <c r="T20" i="33"/>
  <c r="M20" i="119"/>
  <c r="N20" i="119" s="1"/>
  <c r="P20" i="119" s="1"/>
  <c r="T20" i="119" s="1"/>
  <c r="V20" i="33"/>
  <c r="P20" i="33"/>
  <c r="M20" i="113"/>
  <c r="N20" i="113" s="1"/>
  <c r="P20" i="113" s="1"/>
  <c r="T20" i="113" s="1"/>
  <c r="Q64" i="33"/>
  <c r="M64" i="114"/>
  <c r="N64" i="114" s="1"/>
  <c r="P64" i="114" s="1"/>
  <c r="T64" i="114" s="1"/>
  <c r="M64" i="116"/>
  <c r="N64" i="116" s="1"/>
  <c r="P64" i="116" s="1"/>
  <c r="T64" i="116" s="1"/>
  <c r="S64" i="33"/>
  <c r="N64" i="118"/>
  <c r="P64" i="118" s="1"/>
  <c r="T64" i="118" s="1"/>
  <c r="U64" i="33"/>
  <c r="W64" i="33"/>
  <c r="N64" i="120"/>
  <c r="P64" i="120" s="1"/>
  <c r="N67" i="115"/>
  <c r="P67" i="115" s="1"/>
  <c r="T67" i="115" s="1"/>
  <c r="R67" i="33"/>
  <c r="M67" i="117"/>
  <c r="N67" i="117" s="1"/>
  <c r="P67" i="117" s="1"/>
  <c r="T67" i="117" s="1"/>
  <c r="T67" i="33"/>
  <c r="V67" i="33"/>
  <c r="M67" i="119"/>
  <c r="N67" i="119" s="1"/>
  <c r="P67" i="119" s="1"/>
  <c r="T67" i="119" s="1"/>
  <c r="P67" i="33"/>
  <c r="M67" i="113"/>
  <c r="N67" i="113" s="1"/>
  <c r="P67" i="113" s="1"/>
  <c r="T67" i="113" s="1"/>
  <c r="M48" i="114"/>
  <c r="N48" i="114" s="1"/>
  <c r="P48" i="114" s="1"/>
  <c r="T48" i="114" s="1"/>
  <c r="Q48" i="33"/>
  <c r="M48" i="116"/>
  <c r="N48" i="116" s="1"/>
  <c r="P48" i="116" s="1"/>
  <c r="T48" i="116" s="1"/>
  <c r="S48" i="33"/>
  <c r="N48" i="118"/>
  <c r="P48" i="118" s="1"/>
  <c r="T48" i="118" s="1"/>
  <c r="U48" i="33"/>
  <c r="N48" i="120"/>
  <c r="P48" i="120" s="1"/>
  <c r="W48" i="33"/>
  <c r="R27" i="33"/>
  <c r="N27" i="115"/>
  <c r="P27" i="115" s="1"/>
  <c r="T27" i="115" s="1"/>
  <c r="M27" i="117"/>
  <c r="N27" i="117" s="1"/>
  <c r="P27" i="117" s="1"/>
  <c r="T27" i="117" s="1"/>
  <c r="T27" i="33"/>
  <c r="V27" i="33"/>
  <c r="M27" i="119"/>
  <c r="N27" i="119" s="1"/>
  <c r="P27" i="119" s="1"/>
  <c r="T27" i="119" s="1"/>
  <c r="P27" i="33"/>
  <c r="M27" i="113"/>
  <c r="N27" i="113" s="1"/>
  <c r="P27" i="113" s="1"/>
  <c r="T27" i="113" s="1"/>
  <c r="M30" i="114"/>
  <c r="N30" i="114" s="1"/>
  <c r="P30" i="114" s="1"/>
  <c r="T30" i="114" s="1"/>
  <c r="Q30" i="33"/>
  <c r="M30" i="116"/>
  <c r="N30" i="116" s="1"/>
  <c r="P30" i="116" s="1"/>
  <c r="T30" i="116" s="1"/>
  <c r="S30" i="33"/>
  <c r="U30" i="33"/>
  <c r="N30" i="118"/>
  <c r="P30" i="118" s="1"/>
  <c r="T30" i="118" s="1"/>
  <c r="N30" i="120"/>
  <c r="P30" i="120" s="1"/>
  <c r="W30" i="33"/>
  <c r="N58" i="115"/>
  <c r="P58" i="115" s="1"/>
  <c r="T58" i="115" s="1"/>
  <c r="R58" i="33"/>
  <c r="T58" i="33"/>
  <c r="M58" i="117"/>
  <c r="N58" i="117" s="1"/>
  <c r="P58" i="117" s="1"/>
  <c r="T58" i="117" s="1"/>
  <c r="V58" i="33"/>
  <c r="M58" i="119"/>
  <c r="N58" i="119" s="1"/>
  <c r="P58" i="119" s="1"/>
  <c r="T58" i="119" s="1"/>
  <c r="P58" i="33"/>
  <c r="M58" i="113"/>
  <c r="N58" i="113" s="1"/>
  <c r="P58" i="113" s="1"/>
  <c r="T58" i="113" s="1"/>
  <c r="Q56" i="33"/>
  <c r="M56" i="114"/>
  <c r="N56" i="114" s="1"/>
  <c r="P56" i="114" s="1"/>
  <c r="T56" i="114" s="1"/>
  <c r="M56" i="116"/>
  <c r="N56" i="116" s="1"/>
  <c r="P56" i="116" s="1"/>
  <c r="T56" i="116" s="1"/>
  <c r="S56" i="33"/>
  <c r="N56" i="118"/>
  <c r="P56" i="118" s="1"/>
  <c r="T56" i="118" s="1"/>
  <c r="U56" i="33"/>
  <c r="N56" i="120"/>
  <c r="P56" i="120" s="1"/>
  <c r="W56" i="33"/>
  <c r="N29" i="115"/>
  <c r="P29" i="115" s="1"/>
  <c r="T29" i="115" s="1"/>
  <c r="R29" i="33"/>
  <c r="M29" i="117"/>
  <c r="N29" i="117" s="1"/>
  <c r="P29" i="117" s="1"/>
  <c r="T29" i="117" s="1"/>
  <c r="T29" i="33"/>
  <c r="M29" i="119"/>
  <c r="N29" i="119" s="1"/>
  <c r="P29" i="119" s="1"/>
  <c r="T29" i="119" s="1"/>
  <c r="V29" i="33"/>
  <c r="P29" i="33"/>
  <c r="M29" i="113"/>
  <c r="N29" i="113" s="1"/>
  <c r="P29" i="113" s="1"/>
  <c r="T29" i="113" s="1"/>
  <c r="M32" i="114"/>
  <c r="N32" i="114" s="1"/>
  <c r="P32" i="114" s="1"/>
  <c r="T32" i="114" s="1"/>
  <c r="Q32" i="33"/>
  <c r="M32" i="116"/>
  <c r="N32" i="116" s="1"/>
  <c r="P32" i="116" s="1"/>
  <c r="T32" i="116" s="1"/>
  <c r="S32" i="33"/>
  <c r="U32" i="33"/>
  <c r="N32" i="118"/>
  <c r="P32" i="118" s="1"/>
  <c r="T32" i="118" s="1"/>
  <c r="W32" i="33"/>
  <c r="N32" i="120"/>
  <c r="P32" i="120" s="1"/>
  <c r="N28" i="115"/>
  <c r="P28" i="115" s="1"/>
  <c r="T28" i="115" s="1"/>
  <c r="R28" i="33"/>
  <c r="M28" i="117"/>
  <c r="N28" i="117" s="1"/>
  <c r="P28" i="117" s="1"/>
  <c r="T28" i="117" s="1"/>
  <c r="T28" i="33"/>
  <c r="M28" i="119"/>
  <c r="N28" i="119" s="1"/>
  <c r="P28" i="119" s="1"/>
  <c r="T28" i="119" s="1"/>
  <c r="V28" i="33"/>
  <c r="P28" i="33"/>
  <c r="M28" i="113"/>
  <c r="N28" i="113" s="1"/>
  <c r="P28" i="113" s="1"/>
  <c r="T28" i="113" s="1"/>
  <c r="Q22" i="33"/>
  <c r="M22" i="114"/>
  <c r="N22" i="114" s="1"/>
  <c r="P22" i="114" s="1"/>
  <c r="T22" i="114" s="1"/>
  <c r="S22" i="33"/>
  <c r="M22" i="116"/>
  <c r="N22" i="116" s="1"/>
  <c r="P22" i="116" s="1"/>
  <c r="T22" i="116" s="1"/>
  <c r="N22" i="118"/>
  <c r="P22" i="118" s="1"/>
  <c r="T22" i="118" s="1"/>
  <c r="U22" i="33"/>
  <c r="N22" i="120"/>
  <c r="P22" i="120" s="1"/>
  <c r="W22" i="33"/>
  <c r="N8" i="115"/>
  <c r="P8" i="115" s="1"/>
  <c r="T8" i="115" s="1"/>
  <c r="R8" i="33"/>
  <c r="M8" i="117"/>
  <c r="N8" i="117" s="1"/>
  <c r="P8" i="117" s="1"/>
  <c r="T8" i="117" s="1"/>
  <c r="T8" i="33"/>
  <c r="M8" i="119"/>
  <c r="N8" i="119" s="1"/>
  <c r="P8" i="119" s="1"/>
  <c r="T8" i="119" s="1"/>
  <c r="V8" i="33"/>
  <c r="P8" i="33"/>
  <c r="M8" i="113"/>
  <c r="N8" i="113" s="1"/>
  <c r="P8" i="113" s="1"/>
  <c r="T8" i="113" s="1"/>
  <c r="M26" i="114"/>
  <c r="N26" i="114" s="1"/>
  <c r="P26" i="114" s="1"/>
  <c r="T26" i="114" s="1"/>
  <c r="Q26" i="33"/>
  <c r="M26" i="116"/>
  <c r="N26" i="116" s="1"/>
  <c r="P26" i="116" s="1"/>
  <c r="T26" i="116" s="1"/>
  <c r="S26" i="33"/>
  <c r="U26" i="33"/>
  <c r="N26" i="118"/>
  <c r="P26" i="118" s="1"/>
  <c r="T26" i="118" s="1"/>
  <c r="N26" i="120"/>
  <c r="P26" i="120" s="1"/>
  <c r="W26" i="33"/>
  <c r="R39" i="116"/>
  <c r="R39" i="114"/>
  <c r="R46" i="113"/>
  <c r="R46" i="119"/>
  <c r="R46" i="117"/>
  <c r="R41" i="116"/>
  <c r="R38" i="113"/>
  <c r="R38" i="117"/>
  <c r="R65" i="116"/>
  <c r="R65" i="114"/>
  <c r="R73" i="119"/>
  <c r="R73" i="117"/>
  <c r="R73" i="115"/>
  <c r="R25" i="118"/>
  <c r="R55" i="113"/>
  <c r="R55" i="119"/>
  <c r="R55" i="115"/>
  <c r="R33" i="116"/>
  <c r="R33" i="114"/>
  <c r="R50" i="119"/>
  <c r="R50" i="115"/>
  <c r="R72" i="113"/>
  <c r="R75" i="116"/>
  <c r="R75" i="114"/>
  <c r="R68" i="119"/>
  <c r="R68" i="115"/>
  <c r="R62" i="118"/>
  <c r="R62" i="116"/>
  <c r="Q62" i="33"/>
  <c r="R11" i="119"/>
  <c r="R11" i="117"/>
  <c r="R17" i="118"/>
  <c r="R39" i="113"/>
  <c r="R39" i="119"/>
  <c r="R38" i="118"/>
  <c r="R24" i="119"/>
  <c r="R24" i="117"/>
  <c r="R73" i="114"/>
  <c r="R18" i="113"/>
  <c r="R55" i="118"/>
  <c r="R55" i="116"/>
  <c r="R59" i="117"/>
  <c r="R59" i="115"/>
  <c r="R50" i="118"/>
  <c r="R49" i="113"/>
  <c r="R49" i="119"/>
  <c r="R49" i="117"/>
  <c r="R49" i="115"/>
  <c r="R63" i="113"/>
  <c r="R68" i="116"/>
  <c r="R68" i="114"/>
  <c r="R36" i="115"/>
  <c r="R66" i="113"/>
  <c r="R66" i="119"/>
  <c r="R66" i="117"/>
  <c r="R66" i="115"/>
  <c r="R62" i="115"/>
  <c r="R40" i="118"/>
  <c r="R40" i="116"/>
  <c r="R40" i="114"/>
  <c r="R17" i="113"/>
  <c r="R17" i="117"/>
  <c r="R17" i="115"/>
  <c r="R54" i="118"/>
  <c r="R54" i="116"/>
  <c r="R52" i="115"/>
  <c r="R24" i="118"/>
  <c r="S24" i="118" s="1"/>
  <c r="R21" i="113"/>
  <c r="R18" i="116"/>
  <c r="R18" i="114"/>
  <c r="R47" i="119"/>
  <c r="R47" i="117"/>
  <c r="R59" i="118"/>
  <c r="S59" i="118" s="1"/>
  <c r="R59" i="116"/>
  <c r="R74" i="119"/>
  <c r="R74" i="117"/>
  <c r="R49" i="118"/>
  <c r="S49" i="118" s="1"/>
  <c r="R49" i="116"/>
  <c r="R37" i="115"/>
  <c r="R63" i="118"/>
  <c r="S63" i="118" s="1"/>
  <c r="R63" i="114"/>
  <c r="R35" i="113"/>
  <c r="R35" i="119"/>
  <c r="R35" i="117"/>
  <c r="R35" i="115"/>
  <c r="R36" i="118"/>
  <c r="S36" i="118" s="1"/>
  <c r="R36" i="116"/>
  <c r="R36" i="114"/>
  <c r="R13" i="119"/>
  <c r="R13" i="117"/>
  <c r="R66" i="118"/>
  <c r="S66" i="118" s="1"/>
  <c r="R45" i="113"/>
  <c r="R45" i="119"/>
  <c r="R45" i="117"/>
  <c r="R45" i="115"/>
  <c r="R40" i="117"/>
  <c r="R40" i="115"/>
  <c r="R46" i="118"/>
  <c r="S46" i="118" s="1"/>
  <c r="R46" i="116"/>
  <c r="R46" i="114"/>
  <c r="R54" i="119"/>
  <c r="R54" i="117"/>
  <c r="R52" i="118"/>
  <c r="R41" i="113"/>
  <c r="R21" i="116"/>
  <c r="R21" i="114"/>
  <c r="R65" i="117"/>
  <c r="R47" i="118"/>
  <c r="R47" i="116"/>
  <c r="R25" i="113"/>
  <c r="R25" i="115"/>
  <c r="R74" i="116"/>
  <c r="R74" i="114"/>
  <c r="R33" i="119"/>
  <c r="R33" i="115"/>
  <c r="R14" i="113"/>
  <c r="R35" i="116"/>
  <c r="R75" i="117"/>
  <c r="R62" i="119"/>
  <c r="M10" i="114"/>
  <c r="N10" i="114" s="1"/>
  <c r="P10" i="114" s="1"/>
  <c r="T10" i="114" s="1"/>
  <c r="Q10" i="33"/>
  <c r="M10" i="116"/>
  <c r="N10" i="116" s="1"/>
  <c r="P10" i="116" s="1"/>
  <c r="T10" i="116" s="1"/>
  <c r="S10" i="33"/>
  <c r="N10" i="118"/>
  <c r="P10" i="118" s="1"/>
  <c r="T10" i="118" s="1"/>
  <c r="U10" i="33"/>
  <c r="N10" i="120"/>
  <c r="P10" i="120" s="1"/>
  <c r="W10" i="33"/>
  <c r="R69" i="33"/>
  <c r="N69" i="115"/>
  <c r="P69" i="115" s="1"/>
  <c r="T69" i="115" s="1"/>
  <c r="T69" i="33"/>
  <c r="M69" i="117"/>
  <c r="N69" i="117" s="1"/>
  <c r="P69" i="117" s="1"/>
  <c r="T69" i="117" s="1"/>
  <c r="V69" i="33"/>
  <c r="M69" i="119"/>
  <c r="N69" i="119" s="1"/>
  <c r="P69" i="119" s="1"/>
  <c r="T69" i="119" s="1"/>
  <c r="M69" i="113"/>
  <c r="N69" i="113" s="1"/>
  <c r="P69" i="113" s="1"/>
  <c r="T69" i="113" s="1"/>
  <c r="P69" i="33"/>
  <c r="M44" i="114"/>
  <c r="N44" i="114" s="1"/>
  <c r="P44" i="114" s="1"/>
  <c r="T44" i="114" s="1"/>
  <c r="Q44" i="33"/>
  <c r="M44" i="116"/>
  <c r="N44" i="116" s="1"/>
  <c r="P44" i="116" s="1"/>
  <c r="T44" i="116" s="1"/>
  <c r="S44" i="33"/>
  <c r="N44" i="118"/>
  <c r="P44" i="118" s="1"/>
  <c r="T44" i="118" s="1"/>
  <c r="U44" i="33"/>
  <c r="N44" i="120"/>
  <c r="P44" i="120" s="1"/>
  <c r="W44" i="33"/>
  <c r="N64" i="115"/>
  <c r="P64" i="115" s="1"/>
  <c r="T64" i="115" s="1"/>
  <c r="R64" i="33"/>
  <c r="M64" i="117"/>
  <c r="N64" i="117" s="1"/>
  <c r="P64" i="117" s="1"/>
  <c r="T64" i="117" s="1"/>
  <c r="T64" i="33"/>
  <c r="V64" i="33"/>
  <c r="M64" i="119"/>
  <c r="N64" i="119" s="1"/>
  <c r="P64" i="119" s="1"/>
  <c r="T64" i="119" s="1"/>
  <c r="P64" i="33"/>
  <c r="M64" i="113"/>
  <c r="N64" i="113" s="1"/>
  <c r="P64" i="113" s="1"/>
  <c r="T64" i="113" s="1"/>
  <c r="Q23" i="33"/>
  <c r="M23" i="114"/>
  <c r="N23" i="114" s="1"/>
  <c r="P23" i="114" s="1"/>
  <c r="T23" i="114" s="1"/>
  <c r="M23" i="116"/>
  <c r="N23" i="116" s="1"/>
  <c r="P23" i="116" s="1"/>
  <c r="T23" i="116" s="1"/>
  <c r="S23" i="33"/>
  <c r="U23" i="33"/>
  <c r="N23" i="118"/>
  <c r="P23" i="118" s="1"/>
  <c r="T23" i="118" s="1"/>
  <c r="W23" i="33"/>
  <c r="N23" i="120"/>
  <c r="P23" i="120" s="1"/>
  <c r="AE74" i="33"/>
  <c r="O73" i="80"/>
  <c r="Q73" i="80" s="1"/>
  <c r="U73" i="80" s="1"/>
  <c r="AE33" i="33"/>
  <c r="O32" i="80"/>
  <c r="Q32" i="80" s="1"/>
  <c r="U32" i="80" s="1"/>
  <c r="O49" i="80"/>
  <c r="Q49" i="80" s="1"/>
  <c r="U49" i="80" s="1"/>
  <c r="AE50" i="33"/>
  <c r="AD52" i="33"/>
  <c r="N51" i="76"/>
  <c r="O51" i="76" s="1"/>
  <c r="Q51" i="76" s="1"/>
  <c r="U51" i="76" s="1"/>
  <c r="AE38" i="33"/>
  <c r="O37" i="80"/>
  <c r="Q37" i="80" s="1"/>
  <c r="U37" i="80" s="1"/>
  <c r="AD24" i="33"/>
  <c r="N23" i="76"/>
  <c r="O23" i="76" s="1"/>
  <c r="Q23" i="76" s="1"/>
  <c r="U23" i="76" s="1"/>
  <c r="AD21" i="33"/>
  <c r="N20" i="76"/>
  <c r="O20" i="76" s="1"/>
  <c r="Q20" i="76" s="1"/>
  <c r="U20" i="76" s="1"/>
  <c r="AE21" i="33"/>
  <c r="O20" i="80"/>
  <c r="Q20" i="80" s="1"/>
  <c r="U20" i="80" s="1"/>
  <c r="O64" i="80"/>
  <c r="Q64" i="80" s="1"/>
  <c r="U64" i="80" s="1"/>
  <c r="AE65" i="33"/>
  <c r="AE73" i="33"/>
  <c r="O72" i="80"/>
  <c r="Q72" i="80" s="1"/>
  <c r="U72" i="80" s="1"/>
  <c r="AD18" i="33"/>
  <c r="N17" i="76"/>
  <c r="O17" i="76" s="1"/>
  <c r="Q17" i="76" s="1"/>
  <c r="U17" i="76" s="1"/>
  <c r="AE18" i="33"/>
  <c r="O17" i="80"/>
  <c r="Q17" i="80" s="1"/>
  <c r="U17" i="80" s="1"/>
  <c r="AE55" i="33"/>
  <c r="O54" i="80"/>
  <c r="Q54" i="80" s="1"/>
  <c r="U54" i="80" s="1"/>
  <c r="AD13" i="33"/>
  <c r="N12" i="76"/>
  <c r="O12" i="76" s="1"/>
  <c r="Q12" i="76" s="1"/>
  <c r="U12" i="76" s="1"/>
  <c r="AE13" i="33"/>
  <c r="O12" i="80"/>
  <c r="Q12" i="80" s="1"/>
  <c r="U12" i="80" s="1"/>
  <c r="AE62" i="33"/>
  <c r="O61" i="80"/>
  <c r="Q61" i="80" s="1"/>
  <c r="U61" i="80" s="1"/>
  <c r="AD17" i="33"/>
  <c r="N16" i="76"/>
  <c r="O16" i="76" s="1"/>
  <c r="Q16" i="76" s="1"/>
  <c r="U16" i="76" s="1"/>
  <c r="AE17" i="33"/>
  <c r="O16" i="80"/>
  <c r="Q16" i="80" s="1"/>
  <c r="U16" i="80" s="1"/>
  <c r="AE39" i="33"/>
  <c r="O38" i="80"/>
  <c r="Q38" i="80" s="1"/>
  <c r="U38" i="80" s="1"/>
  <c r="AE54" i="33"/>
  <c r="O53" i="80"/>
  <c r="Q53" i="80" s="1"/>
  <c r="U53" i="80" s="1"/>
  <c r="AE49" i="33"/>
  <c r="O48" i="80"/>
  <c r="Q48" i="80" s="1"/>
  <c r="U48" i="80" s="1"/>
  <c r="AD14" i="33"/>
  <c r="N13" i="76"/>
  <c r="O13" i="76" s="1"/>
  <c r="Q13" i="76" s="1"/>
  <c r="U13" i="76" s="1"/>
  <c r="AE14" i="33"/>
  <c r="O13" i="80"/>
  <c r="Q13" i="80" s="1"/>
  <c r="U13" i="80" s="1"/>
  <c r="AE35" i="33"/>
  <c r="O34" i="80"/>
  <c r="Q34" i="80" s="1"/>
  <c r="U34" i="80" s="1"/>
  <c r="AE75" i="33"/>
  <c r="O74" i="80"/>
  <c r="Q74" i="80" s="1"/>
  <c r="U74" i="80" s="1"/>
  <c r="AD11" i="33"/>
  <c r="N10" i="76"/>
  <c r="O10" i="76" s="1"/>
  <c r="Q10" i="76" s="1"/>
  <c r="U10" i="76" s="1"/>
  <c r="AE11" i="33"/>
  <c r="O10" i="80"/>
  <c r="Q10" i="80" s="1"/>
  <c r="U10" i="80" s="1"/>
  <c r="AE66" i="33"/>
  <c r="O65" i="80"/>
  <c r="Q65" i="80" s="1"/>
  <c r="U65" i="80" s="1"/>
  <c r="AE59" i="33"/>
  <c r="O58" i="80"/>
  <c r="Q58" i="80" s="1"/>
  <c r="U58" i="80" s="1"/>
  <c r="O45" i="80"/>
  <c r="Q45" i="80" s="1"/>
  <c r="U45" i="80" s="1"/>
  <c r="AE46" i="33"/>
  <c r="O36" i="80"/>
  <c r="Q36" i="80" s="1"/>
  <c r="U36" i="80" s="1"/>
  <c r="AE37" i="33"/>
  <c r="AD40" i="33"/>
  <c r="N39" i="76"/>
  <c r="O39" i="76" s="1"/>
  <c r="Q39" i="76" s="1"/>
  <c r="U39" i="76" s="1"/>
  <c r="AE41" i="33"/>
  <c r="O40" i="80"/>
  <c r="Q40" i="80" s="1"/>
  <c r="U40" i="80" s="1"/>
  <c r="AE47" i="33"/>
  <c r="O46" i="80"/>
  <c r="Q46" i="80" s="1"/>
  <c r="U46" i="80" s="1"/>
  <c r="AD25" i="33"/>
  <c r="N24" i="76"/>
  <c r="O24" i="76" s="1"/>
  <c r="Q24" i="76" s="1"/>
  <c r="U24" i="76" s="1"/>
  <c r="AE25" i="33"/>
  <c r="O24" i="80"/>
  <c r="Q24" i="80" s="1"/>
  <c r="U24" i="80" s="1"/>
  <c r="AD72" i="33"/>
  <c r="N71" i="76"/>
  <c r="O71" i="76" s="1"/>
  <c r="Q71" i="76" s="1"/>
  <c r="U71" i="76" s="1"/>
  <c r="O62" i="80"/>
  <c r="Q62" i="80" s="1"/>
  <c r="U62" i="80" s="1"/>
  <c r="AE63" i="33"/>
  <c r="AD68" i="33"/>
  <c r="N67" i="76"/>
  <c r="O67" i="76" s="1"/>
  <c r="Q67" i="76" s="1"/>
  <c r="U67" i="76" s="1"/>
  <c r="AD36" i="33"/>
  <c r="N35" i="76"/>
  <c r="O35" i="76" s="1"/>
  <c r="Q35" i="76" s="1"/>
  <c r="U35" i="76" s="1"/>
  <c r="AE45" i="33"/>
  <c r="O44" i="80"/>
  <c r="Q44" i="80" s="1"/>
  <c r="U44" i="80" s="1"/>
  <c r="N48" i="115"/>
  <c r="P48" i="115" s="1"/>
  <c r="T48" i="115" s="1"/>
  <c r="R48" i="33"/>
  <c r="M48" i="117"/>
  <c r="N48" i="117" s="1"/>
  <c r="P48" i="117" s="1"/>
  <c r="T48" i="117" s="1"/>
  <c r="T48" i="33"/>
  <c r="M48" i="119"/>
  <c r="N48" i="119" s="1"/>
  <c r="P48" i="119" s="1"/>
  <c r="T48" i="119" s="1"/>
  <c r="V48" i="33"/>
  <c r="P48" i="33"/>
  <c r="M48" i="113"/>
  <c r="N48" i="113" s="1"/>
  <c r="P48" i="113" s="1"/>
  <c r="T48" i="113" s="1"/>
  <c r="Q61" i="33"/>
  <c r="M61" i="114"/>
  <c r="N61" i="114" s="1"/>
  <c r="P61" i="114" s="1"/>
  <c r="T61" i="114" s="1"/>
  <c r="M61" i="116"/>
  <c r="N61" i="116" s="1"/>
  <c r="P61" i="116" s="1"/>
  <c r="T61" i="116" s="1"/>
  <c r="S61" i="33"/>
  <c r="U61" i="33"/>
  <c r="N61" i="118"/>
  <c r="P61" i="118" s="1"/>
  <c r="T61" i="118" s="1"/>
  <c r="N61" i="120"/>
  <c r="P61" i="120" s="1"/>
  <c r="W61" i="33"/>
  <c r="N30" i="115"/>
  <c r="P30" i="115" s="1"/>
  <c r="T30" i="115" s="1"/>
  <c r="R30" i="33"/>
  <c r="M30" i="117"/>
  <c r="N30" i="117" s="1"/>
  <c r="P30" i="117" s="1"/>
  <c r="T30" i="117" s="1"/>
  <c r="T30" i="33"/>
  <c r="V30" i="33"/>
  <c r="M30" i="119"/>
  <c r="N30" i="119" s="1"/>
  <c r="P30" i="119" s="1"/>
  <c r="T30" i="119" s="1"/>
  <c r="P30" i="33"/>
  <c r="M30" i="113"/>
  <c r="N30" i="113" s="1"/>
  <c r="P30" i="113" s="1"/>
  <c r="T30" i="113" s="1"/>
  <c r="M60" i="114"/>
  <c r="N60" i="114" s="1"/>
  <c r="P60" i="114" s="1"/>
  <c r="T60" i="114" s="1"/>
  <c r="Q60" i="33"/>
  <c r="M60" i="116"/>
  <c r="N60" i="116" s="1"/>
  <c r="P60" i="116" s="1"/>
  <c r="T60" i="116" s="1"/>
  <c r="S60" i="33"/>
  <c r="N60" i="118"/>
  <c r="P60" i="118" s="1"/>
  <c r="T60" i="118" s="1"/>
  <c r="U60" i="33"/>
  <c r="N60" i="120"/>
  <c r="P60" i="120" s="1"/>
  <c r="W60" i="33"/>
  <c r="N56" i="115"/>
  <c r="P56" i="115" s="1"/>
  <c r="T56" i="115" s="1"/>
  <c r="R56" i="33"/>
  <c r="M56" i="117"/>
  <c r="N56" i="117" s="1"/>
  <c r="P56" i="117" s="1"/>
  <c r="T56" i="117" s="1"/>
  <c r="T56" i="33"/>
  <c r="M56" i="119"/>
  <c r="N56" i="119" s="1"/>
  <c r="P56" i="119" s="1"/>
  <c r="T56" i="119" s="1"/>
  <c r="V56" i="33"/>
  <c r="P56" i="33"/>
  <c r="M56" i="113"/>
  <c r="N56" i="113" s="1"/>
  <c r="P56" i="113" s="1"/>
  <c r="T56" i="113" s="1"/>
  <c r="M16" i="114"/>
  <c r="N16" i="114" s="1"/>
  <c r="P16" i="114" s="1"/>
  <c r="T16" i="114" s="1"/>
  <c r="Q16" i="33"/>
  <c r="M16" i="116"/>
  <c r="N16" i="116" s="1"/>
  <c r="P16" i="116" s="1"/>
  <c r="T16" i="116" s="1"/>
  <c r="S16" i="33"/>
  <c r="N16" i="118"/>
  <c r="P16" i="118" s="1"/>
  <c r="T16" i="118" s="1"/>
  <c r="U16" i="33"/>
  <c r="W16" i="33"/>
  <c r="N16" i="120"/>
  <c r="P16" i="120" s="1"/>
  <c r="N32" i="115"/>
  <c r="P32" i="115" s="1"/>
  <c r="T32" i="115" s="1"/>
  <c r="R32" i="33"/>
  <c r="T32" i="33"/>
  <c r="M32" i="117"/>
  <c r="N32" i="117" s="1"/>
  <c r="P32" i="117" s="1"/>
  <c r="T32" i="117" s="1"/>
  <c r="M32" i="119"/>
  <c r="N32" i="119" s="1"/>
  <c r="P32" i="119" s="1"/>
  <c r="T32" i="119" s="1"/>
  <c r="V32" i="33"/>
  <c r="P32" i="33"/>
  <c r="M32" i="113"/>
  <c r="N32" i="113" s="1"/>
  <c r="P32" i="113" s="1"/>
  <c r="T32" i="113" s="1"/>
  <c r="M31" i="114"/>
  <c r="N31" i="114" s="1"/>
  <c r="P31" i="114" s="1"/>
  <c r="T31" i="114" s="1"/>
  <c r="Q31" i="33"/>
  <c r="S31" i="33"/>
  <c r="M31" i="116"/>
  <c r="N31" i="116" s="1"/>
  <c r="P31" i="116" s="1"/>
  <c r="T31" i="116" s="1"/>
  <c r="U31" i="33"/>
  <c r="N31" i="118"/>
  <c r="P31" i="118" s="1"/>
  <c r="T31" i="118" s="1"/>
  <c r="W31" i="33"/>
  <c r="N31" i="120"/>
  <c r="P31" i="120" s="1"/>
  <c r="N22" i="115"/>
  <c r="P22" i="115" s="1"/>
  <c r="T22" i="115" s="1"/>
  <c r="R22" i="33"/>
  <c r="T22" i="33"/>
  <c r="M22" i="117"/>
  <c r="N22" i="117" s="1"/>
  <c r="P22" i="117" s="1"/>
  <c r="T22" i="117" s="1"/>
  <c r="V22" i="33"/>
  <c r="M22" i="119"/>
  <c r="N22" i="119" s="1"/>
  <c r="P22" i="119" s="1"/>
  <c r="T22" i="119" s="1"/>
  <c r="P22" i="33"/>
  <c r="M22" i="113"/>
  <c r="N22" i="113" s="1"/>
  <c r="P22" i="113" s="1"/>
  <c r="T22" i="113" s="1"/>
  <c r="M9" i="114"/>
  <c r="N9" i="114" s="1"/>
  <c r="P9" i="114" s="1"/>
  <c r="T9" i="114" s="1"/>
  <c r="Q9" i="33"/>
  <c r="M9" i="116"/>
  <c r="N9" i="116" s="1"/>
  <c r="P9" i="116" s="1"/>
  <c r="T9" i="116" s="1"/>
  <c r="S9" i="33"/>
  <c r="N9" i="118"/>
  <c r="P9" i="118" s="1"/>
  <c r="T9" i="118" s="1"/>
  <c r="U9" i="33"/>
  <c r="N9" i="120"/>
  <c r="P9" i="120" s="1"/>
  <c r="W9" i="33"/>
  <c r="N26" i="115"/>
  <c r="P26" i="115" s="1"/>
  <c r="T26" i="115" s="1"/>
  <c r="R26" i="33"/>
  <c r="M26" i="117"/>
  <c r="N26" i="117" s="1"/>
  <c r="P26" i="117" s="1"/>
  <c r="T26" i="117" s="1"/>
  <c r="T26" i="33"/>
  <c r="M26" i="119"/>
  <c r="N26" i="119" s="1"/>
  <c r="P26" i="119" s="1"/>
  <c r="T26" i="119" s="1"/>
  <c r="V26" i="33"/>
  <c r="P26" i="33"/>
  <c r="M26" i="113"/>
  <c r="N26" i="113" s="1"/>
  <c r="P26" i="113" s="1"/>
  <c r="T26" i="113" s="1"/>
  <c r="N10" i="115"/>
  <c r="P10" i="115" s="1"/>
  <c r="T10" i="115" s="1"/>
  <c r="R10" i="33"/>
  <c r="M10" i="117"/>
  <c r="N10" i="117" s="1"/>
  <c r="P10" i="117" s="1"/>
  <c r="T10" i="117" s="1"/>
  <c r="T10" i="33"/>
  <c r="M10" i="119"/>
  <c r="N10" i="119" s="1"/>
  <c r="P10" i="119" s="1"/>
  <c r="T10" i="119" s="1"/>
  <c r="V10" i="33"/>
  <c r="P10" i="33"/>
  <c r="M10" i="113"/>
  <c r="N10" i="113" s="1"/>
  <c r="P10" i="113" s="1"/>
  <c r="T10" i="113" s="1"/>
  <c r="M19" i="114"/>
  <c r="N19" i="114" s="1"/>
  <c r="P19" i="114" s="1"/>
  <c r="T19" i="114" s="1"/>
  <c r="Q19" i="33"/>
  <c r="M19" i="116"/>
  <c r="N19" i="116" s="1"/>
  <c r="P19" i="116" s="1"/>
  <c r="T19" i="116" s="1"/>
  <c r="S19" i="33"/>
  <c r="N19" i="118"/>
  <c r="P19" i="118" s="1"/>
  <c r="T19" i="118" s="1"/>
  <c r="U19" i="33"/>
  <c r="N19" i="120"/>
  <c r="P19" i="120" s="1"/>
  <c r="W19" i="33"/>
  <c r="N44" i="115"/>
  <c r="P44" i="115" s="1"/>
  <c r="T44" i="115" s="1"/>
  <c r="R44" i="33"/>
  <c r="M44" i="117"/>
  <c r="N44" i="117" s="1"/>
  <c r="P44" i="117" s="1"/>
  <c r="T44" i="117" s="1"/>
  <c r="T44" i="33"/>
  <c r="M44" i="119"/>
  <c r="N44" i="119" s="1"/>
  <c r="P44" i="119" s="1"/>
  <c r="T44" i="119" s="1"/>
  <c r="V44" i="33"/>
  <c r="P44" i="33"/>
  <c r="M44" i="113"/>
  <c r="N44" i="113" s="1"/>
  <c r="P44" i="113" s="1"/>
  <c r="T44" i="113" s="1"/>
  <c r="Q12" i="33"/>
  <c r="M12" i="114"/>
  <c r="N12" i="114" s="1"/>
  <c r="P12" i="114" s="1"/>
  <c r="T12" i="114" s="1"/>
  <c r="M12" i="116"/>
  <c r="N12" i="116" s="1"/>
  <c r="P12" i="116" s="1"/>
  <c r="T12" i="116" s="1"/>
  <c r="S12" i="33"/>
  <c r="U12" i="33"/>
  <c r="N12" i="118"/>
  <c r="P12" i="118" s="1"/>
  <c r="T12" i="118" s="1"/>
  <c r="N12" i="120"/>
  <c r="P12" i="120" s="1"/>
  <c r="W12" i="33"/>
  <c r="R23" i="33"/>
  <c r="N23" i="115"/>
  <c r="P23" i="115" s="1"/>
  <c r="T23" i="115" s="1"/>
  <c r="M23" i="117"/>
  <c r="N23" i="117" s="1"/>
  <c r="P23" i="117" s="1"/>
  <c r="T23" i="117" s="1"/>
  <c r="T23" i="33"/>
  <c r="V23" i="33"/>
  <c r="M23" i="119"/>
  <c r="N23" i="119" s="1"/>
  <c r="P23" i="119" s="1"/>
  <c r="T23" i="119" s="1"/>
  <c r="M23" i="113"/>
  <c r="N23" i="113" s="1"/>
  <c r="P23" i="113" s="1"/>
  <c r="T23" i="113" s="1"/>
  <c r="P23" i="33"/>
  <c r="Q42" i="33"/>
  <c r="M42" i="114"/>
  <c r="N42" i="114" s="1"/>
  <c r="P42" i="114" s="1"/>
  <c r="T42" i="114" s="1"/>
  <c r="AJ42" i="114" s="1"/>
  <c r="M42" i="116"/>
  <c r="N42" i="116" s="1"/>
  <c r="P42" i="116" s="1"/>
  <c r="T42" i="116" s="1"/>
  <c r="AJ42" i="116" s="1"/>
  <c r="S42" i="33"/>
  <c r="U42" i="33"/>
  <c r="N42" i="118"/>
  <c r="P42" i="118" s="1"/>
  <c r="T42" i="118" s="1"/>
  <c r="AJ42" i="118" s="1"/>
  <c r="W42" i="33"/>
  <c r="N42" i="120"/>
  <c r="P42" i="120" s="1"/>
  <c r="N34" i="115"/>
  <c r="P34" i="115" s="1"/>
  <c r="T34" i="115" s="1"/>
  <c r="R34" i="33"/>
  <c r="T34" i="33"/>
  <c r="M34" i="117"/>
  <c r="N34" i="117" s="1"/>
  <c r="P34" i="117" s="1"/>
  <c r="T34" i="117" s="1"/>
  <c r="V34" i="33"/>
  <c r="M34" i="119"/>
  <c r="N34" i="119" s="1"/>
  <c r="P34" i="119" s="1"/>
  <c r="T34" i="119" s="1"/>
  <c r="M34" i="113"/>
  <c r="N34" i="113" s="1"/>
  <c r="P34" i="113" s="1"/>
  <c r="T34" i="113" s="1"/>
  <c r="P34" i="33"/>
  <c r="R76" i="114"/>
  <c r="N61" i="115"/>
  <c r="P61" i="115" s="1"/>
  <c r="T61" i="115" s="1"/>
  <c r="R61" i="33"/>
  <c r="M61" i="117"/>
  <c r="N61" i="117" s="1"/>
  <c r="P61" i="117" s="1"/>
  <c r="T61" i="117" s="1"/>
  <c r="T61" i="33"/>
  <c r="V61" i="33"/>
  <c r="M61" i="119"/>
  <c r="N61" i="119" s="1"/>
  <c r="P61" i="119" s="1"/>
  <c r="T61" i="119" s="1"/>
  <c r="P61" i="33"/>
  <c r="M61" i="113"/>
  <c r="N61" i="113" s="1"/>
  <c r="P61" i="113" s="1"/>
  <c r="T61" i="113" s="1"/>
  <c r="M43" i="114"/>
  <c r="N43" i="114" s="1"/>
  <c r="P43" i="114" s="1"/>
  <c r="T43" i="114" s="1"/>
  <c r="Q43" i="33"/>
  <c r="M43" i="116"/>
  <c r="N43" i="116" s="1"/>
  <c r="P43" i="116" s="1"/>
  <c r="T43" i="116" s="1"/>
  <c r="S43" i="33"/>
  <c r="U43" i="33"/>
  <c r="N43" i="118"/>
  <c r="P43" i="118" s="1"/>
  <c r="T43" i="118" s="1"/>
  <c r="W43" i="33"/>
  <c r="N43" i="120"/>
  <c r="P43" i="120" s="1"/>
  <c r="N60" i="115"/>
  <c r="P60" i="115" s="1"/>
  <c r="T60" i="115" s="1"/>
  <c r="R60" i="33"/>
  <c r="T60" i="33"/>
  <c r="M60" i="117"/>
  <c r="N60" i="117" s="1"/>
  <c r="P60" i="117" s="1"/>
  <c r="T60" i="117" s="1"/>
  <c r="V60" i="33"/>
  <c r="M60" i="119"/>
  <c r="N60" i="119" s="1"/>
  <c r="P60" i="119" s="1"/>
  <c r="T60" i="119" s="1"/>
  <c r="P60" i="33"/>
  <c r="M60" i="113"/>
  <c r="N60" i="113" s="1"/>
  <c r="P60" i="113" s="1"/>
  <c r="T60" i="113" s="1"/>
  <c r="Q51" i="33"/>
  <c r="M51" i="114"/>
  <c r="N51" i="114" s="1"/>
  <c r="P51" i="114" s="1"/>
  <c r="T51" i="114" s="1"/>
  <c r="M51" i="116"/>
  <c r="N51" i="116" s="1"/>
  <c r="P51" i="116" s="1"/>
  <c r="T51" i="116" s="1"/>
  <c r="S51" i="33"/>
  <c r="U51" i="33"/>
  <c r="N51" i="118"/>
  <c r="P51" i="118" s="1"/>
  <c r="T51" i="118" s="1"/>
  <c r="W51" i="33"/>
  <c r="N51" i="120"/>
  <c r="P51" i="120" s="1"/>
  <c r="N16" i="115"/>
  <c r="P16" i="115" s="1"/>
  <c r="T16" i="115" s="1"/>
  <c r="R16" i="33"/>
  <c r="T16" i="33"/>
  <c r="M16" i="117"/>
  <c r="N16" i="117" s="1"/>
  <c r="P16" i="117" s="1"/>
  <c r="T16" i="117" s="1"/>
  <c r="M16" i="119"/>
  <c r="N16" i="119" s="1"/>
  <c r="P16" i="119" s="1"/>
  <c r="T16" i="119" s="1"/>
  <c r="V16" i="33"/>
  <c r="P16" i="33"/>
  <c r="M16" i="113"/>
  <c r="N16" i="113" s="1"/>
  <c r="P16" i="113" s="1"/>
  <c r="T16" i="113" s="1"/>
  <c r="M57" i="114"/>
  <c r="N57" i="114" s="1"/>
  <c r="P57" i="114" s="1"/>
  <c r="T57" i="114" s="1"/>
  <c r="Q57" i="33"/>
  <c r="M57" i="116"/>
  <c r="N57" i="116" s="1"/>
  <c r="P57" i="116" s="1"/>
  <c r="T57" i="116" s="1"/>
  <c r="S57" i="33"/>
  <c r="U57" i="33"/>
  <c r="N57" i="118"/>
  <c r="P57" i="118" s="1"/>
  <c r="T57" i="118" s="1"/>
  <c r="W57" i="33"/>
  <c r="N57" i="120"/>
  <c r="P57" i="120" s="1"/>
  <c r="R31" i="33"/>
  <c r="N31" i="115"/>
  <c r="P31" i="115" s="1"/>
  <c r="T31" i="115" s="1"/>
  <c r="T31" i="33"/>
  <c r="M31" i="117"/>
  <c r="N31" i="117" s="1"/>
  <c r="P31" i="117" s="1"/>
  <c r="T31" i="117" s="1"/>
  <c r="M31" i="119"/>
  <c r="N31" i="119" s="1"/>
  <c r="P31" i="119" s="1"/>
  <c r="T31" i="119" s="1"/>
  <c r="V31" i="33"/>
  <c r="P31" i="33"/>
  <c r="M31" i="113"/>
  <c r="N31" i="113" s="1"/>
  <c r="P31" i="113" s="1"/>
  <c r="T31" i="113" s="1"/>
  <c r="Q53" i="33"/>
  <c r="M53" i="114"/>
  <c r="N53" i="114" s="1"/>
  <c r="P53" i="114" s="1"/>
  <c r="T53" i="114" s="1"/>
  <c r="M53" i="116"/>
  <c r="N53" i="116" s="1"/>
  <c r="P53" i="116" s="1"/>
  <c r="T53" i="116" s="1"/>
  <c r="S53" i="33"/>
  <c r="N53" i="118"/>
  <c r="P53" i="118" s="1"/>
  <c r="T53" i="118" s="1"/>
  <c r="U53" i="33"/>
  <c r="W53" i="33"/>
  <c r="N53" i="120"/>
  <c r="P53" i="120" s="1"/>
  <c r="N9" i="115"/>
  <c r="P9" i="115" s="1"/>
  <c r="T9" i="115" s="1"/>
  <c r="R9" i="33"/>
  <c r="T9" i="33"/>
  <c r="M9" i="117"/>
  <c r="N9" i="117" s="1"/>
  <c r="P9" i="117" s="1"/>
  <c r="T9" i="117" s="1"/>
  <c r="M9" i="119"/>
  <c r="N9" i="119" s="1"/>
  <c r="P9" i="119" s="1"/>
  <c r="T9" i="119" s="1"/>
  <c r="V9" i="33"/>
  <c r="P9" i="33"/>
  <c r="M9" i="113"/>
  <c r="N9" i="113" s="1"/>
  <c r="P9" i="113" s="1"/>
  <c r="T9" i="113" s="1"/>
  <c r="Q70" i="33"/>
  <c r="M70" i="114"/>
  <c r="N70" i="114" s="1"/>
  <c r="P70" i="114" s="1"/>
  <c r="T70" i="114" s="1"/>
  <c r="S70" i="33"/>
  <c r="M70" i="116"/>
  <c r="N70" i="116" s="1"/>
  <c r="P70" i="116" s="1"/>
  <c r="T70" i="116" s="1"/>
  <c r="N70" i="118"/>
  <c r="P70" i="118" s="1"/>
  <c r="T70" i="118" s="1"/>
  <c r="U70" i="33"/>
  <c r="N70" i="120"/>
  <c r="P70" i="120" s="1"/>
  <c r="W70" i="33"/>
  <c r="AD74" i="33"/>
  <c r="N73" i="76"/>
  <c r="O73" i="76" s="1"/>
  <c r="Q73" i="76" s="1"/>
  <c r="U73" i="76" s="1"/>
  <c r="AD33" i="33"/>
  <c r="N32" i="76"/>
  <c r="O32" i="76" s="1"/>
  <c r="Q32" i="76" s="1"/>
  <c r="U32" i="76" s="1"/>
  <c r="AD50" i="33"/>
  <c r="N49" i="76"/>
  <c r="O49" i="76" s="1"/>
  <c r="Q49" i="76" s="1"/>
  <c r="U49" i="76" s="1"/>
  <c r="O51" i="80"/>
  <c r="Q51" i="80" s="1"/>
  <c r="U51" i="80" s="1"/>
  <c r="AE52" i="33"/>
  <c r="AD38" i="33"/>
  <c r="N37" i="76"/>
  <c r="O37" i="76" s="1"/>
  <c r="Q37" i="76" s="1"/>
  <c r="U37" i="76" s="1"/>
  <c r="AE24" i="33"/>
  <c r="O23" i="80"/>
  <c r="Q23" i="80" s="1"/>
  <c r="U23" i="80" s="1"/>
  <c r="AD65" i="33"/>
  <c r="N64" i="76"/>
  <c r="O64" i="76" s="1"/>
  <c r="Q64" i="76" s="1"/>
  <c r="U64" i="76" s="1"/>
  <c r="AD73" i="33"/>
  <c r="N72" i="76"/>
  <c r="O72" i="76" s="1"/>
  <c r="Q72" i="76" s="1"/>
  <c r="U72" i="76" s="1"/>
  <c r="AD55" i="33"/>
  <c r="N54" i="76"/>
  <c r="O54" i="76" s="1"/>
  <c r="Q54" i="76" s="1"/>
  <c r="U54" i="76" s="1"/>
  <c r="AD62" i="33"/>
  <c r="N61" i="76"/>
  <c r="O61" i="76" s="1"/>
  <c r="Q61" i="76" s="1"/>
  <c r="U61" i="76" s="1"/>
  <c r="AD39" i="33"/>
  <c r="N38" i="76"/>
  <c r="O38" i="76" s="1"/>
  <c r="Q38" i="76" s="1"/>
  <c r="U38" i="76" s="1"/>
  <c r="AD54" i="33"/>
  <c r="N53" i="76"/>
  <c r="O53" i="76" s="1"/>
  <c r="Q53" i="76" s="1"/>
  <c r="U53" i="76" s="1"/>
  <c r="AD49" i="33"/>
  <c r="N48" i="76"/>
  <c r="O48" i="76" s="1"/>
  <c r="Q48" i="76" s="1"/>
  <c r="U48" i="76" s="1"/>
  <c r="AD35" i="33"/>
  <c r="N34" i="76"/>
  <c r="O34" i="76" s="1"/>
  <c r="Q34" i="76" s="1"/>
  <c r="U34" i="76" s="1"/>
  <c r="AD75" i="33"/>
  <c r="N74" i="76"/>
  <c r="O74" i="76" s="1"/>
  <c r="Q74" i="76" s="1"/>
  <c r="U74" i="76" s="1"/>
  <c r="AD66" i="33"/>
  <c r="N65" i="76"/>
  <c r="O65" i="76" s="1"/>
  <c r="Q65" i="76" s="1"/>
  <c r="U65" i="76" s="1"/>
  <c r="AD59" i="33"/>
  <c r="N58" i="76"/>
  <c r="O58" i="76" s="1"/>
  <c r="Q58" i="76" s="1"/>
  <c r="U58" i="76" s="1"/>
  <c r="AD46" i="33"/>
  <c r="N45" i="76"/>
  <c r="O45" i="76" s="1"/>
  <c r="Q45" i="76" s="1"/>
  <c r="U45" i="76" s="1"/>
  <c r="AD37" i="33"/>
  <c r="N36" i="76"/>
  <c r="O36" i="76" s="1"/>
  <c r="Q36" i="76" s="1"/>
  <c r="U36" i="76" s="1"/>
  <c r="AE40" i="33"/>
  <c r="O39" i="80"/>
  <c r="Q39" i="80" s="1"/>
  <c r="U39" i="80" s="1"/>
  <c r="AD41" i="33"/>
  <c r="N40" i="76"/>
  <c r="O40" i="76" s="1"/>
  <c r="Q40" i="76" s="1"/>
  <c r="U40" i="76" s="1"/>
  <c r="AD47" i="33"/>
  <c r="N46" i="76"/>
  <c r="O46" i="76" s="1"/>
  <c r="Q46" i="76" s="1"/>
  <c r="U46" i="76" s="1"/>
  <c r="AE72" i="33"/>
  <c r="O71" i="80"/>
  <c r="Q71" i="80" s="1"/>
  <c r="U71" i="80" s="1"/>
  <c r="AD63" i="33"/>
  <c r="N62" i="76"/>
  <c r="O62" i="76" s="1"/>
  <c r="Q62" i="76" s="1"/>
  <c r="U62" i="76" s="1"/>
  <c r="O67" i="80"/>
  <c r="Q67" i="80" s="1"/>
  <c r="U67" i="80" s="1"/>
  <c r="AE68" i="33"/>
  <c r="AE36" i="33"/>
  <c r="O35" i="80"/>
  <c r="Q35" i="80" s="1"/>
  <c r="U35" i="80" s="1"/>
  <c r="AD45" i="33"/>
  <c r="N44" i="76"/>
  <c r="O44" i="76" s="1"/>
  <c r="Q44" i="76" s="1"/>
  <c r="U44" i="76" s="1"/>
  <c r="R39" i="118"/>
  <c r="R46" i="115"/>
  <c r="R41" i="118"/>
  <c r="R41" i="114"/>
  <c r="R38" i="119"/>
  <c r="R38" i="115"/>
  <c r="R65" i="118"/>
  <c r="S65" i="118" s="1"/>
  <c r="R73" i="113"/>
  <c r="R25" i="116"/>
  <c r="R25" i="114"/>
  <c r="R55" i="117"/>
  <c r="R33" i="118"/>
  <c r="R50" i="113"/>
  <c r="R50" i="117"/>
  <c r="R14" i="118"/>
  <c r="R14" i="116"/>
  <c r="R14" i="114"/>
  <c r="R72" i="119"/>
  <c r="R72" i="117"/>
  <c r="R72" i="115"/>
  <c r="R75" i="118"/>
  <c r="R68" i="113"/>
  <c r="R68" i="117"/>
  <c r="R62" i="114"/>
  <c r="R11" i="113"/>
  <c r="R11" i="115"/>
  <c r="R17" i="116"/>
  <c r="R17" i="114"/>
  <c r="R39" i="117"/>
  <c r="R39" i="115"/>
  <c r="R38" i="116"/>
  <c r="R38" i="114"/>
  <c r="R24" i="113"/>
  <c r="R24" i="115"/>
  <c r="R73" i="118"/>
  <c r="R73" i="116"/>
  <c r="R18" i="119"/>
  <c r="R18" i="117"/>
  <c r="R18" i="115"/>
  <c r="R55" i="114"/>
  <c r="R59" i="113"/>
  <c r="R59" i="119"/>
  <c r="R50" i="116"/>
  <c r="R50" i="114"/>
  <c r="R72" i="118"/>
  <c r="R72" i="116"/>
  <c r="R72" i="114"/>
  <c r="R63" i="119"/>
  <c r="R63" i="117"/>
  <c r="R63" i="115"/>
  <c r="R68" i="118"/>
  <c r="R36" i="113"/>
  <c r="R36" i="119"/>
  <c r="R36" i="117"/>
  <c r="R11" i="118"/>
  <c r="R11" i="116"/>
  <c r="R11" i="114"/>
  <c r="R45" i="118"/>
  <c r="R45" i="116"/>
  <c r="R45" i="114"/>
  <c r="R17" i="119"/>
  <c r="R54" i="114"/>
  <c r="R52" i="113"/>
  <c r="R52" i="119"/>
  <c r="R52" i="117"/>
  <c r="R24" i="116"/>
  <c r="R24" i="114"/>
  <c r="R21" i="119"/>
  <c r="R21" i="117"/>
  <c r="R21" i="115"/>
  <c r="R18" i="118"/>
  <c r="R47" i="113"/>
  <c r="R47" i="115"/>
  <c r="R59" i="114"/>
  <c r="R74" i="113"/>
  <c r="R74" i="115"/>
  <c r="R49" i="114"/>
  <c r="R37" i="113"/>
  <c r="R37" i="119"/>
  <c r="R37" i="117"/>
  <c r="R63" i="116"/>
  <c r="R13" i="113"/>
  <c r="R13" i="115"/>
  <c r="R66" i="116"/>
  <c r="R66" i="114"/>
  <c r="R40" i="113"/>
  <c r="R40" i="119"/>
  <c r="R54" i="113"/>
  <c r="R54" i="115"/>
  <c r="R52" i="116"/>
  <c r="R52" i="114"/>
  <c r="R41" i="119"/>
  <c r="R41" i="117"/>
  <c r="R41" i="115"/>
  <c r="R21" i="118"/>
  <c r="R65" i="113"/>
  <c r="R65" i="119"/>
  <c r="R65" i="115"/>
  <c r="R47" i="114"/>
  <c r="R25" i="119"/>
  <c r="R25" i="117"/>
  <c r="R74" i="118"/>
  <c r="R33" i="113"/>
  <c r="R33" i="117"/>
  <c r="R37" i="118"/>
  <c r="R37" i="116"/>
  <c r="R37" i="114"/>
  <c r="R14" i="119"/>
  <c r="R14" i="117"/>
  <c r="R14" i="115"/>
  <c r="R35" i="118"/>
  <c r="R35" i="114"/>
  <c r="R75" i="113"/>
  <c r="R75" i="119"/>
  <c r="R75" i="115"/>
  <c r="R13" i="118"/>
  <c r="R13" i="116"/>
  <c r="R13" i="114"/>
  <c r="R62" i="113"/>
  <c r="R62" i="117"/>
  <c r="K6" i="46"/>
  <c r="L6" i="46" s="1"/>
  <c r="K9" i="46"/>
  <c r="L9" i="46" s="1"/>
  <c r="K15" i="113"/>
  <c r="L15" i="113" s="1"/>
  <c r="K15" i="119"/>
  <c r="L15" i="119" s="1"/>
  <c r="K15" i="117"/>
  <c r="L15" i="117" s="1"/>
  <c r="K15" i="115"/>
  <c r="L15" i="115" s="1"/>
  <c r="M15" i="115" s="1"/>
  <c r="K8" i="31"/>
  <c r="L8" i="31" s="1"/>
  <c r="L60" i="76"/>
  <c r="M60" i="76" s="1"/>
  <c r="L15" i="80"/>
  <c r="M15" i="80" s="1"/>
  <c r="N15" i="80" s="1"/>
  <c r="L56" i="76"/>
  <c r="M56" i="76" s="1"/>
  <c r="L31" i="80"/>
  <c r="M31" i="80" s="1"/>
  <c r="N31" i="80" s="1"/>
  <c r="L52" i="76"/>
  <c r="M52" i="76" s="1"/>
  <c r="L27" i="80"/>
  <c r="M27" i="80" s="1"/>
  <c r="N27" i="80" s="1"/>
  <c r="L63" i="80"/>
  <c r="M63" i="80" s="1"/>
  <c r="N63" i="80" s="1"/>
  <c r="L7" i="76"/>
  <c r="M7" i="76" s="1"/>
  <c r="L57" i="80"/>
  <c r="M57" i="80" s="1"/>
  <c r="N57" i="80" s="1"/>
  <c r="L18" i="80"/>
  <c r="M18" i="80" s="1"/>
  <c r="N18" i="80" s="1"/>
  <c r="L18" i="76"/>
  <c r="M18" i="76" s="1"/>
  <c r="L8" i="80"/>
  <c r="M8" i="80" s="1"/>
  <c r="N8" i="80" s="1"/>
  <c r="L8" i="76"/>
  <c r="M8" i="76" s="1"/>
  <c r="L29" i="80"/>
  <c r="M29" i="80" s="1"/>
  <c r="N29" i="80" s="1"/>
  <c r="L55" i="76"/>
  <c r="M55" i="76" s="1"/>
  <c r="L30" i="80"/>
  <c r="M30" i="80" s="1"/>
  <c r="N30" i="80" s="1"/>
  <c r="L21" i="80"/>
  <c r="M21" i="80" s="1"/>
  <c r="N21" i="80" s="1"/>
  <c r="L21" i="76"/>
  <c r="M21" i="76" s="1"/>
  <c r="L41" i="80"/>
  <c r="M41" i="80" s="1"/>
  <c r="N41" i="80" s="1"/>
  <c r="L33" i="76"/>
  <c r="M33" i="76" s="1"/>
  <c r="L19" i="80"/>
  <c r="M19" i="80" s="1"/>
  <c r="N19" i="80" s="1"/>
  <c r="L69" i="76"/>
  <c r="M69" i="76" s="1"/>
  <c r="L66" i="76"/>
  <c r="M66" i="76" s="1"/>
  <c r="L70" i="76"/>
  <c r="M70" i="76" s="1"/>
  <c r="L47" i="80"/>
  <c r="M47" i="80" s="1"/>
  <c r="N47" i="80" s="1"/>
  <c r="L68" i="76"/>
  <c r="M68" i="76" s="1"/>
  <c r="L43" i="80"/>
  <c r="M43" i="80" s="1"/>
  <c r="N43" i="80" s="1"/>
  <c r="L11" i="80"/>
  <c r="M11" i="80" s="1"/>
  <c r="N11" i="80" s="1"/>
  <c r="L42" i="76"/>
  <c r="M42" i="76" s="1"/>
  <c r="L26" i="76"/>
  <c r="M26" i="76" s="1"/>
  <c r="L59" i="80"/>
  <c r="M59" i="80" s="1"/>
  <c r="N59" i="80" s="1"/>
  <c r="L50" i="76"/>
  <c r="M50" i="76" s="1"/>
  <c r="K10" i="46"/>
  <c r="L10" i="46" s="1"/>
  <c r="K11" i="46"/>
  <c r="L11" i="46" s="1"/>
  <c r="K8" i="46"/>
  <c r="L8" i="46" s="1"/>
  <c r="L9" i="80"/>
  <c r="M9" i="80" s="1"/>
  <c r="N9" i="80" s="1"/>
  <c r="L9" i="76"/>
  <c r="M9" i="76" s="1"/>
  <c r="L60" i="80"/>
  <c r="M60" i="80" s="1"/>
  <c r="N60" i="80" s="1"/>
  <c r="L15" i="76"/>
  <c r="M15" i="76" s="1"/>
  <c r="L56" i="80"/>
  <c r="M56" i="80" s="1"/>
  <c r="N56" i="80" s="1"/>
  <c r="L28" i="80"/>
  <c r="M28" i="80" s="1"/>
  <c r="N28" i="80" s="1"/>
  <c r="L28" i="76"/>
  <c r="M28" i="76" s="1"/>
  <c r="L31" i="76"/>
  <c r="M31" i="76" s="1"/>
  <c r="L52" i="80"/>
  <c r="M52" i="80" s="1"/>
  <c r="N52" i="80" s="1"/>
  <c r="L27" i="76"/>
  <c r="M27" i="76" s="1"/>
  <c r="L63" i="76"/>
  <c r="M63" i="76" s="1"/>
  <c r="L22" i="80"/>
  <c r="M22" i="80" s="1"/>
  <c r="N22" i="80" s="1"/>
  <c r="L22" i="76"/>
  <c r="M22" i="76" s="1"/>
  <c r="L7" i="80"/>
  <c r="M7" i="80" s="1"/>
  <c r="N7" i="80" s="1"/>
  <c r="L57" i="76"/>
  <c r="M57" i="76" s="1"/>
  <c r="L29" i="76"/>
  <c r="M29" i="76" s="1"/>
  <c r="L55" i="80"/>
  <c r="M55" i="80" s="1"/>
  <c r="N55" i="80" s="1"/>
  <c r="L30" i="76"/>
  <c r="M30" i="76" s="1"/>
  <c r="L41" i="76"/>
  <c r="M41" i="76" s="1"/>
  <c r="L33" i="80"/>
  <c r="M33" i="80" s="1"/>
  <c r="N33" i="80" s="1"/>
  <c r="L25" i="80"/>
  <c r="M25" i="80" s="1"/>
  <c r="N25" i="80" s="1"/>
  <c r="L25" i="76"/>
  <c r="M25" i="76" s="1"/>
  <c r="L19" i="76"/>
  <c r="M19" i="76" s="1"/>
  <c r="L69" i="80"/>
  <c r="M69" i="80" s="1"/>
  <c r="N69" i="80" s="1"/>
  <c r="L66" i="80"/>
  <c r="M66" i="80" s="1"/>
  <c r="N66" i="80" s="1"/>
  <c r="L70" i="80"/>
  <c r="M70" i="80" s="1"/>
  <c r="N70" i="80" s="1"/>
  <c r="L47" i="76"/>
  <c r="M47" i="76" s="1"/>
  <c r="L68" i="80"/>
  <c r="M68" i="80" s="1"/>
  <c r="N68" i="80" s="1"/>
  <c r="L43" i="76"/>
  <c r="M43" i="76" s="1"/>
  <c r="L11" i="76"/>
  <c r="M11" i="76" s="1"/>
  <c r="L42" i="80"/>
  <c r="M42" i="80" s="1"/>
  <c r="N42" i="80" s="1"/>
  <c r="L26" i="80"/>
  <c r="M26" i="80" s="1"/>
  <c r="N26" i="80" s="1"/>
  <c r="L59" i="76"/>
  <c r="M59" i="76" s="1"/>
  <c r="L50" i="80"/>
  <c r="M50" i="80" s="1"/>
  <c r="N50" i="80" s="1"/>
  <c r="K15" i="33"/>
  <c r="K15" i="120"/>
  <c r="L15" i="120" s="1"/>
  <c r="M15" i="120" s="1"/>
  <c r="K15" i="118"/>
  <c r="L15" i="118" s="1"/>
  <c r="M15" i="118" s="1"/>
  <c r="K15" i="116"/>
  <c r="L15" i="116" s="1"/>
  <c r="K15" i="114"/>
  <c r="L15" i="114" s="1"/>
  <c r="AR12" i="31" l="1"/>
  <c r="R53" i="120"/>
  <c r="S53" i="120" s="1"/>
  <c r="T53" i="120"/>
  <c r="R57" i="120"/>
  <c r="S57" i="120" s="1"/>
  <c r="T57" i="120"/>
  <c r="R51" i="120"/>
  <c r="S51" i="120" s="1"/>
  <c r="T51" i="120"/>
  <c r="R43" i="120"/>
  <c r="S43" i="120" s="1"/>
  <c r="T43" i="120"/>
  <c r="R12" i="120"/>
  <c r="S12" i="120" s="1"/>
  <c r="T12" i="120"/>
  <c r="R19" i="120"/>
  <c r="S19" i="120" s="1"/>
  <c r="T19" i="120"/>
  <c r="R9" i="120"/>
  <c r="S9" i="120" s="1"/>
  <c r="T9" i="120"/>
  <c r="R60" i="120"/>
  <c r="S60" i="120" s="1"/>
  <c r="T60" i="120"/>
  <c r="R61" i="120"/>
  <c r="S61" i="120" s="1"/>
  <c r="T61" i="120"/>
  <c r="R44" i="120"/>
  <c r="S44" i="120" s="1"/>
  <c r="T44" i="120"/>
  <c r="R10" i="120"/>
  <c r="S10" i="120" s="1"/>
  <c r="T10" i="120"/>
  <c r="R32" i="120"/>
  <c r="S32" i="120" s="1"/>
  <c r="T32" i="120"/>
  <c r="R64" i="120"/>
  <c r="S64" i="120" s="1"/>
  <c r="T64" i="120"/>
  <c r="R8" i="120"/>
  <c r="S8" i="120" s="1"/>
  <c r="T8" i="120"/>
  <c r="R28" i="120"/>
  <c r="S28" i="120" s="1"/>
  <c r="T28" i="120"/>
  <c r="R67" i="120"/>
  <c r="S67" i="120" s="1"/>
  <c r="T67" i="120"/>
  <c r="R34" i="120"/>
  <c r="S34" i="120" s="1"/>
  <c r="T34" i="120"/>
  <c r="R70" i="120"/>
  <c r="S70" i="120" s="1"/>
  <c r="T70" i="120"/>
  <c r="R42" i="120"/>
  <c r="S42" i="120" s="1"/>
  <c r="AK42" i="120" s="1"/>
  <c r="T42" i="120"/>
  <c r="AJ42" i="120" s="1"/>
  <c r="R31" i="120"/>
  <c r="S31" i="120" s="1"/>
  <c r="T31" i="120"/>
  <c r="R16" i="120"/>
  <c r="S16" i="120" s="1"/>
  <c r="T16" i="120"/>
  <c r="R23" i="120"/>
  <c r="S23" i="120" s="1"/>
  <c r="T23" i="120"/>
  <c r="R26" i="120"/>
  <c r="S26" i="120" s="1"/>
  <c r="T26" i="120"/>
  <c r="R22" i="120"/>
  <c r="S22" i="120" s="1"/>
  <c r="T22" i="120"/>
  <c r="R56" i="120"/>
  <c r="S56" i="120" s="1"/>
  <c r="T56" i="120"/>
  <c r="R30" i="120"/>
  <c r="S30" i="120" s="1"/>
  <c r="T30" i="120"/>
  <c r="R48" i="120"/>
  <c r="S48" i="120" s="1"/>
  <c r="T48" i="120"/>
  <c r="R69" i="120"/>
  <c r="S69" i="120" s="1"/>
  <c r="T69" i="120"/>
  <c r="R29" i="120"/>
  <c r="S29" i="120" s="1"/>
  <c r="T29" i="120"/>
  <c r="R58" i="120"/>
  <c r="S58" i="120" s="1"/>
  <c r="T58" i="120"/>
  <c r="R27" i="120"/>
  <c r="S27" i="120" s="1"/>
  <c r="T27" i="120"/>
  <c r="R20" i="120"/>
  <c r="S20" i="120" s="1"/>
  <c r="T20" i="120"/>
  <c r="R71" i="120"/>
  <c r="S71" i="120" s="1"/>
  <c r="T71" i="120"/>
  <c r="AF63" i="33"/>
  <c r="AI63" i="33" s="1"/>
  <c r="AF46" i="33"/>
  <c r="AI46" i="33" s="1"/>
  <c r="AF47" i="33"/>
  <c r="AI47" i="33" s="1"/>
  <c r="AF66" i="33"/>
  <c r="AI66" i="33" s="1"/>
  <c r="AF35" i="33"/>
  <c r="AI35" i="33" s="1"/>
  <c r="AF54" i="33"/>
  <c r="AI54" i="33" s="1"/>
  <c r="AF73" i="33"/>
  <c r="AI73" i="33" s="1"/>
  <c r="AF33" i="33"/>
  <c r="AI33" i="33" s="1"/>
  <c r="AF72" i="33"/>
  <c r="AI72" i="33" s="1"/>
  <c r="AF41" i="33"/>
  <c r="AI41" i="33" s="1"/>
  <c r="AF37" i="33"/>
  <c r="AI37" i="33" s="1"/>
  <c r="AF59" i="33"/>
  <c r="AI59" i="33" s="1"/>
  <c r="AF75" i="33"/>
  <c r="AI75" i="33" s="1"/>
  <c r="AF49" i="33"/>
  <c r="AI49" i="33" s="1"/>
  <c r="AF39" i="33"/>
  <c r="AI39" i="33" s="1"/>
  <c r="AF55" i="33"/>
  <c r="AI55" i="33" s="1"/>
  <c r="AF65" i="33"/>
  <c r="AI65" i="33" s="1"/>
  <c r="AF50" i="33"/>
  <c r="AI50" i="33" s="1"/>
  <c r="AF74" i="33"/>
  <c r="AI74" i="33" s="1"/>
  <c r="AF25" i="33"/>
  <c r="AI25" i="33" s="1"/>
  <c r="AF18" i="33"/>
  <c r="AI18" i="33" s="1"/>
  <c r="AF45" i="33"/>
  <c r="AI45" i="33" s="1"/>
  <c r="S76" i="114"/>
  <c r="AK76" i="114" s="1"/>
  <c r="AF36" i="33"/>
  <c r="AI36" i="33" s="1"/>
  <c r="AF68" i="33"/>
  <c r="AI68" i="33" s="1"/>
  <c r="AF40" i="33"/>
  <c r="AI40" i="33" s="1"/>
  <c r="AF11" i="33"/>
  <c r="AI11" i="33" s="1"/>
  <c r="AF14" i="33"/>
  <c r="AI14" i="33" s="1"/>
  <c r="AF17" i="33"/>
  <c r="AI17" i="33" s="1"/>
  <c r="AF13" i="33"/>
  <c r="AI13" i="33" s="1"/>
  <c r="AF21" i="33"/>
  <c r="AI21" i="33" s="1"/>
  <c r="AF24" i="33"/>
  <c r="AI24" i="33" s="1"/>
  <c r="AF38" i="33"/>
  <c r="AI38" i="33" s="1"/>
  <c r="AF62" i="33"/>
  <c r="AI62" i="33" s="1"/>
  <c r="N8" i="46"/>
  <c r="M8" i="46"/>
  <c r="N10" i="46"/>
  <c r="M10" i="46"/>
  <c r="N9" i="46"/>
  <c r="M9" i="46"/>
  <c r="N11" i="46"/>
  <c r="M11" i="46"/>
  <c r="S18" i="115"/>
  <c r="S18" i="117"/>
  <c r="S24" i="115"/>
  <c r="S39" i="117"/>
  <c r="S11" i="115"/>
  <c r="S68" i="117"/>
  <c r="S72" i="115"/>
  <c r="S72" i="117"/>
  <c r="S50" i="117"/>
  <c r="S55" i="117"/>
  <c r="S38" i="115"/>
  <c r="S46" i="115"/>
  <c r="S40" i="115"/>
  <c r="S40" i="117"/>
  <c r="S45" i="115"/>
  <c r="S45" i="117"/>
  <c r="S35" i="115"/>
  <c r="S35" i="117"/>
  <c r="S74" i="117"/>
  <c r="S52" i="115"/>
  <c r="S17" i="115"/>
  <c r="S17" i="117"/>
  <c r="S62" i="115"/>
  <c r="S66" i="115"/>
  <c r="S66" i="117"/>
  <c r="S36" i="115"/>
  <c r="S49" i="115"/>
  <c r="S49" i="117"/>
  <c r="S59" i="117"/>
  <c r="S24" i="117"/>
  <c r="S11" i="117"/>
  <c r="S62" i="117"/>
  <c r="S75" i="115"/>
  <c r="S14" i="115"/>
  <c r="S14" i="117"/>
  <c r="S33" i="117"/>
  <c r="S25" i="117"/>
  <c r="S65" i="115"/>
  <c r="S41" i="115"/>
  <c r="S41" i="117"/>
  <c r="S54" i="115"/>
  <c r="S13" i="115"/>
  <c r="S37" i="117"/>
  <c r="S74" i="115"/>
  <c r="S47" i="115"/>
  <c r="S21" i="115"/>
  <c r="S21" i="117"/>
  <c r="S52" i="117"/>
  <c r="S36" i="117"/>
  <c r="S63" i="115"/>
  <c r="S63" i="117"/>
  <c r="S39" i="115"/>
  <c r="S75" i="117"/>
  <c r="S33" i="115"/>
  <c r="S25" i="115"/>
  <c r="S65" i="117"/>
  <c r="S54" i="117"/>
  <c r="S13" i="117"/>
  <c r="S37" i="115"/>
  <c r="S47" i="117"/>
  <c r="S59" i="115"/>
  <c r="S68" i="115"/>
  <c r="S50" i="115"/>
  <c r="S55" i="115"/>
  <c r="S73" i="115"/>
  <c r="S73" i="117"/>
  <c r="S38" i="117"/>
  <c r="S46" i="117"/>
  <c r="S13" i="114"/>
  <c r="S13" i="118"/>
  <c r="S75" i="119"/>
  <c r="S35" i="114"/>
  <c r="S37" i="114"/>
  <c r="S65" i="119"/>
  <c r="S65" i="113"/>
  <c r="S21" i="118"/>
  <c r="S54" i="113"/>
  <c r="S40" i="119"/>
  <c r="S40" i="113"/>
  <c r="S66" i="114"/>
  <c r="S66" i="116"/>
  <c r="S13" i="113"/>
  <c r="S63" i="116"/>
  <c r="S37" i="119"/>
  <c r="S37" i="113"/>
  <c r="S49" i="114"/>
  <c r="S74" i="113"/>
  <c r="S59" i="114"/>
  <c r="S47" i="113"/>
  <c r="S18" i="118"/>
  <c r="S21" i="119"/>
  <c r="S24" i="114"/>
  <c r="S24" i="116"/>
  <c r="S52" i="119"/>
  <c r="S52" i="113"/>
  <c r="S54" i="114"/>
  <c r="S17" i="119"/>
  <c r="S72" i="114"/>
  <c r="S72" i="116"/>
  <c r="S72" i="118"/>
  <c r="S50" i="114"/>
  <c r="S50" i="116"/>
  <c r="S59" i="119"/>
  <c r="S59" i="113"/>
  <c r="S55" i="114"/>
  <c r="S18" i="119"/>
  <c r="S73" i="116"/>
  <c r="S73" i="118"/>
  <c r="S24" i="113"/>
  <c r="S38" i="114"/>
  <c r="S38" i="116"/>
  <c r="S17" i="114"/>
  <c r="S17" i="116"/>
  <c r="S11" i="113"/>
  <c r="S62" i="114"/>
  <c r="S68" i="113"/>
  <c r="S75" i="118"/>
  <c r="S72" i="119"/>
  <c r="S38" i="119"/>
  <c r="S41" i="114"/>
  <c r="S41" i="118"/>
  <c r="S45" i="119"/>
  <c r="S45" i="113"/>
  <c r="S74" i="119"/>
  <c r="S59" i="116"/>
  <c r="S66" i="119"/>
  <c r="S66" i="113"/>
  <c r="S68" i="114"/>
  <c r="S68" i="116"/>
  <c r="S63" i="113"/>
  <c r="S49" i="119"/>
  <c r="S49" i="113"/>
  <c r="S50" i="118"/>
  <c r="S55" i="116"/>
  <c r="S55" i="118"/>
  <c r="S18" i="113"/>
  <c r="S73" i="114"/>
  <c r="S24" i="119"/>
  <c r="S38" i="118"/>
  <c r="S39" i="119"/>
  <c r="S39" i="113"/>
  <c r="S17" i="118"/>
  <c r="S11" i="119"/>
  <c r="S62" i="113"/>
  <c r="S13" i="116"/>
  <c r="S75" i="113"/>
  <c r="S35" i="118"/>
  <c r="S14" i="119"/>
  <c r="S37" i="116"/>
  <c r="S37" i="118"/>
  <c r="S33" i="113"/>
  <c r="S74" i="118"/>
  <c r="S25" i="119"/>
  <c r="S47" i="114"/>
  <c r="S41" i="119"/>
  <c r="S52" i="114"/>
  <c r="S52" i="116"/>
  <c r="S45" i="114"/>
  <c r="S45" i="116"/>
  <c r="S45" i="118"/>
  <c r="S11" i="114"/>
  <c r="S11" i="116"/>
  <c r="S11" i="118"/>
  <c r="S36" i="119"/>
  <c r="S36" i="113"/>
  <c r="S68" i="118"/>
  <c r="S63" i="119"/>
  <c r="S14" i="114"/>
  <c r="S14" i="116"/>
  <c r="S14" i="118"/>
  <c r="S50" i="113"/>
  <c r="S33" i="118"/>
  <c r="S25" i="114"/>
  <c r="S25" i="116"/>
  <c r="S73" i="113"/>
  <c r="S39" i="118"/>
  <c r="S62" i="119"/>
  <c r="S35" i="116"/>
  <c r="S14" i="113"/>
  <c r="S33" i="119"/>
  <c r="S74" i="114"/>
  <c r="S74" i="116"/>
  <c r="S25" i="113"/>
  <c r="S47" i="116"/>
  <c r="S47" i="118"/>
  <c r="S21" i="114"/>
  <c r="S21" i="116"/>
  <c r="S41" i="113"/>
  <c r="S52" i="118"/>
  <c r="S54" i="119"/>
  <c r="S46" i="114"/>
  <c r="S46" i="116"/>
  <c r="S13" i="119"/>
  <c r="S36" i="114"/>
  <c r="S36" i="116"/>
  <c r="S35" i="119"/>
  <c r="S35" i="113"/>
  <c r="S63" i="114"/>
  <c r="S49" i="116"/>
  <c r="S47" i="119"/>
  <c r="S18" i="114"/>
  <c r="S18" i="116"/>
  <c r="S21" i="113"/>
  <c r="S54" i="116"/>
  <c r="S54" i="118"/>
  <c r="S17" i="113"/>
  <c r="S40" i="114"/>
  <c r="S40" i="116"/>
  <c r="S40" i="118"/>
  <c r="S62" i="116"/>
  <c r="S62" i="118"/>
  <c r="S68" i="119"/>
  <c r="S75" i="114"/>
  <c r="S75" i="116"/>
  <c r="S72" i="113"/>
  <c r="S50" i="119"/>
  <c r="S33" i="114"/>
  <c r="S33" i="116"/>
  <c r="S55" i="119"/>
  <c r="S55" i="113"/>
  <c r="S25" i="118"/>
  <c r="S73" i="119"/>
  <c r="S65" i="114"/>
  <c r="S65" i="116"/>
  <c r="S38" i="113"/>
  <c r="S41" i="116"/>
  <c r="S46" i="119"/>
  <c r="S46" i="113"/>
  <c r="S39" i="114"/>
  <c r="S39" i="116"/>
  <c r="O68" i="31"/>
  <c r="P68" i="31" s="1"/>
  <c r="R68" i="31" s="1"/>
  <c r="U68" i="31" s="1"/>
  <c r="Y68" i="31" s="1"/>
  <c r="AO44" i="31"/>
  <c r="AO71" i="31" s="1"/>
  <c r="M6" i="46"/>
  <c r="N6" i="46"/>
  <c r="S58" i="76"/>
  <c r="S53" i="76"/>
  <c r="S72" i="76"/>
  <c r="S71" i="76"/>
  <c r="S12" i="76"/>
  <c r="S44" i="76"/>
  <c r="S62" i="76"/>
  <c r="S34" i="76"/>
  <c r="S61" i="76"/>
  <c r="S37" i="76"/>
  <c r="S39" i="76"/>
  <c r="S10" i="76"/>
  <c r="S13" i="76"/>
  <c r="S20" i="76"/>
  <c r="R8" i="116"/>
  <c r="AE51" i="33"/>
  <c r="O50" i="80"/>
  <c r="Q50" i="80" s="1"/>
  <c r="U50" i="80" s="1"/>
  <c r="AD60" i="33"/>
  <c r="N59" i="76"/>
  <c r="O59" i="76" s="1"/>
  <c r="Q59" i="76" s="1"/>
  <c r="U59" i="76" s="1"/>
  <c r="AE27" i="33"/>
  <c r="O26" i="80"/>
  <c r="Q26" i="80" s="1"/>
  <c r="U26" i="80" s="1"/>
  <c r="AE43" i="33"/>
  <c r="O42" i="80"/>
  <c r="Q42" i="80" s="1"/>
  <c r="U42" i="80" s="1"/>
  <c r="AD12" i="33"/>
  <c r="N11" i="76"/>
  <c r="O11" i="76" s="1"/>
  <c r="Q11" i="76" s="1"/>
  <c r="U11" i="76" s="1"/>
  <c r="AD44" i="33"/>
  <c r="N43" i="76"/>
  <c r="O43" i="76" s="1"/>
  <c r="Q43" i="76" s="1"/>
  <c r="U43" i="76" s="1"/>
  <c r="AE69" i="33"/>
  <c r="O68" i="80"/>
  <c r="Q68" i="80" s="1"/>
  <c r="U68" i="80" s="1"/>
  <c r="AD48" i="33"/>
  <c r="N47" i="76"/>
  <c r="O47" i="76" s="1"/>
  <c r="Q47" i="76" s="1"/>
  <c r="U47" i="76" s="1"/>
  <c r="Q15" i="33"/>
  <c r="M15" i="114"/>
  <c r="N15" i="114" s="1"/>
  <c r="P15" i="114" s="1"/>
  <c r="T15" i="114" s="1"/>
  <c r="S15" i="33"/>
  <c r="M15" i="116"/>
  <c r="N15" i="116" s="1"/>
  <c r="P15" i="116" s="1"/>
  <c r="T15" i="116" s="1"/>
  <c r="N15" i="118"/>
  <c r="P15" i="118" s="1"/>
  <c r="T15" i="118" s="1"/>
  <c r="U15" i="33"/>
  <c r="W15" i="33"/>
  <c r="N15" i="120"/>
  <c r="P15" i="120" s="1"/>
  <c r="AD51" i="33"/>
  <c r="AF51" i="33" s="1"/>
  <c r="AI51" i="33" s="1"/>
  <c r="N50" i="76"/>
  <c r="O50" i="76" s="1"/>
  <c r="Q50" i="76" s="1"/>
  <c r="U50" i="76" s="1"/>
  <c r="AE60" i="33"/>
  <c r="O59" i="80"/>
  <c r="Q59" i="80" s="1"/>
  <c r="U59" i="80" s="1"/>
  <c r="AD27" i="33"/>
  <c r="AF27" i="33" s="1"/>
  <c r="AI27" i="33" s="1"/>
  <c r="N26" i="76"/>
  <c r="O26" i="76" s="1"/>
  <c r="Q26" i="76" s="1"/>
  <c r="U26" i="76" s="1"/>
  <c r="AD43" i="33"/>
  <c r="AF43" i="33" s="1"/>
  <c r="AI43" i="33" s="1"/>
  <c r="N42" i="76"/>
  <c r="O42" i="76" s="1"/>
  <c r="Q42" i="76" s="1"/>
  <c r="U42" i="76" s="1"/>
  <c r="AE12" i="33"/>
  <c r="O11" i="80"/>
  <c r="Q11" i="80" s="1"/>
  <c r="U11" i="80" s="1"/>
  <c r="AE44" i="33"/>
  <c r="O43" i="80"/>
  <c r="Q43" i="80" s="1"/>
  <c r="U43" i="80" s="1"/>
  <c r="AD69" i="33"/>
  <c r="AF69" i="33" s="1"/>
  <c r="AI69" i="33" s="1"/>
  <c r="N68" i="76"/>
  <c r="O68" i="76" s="1"/>
  <c r="Q68" i="76" s="1"/>
  <c r="U68" i="76" s="1"/>
  <c r="AE48" i="33"/>
  <c r="O47" i="80"/>
  <c r="Q47" i="80" s="1"/>
  <c r="U47" i="80" s="1"/>
  <c r="AD71" i="33"/>
  <c r="N70" i="76"/>
  <c r="O70" i="76" s="1"/>
  <c r="Q70" i="76" s="1"/>
  <c r="U70" i="76" s="1"/>
  <c r="AD67" i="33"/>
  <c r="N66" i="76"/>
  <c r="O66" i="76" s="1"/>
  <c r="Q66" i="76" s="1"/>
  <c r="U66" i="76" s="1"/>
  <c r="AD70" i="33"/>
  <c r="N69" i="76"/>
  <c r="O69" i="76" s="1"/>
  <c r="Q69" i="76" s="1"/>
  <c r="U69" i="76" s="1"/>
  <c r="AE20" i="33"/>
  <c r="O19" i="80"/>
  <c r="Q19" i="80" s="1"/>
  <c r="U19" i="80" s="1"/>
  <c r="AD34" i="33"/>
  <c r="N33" i="76"/>
  <c r="O33" i="76" s="1"/>
  <c r="Q33" i="76" s="1"/>
  <c r="U33" i="76" s="1"/>
  <c r="AE42" i="33"/>
  <c r="O41" i="80"/>
  <c r="Q41" i="80" s="1"/>
  <c r="U41" i="80" s="1"/>
  <c r="AK41" i="80" s="1"/>
  <c r="AD22" i="33"/>
  <c r="N21" i="76"/>
  <c r="O21" i="76" s="1"/>
  <c r="Q21" i="76" s="1"/>
  <c r="U21" i="76" s="1"/>
  <c r="AE22" i="33"/>
  <c r="O21" i="80"/>
  <c r="Q21" i="80" s="1"/>
  <c r="U21" i="80" s="1"/>
  <c r="AE31" i="33"/>
  <c r="O30" i="80"/>
  <c r="Q30" i="80" s="1"/>
  <c r="U30" i="80" s="1"/>
  <c r="AD56" i="33"/>
  <c r="N55" i="76"/>
  <c r="O55" i="76" s="1"/>
  <c r="Q55" i="76" s="1"/>
  <c r="U55" i="76" s="1"/>
  <c r="AE30" i="33"/>
  <c r="O29" i="80"/>
  <c r="Q29" i="80" s="1"/>
  <c r="U29" i="80" s="1"/>
  <c r="AD9" i="33"/>
  <c r="N8" i="76"/>
  <c r="O8" i="76" s="1"/>
  <c r="Q8" i="76" s="1"/>
  <c r="U8" i="76" s="1"/>
  <c r="AE9" i="33"/>
  <c r="O8" i="80"/>
  <c r="Q8" i="80" s="1"/>
  <c r="U8" i="80" s="1"/>
  <c r="AD19" i="33"/>
  <c r="N18" i="76"/>
  <c r="O18" i="76" s="1"/>
  <c r="Q18" i="76" s="1"/>
  <c r="U18" i="76" s="1"/>
  <c r="AE19" i="33"/>
  <c r="O18" i="80"/>
  <c r="Q18" i="80" s="1"/>
  <c r="U18" i="80" s="1"/>
  <c r="AE58" i="33"/>
  <c r="O57" i="80"/>
  <c r="Q57" i="80" s="1"/>
  <c r="U57" i="80" s="1"/>
  <c r="AD8" i="33"/>
  <c r="N7" i="76"/>
  <c r="O7" i="76" s="1"/>
  <c r="Q7" i="76" s="1"/>
  <c r="U7" i="76" s="1"/>
  <c r="AE64" i="33"/>
  <c r="O63" i="80"/>
  <c r="Q63" i="80" s="1"/>
  <c r="U63" i="80" s="1"/>
  <c r="O27" i="80"/>
  <c r="Q27" i="80" s="1"/>
  <c r="U27" i="80" s="1"/>
  <c r="AE28" i="33"/>
  <c r="AD53" i="33"/>
  <c r="N52" i="76"/>
  <c r="O52" i="76" s="1"/>
  <c r="Q52" i="76" s="1"/>
  <c r="U52" i="76" s="1"/>
  <c r="AE32" i="33"/>
  <c r="O31" i="80"/>
  <c r="Q31" i="80" s="1"/>
  <c r="U31" i="80" s="1"/>
  <c r="AD57" i="33"/>
  <c r="N56" i="76"/>
  <c r="O56" i="76" s="1"/>
  <c r="Q56" i="76" s="1"/>
  <c r="U56" i="76" s="1"/>
  <c r="O15" i="80"/>
  <c r="Q15" i="80" s="1"/>
  <c r="U15" i="80" s="1"/>
  <c r="AE16" i="33"/>
  <c r="AD61" i="33"/>
  <c r="N60" i="76"/>
  <c r="O60" i="76" s="1"/>
  <c r="Q60" i="76" s="1"/>
  <c r="U60" i="76" s="1"/>
  <c r="S67" i="80"/>
  <c r="S71" i="80"/>
  <c r="S46" i="76"/>
  <c r="S40" i="76"/>
  <c r="S36" i="76"/>
  <c r="S45" i="76"/>
  <c r="S65" i="76"/>
  <c r="S48" i="76"/>
  <c r="S38" i="76"/>
  <c r="S54" i="76"/>
  <c r="S64" i="76"/>
  <c r="S49" i="76"/>
  <c r="S32" i="76"/>
  <c r="S73" i="76"/>
  <c r="R70" i="116"/>
  <c r="R70" i="114"/>
  <c r="R9" i="113"/>
  <c r="R9" i="117"/>
  <c r="R53" i="118"/>
  <c r="R53" i="116"/>
  <c r="R31" i="119"/>
  <c r="R57" i="118"/>
  <c r="R16" i="113"/>
  <c r="R16" i="117"/>
  <c r="R51" i="116"/>
  <c r="R60" i="115"/>
  <c r="R43" i="118"/>
  <c r="R61" i="113"/>
  <c r="R61" i="119"/>
  <c r="R34" i="119"/>
  <c r="R34" i="117"/>
  <c r="R42" i="118"/>
  <c r="R42" i="114"/>
  <c r="R23" i="113"/>
  <c r="R23" i="117"/>
  <c r="R12" i="118"/>
  <c r="R12" i="114"/>
  <c r="R44" i="113"/>
  <c r="R19" i="118"/>
  <c r="R19" i="116"/>
  <c r="R19" i="114"/>
  <c r="R10" i="119"/>
  <c r="R10" i="117"/>
  <c r="R10" i="115"/>
  <c r="R26" i="119"/>
  <c r="R26" i="117"/>
  <c r="R26" i="115"/>
  <c r="R22" i="113"/>
  <c r="R22" i="119"/>
  <c r="R22" i="117"/>
  <c r="R31" i="114"/>
  <c r="R32" i="119"/>
  <c r="R32" i="115"/>
  <c r="R56" i="113"/>
  <c r="R60" i="118"/>
  <c r="R60" i="116"/>
  <c r="R60" i="114"/>
  <c r="R30" i="117"/>
  <c r="R30" i="115"/>
  <c r="R61" i="118"/>
  <c r="R61" i="114"/>
  <c r="R48" i="113"/>
  <c r="S44" i="80"/>
  <c r="S35" i="76"/>
  <c r="S67" i="76"/>
  <c r="S62" i="80"/>
  <c r="T62" i="80" s="1"/>
  <c r="S24" i="80"/>
  <c r="S24" i="76"/>
  <c r="S58" i="80"/>
  <c r="S65" i="80"/>
  <c r="S10" i="80"/>
  <c r="S48" i="80"/>
  <c r="S53" i="80"/>
  <c r="T53" i="80" s="1"/>
  <c r="S38" i="80"/>
  <c r="S16" i="80"/>
  <c r="S16" i="76"/>
  <c r="S54" i="80"/>
  <c r="S17" i="80"/>
  <c r="S17" i="76"/>
  <c r="S64" i="80"/>
  <c r="S23" i="76"/>
  <c r="S49" i="80"/>
  <c r="R23" i="116"/>
  <c r="R64" i="117"/>
  <c r="R64" i="115"/>
  <c r="R69" i="119"/>
  <c r="R69" i="117"/>
  <c r="R69" i="115"/>
  <c r="R10" i="118"/>
  <c r="R10" i="116"/>
  <c r="R10" i="114"/>
  <c r="R26" i="116"/>
  <c r="R26" i="114"/>
  <c r="R8" i="119"/>
  <c r="R8" i="117"/>
  <c r="R8" i="115"/>
  <c r="R22" i="116"/>
  <c r="R22" i="114"/>
  <c r="R28" i="113"/>
  <c r="R32" i="116"/>
  <c r="R32" i="114"/>
  <c r="R29" i="119"/>
  <c r="R29" i="117"/>
  <c r="R29" i="115"/>
  <c r="R56" i="114"/>
  <c r="R58" i="113"/>
  <c r="R58" i="119"/>
  <c r="R58" i="117"/>
  <c r="R30" i="116"/>
  <c r="R30" i="114"/>
  <c r="R27" i="117"/>
  <c r="R67" i="113"/>
  <c r="R67" i="119"/>
  <c r="R64" i="118"/>
  <c r="R64" i="116"/>
  <c r="R20" i="119"/>
  <c r="R20" i="117"/>
  <c r="R20" i="115"/>
  <c r="R69" i="116"/>
  <c r="R69" i="114"/>
  <c r="R71" i="113"/>
  <c r="R8" i="118"/>
  <c r="R70" i="113"/>
  <c r="R70" i="119"/>
  <c r="R70" i="117"/>
  <c r="R70" i="115"/>
  <c r="R28" i="116"/>
  <c r="R28" i="114"/>
  <c r="R53" i="113"/>
  <c r="R53" i="117"/>
  <c r="R57" i="113"/>
  <c r="R58" i="118"/>
  <c r="R58" i="116"/>
  <c r="R51" i="119"/>
  <c r="R51" i="115"/>
  <c r="R43" i="113"/>
  <c r="R67" i="118"/>
  <c r="R67" i="116"/>
  <c r="R34" i="116"/>
  <c r="R34" i="114"/>
  <c r="AJ42" i="113"/>
  <c r="R42" i="113"/>
  <c r="R42" i="119"/>
  <c r="R42" i="117"/>
  <c r="R42" i="115"/>
  <c r="S42" i="115" s="1"/>
  <c r="AK42" i="115" s="1"/>
  <c r="R20" i="118"/>
  <c r="R20" i="116"/>
  <c r="R20" i="114"/>
  <c r="R12" i="119"/>
  <c r="R12" i="117"/>
  <c r="R71" i="116"/>
  <c r="R19" i="113"/>
  <c r="O70" i="80"/>
  <c r="Q70" i="80" s="1"/>
  <c r="U70" i="80" s="1"/>
  <c r="AE71" i="33"/>
  <c r="AE67" i="33"/>
  <c r="O66" i="80"/>
  <c r="Q66" i="80" s="1"/>
  <c r="U66" i="80" s="1"/>
  <c r="AE70" i="33"/>
  <c r="O69" i="80"/>
  <c r="Q69" i="80" s="1"/>
  <c r="U69" i="80" s="1"/>
  <c r="AD20" i="33"/>
  <c r="N19" i="76"/>
  <c r="O19" i="76" s="1"/>
  <c r="Q19" i="76" s="1"/>
  <c r="U19" i="76" s="1"/>
  <c r="AD26" i="33"/>
  <c r="N25" i="76"/>
  <c r="O25" i="76" s="1"/>
  <c r="Q25" i="76" s="1"/>
  <c r="U25" i="76" s="1"/>
  <c r="AE26" i="33"/>
  <c r="O25" i="80"/>
  <c r="Q25" i="80" s="1"/>
  <c r="U25" i="80" s="1"/>
  <c r="AE34" i="33"/>
  <c r="O33" i="80"/>
  <c r="Q33" i="80" s="1"/>
  <c r="U33" i="80" s="1"/>
  <c r="AD42" i="33"/>
  <c r="N41" i="76"/>
  <c r="O41" i="76" s="1"/>
  <c r="Q41" i="76" s="1"/>
  <c r="U41" i="76" s="1"/>
  <c r="AK41" i="76" s="1"/>
  <c r="AD31" i="33"/>
  <c r="N30" i="76"/>
  <c r="O30" i="76" s="1"/>
  <c r="Q30" i="76" s="1"/>
  <c r="U30" i="76" s="1"/>
  <c r="O55" i="80"/>
  <c r="Q55" i="80" s="1"/>
  <c r="U55" i="80" s="1"/>
  <c r="AE56" i="33"/>
  <c r="AD30" i="33"/>
  <c r="N29" i="76"/>
  <c r="O29" i="76" s="1"/>
  <c r="Q29" i="76" s="1"/>
  <c r="U29" i="76" s="1"/>
  <c r="AD58" i="33"/>
  <c r="N57" i="76"/>
  <c r="O57" i="76" s="1"/>
  <c r="Q57" i="76" s="1"/>
  <c r="U57" i="76" s="1"/>
  <c r="AE8" i="33"/>
  <c r="O7" i="80"/>
  <c r="Q7" i="80" s="1"/>
  <c r="U7" i="80" s="1"/>
  <c r="AD23" i="33"/>
  <c r="N22" i="76"/>
  <c r="O22" i="76" s="1"/>
  <c r="Q22" i="76" s="1"/>
  <c r="U22" i="76" s="1"/>
  <c r="O22" i="80"/>
  <c r="Q22" i="80" s="1"/>
  <c r="U22" i="80" s="1"/>
  <c r="AE23" i="33"/>
  <c r="AD64" i="33"/>
  <c r="N63" i="76"/>
  <c r="O63" i="76" s="1"/>
  <c r="Q63" i="76" s="1"/>
  <c r="U63" i="76" s="1"/>
  <c r="AD28" i="33"/>
  <c r="N27" i="76"/>
  <c r="O27" i="76" s="1"/>
  <c r="Q27" i="76" s="1"/>
  <c r="U27" i="76" s="1"/>
  <c r="AE53" i="33"/>
  <c r="O52" i="80"/>
  <c r="Q52" i="80" s="1"/>
  <c r="U52" i="80" s="1"/>
  <c r="AD32" i="33"/>
  <c r="N31" i="76"/>
  <c r="O31" i="76" s="1"/>
  <c r="Q31" i="76" s="1"/>
  <c r="U31" i="76" s="1"/>
  <c r="AD29" i="33"/>
  <c r="N28" i="76"/>
  <c r="O28" i="76" s="1"/>
  <c r="Q28" i="76" s="1"/>
  <c r="U28" i="76" s="1"/>
  <c r="AE29" i="33"/>
  <c r="O28" i="80"/>
  <c r="Q28" i="80" s="1"/>
  <c r="U28" i="80" s="1"/>
  <c r="O56" i="80"/>
  <c r="Q56" i="80" s="1"/>
  <c r="U56" i="80" s="1"/>
  <c r="AE57" i="33"/>
  <c r="AD16" i="33"/>
  <c r="N15" i="76"/>
  <c r="O15" i="76" s="1"/>
  <c r="Q15" i="76" s="1"/>
  <c r="U15" i="76" s="1"/>
  <c r="O60" i="80"/>
  <c r="Q60" i="80" s="1"/>
  <c r="U60" i="80" s="1"/>
  <c r="AE61" i="33"/>
  <c r="AD10" i="33"/>
  <c r="N9" i="76"/>
  <c r="O9" i="76" s="1"/>
  <c r="Q9" i="76" s="1"/>
  <c r="U9" i="76" s="1"/>
  <c r="AE10" i="33"/>
  <c r="O9" i="80"/>
  <c r="Q9" i="80" s="1"/>
  <c r="U9" i="80" s="1"/>
  <c r="R15" i="33"/>
  <c r="N15" i="115"/>
  <c r="P15" i="115" s="1"/>
  <c r="T15" i="115" s="1"/>
  <c r="T15" i="33"/>
  <c r="M15" i="117"/>
  <c r="N15" i="117" s="1"/>
  <c r="P15" i="117" s="1"/>
  <c r="T15" i="117" s="1"/>
  <c r="V15" i="33"/>
  <c r="M15" i="119"/>
  <c r="N15" i="119" s="1"/>
  <c r="P15" i="119" s="1"/>
  <c r="T15" i="119" s="1"/>
  <c r="P15" i="33"/>
  <c r="M15" i="113"/>
  <c r="S35" i="80"/>
  <c r="S39" i="80"/>
  <c r="T39" i="80" s="1"/>
  <c r="S74" i="76"/>
  <c r="S23" i="80"/>
  <c r="T23" i="80" s="1"/>
  <c r="S51" i="80"/>
  <c r="R70" i="118"/>
  <c r="R9" i="119"/>
  <c r="R9" i="115"/>
  <c r="R53" i="114"/>
  <c r="R31" i="113"/>
  <c r="R31" i="117"/>
  <c r="R31" i="115"/>
  <c r="R57" i="116"/>
  <c r="R57" i="114"/>
  <c r="R16" i="119"/>
  <c r="R16" i="115"/>
  <c r="R51" i="118"/>
  <c r="R51" i="114"/>
  <c r="R60" i="113"/>
  <c r="R60" i="119"/>
  <c r="R60" i="117"/>
  <c r="R43" i="116"/>
  <c r="R43" i="114"/>
  <c r="R61" i="117"/>
  <c r="R61" i="115"/>
  <c r="R34" i="113"/>
  <c r="R34" i="115"/>
  <c r="R42" i="116"/>
  <c r="R23" i="119"/>
  <c r="R23" i="115"/>
  <c r="R12" i="116"/>
  <c r="R44" i="119"/>
  <c r="R44" i="117"/>
  <c r="R44" i="115"/>
  <c r="R10" i="113"/>
  <c r="R26" i="113"/>
  <c r="R9" i="118"/>
  <c r="R9" i="116"/>
  <c r="R9" i="114"/>
  <c r="R22" i="115"/>
  <c r="R31" i="118"/>
  <c r="R31" i="116"/>
  <c r="R32" i="113"/>
  <c r="R32" i="117"/>
  <c r="R16" i="118"/>
  <c r="R16" i="116"/>
  <c r="R16" i="114"/>
  <c r="R56" i="119"/>
  <c r="R56" i="117"/>
  <c r="R56" i="115"/>
  <c r="R30" i="113"/>
  <c r="R30" i="119"/>
  <c r="R61" i="116"/>
  <c r="R48" i="119"/>
  <c r="R48" i="117"/>
  <c r="R48" i="115"/>
  <c r="S46" i="80"/>
  <c r="S40" i="80"/>
  <c r="S36" i="80"/>
  <c r="S45" i="80"/>
  <c r="S74" i="80"/>
  <c r="T74" i="80" s="1"/>
  <c r="S34" i="80"/>
  <c r="S13" i="80"/>
  <c r="S61" i="80"/>
  <c r="T61" i="80" s="1"/>
  <c r="S12" i="80"/>
  <c r="S72" i="80"/>
  <c r="S20" i="80"/>
  <c r="S37" i="80"/>
  <c r="S51" i="76"/>
  <c r="S32" i="80"/>
  <c r="S73" i="80"/>
  <c r="R23" i="118"/>
  <c r="R23" i="114"/>
  <c r="R64" i="113"/>
  <c r="R64" i="119"/>
  <c r="R44" i="118"/>
  <c r="R44" i="116"/>
  <c r="R44" i="114"/>
  <c r="R69" i="113"/>
  <c r="R26" i="118"/>
  <c r="R8" i="113"/>
  <c r="R22" i="118"/>
  <c r="R28" i="119"/>
  <c r="R28" i="117"/>
  <c r="R28" i="115"/>
  <c r="R32" i="118"/>
  <c r="R29" i="113"/>
  <c r="R56" i="118"/>
  <c r="R56" i="116"/>
  <c r="R58" i="115"/>
  <c r="R30" i="118"/>
  <c r="R27" i="113"/>
  <c r="R27" i="119"/>
  <c r="R27" i="115"/>
  <c r="R48" i="118"/>
  <c r="R48" i="116"/>
  <c r="R48" i="114"/>
  <c r="R67" i="117"/>
  <c r="R67" i="115"/>
  <c r="R64" i="114"/>
  <c r="R20" i="113"/>
  <c r="R69" i="118"/>
  <c r="R71" i="119"/>
  <c r="R71" i="117"/>
  <c r="R71" i="115"/>
  <c r="R8" i="114"/>
  <c r="R28" i="118"/>
  <c r="R53" i="119"/>
  <c r="R53" i="115"/>
  <c r="R29" i="118"/>
  <c r="R29" i="116"/>
  <c r="R29" i="114"/>
  <c r="R57" i="119"/>
  <c r="R57" i="117"/>
  <c r="R57" i="115"/>
  <c r="R58" i="114"/>
  <c r="R51" i="113"/>
  <c r="R51" i="117"/>
  <c r="R27" i="118"/>
  <c r="R27" i="116"/>
  <c r="R27" i="114"/>
  <c r="R43" i="119"/>
  <c r="R43" i="117"/>
  <c r="R43" i="115"/>
  <c r="R67" i="114"/>
  <c r="R34" i="118"/>
  <c r="S34" i="118" s="1"/>
  <c r="R12" i="113"/>
  <c r="R12" i="115"/>
  <c r="R71" i="118"/>
  <c r="R71" i="114"/>
  <c r="R19" i="119"/>
  <c r="R19" i="117"/>
  <c r="R19" i="115"/>
  <c r="K49" i="31"/>
  <c r="L49" i="31" s="1"/>
  <c r="K38" i="31"/>
  <c r="L38" i="31" s="1"/>
  <c r="K14" i="31"/>
  <c r="L14" i="31" s="1"/>
  <c r="K48" i="31"/>
  <c r="L48" i="31" s="1"/>
  <c r="K34" i="31"/>
  <c r="L34" i="31" s="1"/>
  <c r="K25" i="31"/>
  <c r="L25" i="31" s="1"/>
  <c r="K57" i="31"/>
  <c r="L57" i="31" s="1"/>
  <c r="K13" i="31"/>
  <c r="L13" i="31" s="1"/>
  <c r="K46" i="31"/>
  <c r="L46" i="31" s="1"/>
  <c r="K32" i="31"/>
  <c r="L32" i="31" s="1"/>
  <c r="K23" i="31"/>
  <c r="L23" i="31" s="1"/>
  <c r="K55" i="31"/>
  <c r="L55" i="31" s="1"/>
  <c r="K45" i="31"/>
  <c r="L45" i="31" s="1"/>
  <c r="K42" i="31"/>
  <c r="L42" i="31" s="1"/>
  <c r="K20" i="31"/>
  <c r="L20" i="31" s="1"/>
  <c r="K27" i="31"/>
  <c r="L27" i="31" s="1"/>
  <c r="K59" i="31"/>
  <c r="L59" i="31" s="1"/>
  <c r="K16" i="31"/>
  <c r="L16" i="31" s="1"/>
  <c r="K65" i="31"/>
  <c r="L65" i="31" s="1"/>
  <c r="K15" i="31"/>
  <c r="L15" i="31" s="1"/>
  <c r="K47" i="31"/>
  <c r="L47" i="31" s="1"/>
  <c r="K37" i="31"/>
  <c r="L37" i="31" s="1"/>
  <c r="K40" i="31"/>
  <c r="L40" i="31" s="1"/>
  <c r="K67" i="31"/>
  <c r="L67" i="31" s="1"/>
  <c r="K51" i="31"/>
  <c r="L51" i="31" s="1"/>
  <c r="K36" i="31"/>
  <c r="L36" i="31" s="1"/>
  <c r="K33" i="31"/>
  <c r="L33" i="31" s="1"/>
  <c r="K66" i="31"/>
  <c r="L66" i="31" s="1"/>
  <c r="K22" i="31"/>
  <c r="L22" i="31" s="1"/>
  <c r="K54" i="31"/>
  <c r="L54" i="31" s="1"/>
  <c r="K52" i="31"/>
  <c r="L52" i="31" s="1"/>
  <c r="K31" i="31"/>
  <c r="L31" i="31" s="1"/>
  <c r="K63" i="31"/>
  <c r="L63" i="31" s="1"/>
  <c r="K21" i="31"/>
  <c r="L21" i="31" s="1"/>
  <c r="K53" i="31"/>
  <c r="L53" i="31" s="1"/>
  <c r="K50" i="31"/>
  <c r="L50" i="31" s="1"/>
  <c r="K44" i="31"/>
  <c r="L44" i="31" s="1"/>
  <c r="K35" i="31"/>
  <c r="L35" i="31" s="1"/>
  <c r="K69" i="31"/>
  <c r="L69" i="31" s="1"/>
  <c r="K56" i="31"/>
  <c r="L56" i="31" s="1"/>
  <c r="K41" i="31"/>
  <c r="L41" i="31" s="1"/>
  <c r="K24" i="31"/>
  <c r="L24" i="31" s="1"/>
  <c r="K30" i="31"/>
  <c r="L30" i="31" s="1"/>
  <c r="K62" i="31"/>
  <c r="L62" i="31" s="1"/>
  <c r="K70" i="31"/>
  <c r="L70" i="31" s="1"/>
  <c r="K39" i="31"/>
  <c r="L39" i="31" s="1"/>
  <c r="K28" i="31"/>
  <c r="L28" i="31" s="1"/>
  <c r="K29" i="31"/>
  <c r="L29" i="31" s="1"/>
  <c r="K61" i="31"/>
  <c r="L61" i="31" s="1"/>
  <c r="K26" i="31"/>
  <c r="L26" i="31" s="1"/>
  <c r="K58" i="31"/>
  <c r="L58" i="31" s="1"/>
  <c r="K60" i="31"/>
  <c r="L60" i="31" s="1"/>
  <c r="K43" i="31"/>
  <c r="L43" i="31" s="1"/>
  <c r="K7" i="46"/>
  <c r="I12" i="46"/>
  <c r="K14" i="46"/>
  <c r="L14" i="46" s="1"/>
  <c r="L14" i="80"/>
  <c r="M14" i="80" s="1"/>
  <c r="N14" i="80" s="1"/>
  <c r="L14" i="76"/>
  <c r="M14" i="76" s="1"/>
  <c r="AP38" i="33" l="1"/>
  <c r="C35" i="100" s="1"/>
  <c r="AP21" i="33"/>
  <c r="C18" i="100" s="1"/>
  <c r="AP17" i="33"/>
  <c r="C14" i="100" s="1"/>
  <c r="AP11" i="33"/>
  <c r="C8" i="100" s="1"/>
  <c r="AP68" i="33"/>
  <c r="C65" i="100" s="1"/>
  <c r="AP18" i="33"/>
  <c r="C15" i="100" s="1"/>
  <c r="AP74" i="33"/>
  <c r="C71" i="100" s="1"/>
  <c r="AP65" i="33"/>
  <c r="C62" i="100" s="1"/>
  <c r="AP39" i="33"/>
  <c r="C36" i="100" s="1"/>
  <c r="AP75" i="33"/>
  <c r="C72" i="100" s="1"/>
  <c r="AP37" i="33"/>
  <c r="C34" i="100" s="1"/>
  <c r="AP72" i="33"/>
  <c r="C69" i="100" s="1"/>
  <c r="AP73" i="33"/>
  <c r="C70" i="100" s="1"/>
  <c r="AP35" i="33"/>
  <c r="C32" i="100" s="1"/>
  <c r="AP47" i="33"/>
  <c r="C44" i="100" s="1"/>
  <c r="AP63" i="33"/>
  <c r="C60" i="100" s="1"/>
  <c r="AP69" i="33"/>
  <c r="C66" i="100" s="1"/>
  <c r="AP43" i="33"/>
  <c r="C40" i="100" s="1"/>
  <c r="AP27" i="33"/>
  <c r="C24" i="100" s="1"/>
  <c r="AP51" i="33"/>
  <c r="C48" i="100" s="1"/>
  <c r="AP62" i="33"/>
  <c r="C59" i="100" s="1"/>
  <c r="AP24" i="33"/>
  <c r="C21" i="100" s="1"/>
  <c r="AP13" i="33"/>
  <c r="C10" i="100" s="1"/>
  <c r="AP14" i="33"/>
  <c r="C11" i="100" s="1"/>
  <c r="AP40" i="33"/>
  <c r="C37" i="100" s="1"/>
  <c r="AP36" i="33"/>
  <c r="C33" i="100" s="1"/>
  <c r="AP45" i="33"/>
  <c r="C42" i="100" s="1"/>
  <c r="AP25" i="33"/>
  <c r="C22" i="100" s="1"/>
  <c r="AP50" i="33"/>
  <c r="C47" i="100" s="1"/>
  <c r="AP55" i="33"/>
  <c r="C52" i="100" s="1"/>
  <c r="AP49" i="33"/>
  <c r="C46" i="100" s="1"/>
  <c r="AP59" i="33"/>
  <c r="C56" i="100" s="1"/>
  <c r="AP41" i="33"/>
  <c r="C38" i="100" s="1"/>
  <c r="AP33" i="33"/>
  <c r="C30" i="100" s="1"/>
  <c r="AP54" i="33"/>
  <c r="C51" i="100" s="1"/>
  <c r="AP66" i="33"/>
  <c r="C63" i="100" s="1"/>
  <c r="AP46" i="33"/>
  <c r="C43" i="100" s="1"/>
  <c r="R15" i="120"/>
  <c r="S15" i="120" s="1"/>
  <c r="T15" i="120"/>
  <c r="AF32" i="33"/>
  <c r="AI32" i="33" s="1"/>
  <c r="AF30" i="33"/>
  <c r="AI30" i="33" s="1"/>
  <c r="AF64" i="33"/>
  <c r="AI64" i="33" s="1"/>
  <c r="AF58" i="33"/>
  <c r="AI58" i="33" s="1"/>
  <c r="AF20" i="33"/>
  <c r="AI20" i="33" s="1"/>
  <c r="AF67" i="33"/>
  <c r="AI67" i="33" s="1"/>
  <c r="AF57" i="33"/>
  <c r="AI57" i="33" s="1"/>
  <c r="AF71" i="33"/>
  <c r="AI71" i="33" s="1"/>
  <c r="AF28" i="33"/>
  <c r="AI28" i="33" s="1"/>
  <c r="AF16" i="33"/>
  <c r="AI16" i="33" s="1"/>
  <c r="AF10" i="33"/>
  <c r="AI10" i="33" s="1"/>
  <c r="AF29" i="33"/>
  <c r="AI29" i="33" s="1"/>
  <c r="AF26" i="33"/>
  <c r="AI26" i="33" s="1"/>
  <c r="AF61" i="33"/>
  <c r="AI61" i="33" s="1"/>
  <c r="AF53" i="33"/>
  <c r="AI53" i="33" s="1"/>
  <c r="AF8" i="33"/>
  <c r="AI8" i="33" s="1"/>
  <c r="AF19" i="33"/>
  <c r="AI19" i="33" s="1"/>
  <c r="AF9" i="33"/>
  <c r="AI9" i="33" s="1"/>
  <c r="AF56" i="33"/>
  <c r="AI56" i="33" s="1"/>
  <c r="AF31" i="33"/>
  <c r="AI31" i="33" s="1"/>
  <c r="AF22" i="33"/>
  <c r="AI22" i="33" s="1"/>
  <c r="AF34" i="33"/>
  <c r="AI34" i="33" s="1"/>
  <c r="AF70" i="33"/>
  <c r="AI70" i="33" s="1"/>
  <c r="AF48" i="33"/>
  <c r="AI48" i="33" s="1"/>
  <c r="AF44" i="33"/>
  <c r="AI44" i="33" s="1"/>
  <c r="AF12" i="33"/>
  <c r="AI12" i="33" s="1"/>
  <c r="AF60" i="33"/>
  <c r="AI60" i="33" s="1"/>
  <c r="O11" i="46"/>
  <c r="P11" i="46" s="1"/>
  <c r="R11" i="46" s="1"/>
  <c r="O8" i="46"/>
  <c r="P8" i="46" s="1"/>
  <c r="R8" i="46" s="1"/>
  <c r="O10" i="46"/>
  <c r="P10" i="46" s="1"/>
  <c r="R10" i="46" s="1"/>
  <c r="AK37" i="33"/>
  <c r="AL37" i="33" s="1"/>
  <c r="C34" i="72" s="1"/>
  <c r="AK36" i="33"/>
  <c r="AL36" i="33" s="1"/>
  <c r="C33" i="72" s="1"/>
  <c r="AK54" i="33"/>
  <c r="AL54" i="33" s="1"/>
  <c r="C51" i="72" s="1"/>
  <c r="AK59" i="33"/>
  <c r="AL59" i="33" s="1"/>
  <c r="C56" i="72" s="1"/>
  <c r="AK38" i="33"/>
  <c r="AL38" i="33" s="1"/>
  <c r="C35" i="72" s="1"/>
  <c r="AK49" i="33"/>
  <c r="AL49" i="33" s="1"/>
  <c r="C46" i="72" s="1"/>
  <c r="AK35" i="33"/>
  <c r="AL35" i="33" s="1"/>
  <c r="C32" i="72" s="1"/>
  <c r="AK40" i="33"/>
  <c r="AL40" i="33" s="1"/>
  <c r="C37" i="72" s="1"/>
  <c r="AK47" i="33"/>
  <c r="AL47" i="33" s="1"/>
  <c r="C44" i="72" s="1"/>
  <c r="AK55" i="33"/>
  <c r="AL55" i="33" s="1"/>
  <c r="C52" i="72" s="1"/>
  <c r="O9" i="46"/>
  <c r="P9" i="46" s="1"/>
  <c r="R9" i="46" s="1"/>
  <c r="U9" i="46" s="1"/>
  <c r="AK17" i="33"/>
  <c r="AL17" i="33" s="1"/>
  <c r="C14" i="72" s="1"/>
  <c r="AK46" i="33"/>
  <c r="AL46" i="33" s="1"/>
  <c r="C43" i="72" s="1"/>
  <c r="AK65" i="33"/>
  <c r="AL65" i="33" s="1"/>
  <c r="C62" i="72" s="1"/>
  <c r="AK63" i="33"/>
  <c r="AL63" i="33" s="1"/>
  <c r="C60" i="72" s="1"/>
  <c r="AK11" i="33"/>
  <c r="AL11" i="33" s="1"/>
  <c r="C8" i="72" s="1"/>
  <c r="AK18" i="33"/>
  <c r="AL18" i="33" s="1"/>
  <c r="C15" i="72" s="1"/>
  <c r="AK50" i="33"/>
  <c r="AL50" i="33" s="1"/>
  <c r="C47" i="72" s="1"/>
  <c r="AK74" i="33"/>
  <c r="AL74" i="33" s="1"/>
  <c r="C71" i="72" s="1"/>
  <c r="AK73" i="33"/>
  <c r="AL73" i="33" s="1"/>
  <c r="C70" i="72" s="1"/>
  <c r="AK13" i="33"/>
  <c r="AL13" i="33" s="1"/>
  <c r="C10" i="72" s="1"/>
  <c r="S19" i="117"/>
  <c r="S57" i="115"/>
  <c r="S53" i="115"/>
  <c r="S58" i="115"/>
  <c r="S56" i="115"/>
  <c r="S56" i="117"/>
  <c r="S32" i="117"/>
  <c r="S22" i="115"/>
  <c r="S23" i="115"/>
  <c r="S61" i="115"/>
  <c r="S61" i="117"/>
  <c r="S60" i="117"/>
  <c r="S16" i="115"/>
  <c r="S31" i="115"/>
  <c r="S31" i="117"/>
  <c r="S9" i="115"/>
  <c r="T74" i="76"/>
  <c r="S12" i="117"/>
  <c r="S42" i="117"/>
  <c r="AK42" i="117" s="1"/>
  <c r="S51" i="115"/>
  <c r="S58" i="117"/>
  <c r="S29" i="115"/>
  <c r="S29" i="117"/>
  <c r="S8" i="115"/>
  <c r="S8" i="117"/>
  <c r="S69" i="115"/>
  <c r="S69" i="117"/>
  <c r="T24" i="76"/>
  <c r="S16" i="117"/>
  <c r="S9" i="117"/>
  <c r="T73" i="76"/>
  <c r="T32" i="76"/>
  <c r="T49" i="76"/>
  <c r="T64" i="76"/>
  <c r="T54" i="76"/>
  <c r="T38" i="76"/>
  <c r="T48" i="76"/>
  <c r="T65" i="76"/>
  <c r="T45" i="76"/>
  <c r="T36" i="76"/>
  <c r="T40" i="76"/>
  <c r="T46" i="76"/>
  <c r="T20" i="76"/>
  <c r="T61" i="76"/>
  <c r="T34" i="76"/>
  <c r="S51" i="117"/>
  <c r="S57" i="117"/>
  <c r="S71" i="115"/>
  <c r="S71" i="117"/>
  <c r="S19" i="115"/>
  <c r="S12" i="115"/>
  <c r="S43" i="115"/>
  <c r="S43" i="117"/>
  <c r="S67" i="115"/>
  <c r="S67" i="117"/>
  <c r="S27" i="115"/>
  <c r="S28" i="115"/>
  <c r="S28" i="117"/>
  <c r="T51" i="76"/>
  <c r="S48" i="115"/>
  <c r="S48" i="117"/>
  <c r="S44" i="115"/>
  <c r="S44" i="117"/>
  <c r="S34" i="115"/>
  <c r="S53" i="117"/>
  <c r="S70" i="115"/>
  <c r="S70" i="117"/>
  <c r="S20" i="115"/>
  <c r="S20" i="117"/>
  <c r="S27" i="117"/>
  <c r="S64" i="115"/>
  <c r="S64" i="117"/>
  <c r="T23" i="76"/>
  <c r="T17" i="76"/>
  <c r="T16" i="76"/>
  <c r="T67" i="76"/>
  <c r="T35" i="76"/>
  <c r="S30" i="115"/>
  <c r="S30" i="117"/>
  <c r="S32" i="115"/>
  <c r="S22" i="117"/>
  <c r="S26" i="115"/>
  <c r="S26" i="117"/>
  <c r="S10" i="115"/>
  <c r="S10" i="117"/>
  <c r="S23" i="117"/>
  <c r="S34" i="117"/>
  <c r="S60" i="115"/>
  <c r="T13" i="76"/>
  <c r="T10" i="76"/>
  <c r="T39" i="76"/>
  <c r="T37" i="76"/>
  <c r="T62" i="76"/>
  <c r="T44" i="76"/>
  <c r="T12" i="76"/>
  <c r="T71" i="76"/>
  <c r="T72" i="76"/>
  <c r="T53" i="76"/>
  <c r="T58" i="76"/>
  <c r="T73" i="80"/>
  <c r="T37" i="80"/>
  <c r="T20" i="80"/>
  <c r="T12" i="80"/>
  <c r="T13" i="80"/>
  <c r="T51" i="80"/>
  <c r="T48" i="80"/>
  <c r="T10" i="80"/>
  <c r="T58" i="80"/>
  <c r="T24" i="80"/>
  <c r="T71" i="80"/>
  <c r="T32" i="80"/>
  <c r="T72" i="80"/>
  <c r="T34" i="80"/>
  <c r="T45" i="80"/>
  <c r="T36" i="80"/>
  <c r="T40" i="80"/>
  <c r="T46" i="80"/>
  <c r="T35" i="80"/>
  <c r="AK21" i="33"/>
  <c r="AL21" i="33" s="1"/>
  <c r="C18" i="72" s="1"/>
  <c r="T49" i="80"/>
  <c r="T64" i="80"/>
  <c r="T17" i="80"/>
  <c r="T54" i="80"/>
  <c r="T16" i="80"/>
  <c r="T38" i="80"/>
  <c r="T65" i="80"/>
  <c r="T44" i="80"/>
  <c r="T67" i="80"/>
  <c r="AK41" i="33"/>
  <c r="AL41" i="33" s="1"/>
  <c r="C38" i="72" s="1"/>
  <c r="S71" i="118"/>
  <c r="S27" i="116"/>
  <c r="S27" i="118"/>
  <c r="S51" i="113"/>
  <c r="S58" i="114"/>
  <c r="S57" i="119"/>
  <c r="S28" i="118"/>
  <c r="S69" i="118"/>
  <c r="S20" i="113"/>
  <c r="S64" i="114"/>
  <c r="S56" i="116"/>
  <c r="S56" i="118"/>
  <c r="S29" i="113"/>
  <c r="S32" i="118"/>
  <c r="S28" i="119"/>
  <c r="S22" i="118"/>
  <c r="S8" i="113"/>
  <c r="S26" i="118"/>
  <c r="S69" i="113"/>
  <c r="S44" i="114"/>
  <c r="S44" i="116"/>
  <c r="S44" i="118"/>
  <c r="S64" i="119"/>
  <c r="S64" i="113"/>
  <c r="S23" i="114"/>
  <c r="S23" i="118"/>
  <c r="S48" i="119"/>
  <c r="S9" i="114"/>
  <c r="S9" i="116"/>
  <c r="S9" i="118"/>
  <c r="S26" i="113"/>
  <c r="S10" i="113"/>
  <c r="S44" i="119"/>
  <c r="S70" i="118"/>
  <c r="S20" i="114"/>
  <c r="S20" i="116"/>
  <c r="S20" i="118"/>
  <c r="S58" i="116"/>
  <c r="S58" i="118"/>
  <c r="S57" i="113"/>
  <c r="S53" i="113"/>
  <c r="S28" i="114"/>
  <c r="S28" i="116"/>
  <c r="S70" i="119"/>
  <c r="S70" i="113"/>
  <c r="S8" i="118"/>
  <c r="S71" i="113"/>
  <c r="S69" i="114"/>
  <c r="S69" i="116"/>
  <c r="S20" i="119"/>
  <c r="S64" i="116"/>
  <c r="S64" i="118"/>
  <c r="S67" i="119"/>
  <c r="S67" i="113"/>
  <c r="S29" i="119"/>
  <c r="S32" i="114"/>
  <c r="S32" i="116"/>
  <c r="S28" i="113"/>
  <c r="S22" i="114"/>
  <c r="S22" i="116"/>
  <c r="S8" i="119"/>
  <c r="S26" i="114"/>
  <c r="S26" i="116"/>
  <c r="S10" i="114"/>
  <c r="S10" i="116"/>
  <c r="S10" i="118"/>
  <c r="S69" i="119"/>
  <c r="S19" i="118"/>
  <c r="S51" i="116"/>
  <c r="S16" i="113"/>
  <c r="S57" i="118"/>
  <c r="S31" i="119"/>
  <c r="S53" i="116"/>
  <c r="S53" i="118"/>
  <c r="S9" i="113"/>
  <c r="S70" i="114"/>
  <c r="S70" i="116"/>
  <c r="S8" i="116"/>
  <c r="S71" i="114"/>
  <c r="S12" i="113"/>
  <c r="S27" i="114"/>
  <c r="S19" i="119"/>
  <c r="S67" i="114"/>
  <c r="S43" i="119"/>
  <c r="S29" i="114"/>
  <c r="S29" i="116"/>
  <c r="S29" i="118"/>
  <c r="S53" i="119"/>
  <c r="S8" i="114"/>
  <c r="S71" i="119"/>
  <c r="S48" i="114"/>
  <c r="S48" i="116"/>
  <c r="S48" i="118"/>
  <c r="S27" i="119"/>
  <c r="S27" i="113"/>
  <c r="S30" i="118"/>
  <c r="S61" i="116"/>
  <c r="S30" i="119"/>
  <c r="S30" i="113"/>
  <c r="S56" i="119"/>
  <c r="S16" i="114"/>
  <c r="S16" i="116"/>
  <c r="S16" i="118"/>
  <c r="S32" i="113"/>
  <c r="S31" i="116"/>
  <c r="S31" i="118"/>
  <c r="S12" i="116"/>
  <c r="S23" i="119"/>
  <c r="S42" i="116"/>
  <c r="AK42" i="116" s="1"/>
  <c r="S34" i="113"/>
  <c r="S43" i="114"/>
  <c r="S43" i="116"/>
  <c r="S60" i="119"/>
  <c r="S60" i="113"/>
  <c r="S51" i="114"/>
  <c r="S51" i="118"/>
  <c r="S16" i="119"/>
  <c r="S57" i="114"/>
  <c r="S57" i="116"/>
  <c r="S31" i="113"/>
  <c r="S53" i="114"/>
  <c r="S9" i="119"/>
  <c r="S19" i="113"/>
  <c r="S71" i="116"/>
  <c r="S12" i="119"/>
  <c r="S42" i="119"/>
  <c r="AK42" i="119" s="1"/>
  <c r="S42" i="113"/>
  <c r="AK42" i="113" s="1"/>
  <c r="S34" i="114"/>
  <c r="S34" i="116"/>
  <c r="S67" i="116"/>
  <c r="S67" i="118"/>
  <c r="S43" i="113"/>
  <c r="S51" i="119"/>
  <c r="S30" i="114"/>
  <c r="S30" i="116"/>
  <c r="S58" i="119"/>
  <c r="S58" i="113"/>
  <c r="S56" i="114"/>
  <c r="S23" i="116"/>
  <c r="S48" i="113"/>
  <c r="S61" i="114"/>
  <c r="S61" i="118"/>
  <c r="S60" i="114"/>
  <c r="S60" i="116"/>
  <c r="S60" i="118"/>
  <c r="S56" i="113"/>
  <c r="S32" i="119"/>
  <c r="S31" i="114"/>
  <c r="S22" i="119"/>
  <c r="S22" i="113"/>
  <c r="S26" i="119"/>
  <c r="S10" i="119"/>
  <c r="S19" i="114"/>
  <c r="S19" i="116"/>
  <c r="S44" i="113"/>
  <c r="S12" i="114"/>
  <c r="S12" i="118"/>
  <c r="S23" i="113"/>
  <c r="S42" i="114"/>
  <c r="AK42" i="114" s="1"/>
  <c r="S42" i="118"/>
  <c r="AK42" i="118" s="1"/>
  <c r="S34" i="119"/>
  <c r="S61" i="119"/>
  <c r="S61" i="113"/>
  <c r="S43" i="118"/>
  <c r="AK66" i="33"/>
  <c r="AK68" i="33"/>
  <c r="AK25" i="33"/>
  <c r="AK24" i="33"/>
  <c r="AK14" i="33"/>
  <c r="AK33" i="33"/>
  <c r="AK75" i="33"/>
  <c r="AQ44" i="31"/>
  <c r="M14" i="46"/>
  <c r="N14" i="46"/>
  <c r="N15" i="46" s="1"/>
  <c r="O6" i="46"/>
  <c r="N43" i="31"/>
  <c r="M43" i="31"/>
  <c r="N60" i="31"/>
  <c r="M60" i="31"/>
  <c r="N58" i="31"/>
  <c r="M58" i="31"/>
  <c r="N26" i="31"/>
  <c r="M26" i="31"/>
  <c r="N61" i="31"/>
  <c r="M61" i="31"/>
  <c r="N29" i="31"/>
  <c r="M29" i="31"/>
  <c r="N28" i="31"/>
  <c r="M28" i="31"/>
  <c r="N39" i="31"/>
  <c r="M39" i="31"/>
  <c r="N70" i="31"/>
  <c r="M70" i="31"/>
  <c r="N62" i="31"/>
  <c r="M62" i="31"/>
  <c r="N30" i="31"/>
  <c r="M30" i="31"/>
  <c r="N24" i="31"/>
  <c r="M24" i="31"/>
  <c r="N41" i="31"/>
  <c r="M41" i="31"/>
  <c r="N56" i="31"/>
  <c r="M56" i="31"/>
  <c r="N69" i="31"/>
  <c r="M69" i="31"/>
  <c r="N35" i="31"/>
  <c r="M35" i="31"/>
  <c r="N44" i="31"/>
  <c r="M44" i="31"/>
  <c r="N50" i="31"/>
  <c r="M50" i="31"/>
  <c r="N53" i="31"/>
  <c r="M53" i="31"/>
  <c r="N21" i="31"/>
  <c r="M21" i="31"/>
  <c r="N63" i="31"/>
  <c r="M63" i="31"/>
  <c r="N31" i="31"/>
  <c r="M31" i="31"/>
  <c r="N52" i="31"/>
  <c r="M52" i="31"/>
  <c r="N54" i="31"/>
  <c r="M54" i="31"/>
  <c r="N22" i="31"/>
  <c r="M22" i="31"/>
  <c r="N66" i="31"/>
  <c r="M66" i="31"/>
  <c r="N33" i="31"/>
  <c r="M33" i="31"/>
  <c r="N36" i="31"/>
  <c r="M36" i="31"/>
  <c r="N51" i="31"/>
  <c r="M51" i="31"/>
  <c r="N67" i="31"/>
  <c r="M67" i="31"/>
  <c r="N40" i="31"/>
  <c r="M40" i="31"/>
  <c r="N37" i="31"/>
  <c r="M37" i="31"/>
  <c r="N47" i="31"/>
  <c r="M47" i="31"/>
  <c r="N15" i="31"/>
  <c r="M15" i="31"/>
  <c r="N65" i="31"/>
  <c r="M65" i="31"/>
  <c r="N16" i="31"/>
  <c r="M16" i="31"/>
  <c r="N59" i="31"/>
  <c r="M59" i="31"/>
  <c r="N27" i="31"/>
  <c r="M27" i="31"/>
  <c r="N20" i="31"/>
  <c r="M20" i="31"/>
  <c r="N42" i="31"/>
  <c r="M42" i="31"/>
  <c r="N45" i="31"/>
  <c r="M45" i="31"/>
  <c r="N55" i="31"/>
  <c r="M55" i="31"/>
  <c r="N23" i="31"/>
  <c r="M23" i="31"/>
  <c r="N32" i="31"/>
  <c r="M32" i="31"/>
  <c r="N46" i="31"/>
  <c r="M46" i="31"/>
  <c r="N13" i="31"/>
  <c r="M13" i="31"/>
  <c r="N57" i="31"/>
  <c r="M57" i="31"/>
  <c r="N25" i="31"/>
  <c r="M25" i="31"/>
  <c r="N34" i="31"/>
  <c r="M34" i="31"/>
  <c r="N48" i="31"/>
  <c r="M48" i="31"/>
  <c r="N14" i="31"/>
  <c r="M14" i="31"/>
  <c r="N38" i="31"/>
  <c r="M38" i="31"/>
  <c r="N49" i="31"/>
  <c r="M49" i="31"/>
  <c r="S31" i="76"/>
  <c r="S30" i="76"/>
  <c r="S33" i="76"/>
  <c r="S68" i="76"/>
  <c r="S42" i="76"/>
  <c r="S26" i="76"/>
  <c r="R15" i="116"/>
  <c r="R15" i="117"/>
  <c r="S9" i="76"/>
  <c r="S15" i="76"/>
  <c r="S63" i="76"/>
  <c r="S19" i="76"/>
  <c r="S56" i="76"/>
  <c r="S52" i="76"/>
  <c r="S7" i="76"/>
  <c r="S8" i="76"/>
  <c r="S55" i="76"/>
  <c r="S66" i="76"/>
  <c r="S43" i="76"/>
  <c r="K7" i="114"/>
  <c r="I77" i="114"/>
  <c r="I83" i="114" s="1"/>
  <c r="K7" i="117"/>
  <c r="I76" i="117"/>
  <c r="I82" i="117" s="1"/>
  <c r="K7" i="113"/>
  <c r="I76" i="113"/>
  <c r="I82" i="113" s="1"/>
  <c r="AD15" i="33"/>
  <c r="N14" i="76"/>
  <c r="O14" i="76" s="1"/>
  <c r="Q14" i="76" s="1"/>
  <c r="U14" i="76" s="1"/>
  <c r="AE15" i="33"/>
  <c r="O14" i="80"/>
  <c r="Q14" i="80" s="1"/>
  <c r="U14" i="80" s="1"/>
  <c r="K7" i="116"/>
  <c r="I76" i="116"/>
  <c r="I82" i="116" s="1"/>
  <c r="K7" i="120"/>
  <c r="I76" i="120"/>
  <c r="I82" i="120" s="1"/>
  <c r="K7" i="115"/>
  <c r="I76" i="115"/>
  <c r="I82" i="115" s="1"/>
  <c r="K7" i="119"/>
  <c r="I76" i="119"/>
  <c r="I82" i="119" s="1"/>
  <c r="R15" i="119"/>
  <c r="R15" i="115"/>
  <c r="S9" i="80"/>
  <c r="S60" i="80"/>
  <c r="S28" i="80"/>
  <c r="S28" i="76"/>
  <c r="S52" i="80"/>
  <c r="T52" i="80" s="1"/>
  <c r="S27" i="76"/>
  <c r="S22" i="76"/>
  <c r="S57" i="76"/>
  <c r="S29" i="76"/>
  <c r="S55" i="80"/>
  <c r="S41" i="76"/>
  <c r="S69" i="80"/>
  <c r="S66" i="80"/>
  <c r="AF52" i="33"/>
  <c r="AI52" i="33" s="1"/>
  <c r="S60" i="76"/>
  <c r="S63" i="80"/>
  <c r="S29" i="80"/>
  <c r="T29" i="80" s="1"/>
  <c r="S41" i="80"/>
  <c r="S47" i="80"/>
  <c r="S47" i="76"/>
  <c r="S68" i="80"/>
  <c r="T68" i="80" s="1"/>
  <c r="S42" i="80"/>
  <c r="T42" i="80" s="1"/>
  <c r="S26" i="80"/>
  <c r="S59" i="76"/>
  <c r="S50" i="80"/>
  <c r="T50" i="80" s="1"/>
  <c r="K7" i="118"/>
  <c r="I76" i="118"/>
  <c r="I82" i="118" s="1"/>
  <c r="AK45" i="33"/>
  <c r="N15" i="113"/>
  <c r="P15" i="113" s="1"/>
  <c r="T15" i="113" s="1"/>
  <c r="S56" i="80"/>
  <c r="S22" i="80"/>
  <c r="S7" i="80"/>
  <c r="S33" i="80"/>
  <c r="S25" i="80"/>
  <c r="S25" i="76"/>
  <c r="S70" i="80"/>
  <c r="S15" i="80"/>
  <c r="T15" i="80" s="1"/>
  <c r="S31" i="80"/>
  <c r="S27" i="80"/>
  <c r="S57" i="80"/>
  <c r="T57" i="80" s="1"/>
  <c r="S18" i="80"/>
  <c r="S18" i="76"/>
  <c r="S8" i="80"/>
  <c r="S30" i="80"/>
  <c r="S21" i="80"/>
  <c r="S21" i="76"/>
  <c r="S19" i="80"/>
  <c r="S69" i="76"/>
  <c r="S70" i="76"/>
  <c r="S43" i="80"/>
  <c r="S11" i="80"/>
  <c r="S59" i="80"/>
  <c r="S50" i="76"/>
  <c r="R15" i="118"/>
  <c r="R15" i="114"/>
  <c r="S11" i="76"/>
  <c r="L7" i="46"/>
  <c r="K12" i="46"/>
  <c r="K12" i="31"/>
  <c r="K71" i="31" s="1"/>
  <c r="K7" i="33"/>
  <c r="I76" i="33"/>
  <c r="K6" i="5"/>
  <c r="L6" i="5" s="1"/>
  <c r="AP52" i="33" l="1"/>
  <c r="C49" i="100" s="1"/>
  <c r="AP60" i="33"/>
  <c r="C57" i="100" s="1"/>
  <c r="AP44" i="33"/>
  <c r="C41" i="100" s="1"/>
  <c r="AP70" i="33"/>
  <c r="C67" i="100" s="1"/>
  <c r="AP22" i="33"/>
  <c r="C19" i="100" s="1"/>
  <c r="AP56" i="33"/>
  <c r="C53" i="100" s="1"/>
  <c r="AP19" i="33"/>
  <c r="C16" i="100" s="1"/>
  <c r="AP53" i="33"/>
  <c r="C50" i="100" s="1"/>
  <c r="AP26" i="33"/>
  <c r="C23" i="100" s="1"/>
  <c r="AP10" i="33"/>
  <c r="C7" i="100" s="1"/>
  <c r="AP28" i="33"/>
  <c r="C25" i="100" s="1"/>
  <c r="AP57" i="33"/>
  <c r="C54" i="100" s="1"/>
  <c r="AP67" i="33"/>
  <c r="C64" i="100" s="1"/>
  <c r="AP58" i="33"/>
  <c r="C55" i="100" s="1"/>
  <c r="AP30" i="33"/>
  <c r="C27" i="100" s="1"/>
  <c r="AP12" i="33"/>
  <c r="C9" i="100" s="1"/>
  <c r="AP48" i="33"/>
  <c r="C45" i="100" s="1"/>
  <c r="AP34" i="33"/>
  <c r="C31" i="100" s="1"/>
  <c r="AP31" i="33"/>
  <c r="C28" i="100" s="1"/>
  <c r="AP9" i="33"/>
  <c r="C6" i="100" s="1"/>
  <c r="AP61" i="33"/>
  <c r="C58" i="100" s="1"/>
  <c r="AP29" i="33"/>
  <c r="C26" i="100" s="1"/>
  <c r="AP16" i="33"/>
  <c r="C13" i="100" s="1"/>
  <c r="AP71" i="33"/>
  <c r="C68" i="100" s="1"/>
  <c r="AP20" i="33"/>
  <c r="C17" i="100" s="1"/>
  <c r="AP64" i="33"/>
  <c r="C61" i="100" s="1"/>
  <c r="AP32" i="33"/>
  <c r="C29" i="100" s="1"/>
  <c r="AP8" i="33"/>
  <c r="C5" i="100" s="1"/>
  <c r="AR44" i="31"/>
  <c r="AR71" i="31" s="1"/>
  <c r="AQ71" i="31"/>
  <c r="I72" i="31"/>
  <c r="I74" i="31" s="1"/>
  <c r="U10" i="46"/>
  <c r="U11" i="46"/>
  <c r="W9" i="46"/>
  <c r="X9" i="46" s="1"/>
  <c r="AB9" i="46"/>
  <c r="U8" i="46"/>
  <c r="N6" i="5"/>
  <c r="AK27" i="33"/>
  <c r="AL27" i="33" s="1"/>
  <c r="C24" i="72" s="1"/>
  <c r="AK51" i="33"/>
  <c r="AL51" i="33" s="1"/>
  <c r="C48" i="72" s="1"/>
  <c r="AK44" i="33"/>
  <c r="AL44" i="33" s="1"/>
  <c r="C41" i="72" s="1"/>
  <c r="AK69" i="33"/>
  <c r="AL69" i="33" s="1"/>
  <c r="C66" i="72" s="1"/>
  <c r="AK43" i="33"/>
  <c r="AL43" i="33" s="1"/>
  <c r="C40" i="72" s="1"/>
  <c r="AK10" i="33"/>
  <c r="AL10" i="33" s="1"/>
  <c r="C7" i="72" s="1"/>
  <c r="AK28" i="33"/>
  <c r="AL28" i="33" s="1"/>
  <c r="C25" i="72" s="1"/>
  <c r="AK56" i="33"/>
  <c r="AL56" i="33" s="1"/>
  <c r="C53" i="72" s="1"/>
  <c r="AK53" i="33"/>
  <c r="AL53" i="33" s="1"/>
  <c r="C50" i="72" s="1"/>
  <c r="AK64" i="33"/>
  <c r="AL64" i="33" s="1"/>
  <c r="C61" i="72" s="1"/>
  <c r="AK48" i="33"/>
  <c r="AL48" i="33" s="1"/>
  <c r="C45" i="72" s="1"/>
  <c r="AK70" i="33"/>
  <c r="AL70" i="33" s="1"/>
  <c r="C67" i="72" s="1"/>
  <c r="N7" i="46"/>
  <c r="N12" i="46" s="1"/>
  <c r="N17" i="46" s="1"/>
  <c r="M7" i="46"/>
  <c r="AK57" i="33"/>
  <c r="AL57" i="33" s="1"/>
  <c r="C54" i="72" s="1"/>
  <c r="AK34" i="33"/>
  <c r="AL34" i="33" s="1"/>
  <c r="C31" i="72" s="1"/>
  <c r="AK30" i="33"/>
  <c r="AL30" i="33" s="1"/>
  <c r="C27" i="72" s="1"/>
  <c r="AK32" i="33"/>
  <c r="AL32" i="33" s="1"/>
  <c r="C29" i="72" s="1"/>
  <c r="AK58" i="33"/>
  <c r="AL58" i="33" s="1"/>
  <c r="C55" i="72" s="1"/>
  <c r="AK67" i="33"/>
  <c r="AL67" i="33" s="1"/>
  <c r="C64" i="72" s="1"/>
  <c r="AK12" i="33"/>
  <c r="AL12" i="33" s="1"/>
  <c r="C9" i="72" s="1"/>
  <c r="AK22" i="33"/>
  <c r="AL22" i="33" s="1"/>
  <c r="C19" i="72" s="1"/>
  <c r="AK9" i="33"/>
  <c r="AL9" i="33" s="1"/>
  <c r="C6" i="72" s="1"/>
  <c r="AK31" i="33"/>
  <c r="AL31" i="33" s="1"/>
  <c r="C28" i="72" s="1"/>
  <c r="AK60" i="33"/>
  <c r="AL60" i="33" s="1"/>
  <c r="C57" i="72" s="1"/>
  <c r="AK71" i="33"/>
  <c r="AL71" i="33" s="1"/>
  <c r="C68" i="72" s="1"/>
  <c r="AK61" i="33"/>
  <c r="AL61" i="33" s="1"/>
  <c r="C58" i="72" s="1"/>
  <c r="AK20" i="33"/>
  <c r="AL20" i="33" s="1"/>
  <c r="C17" i="72" s="1"/>
  <c r="AK16" i="33"/>
  <c r="AL16" i="33" s="1"/>
  <c r="C13" i="72" s="1"/>
  <c r="AK8" i="33"/>
  <c r="AL8" i="33" s="1"/>
  <c r="C5" i="72" s="1"/>
  <c r="AK19" i="33"/>
  <c r="AL19" i="33" s="1"/>
  <c r="C16" i="72" s="1"/>
  <c r="AK26" i="33"/>
  <c r="AL26" i="33" s="1"/>
  <c r="C23" i="72" s="1"/>
  <c r="O49" i="31"/>
  <c r="P49" i="31" s="1"/>
  <c r="R49" i="31" s="1"/>
  <c r="U49" i="31" s="1"/>
  <c r="Y49" i="31" s="1"/>
  <c r="O34" i="31"/>
  <c r="P34" i="31" s="1"/>
  <c r="R34" i="31" s="1"/>
  <c r="U34" i="31" s="1"/>
  <c r="Y34" i="31" s="1"/>
  <c r="O37" i="31"/>
  <c r="P37" i="31" s="1"/>
  <c r="R37" i="31" s="1"/>
  <c r="U37" i="31" s="1"/>
  <c r="Y37" i="31" s="1"/>
  <c r="O51" i="31"/>
  <c r="P51" i="31" s="1"/>
  <c r="R51" i="31" s="1"/>
  <c r="U51" i="31" s="1"/>
  <c r="Y51" i="31" s="1"/>
  <c r="O36" i="31"/>
  <c r="P36" i="31" s="1"/>
  <c r="R36" i="31" s="1"/>
  <c r="U36" i="31" s="1"/>
  <c r="Y36" i="31" s="1"/>
  <c r="O50" i="31"/>
  <c r="P50" i="31" s="1"/>
  <c r="R50" i="31" s="1"/>
  <c r="U50" i="31" s="1"/>
  <c r="Y50" i="31" s="1"/>
  <c r="O35" i="31"/>
  <c r="P35" i="31" s="1"/>
  <c r="R35" i="31" s="1"/>
  <c r="U35" i="31" s="1"/>
  <c r="Y35" i="31" s="1"/>
  <c r="O39" i="31"/>
  <c r="P39" i="31" s="1"/>
  <c r="R39" i="31" s="1"/>
  <c r="U39" i="31" s="1"/>
  <c r="Y39" i="31" s="1"/>
  <c r="T11" i="76"/>
  <c r="T69" i="76"/>
  <c r="T21" i="76"/>
  <c r="T18" i="76"/>
  <c r="T25" i="76"/>
  <c r="T60" i="76"/>
  <c r="T50" i="76"/>
  <c r="T70" i="76"/>
  <c r="T41" i="76"/>
  <c r="AL41" i="76" s="1"/>
  <c r="T29" i="76"/>
  <c r="T57" i="76"/>
  <c r="T63" i="76"/>
  <c r="T15" i="76"/>
  <c r="T9" i="76"/>
  <c r="S15" i="117"/>
  <c r="T26" i="76"/>
  <c r="T42" i="76"/>
  <c r="T68" i="76"/>
  <c r="T33" i="76"/>
  <c r="T31" i="76"/>
  <c r="T22" i="76"/>
  <c r="T27" i="76"/>
  <c r="T59" i="76"/>
  <c r="T47" i="76"/>
  <c r="T28" i="76"/>
  <c r="S15" i="115"/>
  <c r="T43" i="76"/>
  <c r="T66" i="76"/>
  <c r="T55" i="76"/>
  <c r="T8" i="76"/>
  <c r="T7" i="76"/>
  <c r="T52" i="76"/>
  <c r="T56" i="76"/>
  <c r="T19" i="76"/>
  <c r="T30" i="76"/>
  <c r="T59" i="80"/>
  <c r="T43" i="80"/>
  <c r="T30" i="80"/>
  <c r="T8" i="80"/>
  <c r="T18" i="80"/>
  <c r="T27" i="80"/>
  <c r="T31" i="80"/>
  <c r="T33" i="80"/>
  <c r="T7" i="80"/>
  <c r="T66" i="80"/>
  <c r="T69" i="80"/>
  <c r="T55" i="80"/>
  <c r="T28" i="80"/>
  <c r="T11" i="80"/>
  <c r="T19" i="80"/>
  <c r="T21" i="80"/>
  <c r="T70" i="80"/>
  <c r="T25" i="80"/>
  <c r="T22" i="80"/>
  <c r="T56" i="80"/>
  <c r="T26" i="80"/>
  <c r="T47" i="80"/>
  <c r="T41" i="80"/>
  <c r="AL41" i="80" s="1"/>
  <c r="T63" i="80"/>
  <c r="T60" i="80"/>
  <c r="T9" i="80"/>
  <c r="S15" i="114"/>
  <c r="S15" i="119"/>
  <c r="S15" i="118"/>
  <c r="S15" i="116"/>
  <c r="AL45" i="33"/>
  <c r="C42" i="72" s="1"/>
  <c r="AK29" i="33"/>
  <c r="AL33" i="33"/>
  <c r="C30" i="72" s="1"/>
  <c r="AL25" i="33"/>
  <c r="C22" i="72" s="1"/>
  <c r="AL75" i="33"/>
  <c r="C72" i="72" s="1"/>
  <c r="AL14" i="33"/>
  <c r="C11" i="72" s="1"/>
  <c r="AL24" i="33"/>
  <c r="C21" i="72" s="1"/>
  <c r="AL68" i="33"/>
  <c r="C65" i="72" s="1"/>
  <c r="AL66" i="33"/>
  <c r="C63" i="72" s="1"/>
  <c r="O67" i="31"/>
  <c r="P67" i="31" s="1"/>
  <c r="R67" i="31" s="1"/>
  <c r="U67" i="31" s="1"/>
  <c r="Y67" i="31" s="1"/>
  <c r="O63" i="31"/>
  <c r="P63" i="31" s="1"/>
  <c r="R63" i="31" s="1"/>
  <c r="U63" i="31" s="1"/>
  <c r="Y63" i="31" s="1"/>
  <c r="O62" i="31"/>
  <c r="P62" i="31" s="1"/>
  <c r="R62" i="31" s="1"/>
  <c r="U62" i="31" s="1"/>
  <c r="Y62" i="31" s="1"/>
  <c r="O60" i="31"/>
  <c r="P60" i="31" s="1"/>
  <c r="R60" i="31" s="1"/>
  <c r="U60" i="31" s="1"/>
  <c r="Y60" i="31" s="1"/>
  <c r="O55" i="31"/>
  <c r="P55" i="31" s="1"/>
  <c r="R55" i="31" s="1"/>
  <c r="U55" i="31" s="1"/>
  <c r="Y55" i="31" s="1"/>
  <c r="O52" i="31"/>
  <c r="P52" i="31" s="1"/>
  <c r="R52" i="31" s="1"/>
  <c r="U52" i="31" s="1"/>
  <c r="Y52" i="31" s="1"/>
  <c r="O53" i="31"/>
  <c r="P53" i="31" s="1"/>
  <c r="R53" i="31" s="1"/>
  <c r="U53" i="31" s="1"/>
  <c r="Y53" i="31" s="1"/>
  <c r="O56" i="31"/>
  <c r="P56" i="31" s="1"/>
  <c r="R56" i="31" s="1"/>
  <c r="U56" i="31" s="1"/>
  <c r="Y56" i="31" s="1"/>
  <c r="O42" i="31"/>
  <c r="P42" i="31" s="1"/>
  <c r="R42" i="31" s="1"/>
  <c r="U42" i="31" s="1"/>
  <c r="Y42" i="31" s="1"/>
  <c r="O32" i="31"/>
  <c r="P32" i="31" s="1"/>
  <c r="R32" i="31" s="1"/>
  <c r="U32" i="31" s="1"/>
  <c r="Y32" i="31" s="1"/>
  <c r="O33" i="31"/>
  <c r="P33" i="31" s="1"/>
  <c r="R33" i="31" s="1"/>
  <c r="U33" i="31" s="1"/>
  <c r="Y33" i="31" s="1"/>
  <c r="O27" i="31"/>
  <c r="P27" i="31" s="1"/>
  <c r="R27" i="31" s="1"/>
  <c r="U27" i="31" s="1"/>
  <c r="Y27" i="31" s="1"/>
  <c r="O29" i="31"/>
  <c r="P29" i="31" s="1"/>
  <c r="R29" i="31" s="1"/>
  <c r="U29" i="31" s="1"/>
  <c r="Y29" i="31" s="1"/>
  <c r="O25" i="31"/>
  <c r="P25" i="31" s="1"/>
  <c r="R25" i="31" s="1"/>
  <c r="U25" i="31" s="1"/>
  <c r="Y25" i="31" s="1"/>
  <c r="O24" i="31"/>
  <c r="P24" i="31" s="1"/>
  <c r="R24" i="31" s="1"/>
  <c r="U24" i="31" s="1"/>
  <c r="Y24" i="31" s="1"/>
  <c r="O26" i="31"/>
  <c r="P26" i="31" s="1"/>
  <c r="R26" i="31" s="1"/>
  <c r="U26" i="31" s="1"/>
  <c r="Y26" i="31" s="1"/>
  <c r="O14" i="31"/>
  <c r="P14" i="31" s="1"/>
  <c r="R14" i="31" s="1"/>
  <c r="U14" i="31" s="1"/>
  <c r="Y14" i="31" s="1"/>
  <c r="O13" i="31"/>
  <c r="P13" i="31" s="1"/>
  <c r="R13" i="31" s="1"/>
  <c r="U13" i="31" s="1"/>
  <c r="Y13" i="31" s="1"/>
  <c r="O16" i="31"/>
  <c r="P16" i="31" s="1"/>
  <c r="R16" i="31" s="1"/>
  <c r="U16" i="31" s="1"/>
  <c r="Y16" i="31" s="1"/>
  <c r="O15" i="31"/>
  <c r="P15" i="31" s="1"/>
  <c r="R15" i="31" s="1"/>
  <c r="U15" i="31" s="1"/>
  <c r="Y15" i="31" s="1"/>
  <c r="O22" i="31"/>
  <c r="P22" i="31" s="1"/>
  <c r="R22" i="31" s="1"/>
  <c r="U22" i="31" s="1"/>
  <c r="Y22" i="31" s="1"/>
  <c r="O66" i="31"/>
  <c r="P66" i="31" s="1"/>
  <c r="R66" i="31" s="1"/>
  <c r="U66" i="31" s="1"/>
  <c r="Y66" i="31" s="1"/>
  <c r="O54" i="31"/>
  <c r="P54" i="31" s="1"/>
  <c r="R54" i="31" s="1"/>
  <c r="U54" i="31" s="1"/>
  <c r="Y54" i="31" s="1"/>
  <c r="O31" i="31"/>
  <c r="P31" i="31" s="1"/>
  <c r="R31" i="31" s="1"/>
  <c r="U31" i="31" s="1"/>
  <c r="Y31" i="31" s="1"/>
  <c r="O21" i="31"/>
  <c r="P21" i="31" s="1"/>
  <c r="R21" i="31" s="1"/>
  <c r="U21" i="31" s="1"/>
  <c r="Y21" i="31" s="1"/>
  <c r="O44" i="31"/>
  <c r="P44" i="31" s="1"/>
  <c r="R44" i="31" s="1"/>
  <c r="U44" i="31" s="1"/>
  <c r="Y44" i="31" s="1"/>
  <c r="O69" i="31"/>
  <c r="P69" i="31" s="1"/>
  <c r="R69" i="31" s="1"/>
  <c r="U69" i="31" s="1"/>
  <c r="Y69" i="31" s="1"/>
  <c r="O41" i="31"/>
  <c r="P41" i="31" s="1"/>
  <c r="R41" i="31" s="1"/>
  <c r="U41" i="31" s="1"/>
  <c r="Y41" i="31" s="1"/>
  <c r="O30" i="31"/>
  <c r="P30" i="31" s="1"/>
  <c r="R30" i="31" s="1"/>
  <c r="U30" i="31" s="1"/>
  <c r="Y30" i="31" s="1"/>
  <c r="O70" i="31"/>
  <c r="P70" i="31" s="1"/>
  <c r="R70" i="31" s="1"/>
  <c r="U70" i="31" s="1"/>
  <c r="Y70" i="31" s="1"/>
  <c r="O28" i="31"/>
  <c r="P28" i="31" s="1"/>
  <c r="R28" i="31" s="1"/>
  <c r="U28" i="31" s="1"/>
  <c r="Y28" i="31" s="1"/>
  <c r="O61" i="31"/>
  <c r="P61" i="31" s="1"/>
  <c r="R61" i="31" s="1"/>
  <c r="U61" i="31" s="1"/>
  <c r="Y61" i="31" s="1"/>
  <c r="O58" i="31"/>
  <c r="P58" i="31" s="1"/>
  <c r="R58" i="31" s="1"/>
  <c r="U58" i="31" s="1"/>
  <c r="Y58" i="31" s="1"/>
  <c r="O43" i="31"/>
  <c r="P43" i="31" s="1"/>
  <c r="R43" i="31" s="1"/>
  <c r="U43" i="31" s="1"/>
  <c r="Y43" i="31" s="1"/>
  <c r="M15" i="46"/>
  <c r="O14" i="46"/>
  <c r="O38" i="31"/>
  <c r="P38" i="31" s="1"/>
  <c r="R38" i="31" s="1"/>
  <c r="U38" i="31" s="1"/>
  <c r="Y38" i="31" s="1"/>
  <c r="O48" i="31"/>
  <c r="P48" i="31" s="1"/>
  <c r="R48" i="31" s="1"/>
  <c r="U48" i="31" s="1"/>
  <c r="Y48" i="31" s="1"/>
  <c r="O57" i="31"/>
  <c r="P57" i="31" s="1"/>
  <c r="R57" i="31" s="1"/>
  <c r="U57" i="31" s="1"/>
  <c r="Y57" i="31" s="1"/>
  <c r="O46" i="31"/>
  <c r="P46" i="31" s="1"/>
  <c r="R46" i="31" s="1"/>
  <c r="U46" i="31" s="1"/>
  <c r="Y46" i="31" s="1"/>
  <c r="O23" i="31"/>
  <c r="P23" i="31" s="1"/>
  <c r="R23" i="31" s="1"/>
  <c r="U23" i="31" s="1"/>
  <c r="Y23" i="31" s="1"/>
  <c r="O45" i="31"/>
  <c r="P45" i="31" s="1"/>
  <c r="R45" i="31" s="1"/>
  <c r="U45" i="31" s="1"/>
  <c r="Y45" i="31" s="1"/>
  <c r="O20" i="31"/>
  <c r="P20" i="31" s="1"/>
  <c r="R20" i="31" s="1"/>
  <c r="U20" i="31" s="1"/>
  <c r="Y20" i="31" s="1"/>
  <c r="O59" i="31"/>
  <c r="P59" i="31" s="1"/>
  <c r="R59" i="31" s="1"/>
  <c r="U59" i="31" s="1"/>
  <c r="Y59" i="31" s="1"/>
  <c r="O65" i="31"/>
  <c r="P65" i="31" s="1"/>
  <c r="R65" i="31" s="1"/>
  <c r="U65" i="31" s="1"/>
  <c r="Y65" i="31" s="1"/>
  <c r="O47" i="31"/>
  <c r="P47" i="31" s="1"/>
  <c r="R47" i="31" s="1"/>
  <c r="U47" i="31" s="1"/>
  <c r="Y47" i="31" s="1"/>
  <c r="O40" i="31"/>
  <c r="P40" i="31" s="1"/>
  <c r="R40" i="31" s="1"/>
  <c r="U40" i="31" s="1"/>
  <c r="Y40" i="31" s="1"/>
  <c r="P6" i="46"/>
  <c r="R6" i="46" s="1"/>
  <c r="U6" i="46" s="1"/>
  <c r="S14" i="76"/>
  <c r="L6" i="80"/>
  <c r="J75" i="80"/>
  <c r="J81" i="80" s="1"/>
  <c r="L6" i="76"/>
  <c r="J75" i="76"/>
  <c r="J81" i="76" s="1"/>
  <c r="I15" i="46"/>
  <c r="I17" i="46" s="1"/>
  <c r="L7" i="119"/>
  <c r="K76" i="119"/>
  <c r="K82" i="119" s="1"/>
  <c r="K76" i="115"/>
  <c r="K82" i="115" s="1"/>
  <c r="L7" i="115"/>
  <c r="M7" i="115" s="1"/>
  <c r="M76" i="115" s="1"/>
  <c r="M82" i="115" s="1"/>
  <c r="K76" i="120"/>
  <c r="K82" i="120" s="1"/>
  <c r="L7" i="120"/>
  <c r="M7" i="120" s="1"/>
  <c r="M76" i="120" s="1"/>
  <c r="M82" i="120" s="1"/>
  <c r="L7" i="116"/>
  <c r="K76" i="116"/>
  <c r="K82" i="116" s="1"/>
  <c r="R15" i="113"/>
  <c r="K76" i="118"/>
  <c r="K82" i="118" s="1"/>
  <c r="L7" i="118"/>
  <c r="M7" i="118" s="1"/>
  <c r="M76" i="118" s="1"/>
  <c r="M82" i="118" s="1"/>
  <c r="S14" i="80"/>
  <c r="L7" i="113"/>
  <c r="K76" i="113"/>
  <c r="K82" i="113" s="1"/>
  <c r="L7" i="117"/>
  <c r="K76" i="117"/>
  <c r="K82" i="117" s="1"/>
  <c r="L7" i="114"/>
  <c r="K77" i="114"/>
  <c r="K83" i="114" s="1"/>
  <c r="K76" i="33"/>
  <c r="L12" i="46"/>
  <c r="I7" i="5"/>
  <c r="K5" i="5"/>
  <c r="L12" i="31"/>
  <c r="L71" i="31" s="1"/>
  <c r="K72" i="31" l="1"/>
  <c r="K74" i="31" s="1"/>
  <c r="AB6" i="46"/>
  <c r="W6" i="46"/>
  <c r="W8" i="46"/>
  <c r="X8" i="46" s="1"/>
  <c r="AB8" i="46"/>
  <c r="AB11" i="46"/>
  <c r="W11" i="46"/>
  <c r="X11" i="46" s="1"/>
  <c r="AB10" i="46"/>
  <c r="W10" i="46"/>
  <c r="X10" i="46" s="1"/>
  <c r="Q6" i="5"/>
  <c r="O7" i="46"/>
  <c r="M12" i="46"/>
  <c r="M17" i="46" s="1"/>
  <c r="AK52" i="33"/>
  <c r="AL52" i="33" s="1"/>
  <c r="C49" i="72" s="1"/>
  <c r="T14" i="76"/>
  <c r="T14" i="80"/>
  <c r="S15" i="113"/>
  <c r="AL29" i="33"/>
  <c r="C26" i="72" s="1"/>
  <c r="AQ15" i="46"/>
  <c r="AQ12" i="46"/>
  <c r="O15" i="46"/>
  <c r="P14" i="46"/>
  <c r="N12" i="31"/>
  <c r="N71" i="31" s="1"/>
  <c r="M12" i="31"/>
  <c r="M71" i="31" s="1"/>
  <c r="M9" i="31" s="1"/>
  <c r="O9" i="31" s="1"/>
  <c r="U7" i="33"/>
  <c r="U76" i="33" s="1"/>
  <c r="N7" i="118"/>
  <c r="L76" i="118"/>
  <c r="L82" i="118" s="1"/>
  <c r="S7" i="33"/>
  <c r="S76" i="33" s="1"/>
  <c r="M7" i="116"/>
  <c r="L76" i="116"/>
  <c r="L82" i="116" s="1"/>
  <c r="V7" i="33"/>
  <c r="V76" i="33" s="1"/>
  <c r="M7" i="119"/>
  <c r="L76" i="119"/>
  <c r="L82" i="119" s="1"/>
  <c r="K15" i="46"/>
  <c r="K17" i="46" s="1"/>
  <c r="Q7" i="33"/>
  <c r="Q76" i="33" s="1"/>
  <c r="M7" i="114"/>
  <c r="L77" i="114"/>
  <c r="L83" i="114" s="1"/>
  <c r="T7" i="33"/>
  <c r="T76" i="33" s="1"/>
  <c r="M7" i="117"/>
  <c r="L76" i="117"/>
  <c r="L82" i="117" s="1"/>
  <c r="P7" i="33"/>
  <c r="M7" i="113"/>
  <c r="L76" i="113"/>
  <c r="L82" i="113" s="1"/>
  <c r="W7" i="33"/>
  <c r="W76" i="33" s="1"/>
  <c r="N7" i="120"/>
  <c r="L76" i="120"/>
  <c r="L82" i="120" s="1"/>
  <c r="R7" i="33"/>
  <c r="R76" i="33" s="1"/>
  <c r="N7" i="115"/>
  <c r="L76" i="115"/>
  <c r="L82" i="115" s="1"/>
  <c r="M6" i="76"/>
  <c r="L75" i="76"/>
  <c r="L81" i="76" s="1"/>
  <c r="L75" i="80"/>
  <c r="L81" i="80" s="1"/>
  <c r="M6" i="80"/>
  <c r="N6" i="80" s="1"/>
  <c r="N75" i="80" s="1"/>
  <c r="N81" i="80" s="1"/>
  <c r="L72" i="31"/>
  <c r="K7" i="5"/>
  <c r="L5" i="5"/>
  <c r="N5" i="5" s="1"/>
  <c r="Q5" i="5" s="1"/>
  <c r="X5" i="5" s="1"/>
  <c r="O23" i="33"/>
  <c r="AF23" i="33" s="1"/>
  <c r="AI23" i="33" s="1"/>
  <c r="R14" i="46" l="1"/>
  <c r="P15" i="46"/>
  <c r="AP23" i="33"/>
  <c r="C20" i="100" s="1"/>
  <c r="S6" i="5"/>
  <c r="T6" i="5" s="1"/>
  <c r="X6" i="5"/>
  <c r="X7" i="5" s="1"/>
  <c r="S5" i="5"/>
  <c r="Q7" i="5"/>
  <c r="N72" i="31"/>
  <c r="AQ17" i="46"/>
  <c r="O12" i="46"/>
  <c r="P7" i="46"/>
  <c r="X6" i="46"/>
  <c r="O12" i="31"/>
  <c r="O71" i="31" s="1"/>
  <c r="AE7" i="33"/>
  <c r="AE76" i="33" s="1"/>
  <c r="O6" i="80"/>
  <c r="M75" i="80"/>
  <c r="M81" i="80" s="1"/>
  <c r="P7" i="120"/>
  <c r="N76" i="120"/>
  <c r="N82" i="120" s="1"/>
  <c r="P76" i="33"/>
  <c r="N7" i="117"/>
  <c r="M76" i="117"/>
  <c r="M82" i="117" s="1"/>
  <c r="L15" i="46"/>
  <c r="L17" i="46" s="1"/>
  <c r="N7" i="116"/>
  <c r="M76" i="116"/>
  <c r="M82" i="116" s="1"/>
  <c r="P7" i="118"/>
  <c r="T7" i="118" s="1"/>
  <c r="N76" i="118"/>
  <c r="N82" i="118" s="1"/>
  <c r="AD7" i="33"/>
  <c r="AD76" i="33" s="1"/>
  <c r="N6" i="76"/>
  <c r="M75" i="76"/>
  <c r="M81" i="76" s="1"/>
  <c r="P7" i="115"/>
  <c r="T7" i="115" s="1"/>
  <c r="N76" i="115"/>
  <c r="N82" i="115" s="1"/>
  <c r="N7" i="113"/>
  <c r="M76" i="113"/>
  <c r="M82" i="113" s="1"/>
  <c r="N7" i="114"/>
  <c r="M77" i="114"/>
  <c r="M83" i="114" s="1"/>
  <c r="N7" i="119"/>
  <c r="M76" i="119"/>
  <c r="M82" i="119" s="1"/>
  <c r="L7" i="5"/>
  <c r="O42" i="33"/>
  <c r="AF42" i="33" s="1"/>
  <c r="AI42" i="33" s="1"/>
  <c r="L74" i="31"/>
  <c r="U14" i="46" l="1"/>
  <c r="R15" i="46"/>
  <c r="AP42" i="33"/>
  <c r="C39" i="100" s="1"/>
  <c r="T76" i="115"/>
  <c r="T82" i="115" s="1"/>
  <c r="T76" i="118"/>
  <c r="T82" i="118" s="1"/>
  <c r="R7" i="120"/>
  <c r="S7" i="120" s="1"/>
  <c r="T7" i="120"/>
  <c r="O17" i="46"/>
  <c r="AF7" i="33"/>
  <c r="AI7" i="33" s="1"/>
  <c r="P12" i="46"/>
  <c r="R7" i="46"/>
  <c r="U7" i="46" s="1"/>
  <c r="P12" i="31"/>
  <c r="P71" i="31" s="1"/>
  <c r="P8" i="31"/>
  <c r="R8" i="31" s="1"/>
  <c r="U8" i="31" s="1"/>
  <c r="Y8" i="31" s="1"/>
  <c r="P7" i="119"/>
  <c r="T7" i="119" s="1"/>
  <c r="N76" i="119"/>
  <c r="N82" i="119" s="1"/>
  <c r="P7" i="114"/>
  <c r="T7" i="114" s="1"/>
  <c r="N77" i="114"/>
  <c r="N83" i="114" s="1"/>
  <c r="P7" i="113"/>
  <c r="T7" i="113" s="1"/>
  <c r="T76" i="113" s="1"/>
  <c r="T82" i="113" s="1"/>
  <c r="N76" i="113"/>
  <c r="N82" i="113" s="1"/>
  <c r="R7" i="115"/>
  <c r="S7" i="115" s="1"/>
  <c r="P76" i="115"/>
  <c r="P82" i="115" s="1"/>
  <c r="O6" i="76"/>
  <c r="N75" i="76"/>
  <c r="N81" i="76" s="1"/>
  <c r="R7" i="118"/>
  <c r="S7" i="118" s="1"/>
  <c r="P76" i="118"/>
  <c r="P82" i="118" s="1"/>
  <c r="P7" i="116"/>
  <c r="T7" i="116" s="1"/>
  <c r="N76" i="116"/>
  <c r="N82" i="116" s="1"/>
  <c r="P7" i="117"/>
  <c r="T7" i="117" s="1"/>
  <c r="N76" i="117"/>
  <c r="N82" i="117" s="1"/>
  <c r="P76" i="120"/>
  <c r="P82" i="120" s="1"/>
  <c r="Q6" i="80"/>
  <c r="U6" i="80" s="1"/>
  <c r="O75" i="80"/>
  <c r="O81" i="80" s="1"/>
  <c r="O15" i="33"/>
  <c r="E78" i="81"/>
  <c r="T5" i="5"/>
  <c r="N7" i="5"/>
  <c r="R76" i="120" l="1"/>
  <c r="R82" i="120" s="1"/>
  <c r="U15" i="46"/>
  <c r="W14" i="46"/>
  <c r="X14" i="46" s="1"/>
  <c r="AB14" i="46"/>
  <c r="AB15" i="46" s="1"/>
  <c r="AP7" i="33"/>
  <c r="C4" i="100" s="1"/>
  <c r="U75" i="80"/>
  <c r="U81" i="80" s="1"/>
  <c r="AB7" i="46"/>
  <c r="W7" i="46"/>
  <c r="U12" i="46"/>
  <c r="T76" i="116"/>
  <c r="T82" i="116" s="1"/>
  <c r="T77" i="114"/>
  <c r="T83" i="114" s="1"/>
  <c r="T76" i="119"/>
  <c r="T82" i="119" s="1"/>
  <c r="T76" i="120"/>
  <c r="T82" i="120" s="1"/>
  <c r="T76" i="117"/>
  <c r="T82" i="117" s="1"/>
  <c r="P17" i="46"/>
  <c r="AG39" i="100"/>
  <c r="O76" i="33"/>
  <c r="E77" i="81" s="1"/>
  <c r="G77" i="81" s="1"/>
  <c r="AF15" i="33"/>
  <c r="AI15" i="33" s="1"/>
  <c r="R12" i="46"/>
  <c r="AK42" i="33"/>
  <c r="AL42" i="33" s="1"/>
  <c r="C39" i="72" s="1"/>
  <c r="R76" i="118"/>
  <c r="R82" i="118" s="1"/>
  <c r="R76" i="115"/>
  <c r="R82" i="115" s="1"/>
  <c r="S76" i="115"/>
  <c r="S82" i="115" s="1"/>
  <c r="R12" i="31"/>
  <c r="R71" i="31" s="1"/>
  <c r="AK7" i="33"/>
  <c r="P76" i="117"/>
  <c r="P82" i="117" s="1"/>
  <c r="R7" i="117"/>
  <c r="S7" i="117" s="1"/>
  <c r="P76" i="116"/>
  <c r="P82" i="116" s="1"/>
  <c r="R7" i="116"/>
  <c r="S7" i="116" s="1"/>
  <c r="S76" i="118"/>
  <c r="S82" i="118" s="1"/>
  <c r="Q6" i="76"/>
  <c r="U6" i="76" s="1"/>
  <c r="O75" i="76"/>
  <c r="O81" i="76" s="1"/>
  <c r="P76" i="113"/>
  <c r="P82" i="113" s="1"/>
  <c r="R7" i="113"/>
  <c r="S7" i="113" s="1"/>
  <c r="P77" i="114"/>
  <c r="P83" i="114" s="1"/>
  <c r="R7" i="114"/>
  <c r="S7" i="114" s="1"/>
  <c r="P76" i="119"/>
  <c r="P82" i="119" s="1"/>
  <c r="R7" i="119"/>
  <c r="S7" i="119" s="1"/>
  <c r="G78" i="81"/>
  <c r="H78" i="81"/>
  <c r="S6" i="80"/>
  <c r="T6" i="80" s="1"/>
  <c r="Q75" i="80"/>
  <c r="Q81" i="80" s="1"/>
  <c r="S76" i="120"/>
  <c r="S82" i="120" s="1"/>
  <c r="AK23" i="33"/>
  <c r="AL23" i="33" s="1"/>
  <c r="S7" i="5"/>
  <c r="T7" i="5"/>
  <c r="AP15" i="33" l="1"/>
  <c r="C12" i="100" s="1"/>
  <c r="U12" i="31"/>
  <c r="U71" i="31" s="1"/>
  <c r="U75" i="76"/>
  <c r="U81" i="76" s="1"/>
  <c r="AB12" i="46"/>
  <c r="AB17" i="46" s="1"/>
  <c r="U17" i="46"/>
  <c r="R17" i="46"/>
  <c r="E68" i="81"/>
  <c r="G68" i="81" s="1"/>
  <c r="H77" i="81"/>
  <c r="AF76" i="33"/>
  <c r="X7" i="46"/>
  <c r="W12" i="46"/>
  <c r="AK15" i="33"/>
  <c r="AL15" i="33" s="1"/>
  <c r="C12" i="72" s="1"/>
  <c r="AI76" i="33"/>
  <c r="AL7" i="33"/>
  <c r="C4" i="72" s="1"/>
  <c r="S75" i="80"/>
  <c r="S81" i="80" s="1"/>
  <c r="K37" i="67"/>
  <c r="R77" i="114"/>
  <c r="R83" i="114" s="1"/>
  <c r="R76" i="116"/>
  <c r="R82" i="116" s="1"/>
  <c r="R76" i="117"/>
  <c r="R82" i="117" s="1"/>
  <c r="T75" i="80"/>
  <c r="T81" i="80" s="1"/>
  <c r="R76" i="119"/>
  <c r="R82" i="119" s="1"/>
  <c r="R76" i="113"/>
  <c r="R82" i="113" s="1"/>
  <c r="Q75" i="76"/>
  <c r="Q81" i="76" s="1"/>
  <c r="S6" i="76"/>
  <c r="T6" i="76" s="1"/>
  <c r="W15" i="46"/>
  <c r="AP76" i="33" l="1"/>
  <c r="Y12" i="31"/>
  <c r="Y71" i="31" s="1"/>
  <c r="W17" i="46"/>
  <c r="H68" i="81"/>
  <c r="X12" i="46"/>
  <c r="L37" i="67"/>
  <c r="Y37" i="67" s="1"/>
  <c r="K52" i="67"/>
  <c r="K10" i="67"/>
  <c r="K17" i="67"/>
  <c r="K74" i="67"/>
  <c r="K23" i="67"/>
  <c r="K22" i="67"/>
  <c r="K38" i="67"/>
  <c r="K58" i="67"/>
  <c r="K67" i="67"/>
  <c r="K64" i="67"/>
  <c r="K35" i="67"/>
  <c r="K19" i="67"/>
  <c r="K34" i="67"/>
  <c r="X15" i="46"/>
  <c r="S76" i="117"/>
  <c r="S82" i="117" s="1"/>
  <c r="S76" i="116"/>
  <c r="S82" i="116" s="1"/>
  <c r="K59" i="67"/>
  <c r="K26" i="67"/>
  <c r="K20" i="67"/>
  <c r="K44" i="67"/>
  <c r="K46" i="67"/>
  <c r="K25" i="67"/>
  <c r="K73" i="67"/>
  <c r="K65" i="67"/>
  <c r="K53" i="67"/>
  <c r="K61" i="67"/>
  <c r="S75" i="76"/>
  <c r="S81" i="76" s="1"/>
  <c r="S76" i="113"/>
  <c r="S82" i="113" s="1"/>
  <c r="S76" i="119"/>
  <c r="S82" i="119" s="1"/>
  <c r="S77" i="114"/>
  <c r="S83" i="114" s="1"/>
  <c r="C20" i="72"/>
  <c r="X17" i="46" l="1"/>
  <c r="C73" i="100"/>
  <c r="L61" i="67"/>
  <c r="Y61" i="67" s="1"/>
  <c r="L53" i="67"/>
  <c r="Y53" i="67" s="1"/>
  <c r="L65" i="67"/>
  <c r="Y65" i="67" s="1"/>
  <c r="L73" i="67"/>
  <c r="Y73" i="67" s="1"/>
  <c r="L46" i="67"/>
  <c r="Y46" i="67" s="1"/>
  <c r="L26" i="67"/>
  <c r="Y26" i="67" s="1"/>
  <c r="L34" i="67"/>
  <c r="Y34" i="67" s="1"/>
  <c r="L35" i="67"/>
  <c r="Y35" i="67" s="1"/>
  <c r="L58" i="67"/>
  <c r="Y58" i="67" s="1"/>
  <c r="L22" i="67"/>
  <c r="Y22" i="67" s="1"/>
  <c r="L23" i="67"/>
  <c r="Y23" i="67" s="1"/>
  <c r="L17" i="67"/>
  <c r="Y17" i="67" s="1"/>
  <c r="L52" i="67"/>
  <c r="Y52" i="67" s="1"/>
  <c r="L25" i="67"/>
  <c r="Y25" i="67" s="1"/>
  <c r="L44" i="67"/>
  <c r="Y44" i="67" s="1"/>
  <c r="L20" i="67"/>
  <c r="Y20" i="67" s="1"/>
  <c r="L59" i="67"/>
  <c r="Y59" i="67" s="1"/>
  <c r="L19" i="67"/>
  <c r="Y19" i="67" s="1"/>
  <c r="L64" i="67"/>
  <c r="Y64" i="67" s="1"/>
  <c r="L67" i="67"/>
  <c r="Y67" i="67" s="1"/>
  <c r="L38" i="67"/>
  <c r="Y38" i="67" s="1"/>
  <c r="L74" i="67"/>
  <c r="Y74" i="67" s="1"/>
  <c r="L10" i="67"/>
  <c r="Y10" i="67" s="1"/>
  <c r="K7" i="67"/>
  <c r="K29" i="67"/>
  <c r="K50" i="67"/>
  <c r="K71" i="67"/>
  <c r="K40" i="67"/>
  <c r="K11" i="67"/>
  <c r="K28" i="67"/>
  <c r="K41" i="67"/>
  <c r="K55" i="67"/>
  <c r="K70" i="67"/>
  <c r="K32" i="67"/>
  <c r="K49" i="67"/>
  <c r="K8" i="67"/>
  <c r="K13" i="67"/>
  <c r="K47" i="67"/>
  <c r="K68" i="67"/>
  <c r="K62" i="67"/>
  <c r="K16" i="67"/>
  <c r="K43" i="67"/>
  <c r="K56" i="67"/>
  <c r="K31" i="67"/>
  <c r="T75" i="76"/>
  <c r="T81" i="76" s="1"/>
  <c r="L62" i="67" l="1"/>
  <c r="Y62" i="67" s="1"/>
  <c r="L13" i="67"/>
  <c r="Y13" i="67" s="1"/>
  <c r="L41" i="67"/>
  <c r="Y41" i="67" s="1"/>
  <c r="L29" i="67"/>
  <c r="Y29" i="67" s="1"/>
  <c r="L56" i="67"/>
  <c r="Y56" i="67" s="1"/>
  <c r="L16" i="67"/>
  <c r="Y16" i="67" s="1"/>
  <c r="L49" i="67"/>
  <c r="Y49" i="67" s="1"/>
  <c r="L70" i="67"/>
  <c r="Y70" i="67" s="1"/>
  <c r="L28" i="67"/>
  <c r="Y28" i="67" s="1"/>
  <c r="L71" i="67"/>
  <c r="Y71" i="67" s="1"/>
  <c r="L31" i="67"/>
  <c r="Y31" i="67" s="1"/>
  <c r="L43" i="67"/>
  <c r="Y43" i="67" s="1"/>
  <c r="L68" i="67"/>
  <c r="Y68" i="67" s="1"/>
  <c r="L47" i="67"/>
  <c r="Y47" i="67" s="1"/>
  <c r="L8" i="67"/>
  <c r="Y8" i="67" s="1"/>
  <c r="L32" i="67"/>
  <c r="Y32" i="67" s="1"/>
  <c r="L55" i="67"/>
  <c r="Y55" i="67" s="1"/>
  <c r="L11" i="67"/>
  <c r="Y11" i="67" s="1"/>
  <c r="L40" i="67"/>
  <c r="Y40" i="67" s="1"/>
  <c r="L50" i="67"/>
  <c r="Y50" i="67" s="1"/>
  <c r="L7" i="67"/>
  <c r="Y7" i="67" s="1"/>
  <c r="K14" i="67"/>
  <c r="L14" i="67" l="1"/>
  <c r="Y14" i="67" s="1"/>
  <c r="K6" i="137" l="1"/>
  <c r="K14" i="137"/>
  <c r="K13" i="137"/>
  <c r="L13" i="137" s="1"/>
  <c r="M13" i="137" s="1"/>
  <c r="N13" i="137" s="1"/>
  <c r="P13" i="137" s="1"/>
  <c r="S13" i="137" s="1"/>
  <c r="K12" i="137"/>
  <c r="U13" i="137" l="1"/>
  <c r="V13" i="137" s="1"/>
  <c r="Z13" i="137"/>
  <c r="K5" i="137"/>
  <c r="K11" i="137"/>
  <c r="K10" i="137"/>
  <c r="I15" i="137" l="1"/>
  <c r="I19" i="137" s="1"/>
  <c r="K15" i="137"/>
  <c r="K19" i="137" s="1"/>
  <c r="AK62" i="33" l="1"/>
  <c r="AK72" i="33"/>
  <c r="AL62" i="33" l="1"/>
  <c r="C59" i="72" s="1"/>
  <c r="AL72" i="33"/>
  <c r="C69" i="72" s="1"/>
  <c r="AJ76" i="33"/>
  <c r="AK39" i="33"/>
  <c r="AL39" i="33" s="1"/>
  <c r="AK76" i="33" l="1"/>
  <c r="C36" i="72" l="1"/>
  <c r="AL76" i="33"/>
  <c r="C73" i="72" l="1"/>
  <c r="G6" i="67" l="1"/>
  <c r="G9" i="67"/>
  <c r="G12" i="67" l="1"/>
  <c r="I12" i="67" s="1"/>
  <c r="I9" i="67"/>
  <c r="I6" i="67"/>
  <c r="M6" i="67" s="1"/>
  <c r="K9" i="67" l="1"/>
  <c r="L9" i="67" s="1"/>
  <c r="Y9" i="67" s="1"/>
  <c r="M9" i="67"/>
  <c r="X9" i="67" s="1"/>
  <c r="X6" i="67"/>
  <c r="K12" i="67"/>
  <c r="L12" i="67" s="1"/>
  <c r="Y12" i="67" s="1"/>
  <c r="M12" i="67"/>
  <c r="X12" i="67" s="1"/>
  <c r="K6" i="67"/>
  <c r="G15" i="67"/>
  <c r="I15" i="67" l="1"/>
  <c r="M15" i="67" s="1"/>
  <c r="X15" i="67" s="1"/>
  <c r="G18" i="67"/>
  <c r="L6" i="67"/>
  <c r="Y6" i="67" l="1"/>
  <c r="I18" i="67"/>
  <c r="G21" i="67"/>
  <c r="K15" i="67"/>
  <c r="K18" i="67" l="1"/>
  <c r="L18" i="67" s="1"/>
  <c r="Y18" i="67" s="1"/>
  <c r="M18" i="67"/>
  <c r="G24" i="67"/>
  <c r="L15" i="67"/>
  <c r="I21" i="67"/>
  <c r="M21" i="67" s="1"/>
  <c r="X21" i="67" s="1"/>
  <c r="X18" i="67" l="1"/>
  <c r="K21" i="67"/>
  <c r="G27" i="67"/>
  <c r="Y15" i="67"/>
  <c r="I24" i="67"/>
  <c r="K24" i="67" l="1"/>
  <c r="L24" i="67" s="1"/>
  <c r="Y24" i="67" s="1"/>
  <c r="M24" i="67"/>
  <c r="I27" i="67"/>
  <c r="L21" i="67"/>
  <c r="G30" i="67"/>
  <c r="K27" i="67" l="1"/>
  <c r="L27" i="67" s="1"/>
  <c r="Y27" i="67" s="1"/>
  <c r="M27" i="67"/>
  <c r="X27" i="67" s="1"/>
  <c r="X24" i="67"/>
  <c r="I30" i="67"/>
  <c r="M30" i="67" s="1"/>
  <c r="X30" i="67" s="1"/>
  <c r="G33" i="67"/>
  <c r="Y21" i="67"/>
  <c r="I33" i="67" l="1"/>
  <c r="G36" i="67"/>
  <c r="K30" i="67"/>
  <c r="K33" i="67" l="1"/>
  <c r="L33" i="67" s="1"/>
  <c r="Y33" i="67" s="1"/>
  <c r="M33" i="67"/>
  <c r="X33" i="67" s="1"/>
  <c r="G39" i="67"/>
  <c r="L30" i="67"/>
  <c r="I36" i="67"/>
  <c r="K36" i="67" l="1"/>
  <c r="L36" i="67" s="1"/>
  <c r="Y36" i="67" s="1"/>
  <c r="M36" i="67"/>
  <c r="X36" i="67" s="1"/>
  <c r="Y30" i="67"/>
  <c r="I39" i="67"/>
  <c r="G42" i="67"/>
  <c r="K39" i="67" l="1"/>
  <c r="L39" i="67" s="1"/>
  <c r="Y39" i="67" s="1"/>
  <c r="M39" i="67"/>
  <c r="X39" i="67" s="1"/>
  <c r="G45" i="67"/>
  <c r="I42" i="67"/>
  <c r="K42" i="67" l="1"/>
  <c r="L42" i="67" s="1"/>
  <c r="Y42" i="67" s="1"/>
  <c r="M42" i="67"/>
  <c r="X42" i="67" s="1"/>
  <c r="G48" i="67"/>
  <c r="I45" i="67"/>
  <c r="K45" i="67" l="1"/>
  <c r="L45" i="67" s="1"/>
  <c r="Y45" i="67" s="1"/>
  <c r="M45" i="67"/>
  <c r="X45" i="67" s="1"/>
  <c r="G51" i="67"/>
  <c r="I48" i="67"/>
  <c r="K48" i="67" l="1"/>
  <c r="L48" i="67" s="1"/>
  <c r="Y48" i="67" s="1"/>
  <c r="M48" i="67"/>
  <c r="X48" i="67" s="1"/>
  <c r="I51" i="67"/>
  <c r="G54" i="67"/>
  <c r="K51" i="67" l="1"/>
  <c r="L51" i="67" s="1"/>
  <c r="Y51" i="67" s="1"/>
  <c r="M51" i="67"/>
  <c r="X51" i="67" s="1"/>
  <c r="I54" i="67"/>
  <c r="G57" i="67"/>
  <c r="K54" i="67" l="1"/>
  <c r="L54" i="67" s="1"/>
  <c r="Y54" i="67" s="1"/>
  <c r="M54" i="67"/>
  <c r="X54" i="67" s="1"/>
  <c r="G60" i="67"/>
  <c r="I57" i="67"/>
  <c r="K57" i="67" l="1"/>
  <c r="L57" i="67" s="1"/>
  <c r="Y57" i="67" s="1"/>
  <c r="M57" i="67"/>
  <c r="X57" i="67" s="1"/>
  <c r="I60" i="67"/>
  <c r="G63" i="67"/>
  <c r="K60" i="67" l="1"/>
  <c r="L60" i="67" s="1"/>
  <c r="Y60" i="67" s="1"/>
  <c r="M60" i="67"/>
  <c r="X60" i="67" s="1"/>
  <c r="I63" i="67"/>
  <c r="G66" i="67"/>
  <c r="K63" i="67" l="1"/>
  <c r="L63" i="67" s="1"/>
  <c r="Y63" i="67" s="1"/>
  <c r="M63" i="67"/>
  <c r="X63" i="67" s="1"/>
  <c r="G72" i="67"/>
  <c r="G69" i="67"/>
  <c r="I66" i="67"/>
  <c r="K66" i="67" l="1"/>
  <c r="L66" i="67" s="1"/>
  <c r="Y66" i="67" s="1"/>
  <c r="M66" i="67"/>
  <c r="X66" i="67" s="1"/>
  <c r="I72" i="67"/>
  <c r="M72" i="67" s="1"/>
  <c r="G75" i="67"/>
  <c r="G81" i="67" s="1"/>
  <c r="I69" i="67"/>
  <c r="K69" i="67" l="1"/>
  <c r="L69" i="67" s="1"/>
  <c r="Y69" i="67" s="1"/>
  <c r="M69" i="67"/>
  <c r="X69" i="67" s="1"/>
  <c r="X72" i="67"/>
  <c r="M75" i="67"/>
  <c r="M81" i="67" s="1"/>
  <c r="F50" i="166"/>
  <c r="F50" i="139"/>
  <c r="E62" i="81"/>
  <c r="K72" i="67"/>
  <c r="I75" i="67"/>
  <c r="I81" i="67" s="1"/>
  <c r="X75" i="67" l="1"/>
  <c r="X81" i="67" s="1"/>
  <c r="L50" i="139"/>
  <c r="G50" i="139"/>
  <c r="H50" i="139"/>
  <c r="H50" i="166"/>
  <c r="G50" i="166"/>
  <c r="L72" i="67"/>
  <c r="K75" i="67"/>
  <c r="K81" i="67" s="1"/>
  <c r="G62" i="81"/>
  <c r="H62" i="81"/>
  <c r="Y72" i="67" l="1"/>
  <c r="Y75" i="67" s="1"/>
  <c r="Y81" i="67" s="1"/>
  <c r="L75" i="67"/>
  <c r="L81" i="67" s="1"/>
  <c r="M72" i="31" l="1"/>
  <c r="P9" i="31"/>
  <c r="O72" i="31"/>
  <c r="R9" i="31" l="1"/>
  <c r="P72" i="31"/>
  <c r="AI72" i="31"/>
  <c r="AK72" i="31"/>
  <c r="AL72" i="31"/>
  <c r="R72" i="31" l="1"/>
  <c r="U9" i="31"/>
  <c r="AO9" i="31"/>
  <c r="Y9" i="31" l="1"/>
  <c r="Y72" i="31" s="1"/>
  <c r="U72" i="31"/>
  <c r="AO72" i="31"/>
  <c r="AQ9" i="31"/>
  <c r="AQ72" i="31" l="1"/>
  <c r="AR9" i="31"/>
  <c r="AR72" i="31" s="1"/>
  <c r="F39" i="72" s="1"/>
  <c r="F73" i="72" l="1"/>
  <c r="AF39" i="72"/>
  <c r="AG39" i="72" l="1"/>
  <c r="BJ39" i="72" l="1"/>
  <c r="U10" i="115" l="1"/>
  <c r="Z10" i="113"/>
  <c r="U10" i="153"/>
  <c r="U10" i="151"/>
  <c r="U10" i="147"/>
  <c r="U10" i="149"/>
  <c r="U10" i="152"/>
  <c r="U10" i="148"/>
  <c r="U10" i="146"/>
  <c r="U10" i="145"/>
  <c r="U10" i="118"/>
  <c r="U10" i="144"/>
  <c r="U10" i="114"/>
  <c r="V9" i="76"/>
  <c r="V9" i="80"/>
  <c r="U10" i="128"/>
  <c r="U10" i="119"/>
  <c r="U10" i="126"/>
  <c r="U10" i="129"/>
  <c r="U10" i="131"/>
  <c r="U10" i="125"/>
  <c r="U10" i="127"/>
  <c r="U10" i="120"/>
  <c r="U10" i="117"/>
  <c r="U10" i="116"/>
  <c r="V10" i="113"/>
  <c r="X10" i="113"/>
  <c r="U69" i="115"/>
  <c r="Z69" i="113"/>
  <c r="U69" i="152"/>
  <c r="U69" i="149"/>
  <c r="U69" i="146"/>
  <c r="U69" i="145"/>
  <c r="U69" i="153"/>
  <c r="U69" i="151"/>
  <c r="U69" i="148"/>
  <c r="U69" i="147"/>
  <c r="U69" i="144"/>
  <c r="U69" i="114"/>
  <c r="U69" i="116"/>
  <c r="U69" i="125"/>
  <c r="U69" i="117"/>
  <c r="V68" i="76"/>
  <c r="U69" i="126"/>
  <c r="U69" i="127"/>
  <c r="U69" i="119"/>
  <c r="U69" i="129"/>
  <c r="U69" i="131"/>
  <c r="V68" i="80"/>
  <c r="U69" i="120"/>
  <c r="U69" i="128"/>
  <c r="U69" i="118"/>
  <c r="V69" i="113"/>
  <c r="X69" i="113"/>
  <c r="U70" i="115"/>
  <c r="Z70" i="113"/>
  <c r="U70" i="152"/>
  <c r="U70" i="149"/>
  <c r="U70" i="147"/>
  <c r="U70" i="145"/>
  <c r="U70" i="153"/>
  <c r="U70" i="151"/>
  <c r="U70" i="148"/>
  <c r="U70" i="146"/>
  <c r="U70" i="144"/>
  <c r="U70" i="114"/>
  <c r="V69" i="76"/>
  <c r="V69" i="80"/>
  <c r="U70" i="128"/>
  <c r="U70" i="119"/>
  <c r="U70" i="127"/>
  <c r="U70" i="120"/>
  <c r="U70" i="116"/>
  <c r="U70" i="129"/>
  <c r="U70" i="131"/>
  <c r="U70" i="125"/>
  <c r="U70" i="117"/>
  <c r="U70" i="126"/>
  <c r="U70" i="118"/>
  <c r="V70" i="113"/>
  <c r="X70" i="113"/>
  <c r="U27" i="115"/>
  <c r="Z27" i="113"/>
  <c r="U27" i="151"/>
  <c r="U27" i="148"/>
  <c r="U27" i="146"/>
  <c r="U27" i="149"/>
  <c r="U27" i="144"/>
  <c r="U27" i="126"/>
  <c r="U27" i="153"/>
  <c r="U27" i="152"/>
  <c r="U27" i="147"/>
  <c r="U27" i="145"/>
  <c r="U27" i="117"/>
  <c r="U27" i="114"/>
  <c r="U27" i="128"/>
  <c r="U27" i="129"/>
  <c r="V26" i="76"/>
  <c r="U27" i="119"/>
  <c r="V26" i="80"/>
  <c r="U27" i="131"/>
  <c r="U27" i="125"/>
  <c r="U27" i="127"/>
  <c r="U27" i="118"/>
  <c r="U27" i="116"/>
  <c r="U27" i="120"/>
  <c r="V27" i="113"/>
  <c r="X27" i="113"/>
  <c r="U30" i="115"/>
  <c r="Z30" i="113"/>
  <c r="U30" i="153"/>
  <c r="U30" i="152"/>
  <c r="U30" i="147"/>
  <c r="U30" i="145"/>
  <c r="U30" i="151"/>
  <c r="U30" i="148"/>
  <c r="U30" i="146"/>
  <c r="U30" i="149"/>
  <c r="U30" i="114"/>
  <c r="U30" i="144"/>
  <c r="V29" i="76"/>
  <c r="V29" i="80"/>
  <c r="U30" i="128"/>
  <c r="U30" i="119"/>
  <c r="U30" i="126"/>
  <c r="U30" i="117"/>
  <c r="U30" i="116"/>
  <c r="U30" i="129"/>
  <c r="U30" i="131"/>
  <c r="U30" i="125"/>
  <c r="U30" i="127"/>
  <c r="U30" i="120"/>
  <c r="U30" i="118"/>
  <c r="V30" i="113"/>
  <c r="X30" i="113"/>
  <c r="E10" i="137"/>
  <c r="H10" i="137" s="1"/>
  <c r="U65" i="115"/>
  <c r="Z65" i="113"/>
  <c r="U65" i="152"/>
  <c r="U65" i="149"/>
  <c r="U65" i="148"/>
  <c r="U65" i="145"/>
  <c r="U65" i="153"/>
  <c r="U65" i="151"/>
  <c r="U65" i="146"/>
  <c r="U65" i="147"/>
  <c r="U65" i="144"/>
  <c r="U65" i="116"/>
  <c r="U65" i="119"/>
  <c r="U65" i="125"/>
  <c r="U65" i="114"/>
  <c r="V64" i="76"/>
  <c r="U65" i="128"/>
  <c r="U65" i="131"/>
  <c r="U65" i="126"/>
  <c r="U65" i="127"/>
  <c r="U65" i="117"/>
  <c r="U65" i="129"/>
  <c r="U65" i="120"/>
  <c r="V64" i="80"/>
  <c r="U65" i="118"/>
  <c r="V65" i="113"/>
  <c r="X65" i="113"/>
  <c r="U13" i="115"/>
  <c r="Z13" i="113"/>
  <c r="U13" i="152"/>
  <c r="U13" i="148"/>
  <c r="U13" i="146"/>
  <c r="U13" i="145"/>
  <c r="U13" i="153"/>
  <c r="U13" i="151"/>
  <c r="U13" i="147"/>
  <c r="U13" i="149"/>
  <c r="U13" i="144"/>
  <c r="U13" i="117"/>
  <c r="U13" i="118"/>
  <c r="V12" i="76"/>
  <c r="U13" i="119"/>
  <c r="U13" i="131"/>
  <c r="U13" i="120"/>
  <c r="U13" i="116"/>
  <c r="U13" i="114"/>
  <c r="U13" i="129"/>
  <c r="U13" i="126"/>
  <c r="U13" i="127"/>
  <c r="U13" i="128"/>
  <c r="V12" i="80"/>
  <c r="U13" i="125"/>
  <c r="V13" i="113"/>
  <c r="X13" i="113"/>
  <c r="U26" i="115"/>
  <c r="Z26" i="113"/>
  <c r="U26" i="153"/>
  <c r="U26" i="152"/>
  <c r="U26" i="147"/>
  <c r="U26" i="149"/>
  <c r="U26" i="151"/>
  <c r="U26" i="148"/>
  <c r="U26" i="146"/>
  <c r="U26" i="145"/>
  <c r="U26" i="118"/>
  <c r="U26" i="144"/>
  <c r="U26" i="114"/>
  <c r="V25" i="76"/>
  <c r="V25" i="80"/>
  <c r="U26" i="128"/>
  <c r="U26" i="119"/>
  <c r="U26" i="126"/>
  <c r="U26" i="129"/>
  <c r="U26" i="131"/>
  <c r="U26" i="125"/>
  <c r="U26" i="127"/>
  <c r="U26" i="120"/>
  <c r="U26" i="117"/>
  <c r="U26" i="116"/>
  <c r="V26" i="113"/>
  <c r="X26" i="113"/>
  <c r="U74" i="115"/>
  <c r="Z74" i="113"/>
  <c r="U74" i="114"/>
  <c r="U74" i="153"/>
  <c r="U74" i="151"/>
  <c r="U74" i="147"/>
  <c r="U74" i="145"/>
  <c r="U74" i="144"/>
  <c r="U74" i="152"/>
  <c r="U74" i="149"/>
  <c r="U74" i="146"/>
  <c r="U74" i="148"/>
  <c r="U74" i="118"/>
  <c r="U74" i="129"/>
  <c r="U74" i="131"/>
  <c r="U74" i="125"/>
  <c r="U74" i="117"/>
  <c r="U74" i="126"/>
  <c r="V73" i="76"/>
  <c r="V73" i="80"/>
  <c r="U74" i="128"/>
  <c r="U74" i="119"/>
  <c r="U74" i="127"/>
  <c r="U74" i="120"/>
  <c r="U74" i="116"/>
  <c r="V74" i="113"/>
  <c r="X74" i="113"/>
  <c r="U49" i="115"/>
  <c r="Z49" i="113"/>
  <c r="U49" i="152"/>
  <c r="U49" i="147"/>
  <c r="U49" i="149"/>
  <c r="U49" i="145"/>
  <c r="U49" i="153"/>
  <c r="U49" i="151"/>
  <c r="U49" i="146"/>
  <c r="U49" i="148"/>
  <c r="U49" i="144"/>
  <c r="U49" i="125"/>
  <c r="U49" i="114"/>
  <c r="U49" i="116"/>
  <c r="U49" i="119"/>
  <c r="V48" i="76"/>
  <c r="U49" i="128"/>
  <c r="U49" i="131"/>
  <c r="U49" i="126"/>
  <c r="U49" i="127"/>
  <c r="U49" i="117"/>
  <c r="U49" i="129"/>
  <c r="U49" i="120"/>
  <c r="V48" i="80"/>
  <c r="U49" i="118"/>
  <c r="V49" i="113"/>
  <c r="X49" i="113"/>
  <c r="U16" i="115"/>
  <c r="Z16" i="113"/>
  <c r="U16" i="153"/>
  <c r="U16" i="151"/>
  <c r="U16" i="146"/>
  <c r="U16" i="148"/>
  <c r="U16" i="152"/>
  <c r="U16" i="147"/>
  <c r="U16" i="149"/>
  <c r="U16" i="145"/>
  <c r="U16" i="144"/>
  <c r="U16" i="119"/>
  <c r="U16" i="116"/>
  <c r="U16" i="114"/>
  <c r="U16" i="131"/>
  <c r="U16" i="129"/>
  <c r="U16" i="126"/>
  <c r="U16" i="118"/>
  <c r="U16" i="125"/>
  <c r="U16" i="117"/>
  <c r="V15" i="80"/>
  <c r="V15" i="76"/>
  <c r="U16" i="127"/>
  <c r="U16" i="120"/>
  <c r="U16" i="128"/>
  <c r="V16" i="113"/>
  <c r="X16" i="113"/>
  <c r="U60" i="115"/>
  <c r="Z60" i="113"/>
  <c r="U60" i="152"/>
  <c r="U60" i="148"/>
  <c r="U60" i="146"/>
  <c r="U60" i="145"/>
  <c r="U60" i="153"/>
  <c r="U60" i="151"/>
  <c r="U60" i="147"/>
  <c r="U60" i="149"/>
  <c r="U60" i="116"/>
  <c r="U60" i="144"/>
  <c r="U60" i="119"/>
  <c r="V59" i="80"/>
  <c r="U60" i="128"/>
  <c r="U60" i="129"/>
  <c r="U60" i="126"/>
  <c r="U60" i="118"/>
  <c r="U60" i="114"/>
  <c r="U60" i="131"/>
  <c r="V59" i="76"/>
  <c r="U60" i="127"/>
  <c r="U60" i="120"/>
  <c r="U60" i="125"/>
  <c r="U60" i="117"/>
  <c r="V60" i="113"/>
  <c r="X60" i="113"/>
  <c r="U68" i="115"/>
  <c r="Z68" i="113"/>
  <c r="U68" i="152"/>
  <c r="U68" i="149"/>
  <c r="U68" i="146"/>
  <c r="U68" i="145"/>
  <c r="U68" i="153"/>
  <c r="U68" i="151"/>
  <c r="U68" i="148"/>
  <c r="U68" i="147"/>
  <c r="U68" i="144"/>
  <c r="U68" i="116"/>
  <c r="U68" i="119"/>
  <c r="V67" i="80"/>
  <c r="U68" i="128"/>
  <c r="U68" i="129"/>
  <c r="U68" i="126"/>
  <c r="U68" i="118"/>
  <c r="U68" i="114"/>
  <c r="U68" i="131"/>
  <c r="V67" i="76"/>
  <c r="U68" i="127"/>
  <c r="U68" i="120"/>
  <c r="U68" i="125"/>
  <c r="U68" i="117"/>
  <c r="V68" i="113"/>
  <c r="X68" i="113"/>
  <c r="U18" i="115"/>
  <c r="Z18" i="113"/>
  <c r="U18" i="153"/>
  <c r="U18" i="151"/>
  <c r="U18" i="147"/>
  <c r="U18" i="149"/>
  <c r="U18" i="152"/>
  <c r="U18" i="148"/>
  <c r="U18" i="146"/>
  <c r="U18" i="145"/>
  <c r="U18" i="118"/>
  <c r="U18" i="144"/>
  <c r="U18" i="114"/>
  <c r="V17" i="76"/>
  <c r="V17" i="80"/>
  <c r="U18" i="128"/>
  <c r="U18" i="119"/>
  <c r="U18" i="126"/>
  <c r="U18" i="129"/>
  <c r="U18" i="131"/>
  <c r="U18" i="125"/>
  <c r="U18" i="127"/>
  <c r="U18" i="120"/>
  <c r="U18" i="117"/>
  <c r="U18" i="116"/>
  <c r="V18" i="113"/>
  <c r="X18" i="113"/>
  <c r="U21" i="115"/>
  <c r="Z21" i="113"/>
  <c r="U21" i="152"/>
  <c r="U21" i="148"/>
  <c r="U21" i="146"/>
  <c r="U21" i="145"/>
  <c r="U21" i="153"/>
  <c r="U21" i="151"/>
  <c r="U21" i="147"/>
  <c r="U21" i="149"/>
  <c r="U21" i="144"/>
  <c r="U21" i="125"/>
  <c r="U21" i="114"/>
  <c r="U21" i="117"/>
  <c r="U21" i="118"/>
  <c r="V20" i="76"/>
  <c r="U21" i="126"/>
  <c r="U21" i="127"/>
  <c r="U21" i="119"/>
  <c r="U21" i="116"/>
  <c r="U21" i="129"/>
  <c r="U21" i="131"/>
  <c r="V20" i="80"/>
  <c r="U21" i="120"/>
  <c r="U21" i="128"/>
  <c r="V21" i="113"/>
  <c r="X21" i="113"/>
  <c r="U61" i="115"/>
  <c r="Z61" i="113"/>
  <c r="U61" i="152"/>
  <c r="U61" i="148"/>
  <c r="U61" i="146"/>
  <c r="U61" i="149"/>
  <c r="U61" i="153"/>
  <c r="U61" i="151"/>
  <c r="U61" i="147"/>
  <c r="U61" i="145"/>
  <c r="U61" i="144"/>
  <c r="U61" i="116"/>
  <c r="U61" i="117"/>
  <c r="U61" i="114"/>
  <c r="U61" i="118"/>
  <c r="V60" i="76"/>
  <c r="U61" i="119"/>
  <c r="U61" i="127"/>
  <c r="U61" i="120"/>
  <c r="U61" i="125"/>
  <c r="U61" i="129"/>
  <c r="U61" i="126"/>
  <c r="U61" i="128"/>
  <c r="U61" i="131"/>
  <c r="V60" i="80"/>
  <c r="V61" i="113"/>
  <c r="X61" i="113"/>
  <c r="U66" i="115"/>
  <c r="Z66" i="113"/>
  <c r="U66" i="152"/>
  <c r="U66" i="149"/>
  <c r="U66" i="148"/>
  <c r="U66" i="145"/>
  <c r="U66" i="153"/>
  <c r="U66" i="151"/>
  <c r="U66" i="146"/>
  <c r="U66" i="147"/>
  <c r="U66" i="144"/>
  <c r="U66" i="118"/>
  <c r="U66" i="114"/>
  <c r="V65" i="76"/>
  <c r="V65" i="80"/>
  <c r="U66" i="128"/>
  <c r="U66" i="119"/>
  <c r="U66" i="126"/>
  <c r="U66" i="129"/>
  <c r="U66" i="131"/>
  <c r="U66" i="125"/>
  <c r="U66" i="127"/>
  <c r="U66" i="120"/>
  <c r="U66" i="117"/>
  <c r="U66" i="116"/>
  <c r="V66" i="113"/>
  <c r="X66" i="113"/>
  <c r="E12" i="137"/>
  <c r="H12" i="137" s="1"/>
  <c r="U52" i="115"/>
  <c r="Z52" i="113"/>
  <c r="U52" i="153"/>
  <c r="U52" i="152"/>
  <c r="U52" i="148"/>
  <c r="U52" i="146"/>
  <c r="U52" i="145"/>
  <c r="U52" i="151"/>
  <c r="U52" i="147"/>
  <c r="U52" i="149"/>
  <c r="U52" i="116"/>
  <c r="U52" i="144"/>
  <c r="U52" i="119"/>
  <c r="V51" i="80"/>
  <c r="U52" i="128"/>
  <c r="U52" i="129"/>
  <c r="U52" i="126"/>
  <c r="U52" i="118"/>
  <c r="U52" i="114"/>
  <c r="U52" i="131"/>
  <c r="V51" i="76"/>
  <c r="U52" i="127"/>
  <c r="U52" i="120"/>
  <c r="U52" i="125"/>
  <c r="U52" i="117"/>
  <c r="V52" i="113"/>
  <c r="X52" i="113"/>
  <c r="U55" i="115"/>
  <c r="Z55" i="113"/>
  <c r="U55" i="152"/>
  <c r="U55" i="148"/>
  <c r="U55" i="146"/>
  <c r="U55" i="145"/>
  <c r="U55" i="144"/>
  <c r="U55" i="153"/>
  <c r="U55" i="151"/>
  <c r="U55" i="147"/>
  <c r="U55" i="149"/>
  <c r="U55" i="117"/>
  <c r="U55" i="126"/>
  <c r="U55" i="119"/>
  <c r="U55" i="120"/>
  <c r="U55" i="131"/>
  <c r="U55" i="128"/>
  <c r="U55" i="129"/>
  <c r="U55" i="125"/>
  <c r="U55" i="118"/>
  <c r="U55" i="114"/>
  <c r="V54" i="80"/>
  <c r="U55" i="127"/>
  <c r="V54" i="76"/>
  <c r="U55" i="116"/>
  <c r="V55" i="113"/>
  <c r="X55" i="113"/>
  <c r="E6" i="137"/>
  <c r="H6" i="137" s="1"/>
  <c r="U34" i="115"/>
  <c r="Z34" i="113"/>
  <c r="U34" i="144"/>
  <c r="U34" i="151"/>
  <c r="U34" i="147"/>
  <c r="U34" i="145"/>
  <c r="U34" i="148"/>
  <c r="U34" i="153"/>
  <c r="U34" i="152"/>
  <c r="U34" i="146"/>
  <c r="U34" i="149"/>
  <c r="U34" i="118"/>
  <c r="U34" i="114"/>
  <c r="V33" i="76"/>
  <c r="V33" i="80"/>
  <c r="U34" i="128"/>
  <c r="U34" i="119"/>
  <c r="U34" i="126"/>
  <c r="U34" i="129"/>
  <c r="U34" i="131"/>
  <c r="U34" i="125"/>
  <c r="U34" i="127"/>
  <c r="U34" i="120"/>
  <c r="U34" i="117"/>
  <c r="U34" i="116"/>
  <c r="V34" i="113"/>
  <c r="X34" i="113"/>
  <c r="U62" i="115"/>
  <c r="Z62" i="113"/>
  <c r="U62" i="152"/>
  <c r="U62" i="149"/>
  <c r="U62" i="147"/>
  <c r="U62" i="145"/>
  <c r="U62" i="153"/>
  <c r="U62" i="151"/>
  <c r="U62" i="148"/>
  <c r="U62" i="146"/>
  <c r="U62" i="144"/>
  <c r="U62" i="114"/>
  <c r="V61" i="76"/>
  <c r="V61" i="80"/>
  <c r="U62" i="128"/>
  <c r="U62" i="119"/>
  <c r="U62" i="126"/>
  <c r="U62" i="117"/>
  <c r="U62" i="116"/>
  <c r="U62" i="129"/>
  <c r="U62" i="131"/>
  <c r="U62" i="125"/>
  <c r="U62" i="127"/>
  <c r="U62" i="120"/>
  <c r="U62" i="118"/>
  <c r="V62" i="113"/>
  <c r="X62" i="113"/>
  <c r="U24" i="115"/>
  <c r="Z24" i="113"/>
  <c r="U24" i="153"/>
  <c r="U24" i="151"/>
  <c r="U24" i="147"/>
  <c r="U24" i="149"/>
  <c r="U24" i="152"/>
  <c r="U24" i="148"/>
  <c r="U24" i="146"/>
  <c r="U24" i="145"/>
  <c r="U24" i="144"/>
  <c r="U24" i="116"/>
  <c r="U24" i="114"/>
  <c r="U24" i="131"/>
  <c r="V23" i="76"/>
  <c r="U24" i="127"/>
  <c r="U24" i="120"/>
  <c r="U24" i="125"/>
  <c r="U24" i="117"/>
  <c r="V23" i="80"/>
  <c r="U24" i="128"/>
  <c r="U24" i="129"/>
  <c r="U24" i="126"/>
  <c r="U24" i="118"/>
  <c r="U24" i="119"/>
  <c r="V24" i="113"/>
  <c r="X24" i="113"/>
  <c r="U39" i="115"/>
  <c r="Z39" i="113"/>
  <c r="U39" i="151"/>
  <c r="U39" i="148"/>
  <c r="U39" i="146"/>
  <c r="U39" i="149"/>
  <c r="U39" i="144"/>
  <c r="U39" i="120"/>
  <c r="U39" i="153"/>
  <c r="U39" i="152"/>
  <c r="U39" i="147"/>
  <c r="U39" i="145"/>
  <c r="U39" i="118"/>
  <c r="U39" i="117"/>
  <c r="U39" i="114"/>
  <c r="V38" i="80"/>
  <c r="U39" i="127"/>
  <c r="V38" i="76"/>
  <c r="U39" i="119"/>
  <c r="U39" i="131"/>
  <c r="U39" i="128"/>
  <c r="U39" i="129"/>
  <c r="U39" i="125"/>
  <c r="U39" i="116"/>
  <c r="U39" i="126"/>
  <c r="V39" i="113"/>
  <c r="X39" i="113"/>
  <c r="AH9" i="46"/>
  <c r="AI9" i="46" s="1"/>
  <c r="AD9" i="46"/>
  <c r="AH11" i="46"/>
  <c r="AI11" i="46" s="1"/>
  <c r="AD11" i="46"/>
  <c r="AH7" i="46"/>
  <c r="AI7" i="46" s="1"/>
  <c r="AD7" i="46"/>
  <c r="U32" i="115"/>
  <c r="Z32" i="113"/>
  <c r="U32" i="153"/>
  <c r="U32" i="152"/>
  <c r="U32" i="147"/>
  <c r="U32" i="145"/>
  <c r="U32" i="151"/>
  <c r="U32" i="148"/>
  <c r="U32" i="146"/>
  <c r="U32" i="149"/>
  <c r="U32" i="144"/>
  <c r="U32" i="119"/>
  <c r="U32" i="114"/>
  <c r="U32" i="131"/>
  <c r="V31" i="76"/>
  <c r="U32" i="127"/>
  <c r="U32" i="120"/>
  <c r="U32" i="125"/>
  <c r="U32" i="117"/>
  <c r="U32" i="116"/>
  <c r="V31" i="80"/>
  <c r="U32" i="128"/>
  <c r="U32" i="129"/>
  <c r="U32" i="126"/>
  <c r="U32" i="118"/>
  <c r="V32" i="113"/>
  <c r="X32" i="113"/>
  <c r="U17" i="115"/>
  <c r="Z17" i="113"/>
  <c r="U17" i="152"/>
  <c r="U17" i="147"/>
  <c r="U17" i="149"/>
  <c r="U17" i="145"/>
  <c r="U17" i="153"/>
  <c r="U17" i="151"/>
  <c r="U17" i="146"/>
  <c r="U17" i="148"/>
  <c r="U17" i="144"/>
  <c r="U17" i="125"/>
  <c r="V16" i="76"/>
  <c r="U17" i="128"/>
  <c r="U17" i="131"/>
  <c r="U17" i="126"/>
  <c r="U17" i="127"/>
  <c r="U17" i="114"/>
  <c r="U17" i="116"/>
  <c r="U17" i="119"/>
  <c r="U17" i="129"/>
  <c r="U17" i="120"/>
  <c r="V16" i="80"/>
  <c r="U17" i="118"/>
  <c r="U17" i="117"/>
  <c r="V17" i="113"/>
  <c r="X17" i="113"/>
  <c r="U37" i="115"/>
  <c r="Z37" i="113"/>
  <c r="U37" i="151"/>
  <c r="U37" i="148"/>
  <c r="U37" i="146"/>
  <c r="U37" i="149"/>
  <c r="U37" i="153"/>
  <c r="U37" i="152"/>
  <c r="U37" i="147"/>
  <c r="U37" i="145"/>
  <c r="U37" i="144"/>
  <c r="U37" i="125"/>
  <c r="U37" i="114"/>
  <c r="U37" i="116"/>
  <c r="U37" i="117"/>
  <c r="V36" i="76"/>
  <c r="U37" i="126"/>
  <c r="U37" i="127"/>
  <c r="U37" i="119"/>
  <c r="U37" i="129"/>
  <c r="U37" i="131"/>
  <c r="V36" i="80"/>
  <c r="U37" i="120"/>
  <c r="U37" i="128"/>
  <c r="U37" i="118"/>
  <c r="V37" i="113"/>
  <c r="X37" i="113"/>
  <c r="U45" i="115"/>
  <c r="Z45" i="113"/>
  <c r="U45" i="152"/>
  <c r="U45" i="149"/>
  <c r="U45" i="147"/>
  <c r="U45" i="146"/>
  <c r="U45" i="153"/>
  <c r="U45" i="151"/>
  <c r="U45" i="148"/>
  <c r="U45" i="145"/>
  <c r="U45" i="144"/>
  <c r="U45" i="117"/>
  <c r="U45" i="118"/>
  <c r="U45" i="114"/>
  <c r="U45" i="116"/>
  <c r="V44" i="76"/>
  <c r="U45" i="119"/>
  <c r="U45" i="127"/>
  <c r="U45" i="120"/>
  <c r="U45" i="129"/>
  <c r="U45" i="126"/>
  <c r="U45" i="128"/>
  <c r="U45" i="131"/>
  <c r="V44" i="80"/>
  <c r="U45" i="125"/>
  <c r="V45" i="113"/>
  <c r="X45" i="113"/>
  <c r="U53" i="115"/>
  <c r="Z53" i="113"/>
  <c r="U53" i="152"/>
  <c r="U53" i="148"/>
  <c r="U53" i="146"/>
  <c r="U53" i="145"/>
  <c r="U53" i="153"/>
  <c r="U53" i="151"/>
  <c r="U53" i="147"/>
  <c r="U53" i="149"/>
  <c r="U53" i="144"/>
  <c r="U53" i="114"/>
  <c r="U53" i="117"/>
  <c r="U53" i="118"/>
  <c r="U53" i="125"/>
  <c r="U53" i="116"/>
  <c r="V52" i="76"/>
  <c r="U53" i="126"/>
  <c r="U53" i="127"/>
  <c r="U53" i="119"/>
  <c r="U53" i="129"/>
  <c r="U53" i="131"/>
  <c r="V52" i="80"/>
  <c r="U53" i="120"/>
  <c r="U53" i="128"/>
  <c r="V53" i="113"/>
  <c r="X53" i="113"/>
  <c r="U22" i="115"/>
  <c r="Z22" i="113"/>
  <c r="U22" i="153"/>
  <c r="U22" i="151"/>
  <c r="U22" i="147"/>
  <c r="U22" i="149"/>
  <c r="U22" i="152"/>
  <c r="U22" i="148"/>
  <c r="U22" i="146"/>
  <c r="U22" i="145"/>
  <c r="U22" i="114"/>
  <c r="U22" i="144"/>
  <c r="V21" i="76"/>
  <c r="V21" i="80"/>
  <c r="U22" i="128"/>
  <c r="U22" i="119"/>
  <c r="U22" i="126"/>
  <c r="U22" i="117"/>
  <c r="U22" i="118"/>
  <c r="U22" i="116"/>
  <c r="U22" i="129"/>
  <c r="U22" i="131"/>
  <c r="U22" i="125"/>
  <c r="U22" i="127"/>
  <c r="U22" i="120"/>
  <c r="V22" i="113"/>
  <c r="X22" i="113"/>
  <c r="U73" i="115"/>
  <c r="Z73" i="113"/>
  <c r="U73" i="114"/>
  <c r="U73" i="152"/>
  <c r="U73" i="149"/>
  <c r="U73" i="146"/>
  <c r="U73" i="148"/>
  <c r="U73" i="153"/>
  <c r="U73" i="151"/>
  <c r="U73" i="147"/>
  <c r="U73" i="145"/>
  <c r="U73" i="144"/>
  <c r="U73" i="125"/>
  <c r="U73" i="116"/>
  <c r="V72" i="76"/>
  <c r="V72" i="80"/>
  <c r="U73" i="118"/>
  <c r="U73" i="128"/>
  <c r="U73" i="131"/>
  <c r="U73" i="119"/>
  <c r="U73" i="129"/>
  <c r="U73" i="120"/>
  <c r="U73" i="117"/>
  <c r="U73" i="126"/>
  <c r="U73" i="127"/>
  <c r="V73" i="113"/>
  <c r="X73" i="113"/>
  <c r="U50" i="115"/>
  <c r="Z50" i="113"/>
  <c r="U50" i="152"/>
  <c r="U50" i="147"/>
  <c r="U50" i="149"/>
  <c r="U50" i="145"/>
  <c r="U50" i="153"/>
  <c r="U50" i="151"/>
  <c r="U50" i="146"/>
  <c r="U50" i="148"/>
  <c r="U50" i="144"/>
  <c r="U50" i="118"/>
  <c r="U50" i="114"/>
  <c r="V49" i="76"/>
  <c r="V49" i="80"/>
  <c r="U50" i="128"/>
  <c r="U50" i="119"/>
  <c r="U50" i="126"/>
  <c r="U50" i="129"/>
  <c r="U50" i="131"/>
  <c r="U50" i="125"/>
  <c r="U50" i="127"/>
  <c r="U50" i="120"/>
  <c r="U50" i="117"/>
  <c r="U50" i="116"/>
  <c r="V50" i="113"/>
  <c r="X50" i="113"/>
  <c r="U56" i="115"/>
  <c r="Z56" i="113"/>
  <c r="U56" i="152"/>
  <c r="U56" i="147"/>
  <c r="U56" i="149"/>
  <c r="U56" i="145"/>
  <c r="U56" i="153"/>
  <c r="U56" i="151"/>
  <c r="U56" i="146"/>
  <c r="U56" i="148"/>
  <c r="U56" i="144"/>
  <c r="U56" i="114"/>
  <c r="U56" i="131"/>
  <c r="V55" i="76"/>
  <c r="U56" i="127"/>
  <c r="U56" i="120"/>
  <c r="U56" i="125"/>
  <c r="U56" i="117"/>
  <c r="U56" i="116"/>
  <c r="V55" i="80"/>
  <c r="U56" i="128"/>
  <c r="U56" i="129"/>
  <c r="U56" i="126"/>
  <c r="U56" i="118"/>
  <c r="U56" i="119"/>
  <c r="V56" i="113"/>
  <c r="X56" i="113"/>
  <c r="U31" i="115"/>
  <c r="Z31" i="113"/>
  <c r="U31" i="151"/>
  <c r="U31" i="148"/>
  <c r="U31" i="146"/>
  <c r="U31" i="149"/>
  <c r="U31" i="144"/>
  <c r="U31" i="117"/>
  <c r="U31" i="153"/>
  <c r="U31" i="152"/>
  <c r="U31" i="147"/>
  <c r="U31" i="145"/>
  <c r="U31" i="120"/>
  <c r="U31" i="114"/>
  <c r="V30" i="80"/>
  <c r="V30" i="76"/>
  <c r="U31" i="125"/>
  <c r="U31" i="126"/>
  <c r="U31" i="131"/>
  <c r="U31" i="128"/>
  <c r="U31" i="127"/>
  <c r="U31" i="129"/>
  <c r="U31" i="118"/>
  <c r="U31" i="116"/>
  <c r="U31" i="119"/>
  <c r="V31" i="113"/>
  <c r="X31" i="113"/>
  <c r="U46" i="115"/>
  <c r="Z46" i="113"/>
  <c r="U46" i="152"/>
  <c r="U46" i="149"/>
  <c r="U46" i="147"/>
  <c r="U46" i="145"/>
  <c r="U46" i="153"/>
  <c r="U46" i="151"/>
  <c r="U46" i="148"/>
  <c r="U46" i="146"/>
  <c r="U46" i="144"/>
  <c r="U46" i="114"/>
  <c r="V45" i="76"/>
  <c r="V45" i="80"/>
  <c r="U46" i="128"/>
  <c r="U46" i="119"/>
  <c r="U46" i="126"/>
  <c r="U46" i="117"/>
  <c r="U46" i="116"/>
  <c r="U46" i="118"/>
  <c r="U46" i="129"/>
  <c r="U46" i="131"/>
  <c r="U46" i="125"/>
  <c r="U46" i="127"/>
  <c r="U46" i="120"/>
  <c r="V46" i="113"/>
  <c r="X46" i="113"/>
  <c r="U29" i="115"/>
  <c r="Z29" i="113"/>
  <c r="U29" i="151"/>
  <c r="U29" i="148"/>
  <c r="U29" i="146"/>
  <c r="U29" i="149"/>
  <c r="U29" i="153"/>
  <c r="U29" i="152"/>
  <c r="U29" i="147"/>
  <c r="U29" i="145"/>
  <c r="U29" i="144"/>
  <c r="U29" i="117"/>
  <c r="U29" i="116"/>
  <c r="V28" i="76"/>
  <c r="U29" i="118"/>
  <c r="U29" i="114"/>
  <c r="U29" i="129"/>
  <c r="U29" i="126"/>
  <c r="U29" i="119"/>
  <c r="U29" i="127"/>
  <c r="U29" i="120"/>
  <c r="U29" i="125"/>
  <c r="U29" i="128"/>
  <c r="U29" i="131"/>
  <c r="V28" i="80"/>
  <c r="V29" i="113"/>
  <c r="X29" i="113"/>
  <c r="U23" i="115"/>
  <c r="Z23" i="113"/>
  <c r="U23" i="153"/>
  <c r="U23" i="144"/>
  <c r="U23" i="152"/>
  <c r="U23" i="148"/>
  <c r="U23" i="146"/>
  <c r="U23" i="145"/>
  <c r="U23" i="117"/>
  <c r="U23" i="151"/>
  <c r="U23" i="147"/>
  <c r="U23" i="149"/>
  <c r="U23" i="119"/>
  <c r="U23" i="114"/>
  <c r="V22" i="80"/>
  <c r="U23" i="127"/>
  <c r="V22" i="76"/>
  <c r="U23" i="118"/>
  <c r="U23" i="120"/>
  <c r="U23" i="131"/>
  <c r="U23" i="128"/>
  <c r="U23" i="129"/>
  <c r="U23" i="125"/>
  <c r="U23" i="116"/>
  <c r="U23" i="126"/>
  <c r="V23" i="113"/>
  <c r="X23" i="113"/>
  <c r="U64" i="115"/>
  <c r="Z64" i="113"/>
  <c r="U64" i="152"/>
  <c r="U64" i="149"/>
  <c r="U64" i="148"/>
  <c r="U64" i="145"/>
  <c r="U64" i="153"/>
  <c r="U64" i="151"/>
  <c r="U64" i="146"/>
  <c r="U64" i="147"/>
  <c r="U64" i="144"/>
  <c r="U64" i="116"/>
  <c r="U64" i="114"/>
  <c r="U64" i="131"/>
  <c r="V63" i="76"/>
  <c r="U64" i="127"/>
  <c r="U64" i="120"/>
  <c r="U64" i="125"/>
  <c r="U64" i="117"/>
  <c r="U64" i="119"/>
  <c r="V63" i="80"/>
  <c r="U64" i="128"/>
  <c r="U64" i="129"/>
  <c r="U64" i="126"/>
  <c r="U64" i="118"/>
  <c r="V64" i="113"/>
  <c r="X64" i="113"/>
  <c r="E14" i="137"/>
  <c r="H14" i="137" s="1"/>
  <c r="U9" i="115"/>
  <c r="Z9" i="113"/>
  <c r="U9" i="152"/>
  <c r="U9" i="147"/>
  <c r="U9" i="149"/>
  <c r="U9" i="145"/>
  <c r="U9" i="153"/>
  <c r="U9" i="151"/>
  <c r="U9" i="146"/>
  <c r="U9" i="148"/>
  <c r="U9" i="144"/>
  <c r="U9" i="114"/>
  <c r="V8" i="76"/>
  <c r="V8" i="80"/>
  <c r="U9" i="120"/>
  <c r="U9" i="126"/>
  <c r="U9" i="127"/>
  <c r="U9" i="116"/>
  <c r="U9" i="125"/>
  <c r="U9" i="129"/>
  <c r="U9" i="128"/>
  <c r="U9" i="118"/>
  <c r="U9" i="131"/>
  <c r="U9" i="119"/>
  <c r="U9" i="117"/>
  <c r="V9" i="113"/>
  <c r="X9" i="113"/>
  <c r="E5" i="137"/>
  <c r="U25" i="115"/>
  <c r="Z25" i="113"/>
  <c r="U25" i="152"/>
  <c r="U25" i="148"/>
  <c r="U25" i="146"/>
  <c r="U25" i="145"/>
  <c r="U25" i="153"/>
  <c r="U25" i="151"/>
  <c r="U25" i="147"/>
  <c r="U25" i="149"/>
  <c r="U25" i="144"/>
  <c r="U25" i="119"/>
  <c r="U25" i="125"/>
  <c r="U25" i="114"/>
  <c r="V24" i="76"/>
  <c r="V24" i="80"/>
  <c r="U25" i="118"/>
  <c r="U25" i="126"/>
  <c r="U25" i="127"/>
  <c r="U25" i="116"/>
  <c r="U25" i="129"/>
  <c r="U25" i="120"/>
  <c r="U25" i="128"/>
  <c r="U25" i="131"/>
  <c r="U25" i="117"/>
  <c r="V25" i="113"/>
  <c r="X25" i="113"/>
  <c r="U59" i="115"/>
  <c r="Z59" i="113"/>
  <c r="U59" i="152"/>
  <c r="U59" i="148"/>
  <c r="U59" i="146"/>
  <c r="U59" i="145"/>
  <c r="U59" i="144"/>
  <c r="U59" i="153"/>
  <c r="U59" i="151"/>
  <c r="U59" i="147"/>
  <c r="U59" i="149"/>
  <c r="U59" i="117"/>
  <c r="V58" i="80"/>
  <c r="U59" i="131"/>
  <c r="U59" i="125"/>
  <c r="U59" i="126"/>
  <c r="U59" i="119"/>
  <c r="U59" i="114"/>
  <c r="U59" i="128"/>
  <c r="U59" i="129"/>
  <c r="V58" i="76"/>
  <c r="U59" i="127"/>
  <c r="U59" i="118"/>
  <c r="U59" i="116"/>
  <c r="U59" i="120"/>
  <c r="V59" i="113"/>
  <c r="X59" i="113"/>
  <c r="U28" i="115"/>
  <c r="Z28" i="113"/>
  <c r="U28" i="153"/>
  <c r="U28" i="152"/>
  <c r="U28" i="147"/>
  <c r="U28" i="145"/>
  <c r="U28" i="151"/>
  <c r="U28" i="148"/>
  <c r="U28" i="146"/>
  <c r="U28" i="149"/>
  <c r="U28" i="144"/>
  <c r="U28" i="116"/>
  <c r="U28" i="119"/>
  <c r="V27" i="80"/>
  <c r="U28" i="128"/>
  <c r="U28" i="129"/>
  <c r="U28" i="126"/>
  <c r="U28" i="118"/>
  <c r="U28" i="114"/>
  <c r="U28" i="131"/>
  <c r="V27" i="76"/>
  <c r="U28" i="127"/>
  <c r="U28" i="120"/>
  <c r="U28" i="125"/>
  <c r="U28" i="117"/>
  <c r="V28" i="113"/>
  <c r="X28" i="113"/>
  <c r="U36" i="115"/>
  <c r="Z36" i="113"/>
  <c r="U36" i="151"/>
  <c r="U36" i="147"/>
  <c r="U36" i="145"/>
  <c r="U36" i="148"/>
  <c r="U36" i="153"/>
  <c r="U36" i="152"/>
  <c r="U36" i="146"/>
  <c r="U36" i="149"/>
  <c r="U36" i="144"/>
  <c r="U36" i="116"/>
  <c r="U36" i="119"/>
  <c r="V35" i="80"/>
  <c r="U36" i="128"/>
  <c r="U36" i="129"/>
  <c r="U36" i="126"/>
  <c r="U36" i="118"/>
  <c r="U36" i="114"/>
  <c r="U36" i="131"/>
  <c r="V35" i="76"/>
  <c r="U36" i="127"/>
  <c r="U36" i="120"/>
  <c r="U36" i="125"/>
  <c r="U36" i="117"/>
  <c r="V36" i="113"/>
  <c r="X36" i="113"/>
  <c r="U54" i="115"/>
  <c r="Z54" i="113"/>
  <c r="U54" i="152"/>
  <c r="U54" i="148"/>
  <c r="U54" i="146"/>
  <c r="U54" i="145"/>
  <c r="U54" i="153"/>
  <c r="U54" i="151"/>
  <c r="U54" i="147"/>
  <c r="U54" i="149"/>
  <c r="U54" i="144"/>
  <c r="U54" i="114"/>
  <c r="V53" i="76"/>
  <c r="V53" i="80"/>
  <c r="U54" i="128"/>
  <c r="U54" i="119"/>
  <c r="U54" i="126"/>
  <c r="U54" i="117"/>
  <c r="U54" i="118"/>
  <c r="U54" i="116"/>
  <c r="U54" i="129"/>
  <c r="U54" i="131"/>
  <c r="U54" i="125"/>
  <c r="U54" i="127"/>
  <c r="U54" i="120"/>
  <c r="V54" i="113"/>
  <c r="X54" i="113"/>
  <c r="U19" i="115"/>
  <c r="Z19" i="113"/>
  <c r="U19" i="152"/>
  <c r="U19" i="148"/>
  <c r="U19" i="146"/>
  <c r="U19" i="149"/>
  <c r="U19" i="153"/>
  <c r="U19" i="151"/>
  <c r="U19" i="147"/>
  <c r="U19" i="145"/>
  <c r="U19" i="126"/>
  <c r="U19" i="144"/>
  <c r="U19" i="117"/>
  <c r="U19" i="114"/>
  <c r="U19" i="128"/>
  <c r="U19" i="125"/>
  <c r="U19" i="118"/>
  <c r="U19" i="127"/>
  <c r="U19" i="116"/>
  <c r="V18" i="80"/>
  <c r="U19" i="131"/>
  <c r="U19" i="119"/>
  <c r="U19" i="129"/>
  <c r="V18" i="76"/>
  <c r="U19" i="120"/>
  <c r="V19" i="113"/>
  <c r="X19" i="113"/>
  <c r="U41" i="115"/>
  <c r="Z41" i="113"/>
  <c r="U41" i="151"/>
  <c r="U41" i="147"/>
  <c r="U41" i="145"/>
  <c r="U41" i="148"/>
  <c r="U41" i="153"/>
  <c r="U41" i="152"/>
  <c r="U41" i="146"/>
  <c r="U41" i="149"/>
  <c r="U41" i="144"/>
  <c r="U41" i="125"/>
  <c r="U41" i="116"/>
  <c r="U41" i="114"/>
  <c r="V40" i="76"/>
  <c r="V40" i="80"/>
  <c r="U41" i="118"/>
  <c r="U41" i="126"/>
  <c r="U41" i="127"/>
  <c r="U41" i="119"/>
  <c r="U41" i="129"/>
  <c r="U41" i="120"/>
  <c r="U41" i="128"/>
  <c r="U41" i="131"/>
  <c r="U41" i="117"/>
  <c r="V41" i="113"/>
  <c r="X41" i="113"/>
  <c r="U38" i="115"/>
  <c r="Z38" i="113"/>
  <c r="U38" i="151"/>
  <c r="U38" i="148"/>
  <c r="U38" i="146"/>
  <c r="U38" i="149"/>
  <c r="U38" i="153"/>
  <c r="U38" i="152"/>
  <c r="U38" i="147"/>
  <c r="U38" i="145"/>
  <c r="U38" i="144"/>
  <c r="U38" i="114"/>
  <c r="V37" i="76"/>
  <c r="V37" i="80"/>
  <c r="U38" i="128"/>
  <c r="U38" i="119"/>
  <c r="U38" i="126"/>
  <c r="U38" i="117"/>
  <c r="U38" i="116"/>
  <c r="U38" i="129"/>
  <c r="U38" i="131"/>
  <c r="U38" i="125"/>
  <c r="U38" i="127"/>
  <c r="U38" i="120"/>
  <c r="U38" i="118"/>
  <c r="V38" i="113"/>
  <c r="X38" i="113"/>
  <c r="U67" i="115"/>
  <c r="Z67" i="113"/>
  <c r="U67" i="152"/>
  <c r="U67" i="149"/>
  <c r="U67" i="146"/>
  <c r="U67" i="145"/>
  <c r="U67" i="144"/>
  <c r="U67" i="153"/>
  <c r="U67" i="151"/>
  <c r="U67" i="148"/>
  <c r="U67" i="147"/>
  <c r="U67" i="117"/>
  <c r="V66" i="80"/>
  <c r="U67" i="131"/>
  <c r="U67" i="119"/>
  <c r="U67" i="126"/>
  <c r="U67" i="127"/>
  <c r="U67" i="116"/>
  <c r="U67" i="114"/>
  <c r="U67" i="128"/>
  <c r="U67" i="125"/>
  <c r="U67" i="118"/>
  <c r="U67" i="129"/>
  <c r="V66" i="76"/>
  <c r="U67" i="120"/>
  <c r="V67" i="113"/>
  <c r="X67" i="113"/>
  <c r="AH8" i="46"/>
  <c r="AI8" i="46" s="1"/>
  <c r="AD8" i="46"/>
  <c r="AH6" i="46"/>
  <c r="AD6" i="46"/>
  <c r="AH10" i="46"/>
  <c r="AI10" i="46" s="1"/>
  <c r="AD10" i="46"/>
  <c r="AA45" i="113" l="1"/>
  <c r="AA17" i="113"/>
  <c r="AA24" i="113"/>
  <c r="AB24" i="113" s="1"/>
  <c r="AA34" i="113"/>
  <c r="AB34" i="113" s="1"/>
  <c r="AA52" i="113"/>
  <c r="AA18" i="113"/>
  <c r="AA60" i="113"/>
  <c r="AA49" i="113"/>
  <c r="AA26" i="113"/>
  <c r="AA65" i="113"/>
  <c r="AA27" i="113"/>
  <c r="AB27" i="113" s="1"/>
  <c r="AA69" i="113"/>
  <c r="AB69" i="113" s="1"/>
  <c r="AJ10" i="46"/>
  <c r="AL10" i="46" s="1"/>
  <c r="AJ8" i="46"/>
  <c r="AK8" i="46" s="1"/>
  <c r="AA38" i="113"/>
  <c r="AB38" i="113" s="1"/>
  <c r="AA19" i="113"/>
  <c r="AB19" i="113" s="1"/>
  <c r="AA36" i="113"/>
  <c r="AB36" i="113" s="1"/>
  <c r="AA59" i="113"/>
  <c r="AB59" i="113" s="1"/>
  <c r="AA9" i="113"/>
  <c r="AB9" i="113" s="1"/>
  <c r="AA23" i="113"/>
  <c r="AB23" i="113" s="1"/>
  <c r="AA46" i="113"/>
  <c r="AB46" i="113" s="1"/>
  <c r="AA56" i="113"/>
  <c r="AB56" i="113" s="1"/>
  <c r="AA73" i="113"/>
  <c r="AB73" i="113" s="1"/>
  <c r="AA53" i="113"/>
  <c r="AB53" i="113" s="1"/>
  <c r="AA37" i="113"/>
  <c r="AB37" i="113" s="1"/>
  <c r="AA32" i="113"/>
  <c r="AB32" i="113" s="1"/>
  <c r="AJ11" i="46"/>
  <c r="AJ9" i="46"/>
  <c r="AA39" i="113"/>
  <c r="AB39" i="113" s="1"/>
  <c r="AA62" i="113"/>
  <c r="AB62" i="113" s="1"/>
  <c r="AA55" i="113"/>
  <c r="AB55" i="113" s="1"/>
  <c r="AA66" i="113"/>
  <c r="AB66" i="113" s="1"/>
  <c r="AA21" i="113"/>
  <c r="AB21" i="113" s="1"/>
  <c r="AA68" i="113"/>
  <c r="AB68" i="113" s="1"/>
  <c r="AA16" i="113"/>
  <c r="AB16" i="113" s="1"/>
  <c r="AA74" i="113"/>
  <c r="AB74" i="113" s="1"/>
  <c r="AA13" i="113"/>
  <c r="AB13" i="113" s="1"/>
  <c r="AA30" i="113"/>
  <c r="AA70" i="113"/>
  <c r="AA10" i="113"/>
  <c r="AK10" i="46"/>
  <c r="AH12" i="46"/>
  <c r="AI6" i="46"/>
  <c r="AL8" i="46"/>
  <c r="AA66" i="76"/>
  <c r="Y66" i="76"/>
  <c r="W66" i="76"/>
  <c r="Z67" i="118"/>
  <c r="X67" i="118"/>
  <c r="V67" i="118"/>
  <c r="Z67" i="128"/>
  <c r="X67" i="128"/>
  <c r="V67" i="128"/>
  <c r="Z67" i="116"/>
  <c r="X67" i="116"/>
  <c r="V67" i="116"/>
  <c r="Z67" i="126"/>
  <c r="X67" i="126"/>
  <c r="V67" i="126"/>
  <c r="Z67" i="131"/>
  <c r="X67" i="131"/>
  <c r="V67" i="131"/>
  <c r="Z67" i="117"/>
  <c r="X67" i="117"/>
  <c r="V67" i="117"/>
  <c r="Z67" i="148"/>
  <c r="X67" i="148"/>
  <c r="V67" i="148"/>
  <c r="Z67" i="153"/>
  <c r="X67" i="153"/>
  <c r="V67" i="153"/>
  <c r="Z67" i="145"/>
  <c r="X67" i="145"/>
  <c r="V67" i="145"/>
  <c r="Z67" i="149"/>
  <c r="X67" i="149"/>
  <c r="V67" i="149"/>
  <c r="AC38" i="113"/>
  <c r="AK35" i="72" s="1"/>
  <c r="G35" i="100"/>
  <c r="AD38" i="113"/>
  <c r="AF38" i="113" s="1"/>
  <c r="Z38" i="118"/>
  <c r="X38" i="118"/>
  <c r="V38" i="118"/>
  <c r="Z38" i="127"/>
  <c r="X38" i="127"/>
  <c r="V38" i="127"/>
  <c r="Z38" i="131"/>
  <c r="X38" i="131"/>
  <c r="V38" i="131"/>
  <c r="Z38" i="116"/>
  <c r="X38" i="116"/>
  <c r="V38" i="116"/>
  <c r="Z38" i="126"/>
  <c r="X38" i="126"/>
  <c r="V38" i="126"/>
  <c r="Z38" i="128"/>
  <c r="X38" i="128"/>
  <c r="V38" i="128"/>
  <c r="AA37" i="76"/>
  <c r="Y37" i="76"/>
  <c r="W37" i="76"/>
  <c r="Z38" i="144"/>
  <c r="X38" i="144"/>
  <c r="V38" i="144"/>
  <c r="Z38" i="147"/>
  <c r="X38" i="147"/>
  <c r="V38" i="147"/>
  <c r="Z38" i="153"/>
  <c r="X38" i="153"/>
  <c r="V38" i="153"/>
  <c r="Z38" i="146"/>
  <c r="X38" i="146"/>
  <c r="V38" i="146"/>
  <c r="Z38" i="151"/>
  <c r="X38" i="151"/>
  <c r="V38" i="151"/>
  <c r="Z38" i="115"/>
  <c r="X38" i="115"/>
  <c r="V38" i="115"/>
  <c r="Z41" i="131"/>
  <c r="X41" i="131"/>
  <c r="V41" i="131"/>
  <c r="Z41" i="120"/>
  <c r="X41" i="120"/>
  <c r="V41" i="120"/>
  <c r="Z41" i="119"/>
  <c r="X41" i="119"/>
  <c r="V41" i="119"/>
  <c r="Z41" i="126"/>
  <c r="X41" i="126"/>
  <c r="V41" i="126"/>
  <c r="AA40" i="80"/>
  <c r="Y40" i="80"/>
  <c r="W40" i="80"/>
  <c r="Z41" i="114"/>
  <c r="X41" i="114"/>
  <c r="V41" i="114"/>
  <c r="Z41" i="125"/>
  <c r="X41" i="125"/>
  <c r="V41" i="125"/>
  <c r="Z41" i="149"/>
  <c r="X41" i="149"/>
  <c r="V41" i="149"/>
  <c r="Z41" i="152"/>
  <c r="X41" i="152"/>
  <c r="V41" i="152"/>
  <c r="Z41" i="148"/>
  <c r="X41" i="148"/>
  <c r="V41" i="148"/>
  <c r="Z41" i="147"/>
  <c r="X41" i="147"/>
  <c r="V41" i="147"/>
  <c r="AC19" i="113"/>
  <c r="AK16" i="72" s="1"/>
  <c r="G16" i="100"/>
  <c r="AD19" i="113"/>
  <c r="AF19" i="113" s="1"/>
  <c r="Z19" i="120"/>
  <c r="X19" i="120"/>
  <c r="V19" i="120"/>
  <c r="Z19" i="129"/>
  <c r="X19" i="129"/>
  <c r="V19" i="129"/>
  <c r="Z19" i="131"/>
  <c r="X19" i="131"/>
  <c r="V19" i="131"/>
  <c r="Z19" i="116"/>
  <c r="X19" i="116"/>
  <c r="V19" i="116"/>
  <c r="Z19" i="118"/>
  <c r="X19" i="118"/>
  <c r="V19" i="118"/>
  <c r="Z19" i="128"/>
  <c r="X19" i="128"/>
  <c r="V19" i="128"/>
  <c r="Z19" i="117"/>
  <c r="X19" i="117"/>
  <c r="V19" i="117"/>
  <c r="Z19" i="126"/>
  <c r="X19" i="126"/>
  <c r="V19" i="126"/>
  <c r="Z19" i="147"/>
  <c r="X19" i="147"/>
  <c r="V19" i="147"/>
  <c r="Z19" i="153"/>
  <c r="X19" i="153"/>
  <c r="V19" i="153"/>
  <c r="Z19" i="146"/>
  <c r="X19" i="146"/>
  <c r="V19" i="146"/>
  <c r="Z19" i="152"/>
  <c r="X19" i="152"/>
  <c r="V19" i="152"/>
  <c r="Z19" i="115"/>
  <c r="X19" i="115"/>
  <c r="V19" i="115"/>
  <c r="Z54" i="127"/>
  <c r="X54" i="127"/>
  <c r="V54" i="127"/>
  <c r="Z54" i="131"/>
  <c r="X54" i="131"/>
  <c r="V54" i="131"/>
  <c r="Z54" i="116"/>
  <c r="X54" i="116"/>
  <c r="V54" i="116"/>
  <c r="Z54" i="117"/>
  <c r="X54" i="117"/>
  <c r="V54" i="117"/>
  <c r="Z54" i="119"/>
  <c r="X54" i="119"/>
  <c r="V54" i="119"/>
  <c r="AA53" i="80"/>
  <c r="Y53" i="80"/>
  <c r="W53" i="80"/>
  <c r="Z54" i="114"/>
  <c r="X54" i="114"/>
  <c r="V54" i="114"/>
  <c r="Z54" i="149"/>
  <c r="X54" i="149"/>
  <c r="V54" i="149"/>
  <c r="Z54" i="151"/>
  <c r="X54" i="151"/>
  <c r="V54" i="151"/>
  <c r="Z54" i="145"/>
  <c r="X54" i="145"/>
  <c r="V54" i="145"/>
  <c r="Z54" i="148"/>
  <c r="X54" i="148"/>
  <c r="V54" i="148"/>
  <c r="AC36" i="113"/>
  <c r="AK33" i="72" s="1"/>
  <c r="G33" i="100"/>
  <c r="AD36" i="113"/>
  <c r="AF36" i="113" s="1"/>
  <c r="Z36" i="117"/>
  <c r="X36" i="117"/>
  <c r="V36" i="117"/>
  <c r="Z36" i="120"/>
  <c r="X36" i="120"/>
  <c r="V36" i="120"/>
  <c r="AA35" i="76"/>
  <c r="Y35" i="76"/>
  <c r="W35" i="76"/>
  <c r="Z36" i="114"/>
  <c r="X36" i="114"/>
  <c r="V36" i="114"/>
  <c r="Z36" i="126"/>
  <c r="X36" i="126"/>
  <c r="V36" i="126"/>
  <c r="Z36" i="128"/>
  <c r="X36" i="128"/>
  <c r="V36" i="128"/>
  <c r="Z36" i="119"/>
  <c r="X36" i="119"/>
  <c r="V36" i="119"/>
  <c r="Z36" i="144"/>
  <c r="X36" i="144"/>
  <c r="V36" i="144"/>
  <c r="Z36" i="146"/>
  <c r="X36" i="146"/>
  <c r="V36" i="146"/>
  <c r="Z36" i="153"/>
  <c r="X36" i="153"/>
  <c r="V36" i="153"/>
  <c r="Z36" i="145"/>
  <c r="X36" i="145"/>
  <c r="V36" i="145"/>
  <c r="Z36" i="151"/>
  <c r="X36" i="151"/>
  <c r="V36" i="151"/>
  <c r="Z36" i="115"/>
  <c r="X36" i="115"/>
  <c r="V36" i="115"/>
  <c r="Z28" i="125"/>
  <c r="X28" i="125"/>
  <c r="V28" i="125"/>
  <c r="Z28" i="127"/>
  <c r="X28" i="127"/>
  <c r="V28" i="127"/>
  <c r="Z28" i="131"/>
  <c r="X28" i="131"/>
  <c r="V28" i="131"/>
  <c r="Z28" i="118"/>
  <c r="X28" i="118"/>
  <c r="V28" i="118"/>
  <c r="Z28" i="129"/>
  <c r="X28" i="129"/>
  <c r="V28" i="129"/>
  <c r="AA27" i="80"/>
  <c r="Y27" i="80"/>
  <c r="W27" i="80"/>
  <c r="Z28" i="116"/>
  <c r="X28" i="116"/>
  <c r="V28" i="116"/>
  <c r="Z28" i="149"/>
  <c r="X28" i="149"/>
  <c r="V28" i="149"/>
  <c r="Z28" i="148"/>
  <c r="X28" i="148"/>
  <c r="V28" i="148"/>
  <c r="Z28" i="145"/>
  <c r="X28" i="145"/>
  <c r="V28" i="145"/>
  <c r="Z28" i="152"/>
  <c r="X28" i="152"/>
  <c r="V28" i="152"/>
  <c r="G56" i="100"/>
  <c r="AC59" i="113"/>
  <c r="AK56" i="72" s="1"/>
  <c r="Z59" i="120"/>
  <c r="X59" i="120"/>
  <c r="V59" i="120"/>
  <c r="Z59" i="118"/>
  <c r="X59" i="118"/>
  <c r="V59" i="118"/>
  <c r="AA58" i="76"/>
  <c r="Y58" i="76"/>
  <c r="W58" i="76"/>
  <c r="Z59" i="128"/>
  <c r="X59" i="128"/>
  <c r="V59" i="128"/>
  <c r="Z59" i="119"/>
  <c r="X59" i="119"/>
  <c r="V59" i="119"/>
  <c r="Z59" i="125"/>
  <c r="X59" i="125"/>
  <c r="V59" i="125"/>
  <c r="AA58" i="80"/>
  <c r="Y58" i="80"/>
  <c r="W58" i="80"/>
  <c r="Z59" i="149"/>
  <c r="X59" i="149"/>
  <c r="V59" i="149"/>
  <c r="Z59" i="151"/>
  <c r="X59" i="151"/>
  <c r="V59" i="151"/>
  <c r="Z59" i="144"/>
  <c r="X59" i="144"/>
  <c r="V59" i="144"/>
  <c r="Z59" i="146"/>
  <c r="X59" i="146"/>
  <c r="V59" i="146"/>
  <c r="Z59" i="152"/>
  <c r="X59" i="152"/>
  <c r="V59" i="152"/>
  <c r="Z59" i="115"/>
  <c r="X59" i="115"/>
  <c r="V59" i="115"/>
  <c r="Z25" i="131"/>
  <c r="X25" i="131"/>
  <c r="V25" i="131"/>
  <c r="Z25" i="120"/>
  <c r="X25" i="120"/>
  <c r="V25" i="120"/>
  <c r="Z25" i="116"/>
  <c r="X25" i="116"/>
  <c r="V25" i="116"/>
  <c r="Z25" i="126"/>
  <c r="X25" i="126"/>
  <c r="V25" i="126"/>
  <c r="AA24" i="80"/>
  <c r="Y24" i="80"/>
  <c r="W24" i="80"/>
  <c r="Z25" i="114"/>
  <c r="X25" i="114"/>
  <c r="V25" i="114"/>
  <c r="Z25" i="119"/>
  <c r="X25" i="119"/>
  <c r="V25" i="119"/>
  <c r="Z25" i="149"/>
  <c r="X25" i="149"/>
  <c r="V25" i="149"/>
  <c r="Z25" i="151"/>
  <c r="X25" i="151"/>
  <c r="V25" i="151"/>
  <c r="Z25" i="145"/>
  <c r="X25" i="145"/>
  <c r="V25" i="145"/>
  <c r="Z25" i="148"/>
  <c r="X25" i="148"/>
  <c r="V25" i="148"/>
  <c r="H5" i="137"/>
  <c r="AC9" i="113"/>
  <c r="AK6" i="72" s="1"/>
  <c r="G6" i="100"/>
  <c r="AD9" i="113"/>
  <c r="AF9" i="113" s="1"/>
  <c r="Z9" i="117"/>
  <c r="X9" i="117"/>
  <c r="V9" i="117"/>
  <c r="Z9" i="131"/>
  <c r="X9" i="131"/>
  <c r="V9" i="131"/>
  <c r="Z9" i="128"/>
  <c r="X9" i="128"/>
  <c r="V9" i="128"/>
  <c r="Z9" i="125"/>
  <c r="X9" i="125"/>
  <c r="V9" i="125"/>
  <c r="Z9" i="127"/>
  <c r="X9" i="127"/>
  <c r="V9" i="127"/>
  <c r="Z9" i="120"/>
  <c r="X9" i="120"/>
  <c r="V9" i="120"/>
  <c r="AA8" i="76"/>
  <c r="Y8" i="76"/>
  <c r="W8" i="76"/>
  <c r="Z9" i="144"/>
  <c r="V9" i="144"/>
  <c r="X9" i="144"/>
  <c r="AA9" i="144" s="1"/>
  <c r="Z9" i="146"/>
  <c r="X9" i="146"/>
  <c r="V9" i="146"/>
  <c r="Z9" i="153"/>
  <c r="X9" i="153"/>
  <c r="V9" i="153"/>
  <c r="Z9" i="149"/>
  <c r="X9" i="149"/>
  <c r="V9" i="149"/>
  <c r="Z9" i="152"/>
  <c r="X9" i="152"/>
  <c r="V9" i="152"/>
  <c r="Z9" i="115"/>
  <c r="X9" i="115"/>
  <c r="V9" i="115"/>
  <c r="U35" i="115"/>
  <c r="Z35" i="113"/>
  <c r="U35" i="151"/>
  <c r="U35" i="147"/>
  <c r="U35" i="145"/>
  <c r="U35" i="148"/>
  <c r="U35" i="144"/>
  <c r="U35" i="126"/>
  <c r="U35" i="153"/>
  <c r="U35" i="152"/>
  <c r="U35" i="146"/>
  <c r="U35" i="149"/>
  <c r="U35" i="117"/>
  <c r="U35" i="114"/>
  <c r="U35" i="128"/>
  <c r="U35" i="125"/>
  <c r="U35" i="118"/>
  <c r="U35" i="127"/>
  <c r="U35" i="116"/>
  <c r="V34" i="80"/>
  <c r="U35" i="131"/>
  <c r="U35" i="119"/>
  <c r="U35" i="129"/>
  <c r="V34" i="76"/>
  <c r="U35" i="120"/>
  <c r="V35" i="113"/>
  <c r="X35" i="113"/>
  <c r="AA35" i="113" s="1"/>
  <c r="Z64" i="126"/>
  <c r="X64" i="126"/>
  <c r="V64" i="126"/>
  <c r="Z64" i="128"/>
  <c r="X64" i="128"/>
  <c r="V64" i="128"/>
  <c r="Z64" i="119"/>
  <c r="X64" i="119"/>
  <c r="V64" i="119"/>
  <c r="Z64" i="125"/>
  <c r="X64" i="125"/>
  <c r="V64" i="125"/>
  <c r="Z64" i="127"/>
  <c r="X64" i="127"/>
  <c r="V64" i="127"/>
  <c r="Z64" i="131"/>
  <c r="X64" i="131"/>
  <c r="V64" i="131"/>
  <c r="Z64" i="116"/>
  <c r="X64" i="116"/>
  <c r="V64" i="116"/>
  <c r="Z64" i="147"/>
  <c r="X64" i="147"/>
  <c r="V64" i="147"/>
  <c r="Z64" i="151"/>
  <c r="X64" i="151"/>
  <c r="V64" i="151"/>
  <c r="Z64" i="145"/>
  <c r="X64" i="145"/>
  <c r="V64" i="145"/>
  <c r="Z64" i="149"/>
  <c r="X64" i="149"/>
  <c r="V64" i="149"/>
  <c r="AC23" i="113"/>
  <c r="AK20" i="72" s="1"/>
  <c r="G20" i="100"/>
  <c r="AD23" i="113"/>
  <c r="AF23" i="113" s="1"/>
  <c r="Z23" i="126"/>
  <c r="X23" i="126"/>
  <c r="V23" i="126"/>
  <c r="Z23" i="125"/>
  <c r="X23" i="125"/>
  <c r="V23" i="125"/>
  <c r="Z23" i="128"/>
  <c r="X23" i="128"/>
  <c r="V23" i="128"/>
  <c r="Z23" i="120"/>
  <c r="X23" i="120"/>
  <c r="V23" i="120"/>
  <c r="AA22" i="76"/>
  <c r="Y22" i="76"/>
  <c r="W22" i="76"/>
  <c r="AA22" i="80"/>
  <c r="Y22" i="80"/>
  <c r="W22" i="80"/>
  <c r="Z23" i="119"/>
  <c r="X23" i="119"/>
  <c r="V23" i="119"/>
  <c r="Z23" i="147"/>
  <c r="X23" i="147"/>
  <c r="V23" i="147"/>
  <c r="Z23" i="117"/>
  <c r="X23" i="117"/>
  <c r="V23" i="117"/>
  <c r="Z23" i="146"/>
  <c r="X23" i="146"/>
  <c r="V23" i="146"/>
  <c r="Z23" i="152"/>
  <c r="X23" i="152"/>
  <c r="V23" i="152"/>
  <c r="Z23" i="153"/>
  <c r="X23" i="153"/>
  <c r="V23" i="153"/>
  <c r="Z23" i="115"/>
  <c r="X23" i="115"/>
  <c r="V23" i="115"/>
  <c r="Z29" i="131"/>
  <c r="X29" i="131"/>
  <c r="V29" i="131"/>
  <c r="Z29" i="125"/>
  <c r="X29" i="125"/>
  <c r="V29" i="125"/>
  <c r="Z29" i="127"/>
  <c r="X29" i="127"/>
  <c r="V29" i="127"/>
  <c r="Z29" i="126"/>
  <c r="X29" i="126"/>
  <c r="V29" i="126"/>
  <c r="Z29" i="114"/>
  <c r="X29" i="114"/>
  <c r="V29" i="114"/>
  <c r="AA28" i="76"/>
  <c r="Y28" i="76"/>
  <c r="W28" i="76"/>
  <c r="Z29" i="117"/>
  <c r="X29" i="117"/>
  <c r="V29" i="117"/>
  <c r="Z29" i="145"/>
  <c r="X29" i="145"/>
  <c r="V29" i="145"/>
  <c r="Z29" i="152"/>
  <c r="X29" i="152"/>
  <c r="V29" i="152"/>
  <c r="Z29" i="149"/>
  <c r="X29" i="149"/>
  <c r="V29" i="149"/>
  <c r="Z29" i="148"/>
  <c r="X29" i="148"/>
  <c r="V29" i="148"/>
  <c r="AC46" i="113"/>
  <c r="AK43" i="72" s="1"/>
  <c r="G43" i="100"/>
  <c r="AD46" i="113"/>
  <c r="AF46" i="113" s="1"/>
  <c r="Z46" i="120"/>
  <c r="X46" i="120"/>
  <c r="V46" i="120"/>
  <c r="Z46" i="125"/>
  <c r="X46" i="125"/>
  <c r="V46" i="125"/>
  <c r="Z46" i="129"/>
  <c r="X46" i="129"/>
  <c r="V46" i="129"/>
  <c r="Z46" i="116"/>
  <c r="X46" i="116"/>
  <c r="V46" i="116"/>
  <c r="Z46" i="126"/>
  <c r="X46" i="126"/>
  <c r="V46" i="126"/>
  <c r="Z46" i="128"/>
  <c r="X46" i="128"/>
  <c r="V46" i="128"/>
  <c r="AA45" i="76"/>
  <c r="Y45" i="76"/>
  <c r="W45" i="76"/>
  <c r="Z46" i="144"/>
  <c r="X46" i="144"/>
  <c r="V46" i="144"/>
  <c r="Z46" i="148"/>
  <c r="X46" i="148"/>
  <c r="V46" i="148"/>
  <c r="Z46" i="153"/>
  <c r="X46" i="153"/>
  <c r="V46" i="153"/>
  <c r="Z46" i="147"/>
  <c r="X46" i="147"/>
  <c r="V46" i="147"/>
  <c r="Z46" i="152"/>
  <c r="X46" i="152"/>
  <c r="V46" i="152"/>
  <c r="Z46" i="115"/>
  <c r="X46" i="115"/>
  <c r="V46" i="115"/>
  <c r="Z31" i="116"/>
  <c r="X31" i="116"/>
  <c r="V31" i="116"/>
  <c r="Z31" i="129"/>
  <c r="X31" i="129"/>
  <c r="V31" i="129"/>
  <c r="Z31" i="128"/>
  <c r="X31" i="128"/>
  <c r="V31" i="128"/>
  <c r="Z31" i="126"/>
  <c r="X31" i="126"/>
  <c r="V31" i="126"/>
  <c r="AA30" i="76"/>
  <c r="Y30" i="76"/>
  <c r="W30" i="76"/>
  <c r="Z31" i="114"/>
  <c r="X31" i="114"/>
  <c r="V31" i="114"/>
  <c r="Z31" i="145"/>
  <c r="X31" i="145"/>
  <c r="V31" i="145"/>
  <c r="Z31" i="152"/>
  <c r="X31" i="152"/>
  <c r="V31" i="152"/>
  <c r="Z31" i="117"/>
  <c r="X31" i="117"/>
  <c r="V31" i="117"/>
  <c r="Z31" i="149"/>
  <c r="X31" i="149"/>
  <c r="V31" i="149"/>
  <c r="Z31" i="148"/>
  <c r="X31" i="148"/>
  <c r="V31" i="148"/>
  <c r="AC56" i="113"/>
  <c r="AK53" i="72" s="1"/>
  <c r="G53" i="100"/>
  <c r="AD56" i="113"/>
  <c r="AF56" i="113" s="1"/>
  <c r="Z56" i="119"/>
  <c r="X56" i="119"/>
  <c r="V56" i="119"/>
  <c r="Z56" i="126"/>
  <c r="X56" i="126"/>
  <c r="V56" i="126"/>
  <c r="Z56" i="128"/>
  <c r="X56" i="128"/>
  <c r="V56" i="128"/>
  <c r="Z56" i="116"/>
  <c r="X56" i="116"/>
  <c r="V56" i="116"/>
  <c r="Z56" i="125"/>
  <c r="X56" i="125"/>
  <c r="V56" i="125"/>
  <c r="Z56" i="127"/>
  <c r="X56" i="127"/>
  <c r="V56" i="127"/>
  <c r="Z56" i="131"/>
  <c r="X56" i="131"/>
  <c r="V56" i="131"/>
  <c r="Z56" i="144"/>
  <c r="X56" i="144"/>
  <c r="V56" i="144"/>
  <c r="Z56" i="146"/>
  <c r="X56" i="146"/>
  <c r="V56" i="146"/>
  <c r="Z56" i="153"/>
  <c r="X56" i="153"/>
  <c r="V56" i="153"/>
  <c r="Z56" i="149"/>
  <c r="X56" i="149"/>
  <c r="V56" i="149"/>
  <c r="Z56" i="152"/>
  <c r="X56" i="152"/>
  <c r="V56" i="152"/>
  <c r="Z56" i="115"/>
  <c r="X56" i="115"/>
  <c r="V56" i="115"/>
  <c r="Z50" i="117"/>
  <c r="X50" i="117"/>
  <c r="V50" i="117"/>
  <c r="Z50" i="127"/>
  <c r="X50" i="127"/>
  <c r="V50" i="127"/>
  <c r="Z50" i="131"/>
  <c r="X50" i="131"/>
  <c r="V50" i="131"/>
  <c r="Z50" i="126"/>
  <c r="X50" i="126"/>
  <c r="V50" i="126"/>
  <c r="Z50" i="128"/>
  <c r="X50" i="128"/>
  <c r="V50" i="128"/>
  <c r="AA49" i="76"/>
  <c r="Y49" i="76"/>
  <c r="W49" i="76"/>
  <c r="Z50" i="118"/>
  <c r="X50" i="118"/>
  <c r="V50" i="118"/>
  <c r="Z50" i="148"/>
  <c r="X50" i="148"/>
  <c r="V50" i="148"/>
  <c r="Z50" i="151"/>
  <c r="X50" i="151"/>
  <c r="V50" i="151"/>
  <c r="Z50" i="145"/>
  <c r="X50" i="145"/>
  <c r="V50" i="145"/>
  <c r="Z50" i="147"/>
  <c r="X50" i="147"/>
  <c r="V50" i="147"/>
  <c r="G70" i="100"/>
  <c r="AC73" i="113"/>
  <c r="AK70" i="72" s="1"/>
  <c r="Z73" i="127"/>
  <c r="X73" i="127"/>
  <c r="V73" i="127"/>
  <c r="Z73" i="117"/>
  <c r="X73" i="117"/>
  <c r="V73" i="117"/>
  <c r="Z73" i="129"/>
  <c r="X73" i="129"/>
  <c r="V73" i="129"/>
  <c r="Z73" i="131"/>
  <c r="X73" i="131"/>
  <c r="V73" i="131"/>
  <c r="Z73" i="118"/>
  <c r="X73" i="118"/>
  <c r="V73" i="118"/>
  <c r="AA72" i="76"/>
  <c r="Y72" i="76"/>
  <c r="W72" i="76"/>
  <c r="Z73" i="125"/>
  <c r="X73" i="125"/>
  <c r="V73" i="125"/>
  <c r="Z73" i="145"/>
  <c r="X73" i="145"/>
  <c r="V73" i="145"/>
  <c r="Z73" i="151"/>
  <c r="X73" i="151"/>
  <c r="V73" i="151"/>
  <c r="Z73" i="148"/>
  <c r="X73" i="148"/>
  <c r="V73" i="148"/>
  <c r="Z73" i="149"/>
  <c r="X73" i="149"/>
  <c r="V73" i="149"/>
  <c r="Z73" i="114"/>
  <c r="X73" i="114"/>
  <c r="V73" i="114"/>
  <c r="Z73" i="115"/>
  <c r="X73" i="115"/>
  <c r="V73" i="115"/>
  <c r="Z22" i="127"/>
  <c r="X22" i="127"/>
  <c r="V22" i="127"/>
  <c r="Z22" i="131"/>
  <c r="X22" i="131"/>
  <c r="V22" i="131"/>
  <c r="Z22" i="116"/>
  <c r="X22" i="116"/>
  <c r="V22" i="116"/>
  <c r="Z22" i="117"/>
  <c r="X22" i="117"/>
  <c r="V22" i="117"/>
  <c r="Z22" i="119"/>
  <c r="X22" i="119"/>
  <c r="V22" i="119"/>
  <c r="AA21" i="80"/>
  <c r="Y21" i="80"/>
  <c r="W21" i="80"/>
  <c r="Z22" i="144"/>
  <c r="V22" i="144"/>
  <c r="X22" i="144"/>
  <c r="AA22" i="144" s="1"/>
  <c r="Z22" i="145"/>
  <c r="X22" i="145"/>
  <c r="V22" i="145"/>
  <c r="Z22" i="148"/>
  <c r="X22" i="148"/>
  <c r="V22" i="148"/>
  <c r="Z22" i="149"/>
  <c r="X22" i="149"/>
  <c r="V22" i="149"/>
  <c r="Z22" i="151"/>
  <c r="X22" i="151"/>
  <c r="V22" i="151"/>
  <c r="AC53" i="113"/>
  <c r="AK50" i="72" s="1"/>
  <c r="G50" i="100"/>
  <c r="AD53" i="113"/>
  <c r="AF53" i="113" s="1"/>
  <c r="Z53" i="128"/>
  <c r="X53" i="128"/>
  <c r="V53" i="128"/>
  <c r="AA52" i="80"/>
  <c r="Y52" i="80"/>
  <c r="W52" i="80"/>
  <c r="Z53" i="129"/>
  <c r="X53" i="129"/>
  <c r="V53" i="129"/>
  <c r="Z53" i="127"/>
  <c r="X53" i="127"/>
  <c r="V53" i="127"/>
  <c r="AA52" i="76"/>
  <c r="Y52" i="76"/>
  <c r="W52" i="76"/>
  <c r="Z53" i="125"/>
  <c r="X53" i="125"/>
  <c r="V53" i="125"/>
  <c r="Z53" i="117"/>
  <c r="X53" i="117"/>
  <c r="V53" i="117"/>
  <c r="Z53" i="144"/>
  <c r="X53" i="144"/>
  <c r="V53" i="144"/>
  <c r="Z53" i="147"/>
  <c r="X53" i="147"/>
  <c r="V53" i="147"/>
  <c r="Z53" i="153"/>
  <c r="X53" i="153"/>
  <c r="V53" i="153"/>
  <c r="Z53" i="146"/>
  <c r="X53" i="146"/>
  <c r="V53" i="146"/>
  <c r="Z53" i="152"/>
  <c r="X53" i="152"/>
  <c r="V53" i="152"/>
  <c r="Z53" i="115"/>
  <c r="X53" i="115"/>
  <c r="V53" i="115"/>
  <c r="AA44" i="80"/>
  <c r="Y44" i="80"/>
  <c r="W44" i="80"/>
  <c r="Z45" i="128"/>
  <c r="X45" i="128"/>
  <c r="V45" i="128"/>
  <c r="Z45" i="129"/>
  <c r="X45" i="129"/>
  <c r="V45" i="129"/>
  <c r="Z45" i="127"/>
  <c r="X45" i="127"/>
  <c r="V45" i="127"/>
  <c r="AA44" i="76"/>
  <c r="Y44" i="76"/>
  <c r="W44" i="76"/>
  <c r="Z45" i="114"/>
  <c r="X45" i="114"/>
  <c r="V45" i="114"/>
  <c r="Z45" i="117"/>
  <c r="X45" i="117"/>
  <c r="V45" i="117"/>
  <c r="Z45" i="145"/>
  <c r="X45" i="145"/>
  <c r="V45" i="145"/>
  <c r="Z45" i="151"/>
  <c r="X45" i="151"/>
  <c r="V45" i="151"/>
  <c r="Z45" i="146"/>
  <c r="X45" i="146"/>
  <c r="V45" i="146"/>
  <c r="Z45" i="149"/>
  <c r="X45" i="149"/>
  <c r="V45" i="149"/>
  <c r="AC37" i="113"/>
  <c r="AK34" i="72" s="1"/>
  <c r="G34" i="100"/>
  <c r="AD37" i="113"/>
  <c r="AF37" i="113" s="1"/>
  <c r="Z37" i="118"/>
  <c r="X37" i="118"/>
  <c r="V37" i="118"/>
  <c r="Z37" i="120"/>
  <c r="X37" i="120"/>
  <c r="V37" i="120"/>
  <c r="Z37" i="131"/>
  <c r="X37" i="131"/>
  <c r="V37" i="131"/>
  <c r="Z37" i="119"/>
  <c r="X37" i="119"/>
  <c r="V37" i="119"/>
  <c r="Z37" i="126"/>
  <c r="X37" i="126"/>
  <c r="V37" i="126"/>
  <c r="Z37" i="117"/>
  <c r="X37" i="117"/>
  <c r="V37" i="117"/>
  <c r="Z37" i="114"/>
  <c r="X37" i="114"/>
  <c r="V37" i="114"/>
  <c r="Z37" i="144"/>
  <c r="X37" i="144"/>
  <c r="V37" i="144"/>
  <c r="Z37" i="147"/>
  <c r="X37" i="147"/>
  <c r="V37" i="147"/>
  <c r="Z37" i="153"/>
  <c r="X37" i="153"/>
  <c r="V37" i="153"/>
  <c r="Z37" i="146"/>
  <c r="X37" i="146"/>
  <c r="V37" i="146"/>
  <c r="Z37" i="151"/>
  <c r="X37" i="151"/>
  <c r="V37" i="151"/>
  <c r="Z37" i="115"/>
  <c r="X37" i="115"/>
  <c r="V37" i="115"/>
  <c r="Z17" i="118"/>
  <c r="X17" i="118"/>
  <c r="V17" i="118"/>
  <c r="Z17" i="120"/>
  <c r="X17" i="120"/>
  <c r="V17" i="120"/>
  <c r="Z17" i="119"/>
  <c r="X17" i="119"/>
  <c r="V17" i="119"/>
  <c r="Z17" i="114"/>
  <c r="X17" i="114"/>
  <c r="V17" i="114"/>
  <c r="Z17" i="126"/>
  <c r="X17" i="126"/>
  <c r="V17" i="126"/>
  <c r="Z17" i="128"/>
  <c r="X17" i="128"/>
  <c r="V17" i="128"/>
  <c r="Z17" i="125"/>
  <c r="X17" i="125"/>
  <c r="V17" i="125"/>
  <c r="Z17" i="148"/>
  <c r="X17" i="148"/>
  <c r="V17" i="148"/>
  <c r="Z17" i="151"/>
  <c r="X17" i="151"/>
  <c r="V17" i="151"/>
  <c r="Z17" i="145"/>
  <c r="X17" i="145"/>
  <c r="V17" i="145"/>
  <c r="Z17" i="147"/>
  <c r="X17" i="147"/>
  <c r="V17" i="147"/>
  <c r="AC32" i="113"/>
  <c r="AK29" i="72" s="1"/>
  <c r="G29" i="100"/>
  <c r="AD32" i="113"/>
  <c r="AF32" i="113" s="1"/>
  <c r="Z32" i="118"/>
  <c r="X32" i="118"/>
  <c r="V32" i="118"/>
  <c r="Z32" i="129"/>
  <c r="X32" i="129"/>
  <c r="V32" i="129"/>
  <c r="AA31" i="80"/>
  <c r="Y31" i="80"/>
  <c r="W31" i="80"/>
  <c r="Z32" i="117"/>
  <c r="X32" i="117"/>
  <c r="V32" i="117"/>
  <c r="Z32" i="120"/>
  <c r="X32" i="120"/>
  <c r="V32" i="120"/>
  <c r="AA31" i="76"/>
  <c r="Y31" i="76"/>
  <c r="W31" i="76"/>
  <c r="Z32" i="114"/>
  <c r="X32" i="114"/>
  <c r="V32" i="114"/>
  <c r="Z32" i="144"/>
  <c r="V32" i="144"/>
  <c r="X32" i="144"/>
  <c r="AA32" i="144" s="1"/>
  <c r="Z32" i="146"/>
  <c r="X32" i="146"/>
  <c r="V32" i="146"/>
  <c r="Z32" i="151"/>
  <c r="X32" i="151"/>
  <c r="V32" i="151"/>
  <c r="Z32" i="147"/>
  <c r="X32" i="147"/>
  <c r="V32" i="147"/>
  <c r="Z32" i="153"/>
  <c r="X32" i="153"/>
  <c r="V32" i="153"/>
  <c r="Z32" i="115"/>
  <c r="X32" i="115"/>
  <c r="V32" i="115"/>
  <c r="AK11" i="46"/>
  <c r="AL11" i="46"/>
  <c r="AK9" i="46"/>
  <c r="AL9" i="46"/>
  <c r="Z39" i="116"/>
  <c r="X39" i="116"/>
  <c r="V39" i="116"/>
  <c r="Z39" i="129"/>
  <c r="X39" i="129"/>
  <c r="V39" i="129"/>
  <c r="Z39" i="131"/>
  <c r="X39" i="131"/>
  <c r="V39" i="131"/>
  <c r="AA38" i="76"/>
  <c r="Y38" i="76"/>
  <c r="W38" i="76"/>
  <c r="AA38" i="80"/>
  <c r="Y38" i="80"/>
  <c r="W38" i="80"/>
  <c r="Z39" i="117"/>
  <c r="X39" i="117"/>
  <c r="V39" i="117"/>
  <c r="Z39" i="145"/>
  <c r="X39" i="145"/>
  <c r="V39" i="145"/>
  <c r="Z39" i="152"/>
  <c r="X39" i="152"/>
  <c r="V39" i="152"/>
  <c r="Z39" i="120"/>
  <c r="X39" i="120"/>
  <c r="V39" i="120"/>
  <c r="Z39" i="149"/>
  <c r="X39" i="149"/>
  <c r="V39" i="149"/>
  <c r="Z39" i="148"/>
  <c r="X39" i="148"/>
  <c r="V39" i="148"/>
  <c r="G21" i="100"/>
  <c r="AC24" i="113"/>
  <c r="AK21" i="72" s="1"/>
  <c r="Z24" i="119"/>
  <c r="X24" i="119"/>
  <c r="V24" i="119"/>
  <c r="Z24" i="126"/>
  <c r="X24" i="126"/>
  <c r="V24" i="126"/>
  <c r="Z24" i="128"/>
  <c r="X24" i="128"/>
  <c r="V24" i="128"/>
  <c r="Z24" i="117"/>
  <c r="X24" i="117"/>
  <c r="V24" i="117"/>
  <c r="Z24" i="120"/>
  <c r="X24" i="120"/>
  <c r="V24" i="120"/>
  <c r="AA23" i="76"/>
  <c r="Y23" i="76"/>
  <c r="W23" i="76"/>
  <c r="Z24" i="114"/>
  <c r="X24" i="114"/>
  <c r="V24" i="114"/>
  <c r="Z24" i="144"/>
  <c r="V24" i="144"/>
  <c r="X24" i="144"/>
  <c r="AA24" i="144" s="1"/>
  <c r="Z24" i="146"/>
  <c r="X24" i="146"/>
  <c r="V24" i="146"/>
  <c r="Z24" i="152"/>
  <c r="X24" i="152"/>
  <c r="V24" i="152"/>
  <c r="Z24" i="147"/>
  <c r="X24" i="147"/>
  <c r="V24" i="147"/>
  <c r="Z24" i="153"/>
  <c r="X24" i="153"/>
  <c r="V24" i="153"/>
  <c r="Z24" i="115"/>
  <c r="X24" i="115"/>
  <c r="V24" i="115"/>
  <c r="Z62" i="120"/>
  <c r="X62" i="120"/>
  <c r="V62" i="120"/>
  <c r="Z62" i="125"/>
  <c r="X62" i="125"/>
  <c r="V62" i="125"/>
  <c r="Z62" i="129"/>
  <c r="X62" i="129"/>
  <c r="V62" i="129"/>
  <c r="Z62" i="117"/>
  <c r="X62" i="117"/>
  <c r="V62" i="117"/>
  <c r="Z62" i="119"/>
  <c r="X62" i="119"/>
  <c r="V62" i="119"/>
  <c r="AA61" i="80"/>
  <c r="Y61" i="80"/>
  <c r="W61" i="80"/>
  <c r="Z62" i="114"/>
  <c r="X62" i="114"/>
  <c r="V62" i="114"/>
  <c r="Z62" i="146"/>
  <c r="X62" i="146"/>
  <c r="V62" i="146"/>
  <c r="Z62" i="151"/>
  <c r="X62" i="151"/>
  <c r="V62" i="151"/>
  <c r="Z62" i="145"/>
  <c r="X62" i="145"/>
  <c r="V62" i="145"/>
  <c r="Z62" i="149"/>
  <c r="X62" i="149"/>
  <c r="V62" i="149"/>
  <c r="AC34" i="113"/>
  <c r="AK31" i="72" s="1"/>
  <c r="G31" i="100"/>
  <c r="AD34" i="113"/>
  <c r="AF34" i="113" s="1"/>
  <c r="Z34" i="116"/>
  <c r="X34" i="116"/>
  <c r="V34" i="116"/>
  <c r="Z34" i="120"/>
  <c r="X34" i="120"/>
  <c r="V34" i="120"/>
  <c r="Z34" i="125"/>
  <c r="X34" i="125"/>
  <c r="V34" i="125"/>
  <c r="Z34" i="129"/>
  <c r="X34" i="129"/>
  <c r="V34" i="129"/>
  <c r="Z34" i="119"/>
  <c r="X34" i="119"/>
  <c r="V34" i="119"/>
  <c r="AA33" i="80"/>
  <c r="Y33" i="80"/>
  <c r="W33" i="80"/>
  <c r="Z34" i="114"/>
  <c r="X34" i="114"/>
  <c r="V34" i="114"/>
  <c r="Z34" i="149"/>
  <c r="X34" i="149"/>
  <c r="V34" i="149"/>
  <c r="Z34" i="152"/>
  <c r="X34" i="152"/>
  <c r="V34" i="152"/>
  <c r="Z34" i="148"/>
  <c r="V34" i="148"/>
  <c r="X34" i="148"/>
  <c r="AA34" i="148" s="1"/>
  <c r="Z34" i="147"/>
  <c r="X34" i="147"/>
  <c r="V34" i="147"/>
  <c r="Z34" i="144"/>
  <c r="V34" i="144"/>
  <c r="X34" i="144"/>
  <c r="AA34" i="144" s="1"/>
  <c r="Z34" i="115"/>
  <c r="X34" i="115"/>
  <c r="V34" i="115"/>
  <c r="L6" i="137"/>
  <c r="M6" i="137" s="1"/>
  <c r="N6" i="137" s="1"/>
  <c r="P6" i="137" s="1"/>
  <c r="S6" i="137" s="1"/>
  <c r="AA54" i="76"/>
  <c r="Y54" i="76"/>
  <c r="W54" i="76"/>
  <c r="AA54" i="80"/>
  <c r="Y54" i="80"/>
  <c r="W54" i="80"/>
  <c r="Z55" i="118"/>
  <c r="X55" i="118"/>
  <c r="AA55" i="118" s="1"/>
  <c r="V55" i="118"/>
  <c r="Z55" i="129"/>
  <c r="X55" i="129"/>
  <c r="V55" i="129"/>
  <c r="Z55" i="131"/>
  <c r="X55" i="131"/>
  <c r="AA55" i="131" s="1"/>
  <c r="V55" i="131"/>
  <c r="Z55" i="119"/>
  <c r="AA55" i="119" s="1"/>
  <c r="X55" i="119"/>
  <c r="V55" i="119"/>
  <c r="AB55" i="119" s="1"/>
  <c r="Z55" i="117"/>
  <c r="X55" i="117"/>
  <c r="AA55" i="117" s="1"/>
  <c r="V55" i="117"/>
  <c r="Z55" i="147"/>
  <c r="X55" i="147"/>
  <c r="V55" i="147"/>
  <c r="Z55" i="153"/>
  <c r="X55" i="153"/>
  <c r="AA55" i="153" s="1"/>
  <c r="AB55" i="153" s="1"/>
  <c r="V55" i="153"/>
  <c r="Z55" i="145"/>
  <c r="X55" i="145"/>
  <c r="V55" i="145"/>
  <c r="Z55" i="148"/>
  <c r="X55" i="148"/>
  <c r="AA55" i="148" s="1"/>
  <c r="V55" i="148"/>
  <c r="AB52" i="113"/>
  <c r="Z52" i="117"/>
  <c r="X52" i="117"/>
  <c r="AA52" i="117" s="1"/>
  <c r="V52" i="117"/>
  <c r="Z52" i="120"/>
  <c r="X52" i="120"/>
  <c r="V52" i="120"/>
  <c r="AA51" i="76"/>
  <c r="Y51" i="76"/>
  <c r="W51" i="76"/>
  <c r="Z52" i="114"/>
  <c r="X52" i="114"/>
  <c r="V52" i="114"/>
  <c r="Z52" i="126"/>
  <c r="X52" i="126"/>
  <c r="AA52" i="126" s="1"/>
  <c r="V52" i="126"/>
  <c r="Z52" i="128"/>
  <c r="X52" i="128"/>
  <c r="V52" i="128"/>
  <c r="Z52" i="119"/>
  <c r="X52" i="119"/>
  <c r="V52" i="119"/>
  <c r="Z52" i="116"/>
  <c r="X52" i="116"/>
  <c r="V52" i="116"/>
  <c r="Z52" i="147"/>
  <c r="X52" i="147"/>
  <c r="AA52" i="147" s="1"/>
  <c r="V52" i="147"/>
  <c r="Z52" i="145"/>
  <c r="X52" i="145"/>
  <c r="V52" i="145"/>
  <c r="Z52" i="148"/>
  <c r="X52" i="148"/>
  <c r="AA52" i="148" s="1"/>
  <c r="V52" i="148"/>
  <c r="Z52" i="153"/>
  <c r="X52" i="153"/>
  <c r="V52" i="153"/>
  <c r="Z52" i="115"/>
  <c r="X52" i="115"/>
  <c r="AA52" i="115" s="1"/>
  <c r="V52" i="115"/>
  <c r="L12" i="137"/>
  <c r="M12" i="137" s="1"/>
  <c r="N12" i="137" s="1"/>
  <c r="P12" i="137" s="1"/>
  <c r="S12" i="137" s="1"/>
  <c r="Z66" i="117"/>
  <c r="X66" i="117"/>
  <c r="V66" i="117"/>
  <c r="Z66" i="127"/>
  <c r="X66" i="127"/>
  <c r="V66" i="127"/>
  <c r="Z66" i="131"/>
  <c r="X66" i="131"/>
  <c r="V66" i="131"/>
  <c r="Z66" i="126"/>
  <c r="X66" i="126"/>
  <c r="V66" i="126"/>
  <c r="Z66" i="128"/>
  <c r="X66" i="128"/>
  <c r="V66" i="128"/>
  <c r="AA65" i="76"/>
  <c r="Y65" i="76"/>
  <c r="W65" i="76"/>
  <c r="Z66" i="118"/>
  <c r="X66" i="118"/>
  <c r="V66" i="118"/>
  <c r="Z66" i="147"/>
  <c r="X66" i="147"/>
  <c r="V66" i="147"/>
  <c r="Z66" i="151"/>
  <c r="X66" i="151"/>
  <c r="V66" i="151"/>
  <c r="Z66" i="145"/>
  <c r="X66" i="145"/>
  <c r="V66" i="145"/>
  <c r="Z66" i="149"/>
  <c r="X66" i="149"/>
  <c r="V66" i="149"/>
  <c r="AA61" i="113"/>
  <c r="AB61" i="113" s="1"/>
  <c r="AA60" i="80"/>
  <c r="Y60" i="80"/>
  <c r="W60" i="80"/>
  <c r="Z61" i="128"/>
  <c r="X61" i="128"/>
  <c r="V61" i="128"/>
  <c r="Z61" i="129"/>
  <c r="X61" i="129"/>
  <c r="V61" i="129"/>
  <c r="Z61" i="120"/>
  <c r="X61" i="120"/>
  <c r="V61" i="120"/>
  <c r="Z61" i="119"/>
  <c r="X61" i="119"/>
  <c r="V61" i="119"/>
  <c r="Z61" i="118"/>
  <c r="X61" i="118"/>
  <c r="V61" i="118"/>
  <c r="Z61" i="117"/>
  <c r="X61" i="117"/>
  <c r="V61" i="117"/>
  <c r="Z61" i="144"/>
  <c r="X61" i="144"/>
  <c r="V61" i="144"/>
  <c r="Z61" i="147"/>
  <c r="X61" i="147"/>
  <c r="V61" i="147"/>
  <c r="Z61" i="153"/>
  <c r="X61" i="153"/>
  <c r="V61" i="153"/>
  <c r="Z61" i="146"/>
  <c r="X61" i="146"/>
  <c r="V61" i="146"/>
  <c r="Z61" i="152"/>
  <c r="X61" i="152"/>
  <c r="V61" i="152"/>
  <c r="Z61" i="115"/>
  <c r="X61" i="115"/>
  <c r="V61" i="115"/>
  <c r="Z21" i="120"/>
  <c r="X21" i="120"/>
  <c r="V21" i="120"/>
  <c r="Z21" i="131"/>
  <c r="X21" i="131"/>
  <c r="V21" i="131"/>
  <c r="Z21" i="116"/>
  <c r="X21" i="116"/>
  <c r="V21" i="116"/>
  <c r="Z21" i="127"/>
  <c r="X21" i="127"/>
  <c r="V21" i="127"/>
  <c r="AA20" i="76"/>
  <c r="Y20" i="76"/>
  <c r="W20" i="76"/>
  <c r="Z21" i="117"/>
  <c r="X21" i="117"/>
  <c r="V21" i="117"/>
  <c r="Z21" i="125"/>
  <c r="X21" i="125"/>
  <c r="V21" i="125"/>
  <c r="Z21" i="149"/>
  <c r="X21" i="149"/>
  <c r="V21" i="149"/>
  <c r="Z21" i="151"/>
  <c r="X21" i="151"/>
  <c r="V21" i="151"/>
  <c r="Z21" i="145"/>
  <c r="X21" i="145"/>
  <c r="V21" i="145"/>
  <c r="Z21" i="148"/>
  <c r="X21" i="148"/>
  <c r="V21" i="148"/>
  <c r="AB18" i="113"/>
  <c r="Z18" i="116"/>
  <c r="X18" i="116"/>
  <c r="V18" i="116"/>
  <c r="Z18" i="120"/>
  <c r="X18" i="120"/>
  <c r="V18" i="120"/>
  <c r="Z18" i="125"/>
  <c r="X18" i="125"/>
  <c r="V18" i="125"/>
  <c r="Z18" i="129"/>
  <c r="X18" i="129"/>
  <c r="V18" i="129"/>
  <c r="Z18" i="119"/>
  <c r="X18" i="119"/>
  <c r="V18" i="119"/>
  <c r="AA17" i="80"/>
  <c r="Y17" i="80"/>
  <c r="W17" i="80"/>
  <c r="Z18" i="114"/>
  <c r="X18" i="114"/>
  <c r="V18" i="114"/>
  <c r="Z18" i="118"/>
  <c r="X18" i="118"/>
  <c r="V18" i="118"/>
  <c r="Z18" i="146"/>
  <c r="X18" i="146"/>
  <c r="V18" i="146"/>
  <c r="Z18" i="152"/>
  <c r="X18" i="152"/>
  <c r="V18" i="152"/>
  <c r="Z18" i="147"/>
  <c r="X18" i="147"/>
  <c r="V18" i="147"/>
  <c r="Z18" i="153"/>
  <c r="X18" i="153"/>
  <c r="V18" i="153"/>
  <c r="Z18" i="115"/>
  <c r="X18" i="115"/>
  <c r="V18" i="115"/>
  <c r="Z68" i="125"/>
  <c r="X68" i="125"/>
  <c r="V68" i="125"/>
  <c r="Z68" i="127"/>
  <c r="X68" i="127"/>
  <c r="V68" i="127"/>
  <c r="Z68" i="131"/>
  <c r="X68" i="131"/>
  <c r="V68" i="131"/>
  <c r="Z68" i="118"/>
  <c r="X68" i="118"/>
  <c r="V68" i="118"/>
  <c r="Z68" i="129"/>
  <c r="X68" i="129"/>
  <c r="V68" i="129"/>
  <c r="AA67" i="80"/>
  <c r="Y67" i="80"/>
  <c r="W67" i="80"/>
  <c r="Z68" i="116"/>
  <c r="X68" i="116"/>
  <c r="V68" i="116"/>
  <c r="Z68" i="147"/>
  <c r="X68" i="147"/>
  <c r="V68" i="147"/>
  <c r="Z68" i="151"/>
  <c r="X68" i="151"/>
  <c r="V68" i="151"/>
  <c r="Z68" i="145"/>
  <c r="X68" i="145"/>
  <c r="V68" i="145"/>
  <c r="Z68" i="149"/>
  <c r="X68" i="149"/>
  <c r="V68" i="149"/>
  <c r="AB60" i="113"/>
  <c r="Z60" i="117"/>
  <c r="X60" i="117"/>
  <c r="V60" i="117"/>
  <c r="Z60" i="120"/>
  <c r="X60" i="120"/>
  <c r="V60" i="120"/>
  <c r="AA59" i="76"/>
  <c r="Y59" i="76"/>
  <c r="W59" i="76"/>
  <c r="Z60" i="114"/>
  <c r="X60" i="114"/>
  <c r="V60" i="114"/>
  <c r="Z60" i="126"/>
  <c r="X60" i="126"/>
  <c r="V60" i="126"/>
  <c r="Z60" i="128"/>
  <c r="X60" i="128"/>
  <c r="V60" i="128"/>
  <c r="Z60" i="119"/>
  <c r="X60" i="119"/>
  <c r="V60" i="119"/>
  <c r="Z60" i="116"/>
  <c r="X60" i="116"/>
  <c r="V60" i="116"/>
  <c r="Z60" i="147"/>
  <c r="X60" i="147"/>
  <c r="V60" i="147"/>
  <c r="Z60" i="153"/>
  <c r="X60" i="153"/>
  <c r="V60" i="153"/>
  <c r="Z60" i="146"/>
  <c r="X60" i="146"/>
  <c r="V60" i="146"/>
  <c r="Z60" i="152"/>
  <c r="X60" i="152"/>
  <c r="V60" i="152"/>
  <c r="Z60" i="115"/>
  <c r="X60" i="115"/>
  <c r="V60" i="115"/>
  <c r="Z16" i="120"/>
  <c r="X16" i="120"/>
  <c r="V16" i="120"/>
  <c r="AA15" i="76"/>
  <c r="Y15" i="76"/>
  <c r="W15" i="76"/>
  <c r="Z16" i="117"/>
  <c r="X16" i="117"/>
  <c r="V16" i="117"/>
  <c r="Z16" i="118"/>
  <c r="X16" i="118"/>
  <c r="V16" i="118"/>
  <c r="Z16" i="129"/>
  <c r="X16" i="129"/>
  <c r="V16" i="129"/>
  <c r="Z16" i="114"/>
  <c r="X16" i="114"/>
  <c r="V16" i="114"/>
  <c r="Z16" i="119"/>
  <c r="X16" i="119"/>
  <c r="V16" i="119"/>
  <c r="Z16" i="145"/>
  <c r="X16" i="145"/>
  <c r="V16" i="145"/>
  <c r="Z16" i="147"/>
  <c r="X16" i="147"/>
  <c r="V16" i="147"/>
  <c r="Z16" i="148"/>
  <c r="X16" i="148"/>
  <c r="V16" i="148"/>
  <c r="Z16" i="151"/>
  <c r="X16" i="151"/>
  <c r="V16" i="151"/>
  <c r="AB49" i="113"/>
  <c r="Z49" i="118"/>
  <c r="X49" i="118"/>
  <c r="V49" i="118"/>
  <c r="Z49" i="120"/>
  <c r="X49" i="120"/>
  <c r="V49" i="120"/>
  <c r="Z49" i="117"/>
  <c r="X49" i="117"/>
  <c r="V49" i="117"/>
  <c r="Z49" i="126"/>
  <c r="X49" i="126"/>
  <c r="V49" i="126"/>
  <c r="Z49" i="128"/>
  <c r="X49" i="128"/>
  <c r="V49" i="128"/>
  <c r="Z49" i="119"/>
  <c r="X49" i="119"/>
  <c r="V49" i="119"/>
  <c r="Z49" i="114"/>
  <c r="X49" i="114"/>
  <c r="V49" i="114"/>
  <c r="Z49" i="144"/>
  <c r="X49" i="144"/>
  <c r="V49" i="144"/>
  <c r="Z49" i="146"/>
  <c r="X49" i="146"/>
  <c r="V49" i="146"/>
  <c r="Z49" i="153"/>
  <c r="X49" i="153"/>
  <c r="V49" i="153"/>
  <c r="Z49" i="149"/>
  <c r="X49" i="149"/>
  <c r="V49" i="149"/>
  <c r="Z49" i="152"/>
  <c r="X49" i="152"/>
  <c r="V49" i="152"/>
  <c r="Z49" i="115"/>
  <c r="X49" i="115"/>
  <c r="V49" i="115"/>
  <c r="Z74" i="120"/>
  <c r="X74" i="120"/>
  <c r="V74" i="120"/>
  <c r="Z74" i="119"/>
  <c r="X74" i="119"/>
  <c r="V74" i="119"/>
  <c r="AA73" i="80"/>
  <c r="Y73" i="80"/>
  <c r="W73" i="80"/>
  <c r="Z74" i="126"/>
  <c r="X74" i="126"/>
  <c r="V74" i="126"/>
  <c r="Z74" i="125"/>
  <c r="X74" i="125"/>
  <c r="V74" i="125"/>
  <c r="Z74" i="129"/>
  <c r="X74" i="129"/>
  <c r="V74" i="129"/>
  <c r="Z74" i="148"/>
  <c r="X74" i="148"/>
  <c r="V74" i="148"/>
  <c r="Z74" i="149"/>
  <c r="X74" i="149"/>
  <c r="V74" i="149"/>
  <c r="Z74" i="144"/>
  <c r="V74" i="144"/>
  <c r="X74" i="144"/>
  <c r="AA74" i="144" s="1"/>
  <c r="Z74" i="147"/>
  <c r="X74" i="147"/>
  <c r="V74" i="147"/>
  <c r="Z74" i="153"/>
  <c r="X74" i="153"/>
  <c r="V74" i="153"/>
  <c r="AB26" i="113"/>
  <c r="Z26" i="116"/>
  <c r="X26" i="116"/>
  <c r="V26" i="116"/>
  <c r="Z26" i="120"/>
  <c r="X26" i="120"/>
  <c r="V26" i="120"/>
  <c r="Z26" i="125"/>
  <c r="X26" i="125"/>
  <c r="V26" i="125"/>
  <c r="Z26" i="129"/>
  <c r="X26" i="129"/>
  <c r="V26" i="129"/>
  <c r="Z26" i="119"/>
  <c r="X26" i="119"/>
  <c r="V26" i="119"/>
  <c r="AA25" i="80"/>
  <c r="Y25" i="80"/>
  <c r="W25" i="80"/>
  <c r="Z26" i="114"/>
  <c r="X26" i="114"/>
  <c r="V26" i="114"/>
  <c r="Z26" i="118"/>
  <c r="X26" i="118"/>
  <c r="V26" i="118"/>
  <c r="Z26" i="146"/>
  <c r="X26" i="146"/>
  <c r="V26" i="146"/>
  <c r="Z26" i="151"/>
  <c r="X26" i="151"/>
  <c r="V26" i="151"/>
  <c r="Z26" i="147"/>
  <c r="X26" i="147"/>
  <c r="V26" i="147"/>
  <c r="Z26" i="153"/>
  <c r="X26" i="153"/>
  <c r="V26" i="153"/>
  <c r="Z26" i="115"/>
  <c r="X26" i="115"/>
  <c r="V26" i="115"/>
  <c r="AA12" i="80"/>
  <c r="Y12" i="80"/>
  <c r="W12" i="80"/>
  <c r="Z13" i="127"/>
  <c r="X13" i="127"/>
  <c r="V13" i="127"/>
  <c r="Z13" i="129"/>
  <c r="X13" i="129"/>
  <c r="V13" i="129"/>
  <c r="Z13" i="116"/>
  <c r="X13" i="116"/>
  <c r="V13" i="116"/>
  <c r="Z13" i="131"/>
  <c r="X13" i="131"/>
  <c r="V13" i="131"/>
  <c r="AA12" i="76"/>
  <c r="Y12" i="76"/>
  <c r="W12" i="76"/>
  <c r="Z13" i="117"/>
  <c r="X13" i="117"/>
  <c r="V13" i="117"/>
  <c r="Z13" i="149"/>
  <c r="X13" i="149"/>
  <c r="V13" i="149"/>
  <c r="Z13" i="151"/>
  <c r="X13" i="151"/>
  <c r="V13" i="151"/>
  <c r="Z13" i="145"/>
  <c r="X13" i="145"/>
  <c r="V13" i="145"/>
  <c r="Z13" i="148"/>
  <c r="X13" i="148"/>
  <c r="V13" i="148"/>
  <c r="AB65" i="113"/>
  <c r="Z65" i="118"/>
  <c r="X65" i="118"/>
  <c r="V65" i="118"/>
  <c r="Z65" i="120"/>
  <c r="X65" i="120"/>
  <c r="V65" i="120"/>
  <c r="Z65" i="117"/>
  <c r="X65" i="117"/>
  <c r="V65" i="117"/>
  <c r="Z65" i="126"/>
  <c r="X65" i="126"/>
  <c r="V65" i="126"/>
  <c r="Z65" i="128"/>
  <c r="X65" i="128"/>
  <c r="V65" i="128"/>
  <c r="Z65" i="114"/>
  <c r="X65" i="114"/>
  <c r="V65" i="114"/>
  <c r="Z65" i="119"/>
  <c r="X65" i="119"/>
  <c r="V65" i="119"/>
  <c r="Z65" i="144"/>
  <c r="X65" i="144"/>
  <c r="V65" i="144"/>
  <c r="Z65" i="146"/>
  <c r="X65" i="146"/>
  <c r="V65" i="146"/>
  <c r="Z65" i="153"/>
  <c r="X65" i="153"/>
  <c r="V65" i="153"/>
  <c r="Z65" i="148"/>
  <c r="X65" i="148"/>
  <c r="V65" i="148"/>
  <c r="Z65" i="152"/>
  <c r="X65" i="152"/>
  <c r="V65" i="152"/>
  <c r="Z65" i="115"/>
  <c r="X65" i="115"/>
  <c r="V65" i="115"/>
  <c r="U11" i="115"/>
  <c r="Z11" i="113"/>
  <c r="U11" i="152"/>
  <c r="U11" i="148"/>
  <c r="U11" i="146"/>
  <c r="U11" i="145"/>
  <c r="U11" i="153"/>
  <c r="U11" i="151"/>
  <c r="U11" i="147"/>
  <c r="U11" i="149"/>
  <c r="U11" i="126"/>
  <c r="U11" i="144"/>
  <c r="U11" i="114"/>
  <c r="U11" i="131"/>
  <c r="U11" i="125"/>
  <c r="U11" i="127"/>
  <c r="U11" i="118"/>
  <c r="U11" i="120"/>
  <c r="U11" i="117"/>
  <c r="V10" i="80"/>
  <c r="U11" i="129"/>
  <c r="V10" i="76"/>
  <c r="U11" i="119"/>
  <c r="U11" i="128"/>
  <c r="U11" i="116"/>
  <c r="V11" i="113"/>
  <c r="X11" i="113"/>
  <c r="Z30" i="120"/>
  <c r="X30" i="120"/>
  <c r="V30" i="120"/>
  <c r="Z30" i="125"/>
  <c r="X30" i="125"/>
  <c r="V30" i="125"/>
  <c r="Z30" i="129"/>
  <c r="X30" i="129"/>
  <c r="V30" i="129"/>
  <c r="Z30" i="117"/>
  <c r="X30" i="117"/>
  <c r="V30" i="117"/>
  <c r="Z30" i="119"/>
  <c r="X30" i="119"/>
  <c r="V30" i="119"/>
  <c r="AA29" i="80"/>
  <c r="Y29" i="80"/>
  <c r="W29" i="80"/>
  <c r="Z30" i="144"/>
  <c r="V30" i="144"/>
  <c r="X30" i="144"/>
  <c r="AA30" i="144" s="1"/>
  <c r="Z30" i="149"/>
  <c r="X30" i="149"/>
  <c r="V30" i="149"/>
  <c r="Z30" i="148"/>
  <c r="X30" i="148"/>
  <c r="V30" i="148"/>
  <c r="Z30" i="145"/>
  <c r="X30" i="145"/>
  <c r="V30" i="145"/>
  <c r="Z30" i="152"/>
  <c r="X30" i="152"/>
  <c r="V30" i="152"/>
  <c r="AC27" i="113"/>
  <c r="AK24" i="72" s="1"/>
  <c r="G24" i="100"/>
  <c r="AD27" i="113"/>
  <c r="AF27" i="113" s="1"/>
  <c r="Z27" i="120"/>
  <c r="X27" i="120"/>
  <c r="V27" i="120"/>
  <c r="Z27" i="118"/>
  <c r="X27" i="118"/>
  <c r="V27" i="118"/>
  <c r="Z27" i="125"/>
  <c r="X27" i="125"/>
  <c r="V27" i="125"/>
  <c r="AA26" i="80"/>
  <c r="Y26" i="80"/>
  <c r="W26" i="80"/>
  <c r="AA26" i="76"/>
  <c r="Y26" i="76"/>
  <c r="W26" i="76"/>
  <c r="Z27" i="128"/>
  <c r="X27" i="128"/>
  <c r="V27" i="128"/>
  <c r="Z27" i="117"/>
  <c r="X27" i="117"/>
  <c r="V27" i="117"/>
  <c r="Z27" i="147"/>
  <c r="X27" i="147"/>
  <c r="V27" i="147"/>
  <c r="Z27" i="153"/>
  <c r="X27" i="153"/>
  <c r="V27" i="153"/>
  <c r="Z27" i="144"/>
  <c r="X27" i="144"/>
  <c r="V27" i="144"/>
  <c r="Z27" i="146"/>
  <c r="X27" i="146"/>
  <c r="V27" i="146"/>
  <c r="Z27" i="151"/>
  <c r="X27" i="151"/>
  <c r="V27" i="151"/>
  <c r="Z27" i="115"/>
  <c r="X27" i="115"/>
  <c r="V27" i="115"/>
  <c r="Z70" i="126"/>
  <c r="X70" i="126"/>
  <c r="V70" i="126"/>
  <c r="Z70" i="125"/>
  <c r="X70" i="125"/>
  <c r="V70" i="125"/>
  <c r="Z70" i="129"/>
  <c r="X70" i="129"/>
  <c r="V70" i="129"/>
  <c r="Z70" i="120"/>
  <c r="X70" i="120"/>
  <c r="V70" i="120"/>
  <c r="Z70" i="119"/>
  <c r="X70" i="119"/>
  <c r="V70" i="119"/>
  <c r="AA69" i="80"/>
  <c r="Y69" i="80"/>
  <c r="W69" i="80"/>
  <c r="Z70" i="114"/>
  <c r="X70" i="114"/>
  <c r="V70" i="114"/>
  <c r="Z70" i="146"/>
  <c r="X70" i="146"/>
  <c r="V70" i="146"/>
  <c r="Z70" i="151"/>
  <c r="X70" i="151"/>
  <c r="V70" i="151"/>
  <c r="Z70" i="145"/>
  <c r="X70" i="145"/>
  <c r="V70" i="145"/>
  <c r="Z70" i="149"/>
  <c r="X70" i="149"/>
  <c r="V70" i="149"/>
  <c r="G66" i="100"/>
  <c r="AC69" i="113"/>
  <c r="AK66" i="72" s="1"/>
  <c r="Z69" i="118"/>
  <c r="X69" i="118"/>
  <c r="V69" i="118"/>
  <c r="Z69" i="120"/>
  <c r="X69" i="120"/>
  <c r="V69" i="120"/>
  <c r="Z69" i="131"/>
  <c r="X69" i="131"/>
  <c r="V69" i="131"/>
  <c r="Z69" i="119"/>
  <c r="X69" i="119"/>
  <c r="V69" i="119"/>
  <c r="Z69" i="126"/>
  <c r="X69" i="126"/>
  <c r="V69" i="126"/>
  <c r="Z69" i="117"/>
  <c r="X69" i="117"/>
  <c r="V69" i="117"/>
  <c r="Z69" i="116"/>
  <c r="X69" i="116"/>
  <c r="V69" i="116"/>
  <c r="Z69" i="144"/>
  <c r="X69" i="144"/>
  <c r="V69" i="144"/>
  <c r="Z69" i="148"/>
  <c r="X69" i="148"/>
  <c r="V69" i="148"/>
  <c r="Z69" i="153"/>
  <c r="X69" i="153"/>
  <c r="V69" i="153"/>
  <c r="Z69" i="146"/>
  <c r="X69" i="146"/>
  <c r="V69" i="146"/>
  <c r="Z69" i="152"/>
  <c r="X69" i="152"/>
  <c r="V69" i="152"/>
  <c r="Z69" i="115"/>
  <c r="X69" i="115"/>
  <c r="V69" i="115"/>
  <c r="Z10" i="117"/>
  <c r="X10" i="117"/>
  <c r="V10" i="117"/>
  <c r="Z10" i="127"/>
  <c r="X10" i="127"/>
  <c r="V10" i="127"/>
  <c r="Z10" i="131"/>
  <c r="X10" i="131"/>
  <c r="V10" i="131"/>
  <c r="Z10" i="126"/>
  <c r="X10" i="126"/>
  <c r="V10" i="126"/>
  <c r="Z10" i="128"/>
  <c r="X10" i="128"/>
  <c r="V10" i="128"/>
  <c r="AA9" i="76"/>
  <c r="Y9" i="76"/>
  <c r="W9" i="76"/>
  <c r="Z10" i="144"/>
  <c r="V10" i="144"/>
  <c r="X10" i="144"/>
  <c r="AA10" i="144" s="1"/>
  <c r="Z10" i="145"/>
  <c r="X10" i="145"/>
  <c r="V10" i="145"/>
  <c r="Z10" i="148"/>
  <c r="X10" i="148"/>
  <c r="V10" i="148"/>
  <c r="Z10" i="149"/>
  <c r="X10" i="149"/>
  <c r="V10" i="149"/>
  <c r="Z10" i="151"/>
  <c r="X10" i="151"/>
  <c r="V10" i="151"/>
  <c r="U33" i="115"/>
  <c r="Z33" i="113"/>
  <c r="U33" i="151"/>
  <c r="U33" i="147"/>
  <c r="U33" i="145"/>
  <c r="U33" i="148"/>
  <c r="U33" i="153"/>
  <c r="U33" i="152"/>
  <c r="U33" i="146"/>
  <c r="U33" i="149"/>
  <c r="U33" i="144"/>
  <c r="U33" i="125"/>
  <c r="U33" i="116"/>
  <c r="U33" i="119"/>
  <c r="U33" i="114"/>
  <c r="V32" i="76"/>
  <c r="U33" i="128"/>
  <c r="U33" i="131"/>
  <c r="U33" i="126"/>
  <c r="U33" i="127"/>
  <c r="U33" i="117"/>
  <c r="U33" i="129"/>
  <c r="U33" i="120"/>
  <c r="V32" i="80"/>
  <c r="U33" i="118"/>
  <c r="V33" i="113"/>
  <c r="X33" i="113"/>
  <c r="U75" i="115"/>
  <c r="Z75" i="113"/>
  <c r="U75" i="153"/>
  <c r="U75" i="151"/>
  <c r="U75" i="147"/>
  <c r="U75" i="145"/>
  <c r="U75" i="144"/>
  <c r="U75" i="152"/>
  <c r="U75" i="149"/>
  <c r="U75" i="146"/>
  <c r="U75" i="148"/>
  <c r="U75" i="114"/>
  <c r="U75" i="128"/>
  <c r="U75" i="129"/>
  <c r="V74" i="76"/>
  <c r="U75" i="127"/>
  <c r="U75" i="118"/>
  <c r="U75" i="120"/>
  <c r="V74" i="80"/>
  <c r="U75" i="131"/>
  <c r="U75" i="125"/>
  <c r="U75" i="126"/>
  <c r="U75" i="119"/>
  <c r="U75" i="116"/>
  <c r="U75" i="117"/>
  <c r="V75" i="113"/>
  <c r="X75" i="113"/>
  <c r="E11" i="137"/>
  <c r="H11" i="137" s="1"/>
  <c r="U51" i="115"/>
  <c r="Z51" i="113"/>
  <c r="U51" i="152"/>
  <c r="U51" i="147"/>
  <c r="U51" i="149"/>
  <c r="U51" i="145"/>
  <c r="U51" i="144"/>
  <c r="U51" i="117"/>
  <c r="U51" i="153"/>
  <c r="U51" i="151"/>
  <c r="U51" i="146"/>
  <c r="U51" i="148"/>
  <c r="U51" i="114"/>
  <c r="U51" i="128"/>
  <c r="U51" i="125"/>
  <c r="U51" i="118"/>
  <c r="U51" i="129"/>
  <c r="V50" i="76"/>
  <c r="U51" i="116"/>
  <c r="V50" i="80"/>
  <c r="U51" i="131"/>
  <c r="U51" i="119"/>
  <c r="U51" i="126"/>
  <c r="U51" i="127"/>
  <c r="U51" i="120"/>
  <c r="V51" i="113"/>
  <c r="X51" i="113"/>
  <c r="U63" i="115"/>
  <c r="Z63" i="113"/>
  <c r="U63" i="152"/>
  <c r="U63" i="149"/>
  <c r="U63" i="146"/>
  <c r="U63" i="145"/>
  <c r="U63" i="144"/>
  <c r="U63" i="153"/>
  <c r="U63" i="151"/>
  <c r="U63" i="147"/>
  <c r="U63" i="148"/>
  <c r="U63" i="117"/>
  <c r="U63" i="114"/>
  <c r="V62" i="80"/>
  <c r="V62" i="76"/>
  <c r="U63" i="125"/>
  <c r="U63" i="126"/>
  <c r="U63" i="120"/>
  <c r="U63" i="131"/>
  <c r="U63" i="128"/>
  <c r="U63" i="127"/>
  <c r="U63" i="129"/>
  <c r="U63" i="118"/>
  <c r="U63" i="116"/>
  <c r="U63" i="119"/>
  <c r="V63" i="113"/>
  <c r="X63" i="113"/>
  <c r="U47" i="115"/>
  <c r="Z47" i="113"/>
  <c r="U47" i="152"/>
  <c r="U47" i="148"/>
  <c r="U47" i="146"/>
  <c r="U47" i="145"/>
  <c r="U47" i="144"/>
  <c r="U47" i="117"/>
  <c r="U47" i="153"/>
  <c r="U47" i="151"/>
  <c r="U47" i="147"/>
  <c r="U47" i="149"/>
  <c r="U47" i="120"/>
  <c r="U47" i="114"/>
  <c r="V46" i="80"/>
  <c r="V46" i="76"/>
  <c r="U47" i="125"/>
  <c r="U47" i="131"/>
  <c r="U47" i="128"/>
  <c r="U47" i="127"/>
  <c r="U47" i="129"/>
  <c r="U47" i="119"/>
  <c r="U47" i="126"/>
  <c r="U47" i="118"/>
  <c r="U47" i="116"/>
  <c r="V47" i="113"/>
  <c r="X47" i="113"/>
  <c r="U15" i="115"/>
  <c r="Z15" i="113"/>
  <c r="U15" i="152"/>
  <c r="U15" i="147"/>
  <c r="U15" i="149"/>
  <c r="U15" i="145"/>
  <c r="U15" i="153"/>
  <c r="U15" i="151"/>
  <c r="U15" i="146"/>
  <c r="U15" i="148"/>
  <c r="U15" i="117"/>
  <c r="U15" i="144"/>
  <c r="U15" i="114"/>
  <c r="V14" i="80"/>
  <c r="U15" i="127"/>
  <c r="U15" i="125"/>
  <c r="U15" i="119"/>
  <c r="U15" i="120"/>
  <c r="U15" i="131"/>
  <c r="V14" i="76"/>
  <c r="U15" i="128"/>
  <c r="U15" i="129"/>
  <c r="U15" i="126"/>
  <c r="U15" i="118"/>
  <c r="U15" i="116"/>
  <c r="V15" i="113"/>
  <c r="X15" i="113"/>
  <c r="U14" i="115"/>
  <c r="Z14" i="113"/>
  <c r="U14" i="153"/>
  <c r="U14" i="151"/>
  <c r="U14" i="146"/>
  <c r="U14" i="148"/>
  <c r="U14" i="152"/>
  <c r="U14" i="147"/>
  <c r="U14" i="149"/>
  <c r="U14" i="145"/>
  <c r="U14" i="114"/>
  <c r="U14" i="144"/>
  <c r="V13" i="76"/>
  <c r="V13" i="80"/>
  <c r="U14" i="128"/>
  <c r="U14" i="119"/>
  <c r="U14" i="126"/>
  <c r="U14" i="117"/>
  <c r="U14" i="116"/>
  <c r="U14" i="118"/>
  <c r="U14" i="129"/>
  <c r="U14" i="131"/>
  <c r="U14" i="125"/>
  <c r="U14" i="127"/>
  <c r="U14" i="120"/>
  <c r="V14" i="113"/>
  <c r="X14" i="113"/>
  <c r="U40" i="115"/>
  <c r="Z40" i="113"/>
  <c r="U40" i="151"/>
  <c r="U40" i="148"/>
  <c r="U40" i="146"/>
  <c r="U40" i="149"/>
  <c r="U40" i="153"/>
  <c r="U40" i="152"/>
  <c r="U40" i="147"/>
  <c r="U40" i="145"/>
  <c r="U40" i="144"/>
  <c r="U40" i="116"/>
  <c r="U40" i="114"/>
  <c r="U40" i="131"/>
  <c r="V39" i="76"/>
  <c r="U40" i="127"/>
  <c r="U40" i="120"/>
  <c r="U40" i="125"/>
  <c r="U40" i="117"/>
  <c r="U40" i="119"/>
  <c r="V39" i="80"/>
  <c r="U40" i="128"/>
  <c r="U40" i="129"/>
  <c r="U40" i="126"/>
  <c r="U40" i="118"/>
  <c r="V40" i="113"/>
  <c r="X40" i="113"/>
  <c r="U58" i="115"/>
  <c r="Z58" i="113"/>
  <c r="U58" i="152"/>
  <c r="U58" i="147"/>
  <c r="U58" i="149"/>
  <c r="U58" i="145"/>
  <c r="U58" i="153"/>
  <c r="U58" i="151"/>
  <c r="U58" i="146"/>
  <c r="U58" i="148"/>
  <c r="U58" i="144"/>
  <c r="U58" i="114"/>
  <c r="U58" i="118"/>
  <c r="V57" i="76"/>
  <c r="V57" i="80"/>
  <c r="U58" i="128"/>
  <c r="U58" i="119"/>
  <c r="U58" i="126"/>
  <c r="U58" i="129"/>
  <c r="U58" i="131"/>
  <c r="U58" i="125"/>
  <c r="U58" i="127"/>
  <c r="U58" i="120"/>
  <c r="U58" i="117"/>
  <c r="U58" i="116"/>
  <c r="V58" i="113"/>
  <c r="X58" i="113"/>
  <c r="U12" i="115"/>
  <c r="Z12" i="113"/>
  <c r="U12" i="153"/>
  <c r="U12" i="151"/>
  <c r="U12" i="147"/>
  <c r="U12" i="149"/>
  <c r="U12" i="152"/>
  <c r="U12" i="148"/>
  <c r="U12" i="146"/>
  <c r="U12" i="145"/>
  <c r="U12" i="144"/>
  <c r="U12" i="116"/>
  <c r="U12" i="119"/>
  <c r="V11" i="80"/>
  <c r="V11" i="76"/>
  <c r="U12" i="127"/>
  <c r="U12" i="120"/>
  <c r="U12" i="128"/>
  <c r="U12" i="114"/>
  <c r="U12" i="131"/>
  <c r="U12" i="129"/>
  <c r="U12" i="126"/>
  <c r="U12" i="118"/>
  <c r="U12" i="125"/>
  <c r="U12" i="117"/>
  <c r="V12" i="113"/>
  <c r="X12" i="113"/>
  <c r="U72" i="115"/>
  <c r="Z72" i="113"/>
  <c r="U72" i="152"/>
  <c r="U72" i="149"/>
  <c r="U72" i="146"/>
  <c r="U72" i="148"/>
  <c r="U72" i="153"/>
  <c r="U72" i="151"/>
  <c r="U72" i="147"/>
  <c r="U72" i="145"/>
  <c r="U72" i="144"/>
  <c r="U72" i="117"/>
  <c r="U72" i="114"/>
  <c r="U72" i="131"/>
  <c r="V71" i="76"/>
  <c r="U72" i="127"/>
  <c r="U72" i="120"/>
  <c r="U72" i="125"/>
  <c r="U72" i="119"/>
  <c r="U72" i="116"/>
  <c r="V71" i="80"/>
  <c r="U72" i="128"/>
  <c r="U72" i="129"/>
  <c r="U72" i="126"/>
  <c r="U72" i="118"/>
  <c r="V72" i="113"/>
  <c r="X72" i="113"/>
  <c r="U43" i="115"/>
  <c r="Z43" i="113"/>
  <c r="U43" i="151"/>
  <c r="U43" i="149"/>
  <c r="U43" i="146"/>
  <c r="U43" i="148"/>
  <c r="U43" i="144"/>
  <c r="U43" i="126"/>
  <c r="U43" i="153"/>
  <c r="U43" i="152"/>
  <c r="U43" i="147"/>
  <c r="U43" i="145"/>
  <c r="U43" i="114"/>
  <c r="U43" i="128"/>
  <c r="U43" i="129"/>
  <c r="V42" i="76"/>
  <c r="U43" i="119"/>
  <c r="U43" i="120"/>
  <c r="U43" i="117"/>
  <c r="V42" i="80"/>
  <c r="U43" i="131"/>
  <c r="U43" i="125"/>
  <c r="U43" i="127"/>
  <c r="U43" i="118"/>
  <c r="U43" i="116"/>
  <c r="V43" i="113"/>
  <c r="X43" i="113"/>
  <c r="U8" i="115"/>
  <c r="Z8" i="113"/>
  <c r="U8" i="153"/>
  <c r="U8" i="151"/>
  <c r="U8" i="146"/>
  <c r="U8" i="148"/>
  <c r="U8" i="152"/>
  <c r="U8" i="147"/>
  <c r="U8" i="149"/>
  <c r="U8" i="145"/>
  <c r="U8" i="144"/>
  <c r="U8" i="116"/>
  <c r="U8" i="114"/>
  <c r="U8" i="131"/>
  <c r="U8" i="129"/>
  <c r="U8" i="126"/>
  <c r="U8" i="118"/>
  <c r="U8" i="125"/>
  <c r="U8" i="117"/>
  <c r="U8" i="119"/>
  <c r="V7" i="80"/>
  <c r="V7" i="76"/>
  <c r="U8" i="127"/>
  <c r="U8" i="120"/>
  <c r="U8" i="128"/>
  <c r="V8" i="113"/>
  <c r="X8" i="113"/>
  <c r="U20" i="115"/>
  <c r="Z20" i="113"/>
  <c r="U20" i="153"/>
  <c r="U20" i="151"/>
  <c r="U20" i="147"/>
  <c r="U20" i="145"/>
  <c r="U20" i="152"/>
  <c r="U20" i="148"/>
  <c r="U20" i="146"/>
  <c r="U20" i="149"/>
  <c r="U20" i="144"/>
  <c r="U20" i="116"/>
  <c r="U20" i="119"/>
  <c r="V19" i="80"/>
  <c r="U20" i="128"/>
  <c r="U20" i="129"/>
  <c r="U20" i="126"/>
  <c r="U20" i="118"/>
  <c r="U20" i="114"/>
  <c r="U20" i="131"/>
  <c r="V19" i="76"/>
  <c r="U20" i="127"/>
  <c r="U20" i="120"/>
  <c r="U20" i="125"/>
  <c r="U20" i="117"/>
  <c r="V20" i="113"/>
  <c r="X20" i="113"/>
  <c r="AD12" i="46"/>
  <c r="AA67" i="113"/>
  <c r="AB67" i="113" s="1"/>
  <c r="Z67" i="120"/>
  <c r="X67" i="120"/>
  <c r="V67" i="120"/>
  <c r="Z67" i="129"/>
  <c r="X67" i="129"/>
  <c r="V67" i="129"/>
  <c r="Z67" i="125"/>
  <c r="X67" i="125"/>
  <c r="V67" i="125"/>
  <c r="Z67" i="114"/>
  <c r="X67" i="114"/>
  <c r="V67" i="114"/>
  <c r="Z67" i="127"/>
  <c r="X67" i="127"/>
  <c r="V67" i="127"/>
  <c r="Z67" i="119"/>
  <c r="X67" i="119"/>
  <c r="V67" i="119"/>
  <c r="AA66" i="80"/>
  <c r="Y66" i="80"/>
  <c r="W66" i="80"/>
  <c r="Z67" i="147"/>
  <c r="X67" i="147"/>
  <c r="V67" i="147"/>
  <c r="Z67" i="151"/>
  <c r="X67" i="151"/>
  <c r="V67" i="151"/>
  <c r="Z67" i="144"/>
  <c r="X67" i="144"/>
  <c r="V67" i="144"/>
  <c r="Z67" i="146"/>
  <c r="X67" i="146"/>
  <c r="V67" i="146"/>
  <c r="Z67" i="152"/>
  <c r="X67" i="152"/>
  <c r="V67" i="152"/>
  <c r="Z67" i="115"/>
  <c r="X67" i="115"/>
  <c r="V67" i="115"/>
  <c r="Z38" i="120"/>
  <c r="X38" i="120"/>
  <c r="V38" i="120"/>
  <c r="Z38" i="125"/>
  <c r="X38" i="125"/>
  <c r="V38" i="125"/>
  <c r="Z38" i="129"/>
  <c r="X38" i="129"/>
  <c r="V38" i="129"/>
  <c r="Z38" i="117"/>
  <c r="X38" i="117"/>
  <c r="V38" i="117"/>
  <c r="Z38" i="119"/>
  <c r="X38" i="119"/>
  <c r="V38" i="119"/>
  <c r="AA37" i="80"/>
  <c r="Y37" i="80"/>
  <c r="W37" i="80"/>
  <c r="Z38" i="114"/>
  <c r="X38" i="114"/>
  <c r="V38" i="114"/>
  <c r="Z38" i="145"/>
  <c r="X38" i="145"/>
  <c r="V38" i="145"/>
  <c r="Z38" i="152"/>
  <c r="X38" i="152"/>
  <c r="V38" i="152"/>
  <c r="Z38" i="149"/>
  <c r="X38" i="149"/>
  <c r="V38" i="149"/>
  <c r="Z38" i="148"/>
  <c r="V38" i="148"/>
  <c r="X38" i="148"/>
  <c r="AA38" i="148" s="1"/>
  <c r="AA41" i="113"/>
  <c r="AB41" i="113" s="1"/>
  <c r="Z41" i="117"/>
  <c r="X41" i="117"/>
  <c r="V41" i="117"/>
  <c r="Z41" i="128"/>
  <c r="X41" i="128"/>
  <c r="V41" i="128"/>
  <c r="Z41" i="129"/>
  <c r="X41" i="129"/>
  <c r="V41" i="129"/>
  <c r="Z41" i="127"/>
  <c r="X41" i="127"/>
  <c r="V41" i="127"/>
  <c r="Z41" i="118"/>
  <c r="X41" i="118"/>
  <c r="V41" i="118"/>
  <c r="AA40" i="76"/>
  <c r="Y40" i="76"/>
  <c r="W40" i="76"/>
  <c r="Z41" i="116"/>
  <c r="X41" i="116"/>
  <c r="V41" i="116"/>
  <c r="Z41" i="144"/>
  <c r="X41" i="144"/>
  <c r="V41" i="144"/>
  <c r="Z41" i="146"/>
  <c r="X41" i="146"/>
  <c r="V41" i="146"/>
  <c r="Z41" i="153"/>
  <c r="X41" i="153"/>
  <c r="V41" i="153"/>
  <c r="Z41" i="145"/>
  <c r="X41" i="145"/>
  <c r="V41" i="145"/>
  <c r="Z41" i="151"/>
  <c r="X41" i="151"/>
  <c r="V41" i="151"/>
  <c r="Z41" i="115"/>
  <c r="X41" i="115"/>
  <c r="V41" i="115"/>
  <c r="AA18" i="76"/>
  <c r="Y18" i="76"/>
  <c r="W18" i="76"/>
  <c r="Z19" i="119"/>
  <c r="X19" i="119"/>
  <c r="V19" i="119"/>
  <c r="AA18" i="80"/>
  <c r="Y18" i="80"/>
  <c r="W18" i="80"/>
  <c r="Z19" i="127"/>
  <c r="X19" i="127"/>
  <c r="V19" i="127"/>
  <c r="Z19" i="125"/>
  <c r="X19" i="125"/>
  <c r="V19" i="125"/>
  <c r="Z19" i="114"/>
  <c r="X19" i="114"/>
  <c r="V19" i="114"/>
  <c r="Z19" i="144"/>
  <c r="V19" i="144"/>
  <c r="X19" i="144"/>
  <c r="AA19" i="144" s="1"/>
  <c r="Z19" i="145"/>
  <c r="X19" i="145"/>
  <c r="V19" i="145"/>
  <c r="Z19" i="151"/>
  <c r="X19" i="151"/>
  <c r="V19" i="151"/>
  <c r="Z19" i="149"/>
  <c r="X19" i="149"/>
  <c r="V19" i="149"/>
  <c r="Z19" i="148"/>
  <c r="X19" i="148"/>
  <c r="V19" i="148"/>
  <c r="AA54" i="113"/>
  <c r="AB54" i="113" s="1"/>
  <c r="Z54" i="120"/>
  <c r="X54" i="120"/>
  <c r="V54" i="120"/>
  <c r="Z54" i="125"/>
  <c r="X54" i="125"/>
  <c r="V54" i="125"/>
  <c r="Z54" i="129"/>
  <c r="X54" i="129"/>
  <c r="V54" i="129"/>
  <c r="Z54" i="118"/>
  <c r="X54" i="118"/>
  <c r="V54" i="118"/>
  <c r="Z54" i="126"/>
  <c r="X54" i="126"/>
  <c r="V54" i="126"/>
  <c r="Z54" i="128"/>
  <c r="X54" i="128"/>
  <c r="V54" i="128"/>
  <c r="AA53" i="76"/>
  <c r="Y53" i="76"/>
  <c r="W53" i="76"/>
  <c r="Z54" i="144"/>
  <c r="X54" i="144"/>
  <c r="V54" i="144"/>
  <c r="Z54" i="147"/>
  <c r="X54" i="147"/>
  <c r="V54" i="147"/>
  <c r="Z54" i="153"/>
  <c r="X54" i="153"/>
  <c r="V54" i="153"/>
  <c r="Z54" i="146"/>
  <c r="X54" i="146"/>
  <c r="V54" i="146"/>
  <c r="Z54" i="152"/>
  <c r="X54" i="152"/>
  <c r="V54" i="152"/>
  <c r="Z54" i="115"/>
  <c r="X54" i="115"/>
  <c r="V54" i="115"/>
  <c r="Z36" i="125"/>
  <c r="X36" i="125"/>
  <c r="V36" i="125"/>
  <c r="Z36" i="127"/>
  <c r="X36" i="127"/>
  <c r="V36" i="127"/>
  <c r="Z36" i="131"/>
  <c r="X36" i="131"/>
  <c r="V36" i="131"/>
  <c r="Z36" i="118"/>
  <c r="X36" i="118"/>
  <c r="V36" i="118"/>
  <c r="Z36" i="129"/>
  <c r="X36" i="129"/>
  <c r="V36" i="129"/>
  <c r="AA35" i="80"/>
  <c r="Y35" i="80"/>
  <c r="W35" i="80"/>
  <c r="Z36" i="116"/>
  <c r="X36" i="116"/>
  <c r="V36" i="116"/>
  <c r="Z36" i="149"/>
  <c r="X36" i="149"/>
  <c r="V36" i="149"/>
  <c r="Z36" i="152"/>
  <c r="X36" i="152"/>
  <c r="V36" i="152"/>
  <c r="Z36" i="148"/>
  <c r="X36" i="148"/>
  <c r="V36" i="148"/>
  <c r="Z36" i="147"/>
  <c r="X36" i="147"/>
  <c r="V36" i="147"/>
  <c r="AA28" i="113"/>
  <c r="AB28" i="113" s="1"/>
  <c r="Z28" i="117"/>
  <c r="X28" i="117"/>
  <c r="V28" i="117"/>
  <c r="Z28" i="120"/>
  <c r="X28" i="120"/>
  <c r="V28" i="120"/>
  <c r="AA27" i="76"/>
  <c r="Y27" i="76"/>
  <c r="W27" i="76"/>
  <c r="Z28" i="114"/>
  <c r="X28" i="114"/>
  <c r="V28" i="114"/>
  <c r="Z28" i="126"/>
  <c r="X28" i="126"/>
  <c r="V28" i="126"/>
  <c r="Z28" i="128"/>
  <c r="X28" i="128"/>
  <c r="V28" i="128"/>
  <c r="Z28" i="119"/>
  <c r="X28" i="119"/>
  <c r="V28" i="119"/>
  <c r="Z28" i="144"/>
  <c r="V28" i="144"/>
  <c r="X28" i="144"/>
  <c r="AA28" i="144" s="1"/>
  <c r="Z28" i="146"/>
  <c r="X28" i="146"/>
  <c r="V28" i="146"/>
  <c r="Z28" i="151"/>
  <c r="X28" i="151"/>
  <c r="V28" i="151"/>
  <c r="Z28" i="147"/>
  <c r="X28" i="147"/>
  <c r="V28" i="147"/>
  <c r="Z28" i="153"/>
  <c r="X28" i="153"/>
  <c r="V28" i="153"/>
  <c r="Z28" i="115"/>
  <c r="X28" i="115"/>
  <c r="V28" i="115"/>
  <c r="Z59" i="116"/>
  <c r="X59" i="116"/>
  <c r="V59" i="116"/>
  <c r="Z59" i="127"/>
  <c r="X59" i="127"/>
  <c r="V59" i="127"/>
  <c r="Z59" i="129"/>
  <c r="X59" i="129"/>
  <c r="V59" i="129"/>
  <c r="Z59" i="114"/>
  <c r="X59" i="114"/>
  <c r="V59" i="114"/>
  <c r="Z59" i="126"/>
  <c r="X59" i="126"/>
  <c r="V59" i="126"/>
  <c r="Z59" i="131"/>
  <c r="X59" i="131"/>
  <c r="V59" i="131"/>
  <c r="Z59" i="117"/>
  <c r="X59" i="117"/>
  <c r="V59" i="117"/>
  <c r="Z59" i="147"/>
  <c r="X59" i="147"/>
  <c r="V59" i="147"/>
  <c r="Z59" i="153"/>
  <c r="X59" i="153"/>
  <c r="V59" i="153"/>
  <c r="Z59" i="145"/>
  <c r="X59" i="145"/>
  <c r="V59" i="145"/>
  <c r="Z59" i="148"/>
  <c r="X59" i="148"/>
  <c r="V59" i="148"/>
  <c r="AA25" i="113"/>
  <c r="AB25" i="113" s="1"/>
  <c r="Z25" i="117"/>
  <c r="X25" i="117"/>
  <c r="V25" i="117"/>
  <c r="Z25" i="128"/>
  <c r="X25" i="128"/>
  <c r="V25" i="128"/>
  <c r="Z25" i="129"/>
  <c r="X25" i="129"/>
  <c r="V25" i="129"/>
  <c r="Z25" i="127"/>
  <c r="X25" i="127"/>
  <c r="V25" i="127"/>
  <c r="Z25" i="118"/>
  <c r="X25" i="118"/>
  <c r="V25" i="118"/>
  <c r="AA24" i="76"/>
  <c r="Y24" i="76"/>
  <c r="W24" i="76"/>
  <c r="Z25" i="125"/>
  <c r="X25" i="125"/>
  <c r="V25" i="125"/>
  <c r="Z25" i="144"/>
  <c r="X25" i="144"/>
  <c r="V25" i="144"/>
  <c r="Z25" i="147"/>
  <c r="X25" i="147"/>
  <c r="V25" i="147"/>
  <c r="Z25" i="153"/>
  <c r="X25" i="153"/>
  <c r="V25" i="153"/>
  <c r="Z25" i="146"/>
  <c r="X25" i="146"/>
  <c r="V25" i="146"/>
  <c r="Z25" i="152"/>
  <c r="X25" i="152"/>
  <c r="V25" i="152"/>
  <c r="Z25" i="115"/>
  <c r="X25" i="115"/>
  <c r="V25" i="115"/>
  <c r="U71" i="115"/>
  <c r="Z71" i="113"/>
  <c r="U71" i="152"/>
  <c r="U71" i="149"/>
  <c r="U71" i="147"/>
  <c r="U71" i="145"/>
  <c r="U71" i="144"/>
  <c r="U71" i="153"/>
  <c r="U71" i="151"/>
  <c r="U71" i="148"/>
  <c r="U71" i="146"/>
  <c r="U71" i="120"/>
  <c r="U71" i="119"/>
  <c r="U71" i="118"/>
  <c r="U71" i="114"/>
  <c r="V70" i="80"/>
  <c r="U71" i="127"/>
  <c r="V70" i="76"/>
  <c r="U71" i="117"/>
  <c r="U71" i="131"/>
  <c r="U71" i="128"/>
  <c r="U71" i="129"/>
  <c r="U71" i="125"/>
  <c r="U71" i="126"/>
  <c r="U71" i="116"/>
  <c r="V71" i="113"/>
  <c r="X71" i="113"/>
  <c r="Z9" i="119"/>
  <c r="X9" i="119"/>
  <c r="V9" i="119"/>
  <c r="Z9" i="118"/>
  <c r="X9" i="118"/>
  <c r="V9" i="118"/>
  <c r="Z9" i="129"/>
  <c r="X9" i="129"/>
  <c r="V9" i="129"/>
  <c r="Z9" i="116"/>
  <c r="X9" i="116"/>
  <c r="V9" i="116"/>
  <c r="Z9" i="126"/>
  <c r="X9" i="126"/>
  <c r="V9" i="126"/>
  <c r="AA8" i="80"/>
  <c r="Y8" i="80"/>
  <c r="W8" i="80"/>
  <c r="Z9" i="114"/>
  <c r="X9" i="114"/>
  <c r="V9" i="114"/>
  <c r="Z9" i="148"/>
  <c r="X9" i="148"/>
  <c r="V9" i="148"/>
  <c r="Z9" i="151"/>
  <c r="X9" i="151"/>
  <c r="V9" i="151"/>
  <c r="Z9" i="145"/>
  <c r="X9" i="145"/>
  <c r="V9" i="145"/>
  <c r="Z9" i="147"/>
  <c r="X9" i="147"/>
  <c r="V9" i="147"/>
  <c r="L14" i="137"/>
  <c r="M14" i="137" s="1"/>
  <c r="N14" i="137" s="1"/>
  <c r="P14" i="137" s="1"/>
  <c r="S14" i="137" s="1"/>
  <c r="AA64" i="113"/>
  <c r="AB64" i="113" s="1"/>
  <c r="Z64" i="118"/>
  <c r="X64" i="118"/>
  <c r="V64" i="118"/>
  <c r="Z64" i="129"/>
  <c r="X64" i="129"/>
  <c r="V64" i="129"/>
  <c r="AA63" i="80"/>
  <c r="Y63" i="80"/>
  <c r="W63" i="80"/>
  <c r="Z64" i="117"/>
  <c r="X64" i="117"/>
  <c r="V64" i="117"/>
  <c r="Z64" i="120"/>
  <c r="X64" i="120"/>
  <c r="V64" i="120"/>
  <c r="AA63" i="76"/>
  <c r="Y63" i="76"/>
  <c r="W63" i="76"/>
  <c r="Z64" i="114"/>
  <c r="X64" i="114"/>
  <c r="V64" i="114"/>
  <c r="Z64" i="144"/>
  <c r="X64" i="144"/>
  <c r="V64" i="144"/>
  <c r="Z64" i="146"/>
  <c r="X64" i="146"/>
  <c r="V64" i="146"/>
  <c r="Z64" i="153"/>
  <c r="X64" i="153"/>
  <c r="V64" i="153"/>
  <c r="Z64" i="148"/>
  <c r="X64" i="148"/>
  <c r="V64" i="148"/>
  <c r="Z64" i="152"/>
  <c r="X64" i="152"/>
  <c r="V64" i="152"/>
  <c r="Z64" i="115"/>
  <c r="X64" i="115"/>
  <c r="V64" i="115"/>
  <c r="Z23" i="116"/>
  <c r="X23" i="116"/>
  <c r="V23" i="116"/>
  <c r="Z23" i="129"/>
  <c r="X23" i="129"/>
  <c r="V23" i="129"/>
  <c r="Z23" i="131"/>
  <c r="X23" i="131"/>
  <c r="V23" i="131"/>
  <c r="Z23" i="118"/>
  <c r="X23" i="118"/>
  <c r="V23" i="118"/>
  <c r="Z23" i="127"/>
  <c r="X23" i="127"/>
  <c r="V23" i="127"/>
  <c r="Z23" i="114"/>
  <c r="X23" i="114"/>
  <c r="V23" i="114"/>
  <c r="Z23" i="149"/>
  <c r="X23" i="149"/>
  <c r="V23" i="149"/>
  <c r="Z23" i="151"/>
  <c r="X23" i="151"/>
  <c r="V23" i="151"/>
  <c r="Z23" i="145"/>
  <c r="X23" i="145"/>
  <c r="V23" i="145"/>
  <c r="Z23" i="148"/>
  <c r="X23" i="148"/>
  <c r="V23" i="148"/>
  <c r="X23" i="144"/>
  <c r="V23" i="144"/>
  <c r="Z23" i="144"/>
  <c r="AA29" i="113"/>
  <c r="AB29" i="113" s="1"/>
  <c r="AA28" i="80"/>
  <c r="Y28" i="80"/>
  <c r="W28" i="80"/>
  <c r="Z29" i="128"/>
  <c r="X29" i="128"/>
  <c r="V29" i="128"/>
  <c r="Z29" i="120"/>
  <c r="X29" i="120"/>
  <c r="V29" i="120"/>
  <c r="Z29" i="119"/>
  <c r="X29" i="119"/>
  <c r="V29" i="119"/>
  <c r="Z29" i="129"/>
  <c r="X29" i="129"/>
  <c r="V29" i="129"/>
  <c r="Z29" i="118"/>
  <c r="X29" i="118"/>
  <c r="V29" i="118"/>
  <c r="Z29" i="116"/>
  <c r="X29" i="116"/>
  <c r="V29" i="116"/>
  <c r="Z29" i="144"/>
  <c r="X29" i="144"/>
  <c r="V29" i="144"/>
  <c r="Z29" i="147"/>
  <c r="X29" i="147"/>
  <c r="V29" i="147"/>
  <c r="Z29" i="153"/>
  <c r="X29" i="153"/>
  <c r="V29" i="153"/>
  <c r="Z29" i="146"/>
  <c r="X29" i="146"/>
  <c r="V29" i="146"/>
  <c r="Z29" i="151"/>
  <c r="X29" i="151"/>
  <c r="V29" i="151"/>
  <c r="Z29" i="115"/>
  <c r="X29" i="115"/>
  <c r="V29" i="115"/>
  <c r="Z46" i="127"/>
  <c r="X46" i="127"/>
  <c r="V46" i="127"/>
  <c r="Z46" i="131"/>
  <c r="X46" i="131"/>
  <c r="V46" i="131"/>
  <c r="Z46" i="118"/>
  <c r="X46" i="118"/>
  <c r="V46" i="118"/>
  <c r="Z46" i="117"/>
  <c r="X46" i="117"/>
  <c r="V46" i="117"/>
  <c r="Z46" i="119"/>
  <c r="X46" i="119"/>
  <c r="V46" i="119"/>
  <c r="AA45" i="80"/>
  <c r="Y45" i="80"/>
  <c r="W45" i="80"/>
  <c r="Z46" i="114"/>
  <c r="X46" i="114"/>
  <c r="V46" i="114"/>
  <c r="Z46" i="146"/>
  <c r="X46" i="146"/>
  <c r="V46" i="146"/>
  <c r="Z46" i="151"/>
  <c r="X46" i="151"/>
  <c r="V46" i="151"/>
  <c r="Z46" i="145"/>
  <c r="X46" i="145"/>
  <c r="V46" i="145"/>
  <c r="Z46" i="149"/>
  <c r="X46" i="149"/>
  <c r="V46" i="149"/>
  <c r="AA31" i="113"/>
  <c r="AB31" i="113" s="1"/>
  <c r="Z31" i="119"/>
  <c r="X31" i="119"/>
  <c r="V31" i="119"/>
  <c r="Z31" i="118"/>
  <c r="X31" i="118"/>
  <c r="V31" i="118"/>
  <c r="Z31" i="127"/>
  <c r="X31" i="127"/>
  <c r="V31" i="127"/>
  <c r="Z31" i="131"/>
  <c r="X31" i="131"/>
  <c r="V31" i="131"/>
  <c r="Z31" i="125"/>
  <c r="X31" i="125"/>
  <c r="V31" i="125"/>
  <c r="AA30" i="80"/>
  <c r="Y30" i="80"/>
  <c r="W30" i="80"/>
  <c r="Z31" i="120"/>
  <c r="X31" i="120"/>
  <c r="V31" i="120"/>
  <c r="Z31" i="147"/>
  <c r="X31" i="147"/>
  <c r="V31" i="147"/>
  <c r="Z31" i="153"/>
  <c r="X31" i="153"/>
  <c r="V31" i="153"/>
  <c r="Z31" i="144"/>
  <c r="X31" i="144"/>
  <c r="V31" i="144"/>
  <c r="Z31" i="146"/>
  <c r="X31" i="146"/>
  <c r="V31" i="146"/>
  <c r="Z31" i="151"/>
  <c r="X31" i="151"/>
  <c r="V31" i="151"/>
  <c r="Z31" i="115"/>
  <c r="X31" i="115"/>
  <c r="V31" i="115"/>
  <c r="Z56" i="118"/>
  <c r="X56" i="118"/>
  <c r="V56" i="118"/>
  <c r="Z56" i="129"/>
  <c r="X56" i="129"/>
  <c r="V56" i="129"/>
  <c r="AA55" i="80"/>
  <c r="Y55" i="80"/>
  <c r="W55" i="80"/>
  <c r="Z56" i="117"/>
  <c r="X56" i="117"/>
  <c r="V56" i="117"/>
  <c r="Z56" i="120"/>
  <c r="X56" i="120"/>
  <c r="V56" i="120"/>
  <c r="AA55" i="76"/>
  <c r="Y55" i="76"/>
  <c r="W55" i="76"/>
  <c r="Z56" i="114"/>
  <c r="X56" i="114"/>
  <c r="V56" i="114"/>
  <c r="Z56" i="148"/>
  <c r="X56" i="148"/>
  <c r="V56" i="148"/>
  <c r="Z56" i="151"/>
  <c r="X56" i="151"/>
  <c r="V56" i="151"/>
  <c r="Z56" i="145"/>
  <c r="X56" i="145"/>
  <c r="V56" i="145"/>
  <c r="Z56" i="147"/>
  <c r="X56" i="147"/>
  <c r="V56" i="147"/>
  <c r="AA50" i="113"/>
  <c r="AB50" i="113" s="1"/>
  <c r="Z50" i="116"/>
  <c r="X50" i="116"/>
  <c r="V50" i="116"/>
  <c r="Z50" i="120"/>
  <c r="X50" i="120"/>
  <c r="V50" i="120"/>
  <c r="Z50" i="125"/>
  <c r="X50" i="125"/>
  <c r="V50" i="125"/>
  <c r="Z50" i="129"/>
  <c r="X50" i="129"/>
  <c r="V50" i="129"/>
  <c r="Z50" i="119"/>
  <c r="X50" i="119"/>
  <c r="V50" i="119"/>
  <c r="AA49" i="80"/>
  <c r="Y49" i="80"/>
  <c r="W49" i="80"/>
  <c r="Z50" i="114"/>
  <c r="X50" i="114"/>
  <c r="V50" i="114"/>
  <c r="Z50" i="144"/>
  <c r="X50" i="144"/>
  <c r="V50" i="144"/>
  <c r="Z50" i="146"/>
  <c r="X50" i="146"/>
  <c r="V50" i="146"/>
  <c r="Z50" i="153"/>
  <c r="X50" i="153"/>
  <c r="V50" i="153"/>
  <c r="Z50" i="149"/>
  <c r="X50" i="149"/>
  <c r="V50" i="149"/>
  <c r="Z50" i="152"/>
  <c r="X50" i="152"/>
  <c r="V50" i="152"/>
  <c r="Z50" i="115"/>
  <c r="X50" i="115"/>
  <c r="V50" i="115"/>
  <c r="Z73" i="126"/>
  <c r="X73" i="126"/>
  <c r="V73" i="126"/>
  <c r="Z73" i="120"/>
  <c r="X73" i="120"/>
  <c r="V73" i="120"/>
  <c r="Z73" i="119"/>
  <c r="X73" i="119"/>
  <c r="V73" i="119"/>
  <c r="Z73" i="128"/>
  <c r="X73" i="128"/>
  <c r="V73" i="128"/>
  <c r="AA72" i="80"/>
  <c r="Y72" i="80"/>
  <c r="W72" i="80"/>
  <c r="Z73" i="116"/>
  <c r="X73" i="116"/>
  <c r="V73" i="116"/>
  <c r="Z73" i="144"/>
  <c r="X73" i="144"/>
  <c r="V73" i="144"/>
  <c r="Z73" i="147"/>
  <c r="X73" i="147"/>
  <c r="V73" i="147"/>
  <c r="Z73" i="153"/>
  <c r="X73" i="153"/>
  <c r="V73" i="153"/>
  <c r="Z73" i="146"/>
  <c r="X73" i="146"/>
  <c r="V73" i="146"/>
  <c r="Z73" i="152"/>
  <c r="X73" i="152"/>
  <c r="V73" i="152"/>
  <c r="AA22" i="113"/>
  <c r="AB22" i="113" s="1"/>
  <c r="Z22" i="120"/>
  <c r="X22" i="120"/>
  <c r="V22" i="120"/>
  <c r="Z22" i="125"/>
  <c r="X22" i="125"/>
  <c r="V22" i="125"/>
  <c r="Z22" i="129"/>
  <c r="X22" i="129"/>
  <c r="V22" i="129"/>
  <c r="Z22" i="118"/>
  <c r="X22" i="118"/>
  <c r="V22" i="118"/>
  <c r="Z22" i="126"/>
  <c r="X22" i="126"/>
  <c r="V22" i="126"/>
  <c r="Z22" i="128"/>
  <c r="X22" i="128"/>
  <c r="V22" i="128"/>
  <c r="AA21" i="76"/>
  <c r="Y21" i="76"/>
  <c r="W21" i="76"/>
  <c r="Z22" i="114"/>
  <c r="X22" i="114"/>
  <c r="V22" i="114"/>
  <c r="Z22" i="146"/>
  <c r="X22" i="146"/>
  <c r="V22" i="146"/>
  <c r="Z22" i="152"/>
  <c r="X22" i="152"/>
  <c r="V22" i="152"/>
  <c r="Z22" i="147"/>
  <c r="X22" i="147"/>
  <c r="V22" i="147"/>
  <c r="Z22" i="153"/>
  <c r="X22" i="153"/>
  <c r="V22" i="153"/>
  <c r="Z22" i="115"/>
  <c r="X22" i="115"/>
  <c r="V22" i="115"/>
  <c r="Z53" i="120"/>
  <c r="X53" i="120"/>
  <c r="V53" i="120"/>
  <c r="Z53" i="131"/>
  <c r="X53" i="131"/>
  <c r="V53" i="131"/>
  <c r="Z53" i="119"/>
  <c r="X53" i="119"/>
  <c r="V53" i="119"/>
  <c r="Z53" i="126"/>
  <c r="X53" i="126"/>
  <c r="V53" i="126"/>
  <c r="Z53" i="116"/>
  <c r="X53" i="116"/>
  <c r="V53" i="116"/>
  <c r="Z53" i="118"/>
  <c r="X53" i="118"/>
  <c r="V53" i="118"/>
  <c r="Z53" i="114"/>
  <c r="X53" i="114"/>
  <c r="V53" i="114"/>
  <c r="Z53" i="149"/>
  <c r="X53" i="149"/>
  <c r="V53" i="149"/>
  <c r="Z53" i="151"/>
  <c r="X53" i="151"/>
  <c r="V53" i="151"/>
  <c r="Z53" i="145"/>
  <c r="X53" i="145"/>
  <c r="V53" i="145"/>
  <c r="Z53" i="148"/>
  <c r="V53" i="148"/>
  <c r="X53" i="148"/>
  <c r="AA53" i="148" s="1"/>
  <c r="AB45" i="113"/>
  <c r="Z45" i="125"/>
  <c r="X45" i="125"/>
  <c r="V45" i="125"/>
  <c r="Z45" i="131"/>
  <c r="X45" i="131"/>
  <c r="V45" i="131"/>
  <c r="Z45" i="126"/>
  <c r="X45" i="126"/>
  <c r="V45" i="126"/>
  <c r="Z45" i="120"/>
  <c r="X45" i="120"/>
  <c r="V45" i="120"/>
  <c r="Z45" i="119"/>
  <c r="X45" i="119"/>
  <c r="V45" i="119"/>
  <c r="Z45" i="116"/>
  <c r="X45" i="116"/>
  <c r="V45" i="116"/>
  <c r="Z45" i="118"/>
  <c r="X45" i="118"/>
  <c r="V45" i="118"/>
  <c r="Z45" i="144"/>
  <c r="X45" i="144"/>
  <c r="V45" i="144"/>
  <c r="Z45" i="148"/>
  <c r="V45" i="148"/>
  <c r="X45" i="148"/>
  <c r="AA45" i="148" s="1"/>
  <c r="Z45" i="153"/>
  <c r="X45" i="153"/>
  <c r="V45" i="153"/>
  <c r="Z45" i="147"/>
  <c r="X45" i="147"/>
  <c r="V45" i="147"/>
  <c r="Z45" i="152"/>
  <c r="X45" i="152"/>
  <c r="V45" i="152"/>
  <c r="Z45" i="115"/>
  <c r="X45" i="115"/>
  <c r="V45" i="115"/>
  <c r="Z37" i="128"/>
  <c r="X37" i="128"/>
  <c r="V37" i="128"/>
  <c r="AA36" i="80"/>
  <c r="Y36" i="80"/>
  <c r="W36" i="80"/>
  <c r="Z37" i="129"/>
  <c r="X37" i="129"/>
  <c r="V37" i="129"/>
  <c r="Z37" i="127"/>
  <c r="X37" i="127"/>
  <c r="V37" i="127"/>
  <c r="AA36" i="76"/>
  <c r="Y36" i="76"/>
  <c r="W36" i="76"/>
  <c r="Z37" i="116"/>
  <c r="X37" i="116"/>
  <c r="V37" i="116"/>
  <c r="Z37" i="125"/>
  <c r="X37" i="125"/>
  <c r="V37" i="125"/>
  <c r="Z37" i="145"/>
  <c r="X37" i="145"/>
  <c r="V37" i="145"/>
  <c r="Z37" i="152"/>
  <c r="X37" i="152"/>
  <c r="V37" i="152"/>
  <c r="Z37" i="149"/>
  <c r="X37" i="149"/>
  <c r="V37" i="149"/>
  <c r="Z37" i="148"/>
  <c r="X37" i="148"/>
  <c r="V37" i="148"/>
  <c r="AB17" i="113"/>
  <c r="Z17" i="117"/>
  <c r="X17" i="117"/>
  <c r="V17" i="117"/>
  <c r="AA16" i="80"/>
  <c r="Y16" i="80"/>
  <c r="W16" i="80"/>
  <c r="Z17" i="129"/>
  <c r="X17" i="129"/>
  <c r="V17" i="129"/>
  <c r="Z17" i="116"/>
  <c r="X17" i="116"/>
  <c r="V17" i="116"/>
  <c r="Z17" i="127"/>
  <c r="X17" i="127"/>
  <c r="V17" i="127"/>
  <c r="Z17" i="131"/>
  <c r="X17" i="131"/>
  <c r="V17" i="131"/>
  <c r="AA16" i="76"/>
  <c r="Y16" i="76"/>
  <c r="W16" i="76"/>
  <c r="Z17" i="144"/>
  <c r="V17" i="144"/>
  <c r="X17" i="144"/>
  <c r="AA17" i="144" s="1"/>
  <c r="Z17" i="146"/>
  <c r="X17" i="146"/>
  <c r="V17" i="146"/>
  <c r="Z17" i="153"/>
  <c r="X17" i="153"/>
  <c r="V17" i="153"/>
  <c r="Z17" i="149"/>
  <c r="X17" i="149"/>
  <c r="V17" i="149"/>
  <c r="Z17" i="152"/>
  <c r="X17" i="152"/>
  <c r="V17" i="152"/>
  <c r="Z17" i="115"/>
  <c r="X17" i="115"/>
  <c r="V17" i="115"/>
  <c r="Z32" i="126"/>
  <c r="X32" i="126"/>
  <c r="V32" i="126"/>
  <c r="Z32" i="128"/>
  <c r="X32" i="128"/>
  <c r="V32" i="128"/>
  <c r="Z32" i="116"/>
  <c r="X32" i="116"/>
  <c r="V32" i="116"/>
  <c r="Z32" i="125"/>
  <c r="X32" i="125"/>
  <c r="V32" i="125"/>
  <c r="Z32" i="127"/>
  <c r="X32" i="127"/>
  <c r="V32" i="127"/>
  <c r="Z32" i="131"/>
  <c r="X32" i="131"/>
  <c r="V32" i="131"/>
  <c r="Z32" i="119"/>
  <c r="X32" i="119"/>
  <c r="V32" i="119"/>
  <c r="Z32" i="149"/>
  <c r="X32" i="149"/>
  <c r="V32" i="149"/>
  <c r="Z32" i="148"/>
  <c r="X32" i="148"/>
  <c r="V32" i="148"/>
  <c r="Z32" i="145"/>
  <c r="X32" i="145"/>
  <c r="V32" i="145"/>
  <c r="Z32" i="152"/>
  <c r="X32" i="152"/>
  <c r="V32" i="152"/>
  <c r="AJ7" i="46"/>
  <c r="AH14" i="46"/>
  <c r="AH15" i="46" s="1"/>
  <c r="AD14" i="46"/>
  <c r="AD15" i="46" s="1"/>
  <c r="AC39" i="113"/>
  <c r="AK36" i="72" s="1"/>
  <c r="G36" i="100"/>
  <c r="AD39" i="113"/>
  <c r="AF39" i="113" s="1"/>
  <c r="Z39" i="126"/>
  <c r="X39" i="126"/>
  <c r="V39" i="126"/>
  <c r="Z39" i="125"/>
  <c r="X39" i="125"/>
  <c r="V39" i="125"/>
  <c r="Z39" i="128"/>
  <c r="X39" i="128"/>
  <c r="V39" i="128"/>
  <c r="Z39" i="119"/>
  <c r="X39" i="119"/>
  <c r="V39" i="119"/>
  <c r="Z39" i="127"/>
  <c r="X39" i="127"/>
  <c r="V39" i="127"/>
  <c r="Z39" i="114"/>
  <c r="X39" i="114"/>
  <c r="V39" i="114"/>
  <c r="Z39" i="118"/>
  <c r="X39" i="118"/>
  <c r="V39" i="118"/>
  <c r="Z39" i="147"/>
  <c r="X39" i="147"/>
  <c r="V39" i="147"/>
  <c r="Z39" i="153"/>
  <c r="X39" i="153"/>
  <c r="V39" i="153"/>
  <c r="Z39" i="144"/>
  <c r="X39" i="144"/>
  <c r="V39" i="144"/>
  <c r="Z39" i="146"/>
  <c r="X39" i="146"/>
  <c r="V39" i="146"/>
  <c r="Z39" i="151"/>
  <c r="X39" i="151"/>
  <c r="V39" i="151"/>
  <c r="Z39" i="115"/>
  <c r="X39" i="115"/>
  <c r="V39" i="115"/>
  <c r="Z24" i="118"/>
  <c r="X24" i="118"/>
  <c r="V24" i="118"/>
  <c r="Z24" i="129"/>
  <c r="X24" i="129"/>
  <c r="V24" i="129"/>
  <c r="AA23" i="80"/>
  <c r="Y23" i="80"/>
  <c r="W23" i="80"/>
  <c r="Z24" i="125"/>
  <c r="X24" i="125"/>
  <c r="V24" i="125"/>
  <c r="Z24" i="127"/>
  <c r="X24" i="127"/>
  <c r="V24" i="127"/>
  <c r="Z24" i="131"/>
  <c r="X24" i="131"/>
  <c r="V24" i="131"/>
  <c r="Z24" i="116"/>
  <c r="X24" i="116"/>
  <c r="V24" i="116"/>
  <c r="Z24" i="145"/>
  <c r="X24" i="145"/>
  <c r="V24" i="145"/>
  <c r="Z24" i="148"/>
  <c r="X24" i="148"/>
  <c r="V24" i="148"/>
  <c r="Z24" i="149"/>
  <c r="X24" i="149"/>
  <c r="V24" i="149"/>
  <c r="Z24" i="151"/>
  <c r="X24" i="151"/>
  <c r="V24" i="151"/>
  <c r="G59" i="100"/>
  <c r="AC62" i="113"/>
  <c r="AK59" i="72" s="1"/>
  <c r="Z62" i="118"/>
  <c r="X62" i="118"/>
  <c r="V62" i="118"/>
  <c r="Z62" i="127"/>
  <c r="X62" i="127"/>
  <c r="V62" i="127"/>
  <c r="Z62" i="131"/>
  <c r="X62" i="131"/>
  <c r="V62" i="131"/>
  <c r="Z62" i="116"/>
  <c r="X62" i="116"/>
  <c r="V62" i="116"/>
  <c r="Z62" i="126"/>
  <c r="X62" i="126"/>
  <c r="V62" i="126"/>
  <c r="Z62" i="128"/>
  <c r="X62" i="128"/>
  <c r="V62" i="128"/>
  <c r="AA61" i="76"/>
  <c r="Y61" i="76"/>
  <c r="W61" i="76"/>
  <c r="Z62" i="144"/>
  <c r="X62" i="144"/>
  <c r="V62" i="144"/>
  <c r="Z62" i="148"/>
  <c r="X62" i="148"/>
  <c r="V62" i="148"/>
  <c r="Z62" i="153"/>
  <c r="X62" i="153"/>
  <c r="V62" i="153"/>
  <c r="Z62" i="147"/>
  <c r="X62" i="147"/>
  <c r="V62" i="147"/>
  <c r="Z62" i="152"/>
  <c r="X62" i="152"/>
  <c r="V62" i="152"/>
  <c r="Z62" i="115"/>
  <c r="X62" i="115"/>
  <c r="V62" i="115"/>
  <c r="Z34" i="117"/>
  <c r="X34" i="117"/>
  <c r="V34" i="117"/>
  <c r="Z34" i="127"/>
  <c r="X34" i="127"/>
  <c r="V34" i="127"/>
  <c r="Z34" i="131"/>
  <c r="X34" i="131"/>
  <c r="V34" i="131"/>
  <c r="Z34" i="126"/>
  <c r="X34" i="126"/>
  <c r="V34" i="126"/>
  <c r="Z34" i="128"/>
  <c r="X34" i="128"/>
  <c r="V34" i="128"/>
  <c r="AA33" i="76"/>
  <c r="Y33" i="76"/>
  <c r="W33" i="76"/>
  <c r="Z34" i="118"/>
  <c r="X34" i="118"/>
  <c r="V34" i="118"/>
  <c r="Z34" i="146"/>
  <c r="X34" i="146"/>
  <c r="V34" i="146"/>
  <c r="Z34" i="153"/>
  <c r="X34" i="153"/>
  <c r="V34" i="153"/>
  <c r="Z34" i="145"/>
  <c r="X34" i="145"/>
  <c r="V34" i="145"/>
  <c r="Z34" i="151"/>
  <c r="X34" i="151"/>
  <c r="V34" i="151"/>
  <c r="U57" i="115"/>
  <c r="Z57" i="113"/>
  <c r="U57" i="152"/>
  <c r="U57" i="147"/>
  <c r="U57" i="149"/>
  <c r="U57" i="145"/>
  <c r="U57" i="153"/>
  <c r="U57" i="151"/>
  <c r="U57" i="146"/>
  <c r="U57" i="148"/>
  <c r="U57" i="144"/>
  <c r="U57" i="116"/>
  <c r="U57" i="119"/>
  <c r="U57" i="114"/>
  <c r="U57" i="125"/>
  <c r="V56" i="76"/>
  <c r="V56" i="80"/>
  <c r="U57" i="118"/>
  <c r="U57" i="126"/>
  <c r="U57" i="127"/>
  <c r="U57" i="129"/>
  <c r="U57" i="120"/>
  <c r="U57" i="128"/>
  <c r="U57" i="131"/>
  <c r="U57" i="117"/>
  <c r="V57" i="113"/>
  <c r="X57" i="113"/>
  <c r="AC55" i="113"/>
  <c r="AK52" i="72" s="1"/>
  <c r="G52" i="100"/>
  <c r="AD55" i="113"/>
  <c r="AF55" i="113" s="1"/>
  <c r="Z55" i="116"/>
  <c r="X55" i="116"/>
  <c r="V55" i="116"/>
  <c r="Z55" i="127"/>
  <c r="X55" i="127"/>
  <c r="V55" i="127"/>
  <c r="Z55" i="114"/>
  <c r="X55" i="114"/>
  <c r="V55" i="114"/>
  <c r="Z55" i="125"/>
  <c r="X55" i="125"/>
  <c r="V55" i="125"/>
  <c r="Z55" i="128"/>
  <c r="X55" i="128"/>
  <c r="V55" i="128"/>
  <c r="Z55" i="120"/>
  <c r="X55" i="120"/>
  <c r="V55" i="120"/>
  <c r="Z55" i="126"/>
  <c r="X55" i="126"/>
  <c r="V55" i="126"/>
  <c r="Z55" i="149"/>
  <c r="X55" i="149"/>
  <c r="V55" i="149"/>
  <c r="Z55" i="151"/>
  <c r="X55" i="151"/>
  <c r="V55" i="151"/>
  <c r="Z55" i="144"/>
  <c r="X55" i="144"/>
  <c r="V55" i="144"/>
  <c r="Z55" i="146"/>
  <c r="X55" i="146"/>
  <c r="V55" i="146"/>
  <c r="Z55" i="152"/>
  <c r="X55" i="152"/>
  <c r="V55" i="152"/>
  <c r="Z55" i="115"/>
  <c r="X55" i="115"/>
  <c r="V55" i="115"/>
  <c r="Z52" i="125"/>
  <c r="X52" i="125"/>
  <c r="V52" i="125"/>
  <c r="Z52" i="127"/>
  <c r="X52" i="127"/>
  <c r="V52" i="127"/>
  <c r="Z52" i="131"/>
  <c r="X52" i="131"/>
  <c r="V52" i="131"/>
  <c r="Z52" i="118"/>
  <c r="X52" i="118"/>
  <c r="V52" i="118"/>
  <c r="Z52" i="129"/>
  <c r="X52" i="129"/>
  <c r="V52" i="129"/>
  <c r="AA51" i="80"/>
  <c r="Y51" i="80"/>
  <c r="W51" i="80"/>
  <c r="Z52" i="144"/>
  <c r="X52" i="144"/>
  <c r="V52" i="144"/>
  <c r="Z52" i="149"/>
  <c r="X52" i="149"/>
  <c r="V52" i="149"/>
  <c r="Z52" i="151"/>
  <c r="X52" i="151"/>
  <c r="V52" i="151"/>
  <c r="Z52" i="146"/>
  <c r="X52" i="146"/>
  <c r="V52" i="146"/>
  <c r="Z52" i="152"/>
  <c r="X52" i="152"/>
  <c r="V52" i="152"/>
  <c r="U44" i="115"/>
  <c r="Z44" i="113"/>
  <c r="U44" i="152"/>
  <c r="U44" i="149"/>
  <c r="U44" i="147"/>
  <c r="U44" i="145"/>
  <c r="U44" i="153"/>
  <c r="U44" i="151"/>
  <c r="U44" i="148"/>
  <c r="U44" i="146"/>
  <c r="U44" i="144"/>
  <c r="U44" i="116"/>
  <c r="U44" i="119"/>
  <c r="V43" i="80"/>
  <c r="U44" i="128"/>
  <c r="U44" i="129"/>
  <c r="U44" i="126"/>
  <c r="U44" i="118"/>
  <c r="U44" i="114"/>
  <c r="U44" i="131"/>
  <c r="V43" i="76"/>
  <c r="U44" i="127"/>
  <c r="U44" i="120"/>
  <c r="U44" i="125"/>
  <c r="U44" i="117"/>
  <c r="V44" i="113"/>
  <c r="X44" i="113"/>
  <c r="G63" i="100"/>
  <c r="AC66" i="113"/>
  <c r="AK63" i="72" s="1"/>
  <c r="Z66" i="116"/>
  <c r="X66" i="116"/>
  <c r="V66" i="116"/>
  <c r="Z66" i="120"/>
  <c r="X66" i="120"/>
  <c r="V66" i="120"/>
  <c r="Z66" i="125"/>
  <c r="X66" i="125"/>
  <c r="V66" i="125"/>
  <c r="Z66" i="129"/>
  <c r="X66" i="129"/>
  <c r="V66" i="129"/>
  <c r="Z66" i="119"/>
  <c r="X66" i="119"/>
  <c r="V66" i="119"/>
  <c r="AA65" i="80"/>
  <c r="Y65" i="80"/>
  <c r="W65" i="80"/>
  <c r="Z66" i="114"/>
  <c r="X66" i="114"/>
  <c r="V66" i="114"/>
  <c r="Z66" i="144"/>
  <c r="X66" i="144"/>
  <c r="V66" i="144"/>
  <c r="Z66" i="146"/>
  <c r="X66" i="146"/>
  <c r="V66" i="146"/>
  <c r="Z66" i="153"/>
  <c r="X66" i="153"/>
  <c r="V66" i="153"/>
  <c r="Z66" i="148"/>
  <c r="X66" i="148"/>
  <c r="V66" i="148"/>
  <c r="Z66" i="152"/>
  <c r="X66" i="152"/>
  <c r="V66" i="152"/>
  <c r="Z66" i="115"/>
  <c r="X66" i="115"/>
  <c r="V66" i="115"/>
  <c r="Z61" i="131"/>
  <c r="X61" i="131"/>
  <c r="V61" i="131"/>
  <c r="Z61" i="126"/>
  <c r="X61" i="126"/>
  <c r="V61" i="126"/>
  <c r="Z61" i="125"/>
  <c r="X61" i="125"/>
  <c r="V61" i="125"/>
  <c r="Z61" i="127"/>
  <c r="X61" i="127"/>
  <c r="V61" i="127"/>
  <c r="AA60" i="76"/>
  <c r="Y60" i="76"/>
  <c r="W60" i="76"/>
  <c r="Z61" i="114"/>
  <c r="X61" i="114"/>
  <c r="V61" i="114"/>
  <c r="Z61" i="116"/>
  <c r="X61" i="116"/>
  <c r="V61" i="116"/>
  <c r="Z61" i="145"/>
  <c r="V61" i="145"/>
  <c r="X61" i="145"/>
  <c r="AA61" i="145" s="1"/>
  <c r="Z61" i="151"/>
  <c r="X61" i="151"/>
  <c r="V61" i="151"/>
  <c r="Z61" i="149"/>
  <c r="X61" i="149"/>
  <c r="V61" i="149"/>
  <c r="Z61" i="148"/>
  <c r="X61" i="148"/>
  <c r="V61" i="148"/>
  <c r="AC21" i="113"/>
  <c r="AK18" i="72" s="1"/>
  <c r="G18" i="100"/>
  <c r="AD21" i="113"/>
  <c r="AF21" i="113" s="1"/>
  <c r="Z21" i="128"/>
  <c r="X21" i="128"/>
  <c r="V21" i="128"/>
  <c r="AA20" i="80"/>
  <c r="Y20" i="80"/>
  <c r="W20" i="80"/>
  <c r="Z21" i="129"/>
  <c r="X21" i="129"/>
  <c r="V21" i="129"/>
  <c r="Z21" i="119"/>
  <c r="X21" i="119"/>
  <c r="V21" i="119"/>
  <c r="Z21" i="126"/>
  <c r="X21" i="126"/>
  <c r="V21" i="126"/>
  <c r="Z21" i="118"/>
  <c r="X21" i="118"/>
  <c r="V21" i="118"/>
  <c r="Z21" i="114"/>
  <c r="X21" i="114"/>
  <c r="V21" i="114"/>
  <c r="Z21" i="144"/>
  <c r="V21" i="144"/>
  <c r="X21" i="144"/>
  <c r="AA21" i="144" s="1"/>
  <c r="Z21" i="147"/>
  <c r="X21" i="147"/>
  <c r="V21" i="147"/>
  <c r="Z21" i="153"/>
  <c r="X21" i="153"/>
  <c r="V21" i="153"/>
  <c r="Z21" i="146"/>
  <c r="X21" i="146"/>
  <c r="V21" i="146"/>
  <c r="Z21" i="152"/>
  <c r="X21" i="152"/>
  <c r="V21" i="152"/>
  <c r="Z21" i="115"/>
  <c r="X21" i="115"/>
  <c r="V21" i="115"/>
  <c r="Z18" i="117"/>
  <c r="X18" i="117"/>
  <c r="V18" i="117"/>
  <c r="Z18" i="127"/>
  <c r="X18" i="127"/>
  <c r="V18" i="127"/>
  <c r="Z18" i="131"/>
  <c r="X18" i="131"/>
  <c r="V18" i="131"/>
  <c r="Z18" i="126"/>
  <c r="X18" i="126"/>
  <c r="V18" i="126"/>
  <c r="Z18" i="128"/>
  <c r="X18" i="128"/>
  <c r="V18" i="128"/>
  <c r="AA17" i="76"/>
  <c r="Y17" i="76"/>
  <c r="W17" i="76"/>
  <c r="Z18" i="144"/>
  <c r="V18" i="144"/>
  <c r="X18" i="144"/>
  <c r="AA18" i="144" s="1"/>
  <c r="Z18" i="145"/>
  <c r="X18" i="145"/>
  <c r="V18" i="145"/>
  <c r="Z18" i="148"/>
  <c r="X18" i="148"/>
  <c r="V18" i="148"/>
  <c r="Z18" i="149"/>
  <c r="X18" i="149"/>
  <c r="V18" i="149"/>
  <c r="Z18" i="151"/>
  <c r="X18" i="151"/>
  <c r="V18" i="151"/>
  <c r="AC68" i="113"/>
  <c r="AK65" i="72" s="1"/>
  <c r="G65" i="100"/>
  <c r="AD68" i="113"/>
  <c r="AF68" i="113" s="1"/>
  <c r="Z68" i="117"/>
  <c r="X68" i="117"/>
  <c r="V68" i="117"/>
  <c r="Z68" i="120"/>
  <c r="X68" i="120"/>
  <c r="V68" i="120"/>
  <c r="AA67" i="76"/>
  <c r="Y67" i="76"/>
  <c r="W67" i="76"/>
  <c r="Z68" i="114"/>
  <c r="X68" i="114"/>
  <c r="V68" i="114"/>
  <c r="Z68" i="126"/>
  <c r="X68" i="126"/>
  <c r="V68" i="126"/>
  <c r="Z68" i="128"/>
  <c r="X68" i="128"/>
  <c r="V68" i="128"/>
  <c r="Z68" i="119"/>
  <c r="X68" i="119"/>
  <c r="V68" i="119"/>
  <c r="Z68" i="144"/>
  <c r="X68" i="144"/>
  <c r="V68" i="144"/>
  <c r="Z68" i="148"/>
  <c r="V68" i="148"/>
  <c r="X68" i="148"/>
  <c r="AA68" i="148" s="1"/>
  <c r="Z68" i="153"/>
  <c r="X68" i="153"/>
  <c r="V68" i="153"/>
  <c r="Z68" i="146"/>
  <c r="X68" i="146"/>
  <c r="V68" i="146"/>
  <c r="Z68" i="152"/>
  <c r="X68" i="152"/>
  <c r="V68" i="152"/>
  <c r="Z68" i="115"/>
  <c r="X68" i="115"/>
  <c r="V68" i="115"/>
  <c r="Z60" i="125"/>
  <c r="X60" i="125"/>
  <c r="V60" i="125"/>
  <c r="Z60" i="127"/>
  <c r="X60" i="127"/>
  <c r="V60" i="127"/>
  <c r="Z60" i="131"/>
  <c r="X60" i="131"/>
  <c r="V60" i="131"/>
  <c r="Z60" i="118"/>
  <c r="X60" i="118"/>
  <c r="V60" i="118"/>
  <c r="Z60" i="129"/>
  <c r="X60" i="129"/>
  <c r="V60" i="129"/>
  <c r="AA59" i="80"/>
  <c r="Y59" i="80"/>
  <c r="W59" i="80"/>
  <c r="Z60" i="144"/>
  <c r="X60" i="144"/>
  <c r="V60" i="144"/>
  <c r="Z60" i="149"/>
  <c r="X60" i="149"/>
  <c r="V60" i="149"/>
  <c r="Z60" i="151"/>
  <c r="X60" i="151"/>
  <c r="V60" i="151"/>
  <c r="Z60" i="145"/>
  <c r="X60" i="145"/>
  <c r="V60" i="145"/>
  <c r="Z60" i="148"/>
  <c r="X60" i="148"/>
  <c r="V60" i="148"/>
  <c r="AC16" i="113"/>
  <c r="AK13" i="72" s="1"/>
  <c r="G13" i="100"/>
  <c r="AD16" i="113"/>
  <c r="AF16" i="113" s="1"/>
  <c r="Z16" i="128"/>
  <c r="X16" i="128"/>
  <c r="V16" i="128"/>
  <c r="Z16" i="127"/>
  <c r="X16" i="127"/>
  <c r="V16" i="127"/>
  <c r="AA15" i="80"/>
  <c r="Y15" i="80"/>
  <c r="W15" i="80"/>
  <c r="Z16" i="125"/>
  <c r="X16" i="125"/>
  <c r="V16" i="125"/>
  <c r="Z16" i="126"/>
  <c r="X16" i="126"/>
  <c r="V16" i="126"/>
  <c r="Z16" i="131"/>
  <c r="X16" i="131"/>
  <c r="V16" i="131"/>
  <c r="Z16" i="116"/>
  <c r="X16" i="116"/>
  <c r="V16" i="116"/>
  <c r="Z16" i="144"/>
  <c r="V16" i="144"/>
  <c r="X16" i="144"/>
  <c r="AA16" i="144" s="1"/>
  <c r="Z16" i="149"/>
  <c r="X16" i="149"/>
  <c r="V16" i="149"/>
  <c r="Z16" i="152"/>
  <c r="X16" i="152"/>
  <c r="V16" i="152"/>
  <c r="Z16" i="146"/>
  <c r="X16" i="146"/>
  <c r="V16" i="146"/>
  <c r="Z16" i="153"/>
  <c r="X16" i="153"/>
  <c r="V16" i="153"/>
  <c r="Z16" i="115"/>
  <c r="X16" i="115"/>
  <c r="V16" i="115"/>
  <c r="AA48" i="80"/>
  <c r="Y48" i="80"/>
  <c r="W48" i="80"/>
  <c r="Z49" i="129"/>
  <c r="X49" i="129"/>
  <c r="V49" i="129"/>
  <c r="Z49" i="127"/>
  <c r="X49" i="127"/>
  <c r="V49" i="127"/>
  <c r="Z49" i="131"/>
  <c r="X49" i="131"/>
  <c r="V49" i="131"/>
  <c r="AA48" i="76"/>
  <c r="Y48" i="76"/>
  <c r="W48" i="76"/>
  <c r="Z49" i="116"/>
  <c r="X49" i="116"/>
  <c r="V49" i="116"/>
  <c r="Z49" i="125"/>
  <c r="X49" i="125"/>
  <c r="V49" i="125"/>
  <c r="Z49" i="148"/>
  <c r="V49" i="148"/>
  <c r="X49" i="148"/>
  <c r="AA49" i="148" s="1"/>
  <c r="Z49" i="151"/>
  <c r="X49" i="151"/>
  <c r="V49" i="151"/>
  <c r="Z49" i="145"/>
  <c r="X49" i="145"/>
  <c r="V49" i="145"/>
  <c r="Z49" i="147"/>
  <c r="X49" i="147"/>
  <c r="V49" i="147"/>
  <c r="AC74" i="113"/>
  <c r="AK71" i="72" s="1"/>
  <c r="G71" i="100"/>
  <c r="AD74" i="113"/>
  <c r="AF74" i="113" s="1"/>
  <c r="Z74" i="116"/>
  <c r="X74" i="116"/>
  <c r="V74" i="116"/>
  <c r="Z74" i="127"/>
  <c r="X74" i="127"/>
  <c r="V74" i="127"/>
  <c r="Z74" i="128"/>
  <c r="X74" i="128"/>
  <c r="V74" i="128"/>
  <c r="AA73" i="76"/>
  <c r="Y73" i="76"/>
  <c r="W73" i="76"/>
  <c r="Z74" i="117"/>
  <c r="X74" i="117"/>
  <c r="V74" i="117"/>
  <c r="Z74" i="131"/>
  <c r="X74" i="131"/>
  <c r="V74" i="131"/>
  <c r="Z74" i="118"/>
  <c r="X74" i="118"/>
  <c r="V74" i="118"/>
  <c r="Z74" i="146"/>
  <c r="X74" i="146"/>
  <c r="V74" i="146"/>
  <c r="Z74" i="152"/>
  <c r="X74" i="152"/>
  <c r="V74" i="152"/>
  <c r="Z74" i="145"/>
  <c r="X74" i="145"/>
  <c r="V74" i="145"/>
  <c r="Z74" i="151"/>
  <c r="X74" i="151"/>
  <c r="V74" i="151"/>
  <c r="Z74" i="114"/>
  <c r="X74" i="114"/>
  <c r="V74" i="114"/>
  <c r="Z74" i="115"/>
  <c r="X74" i="115"/>
  <c r="V74" i="115"/>
  <c r="Z26" i="117"/>
  <c r="X26" i="117"/>
  <c r="V26" i="117"/>
  <c r="Z26" i="127"/>
  <c r="X26" i="127"/>
  <c r="V26" i="127"/>
  <c r="Z26" i="131"/>
  <c r="X26" i="131"/>
  <c r="V26" i="131"/>
  <c r="Z26" i="126"/>
  <c r="X26" i="126"/>
  <c r="V26" i="126"/>
  <c r="Z26" i="128"/>
  <c r="X26" i="128"/>
  <c r="V26" i="128"/>
  <c r="AA25" i="76"/>
  <c r="Y25" i="76"/>
  <c r="W25" i="76"/>
  <c r="Z26" i="144"/>
  <c r="V26" i="144"/>
  <c r="X26" i="144"/>
  <c r="AA26" i="144" s="1"/>
  <c r="Z26" i="145"/>
  <c r="X26" i="145"/>
  <c r="V26" i="145"/>
  <c r="Z26" i="148"/>
  <c r="X26" i="148"/>
  <c r="V26" i="148"/>
  <c r="Z26" i="149"/>
  <c r="X26" i="149"/>
  <c r="V26" i="149"/>
  <c r="Z26" i="152"/>
  <c r="X26" i="152"/>
  <c r="V26" i="152"/>
  <c r="G10" i="100"/>
  <c r="AC13" i="113"/>
  <c r="AK10" i="72" s="1"/>
  <c r="Z13" i="125"/>
  <c r="X13" i="125"/>
  <c r="V13" i="125"/>
  <c r="Z13" i="128"/>
  <c r="X13" i="128"/>
  <c r="V13" i="128"/>
  <c r="Z13" i="126"/>
  <c r="X13" i="126"/>
  <c r="V13" i="126"/>
  <c r="Z13" i="114"/>
  <c r="X13" i="114"/>
  <c r="V13" i="114"/>
  <c r="Z13" i="120"/>
  <c r="X13" i="120"/>
  <c r="V13" i="120"/>
  <c r="Z13" i="119"/>
  <c r="X13" i="119"/>
  <c r="V13" i="119"/>
  <c r="Z13" i="118"/>
  <c r="X13" i="118"/>
  <c r="V13" i="118"/>
  <c r="Z13" i="144"/>
  <c r="V13" i="144"/>
  <c r="X13" i="144"/>
  <c r="AA13" i="144" s="1"/>
  <c r="Z13" i="147"/>
  <c r="X13" i="147"/>
  <c r="V13" i="147"/>
  <c r="Z13" i="153"/>
  <c r="X13" i="153"/>
  <c r="V13" i="153"/>
  <c r="Z13" i="146"/>
  <c r="X13" i="146"/>
  <c r="V13" i="146"/>
  <c r="Z13" i="152"/>
  <c r="X13" i="152"/>
  <c r="V13" i="152"/>
  <c r="Z13" i="115"/>
  <c r="X13" i="115"/>
  <c r="V13" i="115"/>
  <c r="AA64" i="80"/>
  <c r="Y64" i="80"/>
  <c r="W64" i="80"/>
  <c r="Z65" i="129"/>
  <c r="X65" i="129"/>
  <c r="V65" i="129"/>
  <c r="Z65" i="127"/>
  <c r="X65" i="127"/>
  <c r="V65" i="127"/>
  <c r="Z65" i="131"/>
  <c r="X65" i="131"/>
  <c r="V65" i="131"/>
  <c r="AA64" i="76"/>
  <c r="Y64" i="76"/>
  <c r="W64" i="76"/>
  <c r="Z65" i="125"/>
  <c r="X65" i="125"/>
  <c r="V65" i="125"/>
  <c r="Z65" i="116"/>
  <c r="X65" i="116"/>
  <c r="V65" i="116"/>
  <c r="Z65" i="147"/>
  <c r="X65" i="147"/>
  <c r="V65" i="147"/>
  <c r="Z65" i="151"/>
  <c r="X65" i="151"/>
  <c r="V65" i="151"/>
  <c r="Z65" i="145"/>
  <c r="X65" i="145"/>
  <c r="V65" i="145"/>
  <c r="Z65" i="149"/>
  <c r="X65" i="149"/>
  <c r="V65" i="149"/>
  <c r="L10" i="137"/>
  <c r="M10" i="137" s="1"/>
  <c r="N10" i="137" s="1"/>
  <c r="P10" i="137" s="1"/>
  <c r="S10" i="137" s="1"/>
  <c r="AB30" i="113"/>
  <c r="Z30" i="118"/>
  <c r="X30" i="118"/>
  <c r="V30" i="118"/>
  <c r="Z30" i="127"/>
  <c r="X30" i="127"/>
  <c r="V30" i="127"/>
  <c r="Z30" i="131"/>
  <c r="X30" i="131"/>
  <c r="V30" i="131"/>
  <c r="Z30" i="116"/>
  <c r="X30" i="116"/>
  <c r="V30" i="116"/>
  <c r="Z30" i="126"/>
  <c r="X30" i="126"/>
  <c r="V30" i="126"/>
  <c r="Z30" i="128"/>
  <c r="X30" i="128"/>
  <c r="V30" i="128"/>
  <c r="AA29" i="76"/>
  <c r="Y29" i="76"/>
  <c r="W29" i="76"/>
  <c r="Z30" i="114"/>
  <c r="X30" i="114"/>
  <c r="V30" i="114"/>
  <c r="Z30" i="146"/>
  <c r="X30" i="146"/>
  <c r="V30" i="146"/>
  <c r="Z30" i="151"/>
  <c r="X30" i="151"/>
  <c r="V30" i="151"/>
  <c r="Z30" i="147"/>
  <c r="X30" i="147"/>
  <c r="V30" i="147"/>
  <c r="Z30" i="153"/>
  <c r="X30" i="153"/>
  <c r="V30" i="153"/>
  <c r="Z30" i="115"/>
  <c r="X30" i="115"/>
  <c r="V30" i="115"/>
  <c r="Z27" i="116"/>
  <c r="X27" i="116"/>
  <c r="V27" i="116"/>
  <c r="Z27" i="127"/>
  <c r="X27" i="127"/>
  <c r="V27" i="127"/>
  <c r="Z27" i="131"/>
  <c r="X27" i="131"/>
  <c r="V27" i="131"/>
  <c r="Z27" i="119"/>
  <c r="X27" i="119"/>
  <c r="V27" i="119"/>
  <c r="Z27" i="129"/>
  <c r="X27" i="129"/>
  <c r="V27" i="129"/>
  <c r="Z27" i="114"/>
  <c r="X27" i="114"/>
  <c r="V27" i="114"/>
  <c r="Z27" i="145"/>
  <c r="X27" i="145"/>
  <c r="V27" i="145"/>
  <c r="Z27" i="152"/>
  <c r="X27" i="152"/>
  <c r="V27" i="152"/>
  <c r="Z27" i="126"/>
  <c r="X27" i="126"/>
  <c r="V27" i="126"/>
  <c r="Z27" i="149"/>
  <c r="X27" i="149"/>
  <c r="V27" i="149"/>
  <c r="Z27" i="148"/>
  <c r="X27" i="148"/>
  <c r="V27" i="148"/>
  <c r="AB70" i="113"/>
  <c r="Z70" i="118"/>
  <c r="X70" i="118"/>
  <c r="V70" i="118"/>
  <c r="Z70" i="117"/>
  <c r="X70" i="117"/>
  <c r="V70" i="117"/>
  <c r="Z70" i="131"/>
  <c r="X70" i="131"/>
  <c r="V70" i="131"/>
  <c r="Z70" i="116"/>
  <c r="X70" i="116"/>
  <c r="V70" i="116"/>
  <c r="Z70" i="127"/>
  <c r="X70" i="127"/>
  <c r="V70" i="127"/>
  <c r="Z70" i="128"/>
  <c r="X70" i="128"/>
  <c r="V70" i="128"/>
  <c r="AA69" i="76"/>
  <c r="Y69" i="76"/>
  <c r="W69" i="76"/>
  <c r="Z70" i="144"/>
  <c r="X70" i="144"/>
  <c r="V70" i="144"/>
  <c r="Z70" i="148"/>
  <c r="X70" i="148"/>
  <c r="V70" i="148"/>
  <c r="Z70" i="153"/>
  <c r="X70" i="153"/>
  <c r="V70" i="153"/>
  <c r="Z70" i="147"/>
  <c r="X70" i="147"/>
  <c r="V70" i="147"/>
  <c r="Z70" i="152"/>
  <c r="X70" i="152"/>
  <c r="V70" i="152"/>
  <c r="Z70" i="115"/>
  <c r="X70" i="115"/>
  <c r="V70" i="115"/>
  <c r="Z69" i="128"/>
  <c r="X69" i="128"/>
  <c r="V69" i="128"/>
  <c r="AA68" i="80"/>
  <c r="Y68" i="80"/>
  <c r="W68" i="80"/>
  <c r="Z69" i="129"/>
  <c r="X69" i="129"/>
  <c r="V69" i="129"/>
  <c r="Z69" i="127"/>
  <c r="X69" i="127"/>
  <c r="V69" i="127"/>
  <c r="AA68" i="76"/>
  <c r="Y68" i="76"/>
  <c r="W68" i="76"/>
  <c r="Z69" i="125"/>
  <c r="X69" i="125"/>
  <c r="V69" i="125"/>
  <c r="Z69" i="114"/>
  <c r="X69" i="114"/>
  <c r="V69" i="114"/>
  <c r="Z69" i="147"/>
  <c r="X69" i="147"/>
  <c r="V69" i="147"/>
  <c r="Z69" i="151"/>
  <c r="X69" i="151"/>
  <c r="V69" i="151"/>
  <c r="Z69" i="145"/>
  <c r="X69" i="145"/>
  <c r="V69" i="145"/>
  <c r="Z69" i="149"/>
  <c r="X69" i="149"/>
  <c r="V69" i="149"/>
  <c r="AB10" i="113"/>
  <c r="Z10" i="116"/>
  <c r="X10" i="116"/>
  <c r="V10" i="116"/>
  <c r="Z10" i="120"/>
  <c r="X10" i="120"/>
  <c r="V10" i="120"/>
  <c r="Z10" i="125"/>
  <c r="X10" i="125"/>
  <c r="V10" i="125"/>
  <c r="Z10" i="129"/>
  <c r="X10" i="129"/>
  <c r="V10" i="129"/>
  <c r="Z10" i="119"/>
  <c r="X10" i="119"/>
  <c r="V10" i="119"/>
  <c r="AA9" i="80"/>
  <c r="Y9" i="80"/>
  <c r="W9" i="80"/>
  <c r="Z10" i="114"/>
  <c r="X10" i="114"/>
  <c r="V10" i="114"/>
  <c r="Z10" i="118"/>
  <c r="X10" i="118"/>
  <c r="V10" i="118"/>
  <c r="Z10" i="146"/>
  <c r="X10" i="146"/>
  <c r="V10" i="146"/>
  <c r="Z10" i="152"/>
  <c r="X10" i="152"/>
  <c r="V10" i="152"/>
  <c r="Z10" i="147"/>
  <c r="X10" i="147"/>
  <c r="V10" i="147"/>
  <c r="Z10" i="153"/>
  <c r="X10" i="153"/>
  <c r="V10" i="153"/>
  <c r="Z10" i="115"/>
  <c r="X10" i="115"/>
  <c r="V10" i="115"/>
  <c r="AA58" i="113" l="1"/>
  <c r="AB58" i="113" s="1"/>
  <c r="AA14" i="113"/>
  <c r="AB14" i="113" s="1"/>
  <c r="AA47" i="113"/>
  <c r="AB47" i="113" s="1"/>
  <c r="AA51" i="113"/>
  <c r="AB51" i="113" s="1"/>
  <c r="AA70" i="145"/>
  <c r="AA70" i="146"/>
  <c r="AB69" i="80"/>
  <c r="AA70" i="119"/>
  <c r="AB70" i="119" s="1"/>
  <c r="AA70" i="120"/>
  <c r="AA70" i="125"/>
  <c r="AA27" i="115"/>
  <c r="AA27" i="146"/>
  <c r="AA27" i="153"/>
  <c r="AA27" i="117"/>
  <c r="AB26" i="76"/>
  <c r="AA27" i="125"/>
  <c r="AA27" i="120"/>
  <c r="AA30" i="152"/>
  <c r="AA30" i="148"/>
  <c r="AA30" i="129"/>
  <c r="AA30" i="120"/>
  <c r="AA11" i="113"/>
  <c r="AB11" i="113" s="1"/>
  <c r="AA65" i="115"/>
  <c r="AA65" i="148"/>
  <c r="AA65" i="128"/>
  <c r="AA65" i="117"/>
  <c r="AA65" i="118"/>
  <c r="AA13" i="148"/>
  <c r="AA13" i="151"/>
  <c r="AA13" i="117"/>
  <c r="AA13" i="131"/>
  <c r="AA13" i="129"/>
  <c r="AB12" i="80"/>
  <c r="AA26" i="153"/>
  <c r="AA26" i="151"/>
  <c r="AA26" i="118"/>
  <c r="AB25" i="80"/>
  <c r="AA26" i="119"/>
  <c r="AB26" i="119" s="1"/>
  <c r="AA26" i="129"/>
  <c r="AA26" i="120"/>
  <c r="AA74" i="147"/>
  <c r="AA74" i="149"/>
  <c r="AA74" i="129"/>
  <c r="AA74" i="126"/>
  <c r="AA49" i="115"/>
  <c r="AA49" i="149"/>
  <c r="AA49" i="146"/>
  <c r="AA49" i="114"/>
  <c r="AB49" i="119"/>
  <c r="AA49" i="119"/>
  <c r="AA49" i="128"/>
  <c r="AA49" i="117"/>
  <c r="AA49" i="118"/>
  <c r="AA16" i="151"/>
  <c r="AA16" i="147"/>
  <c r="AA16" i="129"/>
  <c r="AA16" i="117"/>
  <c r="AA16" i="120"/>
  <c r="AA60" i="152"/>
  <c r="AA60" i="153"/>
  <c r="AA60" i="116"/>
  <c r="AA60" i="119"/>
  <c r="AB60" i="119" s="1"/>
  <c r="AA60" i="128"/>
  <c r="AA60" i="114"/>
  <c r="AA60" i="120"/>
  <c r="AA68" i="145"/>
  <c r="AA68" i="147"/>
  <c r="AB67" i="80"/>
  <c r="AA68" i="118"/>
  <c r="AA68" i="127"/>
  <c r="AA18" i="115"/>
  <c r="AA18" i="147"/>
  <c r="AA18" i="146"/>
  <c r="AA18" i="114"/>
  <c r="AA18" i="125"/>
  <c r="AA18" i="116"/>
  <c r="AA21" i="148"/>
  <c r="AA21" i="151"/>
  <c r="AA21" i="125"/>
  <c r="AA21" i="120"/>
  <c r="AA61" i="152"/>
  <c r="AA61" i="153"/>
  <c r="AA61" i="144"/>
  <c r="AA61" i="118"/>
  <c r="AA61" i="119"/>
  <c r="AB61" i="119" s="1"/>
  <c r="AA61" i="120"/>
  <c r="AA61" i="128"/>
  <c r="AA66" i="145"/>
  <c r="AA66" i="147"/>
  <c r="AA66" i="126"/>
  <c r="AA66" i="127"/>
  <c r="AB34" i="148"/>
  <c r="AA34" i="149"/>
  <c r="AA34" i="119"/>
  <c r="AB34" i="119" s="1"/>
  <c r="AA34" i="129"/>
  <c r="AA34" i="120"/>
  <c r="AA62" i="145"/>
  <c r="AA62" i="146"/>
  <c r="AA62" i="119"/>
  <c r="AB62" i="119" s="1"/>
  <c r="AA62" i="117"/>
  <c r="AA62" i="125"/>
  <c r="AA24" i="115"/>
  <c r="AA24" i="147"/>
  <c r="AA24" i="146"/>
  <c r="AA24" i="114"/>
  <c r="AA24" i="120"/>
  <c r="AA24" i="128"/>
  <c r="AB24" i="128" s="1"/>
  <c r="AD24" i="113"/>
  <c r="AF24" i="113" s="1"/>
  <c r="AA39" i="148"/>
  <c r="AA39" i="120"/>
  <c r="AA39" i="145"/>
  <c r="AB39" i="145" s="1"/>
  <c r="AA39" i="131"/>
  <c r="AA39" i="116"/>
  <c r="AA32" i="153"/>
  <c r="AA32" i="151"/>
  <c r="AB32" i="144"/>
  <c r="AA32" i="117"/>
  <c r="AA32" i="129"/>
  <c r="AA17" i="145"/>
  <c r="AA17" i="148"/>
  <c r="AA25" i="145"/>
  <c r="AA25" i="149"/>
  <c r="AA25" i="119"/>
  <c r="AB25" i="119" s="1"/>
  <c r="AA25" i="114"/>
  <c r="AA25" i="126"/>
  <c r="AB25" i="116"/>
  <c r="AA25" i="120"/>
  <c r="AA59" i="115"/>
  <c r="AA59" i="146"/>
  <c r="AA59" i="151"/>
  <c r="AB58" i="80"/>
  <c r="AB58" i="76"/>
  <c r="AA59" i="120"/>
  <c r="AD59" i="113"/>
  <c r="AF59" i="113" s="1"/>
  <c r="AA28" i="152"/>
  <c r="AA17" i="128"/>
  <c r="AA17" i="114"/>
  <c r="AA17" i="119"/>
  <c r="AB17" i="119" s="1"/>
  <c r="AA17" i="120"/>
  <c r="AA37" i="115"/>
  <c r="AA37" i="146"/>
  <c r="AA37" i="147"/>
  <c r="AA37" i="114"/>
  <c r="AA37" i="126"/>
  <c r="AA37" i="119"/>
  <c r="AB37" i="119" s="1"/>
  <c r="AA37" i="131"/>
  <c r="AA37" i="118"/>
  <c r="AA45" i="149"/>
  <c r="AA45" i="151"/>
  <c r="AA45" i="117"/>
  <c r="AA45" i="129"/>
  <c r="AA53" i="152"/>
  <c r="AA53" i="153"/>
  <c r="AA53" i="144"/>
  <c r="AA53" i="125"/>
  <c r="AA53" i="127"/>
  <c r="AA22" i="149"/>
  <c r="AA22" i="145"/>
  <c r="AA22" i="119"/>
  <c r="AB22" i="119" s="1"/>
  <c r="AA22" i="117"/>
  <c r="AB22" i="116"/>
  <c r="AA22" i="131"/>
  <c r="AA73" i="115"/>
  <c r="AA73" i="149"/>
  <c r="AA73" i="151"/>
  <c r="AA73" i="125"/>
  <c r="AA73" i="118"/>
  <c r="AA73" i="129"/>
  <c r="AA73" i="127"/>
  <c r="AD73" i="113"/>
  <c r="AF73" i="113" s="1"/>
  <c r="AA50" i="147"/>
  <c r="AA50" i="151"/>
  <c r="AA50" i="118"/>
  <c r="AA50" i="128"/>
  <c r="AA50" i="131"/>
  <c r="AB20" i="76"/>
  <c r="AB65" i="76"/>
  <c r="AB51" i="76"/>
  <c r="AC51" i="76" s="1"/>
  <c r="AB54" i="76"/>
  <c r="AB33" i="80"/>
  <c r="AB61" i="80"/>
  <c r="AB38" i="80"/>
  <c r="AB31" i="76"/>
  <c r="AC31" i="76" s="1"/>
  <c r="AB44" i="76"/>
  <c r="AB44" i="80"/>
  <c r="AB52" i="80"/>
  <c r="AB21" i="80"/>
  <c r="AA50" i="117"/>
  <c r="AA56" i="152"/>
  <c r="AA56" i="153"/>
  <c r="AA56" i="144"/>
  <c r="AA56" i="127"/>
  <c r="AA56" i="116"/>
  <c r="AA56" i="126"/>
  <c r="AA31" i="149"/>
  <c r="AA31" i="152"/>
  <c r="AA31" i="114"/>
  <c r="AA31" i="126"/>
  <c r="AA31" i="129"/>
  <c r="AB31" i="116"/>
  <c r="AA46" i="115"/>
  <c r="AA46" i="147"/>
  <c r="AA46" i="148"/>
  <c r="AB45" i="76"/>
  <c r="AC45" i="76" s="1"/>
  <c r="AA46" i="126"/>
  <c r="AA46" i="129"/>
  <c r="AA46" i="120"/>
  <c r="AA29" i="148"/>
  <c r="AA29" i="152"/>
  <c r="AA29" i="117"/>
  <c r="AA29" i="114"/>
  <c r="AA29" i="127"/>
  <c r="AA29" i="131"/>
  <c r="AA23" i="153"/>
  <c r="AA23" i="146"/>
  <c r="AA23" i="147"/>
  <c r="AA23" i="119"/>
  <c r="AB23" i="119" s="1"/>
  <c r="AB22" i="80"/>
  <c r="AA23" i="120"/>
  <c r="AA23" i="125"/>
  <c r="AA64" i="145"/>
  <c r="AA64" i="147"/>
  <c r="AA64" i="131"/>
  <c r="AA64" i="125"/>
  <c r="AB64" i="119"/>
  <c r="AA64" i="119"/>
  <c r="AA64" i="128"/>
  <c r="AA9" i="152"/>
  <c r="AA9" i="120"/>
  <c r="AA19" i="129"/>
  <c r="AA41" i="148"/>
  <c r="AA41" i="149"/>
  <c r="AA41" i="114"/>
  <c r="AA41" i="126"/>
  <c r="AB41" i="119"/>
  <c r="AA41" i="119"/>
  <c r="AA41" i="120"/>
  <c r="AA38" i="115"/>
  <c r="AA26" i="149"/>
  <c r="AA26" i="145"/>
  <c r="AB25" i="76"/>
  <c r="AA26" i="126"/>
  <c r="AA26" i="127"/>
  <c r="AA74" i="115"/>
  <c r="AA74" i="151"/>
  <c r="AA74" i="152"/>
  <c r="AA74" i="118"/>
  <c r="AA74" i="117"/>
  <c r="AA74" i="128"/>
  <c r="AA74" i="116"/>
  <c r="AB74" i="116" s="1"/>
  <c r="AA49" i="147"/>
  <c r="AA49" i="151"/>
  <c r="AA49" i="125"/>
  <c r="AB48" i="76"/>
  <c r="AA49" i="127"/>
  <c r="AB48" i="80"/>
  <c r="AA16" i="153"/>
  <c r="AA16" i="152"/>
  <c r="AB16" i="144"/>
  <c r="AA16" i="131"/>
  <c r="AA16" i="125"/>
  <c r="AA16" i="127"/>
  <c r="AA60" i="145"/>
  <c r="AA60" i="149"/>
  <c r="AB59" i="80"/>
  <c r="AA60" i="118"/>
  <c r="AA60" i="127"/>
  <c r="AA68" i="115"/>
  <c r="AA68" i="146"/>
  <c r="AB68" i="148"/>
  <c r="AA68" i="126"/>
  <c r="AB67" i="76"/>
  <c r="AC67" i="76" s="1"/>
  <c r="AA68" i="117"/>
  <c r="AA18" i="151"/>
  <c r="AA18" i="148"/>
  <c r="AB18" i="144"/>
  <c r="AA18" i="128"/>
  <c r="AA18" i="131"/>
  <c r="AA18" i="117"/>
  <c r="AA21" i="152"/>
  <c r="AB21" i="152" s="1"/>
  <c r="AA21" i="153"/>
  <c r="AB21" i="144"/>
  <c r="AA21" i="118"/>
  <c r="AB20" i="80"/>
  <c r="AA61" i="149"/>
  <c r="AB61" i="145"/>
  <c r="AA61" i="114"/>
  <c r="AA61" i="127"/>
  <c r="AA61" i="126"/>
  <c r="AA66" i="115"/>
  <c r="AA66" i="148"/>
  <c r="AA66" i="146"/>
  <c r="AA66" i="114"/>
  <c r="AA66" i="125"/>
  <c r="AA66" i="116"/>
  <c r="AB66" i="116" s="1"/>
  <c r="AD66" i="113"/>
  <c r="AF66" i="113" s="1"/>
  <c r="AA52" i="146"/>
  <c r="AA52" i="149"/>
  <c r="AB51" i="80"/>
  <c r="AA52" i="118"/>
  <c r="AA52" i="127"/>
  <c r="AA55" i="115"/>
  <c r="AA55" i="146"/>
  <c r="AA55" i="151"/>
  <c r="AA55" i="126"/>
  <c r="AA55" i="128"/>
  <c r="AA55" i="114"/>
  <c r="AA55" i="116"/>
  <c r="AB55" i="116" s="1"/>
  <c r="AA34" i="145"/>
  <c r="AA34" i="146"/>
  <c r="AB33" i="76"/>
  <c r="AA34" i="126"/>
  <c r="AA34" i="127"/>
  <c r="AA62" i="115"/>
  <c r="AA62" i="147"/>
  <c r="AA62" i="148"/>
  <c r="AB61" i="76"/>
  <c r="AA62" i="126"/>
  <c r="AA62" i="131"/>
  <c r="AA62" i="118"/>
  <c r="AD62" i="113"/>
  <c r="AF62" i="113" s="1"/>
  <c r="AA24" i="151"/>
  <c r="AA24" i="148"/>
  <c r="AA24" i="127"/>
  <c r="AB23" i="80"/>
  <c r="AA24" i="118"/>
  <c r="AA39" i="151"/>
  <c r="AA39" i="144"/>
  <c r="AA39" i="147"/>
  <c r="AA39" i="114"/>
  <c r="AA39" i="125"/>
  <c r="AA32" i="152"/>
  <c r="AA32" i="148"/>
  <c r="AA45" i="118"/>
  <c r="AA45" i="126"/>
  <c r="AA45" i="125"/>
  <c r="AB53" i="148"/>
  <c r="AA53" i="151"/>
  <c r="AA53" i="114"/>
  <c r="AA53" i="116"/>
  <c r="AA53" i="120"/>
  <c r="AA22" i="153"/>
  <c r="AA22" i="152"/>
  <c r="AA22" i="114"/>
  <c r="AA22" i="128"/>
  <c r="AA22" i="118"/>
  <c r="AA22" i="125"/>
  <c r="AA73" i="146"/>
  <c r="AA73" i="147"/>
  <c r="AA73" i="116"/>
  <c r="AB73" i="116" s="1"/>
  <c r="AA73" i="128"/>
  <c r="AA73" i="119"/>
  <c r="AB73" i="119" s="1"/>
  <c r="AA73" i="120"/>
  <c r="AA50" i="115"/>
  <c r="AA50" i="149"/>
  <c r="AA50" i="146"/>
  <c r="AA50" i="114"/>
  <c r="AA50" i="125"/>
  <c r="AA50" i="116"/>
  <c r="AB50" i="116" s="1"/>
  <c r="AA56" i="147"/>
  <c r="AA56" i="151"/>
  <c r="AA56" i="114"/>
  <c r="AA56" i="120"/>
  <c r="AB55" i="80"/>
  <c r="AA56" i="118"/>
  <c r="AA31" i="151"/>
  <c r="AA31" i="144"/>
  <c r="AA31" i="147"/>
  <c r="AB30" i="80"/>
  <c r="AA31" i="131"/>
  <c r="AA31" i="118"/>
  <c r="AA31" i="119"/>
  <c r="AB31" i="119" s="1"/>
  <c r="AA46" i="145"/>
  <c r="AA46" i="146"/>
  <c r="AB45" i="80"/>
  <c r="AA46" i="119"/>
  <c r="AB46" i="119" s="1"/>
  <c r="AA46" i="117"/>
  <c r="AA46" i="131"/>
  <c r="AA29" i="115"/>
  <c r="AA29" i="146"/>
  <c r="AA29" i="147"/>
  <c r="AB29" i="147" s="1"/>
  <c r="AA29" i="116"/>
  <c r="AA29" i="129"/>
  <c r="AA29" i="119"/>
  <c r="AB29" i="119" s="1"/>
  <c r="AA29" i="120"/>
  <c r="AB28" i="80"/>
  <c r="AA23" i="145"/>
  <c r="AA23" i="149"/>
  <c r="AA23" i="127"/>
  <c r="AA23" i="131"/>
  <c r="AA23" i="116"/>
  <c r="AA64" i="152"/>
  <c r="AA64" i="153"/>
  <c r="AA64" i="144"/>
  <c r="AB63" i="76"/>
  <c r="AC63" i="76" s="1"/>
  <c r="AA64" i="117"/>
  <c r="AA64" i="129"/>
  <c r="AA9" i="145"/>
  <c r="AA9" i="148"/>
  <c r="AB8" i="80"/>
  <c r="AA9" i="116"/>
  <c r="AA9" i="118"/>
  <c r="AA9" i="119"/>
  <c r="AB9" i="119" s="1"/>
  <c r="AA25" i="152"/>
  <c r="AA25" i="153"/>
  <c r="AA25" i="144"/>
  <c r="AB24" i="76"/>
  <c r="AC24" i="76" s="1"/>
  <c r="AA25" i="127"/>
  <c r="AA25" i="128"/>
  <c r="AA59" i="145"/>
  <c r="AA59" i="147"/>
  <c r="AA59" i="131"/>
  <c r="AA59" i="114"/>
  <c r="AA59" i="127"/>
  <c r="AA28" i="115"/>
  <c r="AA28" i="147"/>
  <c r="AA28" i="146"/>
  <c r="AA28" i="126"/>
  <c r="AB27" i="76"/>
  <c r="AC27" i="76" s="1"/>
  <c r="AA28" i="117"/>
  <c r="AA36" i="147"/>
  <c r="AA36" i="152"/>
  <c r="AA36" i="129"/>
  <c r="AA36" i="131"/>
  <c r="AA36" i="125"/>
  <c r="AA54" i="152"/>
  <c r="AA54" i="153"/>
  <c r="AA54" i="144"/>
  <c r="AA54" i="128"/>
  <c r="AA54" i="118"/>
  <c r="AA54" i="125"/>
  <c r="AA19" i="149"/>
  <c r="AA19" i="145"/>
  <c r="AA19" i="114"/>
  <c r="AA19" i="127"/>
  <c r="AA41" i="115"/>
  <c r="AA41" i="145"/>
  <c r="AB41" i="145" s="1"/>
  <c r="AA41" i="146"/>
  <c r="AA41" i="116"/>
  <c r="AA41" i="118"/>
  <c r="AA41" i="129"/>
  <c r="AA41" i="117"/>
  <c r="AB38" i="148"/>
  <c r="AA38" i="152"/>
  <c r="AA38" i="114"/>
  <c r="AA38" i="129"/>
  <c r="AA38" i="120"/>
  <c r="AA67" i="152"/>
  <c r="AA67" i="144"/>
  <c r="AA67" i="147"/>
  <c r="AA67" i="114"/>
  <c r="AA67" i="129"/>
  <c r="AA8" i="113"/>
  <c r="AB8" i="113" s="1"/>
  <c r="AA72" i="113"/>
  <c r="AB72" i="113" s="1"/>
  <c r="AA32" i="127"/>
  <c r="AB32" i="127" s="1"/>
  <c r="AA32" i="126"/>
  <c r="AA17" i="152"/>
  <c r="AA17" i="153"/>
  <c r="AA17" i="131"/>
  <c r="AB17" i="131" s="1"/>
  <c r="AA17" i="116"/>
  <c r="AB16" i="80"/>
  <c r="AC16" i="80" s="1"/>
  <c r="AA37" i="149"/>
  <c r="AA37" i="145"/>
  <c r="AB37" i="145" s="1"/>
  <c r="AA37" i="127"/>
  <c r="AB36" i="80"/>
  <c r="AC36" i="80" s="1"/>
  <c r="AA45" i="115"/>
  <c r="AA45" i="147"/>
  <c r="AB45" i="147" s="1"/>
  <c r="AB45" i="148"/>
  <c r="AA9" i="153"/>
  <c r="AB9" i="144"/>
  <c r="AA9" i="125"/>
  <c r="AB9" i="125" s="1"/>
  <c r="AA9" i="131"/>
  <c r="AA38" i="146"/>
  <c r="AB38" i="146" s="1"/>
  <c r="AA38" i="147"/>
  <c r="AB37" i="76"/>
  <c r="AC37" i="76" s="1"/>
  <c r="AD37" i="76" s="1"/>
  <c r="AA38" i="126"/>
  <c r="AB38" i="116"/>
  <c r="AC38" i="116" s="1"/>
  <c r="AA38" i="131"/>
  <c r="AA10" i="115"/>
  <c r="AB10" i="115" s="1"/>
  <c r="AA10" i="147"/>
  <c r="AA10" i="146"/>
  <c r="AB10" i="146" s="1"/>
  <c r="AA10" i="114"/>
  <c r="AA10" i="125"/>
  <c r="AB10" i="125" s="1"/>
  <c r="AA69" i="149"/>
  <c r="AA69" i="151"/>
  <c r="AB69" i="151" s="1"/>
  <c r="AA69" i="114"/>
  <c r="AB68" i="76"/>
  <c r="AC68" i="76" s="1"/>
  <c r="AA69" i="129"/>
  <c r="AA69" i="128"/>
  <c r="AB69" i="128" s="1"/>
  <c r="AA70" i="152"/>
  <c r="AA70" i="153"/>
  <c r="AB70" i="153" s="1"/>
  <c r="AA70" i="144"/>
  <c r="AA70" i="128"/>
  <c r="AB70" i="128" s="1"/>
  <c r="AA33" i="113"/>
  <c r="AB33" i="113" s="1"/>
  <c r="AM8" i="46"/>
  <c r="AN8" i="46" s="1"/>
  <c r="AP8" i="46" s="1"/>
  <c r="AA70" i="116"/>
  <c r="AA70" i="117"/>
  <c r="AB70" i="117" s="1"/>
  <c r="AA27" i="149"/>
  <c r="AA27" i="152"/>
  <c r="AB27" i="152" s="1"/>
  <c r="AA27" i="114"/>
  <c r="AA27" i="127"/>
  <c r="AB27" i="127" s="1"/>
  <c r="AB27" i="116"/>
  <c r="AA30" i="115"/>
  <c r="AB30" i="115" s="1"/>
  <c r="AA30" i="147"/>
  <c r="AA30" i="146"/>
  <c r="AB30" i="146" s="1"/>
  <c r="AB29" i="76"/>
  <c r="AA30" i="126"/>
  <c r="AB30" i="126" s="1"/>
  <c r="AB30" i="116"/>
  <c r="AA30" i="131"/>
  <c r="AB30" i="131" s="1"/>
  <c r="AA65" i="149"/>
  <c r="AA65" i="151"/>
  <c r="AA65" i="116"/>
  <c r="AB65" i="116" s="1"/>
  <c r="AB64" i="76"/>
  <c r="AC64" i="76" s="1"/>
  <c r="AA65" i="127"/>
  <c r="AB64" i="80"/>
  <c r="AC64" i="80" s="1"/>
  <c r="AA13" i="152"/>
  <c r="AA13" i="153"/>
  <c r="AB13" i="153" s="1"/>
  <c r="AB30" i="144"/>
  <c r="AA65" i="146"/>
  <c r="AB65" i="146" s="1"/>
  <c r="AA56" i="119"/>
  <c r="AB56" i="119" s="1"/>
  <c r="AA30" i="118"/>
  <c r="AB30" i="118" s="1"/>
  <c r="AB13" i="144"/>
  <c r="AA13" i="114"/>
  <c r="AB13" i="114" s="1"/>
  <c r="AA13" i="128"/>
  <c r="AC61" i="76"/>
  <c r="AB17" i="144"/>
  <c r="AA10" i="151"/>
  <c r="AA10" i="148"/>
  <c r="AB10" i="144"/>
  <c r="AA10" i="128"/>
  <c r="AB10" i="128" s="1"/>
  <c r="AA10" i="131"/>
  <c r="AA10" i="117"/>
  <c r="AA69" i="152"/>
  <c r="AA69" i="153"/>
  <c r="AA69" i="144"/>
  <c r="AA69" i="117"/>
  <c r="AA69" i="120"/>
  <c r="AA28" i="148"/>
  <c r="AA28" i="129"/>
  <c r="AA28" i="131"/>
  <c r="AA28" i="125"/>
  <c r="AA36" i="151"/>
  <c r="AA36" i="153"/>
  <c r="AA36" i="144"/>
  <c r="AA36" i="119"/>
  <c r="AB36" i="119" s="1"/>
  <c r="AA36" i="128"/>
  <c r="AA36" i="114"/>
  <c r="AB36" i="114" s="1"/>
  <c r="AA36" i="120"/>
  <c r="AA54" i="145"/>
  <c r="AA54" i="149"/>
  <c r="AB53" i="80"/>
  <c r="AA54" i="119"/>
  <c r="AB54" i="119" s="1"/>
  <c r="AA54" i="117"/>
  <c r="AB54" i="117" s="1"/>
  <c r="AA54" i="131"/>
  <c r="AA19" i="115"/>
  <c r="AB19" i="115" s="1"/>
  <c r="AA19" i="146"/>
  <c r="AA19" i="147"/>
  <c r="AB19" i="147" s="1"/>
  <c r="AA19" i="117"/>
  <c r="AA19" i="118"/>
  <c r="AB19" i="118" s="1"/>
  <c r="AA19" i="131"/>
  <c r="AB19" i="129"/>
  <c r="AA19" i="120"/>
  <c r="AA41" i="147"/>
  <c r="AB41" i="147" s="1"/>
  <c r="AA41" i="131"/>
  <c r="AB41" i="131" s="1"/>
  <c r="AA38" i="151"/>
  <c r="AB38" i="151" s="1"/>
  <c r="AA38" i="153"/>
  <c r="AB38" i="153" s="1"/>
  <c r="AB38" i="147"/>
  <c r="AA38" i="144"/>
  <c r="AB38" i="144" s="1"/>
  <c r="AA38" i="128"/>
  <c r="AB38" i="126"/>
  <c r="AA38" i="116"/>
  <c r="AB38" i="131"/>
  <c r="AA38" i="127"/>
  <c r="AA67" i="145"/>
  <c r="AA67" i="148"/>
  <c r="AA67" i="131"/>
  <c r="AA67" i="116"/>
  <c r="AB67" i="116" s="1"/>
  <c r="AA67" i="118"/>
  <c r="AB67" i="118" s="1"/>
  <c r="AM10" i="46"/>
  <c r="AN10" i="46" s="1"/>
  <c r="AP10" i="46" s="1"/>
  <c r="AA10" i="153"/>
  <c r="AB10" i="153" s="1"/>
  <c r="AB10" i="147"/>
  <c r="AA10" i="152"/>
  <c r="AA10" i="118"/>
  <c r="AB10" i="114"/>
  <c r="AB9" i="80"/>
  <c r="AA10" i="119"/>
  <c r="AB10" i="119" s="1"/>
  <c r="AA10" i="129"/>
  <c r="AA10" i="120"/>
  <c r="AB69" i="149"/>
  <c r="AA69" i="145"/>
  <c r="AA69" i="147"/>
  <c r="AB69" i="114"/>
  <c r="AA69" i="125"/>
  <c r="AA69" i="127"/>
  <c r="AB69" i="129"/>
  <c r="AB68" i="80"/>
  <c r="AA70" i="115"/>
  <c r="AB70" i="152"/>
  <c r="AA70" i="147"/>
  <c r="AA70" i="148"/>
  <c r="AB70" i="144"/>
  <c r="AB69" i="76"/>
  <c r="AC69" i="76" s="1"/>
  <c r="AA70" i="127"/>
  <c r="AB70" i="116"/>
  <c r="AA70" i="131"/>
  <c r="AA70" i="118"/>
  <c r="G67" i="100"/>
  <c r="AC70" i="113"/>
  <c r="AK67" i="72" s="1"/>
  <c r="AA27" i="148"/>
  <c r="AB27" i="149"/>
  <c r="AA27" i="126"/>
  <c r="AB27" i="126" s="1"/>
  <c r="AA27" i="145"/>
  <c r="AB27" i="145" s="1"/>
  <c r="AB27" i="114"/>
  <c r="AA27" i="129"/>
  <c r="AA27" i="119"/>
  <c r="AB27" i="119" s="1"/>
  <c r="AA27" i="131"/>
  <c r="AB27" i="131" s="1"/>
  <c r="AA27" i="116"/>
  <c r="AA30" i="153"/>
  <c r="AB30" i="147"/>
  <c r="AA30" i="151"/>
  <c r="AB30" i="151" s="1"/>
  <c r="AA30" i="114"/>
  <c r="AC29" i="76"/>
  <c r="AA30" i="128"/>
  <c r="AB30" i="128" s="1"/>
  <c r="AA30" i="116"/>
  <c r="AA30" i="127"/>
  <c r="AB30" i="127" s="1"/>
  <c r="Z10" i="137"/>
  <c r="U10" i="137"/>
  <c r="V10" i="137" s="1"/>
  <c r="AB65" i="149"/>
  <c r="AA65" i="145"/>
  <c r="AB65" i="151"/>
  <c r="AA65" i="147"/>
  <c r="AA65" i="125"/>
  <c r="AB65" i="125" s="1"/>
  <c r="AA65" i="131"/>
  <c r="AB65" i="127"/>
  <c r="AA65" i="129"/>
  <c r="AB65" i="129" s="1"/>
  <c r="AA13" i="115"/>
  <c r="AB13" i="152"/>
  <c r="AA13" i="146"/>
  <c r="AB13" i="146" s="1"/>
  <c r="AA13" i="147"/>
  <c r="AA13" i="118"/>
  <c r="AA13" i="119"/>
  <c r="AB13" i="119" s="1"/>
  <c r="AA13" i="120"/>
  <c r="AA13" i="126"/>
  <c r="AB13" i="128"/>
  <c r="AA13" i="125"/>
  <c r="AD13" i="113"/>
  <c r="AF13" i="113" s="1"/>
  <c r="AA26" i="152"/>
  <c r="AB26" i="149"/>
  <c r="AA26" i="148"/>
  <c r="AB26" i="145"/>
  <c r="AB26" i="144"/>
  <c r="AC25" i="76"/>
  <c r="AA26" i="128"/>
  <c r="AB26" i="128" s="1"/>
  <c r="AB26" i="126"/>
  <c r="AA26" i="131"/>
  <c r="AB26" i="127"/>
  <c r="AA26" i="117"/>
  <c r="AB74" i="115"/>
  <c r="AA74" i="114"/>
  <c r="AB74" i="151"/>
  <c r="AA74" i="145"/>
  <c r="AB74" i="152"/>
  <c r="AA74" i="146"/>
  <c r="AB74" i="118"/>
  <c r="AA74" i="131"/>
  <c r="AB74" i="117"/>
  <c r="AB73" i="76"/>
  <c r="AB74" i="128"/>
  <c r="AA74" i="127"/>
  <c r="AB49" i="147"/>
  <c r="AA49" i="145"/>
  <c r="AB49" i="151"/>
  <c r="AB49" i="148"/>
  <c r="AB49" i="125"/>
  <c r="AA49" i="116"/>
  <c r="AB49" i="116"/>
  <c r="AC48" i="76"/>
  <c r="AA49" i="131"/>
  <c r="AB49" i="127"/>
  <c r="AA49" i="129"/>
  <c r="AB49" i="129" s="1"/>
  <c r="AC48" i="80"/>
  <c r="AA16" i="115"/>
  <c r="AB16" i="153"/>
  <c r="AA16" i="146"/>
  <c r="AB16" i="146" s="1"/>
  <c r="AB16" i="152"/>
  <c r="AA16" i="149"/>
  <c r="AA16" i="116"/>
  <c r="AB16" i="116"/>
  <c r="AB16" i="131"/>
  <c r="AA16" i="126"/>
  <c r="AB16" i="125"/>
  <c r="AB15" i="80"/>
  <c r="AB16" i="127"/>
  <c r="AA16" i="128"/>
  <c r="AB16" i="128" s="1"/>
  <c r="AH16" i="113"/>
  <c r="AI16" i="113" s="1"/>
  <c r="AJ16" i="113"/>
  <c r="AA60" i="148"/>
  <c r="AB60" i="145"/>
  <c r="AA60" i="151"/>
  <c r="AB60" i="149"/>
  <c r="AA60" i="144"/>
  <c r="AC59" i="80"/>
  <c r="AA60" i="129"/>
  <c r="AB60" i="118"/>
  <c r="AA60" i="131"/>
  <c r="AB60" i="127"/>
  <c r="AA60" i="125"/>
  <c r="AB68" i="115"/>
  <c r="AA68" i="152"/>
  <c r="AB68" i="146"/>
  <c r="AA68" i="153"/>
  <c r="AA68" i="144"/>
  <c r="AA68" i="119"/>
  <c r="AB68" i="119" s="1"/>
  <c r="AA68" i="128"/>
  <c r="AB68" i="126"/>
  <c r="AA68" i="114"/>
  <c r="AA68" i="120"/>
  <c r="AB68" i="117"/>
  <c r="AB18" i="151"/>
  <c r="AA18" i="149"/>
  <c r="AB18" i="148"/>
  <c r="AA18" i="145"/>
  <c r="AB17" i="76"/>
  <c r="AC17" i="76" s="1"/>
  <c r="AB18" i="128"/>
  <c r="AA18" i="126"/>
  <c r="AB18" i="131"/>
  <c r="AA18" i="127"/>
  <c r="AB18" i="117"/>
  <c r="AA21" i="115"/>
  <c r="AA21" i="146"/>
  <c r="AB21" i="153"/>
  <c r="AA21" i="147"/>
  <c r="AA21" i="114"/>
  <c r="AB21" i="118"/>
  <c r="AA21" i="126"/>
  <c r="AA21" i="119"/>
  <c r="AB21" i="119" s="1"/>
  <c r="AA21" i="129"/>
  <c r="AC20" i="80"/>
  <c r="AA21" i="128"/>
  <c r="AH21" i="113"/>
  <c r="AI21" i="113" s="1"/>
  <c r="AJ21" i="113"/>
  <c r="AA61" i="148"/>
  <c r="AB61" i="149"/>
  <c r="AA61" i="151"/>
  <c r="AA61" i="116"/>
  <c r="AB61" i="116" s="1"/>
  <c r="AB61" i="114"/>
  <c r="AB60" i="76"/>
  <c r="AB61" i="127"/>
  <c r="AA61" i="125"/>
  <c r="AB61" i="126"/>
  <c r="AA61" i="131"/>
  <c r="AB66" i="115"/>
  <c r="AA66" i="152"/>
  <c r="AB66" i="148"/>
  <c r="AA66" i="153"/>
  <c r="AB66" i="146"/>
  <c r="AA66" i="144"/>
  <c r="AB66" i="114"/>
  <c r="AB65" i="80"/>
  <c r="AA66" i="119"/>
  <c r="AB66" i="119" s="1"/>
  <c r="AA66" i="129"/>
  <c r="AB66" i="125"/>
  <c r="AA66" i="120"/>
  <c r="AA44" i="113"/>
  <c r="AB44" i="113" s="1"/>
  <c r="Z44" i="117"/>
  <c r="X44" i="117"/>
  <c r="V44" i="117"/>
  <c r="Z44" i="120"/>
  <c r="X44" i="120"/>
  <c r="V44" i="120"/>
  <c r="AA43" i="76"/>
  <c r="Y43" i="76"/>
  <c r="W43" i="76"/>
  <c r="Z44" i="114"/>
  <c r="X44" i="114"/>
  <c r="V44" i="114"/>
  <c r="Z44" i="126"/>
  <c r="X44" i="126"/>
  <c r="V44" i="126"/>
  <c r="Z44" i="128"/>
  <c r="X44" i="128"/>
  <c r="V44" i="128"/>
  <c r="Z44" i="119"/>
  <c r="X44" i="119"/>
  <c r="V44" i="119"/>
  <c r="Z44" i="144"/>
  <c r="V44" i="144"/>
  <c r="X44" i="144"/>
  <c r="AA44" i="144" s="1"/>
  <c r="Z44" i="148"/>
  <c r="X44" i="148"/>
  <c r="V44" i="148"/>
  <c r="Z44" i="153"/>
  <c r="X44" i="153"/>
  <c r="V44" i="153"/>
  <c r="Z44" i="147"/>
  <c r="X44" i="147"/>
  <c r="V44" i="147"/>
  <c r="Z44" i="152"/>
  <c r="X44" i="152"/>
  <c r="V44" i="152"/>
  <c r="Z44" i="115"/>
  <c r="X44" i="115"/>
  <c r="V44" i="115"/>
  <c r="AA52" i="152"/>
  <c r="AB52" i="146"/>
  <c r="AA52" i="151"/>
  <c r="AB52" i="149"/>
  <c r="AA52" i="144"/>
  <c r="AC51" i="80"/>
  <c r="AA52" i="129"/>
  <c r="AB52" i="118"/>
  <c r="AA52" i="131"/>
  <c r="AB52" i="127"/>
  <c r="AA52" i="125"/>
  <c r="AB55" i="115"/>
  <c r="AA55" i="152"/>
  <c r="AB55" i="146"/>
  <c r="AA55" i="144"/>
  <c r="AB55" i="151"/>
  <c r="AA55" i="149"/>
  <c r="AB55" i="126"/>
  <c r="AA55" i="120"/>
  <c r="AB55" i="128"/>
  <c r="AA55" i="125"/>
  <c r="AB55" i="114"/>
  <c r="AA55" i="127"/>
  <c r="AA57" i="113"/>
  <c r="AB57" i="113" s="1"/>
  <c r="Z57" i="117"/>
  <c r="X57" i="117"/>
  <c r="V57" i="117"/>
  <c r="Z57" i="128"/>
  <c r="X57" i="128"/>
  <c r="V57" i="128"/>
  <c r="Z57" i="129"/>
  <c r="X57" i="129"/>
  <c r="V57" i="129"/>
  <c r="Z57" i="126"/>
  <c r="X57" i="126"/>
  <c r="V57" i="126"/>
  <c r="AA56" i="80"/>
  <c r="Y56" i="80"/>
  <c r="W56" i="80"/>
  <c r="Z57" i="125"/>
  <c r="X57" i="125"/>
  <c r="V57" i="125"/>
  <c r="Z57" i="119"/>
  <c r="X57" i="119"/>
  <c r="V57" i="119"/>
  <c r="Z57" i="144"/>
  <c r="X57" i="144"/>
  <c r="V57" i="144"/>
  <c r="Z57" i="146"/>
  <c r="X57" i="146"/>
  <c r="V57" i="146"/>
  <c r="Z57" i="153"/>
  <c r="X57" i="153"/>
  <c r="V57" i="153"/>
  <c r="Z57" i="149"/>
  <c r="X57" i="149"/>
  <c r="V57" i="149"/>
  <c r="Z57" i="152"/>
  <c r="X57" i="152"/>
  <c r="V57" i="152"/>
  <c r="Z57" i="115"/>
  <c r="X57" i="115"/>
  <c r="V57" i="115"/>
  <c r="AA34" i="151"/>
  <c r="AB34" i="145"/>
  <c r="AA34" i="153"/>
  <c r="AB34" i="146"/>
  <c r="AA34" i="118"/>
  <c r="AC33" i="76"/>
  <c r="AA34" i="128"/>
  <c r="AB34" i="126"/>
  <c r="AA34" i="131"/>
  <c r="AB34" i="127"/>
  <c r="AA34" i="117"/>
  <c r="AB62" i="115"/>
  <c r="AA62" i="152"/>
  <c r="AB62" i="147"/>
  <c r="AA62" i="153"/>
  <c r="AB62" i="148"/>
  <c r="AA62" i="144"/>
  <c r="AA62" i="128"/>
  <c r="AB62" i="126"/>
  <c r="AA62" i="116"/>
  <c r="AB62" i="116" s="1"/>
  <c r="AB62" i="131"/>
  <c r="AA62" i="127"/>
  <c r="AB62" i="118"/>
  <c r="AB24" i="151"/>
  <c r="AA24" i="149"/>
  <c r="AB24" i="148"/>
  <c r="AA24" i="145"/>
  <c r="AA24" i="131"/>
  <c r="AB24" i="127"/>
  <c r="AA24" i="125"/>
  <c r="AC23" i="80"/>
  <c r="AA24" i="129"/>
  <c r="AB24" i="118"/>
  <c r="AA39" i="115"/>
  <c r="AB39" i="151"/>
  <c r="AA39" i="146"/>
  <c r="AB39" i="144"/>
  <c r="AA39" i="153"/>
  <c r="AB39" i="147"/>
  <c r="AA39" i="118"/>
  <c r="AB39" i="114"/>
  <c r="AA39" i="127"/>
  <c r="AA39" i="119"/>
  <c r="AB39" i="119" s="1"/>
  <c r="AA39" i="128"/>
  <c r="AB39" i="125"/>
  <c r="AA39" i="126"/>
  <c r="AH39" i="113"/>
  <c r="AI39" i="113" s="1"/>
  <c r="AJ39" i="113"/>
  <c r="AI14" i="46"/>
  <c r="AI15" i="46" s="1"/>
  <c r="AB32" i="152"/>
  <c r="AA32" i="145"/>
  <c r="AB32" i="148"/>
  <c r="AA32" i="149"/>
  <c r="AA32" i="119"/>
  <c r="AB32" i="119" s="1"/>
  <c r="AA32" i="131"/>
  <c r="AA32" i="125"/>
  <c r="AA32" i="128"/>
  <c r="AB32" i="128" s="1"/>
  <c r="AB32" i="126"/>
  <c r="AA17" i="115"/>
  <c r="AB17" i="152"/>
  <c r="AA17" i="149"/>
  <c r="AB17" i="153"/>
  <c r="AA17" i="146"/>
  <c r="AB16" i="76"/>
  <c r="AA17" i="127"/>
  <c r="AB17" i="116"/>
  <c r="AA17" i="129"/>
  <c r="AA17" i="117"/>
  <c r="AC17" i="113"/>
  <c r="AK14" i="72" s="1"/>
  <c r="G14" i="100"/>
  <c r="AD17" i="113"/>
  <c r="AF17" i="113" s="1"/>
  <c r="AA37" i="148"/>
  <c r="AB37" i="149"/>
  <c r="AA37" i="152"/>
  <c r="AA37" i="125"/>
  <c r="AB36" i="76"/>
  <c r="AB37" i="127"/>
  <c r="AA37" i="129"/>
  <c r="AA37" i="128"/>
  <c r="AB45" i="115"/>
  <c r="AA45" i="152"/>
  <c r="AA45" i="153"/>
  <c r="AA45" i="144"/>
  <c r="AB45" i="118"/>
  <c r="AA45" i="116"/>
  <c r="AB45" i="116"/>
  <c r="AA45" i="119"/>
  <c r="AB45" i="119" s="1"/>
  <c r="AA45" i="120"/>
  <c r="AB45" i="126"/>
  <c r="AA45" i="131"/>
  <c r="AB45" i="125"/>
  <c r="AA53" i="145"/>
  <c r="AB53" i="151"/>
  <c r="AA53" i="149"/>
  <c r="AB53" i="114"/>
  <c r="AA53" i="118"/>
  <c r="AB53" i="116"/>
  <c r="AA53" i="126"/>
  <c r="AA53" i="119"/>
  <c r="AB53" i="119" s="1"/>
  <c r="AA53" i="131"/>
  <c r="AB53" i="120"/>
  <c r="AA22" i="115"/>
  <c r="AB22" i="153"/>
  <c r="AA22" i="147"/>
  <c r="AB22" i="152"/>
  <c r="AA22" i="146"/>
  <c r="AB22" i="114"/>
  <c r="AB21" i="76"/>
  <c r="AB22" i="128"/>
  <c r="AA22" i="126"/>
  <c r="AB22" i="118"/>
  <c r="AA22" i="129"/>
  <c r="AB22" i="125"/>
  <c r="AA22" i="120"/>
  <c r="G19" i="100"/>
  <c r="AC22" i="113"/>
  <c r="AK19" i="72" s="1"/>
  <c r="AA73" i="152"/>
  <c r="AB73" i="146"/>
  <c r="AA73" i="153"/>
  <c r="AB73" i="147"/>
  <c r="AA73" i="144"/>
  <c r="AB72" i="80"/>
  <c r="AB73" i="128"/>
  <c r="AB73" i="120"/>
  <c r="AA73" i="126"/>
  <c r="AB50" i="115"/>
  <c r="AA50" i="152"/>
  <c r="AB50" i="149"/>
  <c r="AA50" i="153"/>
  <c r="AB50" i="146"/>
  <c r="AA50" i="144"/>
  <c r="AB50" i="114"/>
  <c r="AB49" i="80"/>
  <c r="AA50" i="119"/>
  <c r="AB50" i="119" s="1"/>
  <c r="AA50" i="129"/>
  <c r="AB50" i="125"/>
  <c r="AA50" i="120"/>
  <c r="AB56" i="147"/>
  <c r="AA56" i="145"/>
  <c r="AB56" i="151"/>
  <c r="AA56" i="148"/>
  <c r="AB56" i="114"/>
  <c r="AB55" i="76"/>
  <c r="AC55" i="76" s="1"/>
  <c r="AB56" i="120"/>
  <c r="AA56" i="117"/>
  <c r="AC55" i="80"/>
  <c r="AA56" i="129"/>
  <c r="AB56" i="118"/>
  <c r="AA31" i="115"/>
  <c r="AB31" i="151"/>
  <c r="AA31" i="146"/>
  <c r="AB31" i="144"/>
  <c r="AA31" i="153"/>
  <c r="AB31" i="147"/>
  <c r="AA31" i="120"/>
  <c r="AC30" i="80"/>
  <c r="AA31" i="125"/>
  <c r="AB31" i="131"/>
  <c r="AA31" i="127"/>
  <c r="AB31" i="118"/>
  <c r="AC31" i="113"/>
  <c r="AK28" i="72" s="1"/>
  <c r="G28" i="100"/>
  <c r="AD31" i="113"/>
  <c r="AF31" i="113" s="1"/>
  <c r="AA46" i="149"/>
  <c r="AB46" i="145"/>
  <c r="AA46" i="151"/>
  <c r="AB46" i="146"/>
  <c r="AA46" i="114"/>
  <c r="AC45" i="80"/>
  <c r="AB46" i="117"/>
  <c r="AA46" i="118"/>
  <c r="AB46" i="131"/>
  <c r="AA46" i="127"/>
  <c r="AB29" i="115"/>
  <c r="AA29" i="151"/>
  <c r="AB29" i="146"/>
  <c r="AA29" i="153"/>
  <c r="AA29" i="144"/>
  <c r="AB29" i="116"/>
  <c r="AA29" i="118"/>
  <c r="AB29" i="129"/>
  <c r="AB29" i="120"/>
  <c r="AA29" i="128"/>
  <c r="AC28" i="80"/>
  <c r="AA23" i="144"/>
  <c r="AB23" i="144" s="1"/>
  <c r="AA23" i="148"/>
  <c r="AB23" i="145"/>
  <c r="AA23" i="151"/>
  <c r="AB23" i="149"/>
  <c r="AA23" i="114"/>
  <c r="AB23" i="127"/>
  <c r="AA23" i="118"/>
  <c r="AB23" i="131"/>
  <c r="AA23" i="129"/>
  <c r="AB23" i="116"/>
  <c r="AA64" i="115"/>
  <c r="AB64" i="152"/>
  <c r="AA64" i="148"/>
  <c r="AB64" i="153"/>
  <c r="AA64" i="146"/>
  <c r="AB64" i="144"/>
  <c r="AA64" i="114"/>
  <c r="AA64" i="120"/>
  <c r="AB64" i="117"/>
  <c r="AB63" i="80"/>
  <c r="AB64" i="129"/>
  <c r="AA64" i="118"/>
  <c r="AC64" i="113"/>
  <c r="AK61" i="72" s="1"/>
  <c r="G61" i="100"/>
  <c r="AD64" i="113"/>
  <c r="AF64" i="113" s="1"/>
  <c r="AA9" i="147"/>
  <c r="AB9" i="145"/>
  <c r="AA9" i="151"/>
  <c r="AB9" i="148"/>
  <c r="AA9" i="114"/>
  <c r="AC8" i="80"/>
  <c r="AA9" i="126"/>
  <c r="AB9" i="116"/>
  <c r="AA9" i="129"/>
  <c r="AB9" i="118"/>
  <c r="AA71" i="113"/>
  <c r="AB71" i="113" s="1"/>
  <c r="Z71" i="116"/>
  <c r="X71" i="116"/>
  <c r="V71" i="116"/>
  <c r="Z71" i="125"/>
  <c r="X71" i="125"/>
  <c r="V71" i="125"/>
  <c r="Z71" i="128"/>
  <c r="X71" i="128"/>
  <c r="V71" i="128"/>
  <c r="Z71" i="117"/>
  <c r="X71" i="117"/>
  <c r="V71" i="117"/>
  <c r="Z71" i="127"/>
  <c r="X71" i="127"/>
  <c r="V71" i="127"/>
  <c r="Z71" i="114"/>
  <c r="X71" i="114"/>
  <c r="V71" i="114"/>
  <c r="Z71" i="119"/>
  <c r="X71" i="119"/>
  <c r="V71" i="119"/>
  <c r="Z71" i="146"/>
  <c r="X71" i="146"/>
  <c r="V71" i="146"/>
  <c r="Z71" i="151"/>
  <c r="X71" i="151"/>
  <c r="V71" i="151"/>
  <c r="Z71" i="144"/>
  <c r="X71" i="144"/>
  <c r="V71" i="144"/>
  <c r="Z71" i="147"/>
  <c r="X71" i="147"/>
  <c r="V71" i="147"/>
  <c r="Z71" i="152"/>
  <c r="X71" i="152"/>
  <c r="V71" i="152"/>
  <c r="Z71" i="115"/>
  <c r="X71" i="115"/>
  <c r="V71" i="115"/>
  <c r="AA25" i="115"/>
  <c r="AB25" i="152"/>
  <c r="AA25" i="146"/>
  <c r="AB25" i="153"/>
  <c r="AA25" i="147"/>
  <c r="AB25" i="144"/>
  <c r="AA25" i="125"/>
  <c r="AA25" i="118"/>
  <c r="AB25" i="127"/>
  <c r="AA25" i="129"/>
  <c r="AB25" i="128"/>
  <c r="AA25" i="117"/>
  <c r="AC25" i="113"/>
  <c r="AK22" i="72" s="1"/>
  <c r="G22" i="100"/>
  <c r="AD25" i="113"/>
  <c r="AF25" i="113" s="1"/>
  <c r="AA59" i="148"/>
  <c r="AB59" i="145"/>
  <c r="AA59" i="153"/>
  <c r="AB59" i="147"/>
  <c r="AA59" i="117"/>
  <c r="AB59" i="131"/>
  <c r="AA59" i="126"/>
  <c r="AB59" i="114"/>
  <c r="AA59" i="129"/>
  <c r="AB59" i="127"/>
  <c r="AA59" i="116"/>
  <c r="AB59" i="116" s="1"/>
  <c r="AB28" i="115"/>
  <c r="AA28" i="153"/>
  <c r="AB28" i="147"/>
  <c r="AA28" i="151"/>
  <c r="AB28" i="146"/>
  <c r="AB28" i="144"/>
  <c r="AA28" i="119"/>
  <c r="AB28" i="119" s="1"/>
  <c r="AA28" i="128"/>
  <c r="AB28" i="128" s="1"/>
  <c r="AB28" i="126"/>
  <c r="AA28" i="114"/>
  <c r="AA28" i="120"/>
  <c r="AB28" i="117"/>
  <c r="AB36" i="147"/>
  <c r="AA36" i="148"/>
  <c r="AB36" i="152"/>
  <c r="AA36" i="149"/>
  <c r="AB35" i="80"/>
  <c r="AB36" i="129"/>
  <c r="AA36" i="118"/>
  <c r="AB36" i="131"/>
  <c r="AA36" i="127"/>
  <c r="AB36" i="125"/>
  <c r="AA54" i="115"/>
  <c r="AB54" i="152"/>
  <c r="AA54" i="146"/>
  <c r="AB54" i="153"/>
  <c r="AA54" i="147"/>
  <c r="AB54" i="144"/>
  <c r="AB53" i="76"/>
  <c r="AB54" i="128"/>
  <c r="AA54" i="126"/>
  <c r="AB54" i="118"/>
  <c r="AA54" i="129"/>
  <c r="AB54" i="125"/>
  <c r="AA54" i="120"/>
  <c r="G51" i="100"/>
  <c r="AC54" i="113"/>
  <c r="AK51" i="72" s="1"/>
  <c r="AA19" i="148"/>
  <c r="AB19" i="149"/>
  <c r="AA19" i="151"/>
  <c r="AB19" i="145"/>
  <c r="AB19" i="144"/>
  <c r="AB19" i="114"/>
  <c r="AA19" i="125"/>
  <c r="AB19" i="127"/>
  <c r="AB18" i="80"/>
  <c r="AA19" i="119"/>
  <c r="AB19" i="119" s="1"/>
  <c r="AB18" i="76"/>
  <c r="AB41" i="115"/>
  <c r="AA41" i="151"/>
  <c r="AA41" i="153"/>
  <c r="AB41" i="146"/>
  <c r="AA41" i="144"/>
  <c r="AB41" i="116"/>
  <c r="AB40" i="76"/>
  <c r="AB41" i="118"/>
  <c r="AA41" i="127"/>
  <c r="AB41" i="129"/>
  <c r="AA41" i="128"/>
  <c r="AB41" i="117"/>
  <c r="AA38" i="149"/>
  <c r="AB38" i="152"/>
  <c r="AA38" i="145"/>
  <c r="AB38" i="114"/>
  <c r="AB37" i="80"/>
  <c r="AA38" i="119"/>
  <c r="AB38" i="119" s="1"/>
  <c r="AA38" i="117"/>
  <c r="AB38" i="129"/>
  <c r="AA38" i="125"/>
  <c r="AB38" i="120"/>
  <c r="AA67" i="115"/>
  <c r="AB67" i="152"/>
  <c r="AA67" i="146"/>
  <c r="AB67" i="144"/>
  <c r="AA67" i="151"/>
  <c r="AB67" i="147"/>
  <c r="AB66" i="80"/>
  <c r="AA67" i="119"/>
  <c r="AB67" i="119" s="1"/>
  <c r="AA67" i="127"/>
  <c r="AB67" i="114"/>
  <c r="AA67" i="125"/>
  <c r="AB67" i="129"/>
  <c r="AA67" i="120"/>
  <c r="G64" i="100"/>
  <c r="AC67" i="113"/>
  <c r="AK64" i="72" s="1"/>
  <c r="AA20" i="113"/>
  <c r="AB20" i="113" s="1"/>
  <c r="Z20" i="117"/>
  <c r="X20" i="117"/>
  <c r="V20" i="117"/>
  <c r="Z20" i="120"/>
  <c r="X20" i="120"/>
  <c r="V20" i="120"/>
  <c r="AA19" i="76"/>
  <c r="Y19" i="76"/>
  <c r="W19" i="76"/>
  <c r="Z20" i="114"/>
  <c r="X20" i="114"/>
  <c r="V20" i="114"/>
  <c r="Z20" i="126"/>
  <c r="X20" i="126"/>
  <c r="V20" i="126"/>
  <c r="Z20" i="128"/>
  <c r="X20" i="128"/>
  <c r="V20" i="128"/>
  <c r="Z20" i="119"/>
  <c r="X20" i="119"/>
  <c r="V20" i="119"/>
  <c r="Z20" i="144"/>
  <c r="V20" i="144"/>
  <c r="X20" i="144"/>
  <c r="AA20" i="144" s="1"/>
  <c r="Z20" i="146"/>
  <c r="X20" i="146"/>
  <c r="V20" i="146"/>
  <c r="Z20" i="152"/>
  <c r="X20" i="152"/>
  <c r="V20" i="152"/>
  <c r="Z20" i="147"/>
  <c r="X20" i="147"/>
  <c r="V20" i="147"/>
  <c r="Z20" i="153"/>
  <c r="X20" i="153"/>
  <c r="V20" i="153"/>
  <c r="Z20" i="115"/>
  <c r="X20" i="115"/>
  <c r="V20" i="115"/>
  <c r="Z8" i="120"/>
  <c r="X8" i="120"/>
  <c r="V8" i="120"/>
  <c r="AA7" i="76"/>
  <c r="Y7" i="76"/>
  <c r="W7" i="76"/>
  <c r="Z8" i="119"/>
  <c r="X8" i="119"/>
  <c r="V8" i="119"/>
  <c r="Z8" i="125"/>
  <c r="X8" i="125"/>
  <c r="V8" i="125"/>
  <c r="Z8" i="126"/>
  <c r="X8" i="126"/>
  <c r="V8" i="126"/>
  <c r="Z8" i="131"/>
  <c r="X8" i="131"/>
  <c r="V8" i="131"/>
  <c r="Z8" i="116"/>
  <c r="X8" i="116"/>
  <c r="V8" i="116"/>
  <c r="Z8" i="145"/>
  <c r="X8" i="145"/>
  <c r="V8" i="145"/>
  <c r="Z8" i="147"/>
  <c r="X8" i="147"/>
  <c r="V8" i="147"/>
  <c r="Z8" i="148"/>
  <c r="X8" i="148"/>
  <c r="V8" i="148"/>
  <c r="Z8" i="151"/>
  <c r="X8" i="151"/>
  <c r="V8" i="151"/>
  <c r="AA43" i="113"/>
  <c r="AB43" i="113" s="1"/>
  <c r="Z43" i="116"/>
  <c r="X43" i="116"/>
  <c r="V43" i="116"/>
  <c r="Z43" i="127"/>
  <c r="X43" i="127"/>
  <c r="V43" i="127"/>
  <c r="Z43" i="131"/>
  <c r="X43" i="131"/>
  <c r="V43" i="131"/>
  <c r="Z43" i="117"/>
  <c r="X43" i="117"/>
  <c r="V43" i="117"/>
  <c r="Z43" i="119"/>
  <c r="X43" i="119"/>
  <c r="V43" i="119"/>
  <c r="Z43" i="129"/>
  <c r="X43" i="129"/>
  <c r="V43" i="129"/>
  <c r="Z43" i="114"/>
  <c r="X43" i="114"/>
  <c r="V43" i="114"/>
  <c r="Z43" i="147"/>
  <c r="X43" i="147"/>
  <c r="V43" i="147"/>
  <c r="Z43" i="153"/>
  <c r="X43" i="153"/>
  <c r="V43" i="153"/>
  <c r="Z43" i="144"/>
  <c r="X43" i="144"/>
  <c r="V43" i="144"/>
  <c r="Z43" i="146"/>
  <c r="X43" i="146"/>
  <c r="V43" i="146"/>
  <c r="Z43" i="151"/>
  <c r="X43" i="151"/>
  <c r="V43" i="151"/>
  <c r="Z43" i="115"/>
  <c r="X43" i="115"/>
  <c r="V43" i="115"/>
  <c r="Z72" i="126"/>
  <c r="X72" i="126"/>
  <c r="V72" i="126"/>
  <c r="Z72" i="128"/>
  <c r="X72" i="128"/>
  <c r="V72" i="128"/>
  <c r="Z72" i="116"/>
  <c r="X72" i="116"/>
  <c r="V72" i="116"/>
  <c r="Z72" i="125"/>
  <c r="X72" i="125"/>
  <c r="V72" i="125"/>
  <c r="Z72" i="127"/>
  <c r="X72" i="127"/>
  <c r="V72" i="127"/>
  <c r="Z72" i="131"/>
  <c r="X72" i="131"/>
  <c r="V72" i="131"/>
  <c r="Z72" i="117"/>
  <c r="X72" i="117"/>
  <c r="V72" i="117"/>
  <c r="Z72" i="145"/>
  <c r="X72" i="145"/>
  <c r="V72" i="145"/>
  <c r="Z72" i="151"/>
  <c r="X72" i="151"/>
  <c r="V72" i="151"/>
  <c r="Z72" i="148"/>
  <c r="X72" i="148"/>
  <c r="V72" i="148"/>
  <c r="Z72" i="149"/>
  <c r="X72" i="149"/>
  <c r="V72" i="149"/>
  <c r="AA12" i="113"/>
  <c r="AB12" i="113" s="1"/>
  <c r="Z12" i="117"/>
  <c r="X12" i="117"/>
  <c r="V12" i="117"/>
  <c r="Z12" i="118"/>
  <c r="X12" i="118"/>
  <c r="V12" i="118"/>
  <c r="Z12" i="129"/>
  <c r="X12" i="129"/>
  <c r="V12" i="129"/>
  <c r="Z12" i="114"/>
  <c r="X12" i="114"/>
  <c r="V12" i="114"/>
  <c r="Z12" i="120"/>
  <c r="X12" i="120"/>
  <c r="V12" i="120"/>
  <c r="AA11" i="76"/>
  <c r="Y11" i="76"/>
  <c r="W11" i="76"/>
  <c r="Z12" i="119"/>
  <c r="X12" i="119"/>
  <c r="V12" i="119"/>
  <c r="Z12" i="144"/>
  <c r="V12" i="144"/>
  <c r="X12" i="144"/>
  <c r="AA12" i="144" s="1"/>
  <c r="Z12" i="146"/>
  <c r="X12" i="146"/>
  <c r="V12" i="146"/>
  <c r="Z12" i="152"/>
  <c r="X12" i="152"/>
  <c r="V12" i="152"/>
  <c r="Z12" i="147"/>
  <c r="X12" i="147"/>
  <c r="V12" i="147"/>
  <c r="Z12" i="153"/>
  <c r="X12" i="153"/>
  <c r="V12" i="153"/>
  <c r="Z12" i="115"/>
  <c r="X12" i="115"/>
  <c r="V12" i="115"/>
  <c r="Z58" i="117"/>
  <c r="X58" i="117"/>
  <c r="V58" i="117"/>
  <c r="Z58" i="127"/>
  <c r="X58" i="127"/>
  <c r="V58" i="127"/>
  <c r="Z58" i="131"/>
  <c r="X58" i="131"/>
  <c r="V58" i="131"/>
  <c r="Z58" i="126"/>
  <c r="X58" i="126"/>
  <c r="V58" i="126"/>
  <c r="Z58" i="128"/>
  <c r="X58" i="128"/>
  <c r="V58" i="128"/>
  <c r="AA57" i="76"/>
  <c r="Y57" i="76"/>
  <c r="W57" i="76"/>
  <c r="Z58" i="114"/>
  <c r="X58" i="114"/>
  <c r="V58" i="114"/>
  <c r="Z58" i="148"/>
  <c r="X58" i="148"/>
  <c r="V58" i="148"/>
  <c r="Z58" i="151"/>
  <c r="X58" i="151"/>
  <c r="V58" i="151"/>
  <c r="Z58" i="145"/>
  <c r="X58" i="145"/>
  <c r="V58" i="145"/>
  <c r="Z58" i="147"/>
  <c r="X58" i="147"/>
  <c r="V58" i="147"/>
  <c r="AA40" i="113"/>
  <c r="AB40" i="113" s="1"/>
  <c r="Z40" i="118"/>
  <c r="X40" i="118"/>
  <c r="V40" i="118"/>
  <c r="Z40" i="129"/>
  <c r="X40" i="129"/>
  <c r="V40" i="129"/>
  <c r="AA39" i="80"/>
  <c r="Y39" i="80"/>
  <c r="W39" i="80"/>
  <c r="Z40" i="117"/>
  <c r="X40" i="117"/>
  <c r="V40" i="117"/>
  <c r="Z40" i="120"/>
  <c r="X40" i="120"/>
  <c r="V40" i="120"/>
  <c r="AA39" i="76"/>
  <c r="Y39" i="76"/>
  <c r="W39" i="76"/>
  <c r="Z40" i="114"/>
  <c r="X40" i="114"/>
  <c r="V40" i="114"/>
  <c r="Z40" i="144"/>
  <c r="X40" i="144"/>
  <c r="V40" i="144"/>
  <c r="Z40" i="147"/>
  <c r="X40" i="147"/>
  <c r="V40" i="147"/>
  <c r="Z40" i="153"/>
  <c r="X40" i="153"/>
  <c r="V40" i="153"/>
  <c r="Z40" i="146"/>
  <c r="X40" i="146"/>
  <c r="V40" i="146"/>
  <c r="Z40" i="151"/>
  <c r="X40" i="151"/>
  <c r="V40" i="151"/>
  <c r="Z40" i="115"/>
  <c r="X40" i="115"/>
  <c r="V40" i="115"/>
  <c r="Z14" i="127"/>
  <c r="X14" i="127"/>
  <c r="V14" i="127"/>
  <c r="Z14" i="131"/>
  <c r="X14" i="131"/>
  <c r="V14" i="131"/>
  <c r="Z14" i="118"/>
  <c r="X14" i="118"/>
  <c r="V14" i="118"/>
  <c r="Z14" i="117"/>
  <c r="X14" i="117"/>
  <c r="V14" i="117"/>
  <c r="Z14" i="119"/>
  <c r="X14" i="119"/>
  <c r="V14" i="119"/>
  <c r="AA13" i="80"/>
  <c r="Y13" i="80"/>
  <c r="W13" i="80"/>
  <c r="Z14" i="144"/>
  <c r="V14" i="144"/>
  <c r="X14" i="144"/>
  <c r="AA14" i="144" s="1"/>
  <c r="Z14" i="145"/>
  <c r="X14" i="145"/>
  <c r="V14" i="145"/>
  <c r="Z14" i="147"/>
  <c r="X14" i="147"/>
  <c r="V14" i="147"/>
  <c r="Z14" i="148"/>
  <c r="X14" i="148"/>
  <c r="V14" i="148"/>
  <c r="Z14" i="151"/>
  <c r="X14" i="151"/>
  <c r="V14" i="151"/>
  <c r="AA15" i="113"/>
  <c r="AB15" i="113" s="1"/>
  <c r="Z15" i="116"/>
  <c r="X15" i="116"/>
  <c r="V15" i="116"/>
  <c r="Z15" i="126"/>
  <c r="X15" i="126"/>
  <c r="V15" i="126"/>
  <c r="Z15" i="128"/>
  <c r="X15" i="128"/>
  <c r="V15" i="128"/>
  <c r="Z15" i="131"/>
  <c r="X15" i="131"/>
  <c r="V15" i="131"/>
  <c r="Z15" i="119"/>
  <c r="X15" i="119"/>
  <c r="V15" i="119"/>
  <c r="Z15" i="127"/>
  <c r="X15" i="127"/>
  <c r="V15" i="127"/>
  <c r="Z15" i="114"/>
  <c r="X15" i="114"/>
  <c r="V15" i="114"/>
  <c r="Z15" i="117"/>
  <c r="X15" i="117"/>
  <c r="V15" i="117"/>
  <c r="Z15" i="146"/>
  <c r="X15" i="146"/>
  <c r="V15" i="146"/>
  <c r="Z15" i="153"/>
  <c r="X15" i="153"/>
  <c r="V15" i="153"/>
  <c r="Z15" i="149"/>
  <c r="X15" i="149"/>
  <c r="V15" i="149"/>
  <c r="Z15" i="152"/>
  <c r="X15" i="152"/>
  <c r="V15" i="152"/>
  <c r="Z15" i="115"/>
  <c r="X15" i="115"/>
  <c r="V15" i="115"/>
  <c r="Z47" i="118"/>
  <c r="X47" i="118"/>
  <c r="V47" i="118"/>
  <c r="Z47" i="119"/>
  <c r="X47" i="119"/>
  <c r="V47" i="119"/>
  <c r="Z47" i="127"/>
  <c r="X47" i="127"/>
  <c r="V47" i="127"/>
  <c r="Z47" i="131"/>
  <c r="X47" i="131"/>
  <c r="V47" i="131"/>
  <c r="AA46" i="76"/>
  <c r="Y46" i="76"/>
  <c r="W46" i="76"/>
  <c r="Z47" i="114"/>
  <c r="X47" i="114"/>
  <c r="V47" i="114"/>
  <c r="Z47" i="149"/>
  <c r="X47" i="149"/>
  <c r="V47" i="149"/>
  <c r="Z47" i="151"/>
  <c r="X47" i="151"/>
  <c r="V47" i="151"/>
  <c r="Z47" i="117"/>
  <c r="X47" i="117"/>
  <c r="V47" i="117"/>
  <c r="Z47" i="145"/>
  <c r="X47" i="145"/>
  <c r="V47" i="145"/>
  <c r="Z47" i="148"/>
  <c r="X47" i="148"/>
  <c r="V47" i="148"/>
  <c r="AA63" i="113"/>
  <c r="AB63" i="113" s="1"/>
  <c r="Z63" i="119"/>
  <c r="X63" i="119"/>
  <c r="V63" i="119"/>
  <c r="Z63" i="118"/>
  <c r="X63" i="118"/>
  <c r="V63" i="118"/>
  <c r="Z63" i="127"/>
  <c r="X63" i="127"/>
  <c r="V63" i="127"/>
  <c r="Z63" i="131"/>
  <c r="X63" i="131"/>
  <c r="V63" i="131"/>
  <c r="Z63" i="126"/>
  <c r="X63" i="126"/>
  <c r="V63" i="126"/>
  <c r="AA62" i="76"/>
  <c r="Y62" i="76"/>
  <c r="W62" i="76"/>
  <c r="Z63" i="114"/>
  <c r="X63" i="114"/>
  <c r="V63" i="114"/>
  <c r="Z63" i="148"/>
  <c r="X63" i="148"/>
  <c r="V63" i="148"/>
  <c r="Z63" i="151"/>
  <c r="X63" i="151"/>
  <c r="V63" i="151"/>
  <c r="Z63" i="144"/>
  <c r="X63" i="144"/>
  <c r="V63" i="144"/>
  <c r="Z63" i="146"/>
  <c r="X63" i="146"/>
  <c r="V63" i="146"/>
  <c r="Z63" i="152"/>
  <c r="X63" i="152"/>
  <c r="V63" i="152"/>
  <c r="Z63" i="115"/>
  <c r="X63" i="115"/>
  <c r="V63" i="115"/>
  <c r="Z51" i="127"/>
  <c r="X51" i="127"/>
  <c r="V51" i="127"/>
  <c r="Z51" i="119"/>
  <c r="X51" i="119"/>
  <c r="V51" i="119"/>
  <c r="AA50" i="80"/>
  <c r="Y50" i="80"/>
  <c r="W50" i="80"/>
  <c r="AA50" i="76"/>
  <c r="Y50" i="76"/>
  <c r="W50" i="76"/>
  <c r="Z51" i="118"/>
  <c r="X51" i="118"/>
  <c r="V51" i="118"/>
  <c r="Z51" i="128"/>
  <c r="X51" i="128"/>
  <c r="V51" i="128"/>
  <c r="Z51" i="148"/>
  <c r="X51" i="148"/>
  <c r="V51" i="148"/>
  <c r="Z51" i="151"/>
  <c r="X51" i="151"/>
  <c r="V51" i="151"/>
  <c r="Z51" i="117"/>
  <c r="X51" i="117"/>
  <c r="V51" i="117"/>
  <c r="Z51" i="145"/>
  <c r="X51" i="145"/>
  <c r="V51" i="145"/>
  <c r="Z51" i="147"/>
  <c r="X51" i="147"/>
  <c r="V51" i="147"/>
  <c r="U48" i="115"/>
  <c r="Z48" i="113"/>
  <c r="U48" i="152"/>
  <c r="U48" i="147"/>
  <c r="U48" i="149"/>
  <c r="U48" i="145"/>
  <c r="U48" i="153"/>
  <c r="U48" i="151"/>
  <c r="U48" i="146"/>
  <c r="U48" i="148"/>
  <c r="U48" i="144"/>
  <c r="U48" i="116"/>
  <c r="U48" i="119"/>
  <c r="U48" i="114"/>
  <c r="U48" i="131"/>
  <c r="V47" i="76"/>
  <c r="U48" i="127"/>
  <c r="U48" i="120"/>
  <c r="U48" i="125"/>
  <c r="U48" i="117"/>
  <c r="V47" i="80"/>
  <c r="U48" i="128"/>
  <c r="U48" i="129"/>
  <c r="U48" i="126"/>
  <c r="U48" i="118"/>
  <c r="V48" i="113"/>
  <c r="X48" i="113"/>
  <c r="AA75" i="113"/>
  <c r="AB75" i="113" s="1"/>
  <c r="Z75" i="117"/>
  <c r="X75" i="117"/>
  <c r="V75" i="117"/>
  <c r="Z75" i="119"/>
  <c r="X75" i="119"/>
  <c r="V75" i="119"/>
  <c r="Z75" i="125"/>
  <c r="X75" i="125"/>
  <c r="V75" i="125"/>
  <c r="AA74" i="80"/>
  <c r="Y74" i="80"/>
  <c r="W74" i="80"/>
  <c r="Z75" i="118"/>
  <c r="X75" i="118"/>
  <c r="V75" i="118"/>
  <c r="AA74" i="76"/>
  <c r="Y74" i="76"/>
  <c r="W74" i="76"/>
  <c r="Z75" i="128"/>
  <c r="X75" i="128"/>
  <c r="V75" i="128"/>
  <c r="Z75" i="148"/>
  <c r="X75" i="148"/>
  <c r="V75" i="148"/>
  <c r="Z75" i="149"/>
  <c r="X75" i="149"/>
  <c r="V75" i="149"/>
  <c r="Z75" i="144"/>
  <c r="X75" i="144"/>
  <c r="V75" i="144"/>
  <c r="Z75" i="147"/>
  <c r="X75" i="147"/>
  <c r="V75" i="147"/>
  <c r="Z75" i="153"/>
  <c r="X75" i="153"/>
  <c r="V75" i="153"/>
  <c r="Z75" i="115"/>
  <c r="X75" i="115"/>
  <c r="V75" i="115"/>
  <c r="AA32" i="80"/>
  <c r="Y32" i="80"/>
  <c r="W32" i="80"/>
  <c r="Z33" i="129"/>
  <c r="X33" i="129"/>
  <c r="V33" i="129"/>
  <c r="Z33" i="127"/>
  <c r="X33" i="127"/>
  <c r="V33" i="127"/>
  <c r="Z33" i="131"/>
  <c r="X33" i="131"/>
  <c r="V33" i="131"/>
  <c r="AA32" i="76"/>
  <c r="Y32" i="76"/>
  <c r="W32" i="76"/>
  <c r="Z33" i="119"/>
  <c r="X33" i="119"/>
  <c r="V33" i="119"/>
  <c r="Z33" i="125"/>
  <c r="X33" i="125"/>
  <c r="V33" i="125"/>
  <c r="Z33" i="149"/>
  <c r="X33" i="149"/>
  <c r="V33" i="149"/>
  <c r="Z33" i="152"/>
  <c r="X33" i="152"/>
  <c r="V33" i="152"/>
  <c r="Z33" i="148"/>
  <c r="X33" i="148"/>
  <c r="V33" i="148"/>
  <c r="Z33" i="147"/>
  <c r="X33" i="147"/>
  <c r="V33" i="147"/>
  <c r="AB10" i="151"/>
  <c r="AA10" i="149"/>
  <c r="AB10" i="148"/>
  <c r="AA10" i="145"/>
  <c r="AB9" i="76"/>
  <c r="AC9" i="76" s="1"/>
  <c r="AA10" i="126"/>
  <c r="AB10" i="131"/>
  <c r="AA10" i="127"/>
  <c r="AB10" i="117"/>
  <c r="AA69" i="115"/>
  <c r="AB69" i="152"/>
  <c r="AA69" i="146"/>
  <c r="AB69" i="153"/>
  <c r="AA69" i="148"/>
  <c r="AB69" i="144"/>
  <c r="AA69" i="116"/>
  <c r="AB69" i="116" s="1"/>
  <c r="AB69" i="117"/>
  <c r="AA69" i="126"/>
  <c r="AA69" i="119"/>
  <c r="AB69" i="119" s="1"/>
  <c r="AA69" i="131"/>
  <c r="AB69" i="120"/>
  <c r="AA69" i="118"/>
  <c r="AD69" i="113"/>
  <c r="AF69" i="113" s="1"/>
  <c r="AA70" i="149"/>
  <c r="AB70" i="145"/>
  <c r="AA70" i="151"/>
  <c r="AB70" i="146"/>
  <c r="AA70" i="114"/>
  <c r="AC69" i="80"/>
  <c r="AB70" i="120"/>
  <c r="AA70" i="129"/>
  <c r="AB70" i="125"/>
  <c r="AA70" i="126"/>
  <c r="AB27" i="115"/>
  <c r="AA27" i="151"/>
  <c r="AB27" i="146"/>
  <c r="AA27" i="144"/>
  <c r="AB27" i="153"/>
  <c r="AA27" i="147"/>
  <c r="AB27" i="117"/>
  <c r="AA27" i="128"/>
  <c r="AC26" i="76"/>
  <c r="AB26" i="80"/>
  <c r="AB27" i="125"/>
  <c r="AA27" i="118"/>
  <c r="AB27" i="120"/>
  <c r="AB30" i="152"/>
  <c r="AA30" i="145"/>
  <c r="AB30" i="148"/>
  <c r="AA30" i="149"/>
  <c r="AB29" i="80"/>
  <c r="AA30" i="119"/>
  <c r="AB30" i="119" s="1"/>
  <c r="AA30" i="117"/>
  <c r="AB30" i="129"/>
  <c r="AA30" i="125"/>
  <c r="AB30" i="120"/>
  <c r="Z11" i="128"/>
  <c r="X11" i="128"/>
  <c r="V11" i="128"/>
  <c r="AA10" i="76"/>
  <c r="Y10" i="76"/>
  <c r="W10" i="76"/>
  <c r="AA10" i="80"/>
  <c r="Y10" i="80"/>
  <c r="W10" i="80"/>
  <c r="Z11" i="120"/>
  <c r="X11" i="120"/>
  <c r="V11" i="120"/>
  <c r="Z11" i="127"/>
  <c r="X11" i="127"/>
  <c r="V11" i="127"/>
  <c r="Z11" i="131"/>
  <c r="X11" i="131"/>
  <c r="V11" i="131"/>
  <c r="Z11" i="144"/>
  <c r="V11" i="144"/>
  <c r="X11" i="144"/>
  <c r="AA11" i="144" s="1"/>
  <c r="Z11" i="149"/>
  <c r="X11" i="149"/>
  <c r="V11" i="149"/>
  <c r="Z11" i="151"/>
  <c r="X11" i="151"/>
  <c r="V11" i="151"/>
  <c r="Z11" i="145"/>
  <c r="X11" i="145"/>
  <c r="V11" i="145"/>
  <c r="Z11" i="148"/>
  <c r="X11" i="148"/>
  <c r="V11" i="148"/>
  <c r="AB65" i="115"/>
  <c r="AA65" i="152"/>
  <c r="AB65" i="148"/>
  <c r="AA65" i="153"/>
  <c r="AA65" i="144"/>
  <c r="AA65" i="119"/>
  <c r="AB65" i="119" s="1"/>
  <c r="AA65" i="114"/>
  <c r="AB65" i="128"/>
  <c r="AA65" i="126"/>
  <c r="AB65" i="117"/>
  <c r="AA65" i="120"/>
  <c r="AB65" i="118"/>
  <c r="AB13" i="148"/>
  <c r="AA13" i="145"/>
  <c r="AB13" i="151"/>
  <c r="AA13" i="149"/>
  <c r="AB13" i="149" s="1"/>
  <c r="AB13" i="117"/>
  <c r="AB12" i="76"/>
  <c r="AC12" i="76" s="1"/>
  <c r="AB13" i="131"/>
  <c r="AA13" i="116"/>
  <c r="AB13" i="116"/>
  <c r="AB13" i="129"/>
  <c r="AA13" i="127"/>
  <c r="AC12" i="80"/>
  <c r="AA26" i="115"/>
  <c r="AB26" i="153"/>
  <c r="AA26" i="147"/>
  <c r="AB26" i="151"/>
  <c r="AA26" i="146"/>
  <c r="AB26" i="118"/>
  <c r="AA26" i="114"/>
  <c r="AC25" i="80"/>
  <c r="AB26" i="129"/>
  <c r="AA26" i="125"/>
  <c r="AB26" i="120"/>
  <c r="AA26" i="116"/>
  <c r="AB26" i="116"/>
  <c r="G23" i="100"/>
  <c r="AC26" i="113"/>
  <c r="AK23" i="72" s="1"/>
  <c r="AA74" i="153"/>
  <c r="AB74" i="153" s="1"/>
  <c r="AB74" i="147"/>
  <c r="AB74" i="144"/>
  <c r="AB74" i="149"/>
  <c r="AA74" i="148"/>
  <c r="AB74" i="129"/>
  <c r="AA74" i="125"/>
  <c r="AB74" i="126"/>
  <c r="AB73" i="80"/>
  <c r="AA74" i="119"/>
  <c r="AB74" i="119" s="1"/>
  <c r="AA74" i="120"/>
  <c r="AB49" i="115"/>
  <c r="AA49" i="152"/>
  <c r="AB49" i="149"/>
  <c r="AA49" i="153"/>
  <c r="AB49" i="146"/>
  <c r="AA49" i="144"/>
  <c r="AB49" i="114"/>
  <c r="AB49" i="128"/>
  <c r="AA49" i="126"/>
  <c r="AB49" i="117"/>
  <c r="AA49" i="120"/>
  <c r="AB49" i="118"/>
  <c r="AB16" i="151"/>
  <c r="AA16" i="148"/>
  <c r="AB16" i="147"/>
  <c r="AA16" i="145"/>
  <c r="AA16" i="119"/>
  <c r="AB16" i="119" s="1"/>
  <c r="AA16" i="114"/>
  <c r="AB16" i="129"/>
  <c r="AA16" i="118"/>
  <c r="AB16" i="117"/>
  <c r="AB15" i="76"/>
  <c r="AC15" i="76" s="1"/>
  <c r="AB16" i="120"/>
  <c r="AA60" i="115"/>
  <c r="AB60" i="152"/>
  <c r="AA60" i="146"/>
  <c r="AB60" i="153"/>
  <c r="AA60" i="147"/>
  <c r="AB60" i="116"/>
  <c r="AB60" i="128"/>
  <c r="AA60" i="126"/>
  <c r="AB60" i="114"/>
  <c r="AB59" i="76"/>
  <c r="AC59" i="76" s="1"/>
  <c r="AB60" i="120"/>
  <c r="AA60" i="117"/>
  <c r="AC60" i="113"/>
  <c r="AK57" i="72" s="1"/>
  <c r="G57" i="100"/>
  <c r="AD60" i="113"/>
  <c r="AF60" i="113" s="1"/>
  <c r="AA68" i="149"/>
  <c r="AB68" i="145"/>
  <c r="AA68" i="151"/>
  <c r="AB68" i="147"/>
  <c r="AA68" i="116"/>
  <c r="AC67" i="80"/>
  <c r="AA68" i="129"/>
  <c r="AB68" i="118"/>
  <c r="AA68" i="131"/>
  <c r="AB68" i="127"/>
  <c r="AA68" i="125"/>
  <c r="AB18" i="115"/>
  <c r="AA18" i="153"/>
  <c r="AB18" i="147"/>
  <c r="AA18" i="152"/>
  <c r="AB18" i="146"/>
  <c r="AA18" i="118"/>
  <c r="AB18" i="114"/>
  <c r="AB17" i="80"/>
  <c r="AA18" i="119"/>
  <c r="AB18" i="119" s="1"/>
  <c r="AA18" i="129"/>
  <c r="AB18" i="125"/>
  <c r="AA18" i="120"/>
  <c r="AB18" i="116"/>
  <c r="AB21" i="148"/>
  <c r="AA21" i="145"/>
  <c r="AB21" i="151"/>
  <c r="AA21" i="149"/>
  <c r="AB21" i="125"/>
  <c r="AA21" i="117"/>
  <c r="AC20" i="76"/>
  <c r="AA21" i="127"/>
  <c r="AA21" i="131"/>
  <c r="AB21" i="120"/>
  <c r="AA61" i="115"/>
  <c r="AB61" i="152"/>
  <c r="AA61" i="146"/>
  <c r="AB61" i="153"/>
  <c r="AA61" i="147"/>
  <c r="AB61" i="144"/>
  <c r="AA61" i="117"/>
  <c r="AB61" i="118"/>
  <c r="AB61" i="120"/>
  <c r="AA61" i="129"/>
  <c r="AB61" i="128"/>
  <c r="AB60" i="80"/>
  <c r="G58" i="100"/>
  <c r="AC61" i="113"/>
  <c r="AA66" i="149"/>
  <c r="AB66" i="145"/>
  <c r="AA66" i="151"/>
  <c r="AB66" i="147"/>
  <c r="AA66" i="118"/>
  <c r="AC65" i="76"/>
  <c r="AA66" i="128"/>
  <c r="AB66" i="126"/>
  <c r="AA66" i="131"/>
  <c r="AB66" i="127"/>
  <c r="AA66" i="117"/>
  <c r="U12" i="137"/>
  <c r="V12" i="137" s="1"/>
  <c r="Z12" i="137"/>
  <c r="AB52" i="115"/>
  <c r="AA52" i="153"/>
  <c r="AB52" i="148"/>
  <c r="AA52" i="145"/>
  <c r="AB52" i="147"/>
  <c r="AA52" i="116"/>
  <c r="AB52" i="116" s="1"/>
  <c r="AA52" i="119"/>
  <c r="AB52" i="119" s="1"/>
  <c r="AA52" i="128"/>
  <c r="AB52" i="126"/>
  <c r="AA52" i="114"/>
  <c r="AA52" i="120"/>
  <c r="AB52" i="117"/>
  <c r="AB55" i="148"/>
  <c r="AA55" i="145"/>
  <c r="AA55" i="147"/>
  <c r="AB55" i="117"/>
  <c r="AB55" i="131"/>
  <c r="AA55" i="129"/>
  <c r="AB55" i="118"/>
  <c r="AB54" i="80"/>
  <c r="AC54" i="76"/>
  <c r="AA34" i="115"/>
  <c r="AB34" i="144"/>
  <c r="AA34" i="147"/>
  <c r="AA34" i="152"/>
  <c r="AB34" i="149"/>
  <c r="AA34" i="114"/>
  <c r="AC33" i="80"/>
  <c r="AB34" i="129"/>
  <c r="AA34" i="125"/>
  <c r="AB34" i="120"/>
  <c r="AA34" i="116"/>
  <c r="AB34" i="116"/>
  <c r="AH34" i="113"/>
  <c r="AI34" i="113" s="1"/>
  <c r="AJ34" i="113"/>
  <c r="AA62" i="149"/>
  <c r="AB62" i="145"/>
  <c r="AA62" i="151"/>
  <c r="AB62" i="146"/>
  <c r="AA62" i="114"/>
  <c r="AC61" i="80"/>
  <c r="AB62" i="117"/>
  <c r="AA62" i="129"/>
  <c r="AB62" i="125"/>
  <c r="AA62" i="120"/>
  <c r="AB24" i="115"/>
  <c r="AA24" i="153"/>
  <c r="AB24" i="147"/>
  <c r="AA24" i="152"/>
  <c r="AB24" i="146"/>
  <c r="AB24" i="144"/>
  <c r="AB24" i="114"/>
  <c r="AB23" i="76"/>
  <c r="AC23" i="76" s="1"/>
  <c r="AB24" i="120"/>
  <c r="AA24" i="117"/>
  <c r="AA24" i="126"/>
  <c r="AA24" i="119"/>
  <c r="AB24" i="119" s="1"/>
  <c r="AB39" i="148"/>
  <c r="AA39" i="149"/>
  <c r="AB39" i="120"/>
  <c r="AA39" i="152"/>
  <c r="AA39" i="117"/>
  <c r="AC38" i="80"/>
  <c r="AB38" i="76"/>
  <c r="AB39" i="131"/>
  <c r="AA39" i="129"/>
  <c r="AB39" i="116"/>
  <c r="AM9" i="46"/>
  <c r="AN9" i="46" s="1"/>
  <c r="AP9" i="46" s="1"/>
  <c r="AM11" i="46"/>
  <c r="AN11" i="46" s="1"/>
  <c r="AP11" i="46" s="1"/>
  <c r="AA32" i="115"/>
  <c r="AB32" i="153"/>
  <c r="AA32" i="147"/>
  <c r="AB32" i="151"/>
  <c r="AA32" i="146"/>
  <c r="AA32" i="114"/>
  <c r="AA32" i="120"/>
  <c r="AB32" i="117"/>
  <c r="AB31" i="80"/>
  <c r="AB32" i="129"/>
  <c r="AA32" i="118"/>
  <c r="AH32" i="113"/>
  <c r="AI32" i="113" s="1"/>
  <c r="AJ32" i="113"/>
  <c r="AA17" i="147"/>
  <c r="AB17" i="145"/>
  <c r="AA17" i="151"/>
  <c r="AB17" i="148"/>
  <c r="AA17" i="125"/>
  <c r="AB17" i="128"/>
  <c r="AA17" i="126"/>
  <c r="AB17" i="114"/>
  <c r="AB17" i="120"/>
  <c r="AA17" i="118"/>
  <c r="AB37" i="115"/>
  <c r="AA37" i="151"/>
  <c r="AB37" i="146"/>
  <c r="AA37" i="153"/>
  <c r="AB37" i="147"/>
  <c r="AA37" i="144"/>
  <c r="AB37" i="114"/>
  <c r="AA37" i="117"/>
  <c r="AB37" i="126"/>
  <c r="AB37" i="131"/>
  <c r="AA37" i="120"/>
  <c r="AB37" i="118"/>
  <c r="AB45" i="149"/>
  <c r="AA45" i="146"/>
  <c r="AB45" i="151"/>
  <c r="AA45" i="145"/>
  <c r="AB45" i="117"/>
  <c r="AA45" i="114"/>
  <c r="AC44" i="76"/>
  <c r="AA45" i="127"/>
  <c r="AB45" i="129"/>
  <c r="AA45" i="128"/>
  <c r="AC44" i="80"/>
  <c r="AA53" i="115"/>
  <c r="AB53" i="152"/>
  <c r="AA53" i="146"/>
  <c r="AB53" i="153"/>
  <c r="AA53" i="147"/>
  <c r="AB53" i="144"/>
  <c r="AA53" i="117"/>
  <c r="AB53" i="125"/>
  <c r="AB52" i="76"/>
  <c r="AB53" i="127"/>
  <c r="AA53" i="129"/>
  <c r="AC52" i="80"/>
  <c r="AA53" i="128"/>
  <c r="AH53" i="113"/>
  <c r="AI53" i="113" s="1"/>
  <c r="AJ53" i="113"/>
  <c r="AA22" i="151"/>
  <c r="AB22" i="149"/>
  <c r="AA22" i="148"/>
  <c r="AB22" i="145"/>
  <c r="AB22" i="144"/>
  <c r="AC21" i="80"/>
  <c r="AB22" i="117"/>
  <c r="AA22" i="116"/>
  <c r="AB22" i="131"/>
  <c r="AA22" i="127"/>
  <c r="AB73" i="115"/>
  <c r="AA73" i="114"/>
  <c r="AB73" i="149"/>
  <c r="AA73" i="148"/>
  <c r="AB73" i="151"/>
  <c r="AA73" i="145"/>
  <c r="AB73" i="125"/>
  <c r="AB72" i="76"/>
  <c r="AB73" i="118"/>
  <c r="AA73" i="131"/>
  <c r="AB73" i="129"/>
  <c r="AA73" i="117"/>
  <c r="AB73" i="127"/>
  <c r="AB50" i="147"/>
  <c r="AA50" i="145"/>
  <c r="AB50" i="151"/>
  <c r="AA50" i="148"/>
  <c r="AB50" i="118"/>
  <c r="AB49" i="76"/>
  <c r="AC49" i="76" s="1"/>
  <c r="AB50" i="128"/>
  <c r="AA50" i="126"/>
  <c r="AB50" i="131"/>
  <c r="AA50" i="127"/>
  <c r="AB50" i="117"/>
  <c r="AA56" i="115"/>
  <c r="AB56" i="152"/>
  <c r="AA56" i="149"/>
  <c r="AB56" i="153"/>
  <c r="AA56" i="146"/>
  <c r="AB56" i="144"/>
  <c r="AA56" i="131"/>
  <c r="AB56" i="127"/>
  <c r="AA56" i="125"/>
  <c r="AB56" i="116"/>
  <c r="AA56" i="128"/>
  <c r="AB56" i="126"/>
  <c r="AH56" i="113"/>
  <c r="AI56" i="113" s="1"/>
  <c r="AJ56" i="113"/>
  <c r="AA31" i="148"/>
  <c r="AB31" i="149"/>
  <c r="AA31" i="117"/>
  <c r="AB31" i="152"/>
  <c r="AA31" i="145"/>
  <c r="AB31" i="114"/>
  <c r="AB30" i="76"/>
  <c r="AC30" i="76" s="1"/>
  <c r="AB31" i="126"/>
  <c r="AA31" i="128"/>
  <c r="AB31" i="128" s="1"/>
  <c r="AB31" i="129"/>
  <c r="AA31" i="116"/>
  <c r="AB46" i="115"/>
  <c r="AA46" i="152"/>
  <c r="AB46" i="147"/>
  <c r="AA46" i="153"/>
  <c r="AB46" i="148"/>
  <c r="AA46" i="144"/>
  <c r="AA46" i="128"/>
  <c r="AB46" i="126"/>
  <c r="AA46" i="116"/>
  <c r="AB46" i="116"/>
  <c r="AB46" i="129"/>
  <c r="AA46" i="125"/>
  <c r="AB46" i="120"/>
  <c r="AB29" i="148"/>
  <c r="AA29" i="149"/>
  <c r="AB29" i="152"/>
  <c r="AA29" i="145"/>
  <c r="AB29" i="117"/>
  <c r="AB28" i="76"/>
  <c r="AC28" i="76" s="1"/>
  <c r="AB29" i="114"/>
  <c r="AA29" i="126"/>
  <c r="AB29" i="127"/>
  <c r="AA29" i="125"/>
  <c r="AB29" i="131"/>
  <c r="AA23" i="115"/>
  <c r="AB23" i="153"/>
  <c r="AA23" i="152"/>
  <c r="AB23" i="152" s="1"/>
  <c r="AB23" i="146"/>
  <c r="AA23" i="117"/>
  <c r="AB23" i="147"/>
  <c r="AC22" i="80"/>
  <c r="AB22" i="76"/>
  <c r="AC22" i="76" s="1"/>
  <c r="AB23" i="120"/>
  <c r="AA23" i="128"/>
  <c r="AB23" i="128" s="1"/>
  <c r="AB23" i="125"/>
  <c r="AA23" i="126"/>
  <c r="AH23" i="113"/>
  <c r="AI23" i="113" s="1"/>
  <c r="AJ23" i="113"/>
  <c r="AA64" i="149"/>
  <c r="AB64" i="149" s="1"/>
  <c r="AB64" i="145"/>
  <c r="AA64" i="151"/>
  <c r="AB64" i="147"/>
  <c r="AA64" i="116"/>
  <c r="AB64" i="116" s="1"/>
  <c r="AB64" i="131"/>
  <c r="AA64" i="127"/>
  <c r="AB64" i="125"/>
  <c r="AB64" i="128"/>
  <c r="AA64" i="126"/>
  <c r="AB35" i="113"/>
  <c r="Z35" i="120"/>
  <c r="X35" i="120"/>
  <c r="V35" i="120"/>
  <c r="Z35" i="129"/>
  <c r="X35" i="129"/>
  <c r="V35" i="129"/>
  <c r="Z35" i="131"/>
  <c r="X35" i="131"/>
  <c r="V35" i="131"/>
  <c r="Z35" i="116"/>
  <c r="X35" i="116"/>
  <c r="V35" i="116"/>
  <c r="Z35" i="118"/>
  <c r="X35" i="118"/>
  <c r="V35" i="118"/>
  <c r="Z35" i="128"/>
  <c r="X35" i="128"/>
  <c r="V35" i="128"/>
  <c r="Z35" i="117"/>
  <c r="X35" i="117"/>
  <c r="V35" i="117"/>
  <c r="Z35" i="146"/>
  <c r="X35" i="146"/>
  <c r="V35" i="146"/>
  <c r="Z35" i="153"/>
  <c r="X35" i="153"/>
  <c r="V35" i="153"/>
  <c r="Z35" i="144"/>
  <c r="X35" i="144"/>
  <c r="V35" i="144"/>
  <c r="Z35" i="145"/>
  <c r="X35" i="145"/>
  <c r="V35" i="145"/>
  <c r="Z35" i="151"/>
  <c r="X35" i="151"/>
  <c r="V35" i="151"/>
  <c r="Z35" i="115"/>
  <c r="X35" i="115"/>
  <c r="V35" i="115"/>
  <c r="AA9" i="115"/>
  <c r="AB9" i="152"/>
  <c r="AA9" i="149"/>
  <c r="AB9" i="153"/>
  <c r="AA9" i="146"/>
  <c r="AB8" i="76"/>
  <c r="AC8" i="76" s="1"/>
  <c r="AB9" i="120"/>
  <c r="AA9" i="127"/>
  <c r="AA9" i="128"/>
  <c r="AB9" i="131"/>
  <c r="AA9" i="117"/>
  <c r="AH9" i="113"/>
  <c r="AI9" i="113" s="1"/>
  <c r="AJ9" i="113"/>
  <c r="H15" i="137"/>
  <c r="L5" i="137"/>
  <c r="AA25" i="148"/>
  <c r="AB25" i="145"/>
  <c r="AA25" i="151"/>
  <c r="AB25" i="149"/>
  <c r="AB25" i="114"/>
  <c r="AB24" i="80"/>
  <c r="AB25" i="126"/>
  <c r="AA25" i="116"/>
  <c r="AB25" i="120"/>
  <c r="AA25" i="131"/>
  <c r="AB59" i="115"/>
  <c r="AA59" i="152"/>
  <c r="AB59" i="146"/>
  <c r="AA59" i="144"/>
  <c r="AB59" i="151"/>
  <c r="AA59" i="149"/>
  <c r="AC58" i="80"/>
  <c r="AA59" i="125"/>
  <c r="AA59" i="119"/>
  <c r="AB59" i="119" s="1"/>
  <c r="AA59" i="128"/>
  <c r="AC58" i="76"/>
  <c r="AA59" i="118"/>
  <c r="AB59" i="120"/>
  <c r="AB28" i="152"/>
  <c r="AA28" i="145"/>
  <c r="AB28" i="148"/>
  <c r="AA28" i="149"/>
  <c r="AB27" i="80"/>
  <c r="AB28" i="129"/>
  <c r="AA28" i="118"/>
  <c r="AB28" i="131"/>
  <c r="AA28" i="127"/>
  <c r="AB28" i="125"/>
  <c r="AA36" i="115"/>
  <c r="AB36" i="151"/>
  <c r="AA36" i="145"/>
  <c r="AB36" i="153"/>
  <c r="AA36" i="146"/>
  <c r="AB36" i="144"/>
  <c r="AB36" i="128"/>
  <c r="AA36" i="126"/>
  <c r="AB35" i="76"/>
  <c r="AC35" i="76" s="1"/>
  <c r="AB36" i="120"/>
  <c r="AA36" i="117"/>
  <c r="AH36" i="113"/>
  <c r="AI36" i="113" s="1"/>
  <c r="AJ36" i="113"/>
  <c r="AA54" i="148"/>
  <c r="AB54" i="145"/>
  <c r="AA54" i="151"/>
  <c r="AB54" i="149"/>
  <c r="AA54" i="114"/>
  <c r="AC53" i="80"/>
  <c r="AA54" i="116"/>
  <c r="AB54" i="131"/>
  <c r="AA54" i="127"/>
  <c r="AA19" i="152"/>
  <c r="AB19" i="146"/>
  <c r="AA19" i="153"/>
  <c r="AA19" i="126"/>
  <c r="AB19" i="117"/>
  <c r="AA19" i="128"/>
  <c r="AA19" i="116"/>
  <c r="AB19" i="116"/>
  <c r="AB19" i="131"/>
  <c r="AB19" i="120"/>
  <c r="M38" i="100"/>
  <c r="AC41" i="119"/>
  <c r="AQ38" i="72" s="1"/>
  <c r="AD35" i="100"/>
  <c r="AB38" i="128"/>
  <c r="J35" i="100"/>
  <c r="AB38" i="127"/>
  <c r="AA38" i="118"/>
  <c r="AH38" i="113"/>
  <c r="AI38" i="113" s="1"/>
  <c r="AJ38" i="113"/>
  <c r="AA67" i="149"/>
  <c r="AB67" i="145"/>
  <c r="AA67" i="153"/>
  <c r="AB67" i="148"/>
  <c r="AA67" i="117"/>
  <c r="AB67" i="131"/>
  <c r="AA67" i="126"/>
  <c r="AA67" i="128"/>
  <c r="AB67" i="128" s="1"/>
  <c r="AB66" i="76"/>
  <c r="AJ6" i="46"/>
  <c r="AI12" i="46"/>
  <c r="AI17" i="46" s="1"/>
  <c r="AB10" i="152"/>
  <c r="AB10" i="118"/>
  <c r="AC9" i="80"/>
  <c r="AB10" i="129"/>
  <c r="AB10" i="120"/>
  <c r="AA10" i="116"/>
  <c r="AB10" i="116"/>
  <c r="AC10" i="113"/>
  <c r="AK7" i="72" s="1"/>
  <c r="G7" i="100"/>
  <c r="AD10" i="113"/>
  <c r="AF10" i="113" s="1"/>
  <c r="AB69" i="145"/>
  <c r="AB69" i="147"/>
  <c r="AB69" i="125"/>
  <c r="AB69" i="127"/>
  <c r="AC68" i="80"/>
  <c r="AB70" i="115"/>
  <c r="AB70" i="147"/>
  <c r="AB70" i="148"/>
  <c r="AB70" i="127"/>
  <c r="AB70" i="131"/>
  <c r="AB70" i="118"/>
  <c r="AB27" i="148"/>
  <c r="AB27" i="129"/>
  <c r="AC27" i="116"/>
  <c r="J24" i="100"/>
  <c r="AB30" i="153"/>
  <c r="AB30" i="114"/>
  <c r="AC30" i="116"/>
  <c r="J27" i="100"/>
  <c r="G27" i="100"/>
  <c r="AC30" i="113"/>
  <c r="AK27" i="72" s="1"/>
  <c r="AB65" i="145"/>
  <c r="AB65" i="147"/>
  <c r="J62" i="100"/>
  <c r="AC65" i="116"/>
  <c r="AB65" i="131"/>
  <c r="AB13" i="115"/>
  <c r="AB13" i="147"/>
  <c r="AC13" i="144"/>
  <c r="AY10" i="72" s="1"/>
  <c r="U10" i="100"/>
  <c r="AB13" i="118"/>
  <c r="AB13" i="120"/>
  <c r="AB13" i="126"/>
  <c r="AB13" i="125"/>
  <c r="AB26" i="152"/>
  <c r="AB26" i="148"/>
  <c r="AB26" i="131"/>
  <c r="AB26" i="117"/>
  <c r="AB74" i="114"/>
  <c r="AB74" i="145"/>
  <c r="AB74" i="146"/>
  <c r="AB74" i="131"/>
  <c r="AC73" i="76"/>
  <c r="AB74" i="127"/>
  <c r="J71" i="100"/>
  <c r="AC74" i="116"/>
  <c r="AH74" i="113"/>
  <c r="AI74" i="113" s="1"/>
  <c r="AJ74" i="113"/>
  <c r="AB49" i="145"/>
  <c r="AB49" i="131"/>
  <c r="AB16" i="115"/>
  <c r="AB16" i="149"/>
  <c r="AC16" i="144"/>
  <c r="AY13" i="72" s="1"/>
  <c r="U13" i="100"/>
  <c r="AD16" i="144"/>
  <c r="AF16" i="144" s="1"/>
  <c r="AB16" i="126"/>
  <c r="AC15" i="80"/>
  <c r="AB60" i="148"/>
  <c r="AB60" i="151"/>
  <c r="AB60" i="144"/>
  <c r="AB60" i="129"/>
  <c r="AB60" i="131"/>
  <c r="AB60" i="125"/>
  <c r="AB68" i="152"/>
  <c r="AB68" i="153"/>
  <c r="AC68" i="148"/>
  <c r="BC65" i="72" s="1"/>
  <c r="Y65" i="100"/>
  <c r="AB68" i="144"/>
  <c r="AB68" i="128"/>
  <c r="AB68" i="114"/>
  <c r="AD67" i="76"/>
  <c r="BH65" i="72" s="1"/>
  <c r="AD65" i="100"/>
  <c r="AE67" i="76"/>
  <c r="AG67" i="76" s="1"/>
  <c r="AB68" i="120"/>
  <c r="AH68" i="113"/>
  <c r="AI68" i="113" s="1"/>
  <c r="AJ68" i="113"/>
  <c r="AB18" i="149"/>
  <c r="AB18" i="145"/>
  <c r="AC18" i="144"/>
  <c r="AY15" i="72" s="1"/>
  <c r="U15" i="100"/>
  <c r="AD18" i="144"/>
  <c r="AF18" i="144" s="1"/>
  <c r="AB18" i="126"/>
  <c r="AB18" i="127"/>
  <c r="AB21" i="115"/>
  <c r="AC21" i="152"/>
  <c r="BF18" i="72" s="1"/>
  <c r="AB18" i="100"/>
  <c r="AD21" i="152"/>
  <c r="AF21" i="152" s="1"/>
  <c r="AB21" i="146"/>
  <c r="AB21" i="147"/>
  <c r="AC21" i="144"/>
  <c r="AY18" i="72" s="1"/>
  <c r="U18" i="100"/>
  <c r="AB21" i="114"/>
  <c r="AB21" i="126"/>
  <c r="AB21" i="129"/>
  <c r="AB21" i="128"/>
  <c r="AB61" i="148"/>
  <c r="AB61" i="151"/>
  <c r="AC61" i="145"/>
  <c r="AZ58" i="72" s="1"/>
  <c r="V58" i="100"/>
  <c r="AD61" i="145"/>
  <c r="AF61" i="145" s="1"/>
  <c r="AC60" i="76"/>
  <c r="AB61" i="125"/>
  <c r="AB61" i="131"/>
  <c r="AB66" i="152"/>
  <c r="AB66" i="153"/>
  <c r="AB66" i="144"/>
  <c r="AC65" i="80"/>
  <c r="AB66" i="129"/>
  <c r="AB66" i="120"/>
  <c r="J63" i="100"/>
  <c r="AC66" i="116"/>
  <c r="AN63" i="72" s="1"/>
  <c r="AH66" i="113"/>
  <c r="AI66" i="113" s="1"/>
  <c r="AJ66" i="113"/>
  <c r="Z44" i="125"/>
  <c r="X44" i="125"/>
  <c r="V44" i="125"/>
  <c r="Z44" i="127"/>
  <c r="X44" i="127"/>
  <c r="V44" i="127"/>
  <c r="Z44" i="131"/>
  <c r="X44" i="131"/>
  <c r="V44" i="131"/>
  <c r="Z44" i="118"/>
  <c r="X44" i="118"/>
  <c r="V44" i="118"/>
  <c r="Z44" i="129"/>
  <c r="X44" i="129"/>
  <c r="V44" i="129"/>
  <c r="AA43" i="80"/>
  <c r="Y43" i="80"/>
  <c r="W43" i="80"/>
  <c r="Z44" i="116"/>
  <c r="X44" i="116"/>
  <c r="V44" i="116"/>
  <c r="Z44" i="146"/>
  <c r="V44" i="146"/>
  <c r="X44" i="146"/>
  <c r="AA44" i="146" s="1"/>
  <c r="Z44" i="151"/>
  <c r="X44" i="151"/>
  <c r="V44" i="151"/>
  <c r="Z44" i="145"/>
  <c r="X44" i="145"/>
  <c r="V44" i="145"/>
  <c r="Z44" i="149"/>
  <c r="X44" i="149"/>
  <c r="V44" i="149"/>
  <c r="AB52" i="152"/>
  <c r="AB52" i="151"/>
  <c r="AB52" i="144"/>
  <c r="AB52" i="129"/>
  <c r="AB52" i="131"/>
  <c r="AB52" i="125"/>
  <c r="AB55" i="152"/>
  <c r="AB55" i="144"/>
  <c r="AB55" i="149"/>
  <c r="AB55" i="120"/>
  <c r="AB55" i="125"/>
  <c r="AB55" i="127"/>
  <c r="J52" i="100"/>
  <c r="AC55" i="116"/>
  <c r="AN52" i="72" s="1"/>
  <c r="AH55" i="113"/>
  <c r="AI55" i="113" s="1"/>
  <c r="AJ55" i="113"/>
  <c r="Z57" i="131"/>
  <c r="X57" i="131"/>
  <c r="V57" i="131"/>
  <c r="Z57" i="120"/>
  <c r="X57" i="120"/>
  <c r="V57" i="120"/>
  <c r="Z57" i="127"/>
  <c r="X57" i="127"/>
  <c r="V57" i="127"/>
  <c r="Z57" i="118"/>
  <c r="X57" i="118"/>
  <c r="V57" i="118"/>
  <c r="AA56" i="76"/>
  <c r="Y56" i="76"/>
  <c r="W56" i="76"/>
  <c r="Z57" i="114"/>
  <c r="X57" i="114"/>
  <c r="V57" i="114"/>
  <c r="Z57" i="116"/>
  <c r="X57" i="116"/>
  <c r="V57" i="116"/>
  <c r="Z57" i="148"/>
  <c r="X57" i="148"/>
  <c r="V57" i="148"/>
  <c r="Z57" i="151"/>
  <c r="X57" i="151"/>
  <c r="V57" i="151"/>
  <c r="Z57" i="145"/>
  <c r="X57" i="145"/>
  <c r="V57" i="145"/>
  <c r="Z57" i="147"/>
  <c r="X57" i="147"/>
  <c r="V57" i="147"/>
  <c r="AB34" i="151"/>
  <c r="AB34" i="153"/>
  <c r="AB34" i="118"/>
  <c r="AB34" i="128"/>
  <c r="AB34" i="131"/>
  <c r="AB34" i="117"/>
  <c r="AB62" i="152"/>
  <c r="AB62" i="153"/>
  <c r="AB62" i="144"/>
  <c r="AD59" i="100"/>
  <c r="AD61" i="76"/>
  <c r="AB62" i="128"/>
  <c r="AB62" i="127"/>
  <c r="AH62" i="113"/>
  <c r="AI62" i="113" s="1"/>
  <c r="AJ62" i="113"/>
  <c r="AB24" i="149"/>
  <c r="AB24" i="145"/>
  <c r="AA24" i="116"/>
  <c r="AB24" i="116"/>
  <c r="AB24" i="131"/>
  <c r="AB24" i="125"/>
  <c r="AB24" i="129"/>
  <c r="AB39" i="115"/>
  <c r="AB39" i="146"/>
  <c r="AB39" i="153"/>
  <c r="AB39" i="118"/>
  <c r="AB39" i="127"/>
  <c r="AB39" i="128"/>
  <c r="AB39" i="126"/>
  <c r="AJ14" i="46"/>
  <c r="AJ15" i="46" s="1"/>
  <c r="AL7" i="46"/>
  <c r="AK7" i="46"/>
  <c r="AB32" i="145"/>
  <c r="AB32" i="149"/>
  <c r="AB32" i="131"/>
  <c r="AB32" i="125"/>
  <c r="AA32" i="116"/>
  <c r="AB32" i="116"/>
  <c r="AB17" i="115"/>
  <c r="AB17" i="149"/>
  <c r="AB17" i="146"/>
  <c r="AC17" i="144"/>
  <c r="AY14" i="72" s="1"/>
  <c r="U14" i="100"/>
  <c r="AD17" i="144"/>
  <c r="AF17" i="144" s="1"/>
  <c r="AC16" i="76"/>
  <c r="AB17" i="127"/>
  <c r="AB17" i="129"/>
  <c r="AB17" i="117"/>
  <c r="AB37" i="148"/>
  <c r="AB37" i="152"/>
  <c r="AB37" i="125"/>
  <c r="AA37" i="116"/>
  <c r="AB37" i="116"/>
  <c r="AC36" i="76"/>
  <c r="AB37" i="129"/>
  <c r="AB37" i="128"/>
  <c r="AB45" i="152"/>
  <c r="AB45" i="153"/>
  <c r="AC45" i="148"/>
  <c r="BC42" i="72" s="1"/>
  <c r="Y42" i="100"/>
  <c r="AD45" i="148"/>
  <c r="AF45" i="148" s="1"/>
  <c r="AB45" i="144"/>
  <c r="AB45" i="120"/>
  <c r="AB45" i="131"/>
  <c r="AC45" i="113"/>
  <c r="AK42" i="72" s="1"/>
  <c r="G42" i="100"/>
  <c r="AD45" i="113"/>
  <c r="AF45" i="113" s="1"/>
  <c r="AC53" i="148"/>
  <c r="BC50" i="72" s="1"/>
  <c r="Y50" i="100"/>
  <c r="AB53" i="145"/>
  <c r="AB53" i="149"/>
  <c r="AB53" i="118"/>
  <c r="AB53" i="126"/>
  <c r="AB53" i="131"/>
  <c r="AB22" i="115"/>
  <c r="AB22" i="147"/>
  <c r="AB22" i="146"/>
  <c r="AC21" i="76"/>
  <c r="AB22" i="126"/>
  <c r="AB22" i="129"/>
  <c r="AB22" i="120"/>
  <c r="AB73" i="152"/>
  <c r="AB73" i="153"/>
  <c r="AB73" i="144"/>
  <c r="J70" i="100"/>
  <c r="AC73" i="116"/>
  <c r="AC72" i="80"/>
  <c r="AB73" i="126"/>
  <c r="AB50" i="152"/>
  <c r="AB50" i="153"/>
  <c r="AB50" i="144"/>
  <c r="AC49" i="80"/>
  <c r="AB50" i="129"/>
  <c r="AB50" i="120"/>
  <c r="J47" i="100"/>
  <c r="AC50" i="116"/>
  <c r="AN47" i="72" s="1"/>
  <c r="AC50" i="113"/>
  <c r="AK47" i="72" s="1"/>
  <c r="G47" i="100"/>
  <c r="AD50" i="113"/>
  <c r="AF50" i="113" s="1"/>
  <c r="AB56" i="145"/>
  <c r="AB56" i="148"/>
  <c r="AB56" i="117"/>
  <c r="AB56" i="129"/>
  <c r="AB31" i="115"/>
  <c r="AB31" i="146"/>
  <c r="AB31" i="153"/>
  <c r="AB31" i="120"/>
  <c r="AB31" i="125"/>
  <c r="AB31" i="127"/>
  <c r="AB46" i="149"/>
  <c r="AB46" i="151"/>
  <c r="AB46" i="114"/>
  <c r="AB46" i="118"/>
  <c r="AB46" i="127"/>
  <c r="AB29" i="151"/>
  <c r="AB29" i="153"/>
  <c r="AC29" i="147"/>
  <c r="BB26" i="72" s="1"/>
  <c r="X26" i="100"/>
  <c r="AD29" i="147"/>
  <c r="AF29" i="147" s="1"/>
  <c r="AB29" i="144"/>
  <c r="AB29" i="118"/>
  <c r="AB29" i="128"/>
  <c r="AC29" i="113"/>
  <c r="AK26" i="72" s="1"/>
  <c r="G26" i="100"/>
  <c r="AD29" i="113"/>
  <c r="AF29" i="113" s="1"/>
  <c r="AB23" i="148"/>
  <c r="AB23" i="151"/>
  <c r="AB23" i="114"/>
  <c r="AB23" i="118"/>
  <c r="AB23" i="129"/>
  <c r="AB64" i="115"/>
  <c r="AB64" i="148"/>
  <c r="AB64" i="146"/>
  <c r="AB64" i="114"/>
  <c r="AD61" i="100"/>
  <c r="AD63" i="76"/>
  <c r="BH61" i="72" s="1"/>
  <c r="AB64" i="120"/>
  <c r="AC63" i="80"/>
  <c r="AB64" i="118"/>
  <c r="U14" i="137"/>
  <c r="V14" i="137" s="1"/>
  <c r="Z14" i="137"/>
  <c r="AB9" i="147"/>
  <c r="AB9" i="151"/>
  <c r="AB9" i="114"/>
  <c r="AB9" i="126"/>
  <c r="AB9" i="129"/>
  <c r="Z71" i="126"/>
  <c r="X71" i="126"/>
  <c r="AA71" i="126" s="1"/>
  <c r="V71" i="126"/>
  <c r="Z71" i="129"/>
  <c r="X71" i="129"/>
  <c r="V71" i="129"/>
  <c r="Z71" i="131"/>
  <c r="X71" i="131"/>
  <c r="AA71" i="131" s="1"/>
  <c r="V71" i="131"/>
  <c r="AA70" i="76"/>
  <c r="Y70" i="76"/>
  <c r="W70" i="76"/>
  <c r="AA70" i="80"/>
  <c r="Y70" i="80"/>
  <c r="W70" i="80"/>
  <c r="Z71" i="118"/>
  <c r="X71" i="118"/>
  <c r="V71" i="118"/>
  <c r="Z71" i="120"/>
  <c r="X71" i="120"/>
  <c r="AA71" i="120" s="1"/>
  <c r="V71" i="120"/>
  <c r="Z71" i="148"/>
  <c r="X71" i="148"/>
  <c r="V71" i="148"/>
  <c r="Z71" i="153"/>
  <c r="X71" i="153"/>
  <c r="AA71" i="153" s="1"/>
  <c r="V71" i="153"/>
  <c r="Z71" i="145"/>
  <c r="X71" i="145"/>
  <c r="V71" i="145"/>
  <c r="Z71" i="149"/>
  <c r="X71" i="149"/>
  <c r="AA71" i="149" s="1"/>
  <c r="V71" i="149"/>
  <c r="AB25" i="115"/>
  <c r="AB25" i="146"/>
  <c r="AB25" i="147"/>
  <c r="AB25" i="125"/>
  <c r="AD22" i="100"/>
  <c r="AD24" i="76"/>
  <c r="AB25" i="118"/>
  <c r="AB25" i="129"/>
  <c r="AB25" i="117"/>
  <c r="AB59" i="148"/>
  <c r="AB59" i="153"/>
  <c r="AB59" i="117"/>
  <c r="AB59" i="126"/>
  <c r="AB59" i="129"/>
  <c r="AB28" i="153"/>
  <c r="AB28" i="151"/>
  <c r="AB28" i="114"/>
  <c r="AD25" i="100"/>
  <c r="AD27" i="76"/>
  <c r="AB28" i="120"/>
  <c r="G25" i="100"/>
  <c r="AC28" i="113"/>
  <c r="AK25" i="72" s="1"/>
  <c r="AD28" i="113"/>
  <c r="AF28" i="113" s="1"/>
  <c r="AB36" i="148"/>
  <c r="AB36" i="149"/>
  <c r="AA36" i="116"/>
  <c r="AB36" i="116"/>
  <c r="AC35" i="80"/>
  <c r="AB36" i="118"/>
  <c r="AB36" i="127"/>
  <c r="AB54" i="115"/>
  <c r="AB54" i="146"/>
  <c r="AB54" i="147"/>
  <c r="AC53" i="76"/>
  <c r="AB54" i="126"/>
  <c r="AB54" i="129"/>
  <c r="AB54" i="120"/>
  <c r="AB19" i="148"/>
  <c r="AB19" i="151"/>
  <c r="AB19" i="125"/>
  <c r="AC18" i="80"/>
  <c r="AC18" i="76"/>
  <c r="AB41" i="151"/>
  <c r="AC41" i="145"/>
  <c r="AZ38" i="72" s="1"/>
  <c r="V38" i="100"/>
  <c r="AD41" i="145"/>
  <c r="AF41" i="145" s="1"/>
  <c r="AB41" i="153"/>
  <c r="AB41" i="144"/>
  <c r="AC40" i="76"/>
  <c r="AB41" i="127"/>
  <c r="AB41" i="128"/>
  <c r="AC41" i="113"/>
  <c r="AK38" i="72" s="1"/>
  <c r="G38" i="100"/>
  <c r="AD41" i="113"/>
  <c r="AF41" i="113" s="1"/>
  <c r="AC38" i="148"/>
  <c r="BC35" i="72" s="1"/>
  <c r="Y35" i="100"/>
  <c r="AD38" i="148"/>
  <c r="AF38" i="148" s="1"/>
  <c r="AB38" i="149"/>
  <c r="AB38" i="145"/>
  <c r="AC37" i="80"/>
  <c r="AB38" i="117"/>
  <c r="AB38" i="125"/>
  <c r="AB67" i="115"/>
  <c r="AB67" i="146"/>
  <c r="AB67" i="151"/>
  <c r="AC66" i="80"/>
  <c r="AB67" i="127"/>
  <c r="AB67" i="125"/>
  <c r="AB67" i="120"/>
  <c r="AD17" i="46"/>
  <c r="Z20" i="125"/>
  <c r="X20" i="125"/>
  <c r="V20" i="125"/>
  <c r="Z20" i="127"/>
  <c r="X20" i="127"/>
  <c r="AA20" i="127" s="1"/>
  <c r="V20" i="127"/>
  <c r="Z20" i="131"/>
  <c r="X20" i="131"/>
  <c r="V20" i="131"/>
  <c r="Z20" i="118"/>
  <c r="X20" i="118"/>
  <c r="AA20" i="118" s="1"/>
  <c r="V20" i="118"/>
  <c r="Z20" i="129"/>
  <c r="X20" i="129"/>
  <c r="V20" i="129"/>
  <c r="AA19" i="80"/>
  <c r="Y19" i="80"/>
  <c r="W19" i="80"/>
  <c r="Z20" i="116"/>
  <c r="X20" i="116"/>
  <c r="V20" i="116"/>
  <c r="Z20" i="149"/>
  <c r="X20" i="149"/>
  <c r="AA20" i="149" s="1"/>
  <c r="V20" i="149"/>
  <c r="Z20" i="148"/>
  <c r="X20" i="148"/>
  <c r="V20" i="148"/>
  <c r="Z20" i="145"/>
  <c r="X20" i="145"/>
  <c r="AA20" i="145" s="1"/>
  <c r="V20" i="145"/>
  <c r="Z20" i="151"/>
  <c r="X20" i="151"/>
  <c r="V20" i="151"/>
  <c r="AC8" i="113"/>
  <c r="AK5" i="72" s="1"/>
  <c r="G5" i="100"/>
  <c r="AD8" i="113"/>
  <c r="AF8" i="113" s="1"/>
  <c r="Z8" i="128"/>
  <c r="X8" i="128"/>
  <c r="V8" i="128"/>
  <c r="Z8" i="127"/>
  <c r="X8" i="127"/>
  <c r="AA8" i="127" s="1"/>
  <c r="V8" i="127"/>
  <c r="AA7" i="80"/>
  <c r="Y7" i="80"/>
  <c r="W7" i="80"/>
  <c r="Z8" i="117"/>
  <c r="X8" i="117"/>
  <c r="AA8" i="117" s="1"/>
  <c r="V8" i="117"/>
  <c r="Z8" i="118"/>
  <c r="X8" i="118"/>
  <c r="V8" i="118"/>
  <c r="Z8" i="129"/>
  <c r="X8" i="129"/>
  <c r="AA8" i="129" s="1"/>
  <c r="V8" i="129"/>
  <c r="Z8" i="114"/>
  <c r="X8" i="114"/>
  <c r="V8" i="114"/>
  <c r="Z8" i="144"/>
  <c r="V8" i="144"/>
  <c r="AB8" i="144" s="1"/>
  <c r="X8" i="144"/>
  <c r="AA8" i="144" s="1"/>
  <c r="Z8" i="149"/>
  <c r="X8" i="149"/>
  <c r="V8" i="149"/>
  <c r="Z8" i="152"/>
  <c r="X8" i="152"/>
  <c r="AA8" i="152" s="1"/>
  <c r="V8" i="152"/>
  <c r="Z8" i="146"/>
  <c r="X8" i="146"/>
  <c r="V8" i="146"/>
  <c r="Z8" i="153"/>
  <c r="X8" i="153"/>
  <c r="AA8" i="153" s="1"/>
  <c r="V8" i="153"/>
  <c r="Z8" i="115"/>
  <c r="X8" i="115"/>
  <c r="V8" i="115"/>
  <c r="Z43" i="118"/>
  <c r="X43" i="118"/>
  <c r="AA43" i="118" s="1"/>
  <c r="V43" i="118"/>
  <c r="Z43" i="125"/>
  <c r="X43" i="125"/>
  <c r="V43" i="125"/>
  <c r="AA42" i="80"/>
  <c r="Y42" i="80"/>
  <c r="W42" i="80"/>
  <c r="Z43" i="120"/>
  <c r="X43" i="120"/>
  <c r="V43" i="120"/>
  <c r="AA42" i="76"/>
  <c r="Y42" i="76"/>
  <c r="W42" i="76"/>
  <c r="Z43" i="128"/>
  <c r="X43" i="128"/>
  <c r="V43" i="128"/>
  <c r="Z43" i="145"/>
  <c r="X43" i="145"/>
  <c r="AA43" i="145" s="1"/>
  <c r="V43" i="145"/>
  <c r="Z43" i="152"/>
  <c r="X43" i="152"/>
  <c r="V43" i="152"/>
  <c r="Z43" i="126"/>
  <c r="X43" i="126"/>
  <c r="AA43" i="126" s="1"/>
  <c r="V43" i="126"/>
  <c r="Z43" i="148"/>
  <c r="X43" i="148"/>
  <c r="V43" i="148"/>
  <c r="Z43" i="149"/>
  <c r="X43" i="149"/>
  <c r="AA43" i="149" s="1"/>
  <c r="AB43" i="149" s="1"/>
  <c r="V43" i="149"/>
  <c r="AC72" i="113"/>
  <c r="AK69" i="72" s="1"/>
  <c r="G69" i="100"/>
  <c r="AD72" i="113"/>
  <c r="AF72" i="113" s="1"/>
  <c r="Z72" i="118"/>
  <c r="X72" i="118"/>
  <c r="AA72" i="118" s="1"/>
  <c r="V72" i="118"/>
  <c r="Z72" i="129"/>
  <c r="X72" i="129"/>
  <c r="V72" i="129"/>
  <c r="AA71" i="80"/>
  <c r="Y71" i="80"/>
  <c r="W71" i="80"/>
  <c r="Z72" i="119"/>
  <c r="AA72" i="119" s="1"/>
  <c r="X72" i="119"/>
  <c r="V72" i="119"/>
  <c r="AB72" i="119" s="1"/>
  <c r="Z72" i="120"/>
  <c r="X72" i="120"/>
  <c r="AA72" i="120" s="1"/>
  <c r="V72" i="120"/>
  <c r="AA71" i="76"/>
  <c r="Y71" i="76"/>
  <c r="W71" i="76"/>
  <c r="Z72" i="114"/>
  <c r="X72" i="114"/>
  <c r="AA72" i="114" s="1"/>
  <c r="V72" i="114"/>
  <c r="Z72" i="144"/>
  <c r="X72" i="144"/>
  <c r="V72" i="144"/>
  <c r="Z72" i="147"/>
  <c r="X72" i="147"/>
  <c r="AA72" i="147" s="1"/>
  <c r="V72" i="147"/>
  <c r="Z72" i="153"/>
  <c r="X72" i="153"/>
  <c r="V72" i="153"/>
  <c r="Z72" i="146"/>
  <c r="X72" i="146"/>
  <c r="AA72" i="146" s="1"/>
  <c r="V72" i="146"/>
  <c r="Z72" i="152"/>
  <c r="X72" i="152"/>
  <c r="V72" i="152"/>
  <c r="Z72" i="115"/>
  <c r="X72" i="115"/>
  <c r="AA72" i="115" s="1"/>
  <c r="V72" i="115"/>
  <c r="Z12" i="125"/>
  <c r="X12" i="125"/>
  <c r="V12" i="125"/>
  <c r="Z12" i="126"/>
  <c r="X12" i="126"/>
  <c r="AA12" i="126" s="1"/>
  <c r="V12" i="126"/>
  <c r="Z12" i="131"/>
  <c r="X12" i="131"/>
  <c r="V12" i="131"/>
  <c r="Z12" i="128"/>
  <c r="X12" i="128"/>
  <c r="AA12" i="128" s="1"/>
  <c r="AB12" i="128" s="1"/>
  <c r="V12" i="128"/>
  <c r="Z12" i="127"/>
  <c r="X12" i="127"/>
  <c r="V12" i="127"/>
  <c r="AA11" i="80"/>
  <c r="Y11" i="80"/>
  <c r="W11" i="80"/>
  <c r="Z12" i="116"/>
  <c r="X12" i="116"/>
  <c r="V12" i="116"/>
  <c r="AB12" i="116" s="1"/>
  <c r="Z12" i="145"/>
  <c r="X12" i="145"/>
  <c r="AA12" i="145" s="1"/>
  <c r="V12" i="145"/>
  <c r="Z12" i="148"/>
  <c r="X12" i="148"/>
  <c r="V12" i="148"/>
  <c r="Z12" i="149"/>
  <c r="X12" i="149"/>
  <c r="AA12" i="149" s="1"/>
  <c r="V12" i="149"/>
  <c r="Z12" i="151"/>
  <c r="X12" i="151"/>
  <c r="V12" i="151"/>
  <c r="AC58" i="113"/>
  <c r="AK55" i="72" s="1"/>
  <c r="G55" i="100"/>
  <c r="AD58" i="113"/>
  <c r="AF58" i="113" s="1"/>
  <c r="Z58" i="116"/>
  <c r="X58" i="116"/>
  <c r="V58" i="116"/>
  <c r="Z58" i="120"/>
  <c r="X58" i="120"/>
  <c r="AA58" i="120" s="1"/>
  <c r="V58" i="120"/>
  <c r="Z58" i="125"/>
  <c r="X58" i="125"/>
  <c r="V58" i="125"/>
  <c r="Z58" i="129"/>
  <c r="X58" i="129"/>
  <c r="AA58" i="129" s="1"/>
  <c r="V58" i="129"/>
  <c r="Z58" i="119"/>
  <c r="AA58" i="119" s="1"/>
  <c r="X58" i="119"/>
  <c r="V58" i="119"/>
  <c r="AB58" i="119" s="1"/>
  <c r="AA57" i="80"/>
  <c r="Y57" i="80"/>
  <c r="W57" i="80"/>
  <c r="Z58" i="118"/>
  <c r="X58" i="118"/>
  <c r="V58" i="118"/>
  <c r="Z58" i="144"/>
  <c r="X58" i="144"/>
  <c r="AA58" i="144" s="1"/>
  <c r="V58" i="144"/>
  <c r="Z58" i="146"/>
  <c r="X58" i="146"/>
  <c r="V58" i="146"/>
  <c r="Z58" i="153"/>
  <c r="X58" i="153"/>
  <c r="AA58" i="153" s="1"/>
  <c r="V58" i="153"/>
  <c r="Z58" i="149"/>
  <c r="X58" i="149"/>
  <c r="V58" i="149"/>
  <c r="Z58" i="152"/>
  <c r="X58" i="152"/>
  <c r="AA58" i="152" s="1"/>
  <c r="V58" i="152"/>
  <c r="Z58" i="115"/>
  <c r="X58" i="115"/>
  <c r="V58" i="115"/>
  <c r="Z40" i="126"/>
  <c r="X40" i="126"/>
  <c r="AA40" i="126" s="1"/>
  <c r="V40" i="126"/>
  <c r="Z40" i="128"/>
  <c r="X40" i="128"/>
  <c r="V40" i="128"/>
  <c r="Z40" i="119"/>
  <c r="X40" i="119"/>
  <c r="V40" i="119"/>
  <c r="Z40" i="125"/>
  <c r="X40" i="125"/>
  <c r="V40" i="125"/>
  <c r="Z40" i="127"/>
  <c r="X40" i="127"/>
  <c r="AA40" i="127" s="1"/>
  <c r="V40" i="127"/>
  <c r="Z40" i="131"/>
  <c r="X40" i="131"/>
  <c r="V40" i="131"/>
  <c r="Z40" i="116"/>
  <c r="X40" i="116"/>
  <c r="AA40" i="116" s="1"/>
  <c r="V40" i="116"/>
  <c r="Z40" i="145"/>
  <c r="X40" i="145"/>
  <c r="V40" i="145"/>
  <c r="Z40" i="152"/>
  <c r="X40" i="152"/>
  <c r="AA40" i="152" s="1"/>
  <c r="V40" i="152"/>
  <c r="Z40" i="149"/>
  <c r="X40" i="149"/>
  <c r="V40" i="149"/>
  <c r="Z40" i="148"/>
  <c r="X40" i="148"/>
  <c r="AA40" i="148" s="1"/>
  <c r="V40" i="148"/>
  <c r="G11" i="100"/>
  <c r="AC14" i="113"/>
  <c r="AK11" i="72" s="1"/>
  <c r="AD14" i="113"/>
  <c r="AF14" i="113" s="1"/>
  <c r="Z14" i="120"/>
  <c r="X14" i="120"/>
  <c r="AA14" i="120" s="1"/>
  <c r="V14" i="120"/>
  <c r="Z14" i="125"/>
  <c r="X14" i="125"/>
  <c r="V14" i="125"/>
  <c r="Z14" i="129"/>
  <c r="X14" i="129"/>
  <c r="AA14" i="129" s="1"/>
  <c r="V14" i="129"/>
  <c r="Z14" i="116"/>
  <c r="X14" i="116"/>
  <c r="V14" i="116"/>
  <c r="AB14" i="116" s="1"/>
  <c r="Z14" i="126"/>
  <c r="X14" i="126"/>
  <c r="AA14" i="126" s="1"/>
  <c r="V14" i="126"/>
  <c r="Z14" i="128"/>
  <c r="X14" i="128"/>
  <c r="V14" i="128"/>
  <c r="AA13" i="76"/>
  <c r="Y13" i="76"/>
  <c r="W13" i="76"/>
  <c r="Z14" i="114"/>
  <c r="X14" i="114"/>
  <c r="V14" i="114"/>
  <c r="Z14" i="149"/>
  <c r="X14" i="149"/>
  <c r="AA14" i="149" s="1"/>
  <c r="V14" i="149"/>
  <c r="Z14" i="152"/>
  <c r="X14" i="152"/>
  <c r="V14" i="152"/>
  <c r="Z14" i="146"/>
  <c r="X14" i="146"/>
  <c r="AA14" i="146" s="1"/>
  <c r="V14" i="146"/>
  <c r="Z14" i="153"/>
  <c r="X14" i="153"/>
  <c r="V14" i="153"/>
  <c r="Z14" i="115"/>
  <c r="X14" i="115"/>
  <c r="AA14" i="115" s="1"/>
  <c r="V14" i="115"/>
  <c r="Z15" i="118"/>
  <c r="X15" i="118"/>
  <c r="V15" i="118"/>
  <c r="Z15" i="129"/>
  <c r="X15" i="129"/>
  <c r="AA15" i="129" s="1"/>
  <c r="V15" i="129"/>
  <c r="AA14" i="76"/>
  <c r="Y14" i="76"/>
  <c r="W14" i="76"/>
  <c r="Z15" i="120"/>
  <c r="X15" i="120"/>
  <c r="AA15" i="120" s="1"/>
  <c r="V15" i="120"/>
  <c r="Z15" i="125"/>
  <c r="X15" i="125"/>
  <c r="V15" i="125"/>
  <c r="AA14" i="80"/>
  <c r="Y14" i="80"/>
  <c r="W14" i="80"/>
  <c r="Z15" i="144"/>
  <c r="V15" i="144"/>
  <c r="X15" i="144"/>
  <c r="AA15" i="144" s="1"/>
  <c r="Z15" i="148"/>
  <c r="X15" i="148"/>
  <c r="AA15" i="148" s="1"/>
  <c r="V15" i="148"/>
  <c r="Z15" i="151"/>
  <c r="X15" i="151"/>
  <c r="V15" i="151"/>
  <c r="Z15" i="145"/>
  <c r="X15" i="145"/>
  <c r="AA15" i="145" s="1"/>
  <c r="V15" i="145"/>
  <c r="Z15" i="147"/>
  <c r="X15" i="147"/>
  <c r="V15" i="147"/>
  <c r="AC47" i="113"/>
  <c r="AK44" i="72" s="1"/>
  <c r="G44" i="100"/>
  <c r="AD47" i="113"/>
  <c r="AF47" i="113" s="1"/>
  <c r="Z47" i="116"/>
  <c r="X47" i="116"/>
  <c r="V47" i="116"/>
  <c r="AB47" i="116" s="1"/>
  <c r="Z47" i="126"/>
  <c r="X47" i="126"/>
  <c r="AA47" i="126" s="1"/>
  <c r="V47" i="126"/>
  <c r="Z47" i="129"/>
  <c r="X47" i="129"/>
  <c r="V47" i="129"/>
  <c r="Z47" i="128"/>
  <c r="X47" i="128"/>
  <c r="AA47" i="128" s="1"/>
  <c r="V47" i="128"/>
  <c r="Z47" i="125"/>
  <c r="X47" i="125"/>
  <c r="V47" i="125"/>
  <c r="AA46" i="80"/>
  <c r="Y46" i="80"/>
  <c r="W46" i="80"/>
  <c r="Z47" i="120"/>
  <c r="X47" i="120"/>
  <c r="V47" i="120"/>
  <c r="Z47" i="147"/>
  <c r="X47" i="147"/>
  <c r="AA47" i="147" s="1"/>
  <c r="V47" i="147"/>
  <c r="Z47" i="153"/>
  <c r="X47" i="153"/>
  <c r="V47" i="153"/>
  <c r="Z47" i="144"/>
  <c r="X47" i="144"/>
  <c r="AA47" i="144" s="1"/>
  <c r="V47" i="144"/>
  <c r="Z47" i="146"/>
  <c r="X47" i="146"/>
  <c r="V47" i="146"/>
  <c r="Z47" i="152"/>
  <c r="X47" i="152"/>
  <c r="AA47" i="152" s="1"/>
  <c r="AB47" i="152" s="1"/>
  <c r="V47" i="152"/>
  <c r="Z47" i="115"/>
  <c r="X47" i="115"/>
  <c r="V47" i="115"/>
  <c r="Z63" i="116"/>
  <c r="X63" i="116"/>
  <c r="AA63" i="116" s="1"/>
  <c r="AB63" i="116" s="1"/>
  <c r="V63" i="116"/>
  <c r="Z63" i="129"/>
  <c r="X63" i="129"/>
  <c r="V63" i="129"/>
  <c r="Z63" i="128"/>
  <c r="X63" i="128"/>
  <c r="AA63" i="128" s="1"/>
  <c r="V63" i="128"/>
  <c r="Z63" i="120"/>
  <c r="X63" i="120"/>
  <c r="V63" i="120"/>
  <c r="Z63" i="125"/>
  <c r="X63" i="125"/>
  <c r="AA63" i="125" s="1"/>
  <c r="V63" i="125"/>
  <c r="AA62" i="80"/>
  <c r="Y62" i="80"/>
  <c r="W62" i="80"/>
  <c r="Z63" i="117"/>
  <c r="X63" i="117"/>
  <c r="AA63" i="117" s="1"/>
  <c r="V63" i="117"/>
  <c r="Z63" i="147"/>
  <c r="X63" i="147"/>
  <c r="V63" i="147"/>
  <c r="Z63" i="153"/>
  <c r="X63" i="153"/>
  <c r="AA63" i="153" s="1"/>
  <c r="V63" i="153"/>
  <c r="Z63" i="145"/>
  <c r="X63" i="145"/>
  <c r="V63" i="145"/>
  <c r="Z63" i="149"/>
  <c r="X63" i="149"/>
  <c r="AA63" i="149" s="1"/>
  <c r="V63" i="149"/>
  <c r="G48" i="100"/>
  <c r="AC51" i="113"/>
  <c r="AK48" i="72" s="1"/>
  <c r="AD51" i="113"/>
  <c r="AF51" i="113" s="1"/>
  <c r="Z51" i="120"/>
  <c r="X51" i="120"/>
  <c r="AA51" i="120" s="1"/>
  <c r="V51" i="120"/>
  <c r="Z51" i="126"/>
  <c r="X51" i="126"/>
  <c r="V51" i="126"/>
  <c r="Z51" i="131"/>
  <c r="X51" i="131"/>
  <c r="AA51" i="131" s="1"/>
  <c r="V51" i="131"/>
  <c r="Z51" i="116"/>
  <c r="X51" i="116"/>
  <c r="V51" i="116"/>
  <c r="Z51" i="129"/>
  <c r="X51" i="129"/>
  <c r="AA51" i="129" s="1"/>
  <c r="V51" i="129"/>
  <c r="Z51" i="125"/>
  <c r="X51" i="125"/>
  <c r="V51" i="125"/>
  <c r="Z51" i="114"/>
  <c r="X51" i="114"/>
  <c r="AA51" i="114" s="1"/>
  <c r="V51" i="114"/>
  <c r="Z51" i="146"/>
  <c r="X51" i="146"/>
  <c r="V51" i="146"/>
  <c r="Z51" i="153"/>
  <c r="X51" i="153"/>
  <c r="AA51" i="153" s="1"/>
  <c r="V51" i="153"/>
  <c r="Z51" i="144"/>
  <c r="X51" i="144"/>
  <c r="V51" i="144"/>
  <c r="Z51" i="149"/>
  <c r="X51" i="149"/>
  <c r="AA51" i="149" s="1"/>
  <c r="V51" i="149"/>
  <c r="Z51" i="152"/>
  <c r="X51" i="152"/>
  <c r="V51" i="152"/>
  <c r="Z51" i="115"/>
  <c r="X51" i="115"/>
  <c r="AA51" i="115" s="1"/>
  <c r="V51" i="115"/>
  <c r="L11" i="137"/>
  <c r="M11" i="137" s="1"/>
  <c r="N11" i="137" s="1"/>
  <c r="P11" i="137" s="1"/>
  <c r="S11" i="137" s="1"/>
  <c r="Z75" i="116"/>
  <c r="X75" i="116"/>
  <c r="V75" i="116"/>
  <c r="Z75" i="126"/>
  <c r="X75" i="126"/>
  <c r="V75" i="126"/>
  <c r="Z75" i="131"/>
  <c r="X75" i="131"/>
  <c r="V75" i="131"/>
  <c r="Z75" i="120"/>
  <c r="X75" i="120"/>
  <c r="V75" i="120"/>
  <c r="Z75" i="127"/>
  <c r="X75" i="127"/>
  <c r="V75" i="127"/>
  <c r="Z75" i="129"/>
  <c r="X75" i="129"/>
  <c r="V75" i="129"/>
  <c r="Z75" i="114"/>
  <c r="X75" i="114"/>
  <c r="V75" i="114"/>
  <c r="Z75" i="146"/>
  <c r="X75" i="146"/>
  <c r="V75" i="146"/>
  <c r="Z75" i="152"/>
  <c r="X75" i="152"/>
  <c r="V75" i="152"/>
  <c r="Z75" i="145"/>
  <c r="X75" i="145"/>
  <c r="V75" i="145"/>
  <c r="Z75" i="151"/>
  <c r="X75" i="151"/>
  <c r="V75" i="151"/>
  <c r="Z33" i="118"/>
  <c r="X33" i="118"/>
  <c r="V33" i="118"/>
  <c r="Z33" i="120"/>
  <c r="X33" i="120"/>
  <c r="V33" i="120"/>
  <c r="Z33" i="117"/>
  <c r="X33" i="117"/>
  <c r="V33" i="117"/>
  <c r="Z33" i="126"/>
  <c r="X33" i="126"/>
  <c r="V33" i="126"/>
  <c r="Z33" i="128"/>
  <c r="X33" i="128"/>
  <c r="V33" i="128"/>
  <c r="Z33" i="114"/>
  <c r="X33" i="114"/>
  <c r="V33" i="114"/>
  <c r="Z33" i="116"/>
  <c r="X33" i="116"/>
  <c r="V33" i="116"/>
  <c r="Z33" i="144"/>
  <c r="X33" i="144"/>
  <c r="V33" i="144"/>
  <c r="Z33" i="146"/>
  <c r="X33" i="146"/>
  <c r="V33" i="146"/>
  <c r="Z33" i="153"/>
  <c r="X33" i="153"/>
  <c r="V33" i="153"/>
  <c r="Z33" i="145"/>
  <c r="X33" i="145"/>
  <c r="V33" i="145"/>
  <c r="Z33" i="151"/>
  <c r="X33" i="151"/>
  <c r="V33" i="151"/>
  <c r="Z33" i="115"/>
  <c r="X33" i="115"/>
  <c r="V33" i="115"/>
  <c r="AB10" i="149"/>
  <c r="AB10" i="145"/>
  <c r="AC10" i="144"/>
  <c r="AY7" i="72" s="1"/>
  <c r="U7" i="100"/>
  <c r="AD10" i="144"/>
  <c r="AF10" i="144" s="1"/>
  <c r="R7" i="100"/>
  <c r="AC10" i="128"/>
  <c r="AV7" i="72" s="1"/>
  <c r="AB10" i="126"/>
  <c r="AB10" i="127"/>
  <c r="AB69" i="115"/>
  <c r="AB69" i="146"/>
  <c r="AB69" i="148"/>
  <c r="AB69" i="126"/>
  <c r="AB69" i="131"/>
  <c r="AB69" i="118"/>
  <c r="AB70" i="149"/>
  <c r="AB70" i="151"/>
  <c r="AB70" i="114"/>
  <c r="AB70" i="129"/>
  <c r="AB70" i="126"/>
  <c r="AB27" i="151"/>
  <c r="AB27" i="144"/>
  <c r="AB27" i="147"/>
  <c r="AB27" i="128"/>
  <c r="AC26" i="80"/>
  <c r="AB27" i="118"/>
  <c r="AH27" i="113"/>
  <c r="AI27" i="113" s="1"/>
  <c r="AJ27" i="113"/>
  <c r="AB30" i="145"/>
  <c r="AB30" i="149"/>
  <c r="AC30" i="144"/>
  <c r="AY27" i="72" s="1"/>
  <c r="U27" i="100"/>
  <c r="AD30" i="144"/>
  <c r="AF30" i="144" s="1"/>
  <c r="AC29" i="80"/>
  <c r="AB30" i="117"/>
  <c r="AB30" i="125"/>
  <c r="G8" i="100"/>
  <c r="AC11" i="113"/>
  <c r="AK8" i="72" s="1"/>
  <c r="Z11" i="116"/>
  <c r="X11" i="116"/>
  <c r="V11" i="116"/>
  <c r="Z11" i="119"/>
  <c r="X11" i="119"/>
  <c r="V11" i="119"/>
  <c r="Z11" i="129"/>
  <c r="X11" i="129"/>
  <c r="V11" i="129"/>
  <c r="Z11" i="117"/>
  <c r="X11" i="117"/>
  <c r="V11" i="117"/>
  <c r="Z11" i="118"/>
  <c r="X11" i="118"/>
  <c r="V11" i="118"/>
  <c r="Z11" i="125"/>
  <c r="X11" i="125"/>
  <c r="V11" i="125"/>
  <c r="Z11" i="114"/>
  <c r="X11" i="114"/>
  <c r="V11" i="114"/>
  <c r="Z11" i="126"/>
  <c r="X11" i="126"/>
  <c r="V11" i="126"/>
  <c r="Z11" i="147"/>
  <c r="X11" i="147"/>
  <c r="V11" i="147"/>
  <c r="Z11" i="153"/>
  <c r="X11" i="153"/>
  <c r="V11" i="153"/>
  <c r="Z11" i="146"/>
  <c r="X11" i="146"/>
  <c r="V11" i="146"/>
  <c r="Z11" i="152"/>
  <c r="X11" i="152"/>
  <c r="V11" i="152"/>
  <c r="Z11" i="115"/>
  <c r="X11" i="115"/>
  <c r="V11" i="115"/>
  <c r="AB65" i="152"/>
  <c r="AB65" i="153"/>
  <c r="AB65" i="144"/>
  <c r="AB65" i="114"/>
  <c r="AB65" i="126"/>
  <c r="AB65" i="120"/>
  <c r="G62" i="100"/>
  <c r="AC65" i="113"/>
  <c r="AK62" i="72" s="1"/>
  <c r="AB13" i="145"/>
  <c r="AB13" i="127"/>
  <c r="AB26" i="115"/>
  <c r="AB26" i="147"/>
  <c r="AB26" i="146"/>
  <c r="AB26" i="114"/>
  <c r="AB26" i="125"/>
  <c r="AB74" i="148"/>
  <c r="AB74" i="125"/>
  <c r="AC73" i="80"/>
  <c r="AB74" i="120"/>
  <c r="AB49" i="152"/>
  <c r="AB49" i="153"/>
  <c r="AB49" i="144"/>
  <c r="M46" i="100"/>
  <c r="AC49" i="119"/>
  <c r="AB49" i="126"/>
  <c r="AB49" i="120"/>
  <c r="AC49" i="113"/>
  <c r="AK46" i="72" s="1"/>
  <c r="G46" i="100"/>
  <c r="AD49" i="113"/>
  <c r="AF49" i="113" s="1"/>
  <c r="AB16" i="148"/>
  <c r="AB16" i="145"/>
  <c r="AB16" i="114"/>
  <c r="AB16" i="118"/>
  <c r="AB60" i="115"/>
  <c r="AB60" i="146"/>
  <c r="AB60" i="147"/>
  <c r="AB60" i="126"/>
  <c r="AB60" i="117"/>
  <c r="AB68" i="149"/>
  <c r="AB68" i="151"/>
  <c r="AB68" i="116"/>
  <c r="AB68" i="129"/>
  <c r="AB68" i="131"/>
  <c r="AB68" i="125"/>
  <c r="AB18" i="153"/>
  <c r="AB18" i="152"/>
  <c r="AB18" i="118"/>
  <c r="AC17" i="80"/>
  <c r="AB18" i="129"/>
  <c r="AB18" i="120"/>
  <c r="AC18" i="113"/>
  <c r="AK15" i="72" s="1"/>
  <c r="G15" i="100"/>
  <c r="AD18" i="113"/>
  <c r="AF18" i="113" s="1"/>
  <c r="AB21" i="145"/>
  <c r="AB21" i="149"/>
  <c r="AB21" i="117"/>
  <c r="AB21" i="127"/>
  <c r="AA21" i="116"/>
  <c r="AB21" i="116"/>
  <c r="AB21" i="131"/>
  <c r="AB61" i="115"/>
  <c r="AB61" i="146"/>
  <c r="AB61" i="147"/>
  <c r="AB61" i="117"/>
  <c r="AB61" i="129"/>
  <c r="AC60" i="80"/>
  <c r="AB66" i="149"/>
  <c r="AB66" i="151"/>
  <c r="AB66" i="118"/>
  <c r="AB66" i="128"/>
  <c r="AB66" i="131"/>
  <c r="AB66" i="117"/>
  <c r="AB52" i="153"/>
  <c r="AB52" i="145"/>
  <c r="AB52" i="128"/>
  <c r="AB52" i="114"/>
  <c r="AD51" i="76"/>
  <c r="AD49" i="100"/>
  <c r="AB52" i="120"/>
  <c r="AC52" i="113"/>
  <c r="AK49" i="72" s="1"/>
  <c r="G49" i="100"/>
  <c r="AD52" i="113"/>
  <c r="AF52" i="113" s="1"/>
  <c r="AB55" i="145"/>
  <c r="AC55" i="153"/>
  <c r="BG52" i="72" s="1"/>
  <c r="AC52" i="100"/>
  <c r="AB55" i="147"/>
  <c r="M52" i="100"/>
  <c r="AC55" i="119"/>
  <c r="AB55" i="129"/>
  <c r="AC54" i="80"/>
  <c r="U6" i="137"/>
  <c r="V6" i="137" s="1"/>
  <c r="Z6" i="137"/>
  <c r="AB34" i="115"/>
  <c r="AB34" i="147"/>
  <c r="AC34" i="148"/>
  <c r="BC31" i="72" s="1"/>
  <c r="Y31" i="100"/>
  <c r="AD34" i="148"/>
  <c r="AF34" i="148" s="1"/>
  <c r="AB34" i="152"/>
  <c r="AB34" i="114"/>
  <c r="AB34" i="125"/>
  <c r="AB62" i="149"/>
  <c r="AB62" i="151"/>
  <c r="AB62" i="114"/>
  <c r="AB62" i="129"/>
  <c r="AB62" i="120"/>
  <c r="AB24" i="153"/>
  <c r="AB24" i="152"/>
  <c r="AB24" i="117"/>
  <c r="R21" i="100"/>
  <c r="AC24" i="128"/>
  <c r="AB24" i="126"/>
  <c r="AH24" i="113"/>
  <c r="AI24" i="113" s="1"/>
  <c r="AJ24" i="113"/>
  <c r="AB39" i="149"/>
  <c r="AB39" i="152"/>
  <c r="AC39" i="145"/>
  <c r="AZ36" i="72" s="1"/>
  <c r="V36" i="100"/>
  <c r="AD39" i="145"/>
  <c r="AF39" i="145" s="1"/>
  <c r="AB39" i="117"/>
  <c r="AC38" i="76"/>
  <c r="AB39" i="129"/>
  <c r="AB32" i="115"/>
  <c r="AB32" i="147"/>
  <c r="AB32" i="146"/>
  <c r="AC32" i="144"/>
  <c r="AY29" i="72" s="1"/>
  <c r="U29" i="100"/>
  <c r="AD32" i="144"/>
  <c r="AF32" i="144" s="1"/>
  <c r="AB32" i="114"/>
  <c r="AD29" i="100"/>
  <c r="AD31" i="76"/>
  <c r="AB32" i="120"/>
  <c r="AC31" i="80"/>
  <c r="AB32" i="118"/>
  <c r="AB17" i="147"/>
  <c r="AB17" i="151"/>
  <c r="AB17" i="125"/>
  <c r="AB17" i="126"/>
  <c r="AB17" i="118"/>
  <c r="AB37" i="151"/>
  <c r="AB37" i="153"/>
  <c r="AB37" i="144"/>
  <c r="AB37" i="117"/>
  <c r="AB37" i="120"/>
  <c r="AH37" i="113"/>
  <c r="AI37" i="113" s="1"/>
  <c r="AJ37" i="113"/>
  <c r="AB45" i="146"/>
  <c r="AB45" i="145"/>
  <c r="AB45" i="114"/>
  <c r="AB45" i="127"/>
  <c r="AB45" i="128"/>
  <c r="AB53" i="115"/>
  <c r="AB53" i="146"/>
  <c r="AB53" i="147"/>
  <c r="AB53" i="117"/>
  <c r="AC52" i="76"/>
  <c r="AB53" i="129"/>
  <c r="AB53" i="128"/>
  <c r="AB22" i="151"/>
  <c r="AB22" i="148"/>
  <c r="AC22" i="116"/>
  <c r="J19" i="100"/>
  <c r="AB22" i="127"/>
  <c r="AB73" i="114"/>
  <c r="AB73" i="148"/>
  <c r="AB73" i="145"/>
  <c r="AC72" i="76"/>
  <c r="AB73" i="131"/>
  <c r="AB73" i="117"/>
  <c r="AH73" i="113"/>
  <c r="AI73" i="113" s="1"/>
  <c r="AJ73" i="113"/>
  <c r="AB50" i="145"/>
  <c r="AB50" i="148"/>
  <c r="AB50" i="126"/>
  <c r="AB50" i="127"/>
  <c r="AB56" i="115"/>
  <c r="AB56" i="149"/>
  <c r="AB56" i="146"/>
  <c r="AB56" i="131"/>
  <c r="AB56" i="125"/>
  <c r="AB56" i="128"/>
  <c r="AB31" i="148"/>
  <c r="AB31" i="117"/>
  <c r="AB31" i="145"/>
  <c r="AC31" i="116"/>
  <c r="J28" i="100"/>
  <c r="AB46" i="152"/>
  <c r="AB46" i="153"/>
  <c r="AB46" i="144"/>
  <c r="AD43" i="100"/>
  <c r="AD45" i="76"/>
  <c r="AB46" i="128"/>
  <c r="AB46" i="125"/>
  <c r="AH46" i="113"/>
  <c r="AI46" i="113" s="1"/>
  <c r="AJ46" i="113"/>
  <c r="AB29" i="149"/>
  <c r="AB29" i="145"/>
  <c r="AB29" i="126"/>
  <c r="AB29" i="125"/>
  <c r="AB23" i="115"/>
  <c r="AB23" i="117"/>
  <c r="AB23" i="126"/>
  <c r="AB64" i="151"/>
  <c r="AB64" i="127"/>
  <c r="M61" i="100"/>
  <c r="AC64" i="119"/>
  <c r="AB64" i="126"/>
  <c r="AA34" i="76"/>
  <c r="Y34" i="76"/>
  <c r="W34" i="76"/>
  <c r="Z35" i="119"/>
  <c r="X35" i="119"/>
  <c r="V35" i="119"/>
  <c r="AA34" i="80"/>
  <c r="Y34" i="80"/>
  <c r="W34" i="80"/>
  <c r="Z35" i="127"/>
  <c r="X35" i="127"/>
  <c r="V35" i="127"/>
  <c r="Z35" i="125"/>
  <c r="X35" i="125"/>
  <c r="V35" i="125"/>
  <c r="Z35" i="114"/>
  <c r="X35" i="114"/>
  <c r="V35" i="114"/>
  <c r="Z35" i="149"/>
  <c r="X35" i="149"/>
  <c r="V35" i="149"/>
  <c r="Z35" i="152"/>
  <c r="X35" i="152"/>
  <c r="V35" i="152"/>
  <c r="Z35" i="126"/>
  <c r="X35" i="126"/>
  <c r="V35" i="126"/>
  <c r="Z35" i="148"/>
  <c r="X35" i="148"/>
  <c r="V35" i="148"/>
  <c r="Z35" i="147"/>
  <c r="X35" i="147"/>
  <c r="V35" i="147"/>
  <c r="AB9" i="115"/>
  <c r="AB9" i="149"/>
  <c r="AB9" i="146"/>
  <c r="AC9" i="144"/>
  <c r="AY6" i="72" s="1"/>
  <c r="U6" i="100"/>
  <c r="AD9" i="144"/>
  <c r="AF9" i="144" s="1"/>
  <c r="AB9" i="127"/>
  <c r="AB9" i="128"/>
  <c r="AB9" i="117"/>
  <c r="E15" i="137"/>
  <c r="E19" i="137" s="1"/>
  <c r="AB25" i="148"/>
  <c r="AB25" i="151"/>
  <c r="AC24" i="80"/>
  <c r="AC25" i="116"/>
  <c r="J22" i="100"/>
  <c r="AB25" i="131"/>
  <c r="AB59" i="152"/>
  <c r="AB59" i="144"/>
  <c r="AB59" i="149"/>
  <c r="AB59" i="125"/>
  <c r="AB59" i="128"/>
  <c r="AB59" i="118"/>
  <c r="AH59" i="113"/>
  <c r="AI59" i="113" s="1"/>
  <c r="AJ59" i="113"/>
  <c r="AB28" i="145"/>
  <c r="AB28" i="149"/>
  <c r="AA28" i="116"/>
  <c r="AB28" i="116"/>
  <c r="AC27" i="80"/>
  <c r="AB28" i="118"/>
  <c r="AB28" i="127"/>
  <c r="AB36" i="115"/>
  <c r="AB36" i="145"/>
  <c r="AB36" i="146"/>
  <c r="AB36" i="126"/>
  <c r="AB36" i="117"/>
  <c r="AB54" i="148"/>
  <c r="AB54" i="151"/>
  <c r="AB54" i="114"/>
  <c r="AB54" i="116"/>
  <c r="AB54" i="127"/>
  <c r="AB19" i="152"/>
  <c r="AB19" i="153"/>
  <c r="AB19" i="126"/>
  <c r="AB19" i="128"/>
  <c r="S16" i="100"/>
  <c r="AC19" i="129"/>
  <c r="AH19" i="113"/>
  <c r="AI19" i="113" s="1"/>
  <c r="AJ19" i="113"/>
  <c r="AB41" i="148"/>
  <c r="AA41" i="152"/>
  <c r="AB41" i="152" s="1"/>
  <c r="AB41" i="149"/>
  <c r="AA41" i="125"/>
  <c r="AB41" i="125" s="1"/>
  <c r="AB41" i="114"/>
  <c r="AB40" i="80"/>
  <c r="AC40" i="80" s="1"/>
  <c r="AB41" i="126"/>
  <c r="AB41" i="120"/>
  <c r="AB38" i="115"/>
  <c r="AC38" i="146"/>
  <c r="BA35" i="72" s="1"/>
  <c r="W35" i="100"/>
  <c r="AC38" i="147"/>
  <c r="BB35" i="72" s="1"/>
  <c r="X35" i="100"/>
  <c r="AC38" i="126"/>
  <c r="AT35" i="72" s="1"/>
  <c r="P35" i="100"/>
  <c r="AC38" i="131"/>
  <c r="AX35" i="72" s="1"/>
  <c r="T35" i="100"/>
  <c r="AD38" i="131"/>
  <c r="AF38" i="131" s="1"/>
  <c r="AB38" i="118"/>
  <c r="AB67" i="149"/>
  <c r="AB67" i="153"/>
  <c r="AB67" i="117"/>
  <c r="AB67" i="126"/>
  <c r="J64" i="100"/>
  <c r="AC67" i="116"/>
  <c r="AN64" i="72" s="1"/>
  <c r="AC66" i="76"/>
  <c r="AR8" i="46"/>
  <c r="AS8" i="46" s="1"/>
  <c r="AU8" i="46" s="1"/>
  <c r="AT8" i="46"/>
  <c r="AH17" i="46"/>
  <c r="AR10" i="46"/>
  <c r="AS10" i="46" s="1"/>
  <c r="AU10" i="46" s="1"/>
  <c r="AT10" i="46"/>
  <c r="AC34" i="119" l="1"/>
  <c r="AQ31" i="72" s="1"/>
  <c r="M31" i="100"/>
  <c r="M57" i="100"/>
  <c r="AC60" i="119"/>
  <c r="M23" i="100"/>
  <c r="AC26" i="119"/>
  <c r="AC70" i="119"/>
  <c r="AQ67" i="72" s="1"/>
  <c r="M67" i="100"/>
  <c r="M59" i="100"/>
  <c r="AC62" i="119"/>
  <c r="AC61" i="119"/>
  <c r="M58" i="100"/>
  <c r="M14" i="100"/>
  <c r="AC17" i="119"/>
  <c r="AC37" i="119"/>
  <c r="M34" i="100"/>
  <c r="M22" i="100"/>
  <c r="AC25" i="119"/>
  <c r="AQ22" i="72" s="1"/>
  <c r="AA75" i="145"/>
  <c r="AA75" i="146"/>
  <c r="AA75" i="129"/>
  <c r="AA75" i="120"/>
  <c r="AB75" i="120" s="1"/>
  <c r="AA75" i="126"/>
  <c r="AC22" i="119"/>
  <c r="M19" i="100"/>
  <c r="AB46" i="80"/>
  <c r="AB14" i="80"/>
  <c r="AB13" i="76"/>
  <c r="AC13" i="76" s="1"/>
  <c r="AB57" i="80"/>
  <c r="AB11" i="80"/>
  <c r="AB71" i="80"/>
  <c r="AB42" i="76"/>
  <c r="AB42" i="80"/>
  <c r="AB19" i="80"/>
  <c r="AB70" i="80"/>
  <c r="AE63" i="76"/>
  <c r="AG63" i="76" s="1"/>
  <c r="M20" i="100"/>
  <c r="AC23" i="119"/>
  <c r="AQ20" i="72" s="1"/>
  <c r="M70" i="100"/>
  <c r="AC73" i="119"/>
  <c r="AA57" i="145"/>
  <c r="AA57" i="148"/>
  <c r="AA57" i="114"/>
  <c r="AA57" i="118"/>
  <c r="AC46" i="119"/>
  <c r="M43" i="100"/>
  <c r="AD38" i="126"/>
  <c r="AF38" i="126" s="1"/>
  <c r="AD50" i="116"/>
  <c r="AF50" i="116" s="1"/>
  <c r="AC29" i="119"/>
  <c r="M26" i="100"/>
  <c r="M6" i="100"/>
  <c r="AC9" i="119"/>
  <c r="M28" i="100"/>
  <c r="AC31" i="119"/>
  <c r="AQ28" i="72" s="1"/>
  <c r="AK58" i="72"/>
  <c r="AD61" i="113"/>
  <c r="AF61" i="113" s="1"/>
  <c r="AA35" i="115"/>
  <c r="AA35" i="145"/>
  <c r="AA35" i="153"/>
  <c r="AA35" i="117"/>
  <c r="AA35" i="118"/>
  <c r="AB35" i="116"/>
  <c r="AA35" i="131"/>
  <c r="AA35" i="120"/>
  <c r="AA11" i="148"/>
  <c r="AA11" i="151"/>
  <c r="AB11" i="144"/>
  <c r="AA11" i="127"/>
  <c r="AB10" i="80"/>
  <c r="AA11" i="128"/>
  <c r="AA33" i="148"/>
  <c r="AA33" i="149"/>
  <c r="AA33" i="131"/>
  <c r="AA33" i="129"/>
  <c r="AA75" i="115"/>
  <c r="AA75" i="147"/>
  <c r="AA75" i="149"/>
  <c r="AA75" i="128"/>
  <c r="AA75" i="118"/>
  <c r="AA75" i="125"/>
  <c r="AA75" i="119"/>
  <c r="AB75" i="119" s="1"/>
  <c r="AA75" i="117"/>
  <c r="AA51" i="145"/>
  <c r="AA51" i="151"/>
  <c r="AA51" i="128"/>
  <c r="AB50" i="76"/>
  <c r="AA63" i="115"/>
  <c r="AA63" i="146"/>
  <c r="AA63" i="151"/>
  <c r="AA63" i="114"/>
  <c r="AA63" i="126"/>
  <c r="AA63" i="127"/>
  <c r="AA47" i="148"/>
  <c r="AA47" i="117"/>
  <c r="AA47" i="149"/>
  <c r="AB46" i="76"/>
  <c r="AA47" i="127"/>
  <c r="AA47" i="119"/>
  <c r="AB47" i="119" s="1"/>
  <c r="AA47" i="118"/>
  <c r="AD67" i="116"/>
  <c r="AF67" i="116" s="1"/>
  <c r="AD70" i="119"/>
  <c r="AF70" i="119" s="1"/>
  <c r="AD10" i="128"/>
  <c r="AF10" i="128" s="1"/>
  <c r="AA33" i="151"/>
  <c r="AA33" i="153"/>
  <c r="AA33" i="144"/>
  <c r="AB33" i="116"/>
  <c r="AA33" i="114"/>
  <c r="AA33" i="126"/>
  <c r="AA33" i="120"/>
  <c r="AA15" i="152"/>
  <c r="AA15" i="153"/>
  <c r="AA15" i="117"/>
  <c r="AA15" i="127"/>
  <c r="AA15" i="119"/>
  <c r="AB15" i="119" s="1"/>
  <c r="AA15" i="131"/>
  <c r="AA15" i="126"/>
  <c r="AB15" i="116"/>
  <c r="AA14" i="148"/>
  <c r="AA14" i="145"/>
  <c r="AB13" i="80"/>
  <c r="AA14" i="119"/>
  <c r="AB14" i="119" s="1"/>
  <c r="AA14" i="117"/>
  <c r="AA14" i="131"/>
  <c r="AA40" i="115"/>
  <c r="AA40" i="146"/>
  <c r="AA40" i="147"/>
  <c r="AA40" i="114"/>
  <c r="AA40" i="120"/>
  <c r="AB39" i="80"/>
  <c r="AA40" i="118"/>
  <c r="AA58" i="147"/>
  <c r="AA58" i="151"/>
  <c r="AA58" i="114"/>
  <c r="AA58" i="128"/>
  <c r="AA58" i="131"/>
  <c r="AA58" i="117"/>
  <c r="AA12" i="153"/>
  <c r="AA12" i="152"/>
  <c r="AB12" i="144"/>
  <c r="AA12" i="119"/>
  <c r="AB12" i="119" s="1"/>
  <c r="AB11" i="76"/>
  <c r="AC11" i="76" s="1"/>
  <c r="AA12" i="114"/>
  <c r="AA12" i="118"/>
  <c r="AC33" i="113"/>
  <c r="AK30" i="72" s="1"/>
  <c r="G30" i="100"/>
  <c r="AA72" i="148"/>
  <c r="AA72" i="145"/>
  <c r="AA72" i="131"/>
  <c r="AA72" i="125"/>
  <c r="AA72" i="128"/>
  <c r="AA43" i="115"/>
  <c r="AA43" i="146"/>
  <c r="AA57" i="115"/>
  <c r="AD38" i="146"/>
  <c r="AF38" i="146" s="1"/>
  <c r="AA44" i="145"/>
  <c r="AB43" i="80"/>
  <c r="AC36" i="119"/>
  <c r="AQ33" i="72" s="1"/>
  <c r="M33" i="100"/>
  <c r="M53" i="100"/>
  <c r="AC56" i="119"/>
  <c r="M51" i="100"/>
  <c r="AC54" i="119"/>
  <c r="AD41" i="119"/>
  <c r="AF41" i="119" s="1"/>
  <c r="AA35" i="148"/>
  <c r="AA35" i="152"/>
  <c r="AA35" i="114"/>
  <c r="AA35" i="127"/>
  <c r="AA11" i="152"/>
  <c r="AA11" i="153"/>
  <c r="AA11" i="126"/>
  <c r="AA11" i="125"/>
  <c r="AA11" i="117"/>
  <c r="AA43" i="153"/>
  <c r="AA43" i="114"/>
  <c r="AA43" i="131"/>
  <c r="AA43" i="116"/>
  <c r="AA8" i="151"/>
  <c r="AA8" i="147"/>
  <c r="AD54" i="113"/>
  <c r="AF54" i="113" s="1"/>
  <c r="AA71" i="115"/>
  <c r="AA71" i="147"/>
  <c r="AA71" i="151"/>
  <c r="AA71" i="127"/>
  <c r="AA71" i="128"/>
  <c r="AA71" i="116"/>
  <c r="AB71" i="116" s="1"/>
  <c r="AA57" i="149"/>
  <c r="AA57" i="146"/>
  <c r="AB56" i="80"/>
  <c r="AA57" i="129"/>
  <c r="AA57" i="117"/>
  <c r="AA44" i="152"/>
  <c r="AA44" i="153"/>
  <c r="AB44" i="144"/>
  <c r="AA44" i="119"/>
  <c r="AB44" i="119" s="1"/>
  <c r="AA44" i="128"/>
  <c r="AC38" i="144"/>
  <c r="AY35" i="72" s="1"/>
  <c r="U35" i="100"/>
  <c r="AC35" i="100"/>
  <c r="AC38" i="153"/>
  <c r="BG35" i="72" s="1"/>
  <c r="AC38" i="151"/>
  <c r="BE35" i="72" s="1"/>
  <c r="AA35" i="100"/>
  <c r="X38" i="100"/>
  <c r="AC41" i="147"/>
  <c r="BB38" i="72" s="1"/>
  <c r="AC41" i="131"/>
  <c r="AX38" i="72" s="1"/>
  <c r="T38" i="100"/>
  <c r="AB11" i="116"/>
  <c r="AB44" i="146"/>
  <c r="AA44" i="118"/>
  <c r="AA44" i="127"/>
  <c r="AD68" i="148"/>
  <c r="AF68" i="148" s="1"/>
  <c r="AD13" i="144"/>
  <c r="AF13" i="144" s="1"/>
  <c r="AA44" i="114"/>
  <c r="AA44" i="120"/>
  <c r="AD36" i="119"/>
  <c r="AF36" i="119" s="1"/>
  <c r="AA57" i="120"/>
  <c r="AA8" i="126"/>
  <c r="AA8" i="120"/>
  <c r="AA20" i="153"/>
  <c r="AA20" i="152"/>
  <c r="AB20" i="144"/>
  <c r="AA20" i="119"/>
  <c r="AB20" i="119" s="1"/>
  <c r="AA20" i="128"/>
  <c r="AB20" i="128" s="1"/>
  <c r="AA20" i="114"/>
  <c r="AA20" i="120"/>
  <c r="AD67" i="113"/>
  <c r="AF67" i="113" s="1"/>
  <c r="AD40" i="80"/>
  <c r="BI38" i="72" s="1"/>
  <c r="AE38" i="100"/>
  <c r="AC41" i="125"/>
  <c r="AS38" i="72" s="1"/>
  <c r="O38" i="100"/>
  <c r="AD41" i="125"/>
  <c r="AF41" i="125" s="1"/>
  <c r="AC41" i="152"/>
  <c r="BF38" i="72" s="1"/>
  <c r="AB38" i="100"/>
  <c r="AD41" i="152"/>
  <c r="AF41" i="152" s="1"/>
  <c r="M56" i="100"/>
  <c r="AC59" i="119"/>
  <c r="M66" i="100"/>
  <c r="AC69" i="119"/>
  <c r="M47" i="100"/>
  <c r="AC50" i="119"/>
  <c r="AQ47" i="72" s="1"/>
  <c r="M42" i="100"/>
  <c r="AC45" i="119"/>
  <c r="M18" i="100"/>
  <c r="AC21" i="119"/>
  <c r="AQ18" i="72" s="1"/>
  <c r="M10" i="100"/>
  <c r="AC13" i="119"/>
  <c r="AQ10" i="72" s="1"/>
  <c r="AC10" i="153"/>
  <c r="BG7" i="72" s="1"/>
  <c r="AC7" i="100"/>
  <c r="M71" i="100"/>
  <c r="AC74" i="119"/>
  <c r="AQ71" i="72" s="1"/>
  <c r="M27" i="100"/>
  <c r="AC30" i="119"/>
  <c r="M64" i="100"/>
  <c r="AC67" i="119"/>
  <c r="AQ64" i="72" s="1"/>
  <c r="M29" i="100"/>
  <c r="AC32" i="119"/>
  <c r="M65" i="100"/>
  <c r="AC68" i="119"/>
  <c r="AQ65" i="72" s="1"/>
  <c r="M24" i="100"/>
  <c r="AC27" i="119"/>
  <c r="AD64" i="100"/>
  <c r="AD66" i="76"/>
  <c r="AC67" i="149"/>
  <c r="BD64" i="72" s="1"/>
  <c r="Z64" i="100"/>
  <c r="AD67" i="149"/>
  <c r="AF67" i="149" s="1"/>
  <c r="AH38" i="131"/>
  <c r="AI38" i="131" s="1"/>
  <c r="AJ38" i="131"/>
  <c r="AC41" i="126"/>
  <c r="AT38" i="72" s="1"/>
  <c r="P38" i="100"/>
  <c r="AD41" i="126"/>
  <c r="AF41" i="126" s="1"/>
  <c r="AC41" i="149"/>
  <c r="BD38" i="72" s="1"/>
  <c r="Z38" i="100"/>
  <c r="AD41" i="149"/>
  <c r="AF41" i="149" s="1"/>
  <c r="G16" i="72"/>
  <c r="AK19" i="113"/>
  <c r="AC19" i="126"/>
  <c r="AT16" i="72" s="1"/>
  <c r="P16" i="100"/>
  <c r="AD19" i="126"/>
  <c r="AF19" i="126" s="1"/>
  <c r="K33" i="100"/>
  <c r="AC36" i="117"/>
  <c r="Q25" i="100"/>
  <c r="AC28" i="127"/>
  <c r="G56" i="72"/>
  <c r="AK59" i="113"/>
  <c r="AC59" i="149"/>
  <c r="BD56" i="72" s="1"/>
  <c r="Z56" i="100"/>
  <c r="AD59" i="149"/>
  <c r="AF59" i="149" s="1"/>
  <c r="AC59" i="152"/>
  <c r="BF56" i="72" s="1"/>
  <c r="AB56" i="100"/>
  <c r="AD24" i="80"/>
  <c r="BI22" i="72" s="1"/>
  <c r="AE22" i="100"/>
  <c r="AE24" i="80"/>
  <c r="AG24" i="80" s="1"/>
  <c r="AC25" i="151"/>
  <c r="BE22" i="72" s="1"/>
  <c r="AA22" i="100"/>
  <c r="AH9" i="144"/>
  <c r="AI9" i="144" s="1"/>
  <c r="AJ9" i="144"/>
  <c r="AC9" i="149"/>
  <c r="BD6" i="72" s="1"/>
  <c r="Z6" i="100"/>
  <c r="AD9" i="149"/>
  <c r="AF9" i="149" s="1"/>
  <c r="AD64" i="119"/>
  <c r="AF64" i="119" s="1"/>
  <c r="AQ61" i="72"/>
  <c r="Q61" i="100"/>
  <c r="AC64" i="127"/>
  <c r="AC23" i="117"/>
  <c r="AO20" i="72" s="1"/>
  <c r="K20" i="100"/>
  <c r="AD23" i="117"/>
  <c r="AF23" i="117" s="1"/>
  <c r="AC29" i="125"/>
  <c r="AS26" i="72" s="1"/>
  <c r="O26" i="100"/>
  <c r="AD29" i="125"/>
  <c r="AF29" i="125" s="1"/>
  <c r="AC29" i="145"/>
  <c r="AZ26" i="72" s="1"/>
  <c r="V26" i="100"/>
  <c r="AD29" i="145"/>
  <c r="AF29" i="145" s="1"/>
  <c r="AC46" i="125"/>
  <c r="AS43" i="72" s="1"/>
  <c r="O43" i="100"/>
  <c r="AD46" i="125"/>
  <c r="AF46" i="125" s="1"/>
  <c r="AE45" i="76"/>
  <c r="AG45" i="76" s="1"/>
  <c r="BH43" i="72"/>
  <c r="AC46" i="144"/>
  <c r="AY43" i="72" s="1"/>
  <c r="U43" i="100"/>
  <c r="AD46" i="144"/>
  <c r="AF46" i="144" s="1"/>
  <c r="AC46" i="152"/>
  <c r="BF43" i="72" s="1"/>
  <c r="AB43" i="100"/>
  <c r="AD31" i="116"/>
  <c r="AF31" i="116" s="1"/>
  <c r="AN28" i="72"/>
  <c r="K28" i="100"/>
  <c r="AC31" i="117"/>
  <c r="AD56" i="119"/>
  <c r="AF56" i="119" s="1"/>
  <c r="AQ53" i="72"/>
  <c r="R53" i="100"/>
  <c r="AC56" i="128"/>
  <c r="AC56" i="131"/>
  <c r="AX53" i="72" s="1"/>
  <c r="T53" i="100"/>
  <c r="AD56" i="131"/>
  <c r="AF56" i="131" s="1"/>
  <c r="AC56" i="149"/>
  <c r="BD53" i="72" s="1"/>
  <c r="Z53" i="100"/>
  <c r="Q47" i="100"/>
  <c r="AC50" i="127"/>
  <c r="AC50" i="148"/>
  <c r="BC47" i="72" s="1"/>
  <c r="Y47" i="100"/>
  <c r="K70" i="100"/>
  <c r="AC73" i="117"/>
  <c r="AD70" i="100"/>
  <c r="AD72" i="76"/>
  <c r="AC73" i="148"/>
  <c r="BC70" i="72" s="1"/>
  <c r="Y70" i="100"/>
  <c r="AD73" i="148"/>
  <c r="AF73" i="148" s="1"/>
  <c r="Q19" i="100"/>
  <c r="AC22" i="127"/>
  <c r="AD22" i="116"/>
  <c r="AF22" i="116" s="1"/>
  <c r="AN19" i="72"/>
  <c r="AC22" i="151"/>
  <c r="BE19" i="72" s="1"/>
  <c r="AA19" i="100"/>
  <c r="S50" i="100"/>
  <c r="AC53" i="129"/>
  <c r="AW50" i="72" s="1"/>
  <c r="K50" i="100"/>
  <c r="AC53" i="117"/>
  <c r="AO50" i="72" s="1"/>
  <c r="AC53" i="146"/>
  <c r="BA50" i="72" s="1"/>
  <c r="W50" i="100"/>
  <c r="AD53" i="146"/>
  <c r="AF53" i="146" s="1"/>
  <c r="R42" i="100"/>
  <c r="AC45" i="128"/>
  <c r="AV42" i="72" s="1"/>
  <c r="H42" i="100"/>
  <c r="AC45" i="114"/>
  <c r="AL42" i="72" s="1"/>
  <c r="AC45" i="146"/>
  <c r="BA42" i="72" s="1"/>
  <c r="W42" i="100"/>
  <c r="G34" i="72"/>
  <c r="AK37" i="113"/>
  <c r="AD37" i="119"/>
  <c r="AF37" i="119" s="1"/>
  <c r="AQ34" i="72"/>
  <c r="K34" i="100"/>
  <c r="AC37" i="117"/>
  <c r="AC37" i="153"/>
  <c r="BG34" i="72" s="1"/>
  <c r="AC34" i="100"/>
  <c r="AD37" i="153"/>
  <c r="AF37" i="153" s="1"/>
  <c r="AC17" i="118"/>
  <c r="AP14" i="72" s="1"/>
  <c r="L14" i="100"/>
  <c r="AD17" i="118"/>
  <c r="AF17" i="118" s="1"/>
  <c r="AC17" i="125"/>
  <c r="AS14" i="72" s="1"/>
  <c r="O14" i="100"/>
  <c r="AD17" i="125"/>
  <c r="AF17" i="125" s="1"/>
  <c r="AC17" i="147"/>
  <c r="BB14" i="72" s="1"/>
  <c r="X14" i="100"/>
  <c r="AD17" i="147"/>
  <c r="AF17" i="147" s="1"/>
  <c r="AD31" i="80"/>
  <c r="BI29" i="72" s="1"/>
  <c r="AE29" i="100"/>
  <c r="AE31" i="76"/>
  <c r="AG31" i="76" s="1"/>
  <c r="BH29" i="72"/>
  <c r="H29" i="100"/>
  <c r="AC32" i="114"/>
  <c r="AC32" i="146"/>
  <c r="BA29" i="72" s="1"/>
  <c r="W29" i="100"/>
  <c r="AD32" i="146"/>
  <c r="AF32" i="146" s="1"/>
  <c r="AC32" i="115"/>
  <c r="AM29" i="72" s="1"/>
  <c r="I29" i="100"/>
  <c r="AD36" i="100"/>
  <c r="AD38" i="76"/>
  <c r="AH39" i="145"/>
  <c r="AI39" i="145" s="1"/>
  <c r="AJ39" i="145"/>
  <c r="AC39" i="149"/>
  <c r="BD36" i="72" s="1"/>
  <c r="Z36" i="100"/>
  <c r="G21" i="72"/>
  <c r="AK24" i="113"/>
  <c r="AD24" i="128"/>
  <c r="AF24" i="128" s="1"/>
  <c r="AV21" i="72"/>
  <c r="K21" i="100"/>
  <c r="AC24" i="117"/>
  <c r="AC24" i="153"/>
  <c r="BG21" i="72" s="1"/>
  <c r="AC21" i="100"/>
  <c r="S59" i="100"/>
  <c r="AC62" i="129"/>
  <c r="AC62" i="151"/>
  <c r="BE59" i="72" s="1"/>
  <c r="AA59" i="100"/>
  <c r="AC34" i="125"/>
  <c r="AS31" i="72" s="1"/>
  <c r="O31" i="100"/>
  <c r="AD34" i="125"/>
  <c r="AF34" i="125" s="1"/>
  <c r="H31" i="100"/>
  <c r="AC34" i="114"/>
  <c r="AL31" i="72" s="1"/>
  <c r="AH34" i="148"/>
  <c r="AI34" i="148" s="1"/>
  <c r="AJ34" i="148"/>
  <c r="AC34" i="115"/>
  <c r="AM31" i="72" s="1"/>
  <c r="I31" i="100"/>
  <c r="AD34" i="115"/>
  <c r="AF34" i="115" s="1"/>
  <c r="S52" i="100"/>
  <c r="AC55" i="129"/>
  <c r="AH52" i="113"/>
  <c r="AI52" i="113" s="1"/>
  <c r="AJ52" i="113"/>
  <c r="H49" i="100"/>
  <c r="AC52" i="114"/>
  <c r="AC52" i="145"/>
  <c r="AZ49" i="72" s="1"/>
  <c r="V49" i="100"/>
  <c r="AD52" i="145"/>
  <c r="AF52" i="145" s="1"/>
  <c r="AC66" i="131"/>
  <c r="AX63" i="72" s="1"/>
  <c r="T63" i="100"/>
  <c r="AD66" i="131"/>
  <c r="AF66" i="131" s="1"/>
  <c r="AC66" i="118"/>
  <c r="AP63" i="72" s="1"/>
  <c r="L63" i="100"/>
  <c r="AD66" i="118"/>
  <c r="AF66" i="118" s="1"/>
  <c r="AC66" i="149"/>
  <c r="BD63" i="72" s="1"/>
  <c r="Z63" i="100"/>
  <c r="AD66" i="149"/>
  <c r="AF66" i="149" s="1"/>
  <c r="S58" i="100"/>
  <c r="AC61" i="129"/>
  <c r="AC61" i="147"/>
  <c r="BB58" i="72" s="1"/>
  <c r="X58" i="100"/>
  <c r="AD61" i="147"/>
  <c r="AF61" i="147" s="1"/>
  <c r="AC61" i="115"/>
  <c r="AM58" i="72" s="1"/>
  <c r="I58" i="100"/>
  <c r="AD61" i="115"/>
  <c r="AF61" i="115" s="1"/>
  <c r="J18" i="100"/>
  <c r="AC21" i="116"/>
  <c r="Q18" i="100"/>
  <c r="AC21" i="127"/>
  <c r="AU18" i="72" s="1"/>
  <c r="AC21" i="149"/>
  <c r="BD18" i="72" s="1"/>
  <c r="Z18" i="100"/>
  <c r="AD21" i="149"/>
  <c r="AF21" i="149" s="1"/>
  <c r="AH18" i="113"/>
  <c r="AI18" i="113" s="1"/>
  <c r="AJ18" i="113"/>
  <c r="S15" i="100"/>
  <c r="AC18" i="129"/>
  <c r="AC18" i="118"/>
  <c r="AP15" i="72" s="1"/>
  <c r="L15" i="100"/>
  <c r="AD18" i="118"/>
  <c r="AF18" i="118" s="1"/>
  <c r="AC18" i="153"/>
  <c r="BG15" i="72" s="1"/>
  <c r="AC15" i="100"/>
  <c r="AC68" i="131"/>
  <c r="AX65" i="72" s="1"/>
  <c r="T65" i="100"/>
  <c r="AD68" i="131"/>
  <c r="AF68" i="131" s="1"/>
  <c r="J65" i="100"/>
  <c r="AC68" i="116"/>
  <c r="AC68" i="149"/>
  <c r="BD65" i="72" s="1"/>
  <c r="Z65" i="100"/>
  <c r="AD68" i="149"/>
  <c r="AF68" i="149" s="1"/>
  <c r="AC60" i="126"/>
  <c r="AT57" i="72" s="1"/>
  <c r="P57" i="100"/>
  <c r="AD60" i="126"/>
  <c r="AF60" i="126" s="1"/>
  <c r="AC60" i="146"/>
  <c r="BA57" i="72" s="1"/>
  <c r="W57" i="100"/>
  <c r="AD60" i="146"/>
  <c r="AF60" i="146" s="1"/>
  <c r="AC16" i="118"/>
  <c r="AP13" i="72" s="1"/>
  <c r="L13" i="100"/>
  <c r="AD16" i="118"/>
  <c r="AF16" i="118" s="1"/>
  <c r="AC16" i="145"/>
  <c r="AZ13" i="72" s="1"/>
  <c r="V13" i="100"/>
  <c r="AH49" i="113"/>
  <c r="AI49" i="113" s="1"/>
  <c r="AJ49" i="113"/>
  <c r="AC49" i="126"/>
  <c r="AT46" i="72" s="1"/>
  <c r="P46" i="100"/>
  <c r="AD49" i="126"/>
  <c r="AF49" i="126" s="1"/>
  <c r="AC49" i="153"/>
  <c r="BG46" i="72" s="1"/>
  <c r="AC46" i="100"/>
  <c r="AC74" i="120"/>
  <c r="AR71" i="72" s="1"/>
  <c r="N71" i="100"/>
  <c r="AC74" i="125"/>
  <c r="AS71" i="72" s="1"/>
  <c r="O71" i="100"/>
  <c r="AD74" i="125"/>
  <c r="AF74" i="125" s="1"/>
  <c r="AC26" i="125"/>
  <c r="AS23" i="72" s="1"/>
  <c r="O23" i="100"/>
  <c r="AD26" i="125"/>
  <c r="AF26" i="125" s="1"/>
  <c r="AC26" i="146"/>
  <c r="BA23" i="72" s="1"/>
  <c r="W23" i="100"/>
  <c r="AC26" i="115"/>
  <c r="AM23" i="72" s="1"/>
  <c r="I23" i="100"/>
  <c r="AD26" i="115"/>
  <c r="AF26" i="115" s="1"/>
  <c r="AC13" i="145"/>
  <c r="AZ10" i="72" s="1"/>
  <c r="V10" i="100"/>
  <c r="AD13" i="145"/>
  <c r="AF13" i="145" s="1"/>
  <c r="AC65" i="120"/>
  <c r="AR62" i="72" s="1"/>
  <c r="N62" i="100"/>
  <c r="AD65" i="120"/>
  <c r="AF65" i="120" s="1"/>
  <c r="H62" i="100"/>
  <c r="AC65" i="114"/>
  <c r="AC65" i="153"/>
  <c r="BG62" i="72" s="1"/>
  <c r="AC62" i="100"/>
  <c r="AD65" i="153"/>
  <c r="AF65" i="153" s="1"/>
  <c r="AC11" i="116"/>
  <c r="J8" i="100"/>
  <c r="AC30" i="125"/>
  <c r="AS27" i="72" s="1"/>
  <c r="O27" i="100"/>
  <c r="AD30" i="125"/>
  <c r="AF30" i="125" s="1"/>
  <c r="AD29" i="80"/>
  <c r="BI27" i="72" s="1"/>
  <c r="AE27" i="100"/>
  <c r="AE29" i="80"/>
  <c r="AG29" i="80" s="1"/>
  <c r="AC30" i="149"/>
  <c r="BD27" i="72" s="1"/>
  <c r="Z27" i="100"/>
  <c r="AD30" i="149"/>
  <c r="AF30" i="149" s="1"/>
  <c r="AC27" i="118"/>
  <c r="AP24" i="72" s="1"/>
  <c r="L24" i="100"/>
  <c r="AD27" i="118"/>
  <c r="AF27" i="118" s="1"/>
  <c r="R24" i="100"/>
  <c r="AC27" i="128"/>
  <c r="AC27" i="144"/>
  <c r="AY24" i="72" s="1"/>
  <c r="U24" i="100"/>
  <c r="AD27" i="144"/>
  <c r="AF27" i="144" s="1"/>
  <c r="AC70" i="126"/>
  <c r="AT67" i="72" s="1"/>
  <c r="P67" i="100"/>
  <c r="AD70" i="126"/>
  <c r="AF70" i="126" s="1"/>
  <c r="AH70" i="119"/>
  <c r="AI70" i="119" s="1"/>
  <c r="AJ70" i="119"/>
  <c r="AC70" i="151"/>
  <c r="BE67" i="72" s="1"/>
  <c r="AA67" i="100"/>
  <c r="AC69" i="118"/>
  <c r="AP66" i="72" s="1"/>
  <c r="L66" i="100"/>
  <c r="AD69" i="118"/>
  <c r="AF69" i="118" s="1"/>
  <c r="AC69" i="126"/>
  <c r="AT66" i="72" s="1"/>
  <c r="P66" i="100"/>
  <c r="AD69" i="126"/>
  <c r="AF69" i="126" s="1"/>
  <c r="AC69" i="146"/>
  <c r="BA66" i="72" s="1"/>
  <c r="W66" i="100"/>
  <c r="AD69" i="146"/>
  <c r="AF69" i="146" s="1"/>
  <c r="Q7" i="100"/>
  <c r="AC10" i="127"/>
  <c r="AU7" i="72" s="1"/>
  <c r="AH10" i="128"/>
  <c r="AI10" i="128" s="1"/>
  <c r="AJ10" i="128"/>
  <c r="AC10" i="145"/>
  <c r="AZ7" i="72" s="1"/>
  <c r="V7" i="100"/>
  <c r="J30" i="100"/>
  <c r="AC33" i="116"/>
  <c r="AC75" i="120"/>
  <c r="AR72" i="72" s="1"/>
  <c r="N72" i="100"/>
  <c r="AD75" i="120"/>
  <c r="AF75" i="120" s="1"/>
  <c r="AH51" i="113"/>
  <c r="AI51" i="113" s="1"/>
  <c r="AJ51" i="113"/>
  <c r="J60" i="100"/>
  <c r="AC63" i="116"/>
  <c r="AN60" i="72" s="1"/>
  <c r="AC47" i="152"/>
  <c r="BF44" i="72" s="1"/>
  <c r="AB44" i="100"/>
  <c r="AD47" i="152"/>
  <c r="AF47" i="152" s="1"/>
  <c r="AC47" i="116"/>
  <c r="J44" i="100"/>
  <c r="AD11" i="100"/>
  <c r="AD13" i="76"/>
  <c r="BH11" i="72" s="1"/>
  <c r="AC14" i="116"/>
  <c r="J11" i="100"/>
  <c r="AH14" i="113"/>
  <c r="AI14" i="113" s="1"/>
  <c r="AJ14" i="113"/>
  <c r="M55" i="100"/>
  <c r="AC58" i="119"/>
  <c r="AC12" i="116"/>
  <c r="J9" i="100"/>
  <c r="R9" i="100"/>
  <c r="AC12" i="128"/>
  <c r="M69" i="100"/>
  <c r="AC72" i="119"/>
  <c r="AQ69" i="72" s="1"/>
  <c r="AH72" i="113"/>
  <c r="AI72" i="113" s="1"/>
  <c r="AJ72" i="113"/>
  <c r="AC43" i="149"/>
  <c r="BD40" i="72" s="1"/>
  <c r="Z40" i="100"/>
  <c r="AD43" i="149"/>
  <c r="AF43" i="149" s="1"/>
  <c r="AC8" i="144"/>
  <c r="AY5" i="72" s="1"/>
  <c r="U5" i="100"/>
  <c r="AC67" i="120"/>
  <c r="AR64" i="72" s="1"/>
  <c r="N64" i="100"/>
  <c r="AD67" i="120"/>
  <c r="AF67" i="120" s="1"/>
  <c r="Q64" i="100"/>
  <c r="AC67" i="127"/>
  <c r="AC67" i="151"/>
  <c r="BE64" i="72" s="1"/>
  <c r="AA64" i="100"/>
  <c r="AD67" i="151"/>
  <c r="AF67" i="151" s="1"/>
  <c r="AC67" i="115"/>
  <c r="AM64" i="72" s="1"/>
  <c r="I64" i="100"/>
  <c r="K35" i="100"/>
  <c r="AC38" i="117"/>
  <c r="AO35" i="72" s="1"/>
  <c r="AC38" i="145"/>
  <c r="AZ35" i="72" s="1"/>
  <c r="V35" i="100"/>
  <c r="AH38" i="148"/>
  <c r="AI38" i="148" s="1"/>
  <c r="AJ38" i="148"/>
  <c r="R38" i="100"/>
  <c r="AC41" i="128"/>
  <c r="AD38" i="100"/>
  <c r="AD40" i="76"/>
  <c r="AC41" i="153"/>
  <c r="BG38" i="72" s="1"/>
  <c r="AC38" i="100"/>
  <c r="AD41" i="153"/>
  <c r="AF41" i="153" s="1"/>
  <c r="AC41" i="151"/>
  <c r="BE38" i="72" s="1"/>
  <c r="AA38" i="100"/>
  <c r="AD41" i="151"/>
  <c r="AF41" i="151" s="1"/>
  <c r="AD18" i="80"/>
  <c r="BI16" i="72" s="1"/>
  <c r="AE16" i="100"/>
  <c r="AE18" i="80"/>
  <c r="AG18" i="80" s="1"/>
  <c r="AC19" i="151"/>
  <c r="BE16" i="72" s="1"/>
  <c r="AA16" i="100"/>
  <c r="AD19" i="151"/>
  <c r="AF19" i="151" s="1"/>
  <c r="AC54" i="120"/>
  <c r="AR51" i="72" s="1"/>
  <c r="N51" i="100"/>
  <c r="AD54" i="120"/>
  <c r="AF54" i="120" s="1"/>
  <c r="AC54" i="126"/>
  <c r="AT51" i="72" s="1"/>
  <c r="P51" i="100"/>
  <c r="AD54" i="126"/>
  <c r="AF54" i="126" s="1"/>
  <c r="AC54" i="147"/>
  <c r="BB51" i="72" s="1"/>
  <c r="X51" i="100"/>
  <c r="AD54" i="147"/>
  <c r="AF54" i="147" s="1"/>
  <c r="AC54" i="115"/>
  <c r="AM51" i="72" s="1"/>
  <c r="I51" i="100"/>
  <c r="AD54" i="115"/>
  <c r="AF54" i="115" s="1"/>
  <c r="AC36" i="118"/>
  <c r="AP33" i="72" s="1"/>
  <c r="L33" i="100"/>
  <c r="AD36" i="118"/>
  <c r="AF36" i="118" s="1"/>
  <c r="AC36" i="116"/>
  <c r="AN33" i="72" s="1"/>
  <c r="J33" i="100"/>
  <c r="AD36" i="116"/>
  <c r="AF36" i="116" s="1"/>
  <c r="AC36" i="149"/>
  <c r="BD33" i="72" s="1"/>
  <c r="Z33" i="100"/>
  <c r="AH28" i="113"/>
  <c r="AI28" i="113" s="1"/>
  <c r="AJ28" i="113"/>
  <c r="AE27" i="76"/>
  <c r="AG27" i="76" s="1"/>
  <c r="BH25" i="72"/>
  <c r="H25" i="100"/>
  <c r="AC28" i="114"/>
  <c r="AC28" i="153"/>
  <c r="BG25" i="72" s="1"/>
  <c r="AC25" i="100"/>
  <c r="AD28" i="153"/>
  <c r="AF28" i="153" s="1"/>
  <c r="AC59" i="126"/>
  <c r="AT56" i="72" s="1"/>
  <c r="P56" i="100"/>
  <c r="AD59" i="126"/>
  <c r="AF59" i="126" s="1"/>
  <c r="AC59" i="153"/>
  <c r="BG56" i="72" s="1"/>
  <c r="AC56" i="100"/>
  <c r="K22" i="100"/>
  <c r="AC25" i="117"/>
  <c r="AC25" i="118"/>
  <c r="AP22" i="72" s="1"/>
  <c r="L22" i="100"/>
  <c r="AD25" i="118"/>
  <c r="AF25" i="118" s="1"/>
  <c r="AC25" i="147"/>
  <c r="BB22" i="72" s="1"/>
  <c r="X22" i="100"/>
  <c r="AD25" i="147"/>
  <c r="AF25" i="147" s="1"/>
  <c r="AC25" i="115"/>
  <c r="AM22" i="72" s="1"/>
  <c r="I22" i="100"/>
  <c r="AD25" i="115"/>
  <c r="AF25" i="115" s="1"/>
  <c r="S6" i="100"/>
  <c r="AC9" i="129"/>
  <c r="H6" i="100"/>
  <c r="AC9" i="114"/>
  <c r="AC9" i="147"/>
  <c r="BB6" i="72" s="1"/>
  <c r="X6" i="100"/>
  <c r="AD63" i="80"/>
  <c r="BI61" i="72" s="1"/>
  <c r="AE61" i="100"/>
  <c r="AE63" i="80"/>
  <c r="AG63" i="80" s="1"/>
  <c r="AI63" i="76"/>
  <c r="AJ63" i="76" s="1"/>
  <c r="AK63" i="76"/>
  <c r="AC64" i="146"/>
  <c r="BA61" i="72" s="1"/>
  <c r="W61" i="100"/>
  <c r="AD64" i="146"/>
  <c r="AF64" i="146" s="1"/>
  <c r="AC64" i="115"/>
  <c r="AM61" i="72" s="1"/>
  <c r="I61" i="100"/>
  <c r="AD64" i="115"/>
  <c r="AF64" i="115" s="1"/>
  <c r="AC23" i="118"/>
  <c r="AP20" i="72" s="1"/>
  <c r="L20" i="100"/>
  <c r="AD23" i="118"/>
  <c r="AF23" i="118" s="1"/>
  <c r="AC23" i="151"/>
  <c r="BE20" i="72" s="1"/>
  <c r="AA20" i="100"/>
  <c r="AD23" i="151"/>
  <c r="AF23" i="151" s="1"/>
  <c r="AH29" i="113"/>
  <c r="AI29" i="113" s="1"/>
  <c r="AJ29" i="113"/>
  <c r="AD29" i="119"/>
  <c r="AF29" i="119" s="1"/>
  <c r="AQ26" i="72"/>
  <c r="AC29" i="118"/>
  <c r="AP26" i="72" s="1"/>
  <c r="L26" i="100"/>
  <c r="AH29" i="147"/>
  <c r="AI29" i="147" s="1"/>
  <c r="AJ29" i="147"/>
  <c r="AC29" i="151"/>
  <c r="BE26" i="72" s="1"/>
  <c r="AA26" i="100"/>
  <c r="AC46" i="118"/>
  <c r="AP43" i="72" s="1"/>
  <c r="L43" i="100"/>
  <c r="AD46" i="118"/>
  <c r="AF46" i="118" s="1"/>
  <c r="AC46" i="151"/>
  <c r="BE43" i="72" s="1"/>
  <c r="AA43" i="100"/>
  <c r="AC31" i="125"/>
  <c r="AS28" i="72" s="1"/>
  <c r="O28" i="100"/>
  <c r="AD31" i="125"/>
  <c r="AF31" i="125" s="1"/>
  <c r="AC31" i="153"/>
  <c r="BG28" i="72" s="1"/>
  <c r="AC28" i="100"/>
  <c r="AD31" i="153"/>
  <c r="AF31" i="153" s="1"/>
  <c r="AC31" i="115"/>
  <c r="AM28" i="72" s="1"/>
  <c r="I28" i="100"/>
  <c r="AD31" i="115"/>
  <c r="AF31" i="115" s="1"/>
  <c r="K53" i="100"/>
  <c r="AC56" i="117"/>
  <c r="AO53" i="72" s="1"/>
  <c r="AC56" i="145"/>
  <c r="AZ53" i="72" s="1"/>
  <c r="V53" i="100"/>
  <c r="AH50" i="116"/>
  <c r="AI50" i="116" s="1"/>
  <c r="AJ50" i="116"/>
  <c r="S47" i="100"/>
  <c r="AC50" i="129"/>
  <c r="AC50" i="144"/>
  <c r="AY47" i="72" s="1"/>
  <c r="U47" i="100"/>
  <c r="AD50" i="144"/>
  <c r="AF50" i="144" s="1"/>
  <c r="AC50" i="152"/>
  <c r="BF47" i="72" s="1"/>
  <c r="AB47" i="100"/>
  <c r="AD50" i="152"/>
  <c r="AF50" i="152" s="1"/>
  <c r="AD73" i="119"/>
  <c r="AF73" i="119" s="1"/>
  <c r="AQ70" i="72"/>
  <c r="AD72" i="80"/>
  <c r="BI70" i="72" s="1"/>
  <c r="AE70" i="100"/>
  <c r="AC73" i="153"/>
  <c r="BG70" i="72" s="1"/>
  <c r="AC70" i="100"/>
  <c r="AC22" i="120"/>
  <c r="AR19" i="72" s="1"/>
  <c r="N19" i="100"/>
  <c r="AD22" i="120"/>
  <c r="AF22" i="120" s="1"/>
  <c r="AC22" i="126"/>
  <c r="AT19" i="72" s="1"/>
  <c r="P19" i="100"/>
  <c r="AD22" i="126"/>
  <c r="AF22" i="126" s="1"/>
  <c r="AC22" i="146"/>
  <c r="BA19" i="72" s="1"/>
  <c r="W19" i="100"/>
  <c r="AD22" i="146"/>
  <c r="AF22" i="146" s="1"/>
  <c r="AC22" i="115"/>
  <c r="AM19" i="72" s="1"/>
  <c r="I19" i="100"/>
  <c r="AD22" i="115"/>
  <c r="AF22" i="115" s="1"/>
  <c r="AC53" i="126"/>
  <c r="AT50" i="72" s="1"/>
  <c r="P50" i="100"/>
  <c r="AD53" i="126"/>
  <c r="AF53" i="126" s="1"/>
  <c r="AC53" i="149"/>
  <c r="BD50" i="72" s="1"/>
  <c r="Z50" i="100"/>
  <c r="AD53" i="149"/>
  <c r="AF53" i="149" s="1"/>
  <c r="AC45" i="131"/>
  <c r="AX42" i="72" s="1"/>
  <c r="T42" i="100"/>
  <c r="AC45" i="144"/>
  <c r="AY42" i="72" s="1"/>
  <c r="U42" i="100"/>
  <c r="AD45" i="144"/>
  <c r="AF45" i="144" s="1"/>
  <c r="AC45" i="153"/>
  <c r="BG42" i="72" s="1"/>
  <c r="AC42" i="100"/>
  <c r="R34" i="100"/>
  <c r="AC37" i="128"/>
  <c r="AD34" i="100"/>
  <c r="AD36" i="76"/>
  <c r="AC37" i="152"/>
  <c r="BF34" i="72" s="1"/>
  <c r="AB34" i="100"/>
  <c r="AD37" i="152"/>
  <c r="AF37" i="152" s="1"/>
  <c r="K14" i="100"/>
  <c r="AC17" i="117"/>
  <c r="AO14" i="72" s="1"/>
  <c r="Q14" i="100"/>
  <c r="AC17" i="127"/>
  <c r="AH17" i="144"/>
  <c r="AI17" i="144" s="1"/>
  <c r="AJ17" i="144"/>
  <c r="AC17" i="149"/>
  <c r="BD14" i="72" s="1"/>
  <c r="Z14" i="100"/>
  <c r="AC32" i="116"/>
  <c r="J29" i="100"/>
  <c r="AC32" i="125"/>
  <c r="AS29" i="72" s="1"/>
  <c r="O29" i="100"/>
  <c r="AD32" i="125"/>
  <c r="AF32" i="125" s="1"/>
  <c r="AC32" i="149"/>
  <c r="BD29" i="72" s="1"/>
  <c r="Z29" i="100"/>
  <c r="R36" i="100"/>
  <c r="AC39" i="128"/>
  <c r="AC39" i="118"/>
  <c r="AP36" i="72" s="1"/>
  <c r="L36" i="100"/>
  <c r="AD39" i="118"/>
  <c r="AF39" i="118" s="1"/>
  <c r="AC39" i="146"/>
  <c r="BA36" i="72" s="1"/>
  <c r="W36" i="100"/>
  <c r="AD39" i="146"/>
  <c r="AF39" i="146" s="1"/>
  <c r="S21" i="100"/>
  <c r="AC24" i="129"/>
  <c r="AC24" i="131"/>
  <c r="AX21" i="72" s="1"/>
  <c r="T21" i="100"/>
  <c r="AD24" i="131"/>
  <c r="AF24" i="131" s="1"/>
  <c r="AC24" i="149"/>
  <c r="BD21" i="72" s="1"/>
  <c r="Z21" i="100"/>
  <c r="G59" i="72"/>
  <c r="AK62" i="113"/>
  <c r="R59" i="100"/>
  <c r="AC62" i="128"/>
  <c r="AV59" i="72" s="1"/>
  <c r="AC62" i="153"/>
  <c r="BG59" i="72" s="1"/>
  <c r="AC59" i="100"/>
  <c r="AD62" i="153"/>
  <c r="AF62" i="153" s="1"/>
  <c r="K31" i="100"/>
  <c r="AC34" i="117"/>
  <c r="R31" i="100"/>
  <c r="AC34" i="128"/>
  <c r="AV31" i="72" s="1"/>
  <c r="AC34" i="153"/>
  <c r="BG31" i="72" s="1"/>
  <c r="AC31" i="100"/>
  <c r="AD34" i="153"/>
  <c r="AF34" i="153" s="1"/>
  <c r="G52" i="72"/>
  <c r="AK55" i="113"/>
  <c r="Q52" i="100"/>
  <c r="AC55" i="127"/>
  <c r="AU52" i="72" s="1"/>
  <c r="AC55" i="120"/>
  <c r="AR52" i="72" s="1"/>
  <c r="N52" i="100"/>
  <c r="AD55" i="120"/>
  <c r="AF55" i="120" s="1"/>
  <c r="AC55" i="144"/>
  <c r="AY52" i="72" s="1"/>
  <c r="U52" i="100"/>
  <c r="AD55" i="144"/>
  <c r="AF55" i="144" s="1"/>
  <c r="AC52" i="125"/>
  <c r="AS49" i="72" s="1"/>
  <c r="O49" i="100"/>
  <c r="S49" i="100"/>
  <c r="AC52" i="129"/>
  <c r="AC52" i="151"/>
  <c r="BE49" i="72" s="1"/>
  <c r="AA49" i="100"/>
  <c r="AC44" i="146"/>
  <c r="BA41" i="72" s="1"/>
  <c r="W41" i="100"/>
  <c r="AD44" i="146"/>
  <c r="AF44" i="146" s="1"/>
  <c r="G63" i="72"/>
  <c r="AK66" i="113"/>
  <c r="AC66" i="120"/>
  <c r="AR63" i="72" s="1"/>
  <c r="N63" i="100"/>
  <c r="AD66" i="120"/>
  <c r="AF66" i="120" s="1"/>
  <c r="AD65" i="80"/>
  <c r="BI63" i="72" s="1"/>
  <c r="AE63" i="100"/>
  <c r="AE65" i="80"/>
  <c r="AG65" i="80" s="1"/>
  <c r="AC66" i="153"/>
  <c r="BG63" i="72" s="1"/>
  <c r="AC63" i="100"/>
  <c r="AD66" i="153"/>
  <c r="AF66" i="153" s="1"/>
  <c r="AC61" i="131"/>
  <c r="AX58" i="72" s="1"/>
  <c r="T58" i="100"/>
  <c r="AD58" i="100"/>
  <c r="AD60" i="76"/>
  <c r="AC61" i="151"/>
  <c r="BE58" i="72" s="1"/>
  <c r="AA58" i="100"/>
  <c r="R18" i="100"/>
  <c r="AC21" i="128"/>
  <c r="AC21" i="126"/>
  <c r="AT18" i="72" s="1"/>
  <c r="P18" i="100"/>
  <c r="AD21" i="126"/>
  <c r="AF21" i="126" s="1"/>
  <c r="AC21" i="146"/>
  <c r="BA18" i="72" s="1"/>
  <c r="W18" i="100"/>
  <c r="AD21" i="146"/>
  <c r="AF21" i="146" s="1"/>
  <c r="AC21" i="115"/>
  <c r="AM18" i="72" s="1"/>
  <c r="I18" i="100"/>
  <c r="AC18" i="126"/>
  <c r="AT15" i="72" s="1"/>
  <c r="P15" i="100"/>
  <c r="AD18" i="126"/>
  <c r="AF18" i="126" s="1"/>
  <c r="AC18" i="145"/>
  <c r="AZ15" i="72" s="1"/>
  <c r="V15" i="100"/>
  <c r="AC68" i="120"/>
  <c r="AR65" i="72" s="1"/>
  <c r="N65" i="100"/>
  <c r="AD68" i="120"/>
  <c r="AF68" i="120" s="1"/>
  <c r="H65" i="100"/>
  <c r="AC68" i="114"/>
  <c r="AL65" i="72" s="1"/>
  <c r="AC68" i="144"/>
  <c r="AY65" i="72" s="1"/>
  <c r="U65" i="100"/>
  <c r="AD68" i="144"/>
  <c r="AF68" i="144" s="1"/>
  <c r="AH68" i="148"/>
  <c r="AI68" i="148" s="1"/>
  <c r="AJ68" i="148"/>
  <c r="AC68" i="153"/>
  <c r="BG65" i="72" s="1"/>
  <c r="AC65" i="100"/>
  <c r="AD68" i="153"/>
  <c r="AF68" i="153" s="1"/>
  <c r="AC60" i="125"/>
  <c r="AS57" i="72" s="1"/>
  <c r="O57" i="100"/>
  <c r="S57" i="100"/>
  <c r="AC60" i="129"/>
  <c r="AC60" i="151"/>
  <c r="BE57" i="72" s="1"/>
  <c r="AA57" i="100"/>
  <c r="AD60" i="151"/>
  <c r="AF60" i="151" s="1"/>
  <c r="AD15" i="80"/>
  <c r="BI13" i="72" s="1"/>
  <c r="AE13" i="100"/>
  <c r="AH16" i="144"/>
  <c r="AI16" i="144" s="1"/>
  <c r="AJ16" i="144"/>
  <c r="AC16" i="146"/>
  <c r="BA13" i="72" s="1"/>
  <c r="W13" i="100"/>
  <c r="S46" i="100"/>
  <c r="AC49" i="129"/>
  <c r="AW46" i="72" s="1"/>
  <c r="AC49" i="145"/>
  <c r="AZ46" i="72" s="1"/>
  <c r="V46" i="100"/>
  <c r="AD49" i="145"/>
  <c r="AF49" i="145" s="1"/>
  <c r="G71" i="72"/>
  <c r="AK74" i="113"/>
  <c r="AD71" i="100"/>
  <c r="AD73" i="76"/>
  <c r="BH71" i="72" s="1"/>
  <c r="AC74" i="146"/>
  <c r="BA71" i="72" s="1"/>
  <c r="W71" i="100"/>
  <c r="AD74" i="146"/>
  <c r="AF74" i="146" s="1"/>
  <c r="H71" i="100"/>
  <c r="AC74" i="114"/>
  <c r="AL71" i="72" s="1"/>
  <c r="AC26" i="131"/>
  <c r="AX23" i="72" s="1"/>
  <c r="T23" i="100"/>
  <c r="AD26" i="131"/>
  <c r="AF26" i="131" s="1"/>
  <c r="AC26" i="152"/>
  <c r="BF23" i="72" s="1"/>
  <c r="AB23" i="100"/>
  <c r="AC13" i="126"/>
  <c r="AT10" i="72" s="1"/>
  <c r="P10" i="100"/>
  <c r="AD13" i="126"/>
  <c r="AF13" i="126" s="1"/>
  <c r="AC13" i="118"/>
  <c r="AP10" i="72" s="1"/>
  <c r="L10" i="100"/>
  <c r="AD13" i="118"/>
  <c r="AF13" i="118" s="1"/>
  <c r="AH13" i="144"/>
  <c r="AI13" i="144" s="1"/>
  <c r="AJ13" i="144"/>
  <c r="AC13" i="147"/>
  <c r="BB10" i="72" s="1"/>
  <c r="X10" i="100"/>
  <c r="AC13" i="115"/>
  <c r="AM10" i="72" s="1"/>
  <c r="I10" i="100"/>
  <c r="AD13" i="115"/>
  <c r="AF13" i="115" s="1"/>
  <c r="AC65" i="131"/>
  <c r="AX62" i="72" s="1"/>
  <c r="T62" i="100"/>
  <c r="AD65" i="131"/>
  <c r="AF65" i="131" s="1"/>
  <c r="AD65" i="116"/>
  <c r="AF65" i="116" s="1"/>
  <c r="AN62" i="72"/>
  <c r="AC65" i="147"/>
  <c r="BB62" i="72" s="1"/>
  <c r="X62" i="100"/>
  <c r="Q27" i="100"/>
  <c r="AC30" i="127"/>
  <c r="AD30" i="116"/>
  <c r="AF30" i="116" s="1"/>
  <c r="AN27" i="72"/>
  <c r="AC30" i="151"/>
  <c r="BE27" i="72" s="1"/>
  <c r="AA27" i="100"/>
  <c r="AC27" i="131"/>
  <c r="AX24" i="72" s="1"/>
  <c r="T24" i="100"/>
  <c r="AD27" i="131"/>
  <c r="AF27" i="131" s="1"/>
  <c r="AC27" i="126"/>
  <c r="AT24" i="72" s="1"/>
  <c r="P24" i="100"/>
  <c r="AD27" i="126"/>
  <c r="AF27" i="126" s="1"/>
  <c r="AC70" i="118"/>
  <c r="AP67" i="72" s="1"/>
  <c r="L67" i="100"/>
  <c r="AD70" i="118"/>
  <c r="AF70" i="118" s="1"/>
  <c r="Q67" i="100"/>
  <c r="AC70" i="127"/>
  <c r="AU67" i="72" s="1"/>
  <c r="AC70" i="147"/>
  <c r="BB67" i="72" s="1"/>
  <c r="X67" i="100"/>
  <c r="AD70" i="147"/>
  <c r="AF70" i="147" s="1"/>
  <c r="AD68" i="80"/>
  <c r="BI66" i="72" s="1"/>
  <c r="AE66" i="100"/>
  <c r="AE68" i="80"/>
  <c r="AG68" i="80" s="1"/>
  <c r="AC69" i="125"/>
  <c r="AS66" i="72" s="1"/>
  <c r="O66" i="100"/>
  <c r="AD69" i="125"/>
  <c r="AF69" i="125" s="1"/>
  <c r="AC69" i="145"/>
  <c r="AZ66" i="72" s="1"/>
  <c r="V66" i="100"/>
  <c r="AD69" i="145"/>
  <c r="AF69" i="145" s="1"/>
  <c r="J7" i="100"/>
  <c r="AC10" i="116"/>
  <c r="AC10" i="120"/>
  <c r="AR7" i="72" s="1"/>
  <c r="N7" i="100"/>
  <c r="AD10" i="120"/>
  <c r="AF10" i="120" s="1"/>
  <c r="AD9" i="80"/>
  <c r="BI7" i="72" s="1"/>
  <c r="AE7" i="100"/>
  <c r="AE9" i="80"/>
  <c r="AG9" i="80" s="1"/>
  <c r="AC10" i="152"/>
  <c r="BF7" i="72" s="1"/>
  <c r="AB7" i="100"/>
  <c r="AD10" i="152"/>
  <c r="AF10" i="152" s="1"/>
  <c r="AK6" i="46"/>
  <c r="AL6" i="46"/>
  <c r="AL12" i="46" s="1"/>
  <c r="AJ12" i="46"/>
  <c r="AC67" i="118"/>
  <c r="AP64" i="72" s="1"/>
  <c r="L64" i="100"/>
  <c r="AD67" i="118"/>
  <c r="AF67" i="118" s="1"/>
  <c r="G35" i="72"/>
  <c r="AK38" i="113"/>
  <c r="Q35" i="100"/>
  <c r="AC38" i="127"/>
  <c r="AU35" i="72" s="1"/>
  <c r="AD38" i="116"/>
  <c r="AF38" i="116" s="1"/>
  <c r="AN35" i="72"/>
  <c r="AE37" i="76"/>
  <c r="AG37" i="76" s="1"/>
  <c r="BH35" i="72"/>
  <c r="AH41" i="119"/>
  <c r="AI41" i="119" s="1"/>
  <c r="AJ41" i="119"/>
  <c r="AC19" i="131"/>
  <c r="AX16" i="72" s="1"/>
  <c r="T16" i="100"/>
  <c r="AD53" i="80"/>
  <c r="BI51" i="72" s="1"/>
  <c r="AE51" i="100"/>
  <c r="AE53" i="80"/>
  <c r="AG53" i="80" s="1"/>
  <c r="AC54" i="149"/>
  <c r="BD51" i="72" s="1"/>
  <c r="Z51" i="100"/>
  <c r="AD54" i="149"/>
  <c r="AF54" i="149" s="1"/>
  <c r="AC54" i="145"/>
  <c r="AZ51" i="72" s="1"/>
  <c r="V51" i="100"/>
  <c r="AD54" i="145"/>
  <c r="AF54" i="145" s="1"/>
  <c r="AD33" i="100"/>
  <c r="AD35" i="76"/>
  <c r="AC36" i="144"/>
  <c r="AY33" i="72" s="1"/>
  <c r="U33" i="100"/>
  <c r="AD36" i="144"/>
  <c r="AF36" i="144" s="1"/>
  <c r="AC36" i="153"/>
  <c r="BG33" i="72" s="1"/>
  <c r="AC33" i="100"/>
  <c r="AD36" i="153"/>
  <c r="AF36" i="153" s="1"/>
  <c r="AC36" i="151"/>
  <c r="BE33" i="72" s="1"/>
  <c r="AA33" i="100"/>
  <c r="AC28" i="125"/>
  <c r="AS25" i="72" s="1"/>
  <c r="O25" i="100"/>
  <c r="AD28" i="125"/>
  <c r="AF28" i="125" s="1"/>
  <c r="AC28" i="131"/>
  <c r="AX25" i="72" s="1"/>
  <c r="T25" i="100"/>
  <c r="AD28" i="131"/>
  <c r="AF28" i="131" s="1"/>
  <c r="S25" i="100"/>
  <c r="AC28" i="129"/>
  <c r="AC59" i="120"/>
  <c r="AR56" i="72" s="1"/>
  <c r="N56" i="100"/>
  <c r="AD59" i="120"/>
  <c r="AF59" i="120" s="1"/>
  <c r="AD56" i="100"/>
  <c r="AD58" i="76"/>
  <c r="AC25" i="149"/>
  <c r="BD22" i="72" s="1"/>
  <c r="Z22" i="100"/>
  <c r="AC25" i="145"/>
  <c r="AZ22" i="72" s="1"/>
  <c r="V22" i="100"/>
  <c r="M5" i="137"/>
  <c r="M15" i="137" s="1"/>
  <c r="L15" i="137"/>
  <c r="L19" i="137" s="1"/>
  <c r="N5" i="137"/>
  <c r="G6" i="72"/>
  <c r="AK9" i="113"/>
  <c r="AC9" i="131"/>
  <c r="AX6" i="72" s="1"/>
  <c r="T6" i="100"/>
  <c r="AD9" i="131"/>
  <c r="AF9" i="131" s="1"/>
  <c r="AC9" i="125"/>
  <c r="AS6" i="72" s="1"/>
  <c r="O6" i="100"/>
  <c r="AD9" i="125"/>
  <c r="AF9" i="125" s="1"/>
  <c r="AC9" i="120"/>
  <c r="AR6" i="72" s="1"/>
  <c r="N6" i="100"/>
  <c r="AD9" i="120"/>
  <c r="AF9" i="120" s="1"/>
  <c r="AC35" i="116"/>
  <c r="J32" i="100"/>
  <c r="AC35" i="113"/>
  <c r="AK32" i="72" s="1"/>
  <c r="G32" i="100"/>
  <c r="AD35" i="113"/>
  <c r="AF35" i="113" s="1"/>
  <c r="R61" i="100"/>
  <c r="AC64" i="128"/>
  <c r="J61" i="100"/>
  <c r="AC64" i="116"/>
  <c r="AN61" i="72" s="1"/>
  <c r="AC64" i="149"/>
  <c r="BD61" i="72" s="1"/>
  <c r="Z61" i="100"/>
  <c r="G20" i="72"/>
  <c r="AK23" i="113"/>
  <c r="AC23" i="125"/>
  <c r="AS20" i="72" s="1"/>
  <c r="O20" i="100"/>
  <c r="AD23" i="125"/>
  <c r="AF23" i="125" s="1"/>
  <c r="AC23" i="120"/>
  <c r="AR20" i="72" s="1"/>
  <c r="N20" i="100"/>
  <c r="AD23" i="120"/>
  <c r="AF23" i="120" s="1"/>
  <c r="AD22" i="80"/>
  <c r="BI20" i="72" s="1"/>
  <c r="AE20" i="100"/>
  <c r="AE22" i="80"/>
  <c r="AG22" i="80" s="1"/>
  <c r="AC23" i="152"/>
  <c r="BF20" i="72" s="1"/>
  <c r="AB20" i="100"/>
  <c r="AD23" i="152"/>
  <c r="AF23" i="152" s="1"/>
  <c r="AD26" i="100"/>
  <c r="AD28" i="76"/>
  <c r="BH26" i="72" s="1"/>
  <c r="AC46" i="120"/>
  <c r="AR43" i="72" s="1"/>
  <c r="N43" i="100"/>
  <c r="AD46" i="120"/>
  <c r="AF46" i="120" s="1"/>
  <c r="S43" i="100"/>
  <c r="AC46" i="129"/>
  <c r="AW43" i="72" s="1"/>
  <c r="AC46" i="148"/>
  <c r="BC43" i="72" s="1"/>
  <c r="Y43" i="100"/>
  <c r="AC46" i="147"/>
  <c r="BB43" i="72" s="1"/>
  <c r="X43" i="100"/>
  <c r="AC46" i="115"/>
  <c r="AM43" i="72" s="1"/>
  <c r="I43" i="100"/>
  <c r="AD46" i="115"/>
  <c r="AF46" i="115" s="1"/>
  <c r="S28" i="100"/>
  <c r="AC31" i="129"/>
  <c r="AW28" i="72" s="1"/>
  <c r="AC31" i="126"/>
  <c r="AT28" i="72" s="1"/>
  <c r="P28" i="100"/>
  <c r="AD31" i="126"/>
  <c r="AF31" i="126" s="1"/>
  <c r="H28" i="100"/>
  <c r="AC31" i="114"/>
  <c r="AL28" i="72" s="1"/>
  <c r="AC31" i="152"/>
  <c r="BF28" i="72" s="1"/>
  <c r="AB28" i="100"/>
  <c r="AD31" i="152"/>
  <c r="AF31" i="152" s="1"/>
  <c r="AC31" i="149"/>
  <c r="BD28" i="72" s="1"/>
  <c r="Z28" i="100"/>
  <c r="AC56" i="126"/>
  <c r="AT53" i="72" s="1"/>
  <c r="P53" i="100"/>
  <c r="AD56" i="126"/>
  <c r="AF56" i="126" s="1"/>
  <c r="J53" i="100"/>
  <c r="AC56" i="116"/>
  <c r="Q53" i="100"/>
  <c r="AC56" i="127"/>
  <c r="AC56" i="144"/>
  <c r="AY53" i="72" s="1"/>
  <c r="U53" i="100"/>
  <c r="AD56" i="144"/>
  <c r="AF56" i="144" s="1"/>
  <c r="AC56" i="153"/>
  <c r="BG53" i="72" s="1"/>
  <c r="AC53" i="100"/>
  <c r="AD56" i="153"/>
  <c r="AF56" i="153" s="1"/>
  <c r="AC56" i="152"/>
  <c r="BF53" i="72" s="1"/>
  <c r="AB53" i="100"/>
  <c r="AD56" i="152"/>
  <c r="AF56" i="152" s="1"/>
  <c r="K47" i="100"/>
  <c r="AC50" i="117"/>
  <c r="AO47" i="72" s="1"/>
  <c r="AC50" i="131"/>
  <c r="AX47" i="72" s="1"/>
  <c r="T47" i="100"/>
  <c r="AD50" i="131"/>
  <c r="AF50" i="131" s="1"/>
  <c r="R47" i="100"/>
  <c r="AC50" i="128"/>
  <c r="AV47" i="72" s="1"/>
  <c r="AC50" i="118"/>
  <c r="AP47" i="72" s="1"/>
  <c r="L47" i="100"/>
  <c r="AD50" i="118"/>
  <c r="AF50" i="118" s="1"/>
  <c r="AC50" i="151"/>
  <c r="BE47" i="72" s="1"/>
  <c r="AA47" i="100"/>
  <c r="AC50" i="147"/>
  <c r="BB47" i="72" s="1"/>
  <c r="X47" i="100"/>
  <c r="AD50" i="147"/>
  <c r="AF50" i="147" s="1"/>
  <c r="AD21" i="80"/>
  <c r="BI19" i="72" s="1"/>
  <c r="AE19" i="100"/>
  <c r="AE21" i="80"/>
  <c r="AG21" i="80" s="1"/>
  <c r="AC22" i="145"/>
  <c r="AZ19" i="72" s="1"/>
  <c r="V19" i="100"/>
  <c r="AD22" i="145"/>
  <c r="AF22" i="145" s="1"/>
  <c r="AC22" i="149"/>
  <c r="BD19" i="72" s="1"/>
  <c r="Z19" i="100"/>
  <c r="AC37" i="118"/>
  <c r="AP34" i="72" s="1"/>
  <c r="L34" i="100"/>
  <c r="AD37" i="118"/>
  <c r="AF37" i="118" s="1"/>
  <c r="AC37" i="131"/>
  <c r="AX34" i="72" s="1"/>
  <c r="T34" i="100"/>
  <c r="H14" i="100"/>
  <c r="AC17" i="114"/>
  <c r="R14" i="100"/>
  <c r="AC17" i="128"/>
  <c r="AC17" i="148"/>
  <c r="BC14" i="72" s="1"/>
  <c r="Y14" i="100"/>
  <c r="AC17" i="145"/>
  <c r="AZ14" i="72" s="1"/>
  <c r="V14" i="100"/>
  <c r="AD17" i="145"/>
  <c r="AF17" i="145" s="1"/>
  <c r="AR9" i="46"/>
  <c r="AS9" i="46" s="1"/>
  <c r="AU9" i="46" s="1"/>
  <c r="AT9" i="46"/>
  <c r="AC39" i="120"/>
  <c r="AR36" i="72" s="1"/>
  <c r="N36" i="100"/>
  <c r="AD39" i="120"/>
  <c r="AF39" i="120" s="1"/>
  <c r="AC39" i="148"/>
  <c r="BC36" i="72" s="1"/>
  <c r="Y36" i="100"/>
  <c r="M21" i="100"/>
  <c r="AC24" i="119"/>
  <c r="AQ21" i="72" s="1"/>
  <c r="AD21" i="100"/>
  <c r="AD23" i="76"/>
  <c r="BH21" i="72" s="1"/>
  <c r="AC24" i="144"/>
  <c r="AY21" i="72" s="1"/>
  <c r="U21" i="100"/>
  <c r="AD24" i="144"/>
  <c r="AF24" i="144" s="1"/>
  <c r="AD61" i="80"/>
  <c r="BI59" i="72" s="1"/>
  <c r="AE59" i="100"/>
  <c r="AE61" i="80"/>
  <c r="AG61" i="80" s="1"/>
  <c r="AC62" i="146"/>
  <c r="BA59" i="72" s="1"/>
  <c r="W59" i="100"/>
  <c r="AD62" i="146"/>
  <c r="AF62" i="146" s="1"/>
  <c r="AC62" i="145"/>
  <c r="AZ59" i="72" s="1"/>
  <c r="V59" i="100"/>
  <c r="AD62" i="145"/>
  <c r="AF62" i="145" s="1"/>
  <c r="J31" i="100"/>
  <c r="AC34" i="116"/>
  <c r="AN31" i="72" s="1"/>
  <c r="AC34" i="120"/>
  <c r="AR31" i="72" s="1"/>
  <c r="N31" i="100"/>
  <c r="AD34" i="120"/>
  <c r="AF34" i="120" s="1"/>
  <c r="S31" i="100"/>
  <c r="AC34" i="129"/>
  <c r="AW31" i="72" s="1"/>
  <c r="AC34" i="144"/>
  <c r="AY31" i="72" s="1"/>
  <c r="U31" i="100"/>
  <c r="AD34" i="144"/>
  <c r="AF34" i="144" s="1"/>
  <c r="K52" i="100"/>
  <c r="AC55" i="117"/>
  <c r="K49" i="100"/>
  <c r="AC52" i="117"/>
  <c r="AO49" i="72" s="1"/>
  <c r="M49" i="100"/>
  <c r="AC52" i="119"/>
  <c r="AC52" i="147"/>
  <c r="BB49" i="72" s="1"/>
  <c r="X49" i="100"/>
  <c r="AC52" i="148"/>
  <c r="BC49" i="72" s="1"/>
  <c r="Y49" i="100"/>
  <c r="AC52" i="115"/>
  <c r="AM49" i="72" s="1"/>
  <c r="I49" i="100"/>
  <c r="AD52" i="115"/>
  <c r="AF52" i="115" s="1"/>
  <c r="Q63" i="100"/>
  <c r="AC66" i="127"/>
  <c r="AU63" i="72" s="1"/>
  <c r="AC66" i="126"/>
  <c r="AT63" i="72" s="1"/>
  <c r="P63" i="100"/>
  <c r="AD66" i="126"/>
  <c r="AF66" i="126" s="1"/>
  <c r="AD63" i="100"/>
  <c r="AD65" i="76"/>
  <c r="BH63" i="72" s="1"/>
  <c r="AC66" i="147"/>
  <c r="BB63" i="72" s="1"/>
  <c r="X63" i="100"/>
  <c r="AD66" i="147"/>
  <c r="AF66" i="147" s="1"/>
  <c r="AC66" i="145"/>
  <c r="AZ63" i="72" s="1"/>
  <c r="V63" i="100"/>
  <c r="AH61" i="113"/>
  <c r="AI61" i="113" s="1"/>
  <c r="AJ61" i="113"/>
  <c r="R58" i="100"/>
  <c r="AC61" i="128"/>
  <c r="AC61" i="120"/>
  <c r="AR58" i="72" s="1"/>
  <c r="N58" i="100"/>
  <c r="AD61" i="120"/>
  <c r="AF61" i="120" s="1"/>
  <c r="AD18" i="100"/>
  <c r="AD20" i="76"/>
  <c r="BH18" i="72" s="1"/>
  <c r="AC21" i="125"/>
  <c r="AS18" i="72" s="1"/>
  <c r="O18" i="100"/>
  <c r="AD21" i="125"/>
  <c r="AF21" i="125" s="1"/>
  <c r="AC21" i="151"/>
  <c r="BE18" i="72" s="1"/>
  <c r="AA18" i="100"/>
  <c r="AD21" i="151"/>
  <c r="AF21" i="151" s="1"/>
  <c r="AC21" i="148"/>
  <c r="BC18" i="72" s="1"/>
  <c r="Y18" i="100"/>
  <c r="AD21" i="148"/>
  <c r="AF21" i="148" s="1"/>
  <c r="M15" i="100"/>
  <c r="AC18" i="119"/>
  <c r="H15" i="100"/>
  <c r="AC18" i="114"/>
  <c r="AC18" i="146"/>
  <c r="BA15" i="72" s="1"/>
  <c r="W15" i="100"/>
  <c r="AD18" i="146"/>
  <c r="AF18" i="146" s="1"/>
  <c r="AC18" i="147"/>
  <c r="BB15" i="72" s="1"/>
  <c r="X15" i="100"/>
  <c r="AD18" i="147"/>
  <c r="AF18" i="147" s="1"/>
  <c r="AC18" i="115"/>
  <c r="AM15" i="72" s="1"/>
  <c r="I15" i="100"/>
  <c r="AD18" i="115"/>
  <c r="AF18" i="115" s="1"/>
  <c r="Q65" i="100"/>
  <c r="AC68" i="127"/>
  <c r="AC68" i="118"/>
  <c r="AP65" i="72" s="1"/>
  <c r="L65" i="100"/>
  <c r="AD68" i="118"/>
  <c r="AF68" i="118" s="1"/>
  <c r="AD67" i="80"/>
  <c r="BI65" i="72" s="1"/>
  <c r="AE65" i="100"/>
  <c r="AE67" i="80"/>
  <c r="AG67" i="80" s="1"/>
  <c r="AC68" i="147"/>
  <c r="BB65" i="72" s="1"/>
  <c r="X65" i="100"/>
  <c r="AC68" i="145"/>
  <c r="AZ65" i="72" s="1"/>
  <c r="V65" i="100"/>
  <c r="AD68" i="145"/>
  <c r="AF68" i="145" s="1"/>
  <c r="AH60" i="113"/>
  <c r="AI60" i="113" s="1"/>
  <c r="AJ60" i="113"/>
  <c r="AC60" i="120"/>
  <c r="AR57" i="72" s="1"/>
  <c r="N57" i="100"/>
  <c r="AD60" i="120"/>
  <c r="AF60" i="120" s="1"/>
  <c r="H57" i="100"/>
  <c r="AC60" i="114"/>
  <c r="AL57" i="72" s="1"/>
  <c r="R57" i="100"/>
  <c r="AC60" i="128"/>
  <c r="AD13" i="100"/>
  <c r="AD15" i="76"/>
  <c r="M13" i="100"/>
  <c r="AC16" i="119"/>
  <c r="AQ13" i="72" s="1"/>
  <c r="AC16" i="147"/>
  <c r="BB13" i="72" s="1"/>
  <c r="X13" i="100"/>
  <c r="AC16" i="151"/>
  <c r="BE13" i="72" s="1"/>
  <c r="AA13" i="100"/>
  <c r="AD16" i="151"/>
  <c r="AF16" i="151" s="1"/>
  <c r="H46" i="100"/>
  <c r="AC49" i="114"/>
  <c r="AL46" i="72" s="1"/>
  <c r="AC49" i="146"/>
  <c r="BA46" i="72" s="1"/>
  <c r="W46" i="100"/>
  <c r="AD49" i="146"/>
  <c r="AF49" i="146" s="1"/>
  <c r="AC49" i="149"/>
  <c r="BD46" i="72" s="1"/>
  <c r="Z46" i="100"/>
  <c r="AC49" i="115"/>
  <c r="AM46" i="72" s="1"/>
  <c r="I46" i="100"/>
  <c r="AD49" i="115"/>
  <c r="AF49" i="115" s="1"/>
  <c r="U71" i="100"/>
  <c r="AC74" i="144"/>
  <c r="AY71" i="72" s="1"/>
  <c r="AC74" i="153"/>
  <c r="BG71" i="72" s="1"/>
  <c r="AC71" i="100"/>
  <c r="AD74" i="153"/>
  <c r="AF74" i="153" s="1"/>
  <c r="J23" i="100"/>
  <c r="AC26" i="116"/>
  <c r="AC26" i="120"/>
  <c r="AR23" i="72" s="1"/>
  <c r="N23" i="100"/>
  <c r="AD26" i="120"/>
  <c r="AF26" i="120" s="1"/>
  <c r="S23" i="100"/>
  <c r="AC26" i="129"/>
  <c r="AC13" i="116"/>
  <c r="J10" i="100"/>
  <c r="AC13" i="131"/>
  <c r="AX10" i="72" s="1"/>
  <c r="T10" i="100"/>
  <c r="AD13" i="131"/>
  <c r="AF13" i="131" s="1"/>
  <c r="K10" i="100"/>
  <c r="AC13" i="117"/>
  <c r="AC13" i="151"/>
  <c r="BE10" i="72" s="1"/>
  <c r="AA10" i="100"/>
  <c r="AD13" i="151"/>
  <c r="AF13" i="151" s="1"/>
  <c r="AC13" i="148"/>
  <c r="BC10" i="72" s="1"/>
  <c r="Y10" i="100"/>
  <c r="AD13" i="148"/>
  <c r="AF13" i="148" s="1"/>
  <c r="M62" i="100"/>
  <c r="AC65" i="119"/>
  <c r="AC65" i="146"/>
  <c r="BA62" i="72" s="1"/>
  <c r="W62" i="100"/>
  <c r="AC65" i="148"/>
  <c r="BC62" i="72" s="1"/>
  <c r="Y62" i="100"/>
  <c r="AC65" i="115"/>
  <c r="AM62" i="72" s="1"/>
  <c r="I62" i="100"/>
  <c r="AD65" i="115"/>
  <c r="AF65" i="115" s="1"/>
  <c r="AC11" i="144"/>
  <c r="AY8" i="72" s="1"/>
  <c r="U8" i="100"/>
  <c r="AC30" i="120"/>
  <c r="AR27" i="72" s="1"/>
  <c r="N27" i="100"/>
  <c r="AD30" i="120"/>
  <c r="AF30" i="120" s="1"/>
  <c r="S27" i="100"/>
  <c r="AC30" i="129"/>
  <c r="AC30" i="148"/>
  <c r="BC27" i="72" s="1"/>
  <c r="Y27" i="100"/>
  <c r="AC30" i="152"/>
  <c r="BF27" i="72" s="1"/>
  <c r="AB27" i="100"/>
  <c r="AD69" i="80"/>
  <c r="BI67" i="72" s="1"/>
  <c r="AE67" i="100"/>
  <c r="AE69" i="80"/>
  <c r="AG69" i="80" s="1"/>
  <c r="AC70" i="146"/>
  <c r="BA67" i="72" s="1"/>
  <c r="W67" i="100"/>
  <c r="AC70" i="145"/>
  <c r="AZ67" i="72" s="1"/>
  <c r="V67" i="100"/>
  <c r="AD70" i="145"/>
  <c r="AF70" i="145" s="1"/>
  <c r="AH69" i="113"/>
  <c r="AI69" i="113" s="1"/>
  <c r="AJ69" i="113"/>
  <c r="AC69" i="120"/>
  <c r="AR66" i="72" s="1"/>
  <c r="N66" i="100"/>
  <c r="AD69" i="120"/>
  <c r="AF69" i="120" s="1"/>
  <c r="J66" i="100"/>
  <c r="AC69" i="116"/>
  <c r="AN66" i="72" s="1"/>
  <c r="G72" i="100"/>
  <c r="AC75" i="113"/>
  <c r="AK72" i="72" s="1"/>
  <c r="Z48" i="126"/>
  <c r="X48" i="126"/>
  <c r="V48" i="126"/>
  <c r="Z48" i="128"/>
  <c r="X48" i="128"/>
  <c r="V48" i="128"/>
  <c r="Z48" i="117"/>
  <c r="X48" i="117"/>
  <c r="V48" i="117"/>
  <c r="Z48" i="120"/>
  <c r="X48" i="120"/>
  <c r="V48" i="120"/>
  <c r="AA47" i="76"/>
  <c r="Y47" i="76"/>
  <c r="W47" i="76"/>
  <c r="Z48" i="114"/>
  <c r="X48" i="114"/>
  <c r="V48" i="114"/>
  <c r="Z48" i="116"/>
  <c r="X48" i="116"/>
  <c r="V48" i="116"/>
  <c r="Z48" i="148"/>
  <c r="X48" i="148"/>
  <c r="V48" i="148"/>
  <c r="Z48" i="151"/>
  <c r="X48" i="151"/>
  <c r="V48" i="151"/>
  <c r="Z48" i="145"/>
  <c r="X48" i="145"/>
  <c r="V48" i="145"/>
  <c r="Z48" i="147"/>
  <c r="X48" i="147"/>
  <c r="V48" i="147"/>
  <c r="G60" i="100"/>
  <c r="AC63" i="113"/>
  <c r="AK60" i="72" s="1"/>
  <c r="AC15" i="116"/>
  <c r="J12" i="100"/>
  <c r="AC40" i="113"/>
  <c r="AK37" i="72" s="1"/>
  <c r="G37" i="100"/>
  <c r="AD40" i="113"/>
  <c r="AF40" i="113" s="1"/>
  <c r="AC12" i="144"/>
  <c r="AY9" i="72" s="1"/>
  <c r="U9" i="100"/>
  <c r="AD12" i="144"/>
  <c r="AF12" i="144" s="1"/>
  <c r="AD9" i="100"/>
  <c r="AD11" i="76"/>
  <c r="AC43" i="113"/>
  <c r="AK40" i="72" s="1"/>
  <c r="G40" i="100"/>
  <c r="AD43" i="113"/>
  <c r="AF43" i="113" s="1"/>
  <c r="AA8" i="116"/>
  <c r="AB8" i="116"/>
  <c r="AC20" i="144"/>
  <c r="AY17" i="72" s="1"/>
  <c r="U17" i="100"/>
  <c r="AD20" i="144"/>
  <c r="AF20" i="144" s="1"/>
  <c r="R17" i="100"/>
  <c r="AC20" i="128"/>
  <c r="AH67" i="113"/>
  <c r="AI67" i="113" s="1"/>
  <c r="AJ67" i="113"/>
  <c r="S64" i="100"/>
  <c r="AC67" i="129"/>
  <c r="H64" i="100"/>
  <c r="AC67" i="114"/>
  <c r="M35" i="100"/>
  <c r="AC38" i="119"/>
  <c r="H35" i="100"/>
  <c r="AC38" i="114"/>
  <c r="AC38" i="152"/>
  <c r="BF35" i="72" s="1"/>
  <c r="AB35" i="100"/>
  <c r="K38" i="100"/>
  <c r="AC41" i="117"/>
  <c r="S38" i="100"/>
  <c r="AC41" i="129"/>
  <c r="AW38" i="72" s="1"/>
  <c r="AC41" i="118"/>
  <c r="AP38" i="72" s="1"/>
  <c r="L38" i="100"/>
  <c r="AD41" i="118"/>
  <c r="AF41" i="118" s="1"/>
  <c r="AC41" i="116"/>
  <c r="J38" i="100"/>
  <c r="AC41" i="146"/>
  <c r="BA38" i="72" s="1"/>
  <c r="W38" i="100"/>
  <c r="AD41" i="146"/>
  <c r="AF41" i="146" s="1"/>
  <c r="M16" i="100"/>
  <c r="AC19" i="119"/>
  <c r="Q16" i="100"/>
  <c r="AC19" i="127"/>
  <c r="AU16" i="72" s="1"/>
  <c r="H16" i="100"/>
  <c r="AC19" i="114"/>
  <c r="AL16" i="72" s="1"/>
  <c r="AC19" i="145"/>
  <c r="AZ16" i="72" s="1"/>
  <c r="V16" i="100"/>
  <c r="AD19" i="145"/>
  <c r="AF19" i="145" s="1"/>
  <c r="AC19" i="149"/>
  <c r="BD16" i="72" s="1"/>
  <c r="Z16" i="100"/>
  <c r="AH54" i="113"/>
  <c r="AI54" i="113" s="1"/>
  <c r="AJ54" i="113"/>
  <c r="AC54" i="125"/>
  <c r="AS51" i="72" s="1"/>
  <c r="O51" i="100"/>
  <c r="AD54" i="125"/>
  <c r="AF54" i="125" s="1"/>
  <c r="AC54" i="118"/>
  <c r="AP51" i="72" s="1"/>
  <c r="L51" i="100"/>
  <c r="AD54" i="118"/>
  <c r="AF54" i="118" s="1"/>
  <c r="R51" i="100"/>
  <c r="AC54" i="128"/>
  <c r="AC54" i="144"/>
  <c r="AY51" i="72" s="1"/>
  <c r="U51" i="100"/>
  <c r="AD54" i="144"/>
  <c r="AF54" i="144" s="1"/>
  <c r="AC54" i="153"/>
  <c r="BG51" i="72" s="1"/>
  <c r="AC51" i="100"/>
  <c r="AD54" i="153"/>
  <c r="AF54" i="153" s="1"/>
  <c r="AC54" i="152"/>
  <c r="BF51" i="72" s="1"/>
  <c r="AB51" i="100"/>
  <c r="AD54" i="152"/>
  <c r="AF54" i="152" s="1"/>
  <c r="AC36" i="125"/>
  <c r="AS33" i="72" s="1"/>
  <c r="O33" i="100"/>
  <c r="AD36" i="125"/>
  <c r="AF36" i="125" s="1"/>
  <c r="AC36" i="131"/>
  <c r="AX33" i="72" s="1"/>
  <c r="T33" i="100"/>
  <c r="S33" i="100"/>
  <c r="AC36" i="129"/>
  <c r="K25" i="100"/>
  <c r="AC28" i="117"/>
  <c r="R25" i="100"/>
  <c r="AC28" i="128"/>
  <c r="M25" i="100"/>
  <c r="AC28" i="119"/>
  <c r="AC28" i="146"/>
  <c r="BA25" i="72" s="1"/>
  <c r="W25" i="100"/>
  <c r="AC28" i="147"/>
  <c r="BB25" i="72" s="1"/>
  <c r="X25" i="100"/>
  <c r="AD28" i="147"/>
  <c r="AF28" i="147" s="1"/>
  <c r="AC28" i="115"/>
  <c r="AM25" i="72" s="1"/>
  <c r="I25" i="100"/>
  <c r="AD28" i="115"/>
  <c r="AF28" i="115" s="1"/>
  <c r="Q56" i="100"/>
  <c r="AC59" i="127"/>
  <c r="AU56" i="72" s="1"/>
  <c r="H56" i="100"/>
  <c r="AC59" i="114"/>
  <c r="AC59" i="131"/>
  <c r="AX56" i="72" s="1"/>
  <c r="T56" i="100"/>
  <c r="AD59" i="131"/>
  <c r="AF59" i="131" s="1"/>
  <c r="AC59" i="147"/>
  <c r="BB56" i="72" s="1"/>
  <c r="X56" i="100"/>
  <c r="AD59" i="147"/>
  <c r="AF59" i="147" s="1"/>
  <c r="AC59" i="145"/>
  <c r="AZ56" i="72" s="1"/>
  <c r="V56" i="100"/>
  <c r="AH25" i="113"/>
  <c r="AI25" i="113" s="1"/>
  <c r="AJ25" i="113"/>
  <c r="R22" i="100"/>
  <c r="AC25" i="128"/>
  <c r="Q22" i="100"/>
  <c r="AC25" i="127"/>
  <c r="AU22" i="72" s="1"/>
  <c r="J68" i="100"/>
  <c r="AC71" i="116"/>
  <c r="AN68" i="72" s="1"/>
  <c r="G68" i="100"/>
  <c r="AC71" i="113"/>
  <c r="AK68" i="72" s="1"/>
  <c r="AH64" i="113"/>
  <c r="AI64" i="113" s="1"/>
  <c r="AJ64" i="113"/>
  <c r="S61" i="100"/>
  <c r="AC64" i="129"/>
  <c r="AW61" i="72" s="1"/>
  <c r="K61" i="100"/>
  <c r="AC64" i="117"/>
  <c r="AO61" i="72" s="1"/>
  <c r="AD28" i="80"/>
  <c r="BI26" i="72" s="1"/>
  <c r="AE26" i="100"/>
  <c r="AC29" i="120"/>
  <c r="AR26" i="72" s="1"/>
  <c r="N26" i="100"/>
  <c r="AD29" i="120"/>
  <c r="AF29" i="120" s="1"/>
  <c r="AC29" i="146"/>
  <c r="BA26" i="72" s="1"/>
  <c r="W26" i="100"/>
  <c r="AC29" i="115"/>
  <c r="AM26" i="72" s="1"/>
  <c r="I26" i="100"/>
  <c r="AD29" i="115"/>
  <c r="AF29" i="115" s="1"/>
  <c r="AC46" i="131"/>
  <c r="AX43" i="72" s="1"/>
  <c r="T43" i="100"/>
  <c r="AD46" i="131"/>
  <c r="AF46" i="131" s="1"/>
  <c r="K43" i="100"/>
  <c r="AC46" i="117"/>
  <c r="AC31" i="118"/>
  <c r="AP28" i="72" s="1"/>
  <c r="L28" i="100"/>
  <c r="AD31" i="118"/>
  <c r="AF31" i="118" s="1"/>
  <c r="AC31" i="131"/>
  <c r="AX28" i="72" s="1"/>
  <c r="T28" i="100"/>
  <c r="AD30" i="80"/>
  <c r="BI28" i="72" s="1"/>
  <c r="AE28" i="100"/>
  <c r="AE30" i="80"/>
  <c r="AG30" i="80" s="1"/>
  <c r="AC31" i="147"/>
  <c r="BB28" i="72" s="1"/>
  <c r="X28" i="100"/>
  <c r="AD31" i="147"/>
  <c r="AF31" i="147" s="1"/>
  <c r="AC31" i="144"/>
  <c r="AY28" i="72" s="1"/>
  <c r="U28" i="100"/>
  <c r="AD31" i="144"/>
  <c r="AF31" i="144" s="1"/>
  <c r="AC31" i="151"/>
  <c r="BE28" i="72" s="1"/>
  <c r="AA28" i="100"/>
  <c r="AC56" i="118"/>
  <c r="AP53" i="72" s="1"/>
  <c r="L53" i="100"/>
  <c r="AD56" i="118"/>
  <c r="AF56" i="118" s="1"/>
  <c r="AD55" i="80"/>
  <c r="BI53" i="72" s="1"/>
  <c r="AE53" i="100"/>
  <c r="AC56" i="120"/>
  <c r="AR53" i="72" s="1"/>
  <c r="N53" i="100"/>
  <c r="AD56" i="120"/>
  <c r="AF56" i="120" s="1"/>
  <c r="H53" i="100"/>
  <c r="AC56" i="114"/>
  <c r="AL53" i="72" s="1"/>
  <c r="AC56" i="151"/>
  <c r="BE53" i="72" s="1"/>
  <c r="AA53" i="100"/>
  <c r="AC56" i="147"/>
  <c r="BB53" i="72" s="1"/>
  <c r="X53" i="100"/>
  <c r="AD56" i="147"/>
  <c r="AF56" i="147" s="1"/>
  <c r="AC50" i="125"/>
  <c r="AS47" i="72" s="1"/>
  <c r="O47" i="100"/>
  <c r="AD50" i="125"/>
  <c r="AF50" i="125" s="1"/>
  <c r="R70" i="100"/>
  <c r="AC73" i="128"/>
  <c r="M50" i="100"/>
  <c r="AC53" i="119"/>
  <c r="J50" i="100"/>
  <c r="AC53" i="116"/>
  <c r="H50" i="100"/>
  <c r="AC53" i="114"/>
  <c r="AL50" i="72" s="1"/>
  <c r="AC53" i="151"/>
  <c r="BE50" i="72" s="1"/>
  <c r="AA50" i="100"/>
  <c r="AD53" i="151"/>
  <c r="AF53" i="151" s="1"/>
  <c r="AC45" i="125"/>
  <c r="AS42" i="72" s="1"/>
  <c r="O42" i="100"/>
  <c r="AD45" i="125"/>
  <c r="AF45" i="125" s="1"/>
  <c r="AC45" i="126"/>
  <c r="AT42" i="72" s="1"/>
  <c r="P42" i="100"/>
  <c r="AD45" i="126"/>
  <c r="AF45" i="126" s="1"/>
  <c r="J42" i="100"/>
  <c r="AC45" i="116"/>
  <c r="AC45" i="118"/>
  <c r="AP42" i="72" s="1"/>
  <c r="L42" i="100"/>
  <c r="AD45" i="118"/>
  <c r="AF45" i="118" s="1"/>
  <c r="AC37" i="145"/>
  <c r="AZ34" i="72" s="1"/>
  <c r="V34" i="100"/>
  <c r="AD37" i="145"/>
  <c r="AF37" i="145" s="1"/>
  <c r="AC37" i="149"/>
  <c r="BD34" i="72" s="1"/>
  <c r="Z34" i="100"/>
  <c r="AD37" i="149"/>
  <c r="AF37" i="149" s="1"/>
  <c r="AH17" i="113"/>
  <c r="AI17" i="113" s="1"/>
  <c r="AJ17" i="113"/>
  <c r="AD16" i="80"/>
  <c r="BI14" i="72" s="1"/>
  <c r="AE14" i="100"/>
  <c r="AE16" i="80"/>
  <c r="AG16" i="80" s="1"/>
  <c r="AC17" i="116"/>
  <c r="J14" i="100"/>
  <c r="AC17" i="131"/>
  <c r="AX14" i="72" s="1"/>
  <c r="T14" i="100"/>
  <c r="AD17" i="131"/>
  <c r="AF17" i="131" s="1"/>
  <c r="R29" i="100"/>
  <c r="AC32" i="128"/>
  <c r="Q29" i="100"/>
  <c r="AC32" i="127"/>
  <c r="M36" i="100"/>
  <c r="AC39" i="119"/>
  <c r="H36" i="100"/>
  <c r="AC39" i="114"/>
  <c r="AL36" i="72" s="1"/>
  <c r="AC39" i="147"/>
  <c r="BB36" i="72" s="1"/>
  <c r="X36" i="100"/>
  <c r="AC39" i="144"/>
  <c r="AY36" i="72" s="1"/>
  <c r="U36" i="100"/>
  <c r="AD39" i="144"/>
  <c r="AF39" i="144" s="1"/>
  <c r="AC39" i="151"/>
  <c r="BE36" i="72" s="1"/>
  <c r="AA36" i="100"/>
  <c r="AC24" i="118"/>
  <c r="AP21" i="72" s="1"/>
  <c r="L21" i="100"/>
  <c r="AD24" i="118"/>
  <c r="AF24" i="118" s="1"/>
  <c r="AD23" i="80"/>
  <c r="BI21" i="72" s="1"/>
  <c r="AE21" i="100"/>
  <c r="AE23" i="80"/>
  <c r="AG23" i="80" s="1"/>
  <c r="Q21" i="100"/>
  <c r="AC24" i="127"/>
  <c r="AC62" i="118"/>
  <c r="AP59" i="72" s="1"/>
  <c r="L59" i="100"/>
  <c r="AD62" i="118"/>
  <c r="AF62" i="118" s="1"/>
  <c r="AC62" i="131"/>
  <c r="AX59" i="72" s="1"/>
  <c r="T59" i="100"/>
  <c r="AD62" i="131"/>
  <c r="AF62" i="131" s="1"/>
  <c r="AC62" i="126"/>
  <c r="AT59" i="72" s="1"/>
  <c r="P59" i="100"/>
  <c r="AD62" i="126"/>
  <c r="AF62" i="126" s="1"/>
  <c r="AC57" i="113"/>
  <c r="AK54" i="72" s="1"/>
  <c r="G54" i="100"/>
  <c r="AD57" i="113"/>
  <c r="AF57" i="113" s="1"/>
  <c r="H52" i="100"/>
  <c r="AC55" i="114"/>
  <c r="R52" i="100"/>
  <c r="AC55" i="128"/>
  <c r="AV52" i="72" s="1"/>
  <c r="AC55" i="126"/>
  <c r="AT52" i="72" s="1"/>
  <c r="P52" i="100"/>
  <c r="AD55" i="126"/>
  <c r="AF55" i="126" s="1"/>
  <c r="AC55" i="151"/>
  <c r="BE52" i="72" s="1"/>
  <c r="AA52" i="100"/>
  <c r="AC55" i="146"/>
  <c r="BA52" i="72" s="1"/>
  <c r="W52" i="100"/>
  <c r="AC55" i="115"/>
  <c r="AM52" i="72" s="1"/>
  <c r="I52" i="100"/>
  <c r="AD55" i="115"/>
  <c r="AF55" i="115" s="1"/>
  <c r="Q49" i="100"/>
  <c r="AC52" i="127"/>
  <c r="AC52" i="118"/>
  <c r="AP49" i="72" s="1"/>
  <c r="L49" i="100"/>
  <c r="AD52" i="118"/>
  <c r="AF52" i="118" s="1"/>
  <c r="AD51" i="80"/>
  <c r="BI49" i="72" s="1"/>
  <c r="AE49" i="100"/>
  <c r="AE51" i="80"/>
  <c r="AG51" i="80" s="1"/>
  <c r="AC52" i="149"/>
  <c r="BD49" i="72" s="1"/>
  <c r="Z49" i="100"/>
  <c r="AC52" i="146"/>
  <c r="BA49" i="72" s="1"/>
  <c r="W49" i="100"/>
  <c r="AC44" i="144"/>
  <c r="AY41" i="72" s="1"/>
  <c r="U41" i="100"/>
  <c r="AD44" i="144"/>
  <c r="AF44" i="144" s="1"/>
  <c r="M63" i="100"/>
  <c r="AC66" i="119"/>
  <c r="AQ63" i="72" s="1"/>
  <c r="H63" i="100"/>
  <c r="AC66" i="114"/>
  <c r="AC66" i="146"/>
  <c r="BA63" i="72" s="1"/>
  <c r="W63" i="100"/>
  <c r="AD66" i="146"/>
  <c r="AF66" i="146" s="1"/>
  <c r="AC66" i="148"/>
  <c r="BC63" i="72" s="1"/>
  <c r="Y63" i="100"/>
  <c r="AC66" i="115"/>
  <c r="AM63" i="72" s="1"/>
  <c r="I63" i="100"/>
  <c r="AD66" i="115"/>
  <c r="AF66" i="115" s="1"/>
  <c r="AC61" i="126"/>
  <c r="AT58" i="72" s="1"/>
  <c r="P58" i="100"/>
  <c r="Q58" i="100"/>
  <c r="AC61" i="127"/>
  <c r="H58" i="100"/>
  <c r="AC61" i="114"/>
  <c r="AL58" i="72" s="1"/>
  <c r="G18" i="72"/>
  <c r="AK21" i="113"/>
  <c r="AD20" i="80"/>
  <c r="BI18" i="72" s="1"/>
  <c r="AE18" i="100"/>
  <c r="AE20" i="80"/>
  <c r="AG20" i="80" s="1"/>
  <c r="AC21" i="153"/>
  <c r="BG18" i="72" s="1"/>
  <c r="AC18" i="100"/>
  <c r="AD21" i="153"/>
  <c r="AF21" i="153" s="1"/>
  <c r="AD17" i="76"/>
  <c r="BH15" i="72" s="1"/>
  <c r="AD15" i="100"/>
  <c r="AE17" i="76"/>
  <c r="AG17" i="76" s="1"/>
  <c r="AC18" i="148"/>
  <c r="BC15" i="72" s="1"/>
  <c r="Y15" i="100"/>
  <c r="AC18" i="151"/>
  <c r="BE15" i="72" s="1"/>
  <c r="AA15" i="100"/>
  <c r="AC68" i="126"/>
  <c r="AT65" i="72" s="1"/>
  <c r="P65" i="100"/>
  <c r="AD68" i="126"/>
  <c r="AF68" i="126" s="1"/>
  <c r="AC68" i="146"/>
  <c r="BA65" i="72" s="1"/>
  <c r="W65" i="100"/>
  <c r="AD68" i="146"/>
  <c r="AF68" i="146" s="1"/>
  <c r="AC68" i="115"/>
  <c r="AM65" i="72" s="1"/>
  <c r="I65" i="100"/>
  <c r="Q57" i="100"/>
  <c r="AC60" i="127"/>
  <c r="AC60" i="118"/>
  <c r="AP57" i="72" s="1"/>
  <c r="L57" i="100"/>
  <c r="AD60" i="118"/>
  <c r="AF60" i="118" s="1"/>
  <c r="AD59" i="80"/>
  <c r="BI57" i="72" s="1"/>
  <c r="AE57" i="100"/>
  <c r="AE59" i="80"/>
  <c r="AG59" i="80" s="1"/>
  <c r="AC60" i="149"/>
  <c r="BD57" i="72" s="1"/>
  <c r="Z57" i="100"/>
  <c r="AD60" i="149"/>
  <c r="AF60" i="149" s="1"/>
  <c r="AC60" i="145"/>
  <c r="AZ57" i="72" s="1"/>
  <c r="V57" i="100"/>
  <c r="R13" i="100"/>
  <c r="AC16" i="128"/>
  <c r="AC16" i="116"/>
  <c r="J13" i="100"/>
  <c r="AC49" i="116"/>
  <c r="J46" i="100"/>
  <c r="AC49" i="125"/>
  <c r="AS46" i="72" s="1"/>
  <c r="O46" i="100"/>
  <c r="AD49" i="125"/>
  <c r="AF49" i="125" s="1"/>
  <c r="AC49" i="151"/>
  <c r="BE46" i="72" s="1"/>
  <c r="AA46" i="100"/>
  <c r="AC49" i="147"/>
  <c r="BB46" i="72" s="1"/>
  <c r="X46" i="100"/>
  <c r="R71" i="100"/>
  <c r="AC74" i="128"/>
  <c r="K71" i="100"/>
  <c r="AC74" i="117"/>
  <c r="AC74" i="118"/>
  <c r="AP71" i="72" s="1"/>
  <c r="L71" i="100"/>
  <c r="AD74" i="118"/>
  <c r="AF74" i="118" s="1"/>
  <c r="AC74" i="152"/>
  <c r="BF71" i="72" s="1"/>
  <c r="AB71" i="100"/>
  <c r="AC74" i="151"/>
  <c r="BE71" i="72" s="1"/>
  <c r="AA71" i="100"/>
  <c r="AC74" i="115"/>
  <c r="AM71" i="72" s="1"/>
  <c r="I71" i="100"/>
  <c r="AD74" i="115"/>
  <c r="AF74" i="115" s="1"/>
  <c r="Q23" i="100"/>
  <c r="AC26" i="127"/>
  <c r="AU23" i="72" s="1"/>
  <c r="AC26" i="126"/>
  <c r="AT23" i="72" s="1"/>
  <c r="P23" i="100"/>
  <c r="AD26" i="126"/>
  <c r="AF26" i="126" s="1"/>
  <c r="AD23" i="100"/>
  <c r="AD25" i="76"/>
  <c r="BH23" i="72" s="1"/>
  <c r="AC26" i="145"/>
  <c r="AZ23" i="72" s="1"/>
  <c r="V23" i="100"/>
  <c r="AC26" i="149"/>
  <c r="BD23" i="72" s="1"/>
  <c r="Z23" i="100"/>
  <c r="AD26" i="149"/>
  <c r="AF26" i="149" s="1"/>
  <c r="AH13" i="113"/>
  <c r="AI13" i="113" s="1"/>
  <c r="AJ13" i="113"/>
  <c r="R10" i="100"/>
  <c r="AC13" i="128"/>
  <c r="H10" i="100"/>
  <c r="AC13" i="114"/>
  <c r="AC13" i="153"/>
  <c r="BG10" i="72" s="1"/>
  <c r="AC10" i="100"/>
  <c r="AD13" i="153"/>
  <c r="AF13" i="153" s="1"/>
  <c r="AC13" i="152"/>
  <c r="BF10" i="72" s="1"/>
  <c r="AB10" i="100"/>
  <c r="AD13" i="152"/>
  <c r="AF13" i="152" s="1"/>
  <c r="AD64" i="80"/>
  <c r="BI62" i="72" s="1"/>
  <c r="AE62" i="100"/>
  <c r="AE64" i="80"/>
  <c r="AG64" i="80" s="1"/>
  <c r="Q62" i="100"/>
  <c r="AC65" i="127"/>
  <c r="AU62" i="72" s="1"/>
  <c r="AD62" i="100"/>
  <c r="AD64" i="76"/>
  <c r="AC30" i="118"/>
  <c r="AP27" i="72" s="1"/>
  <c r="L27" i="100"/>
  <c r="AD30" i="118"/>
  <c r="AF30" i="118" s="1"/>
  <c r="AC30" i="131"/>
  <c r="AX27" i="72" s="1"/>
  <c r="T27" i="100"/>
  <c r="AD30" i="131"/>
  <c r="AF30" i="131" s="1"/>
  <c r="AC30" i="126"/>
  <c r="AT27" i="72" s="1"/>
  <c r="P27" i="100"/>
  <c r="AD30" i="126"/>
  <c r="AF30" i="126" s="1"/>
  <c r="AD27" i="100"/>
  <c r="AD29" i="76"/>
  <c r="BH27" i="72" s="1"/>
  <c r="AC30" i="146"/>
  <c r="BA27" i="72" s="1"/>
  <c r="W27" i="100"/>
  <c r="AC30" i="147"/>
  <c r="BB27" i="72" s="1"/>
  <c r="X27" i="100"/>
  <c r="AC30" i="115"/>
  <c r="AM27" i="72" s="1"/>
  <c r="I27" i="100"/>
  <c r="Q24" i="100"/>
  <c r="AC27" i="127"/>
  <c r="AC27" i="145"/>
  <c r="AZ24" i="72" s="1"/>
  <c r="V24" i="100"/>
  <c r="AD27" i="145"/>
  <c r="AF27" i="145" s="1"/>
  <c r="AD67" i="100"/>
  <c r="AD69" i="76"/>
  <c r="BH67" i="72" s="1"/>
  <c r="M7" i="100"/>
  <c r="AC10" i="119"/>
  <c r="H7" i="100"/>
  <c r="AC10" i="114"/>
  <c r="AC10" i="146"/>
  <c r="BA7" i="72" s="1"/>
  <c r="W7" i="100"/>
  <c r="AD10" i="146"/>
  <c r="AF10" i="146" s="1"/>
  <c r="AC10" i="147"/>
  <c r="BB7" i="72" s="1"/>
  <c r="X7" i="100"/>
  <c r="AD10" i="147"/>
  <c r="AF10" i="147" s="1"/>
  <c r="AC10" i="115"/>
  <c r="AM7" i="72" s="1"/>
  <c r="I7" i="100"/>
  <c r="AD10" i="115"/>
  <c r="AF10" i="115" s="1"/>
  <c r="AH67" i="116"/>
  <c r="AI67" i="116" s="1"/>
  <c r="AJ67" i="116"/>
  <c r="K64" i="100"/>
  <c r="AC67" i="117"/>
  <c r="AC38" i="115"/>
  <c r="AM35" i="72" s="1"/>
  <c r="I35" i="100"/>
  <c r="AD38" i="115"/>
  <c r="AF38" i="115" s="1"/>
  <c r="H38" i="100"/>
  <c r="AC41" i="114"/>
  <c r="AL38" i="72" s="1"/>
  <c r="AC41" i="148"/>
  <c r="BC38" i="72" s="1"/>
  <c r="Y38" i="100"/>
  <c r="AD41" i="148"/>
  <c r="AF41" i="148" s="1"/>
  <c r="AC19" i="152"/>
  <c r="BF16" i="72" s="1"/>
  <c r="AB16" i="100"/>
  <c r="AD19" i="152"/>
  <c r="AF19" i="152" s="1"/>
  <c r="J51" i="100"/>
  <c r="AC54" i="116"/>
  <c r="AC54" i="151"/>
  <c r="BE51" i="72" s="1"/>
  <c r="AA51" i="100"/>
  <c r="AD54" i="151"/>
  <c r="AF54" i="151" s="1"/>
  <c r="AH36" i="119"/>
  <c r="AI36" i="119" s="1"/>
  <c r="AJ36" i="119"/>
  <c r="AC36" i="145"/>
  <c r="AZ33" i="72" s="1"/>
  <c r="V33" i="100"/>
  <c r="AD36" i="145"/>
  <c r="AF36" i="145" s="1"/>
  <c r="AD27" i="80"/>
  <c r="BI25" i="72" s="1"/>
  <c r="AE25" i="100"/>
  <c r="AE27" i="80"/>
  <c r="AG27" i="80" s="1"/>
  <c r="AC28" i="145"/>
  <c r="AZ25" i="72" s="1"/>
  <c r="V25" i="100"/>
  <c r="AD28" i="145"/>
  <c r="AF28" i="145" s="1"/>
  <c r="R56" i="100"/>
  <c r="AC59" i="128"/>
  <c r="R6" i="100"/>
  <c r="AC9" i="128"/>
  <c r="AC23" i="126"/>
  <c r="AT20" i="72" s="1"/>
  <c r="P20" i="100"/>
  <c r="AD23" i="126"/>
  <c r="AF23" i="126" s="1"/>
  <c r="R64" i="100"/>
  <c r="AC67" i="128"/>
  <c r="AC67" i="126"/>
  <c r="AT64" i="72" s="1"/>
  <c r="P64" i="100"/>
  <c r="AD67" i="126"/>
  <c r="AF67" i="126" s="1"/>
  <c r="AC67" i="153"/>
  <c r="BG64" i="72" s="1"/>
  <c r="AC64" i="100"/>
  <c r="AD67" i="153"/>
  <c r="AF67" i="153" s="1"/>
  <c r="AC38" i="118"/>
  <c r="AP35" i="72" s="1"/>
  <c r="L35" i="100"/>
  <c r="AD38" i="118"/>
  <c r="AF38" i="118" s="1"/>
  <c r="AH38" i="126"/>
  <c r="AI38" i="126" s="1"/>
  <c r="AJ38" i="126"/>
  <c r="AD38" i="147"/>
  <c r="AF38" i="147" s="1"/>
  <c r="AH38" i="146"/>
  <c r="AI38" i="146" s="1"/>
  <c r="AJ38" i="146"/>
  <c r="AC41" i="120"/>
  <c r="AR38" i="72" s="1"/>
  <c r="N38" i="100"/>
  <c r="AD41" i="120"/>
  <c r="AF41" i="120" s="1"/>
  <c r="AD19" i="129"/>
  <c r="AF19" i="129" s="1"/>
  <c r="AW16" i="72"/>
  <c r="R16" i="100"/>
  <c r="AC19" i="128"/>
  <c r="AC19" i="153"/>
  <c r="BG16" i="72" s="1"/>
  <c r="AC16" i="100"/>
  <c r="AD19" i="153"/>
  <c r="AF19" i="153" s="1"/>
  <c r="Q51" i="100"/>
  <c r="AC54" i="127"/>
  <c r="AU51" i="72" s="1"/>
  <c r="AD54" i="119"/>
  <c r="AF54" i="119" s="1"/>
  <c r="AQ51" i="72"/>
  <c r="H51" i="100"/>
  <c r="AC54" i="114"/>
  <c r="AC54" i="148"/>
  <c r="BC51" i="72" s="1"/>
  <c r="Y51" i="100"/>
  <c r="AC36" i="126"/>
  <c r="AT33" i="72" s="1"/>
  <c r="P33" i="100"/>
  <c r="AD36" i="126"/>
  <c r="AF36" i="126" s="1"/>
  <c r="AC36" i="146"/>
  <c r="BA33" i="72" s="1"/>
  <c r="W33" i="100"/>
  <c r="AC36" i="115"/>
  <c r="AM33" i="72" s="1"/>
  <c r="I33" i="100"/>
  <c r="AD36" i="115"/>
  <c r="AF36" i="115" s="1"/>
  <c r="AC28" i="118"/>
  <c r="AP25" i="72" s="1"/>
  <c r="L25" i="100"/>
  <c r="AD28" i="118"/>
  <c r="AF28" i="118" s="1"/>
  <c r="AC28" i="116"/>
  <c r="J25" i="100"/>
  <c r="AC28" i="149"/>
  <c r="BD25" i="72" s="1"/>
  <c r="Z25" i="100"/>
  <c r="AC59" i="118"/>
  <c r="AP56" i="72" s="1"/>
  <c r="L56" i="100"/>
  <c r="AD59" i="118"/>
  <c r="AF59" i="118" s="1"/>
  <c r="AC59" i="125"/>
  <c r="AS56" i="72" s="1"/>
  <c r="O56" i="100"/>
  <c r="AD59" i="125"/>
  <c r="AF59" i="125" s="1"/>
  <c r="AC59" i="144"/>
  <c r="AY56" i="72" s="1"/>
  <c r="U56" i="100"/>
  <c r="AD59" i="144"/>
  <c r="AF59" i="144" s="1"/>
  <c r="AC25" i="131"/>
  <c r="AX22" i="72" s="1"/>
  <c r="T22" i="100"/>
  <c r="AD25" i="131"/>
  <c r="AF25" i="131" s="1"/>
  <c r="AD25" i="116"/>
  <c r="AF25" i="116" s="1"/>
  <c r="AN22" i="72"/>
  <c r="AD25" i="119"/>
  <c r="AF25" i="119" s="1"/>
  <c r="AC25" i="148"/>
  <c r="BC22" i="72" s="1"/>
  <c r="Y22" i="100"/>
  <c r="AD25" i="148"/>
  <c r="AF25" i="148" s="1"/>
  <c r="K6" i="100"/>
  <c r="AC9" i="117"/>
  <c r="Q6" i="100"/>
  <c r="AC9" i="127"/>
  <c r="AC9" i="146"/>
  <c r="BA6" i="72" s="1"/>
  <c r="W6" i="100"/>
  <c r="AD9" i="146"/>
  <c r="AF9" i="146" s="1"/>
  <c r="AC9" i="115"/>
  <c r="AM6" i="72" s="1"/>
  <c r="I6" i="100"/>
  <c r="AD9" i="115"/>
  <c r="AF9" i="115" s="1"/>
  <c r="AA35" i="147"/>
  <c r="AB35" i="147" s="1"/>
  <c r="AB35" i="148"/>
  <c r="AA35" i="126"/>
  <c r="AB35" i="126" s="1"/>
  <c r="AB35" i="152"/>
  <c r="AA35" i="149"/>
  <c r="AB35" i="149" s="1"/>
  <c r="AB35" i="114"/>
  <c r="AA35" i="125"/>
  <c r="AB35" i="125" s="1"/>
  <c r="AB35" i="127"/>
  <c r="AB34" i="80"/>
  <c r="AC34" i="80" s="1"/>
  <c r="AA35" i="119"/>
  <c r="AB35" i="119" s="1"/>
  <c r="AB34" i="76"/>
  <c r="AC34" i="76" s="1"/>
  <c r="AC64" i="126"/>
  <c r="AT61" i="72" s="1"/>
  <c r="P61" i="100"/>
  <c r="AD64" i="126"/>
  <c r="AF64" i="126" s="1"/>
  <c r="AC64" i="151"/>
  <c r="BE61" i="72" s="1"/>
  <c r="AA61" i="100"/>
  <c r="AD64" i="151"/>
  <c r="AF64" i="151" s="1"/>
  <c r="AD23" i="119"/>
  <c r="AF23" i="119" s="1"/>
  <c r="AC23" i="115"/>
  <c r="AM20" i="72" s="1"/>
  <c r="I20" i="100"/>
  <c r="AC29" i="126"/>
  <c r="AT26" i="72" s="1"/>
  <c r="P26" i="100"/>
  <c r="AD29" i="126"/>
  <c r="AF29" i="126" s="1"/>
  <c r="AC29" i="149"/>
  <c r="BD26" i="72" s="1"/>
  <c r="Z26" i="100"/>
  <c r="AD29" i="149"/>
  <c r="AF29" i="149" s="1"/>
  <c r="G43" i="72"/>
  <c r="AK46" i="113"/>
  <c r="R43" i="100"/>
  <c r="AC46" i="128"/>
  <c r="AV43" i="72" s="1"/>
  <c r="AC46" i="153"/>
  <c r="BG43" i="72" s="1"/>
  <c r="AC43" i="100"/>
  <c r="AC31" i="145"/>
  <c r="AZ28" i="72" s="1"/>
  <c r="V28" i="100"/>
  <c r="AD31" i="145"/>
  <c r="AF31" i="145" s="1"/>
  <c r="AC31" i="148"/>
  <c r="BC28" i="72" s="1"/>
  <c r="Y28" i="100"/>
  <c r="AC56" i="125"/>
  <c r="AS53" i="72" s="1"/>
  <c r="O53" i="100"/>
  <c r="AC56" i="146"/>
  <c r="BA53" i="72" s="1"/>
  <c r="W53" i="100"/>
  <c r="AD56" i="146"/>
  <c r="AF56" i="146" s="1"/>
  <c r="AC56" i="115"/>
  <c r="AM53" i="72" s="1"/>
  <c r="I53" i="100"/>
  <c r="AD56" i="115"/>
  <c r="AF56" i="115" s="1"/>
  <c r="AC50" i="126"/>
  <c r="AT47" i="72" s="1"/>
  <c r="P47" i="100"/>
  <c r="AD50" i="126"/>
  <c r="AF50" i="126" s="1"/>
  <c r="AC50" i="145"/>
  <c r="AZ47" i="72" s="1"/>
  <c r="V47" i="100"/>
  <c r="G70" i="72"/>
  <c r="AK73" i="113"/>
  <c r="AC73" i="131"/>
  <c r="AX70" i="72" s="1"/>
  <c r="T70" i="100"/>
  <c r="AD73" i="131"/>
  <c r="AF73" i="131" s="1"/>
  <c r="AC73" i="145"/>
  <c r="AZ70" i="72" s="1"/>
  <c r="V70" i="100"/>
  <c r="AD73" i="145"/>
  <c r="AF73" i="145" s="1"/>
  <c r="H70" i="100"/>
  <c r="AC73" i="114"/>
  <c r="AD22" i="119"/>
  <c r="AF22" i="119" s="1"/>
  <c r="AQ19" i="72"/>
  <c r="AC22" i="148"/>
  <c r="BC19" i="72" s="1"/>
  <c r="Y19" i="100"/>
  <c r="R50" i="100"/>
  <c r="AC53" i="128"/>
  <c r="AV50" i="72" s="1"/>
  <c r="AD50" i="100"/>
  <c r="AD52" i="76"/>
  <c r="AC53" i="147"/>
  <c r="BB50" i="72" s="1"/>
  <c r="X50" i="100"/>
  <c r="AC53" i="115"/>
  <c r="AM50" i="72" s="1"/>
  <c r="I50" i="100"/>
  <c r="Q42" i="100"/>
  <c r="AC45" i="127"/>
  <c r="AC45" i="145"/>
  <c r="AZ42" i="72" s="1"/>
  <c r="V42" i="100"/>
  <c r="AC37" i="120"/>
  <c r="AR34" i="72" s="1"/>
  <c r="N34" i="100"/>
  <c r="AD37" i="120"/>
  <c r="AF37" i="120" s="1"/>
  <c r="AC37" i="144"/>
  <c r="AY34" i="72" s="1"/>
  <c r="U34" i="100"/>
  <c r="AD37" i="144"/>
  <c r="AF37" i="144" s="1"/>
  <c r="AC37" i="151"/>
  <c r="BE34" i="72" s="1"/>
  <c r="AA34" i="100"/>
  <c r="AD17" i="119"/>
  <c r="AF17" i="119" s="1"/>
  <c r="AQ14" i="72"/>
  <c r="AC17" i="126"/>
  <c r="AT14" i="72" s="1"/>
  <c r="P14" i="100"/>
  <c r="AD17" i="126"/>
  <c r="AF17" i="126" s="1"/>
  <c r="AC17" i="151"/>
  <c r="BE14" i="72" s="1"/>
  <c r="AA14" i="100"/>
  <c r="AC32" i="118"/>
  <c r="AP29" i="72" s="1"/>
  <c r="L29" i="100"/>
  <c r="AD32" i="118"/>
  <c r="AF32" i="118" s="1"/>
  <c r="AC32" i="120"/>
  <c r="AR29" i="72" s="1"/>
  <c r="N29" i="100"/>
  <c r="AD32" i="120"/>
  <c r="AF32" i="120" s="1"/>
  <c r="AH32" i="144"/>
  <c r="AI32" i="144" s="1"/>
  <c r="AJ32" i="144"/>
  <c r="AC32" i="147"/>
  <c r="BB29" i="72" s="1"/>
  <c r="X29" i="100"/>
  <c r="AD32" i="147"/>
  <c r="AF32" i="147" s="1"/>
  <c r="S36" i="100"/>
  <c r="AC39" i="129"/>
  <c r="AW36" i="72" s="1"/>
  <c r="K36" i="100"/>
  <c r="AC39" i="117"/>
  <c r="AC39" i="152"/>
  <c r="BF36" i="72" s="1"/>
  <c r="AB36" i="100"/>
  <c r="AD39" i="152"/>
  <c r="AF39" i="152" s="1"/>
  <c r="AC24" i="126"/>
  <c r="AT21" i="72" s="1"/>
  <c r="P21" i="100"/>
  <c r="AD24" i="126"/>
  <c r="AF24" i="126" s="1"/>
  <c r="AC24" i="152"/>
  <c r="BF21" i="72" s="1"/>
  <c r="AB21" i="100"/>
  <c r="AD24" i="152"/>
  <c r="AF24" i="152" s="1"/>
  <c r="AC62" i="120"/>
  <c r="AR59" i="72" s="1"/>
  <c r="N59" i="100"/>
  <c r="AD62" i="119"/>
  <c r="AF62" i="119" s="1"/>
  <c r="AQ59" i="72"/>
  <c r="H59" i="100"/>
  <c r="AC62" i="114"/>
  <c r="AC62" i="149"/>
  <c r="BD59" i="72" s="1"/>
  <c r="Z59" i="100"/>
  <c r="AD62" i="149"/>
  <c r="AF62" i="149" s="1"/>
  <c r="AD34" i="119"/>
  <c r="AF34" i="119" s="1"/>
  <c r="AC34" i="152"/>
  <c r="BF31" i="72" s="1"/>
  <c r="AB31" i="100"/>
  <c r="AD34" i="152"/>
  <c r="AF34" i="152" s="1"/>
  <c r="AC34" i="147"/>
  <c r="BB31" i="72" s="1"/>
  <c r="X31" i="100"/>
  <c r="AD54" i="80"/>
  <c r="BI52" i="72" s="1"/>
  <c r="AE52" i="100"/>
  <c r="AD55" i="119"/>
  <c r="AF55" i="119" s="1"/>
  <c r="AQ52" i="72"/>
  <c r="AC55" i="147"/>
  <c r="BB52" i="72" s="1"/>
  <c r="X52" i="100"/>
  <c r="AD55" i="153"/>
  <c r="AF55" i="153" s="1"/>
  <c r="AC55" i="145"/>
  <c r="AZ52" i="72" s="1"/>
  <c r="V52" i="100"/>
  <c r="AC52" i="120"/>
  <c r="AR49" i="72" s="1"/>
  <c r="N49" i="100"/>
  <c r="AD52" i="120"/>
  <c r="AF52" i="120" s="1"/>
  <c r="AE51" i="76"/>
  <c r="AG51" i="76" s="1"/>
  <c r="BH49" i="72"/>
  <c r="R49" i="100"/>
  <c r="AC52" i="128"/>
  <c r="AC52" i="153"/>
  <c r="BG49" i="72" s="1"/>
  <c r="AC49" i="100"/>
  <c r="K63" i="100"/>
  <c r="AC66" i="117"/>
  <c r="R63" i="100"/>
  <c r="AC66" i="128"/>
  <c r="AC66" i="151"/>
  <c r="BE63" i="72" s="1"/>
  <c r="AA63" i="100"/>
  <c r="AD60" i="80"/>
  <c r="BI58" i="72" s="1"/>
  <c r="AE58" i="100"/>
  <c r="AE60" i="80"/>
  <c r="AG60" i="80" s="1"/>
  <c r="AD61" i="119"/>
  <c r="AF61" i="119" s="1"/>
  <c r="AQ58" i="72"/>
  <c r="K58" i="100"/>
  <c r="AC61" i="117"/>
  <c r="AC61" i="146"/>
  <c r="BA58" i="72" s="1"/>
  <c r="W58" i="100"/>
  <c r="AC21" i="131"/>
  <c r="AX18" i="72" s="1"/>
  <c r="T18" i="100"/>
  <c r="AD21" i="131"/>
  <c r="AF21" i="131" s="1"/>
  <c r="K18" i="100"/>
  <c r="AC21" i="117"/>
  <c r="AC21" i="145"/>
  <c r="AZ18" i="72" s="1"/>
  <c r="V18" i="100"/>
  <c r="AC18" i="120"/>
  <c r="AR15" i="72" s="1"/>
  <c r="N15" i="100"/>
  <c r="AD17" i="80"/>
  <c r="BI15" i="72" s="1"/>
  <c r="AE15" i="100"/>
  <c r="AE17" i="80"/>
  <c r="AG17" i="80" s="1"/>
  <c r="AC18" i="152"/>
  <c r="BF15" i="72" s="1"/>
  <c r="AB15" i="100"/>
  <c r="AD18" i="152"/>
  <c r="AF18" i="152" s="1"/>
  <c r="AC68" i="125"/>
  <c r="AS65" i="72" s="1"/>
  <c r="O65" i="100"/>
  <c r="S65" i="100"/>
  <c r="AC68" i="129"/>
  <c r="AC68" i="151"/>
  <c r="BE65" i="72" s="1"/>
  <c r="AA65" i="100"/>
  <c r="AD68" i="151"/>
  <c r="AF68" i="151" s="1"/>
  <c r="K57" i="100"/>
  <c r="AC60" i="117"/>
  <c r="AD60" i="119"/>
  <c r="AF60" i="119" s="1"/>
  <c r="AQ57" i="72"/>
  <c r="AC60" i="147"/>
  <c r="BB57" i="72" s="1"/>
  <c r="X57" i="100"/>
  <c r="AD60" i="147"/>
  <c r="AF60" i="147" s="1"/>
  <c r="AC60" i="115"/>
  <c r="AM57" i="72" s="1"/>
  <c r="I57" i="100"/>
  <c r="H13" i="100"/>
  <c r="AC16" i="114"/>
  <c r="AC16" i="148"/>
  <c r="BC13" i="72" s="1"/>
  <c r="Y13" i="100"/>
  <c r="AC49" i="120"/>
  <c r="AR46" i="72" s="1"/>
  <c r="N46" i="100"/>
  <c r="AD49" i="119"/>
  <c r="AF49" i="119" s="1"/>
  <c r="AQ46" i="72"/>
  <c r="AC49" i="144"/>
  <c r="AY46" i="72" s="1"/>
  <c r="U46" i="100"/>
  <c r="AD49" i="144"/>
  <c r="AF49" i="144" s="1"/>
  <c r="AC49" i="152"/>
  <c r="BF46" i="72" s="1"/>
  <c r="AB46" i="100"/>
  <c r="AD73" i="80"/>
  <c r="BI71" i="72" s="1"/>
  <c r="AE71" i="100"/>
  <c r="AE73" i="80"/>
  <c r="AG73" i="80" s="1"/>
  <c r="AC74" i="148"/>
  <c r="BC71" i="72" s="1"/>
  <c r="Y71" i="100"/>
  <c r="AD26" i="119"/>
  <c r="AF26" i="119" s="1"/>
  <c r="AQ23" i="72"/>
  <c r="H23" i="100"/>
  <c r="AC26" i="114"/>
  <c r="AC26" i="147"/>
  <c r="BB23" i="72" s="1"/>
  <c r="X23" i="100"/>
  <c r="AD26" i="147"/>
  <c r="AF26" i="147" s="1"/>
  <c r="Q10" i="100"/>
  <c r="AC13" i="127"/>
  <c r="AU10" i="72" s="1"/>
  <c r="AD65" i="113"/>
  <c r="AF65" i="113" s="1"/>
  <c r="AC65" i="126"/>
  <c r="AT62" i="72" s="1"/>
  <c r="P62" i="100"/>
  <c r="AD65" i="126"/>
  <c r="AF65" i="126" s="1"/>
  <c r="AC65" i="144"/>
  <c r="AY62" i="72" s="1"/>
  <c r="U62" i="100"/>
  <c r="AD65" i="144"/>
  <c r="AF65" i="144" s="1"/>
  <c r="AC65" i="152"/>
  <c r="BF62" i="72" s="1"/>
  <c r="AB62" i="100"/>
  <c r="AA11" i="115"/>
  <c r="AB11" i="115" s="1"/>
  <c r="AB11" i="152"/>
  <c r="AA11" i="146"/>
  <c r="AB11" i="146" s="1"/>
  <c r="AB11" i="153"/>
  <c r="AA11" i="147"/>
  <c r="AB11" i="147" s="1"/>
  <c r="AB11" i="126"/>
  <c r="AA11" i="114"/>
  <c r="AB11" i="114" s="1"/>
  <c r="AB11" i="125"/>
  <c r="AA11" i="118"/>
  <c r="AB11" i="118" s="1"/>
  <c r="AB11" i="117"/>
  <c r="AA11" i="129"/>
  <c r="AB11" i="129" s="1"/>
  <c r="AA11" i="119"/>
  <c r="AB11" i="119" s="1"/>
  <c r="AA11" i="116"/>
  <c r="AD11" i="113"/>
  <c r="AF11" i="113" s="1"/>
  <c r="K27" i="100"/>
  <c r="AC30" i="117"/>
  <c r="AO27" i="72" s="1"/>
  <c r="AH30" i="144"/>
  <c r="AI30" i="144" s="1"/>
  <c r="AJ30" i="144"/>
  <c r="AC30" i="145"/>
  <c r="AZ27" i="72" s="1"/>
  <c r="V27" i="100"/>
  <c r="G24" i="72"/>
  <c r="AK27" i="113"/>
  <c r="AD26" i="80"/>
  <c r="BI24" i="72" s="1"/>
  <c r="AE24" i="100"/>
  <c r="AE26" i="80"/>
  <c r="AG26" i="80" s="1"/>
  <c r="AC27" i="147"/>
  <c r="BB24" i="72" s="1"/>
  <c r="X24" i="100"/>
  <c r="AD27" i="147"/>
  <c r="AF27" i="147" s="1"/>
  <c r="AC27" i="151"/>
  <c r="BE24" i="72" s="1"/>
  <c r="AA24" i="100"/>
  <c r="AD27" i="151"/>
  <c r="AF27" i="151" s="1"/>
  <c r="S67" i="100"/>
  <c r="AC70" i="129"/>
  <c r="H67" i="100"/>
  <c r="AC70" i="114"/>
  <c r="AC70" i="149"/>
  <c r="BD67" i="72" s="1"/>
  <c r="Z67" i="100"/>
  <c r="AD70" i="149"/>
  <c r="AF70" i="149" s="1"/>
  <c r="AC69" i="131"/>
  <c r="AX66" i="72" s="1"/>
  <c r="T66" i="100"/>
  <c r="AC69" i="148"/>
  <c r="BC66" i="72" s="1"/>
  <c r="Y66" i="100"/>
  <c r="AD69" i="148"/>
  <c r="AF69" i="148" s="1"/>
  <c r="AC69" i="115"/>
  <c r="AM66" i="72" s="1"/>
  <c r="I66" i="100"/>
  <c r="AD69" i="115"/>
  <c r="AF69" i="115" s="1"/>
  <c r="AC10" i="126"/>
  <c r="AT7" i="72" s="1"/>
  <c r="P7" i="100"/>
  <c r="AD10" i="126"/>
  <c r="AF10" i="126" s="1"/>
  <c r="AH10" i="144"/>
  <c r="AI10" i="144" s="1"/>
  <c r="AJ10" i="144"/>
  <c r="AC10" i="149"/>
  <c r="BD7" i="72" s="1"/>
  <c r="Z7" i="100"/>
  <c r="AD10" i="149"/>
  <c r="AF10" i="149" s="1"/>
  <c r="AA33" i="115"/>
  <c r="AB33" i="115" s="1"/>
  <c r="AB33" i="151"/>
  <c r="AA33" i="145"/>
  <c r="AB33" i="145" s="1"/>
  <c r="AB33" i="153"/>
  <c r="AA33" i="146"/>
  <c r="AB33" i="146" s="1"/>
  <c r="AB33" i="144"/>
  <c r="AA33" i="116"/>
  <c r="AB33" i="114"/>
  <c r="AA33" i="128"/>
  <c r="AB33" i="128" s="1"/>
  <c r="AB33" i="126"/>
  <c r="AA33" i="117"/>
  <c r="AB33" i="117" s="1"/>
  <c r="AB33" i="120"/>
  <c r="AA33" i="118"/>
  <c r="AB33" i="118" s="1"/>
  <c r="AA75" i="151"/>
  <c r="AB75" i="151" s="1"/>
  <c r="AB75" i="145"/>
  <c r="AA75" i="152"/>
  <c r="AB75" i="152" s="1"/>
  <c r="AB75" i="146"/>
  <c r="AA75" i="114"/>
  <c r="AB75" i="114" s="1"/>
  <c r="AB75" i="129"/>
  <c r="AA75" i="127"/>
  <c r="AB75" i="127" s="1"/>
  <c r="AA75" i="131"/>
  <c r="AB75" i="131" s="1"/>
  <c r="AB75" i="126"/>
  <c r="AA75" i="116"/>
  <c r="AB75" i="116" s="1"/>
  <c r="U11" i="137"/>
  <c r="V11" i="137" s="1"/>
  <c r="Z11" i="137"/>
  <c r="AB51" i="115"/>
  <c r="AA51" i="152"/>
  <c r="AB51" i="152" s="1"/>
  <c r="AB51" i="149"/>
  <c r="AA51" i="144"/>
  <c r="AB51" i="144" s="1"/>
  <c r="AB51" i="153"/>
  <c r="AA51" i="146"/>
  <c r="AB51" i="146" s="1"/>
  <c r="AB51" i="114"/>
  <c r="AA51" i="125"/>
  <c r="AB51" i="125" s="1"/>
  <c r="AB51" i="129"/>
  <c r="AA51" i="116"/>
  <c r="AB51" i="116" s="1"/>
  <c r="AB51" i="131"/>
  <c r="AA51" i="126"/>
  <c r="AB51" i="126" s="1"/>
  <c r="AB51" i="120"/>
  <c r="AB63" i="149"/>
  <c r="AA63" i="145"/>
  <c r="AB63" i="145" s="1"/>
  <c r="AB63" i="153"/>
  <c r="AA63" i="147"/>
  <c r="AB63" i="147" s="1"/>
  <c r="AB63" i="117"/>
  <c r="AB62" i="80"/>
  <c r="AC62" i="80" s="1"/>
  <c r="AB63" i="125"/>
  <c r="AA63" i="120"/>
  <c r="AB63" i="120" s="1"/>
  <c r="AB63" i="128"/>
  <c r="AA63" i="129"/>
  <c r="AB63" i="129" s="1"/>
  <c r="AA47" i="115"/>
  <c r="AB47" i="115" s="1"/>
  <c r="AA47" i="146"/>
  <c r="AB47" i="146" s="1"/>
  <c r="AB47" i="144"/>
  <c r="AA47" i="153"/>
  <c r="AB47" i="153" s="1"/>
  <c r="AB47" i="147"/>
  <c r="AA47" i="120"/>
  <c r="AB47" i="120" s="1"/>
  <c r="AC46" i="80"/>
  <c r="AA47" i="125"/>
  <c r="AB47" i="125" s="1"/>
  <c r="AB47" i="128"/>
  <c r="AA47" i="129"/>
  <c r="AB47" i="129" s="1"/>
  <c r="AB47" i="126"/>
  <c r="AA47" i="116"/>
  <c r="AH47" i="113"/>
  <c r="AI47" i="113" s="1"/>
  <c r="AJ47" i="113"/>
  <c r="AA15" i="147"/>
  <c r="AB15" i="147" s="1"/>
  <c r="AB15" i="145"/>
  <c r="AA15" i="151"/>
  <c r="AB15" i="151" s="1"/>
  <c r="AB15" i="148"/>
  <c r="AB15" i="144"/>
  <c r="AC14" i="80"/>
  <c r="AA15" i="125"/>
  <c r="AB15" i="125" s="1"/>
  <c r="AB15" i="120"/>
  <c r="AB14" i="76"/>
  <c r="AC14" i="76" s="1"/>
  <c r="AB15" i="129"/>
  <c r="AA15" i="118"/>
  <c r="AB15" i="118" s="1"/>
  <c r="AB14" i="115"/>
  <c r="AA14" i="153"/>
  <c r="AB14" i="153" s="1"/>
  <c r="AB14" i="146"/>
  <c r="AA14" i="152"/>
  <c r="AB14" i="152" s="1"/>
  <c r="AB14" i="149"/>
  <c r="AA14" i="114"/>
  <c r="AB14" i="114" s="1"/>
  <c r="AA14" i="128"/>
  <c r="AB14" i="128" s="1"/>
  <c r="AB14" i="126"/>
  <c r="AA14" i="116"/>
  <c r="AB14" i="129"/>
  <c r="AA14" i="125"/>
  <c r="AB14" i="125" s="1"/>
  <c r="AB14" i="120"/>
  <c r="AB40" i="148"/>
  <c r="AA40" i="149"/>
  <c r="AB40" i="149" s="1"/>
  <c r="AB40" i="152"/>
  <c r="AA40" i="145"/>
  <c r="AB40" i="145" s="1"/>
  <c r="AB40" i="116"/>
  <c r="AA40" i="131"/>
  <c r="AB40" i="131" s="1"/>
  <c r="AB40" i="127"/>
  <c r="AA40" i="125"/>
  <c r="AB40" i="125" s="1"/>
  <c r="AA40" i="119"/>
  <c r="AB40" i="119" s="1"/>
  <c r="AA40" i="128"/>
  <c r="AB40" i="128" s="1"/>
  <c r="AB40" i="126"/>
  <c r="AA58" i="115"/>
  <c r="AB58" i="115" s="1"/>
  <c r="AB58" i="152"/>
  <c r="AA58" i="149"/>
  <c r="AB58" i="149" s="1"/>
  <c r="AB58" i="153"/>
  <c r="AA58" i="146"/>
  <c r="AB58" i="146" s="1"/>
  <c r="AB58" i="144"/>
  <c r="AA58" i="118"/>
  <c r="AB58" i="118" s="1"/>
  <c r="AC57" i="80"/>
  <c r="AB58" i="129"/>
  <c r="AA58" i="125"/>
  <c r="AB58" i="125" s="1"/>
  <c r="AB58" i="120"/>
  <c r="AA58" i="116"/>
  <c r="AB58" i="116" s="1"/>
  <c r="AH58" i="113"/>
  <c r="AI58" i="113" s="1"/>
  <c r="AJ58" i="113"/>
  <c r="AA12" i="151"/>
  <c r="AB12" i="151" s="1"/>
  <c r="AB12" i="149"/>
  <c r="AA12" i="148"/>
  <c r="AB12" i="148" s="1"/>
  <c r="AB12" i="145"/>
  <c r="AA12" i="116"/>
  <c r="AC11" i="80"/>
  <c r="AA12" i="127"/>
  <c r="AB12" i="127" s="1"/>
  <c r="AA12" i="131"/>
  <c r="AB12" i="131" s="1"/>
  <c r="AB12" i="126"/>
  <c r="AA12" i="125"/>
  <c r="AB12" i="125" s="1"/>
  <c r="AB72" i="115"/>
  <c r="AA72" i="152"/>
  <c r="AB72" i="152" s="1"/>
  <c r="AB72" i="146"/>
  <c r="AA72" i="153"/>
  <c r="AB72" i="153" s="1"/>
  <c r="AB72" i="147"/>
  <c r="AA72" i="144"/>
  <c r="AB72" i="144" s="1"/>
  <c r="AB72" i="114"/>
  <c r="AB71" i="76"/>
  <c r="AC71" i="76" s="1"/>
  <c r="AB72" i="120"/>
  <c r="AC71" i="80"/>
  <c r="AA72" i="129"/>
  <c r="AB72" i="129" s="1"/>
  <c r="AB72" i="118"/>
  <c r="AA43" i="148"/>
  <c r="AB43" i="148" s="1"/>
  <c r="AB43" i="126"/>
  <c r="AA43" i="152"/>
  <c r="AB43" i="152" s="1"/>
  <c r="AB43" i="145"/>
  <c r="AA43" i="128"/>
  <c r="AB43" i="128" s="1"/>
  <c r="AC42" i="76"/>
  <c r="AA43" i="120"/>
  <c r="AB43" i="120" s="1"/>
  <c r="AC42" i="80"/>
  <c r="AA43" i="125"/>
  <c r="AB43" i="125" s="1"/>
  <c r="AB43" i="118"/>
  <c r="AA8" i="115"/>
  <c r="AB8" i="115" s="1"/>
  <c r="AB8" i="153"/>
  <c r="AA8" i="146"/>
  <c r="AB8" i="146" s="1"/>
  <c r="AB8" i="152"/>
  <c r="AA8" i="149"/>
  <c r="AB8" i="149" s="1"/>
  <c r="AA8" i="114"/>
  <c r="AB8" i="114" s="1"/>
  <c r="AB8" i="129"/>
  <c r="AA8" i="118"/>
  <c r="AB8" i="118" s="1"/>
  <c r="AB8" i="117"/>
  <c r="AB7" i="80"/>
  <c r="AC7" i="80" s="1"/>
  <c r="AB8" i="127"/>
  <c r="AA8" i="128"/>
  <c r="AB8" i="128" s="1"/>
  <c r="AH8" i="113"/>
  <c r="AI8" i="113" s="1"/>
  <c r="AJ8" i="113"/>
  <c r="AA20" i="151"/>
  <c r="AB20" i="151" s="1"/>
  <c r="AB20" i="145"/>
  <c r="AA20" i="148"/>
  <c r="AB20" i="148" s="1"/>
  <c r="AB20" i="149"/>
  <c r="AA20" i="116"/>
  <c r="AB20" i="116"/>
  <c r="AC19" i="80"/>
  <c r="AA20" i="129"/>
  <c r="AB20" i="129" s="1"/>
  <c r="AB20" i="118"/>
  <c r="AA20" i="131"/>
  <c r="AB20" i="131" s="1"/>
  <c r="AB20" i="127"/>
  <c r="AA20" i="125"/>
  <c r="AB20" i="125" s="1"/>
  <c r="AC67" i="125"/>
  <c r="AS64" i="72" s="1"/>
  <c r="O64" i="100"/>
  <c r="AD66" i="80"/>
  <c r="BI64" i="72" s="1"/>
  <c r="AE64" i="100"/>
  <c r="AE66" i="80"/>
  <c r="AG66" i="80" s="1"/>
  <c r="AC67" i="146"/>
  <c r="BA64" i="72" s="1"/>
  <c r="W64" i="100"/>
  <c r="AC38" i="125"/>
  <c r="AS35" i="72" s="1"/>
  <c r="O35" i="100"/>
  <c r="AD38" i="125"/>
  <c r="AF38" i="125" s="1"/>
  <c r="AD37" i="80"/>
  <c r="BI35" i="72" s="1"/>
  <c r="AE35" i="100"/>
  <c r="AC38" i="149"/>
  <c r="BD35" i="72" s="1"/>
  <c r="Z35" i="100"/>
  <c r="AD38" i="149"/>
  <c r="AF38" i="149" s="1"/>
  <c r="AH41" i="113"/>
  <c r="AI41" i="113" s="1"/>
  <c r="AJ41" i="113"/>
  <c r="Q38" i="100"/>
  <c r="AC41" i="127"/>
  <c r="AC41" i="144"/>
  <c r="AY38" i="72" s="1"/>
  <c r="U38" i="100"/>
  <c r="AD41" i="144"/>
  <c r="AF41" i="144" s="1"/>
  <c r="AH41" i="145"/>
  <c r="AI41" i="145" s="1"/>
  <c r="AJ41" i="145"/>
  <c r="AD16" i="100"/>
  <c r="AD18" i="76"/>
  <c r="BH16" i="72" s="1"/>
  <c r="AC19" i="125"/>
  <c r="AS16" i="72" s="1"/>
  <c r="O16" i="100"/>
  <c r="AD19" i="125"/>
  <c r="AF19" i="125" s="1"/>
  <c r="AC19" i="148"/>
  <c r="BC16" i="72" s="1"/>
  <c r="Y16" i="100"/>
  <c r="AD19" i="148"/>
  <c r="AF19" i="148" s="1"/>
  <c r="S51" i="100"/>
  <c r="AC54" i="129"/>
  <c r="AW51" i="72" s="1"/>
  <c r="AD51" i="100"/>
  <c r="AD53" i="76"/>
  <c r="BH51" i="72" s="1"/>
  <c r="AC54" i="146"/>
  <c r="BA51" i="72" s="1"/>
  <c r="W51" i="100"/>
  <c r="AD54" i="146"/>
  <c r="AF54" i="146" s="1"/>
  <c r="Q33" i="100"/>
  <c r="AC36" i="127"/>
  <c r="AD35" i="80"/>
  <c r="BI33" i="72" s="1"/>
  <c r="AE33" i="100"/>
  <c r="AC36" i="148"/>
  <c r="BC33" i="72" s="1"/>
  <c r="Y33" i="100"/>
  <c r="AD36" i="148"/>
  <c r="AF36" i="148" s="1"/>
  <c r="AC28" i="120"/>
  <c r="AR25" i="72" s="1"/>
  <c r="N25" i="100"/>
  <c r="AD28" i="120"/>
  <c r="AF28" i="120" s="1"/>
  <c r="AC28" i="151"/>
  <c r="BE25" i="72" s="1"/>
  <c r="AA25" i="100"/>
  <c r="S56" i="100"/>
  <c r="AC59" i="129"/>
  <c r="K56" i="100"/>
  <c r="AC59" i="117"/>
  <c r="AO56" i="72" s="1"/>
  <c r="AC59" i="148"/>
  <c r="BC56" i="72" s="1"/>
  <c r="Y56" i="100"/>
  <c r="AD59" i="148"/>
  <c r="AF59" i="148" s="1"/>
  <c r="S22" i="100"/>
  <c r="AC25" i="129"/>
  <c r="AE24" i="76"/>
  <c r="AG24" i="76" s="1"/>
  <c r="BH22" i="72"/>
  <c r="AC25" i="125"/>
  <c r="AS22" i="72" s="1"/>
  <c r="O22" i="100"/>
  <c r="AD25" i="125"/>
  <c r="AF25" i="125" s="1"/>
  <c r="AC25" i="146"/>
  <c r="BA22" i="72" s="1"/>
  <c r="W22" i="100"/>
  <c r="AD25" i="146"/>
  <c r="AF25" i="146" s="1"/>
  <c r="AB71" i="149"/>
  <c r="AA71" i="145"/>
  <c r="AB71" i="145" s="1"/>
  <c r="AB71" i="153"/>
  <c r="AA71" i="148"/>
  <c r="AB71" i="148" s="1"/>
  <c r="AB71" i="120"/>
  <c r="AA71" i="118"/>
  <c r="AB71" i="118" s="1"/>
  <c r="AC70" i="80"/>
  <c r="AB70" i="76"/>
  <c r="AC70" i="76" s="1"/>
  <c r="AB71" i="131"/>
  <c r="AA71" i="129"/>
  <c r="AB71" i="129" s="1"/>
  <c r="AB71" i="126"/>
  <c r="AD9" i="119"/>
  <c r="AF9" i="119" s="1"/>
  <c r="AQ6" i="72"/>
  <c r="AC9" i="126"/>
  <c r="AT6" i="72" s="1"/>
  <c r="P6" i="100"/>
  <c r="AD9" i="126"/>
  <c r="AF9" i="126" s="1"/>
  <c r="AC9" i="151"/>
  <c r="BE6" i="72" s="1"/>
  <c r="AA6" i="100"/>
  <c r="AD9" i="151"/>
  <c r="AF9" i="151" s="1"/>
  <c r="AC64" i="118"/>
  <c r="AP61" i="72" s="1"/>
  <c r="L61" i="100"/>
  <c r="AC64" i="120"/>
  <c r="AR61" i="72" s="1"/>
  <c r="N61" i="100"/>
  <c r="AD64" i="120"/>
  <c r="AF64" i="120" s="1"/>
  <c r="H61" i="100"/>
  <c r="AC64" i="114"/>
  <c r="AC64" i="148"/>
  <c r="BC61" i="72" s="1"/>
  <c r="Y61" i="100"/>
  <c r="S20" i="100"/>
  <c r="AC23" i="129"/>
  <c r="H20" i="100"/>
  <c r="AC23" i="114"/>
  <c r="AC23" i="148"/>
  <c r="BC20" i="72" s="1"/>
  <c r="Y20" i="100"/>
  <c r="AD23" i="148"/>
  <c r="AF23" i="148" s="1"/>
  <c r="R26" i="100"/>
  <c r="AC29" i="128"/>
  <c r="AC29" i="144"/>
  <c r="AY26" i="72" s="1"/>
  <c r="U26" i="100"/>
  <c r="AD29" i="144"/>
  <c r="AF29" i="144" s="1"/>
  <c r="AC29" i="153"/>
  <c r="BG26" i="72" s="1"/>
  <c r="AC26" i="100"/>
  <c r="Q43" i="100"/>
  <c r="AC46" i="127"/>
  <c r="AU43" i="72" s="1"/>
  <c r="AD46" i="119"/>
  <c r="AF46" i="119" s="1"/>
  <c r="AQ43" i="72"/>
  <c r="H43" i="100"/>
  <c r="AC46" i="114"/>
  <c r="AC46" i="149"/>
  <c r="BD43" i="72" s="1"/>
  <c r="Z43" i="100"/>
  <c r="Q28" i="100"/>
  <c r="AC31" i="127"/>
  <c r="AU28" i="72" s="1"/>
  <c r="AC31" i="120"/>
  <c r="AR28" i="72" s="1"/>
  <c r="N28" i="100"/>
  <c r="AD31" i="120"/>
  <c r="AF31" i="120" s="1"/>
  <c r="AC31" i="146"/>
  <c r="BA28" i="72" s="1"/>
  <c r="W28" i="100"/>
  <c r="S53" i="100"/>
  <c r="AC56" i="129"/>
  <c r="AC56" i="148"/>
  <c r="BC53" i="72" s="1"/>
  <c r="Y53" i="100"/>
  <c r="AD56" i="148"/>
  <c r="AF56" i="148" s="1"/>
  <c r="AH50" i="113"/>
  <c r="AI50" i="113" s="1"/>
  <c r="AJ50" i="113"/>
  <c r="AC50" i="120"/>
  <c r="AR47" i="72" s="1"/>
  <c r="N47" i="100"/>
  <c r="AD50" i="120"/>
  <c r="AF50" i="120" s="1"/>
  <c r="AD49" i="80"/>
  <c r="BI47" i="72" s="1"/>
  <c r="AE47" i="100"/>
  <c r="AE49" i="80"/>
  <c r="AG49" i="80" s="1"/>
  <c r="AC50" i="153"/>
  <c r="BG47" i="72" s="1"/>
  <c r="AC47" i="100"/>
  <c r="AD50" i="153"/>
  <c r="AF50" i="153" s="1"/>
  <c r="AC73" i="126"/>
  <c r="AT70" i="72" s="1"/>
  <c r="P70" i="100"/>
  <c r="AD73" i="126"/>
  <c r="AF73" i="126" s="1"/>
  <c r="AD73" i="116"/>
  <c r="AF73" i="116" s="1"/>
  <c r="AN70" i="72"/>
  <c r="AC73" i="144"/>
  <c r="AY70" i="72" s="1"/>
  <c r="U70" i="100"/>
  <c r="AD73" i="144"/>
  <c r="AF73" i="144" s="1"/>
  <c r="AC73" i="152"/>
  <c r="BF70" i="72" s="1"/>
  <c r="AB70" i="100"/>
  <c r="AD73" i="152"/>
  <c r="AF73" i="152" s="1"/>
  <c r="S19" i="100"/>
  <c r="AC22" i="129"/>
  <c r="AD19" i="100"/>
  <c r="AD21" i="76"/>
  <c r="BH19" i="72" s="1"/>
  <c r="AC22" i="147"/>
  <c r="BB19" i="72" s="1"/>
  <c r="X19" i="100"/>
  <c r="AC53" i="131"/>
  <c r="AX50" i="72" s="1"/>
  <c r="T50" i="100"/>
  <c r="AC53" i="118"/>
  <c r="AP50" i="72" s="1"/>
  <c r="L50" i="100"/>
  <c r="AD53" i="118"/>
  <c r="AF53" i="118" s="1"/>
  <c r="AC53" i="145"/>
  <c r="AZ50" i="72" s="1"/>
  <c r="V50" i="100"/>
  <c r="AD53" i="148"/>
  <c r="AF53" i="148" s="1"/>
  <c r="AH45" i="113"/>
  <c r="AI45" i="113" s="1"/>
  <c r="AJ45" i="113"/>
  <c r="AC45" i="120"/>
  <c r="AR42" i="72" s="1"/>
  <c r="N42" i="100"/>
  <c r="AD45" i="120"/>
  <c r="AF45" i="120" s="1"/>
  <c r="AH45" i="148"/>
  <c r="AI45" i="148" s="1"/>
  <c r="AJ45" i="148"/>
  <c r="AC45" i="152"/>
  <c r="BF42" i="72" s="1"/>
  <c r="AB42" i="100"/>
  <c r="AD45" i="152"/>
  <c r="AF45" i="152" s="1"/>
  <c r="S34" i="100"/>
  <c r="AC37" i="129"/>
  <c r="AW34" i="72" s="1"/>
  <c r="J34" i="100"/>
  <c r="AC37" i="116"/>
  <c r="AC37" i="125"/>
  <c r="AS34" i="72" s="1"/>
  <c r="O34" i="100"/>
  <c r="AD37" i="125"/>
  <c r="AF37" i="125" s="1"/>
  <c r="AC37" i="148"/>
  <c r="BC34" i="72" s="1"/>
  <c r="Y34" i="100"/>
  <c r="AD37" i="148"/>
  <c r="AF37" i="148" s="1"/>
  <c r="S14" i="100"/>
  <c r="AC17" i="129"/>
  <c r="AW14" i="72" s="1"/>
  <c r="AD14" i="100"/>
  <c r="AD16" i="76"/>
  <c r="BH14" i="72" s="1"/>
  <c r="AC17" i="146"/>
  <c r="BA14" i="72" s="1"/>
  <c r="W14" i="100"/>
  <c r="AD17" i="146"/>
  <c r="AF17" i="146" s="1"/>
  <c r="AC17" i="115"/>
  <c r="AM14" i="72" s="1"/>
  <c r="I14" i="100"/>
  <c r="AD17" i="115"/>
  <c r="AF17" i="115" s="1"/>
  <c r="AC32" i="131"/>
  <c r="AX29" i="72" s="1"/>
  <c r="T29" i="100"/>
  <c r="AD32" i="131"/>
  <c r="AF32" i="131" s="1"/>
  <c r="AC32" i="145"/>
  <c r="AZ29" i="72" s="1"/>
  <c r="V29" i="100"/>
  <c r="AD32" i="145"/>
  <c r="AF32" i="145" s="1"/>
  <c r="AM7" i="46"/>
  <c r="AN7" i="46" s="1"/>
  <c r="AP7" i="46" s="1"/>
  <c r="AL14" i="46"/>
  <c r="AL15" i="46" s="1"/>
  <c r="AI12" i="72" s="1"/>
  <c r="AK14" i="46"/>
  <c r="E12" i="100"/>
  <c r="AC39" i="126"/>
  <c r="AT36" i="72" s="1"/>
  <c r="P36" i="100"/>
  <c r="AD39" i="126"/>
  <c r="AF39" i="126" s="1"/>
  <c r="Q36" i="100"/>
  <c r="AC39" i="127"/>
  <c r="AC39" i="153"/>
  <c r="BG36" i="72" s="1"/>
  <c r="AC36" i="100"/>
  <c r="AD39" i="153"/>
  <c r="AF39" i="153" s="1"/>
  <c r="AC39" i="115"/>
  <c r="AM36" i="72" s="1"/>
  <c r="I36" i="100"/>
  <c r="AD39" i="115"/>
  <c r="AF39" i="115" s="1"/>
  <c r="AC24" i="125"/>
  <c r="AS21" i="72" s="1"/>
  <c r="O21" i="100"/>
  <c r="AD24" i="125"/>
  <c r="AF24" i="125" s="1"/>
  <c r="J21" i="100"/>
  <c r="AC24" i="116"/>
  <c r="AN21" i="72" s="1"/>
  <c r="AC24" i="145"/>
  <c r="AZ21" i="72" s="1"/>
  <c r="V21" i="100"/>
  <c r="AD24" i="145"/>
  <c r="AF24" i="145" s="1"/>
  <c r="Q59" i="100"/>
  <c r="AC62" i="127"/>
  <c r="AE61" i="76"/>
  <c r="AG61" i="76" s="1"/>
  <c r="BH59" i="72"/>
  <c r="AC62" i="144"/>
  <c r="AY59" i="72" s="1"/>
  <c r="U59" i="100"/>
  <c r="AD62" i="144"/>
  <c r="AF62" i="144" s="1"/>
  <c r="AC62" i="152"/>
  <c r="BF59" i="72" s="1"/>
  <c r="AB59" i="100"/>
  <c r="AC34" i="131"/>
  <c r="AX31" i="72" s="1"/>
  <c r="T31" i="100"/>
  <c r="AC34" i="118"/>
  <c r="AP31" i="72" s="1"/>
  <c r="L31" i="100"/>
  <c r="AD34" i="118"/>
  <c r="AF34" i="118" s="1"/>
  <c r="AC34" i="151"/>
  <c r="BE31" i="72" s="1"/>
  <c r="AA31" i="100"/>
  <c r="AD34" i="151"/>
  <c r="AF34" i="151" s="1"/>
  <c r="AA57" i="147"/>
  <c r="AB57" i="147" s="1"/>
  <c r="AB57" i="145"/>
  <c r="AA57" i="151"/>
  <c r="AB57" i="151" s="1"/>
  <c r="AB57" i="148"/>
  <c r="AA57" i="116"/>
  <c r="AB57" i="116" s="1"/>
  <c r="AB57" i="114"/>
  <c r="AB56" i="76"/>
  <c r="AC56" i="76" s="1"/>
  <c r="AB57" i="118"/>
  <c r="AA57" i="127"/>
  <c r="AB57" i="127" s="1"/>
  <c r="AB57" i="120"/>
  <c r="AA57" i="131"/>
  <c r="AB57" i="131" s="1"/>
  <c r="AD55" i="116"/>
  <c r="AF55" i="116" s="1"/>
  <c r="AC55" i="125"/>
  <c r="AS52" i="72" s="1"/>
  <c r="O52" i="100"/>
  <c r="AD55" i="125"/>
  <c r="AF55" i="125" s="1"/>
  <c r="AC55" i="149"/>
  <c r="BD52" i="72" s="1"/>
  <c r="Z52" i="100"/>
  <c r="AD55" i="149"/>
  <c r="AF55" i="149" s="1"/>
  <c r="AC55" i="152"/>
  <c r="BF52" i="72" s="1"/>
  <c r="AB52" i="100"/>
  <c r="AC52" i="131"/>
  <c r="AX49" i="72" s="1"/>
  <c r="T49" i="100"/>
  <c r="AD52" i="131"/>
  <c r="AF52" i="131" s="1"/>
  <c r="AC52" i="144"/>
  <c r="AY49" i="72" s="1"/>
  <c r="U49" i="100"/>
  <c r="AD52" i="144"/>
  <c r="AF52" i="144" s="1"/>
  <c r="AC52" i="152"/>
  <c r="BF49" i="72" s="1"/>
  <c r="AB49" i="100"/>
  <c r="AD52" i="152"/>
  <c r="AF52" i="152" s="1"/>
  <c r="AA44" i="149"/>
  <c r="AB44" i="149" s="1"/>
  <c r="AB44" i="145"/>
  <c r="AA44" i="151"/>
  <c r="AB44" i="151" s="1"/>
  <c r="AA44" i="116"/>
  <c r="AB44" i="116"/>
  <c r="AC43" i="80"/>
  <c r="AA44" i="129"/>
  <c r="AB44" i="129" s="1"/>
  <c r="AB44" i="118"/>
  <c r="AA44" i="131"/>
  <c r="AB44" i="131" s="1"/>
  <c r="AB44" i="127"/>
  <c r="AA44" i="125"/>
  <c r="AB44" i="125" s="1"/>
  <c r="AD66" i="116"/>
  <c r="AF66" i="116" s="1"/>
  <c r="S63" i="100"/>
  <c r="AC66" i="129"/>
  <c r="AW63" i="72" s="1"/>
  <c r="AC66" i="144"/>
  <c r="AY63" i="72" s="1"/>
  <c r="U63" i="100"/>
  <c r="AD66" i="144"/>
  <c r="AF66" i="144" s="1"/>
  <c r="AC66" i="152"/>
  <c r="BF63" i="72" s="1"/>
  <c r="AB63" i="100"/>
  <c r="AD66" i="152"/>
  <c r="AF66" i="152" s="1"/>
  <c r="AC61" i="125"/>
  <c r="AS58" i="72" s="1"/>
  <c r="O58" i="100"/>
  <c r="AH61" i="145"/>
  <c r="AI61" i="145" s="1"/>
  <c r="AJ61" i="145"/>
  <c r="AC61" i="148"/>
  <c r="BC58" i="72" s="1"/>
  <c r="Y58" i="100"/>
  <c r="AD61" i="148"/>
  <c r="AF61" i="148" s="1"/>
  <c r="S18" i="100"/>
  <c r="AC21" i="129"/>
  <c r="AW18" i="72" s="1"/>
  <c r="H18" i="100"/>
  <c r="AC21" i="114"/>
  <c r="AL18" i="72" s="1"/>
  <c r="AD21" i="144"/>
  <c r="AF21" i="144" s="1"/>
  <c r="AC21" i="147"/>
  <c r="BB18" i="72" s="1"/>
  <c r="X18" i="100"/>
  <c r="AH21" i="152"/>
  <c r="AI21" i="152" s="1"/>
  <c r="AJ21" i="152"/>
  <c r="Q15" i="100"/>
  <c r="AC18" i="127"/>
  <c r="AH18" i="144"/>
  <c r="AI18" i="144" s="1"/>
  <c r="AJ18" i="144"/>
  <c r="AC18" i="149"/>
  <c r="BD15" i="72" s="1"/>
  <c r="Z15" i="100"/>
  <c r="AD18" i="149"/>
  <c r="AF18" i="149" s="1"/>
  <c r="G65" i="72"/>
  <c r="AK68" i="113"/>
  <c r="AI67" i="76"/>
  <c r="AJ67" i="76" s="1"/>
  <c r="AK67" i="76"/>
  <c r="R65" i="100"/>
  <c r="AC68" i="128"/>
  <c r="AC68" i="152"/>
  <c r="BF65" i="72" s="1"/>
  <c r="AB65" i="100"/>
  <c r="AC60" i="131"/>
  <c r="AX57" i="72" s="1"/>
  <c r="T57" i="100"/>
  <c r="AC60" i="144"/>
  <c r="AY57" i="72" s="1"/>
  <c r="U57" i="100"/>
  <c r="AD60" i="144"/>
  <c r="AF60" i="144" s="1"/>
  <c r="AC60" i="148"/>
  <c r="BC57" i="72" s="1"/>
  <c r="Y57" i="100"/>
  <c r="AD60" i="148"/>
  <c r="AF60" i="148" s="1"/>
  <c r="AC16" i="126"/>
  <c r="AT13" i="72" s="1"/>
  <c r="P13" i="100"/>
  <c r="AD16" i="126"/>
  <c r="AF16" i="126" s="1"/>
  <c r="AC16" i="149"/>
  <c r="BD13" i="72" s="1"/>
  <c r="Z13" i="100"/>
  <c r="AD16" i="149"/>
  <c r="AF16" i="149" s="1"/>
  <c r="AC16" i="115"/>
  <c r="AM13" i="72" s="1"/>
  <c r="I13" i="100"/>
  <c r="AD16" i="115"/>
  <c r="AF16" i="115" s="1"/>
  <c r="AC49" i="131"/>
  <c r="AX46" i="72" s="1"/>
  <c r="T46" i="100"/>
  <c r="AD74" i="116"/>
  <c r="AF74" i="116" s="1"/>
  <c r="AN71" i="72"/>
  <c r="Q71" i="100"/>
  <c r="AC74" i="127"/>
  <c r="AU71" i="72" s="1"/>
  <c r="AC74" i="131"/>
  <c r="AX71" i="72" s="1"/>
  <c r="T71" i="100"/>
  <c r="AD74" i="131"/>
  <c r="AF74" i="131" s="1"/>
  <c r="AC74" i="145"/>
  <c r="AZ71" i="72" s="1"/>
  <c r="V71" i="100"/>
  <c r="AD74" i="145"/>
  <c r="AF74" i="145" s="1"/>
  <c r="K23" i="100"/>
  <c r="AC26" i="117"/>
  <c r="AO23" i="72" s="1"/>
  <c r="AC26" i="148"/>
  <c r="BC23" i="72" s="1"/>
  <c r="Y23" i="100"/>
  <c r="AC13" i="125"/>
  <c r="AS10" i="72" s="1"/>
  <c r="O10" i="100"/>
  <c r="AD13" i="125"/>
  <c r="AF13" i="125" s="1"/>
  <c r="AC13" i="120"/>
  <c r="AR10" i="72" s="1"/>
  <c r="N10" i="100"/>
  <c r="AD13" i="120"/>
  <c r="AF13" i="120" s="1"/>
  <c r="AC13" i="146"/>
  <c r="BA10" i="72" s="1"/>
  <c r="W10" i="100"/>
  <c r="S62" i="100"/>
  <c r="AC65" i="129"/>
  <c r="AC65" i="125"/>
  <c r="AS62" i="72" s="1"/>
  <c r="O62" i="100"/>
  <c r="AD65" i="125"/>
  <c r="AF65" i="125" s="1"/>
  <c r="AC65" i="145"/>
  <c r="AZ62" i="72" s="1"/>
  <c r="V62" i="100"/>
  <c r="AD30" i="113"/>
  <c r="AF30" i="113" s="1"/>
  <c r="H27" i="100"/>
  <c r="AC30" i="114"/>
  <c r="AC30" i="153"/>
  <c r="BG27" i="72" s="1"/>
  <c r="AC27" i="100"/>
  <c r="AD30" i="153"/>
  <c r="AF30" i="153" s="1"/>
  <c r="AD27" i="116"/>
  <c r="AF27" i="116" s="1"/>
  <c r="AN24" i="72"/>
  <c r="S24" i="100"/>
  <c r="AC27" i="129"/>
  <c r="AW24" i="72" s="1"/>
  <c r="AC27" i="148"/>
  <c r="BC24" i="72" s="1"/>
  <c r="Y24" i="100"/>
  <c r="AD27" i="148"/>
  <c r="AF27" i="148" s="1"/>
  <c r="AC70" i="131"/>
  <c r="AX67" i="72" s="1"/>
  <c r="T67" i="100"/>
  <c r="AC70" i="148"/>
  <c r="BC67" i="72" s="1"/>
  <c r="Y67" i="100"/>
  <c r="AC70" i="115"/>
  <c r="AM67" i="72" s="1"/>
  <c r="I67" i="100"/>
  <c r="AD70" i="115"/>
  <c r="AF70" i="115" s="1"/>
  <c r="Q66" i="100"/>
  <c r="AC69" i="127"/>
  <c r="AU66" i="72" s="1"/>
  <c r="AC69" i="147"/>
  <c r="BB66" i="72" s="1"/>
  <c r="X66" i="100"/>
  <c r="AH10" i="113"/>
  <c r="AI10" i="113" s="1"/>
  <c r="AJ10" i="113"/>
  <c r="S7" i="100"/>
  <c r="AC10" i="129"/>
  <c r="AW7" i="72" s="1"/>
  <c r="AC10" i="118"/>
  <c r="AP7" i="72" s="1"/>
  <c r="L7" i="100"/>
  <c r="AD10" i="118"/>
  <c r="AF10" i="118" s="1"/>
  <c r="AC67" i="131"/>
  <c r="AX64" i="72" s="1"/>
  <c r="T64" i="100"/>
  <c r="AD67" i="131"/>
  <c r="AF67" i="131" s="1"/>
  <c r="AC67" i="148"/>
  <c r="BC64" i="72" s="1"/>
  <c r="Y64" i="100"/>
  <c r="AC67" i="145"/>
  <c r="AZ64" i="72" s="1"/>
  <c r="V64" i="100"/>
  <c r="R35" i="100"/>
  <c r="AC38" i="128"/>
  <c r="AC19" i="120"/>
  <c r="AR16" i="72" s="1"/>
  <c r="N16" i="100"/>
  <c r="AD19" i="120"/>
  <c r="AF19" i="120" s="1"/>
  <c r="AC19" i="116"/>
  <c r="J16" i="100"/>
  <c r="AC19" i="118"/>
  <c r="AP16" i="72" s="1"/>
  <c r="L16" i="100"/>
  <c r="K16" i="100"/>
  <c r="AC19" i="117"/>
  <c r="AC19" i="147"/>
  <c r="BB16" i="72" s="1"/>
  <c r="X16" i="100"/>
  <c r="AC19" i="146"/>
  <c r="BA16" i="72" s="1"/>
  <c r="W16" i="100"/>
  <c r="AD19" i="146"/>
  <c r="AF19" i="146" s="1"/>
  <c r="AC19" i="115"/>
  <c r="AM16" i="72" s="1"/>
  <c r="I16" i="100"/>
  <c r="AD19" i="115"/>
  <c r="AF19" i="115" s="1"/>
  <c r="AC54" i="131"/>
  <c r="AX51" i="72" s="1"/>
  <c r="T51" i="100"/>
  <c r="K51" i="100"/>
  <c r="AC54" i="117"/>
  <c r="G33" i="72"/>
  <c r="AK36" i="113"/>
  <c r="AC36" i="120"/>
  <c r="AR33" i="72" s="1"/>
  <c r="N33" i="100"/>
  <c r="AD36" i="120"/>
  <c r="AF36" i="120" s="1"/>
  <c r="H33" i="100"/>
  <c r="AC36" i="114"/>
  <c r="R33" i="100"/>
  <c r="AC36" i="128"/>
  <c r="AC28" i="148"/>
  <c r="BC25" i="72" s="1"/>
  <c r="Y25" i="100"/>
  <c r="AC28" i="152"/>
  <c r="BF25" i="72" s="1"/>
  <c r="AB25" i="100"/>
  <c r="AD28" i="152"/>
  <c r="AF28" i="152" s="1"/>
  <c r="AD58" i="80"/>
  <c r="BI56" i="72" s="1"/>
  <c r="AE56" i="100"/>
  <c r="AE58" i="80"/>
  <c r="AG58" i="80" s="1"/>
  <c r="AC59" i="151"/>
  <c r="BE56" i="72" s="1"/>
  <c r="AA56" i="100"/>
  <c r="AC59" i="146"/>
  <c r="BA56" i="72" s="1"/>
  <c r="W56" i="100"/>
  <c r="AD59" i="146"/>
  <c r="AF59" i="146" s="1"/>
  <c r="AC59" i="115"/>
  <c r="AM56" i="72" s="1"/>
  <c r="I56" i="100"/>
  <c r="AD59" i="115"/>
  <c r="AF59" i="115" s="1"/>
  <c r="AC25" i="120"/>
  <c r="AR22" i="72" s="1"/>
  <c r="N22" i="100"/>
  <c r="AD25" i="120"/>
  <c r="AF25" i="120" s="1"/>
  <c r="AC25" i="126"/>
  <c r="AT22" i="72" s="1"/>
  <c r="P22" i="100"/>
  <c r="AD25" i="126"/>
  <c r="AF25" i="126" s="1"/>
  <c r="H22" i="100"/>
  <c r="AC25" i="114"/>
  <c r="F48" i="166"/>
  <c r="E64" i="81"/>
  <c r="H19" i="137"/>
  <c r="F49" i="139"/>
  <c r="AD6" i="100"/>
  <c r="AD8" i="76"/>
  <c r="BH6" i="72" s="1"/>
  <c r="AC9" i="153"/>
  <c r="BG6" i="72" s="1"/>
  <c r="AC6" i="100"/>
  <c r="AC9" i="152"/>
  <c r="BF6" i="72" s="1"/>
  <c r="AB6" i="100"/>
  <c r="AB35" i="115"/>
  <c r="AA35" i="151"/>
  <c r="AB35" i="151" s="1"/>
  <c r="AB35" i="145"/>
  <c r="AA35" i="144"/>
  <c r="AB35" i="144" s="1"/>
  <c r="AB35" i="153"/>
  <c r="AA35" i="146"/>
  <c r="AB35" i="146" s="1"/>
  <c r="AB35" i="117"/>
  <c r="AA35" i="128"/>
  <c r="AB35" i="128" s="1"/>
  <c r="AB35" i="118"/>
  <c r="AA35" i="116"/>
  <c r="AB35" i="131"/>
  <c r="AA35" i="129"/>
  <c r="AB35" i="129" s="1"/>
  <c r="AB35" i="120"/>
  <c r="AC64" i="125"/>
  <c r="O61" i="100"/>
  <c r="AC64" i="131"/>
  <c r="AX61" i="72" s="1"/>
  <c r="T61" i="100"/>
  <c r="AD64" i="131"/>
  <c r="AF64" i="131" s="1"/>
  <c r="AC64" i="147"/>
  <c r="X61" i="100"/>
  <c r="AC64" i="145"/>
  <c r="AZ61" i="72" s="1"/>
  <c r="V61" i="100"/>
  <c r="R20" i="100"/>
  <c r="AC23" i="128"/>
  <c r="AD20" i="100"/>
  <c r="AD22" i="76"/>
  <c r="BH20" i="72" s="1"/>
  <c r="AC23" i="147"/>
  <c r="BB20" i="72" s="1"/>
  <c r="X20" i="100"/>
  <c r="AD23" i="147"/>
  <c r="AF23" i="147" s="1"/>
  <c r="AC23" i="146"/>
  <c r="W20" i="100"/>
  <c r="AC23" i="153"/>
  <c r="BG20" i="72" s="1"/>
  <c r="AC20" i="100"/>
  <c r="AD23" i="153"/>
  <c r="AF23" i="153" s="1"/>
  <c r="AC29" i="131"/>
  <c r="AX26" i="72" s="1"/>
  <c r="T26" i="100"/>
  <c r="AD29" i="131"/>
  <c r="AF29" i="131" s="1"/>
  <c r="Q26" i="100"/>
  <c r="AC29" i="127"/>
  <c r="H26" i="100"/>
  <c r="AC29" i="114"/>
  <c r="K26" i="100"/>
  <c r="AC29" i="117"/>
  <c r="AC29" i="152"/>
  <c r="BF26" i="72" s="1"/>
  <c r="AB26" i="100"/>
  <c r="AD29" i="152"/>
  <c r="AF29" i="152" s="1"/>
  <c r="AC29" i="148"/>
  <c r="Y26" i="100"/>
  <c r="AC46" i="116"/>
  <c r="J43" i="100"/>
  <c r="AC46" i="126"/>
  <c r="AT43" i="72" s="1"/>
  <c r="P43" i="100"/>
  <c r="R28" i="100"/>
  <c r="AC31" i="128"/>
  <c r="AV28" i="72" s="1"/>
  <c r="AD28" i="100"/>
  <c r="AD30" i="76"/>
  <c r="G53" i="72"/>
  <c r="AK56" i="113"/>
  <c r="AD47" i="100"/>
  <c r="AD49" i="76"/>
  <c r="Q70" i="100"/>
  <c r="AC73" i="127"/>
  <c r="S70" i="100"/>
  <c r="AC73" i="129"/>
  <c r="AC73" i="118"/>
  <c r="AP70" i="72" s="1"/>
  <c r="L70" i="100"/>
  <c r="AD73" i="118"/>
  <c r="AF73" i="118" s="1"/>
  <c r="AC73" i="125"/>
  <c r="AS70" i="72" s="1"/>
  <c r="O70" i="100"/>
  <c r="AC73" i="151"/>
  <c r="BE70" i="72" s="1"/>
  <c r="AA70" i="100"/>
  <c r="AC73" i="149"/>
  <c r="BD70" i="72" s="1"/>
  <c r="Z70" i="100"/>
  <c r="AC73" i="115"/>
  <c r="I70" i="100"/>
  <c r="AC22" i="131"/>
  <c r="AX19" i="72" s="1"/>
  <c r="T19" i="100"/>
  <c r="AD22" i="131"/>
  <c r="AF22" i="131" s="1"/>
  <c r="K19" i="100"/>
  <c r="AC22" i="117"/>
  <c r="AO19" i="72" s="1"/>
  <c r="AC22" i="144"/>
  <c r="AY19" i="72" s="1"/>
  <c r="U19" i="100"/>
  <c r="AD22" i="144"/>
  <c r="AF22" i="144" s="1"/>
  <c r="G50" i="72"/>
  <c r="AK53" i="113"/>
  <c r="AD52" i="80"/>
  <c r="BI50" i="72" s="1"/>
  <c r="AE50" i="100"/>
  <c r="AE52" i="80"/>
  <c r="AG52" i="80" s="1"/>
  <c r="Q50" i="100"/>
  <c r="AC53" i="127"/>
  <c r="AU50" i="72" s="1"/>
  <c r="AC53" i="125"/>
  <c r="AS50" i="72" s="1"/>
  <c r="O50" i="100"/>
  <c r="AD53" i="125"/>
  <c r="AF53" i="125" s="1"/>
  <c r="AC53" i="144"/>
  <c r="AY50" i="72" s="1"/>
  <c r="U50" i="100"/>
  <c r="AC53" i="153"/>
  <c r="BG50" i="72" s="1"/>
  <c r="AC50" i="100"/>
  <c r="AD53" i="153"/>
  <c r="AF53" i="153" s="1"/>
  <c r="AC53" i="152"/>
  <c r="BF50" i="72" s="1"/>
  <c r="AB50" i="100"/>
  <c r="AD44" i="80"/>
  <c r="BI42" i="72" s="1"/>
  <c r="AE42" i="100"/>
  <c r="S42" i="100"/>
  <c r="AC45" i="129"/>
  <c r="AD42" i="100"/>
  <c r="AD44" i="76"/>
  <c r="K42" i="100"/>
  <c r="AC45" i="117"/>
  <c r="AC45" i="151"/>
  <c r="BE42" i="72" s="1"/>
  <c r="AA42" i="100"/>
  <c r="AD45" i="151"/>
  <c r="AF45" i="151" s="1"/>
  <c r="AC45" i="149"/>
  <c r="BD42" i="72" s="1"/>
  <c r="Z42" i="100"/>
  <c r="AD45" i="149"/>
  <c r="AF45" i="149" s="1"/>
  <c r="AC37" i="126"/>
  <c r="AT34" i="72" s="1"/>
  <c r="P34" i="100"/>
  <c r="AD37" i="126"/>
  <c r="AF37" i="126" s="1"/>
  <c r="H34" i="100"/>
  <c r="AC37" i="114"/>
  <c r="AC37" i="147"/>
  <c r="BB34" i="72" s="1"/>
  <c r="X34" i="100"/>
  <c r="AD37" i="147"/>
  <c r="AF37" i="147" s="1"/>
  <c r="AC37" i="146"/>
  <c r="BA34" i="72" s="1"/>
  <c r="W34" i="100"/>
  <c r="AD37" i="146"/>
  <c r="AF37" i="146" s="1"/>
  <c r="AC37" i="115"/>
  <c r="AM34" i="72" s="1"/>
  <c r="I34" i="100"/>
  <c r="AD37" i="115"/>
  <c r="AF37" i="115" s="1"/>
  <c r="AC17" i="120"/>
  <c r="AR14" i="72" s="1"/>
  <c r="N14" i="100"/>
  <c r="AD17" i="120"/>
  <c r="AF17" i="120" s="1"/>
  <c r="G29" i="72"/>
  <c r="AK32" i="113"/>
  <c r="S29" i="100"/>
  <c r="AC32" i="129"/>
  <c r="K29" i="100"/>
  <c r="AC32" i="117"/>
  <c r="AO29" i="72" s="1"/>
  <c r="AC32" i="151"/>
  <c r="BE29" i="72" s="1"/>
  <c r="AA29" i="100"/>
  <c r="AC32" i="153"/>
  <c r="BG29" i="72" s="1"/>
  <c r="AC29" i="100"/>
  <c r="AR11" i="46"/>
  <c r="AS11" i="46" s="1"/>
  <c r="AU11" i="46" s="1"/>
  <c r="AT11" i="46"/>
  <c r="AC39" i="116"/>
  <c r="J36" i="100"/>
  <c r="AC39" i="131"/>
  <c r="AX36" i="72" s="1"/>
  <c r="T36" i="100"/>
  <c r="AD39" i="131"/>
  <c r="AF39" i="131" s="1"/>
  <c r="AD38" i="80"/>
  <c r="BI36" i="72" s="1"/>
  <c r="AE36" i="100"/>
  <c r="AC24" i="120"/>
  <c r="AR21" i="72" s="1"/>
  <c r="N21" i="100"/>
  <c r="AD24" i="120"/>
  <c r="AF24" i="120" s="1"/>
  <c r="H21" i="100"/>
  <c r="AC24" i="114"/>
  <c r="AC24" i="146"/>
  <c r="BA21" i="72" s="1"/>
  <c r="W21" i="100"/>
  <c r="AD24" i="146"/>
  <c r="AF24" i="146" s="1"/>
  <c r="AC24" i="147"/>
  <c r="BB21" i="72" s="1"/>
  <c r="X21" i="100"/>
  <c r="AD24" i="147"/>
  <c r="AF24" i="147" s="1"/>
  <c r="AC24" i="115"/>
  <c r="AM21" i="72" s="1"/>
  <c r="I21" i="100"/>
  <c r="AC62" i="125"/>
  <c r="AS59" i="72" s="1"/>
  <c r="O59" i="100"/>
  <c r="AD62" i="125"/>
  <c r="AF62" i="125" s="1"/>
  <c r="K59" i="100"/>
  <c r="AC62" i="117"/>
  <c r="AO59" i="72" s="1"/>
  <c r="G31" i="72"/>
  <c r="AK34" i="113"/>
  <c r="AD33" i="80"/>
  <c r="BI31" i="72" s="1"/>
  <c r="AE31" i="100"/>
  <c r="AE33" i="80"/>
  <c r="AG33" i="80" s="1"/>
  <c r="AC34" i="149"/>
  <c r="BD31" i="72" s="1"/>
  <c r="Z31" i="100"/>
  <c r="AD34" i="149"/>
  <c r="AF34" i="149" s="1"/>
  <c r="AD52" i="100"/>
  <c r="AD54" i="76"/>
  <c r="AC55" i="118"/>
  <c r="AP52" i="72" s="1"/>
  <c r="L52" i="100"/>
  <c r="AC55" i="131"/>
  <c r="AX52" i="72" s="1"/>
  <c r="T52" i="100"/>
  <c r="AD55" i="131"/>
  <c r="AF55" i="131" s="1"/>
  <c r="AC55" i="148"/>
  <c r="BC52" i="72" s="1"/>
  <c r="Y52" i="100"/>
  <c r="AC52" i="126"/>
  <c r="AT49" i="72" s="1"/>
  <c r="P49" i="100"/>
  <c r="AD52" i="126"/>
  <c r="AF52" i="126" s="1"/>
  <c r="J49" i="100"/>
  <c r="AF49" i="100" s="1"/>
  <c r="AC52" i="116"/>
  <c r="AN49" i="72" s="1"/>
  <c r="AC61" i="118"/>
  <c r="AP58" i="72" s="1"/>
  <c r="L58" i="100"/>
  <c r="AD61" i="118"/>
  <c r="AF61" i="118" s="1"/>
  <c r="AC61" i="144"/>
  <c r="AY58" i="72" s="1"/>
  <c r="U58" i="100"/>
  <c r="AC61" i="153"/>
  <c r="BG58" i="72" s="1"/>
  <c r="AC58" i="100"/>
  <c r="AC61" i="152"/>
  <c r="BF58" i="72" s="1"/>
  <c r="AB58" i="100"/>
  <c r="AD61" i="152"/>
  <c r="AF61" i="152" s="1"/>
  <c r="AC21" i="120"/>
  <c r="AR18" i="72" s="1"/>
  <c r="N18" i="100"/>
  <c r="AD21" i="120"/>
  <c r="AF21" i="120" s="1"/>
  <c r="AC18" i="116"/>
  <c r="J15" i="100"/>
  <c r="AC18" i="125"/>
  <c r="AS15" i="72" s="1"/>
  <c r="O15" i="100"/>
  <c r="AD18" i="125"/>
  <c r="AF18" i="125" s="1"/>
  <c r="AD59" i="76"/>
  <c r="AD57" i="100"/>
  <c r="J57" i="100"/>
  <c r="AC60" i="116"/>
  <c r="AC60" i="153"/>
  <c r="BG57" i="72" s="1"/>
  <c r="AC57" i="100"/>
  <c r="AD60" i="153"/>
  <c r="AF60" i="153" s="1"/>
  <c r="AC60" i="152"/>
  <c r="BF57" i="72" s="1"/>
  <c r="AB57" i="100"/>
  <c r="AC16" i="120"/>
  <c r="AR13" i="72" s="1"/>
  <c r="N13" i="100"/>
  <c r="AD16" i="120"/>
  <c r="AF16" i="120" s="1"/>
  <c r="K13" i="100"/>
  <c r="AC16" i="117"/>
  <c r="S13" i="100"/>
  <c r="AC16" i="129"/>
  <c r="AC49" i="118"/>
  <c r="AP46" i="72" s="1"/>
  <c r="L46" i="100"/>
  <c r="AD49" i="118"/>
  <c r="AF49" i="118" s="1"/>
  <c r="K46" i="100"/>
  <c r="AC49" i="117"/>
  <c r="AO46" i="72" s="1"/>
  <c r="R46" i="100"/>
  <c r="AC49" i="128"/>
  <c r="AV46" i="72" s="1"/>
  <c r="AC74" i="126"/>
  <c r="AT71" i="72" s="1"/>
  <c r="P71" i="100"/>
  <c r="AD74" i="126"/>
  <c r="AF74" i="126" s="1"/>
  <c r="S71" i="100"/>
  <c r="AC74" i="129"/>
  <c r="AC74" i="149"/>
  <c r="BD71" i="72" s="1"/>
  <c r="Z71" i="100"/>
  <c r="AD74" i="149"/>
  <c r="AF74" i="149" s="1"/>
  <c r="AC74" i="147"/>
  <c r="BB71" i="72" s="1"/>
  <c r="X71" i="100"/>
  <c r="AD74" i="147"/>
  <c r="AF74" i="147" s="1"/>
  <c r="AD26" i="113"/>
  <c r="AF26" i="113" s="1"/>
  <c r="AD25" i="80"/>
  <c r="BI23" i="72" s="1"/>
  <c r="AE23" i="100"/>
  <c r="AE25" i="80"/>
  <c r="AG25" i="80" s="1"/>
  <c r="AC26" i="118"/>
  <c r="AP23" i="72" s="1"/>
  <c r="L23" i="100"/>
  <c r="AD26" i="118"/>
  <c r="AF26" i="118" s="1"/>
  <c r="AC26" i="151"/>
  <c r="BE23" i="72" s="1"/>
  <c r="AA23" i="100"/>
  <c r="AD26" i="151"/>
  <c r="AF26" i="151" s="1"/>
  <c r="AC26" i="153"/>
  <c r="BG23" i="72" s="1"/>
  <c r="AC23" i="100"/>
  <c r="AD12" i="80"/>
  <c r="BI10" i="72" s="1"/>
  <c r="AE10" i="100"/>
  <c r="AE12" i="80"/>
  <c r="AG12" i="80" s="1"/>
  <c r="S10" i="100"/>
  <c r="AC13" i="129"/>
  <c r="AW10" i="72" s="1"/>
  <c r="AD10" i="100"/>
  <c r="AD12" i="76"/>
  <c r="BH10" i="72" s="1"/>
  <c r="AC13" i="149"/>
  <c r="BD10" i="72" s="1"/>
  <c r="Z10" i="100"/>
  <c r="AD13" i="149"/>
  <c r="AF13" i="149" s="1"/>
  <c r="AC65" i="118"/>
  <c r="AP62" i="72" s="1"/>
  <c r="L62" i="100"/>
  <c r="AD65" i="118"/>
  <c r="AF65" i="118" s="1"/>
  <c r="K62" i="100"/>
  <c r="AC65" i="117"/>
  <c r="R62" i="100"/>
  <c r="AC65" i="128"/>
  <c r="AB11" i="148"/>
  <c r="AA11" i="145"/>
  <c r="AB11" i="145" s="1"/>
  <c r="AB11" i="151"/>
  <c r="AA11" i="149"/>
  <c r="AB11" i="149" s="1"/>
  <c r="AA11" i="131"/>
  <c r="AB11" i="131" s="1"/>
  <c r="AB11" i="127"/>
  <c r="AA11" i="120"/>
  <c r="AB11" i="120" s="1"/>
  <c r="AC10" i="80"/>
  <c r="AB10" i="76"/>
  <c r="AC10" i="76" s="1"/>
  <c r="AB11" i="128"/>
  <c r="AC27" i="120"/>
  <c r="AR24" i="72" s="1"/>
  <c r="N24" i="100"/>
  <c r="AD27" i="120"/>
  <c r="AF27" i="120" s="1"/>
  <c r="AC27" i="125"/>
  <c r="AS24" i="72" s="1"/>
  <c r="O24" i="100"/>
  <c r="AD27" i="125"/>
  <c r="AF27" i="125" s="1"/>
  <c r="AD24" i="100"/>
  <c r="AD26" i="76"/>
  <c r="BH24" i="72" s="1"/>
  <c r="K24" i="100"/>
  <c r="AC27" i="117"/>
  <c r="AC27" i="153"/>
  <c r="BG24" i="72" s="1"/>
  <c r="AC24" i="100"/>
  <c r="AD27" i="153"/>
  <c r="AF27" i="153" s="1"/>
  <c r="AC27" i="146"/>
  <c r="BA24" i="72" s="1"/>
  <c r="W24" i="100"/>
  <c r="AC27" i="115"/>
  <c r="AM24" i="72" s="1"/>
  <c r="I24" i="100"/>
  <c r="AD27" i="115"/>
  <c r="AF27" i="115" s="1"/>
  <c r="AC70" i="125"/>
  <c r="AS67" i="72" s="1"/>
  <c r="O67" i="100"/>
  <c r="AD70" i="125"/>
  <c r="AF70" i="125" s="1"/>
  <c r="AC70" i="120"/>
  <c r="AR67" i="72" s="1"/>
  <c r="N67" i="100"/>
  <c r="AD70" i="120"/>
  <c r="AF70" i="120" s="1"/>
  <c r="K66" i="100"/>
  <c r="AC69" i="117"/>
  <c r="AO66" i="72" s="1"/>
  <c r="AC69" i="144"/>
  <c r="AY66" i="72" s="1"/>
  <c r="U66" i="100"/>
  <c r="AD69" i="144"/>
  <c r="AF69" i="144" s="1"/>
  <c r="AC69" i="153"/>
  <c r="BG66" i="72" s="1"/>
  <c r="AC66" i="100"/>
  <c r="AC69" i="152"/>
  <c r="BF66" i="72" s="1"/>
  <c r="AB66" i="100"/>
  <c r="K7" i="100"/>
  <c r="AC10" i="117"/>
  <c r="AC10" i="131"/>
  <c r="AX7" i="72" s="1"/>
  <c r="T7" i="100"/>
  <c r="AD7" i="100"/>
  <c r="AD9" i="76"/>
  <c r="AC10" i="148"/>
  <c r="BC7" i="72" s="1"/>
  <c r="Y7" i="100"/>
  <c r="AC10" i="151"/>
  <c r="BE7" i="72" s="1"/>
  <c r="AA7" i="100"/>
  <c r="AD10" i="151"/>
  <c r="AF10" i="151" s="1"/>
  <c r="AA33" i="147"/>
  <c r="AB33" i="147" s="1"/>
  <c r="AB33" i="148"/>
  <c r="AA33" i="152"/>
  <c r="AB33" i="152" s="1"/>
  <c r="AB33" i="149"/>
  <c r="AA33" i="125"/>
  <c r="AB33" i="125" s="1"/>
  <c r="AA33" i="119"/>
  <c r="AB33" i="119" s="1"/>
  <c r="AB32" i="76"/>
  <c r="AC32" i="76" s="1"/>
  <c r="AB33" i="131"/>
  <c r="AA33" i="127"/>
  <c r="AB33" i="127" s="1"/>
  <c r="AB33" i="129"/>
  <c r="AB32" i="80"/>
  <c r="AC32" i="80" s="1"/>
  <c r="AB75" i="115"/>
  <c r="AA75" i="153"/>
  <c r="AB75" i="153" s="1"/>
  <c r="AB75" i="147"/>
  <c r="AA75" i="144"/>
  <c r="AB75" i="144" s="1"/>
  <c r="AB75" i="149"/>
  <c r="AA75" i="148"/>
  <c r="AB75" i="148" s="1"/>
  <c r="AB75" i="128"/>
  <c r="AB74" i="76"/>
  <c r="AC74" i="76" s="1"/>
  <c r="AB75" i="118"/>
  <c r="AB74" i="80"/>
  <c r="AC74" i="80" s="1"/>
  <c r="AB75" i="125"/>
  <c r="AB75" i="117"/>
  <c r="AA48" i="113"/>
  <c r="AB48" i="113" s="1"/>
  <c r="Z48" i="118"/>
  <c r="X48" i="118"/>
  <c r="V48" i="118"/>
  <c r="Z48" i="129"/>
  <c r="X48" i="129"/>
  <c r="V48" i="129"/>
  <c r="AA47" i="80"/>
  <c r="Y47" i="80"/>
  <c r="W47" i="80"/>
  <c r="Z48" i="125"/>
  <c r="X48" i="125"/>
  <c r="V48" i="125"/>
  <c r="Z48" i="127"/>
  <c r="X48" i="127"/>
  <c r="V48" i="127"/>
  <c r="Z48" i="131"/>
  <c r="X48" i="131"/>
  <c r="V48" i="131"/>
  <c r="Z48" i="119"/>
  <c r="X48" i="119"/>
  <c r="V48" i="119"/>
  <c r="Z48" i="144"/>
  <c r="X48" i="144"/>
  <c r="V48" i="144"/>
  <c r="Z48" i="146"/>
  <c r="X48" i="146"/>
  <c r="V48" i="146"/>
  <c r="Z48" i="153"/>
  <c r="X48" i="153"/>
  <c r="V48" i="153"/>
  <c r="Z48" i="149"/>
  <c r="X48" i="149"/>
  <c r="V48" i="149"/>
  <c r="Z48" i="152"/>
  <c r="X48" i="152"/>
  <c r="V48" i="152"/>
  <c r="Z48" i="115"/>
  <c r="X48" i="115"/>
  <c r="V48" i="115"/>
  <c r="AA51" i="147"/>
  <c r="AB51" i="147" s="1"/>
  <c r="AB51" i="145"/>
  <c r="AA51" i="117"/>
  <c r="AB51" i="117" s="1"/>
  <c r="AB51" i="151"/>
  <c r="AA51" i="148"/>
  <c r="AB51" i="148" s="1"/>
  <c r="AB51" i="128"/>
  <c r="AA51" i="118"/>
  <c r="AB51" i="118" s="1"/>
  <c r="AC50" i="76"/>
  <c r="AB50" i="80"/>
  <c r="AC50" i="80" s="1"/>
  <c r="AA51" i="119"/>
  <c r="AB51" i="119" s="1"/>
  <c r="AA51" i="127"/>
  <c r="AB51" i="127" s="1"/>
  <c r="AB63" i="115"/>
  <c r="AA63" i="152"/>
  <c r="AB63" i="152" s="1"/>
  <c r="AB63" i="146"/>
  <c r="AA63" i="144"/>
  <c r="AB63" i="144" s="1"/>
  <c r="AB63" i="151"/>
  <c r="AA63" i="148"/>
  <c r="AB63" i="148" s="1"/>
  <c r="AB63" i="114"/>
  <c r="AB62" i="76"/>
  <c r="AC62" i="76" s="1"/>
  <c r="AB63" i="126"/>
  <c r="AA63" i="131"/>
  <c r="AB63" i="131" s="1"/>
  <c r="AB63" i="127"/>
  <c r="AA63" i="118"/>
  <c r="AB63" i="118" s="1"/>
  <c r="AA63" i="119"/>
  <c r="AB63" i="119" s="1"/>
  <c r="AB47" i="148"/>
  <c r="AA47" i="145"/>
  <c r="AB47" i="145" s="1"/>
  <c r="AB47" i="117"/>
  <c r="AA47" i="151"/>
  <c r="AB47" i="151" s="1"/>
  <c r="AB47" i="149"/>
  <c r="AA47" i="114"/>
  <c r="AB47" i="114" s="1"/>
  <c r="AC46" i="76"/>
  <c r="AA47" i="131"/>
  <c r="AB47" i="131" s="1"/>
  <c r="AB47" i="127"/>
  <c r="AB47" i="118"/>
  <c r="AA15" i="115"/>
  <c r="AB15" i="115" s="1"/>
  <c r="AB15" i="152"/>
  <c r="AA15" i="149"/>
  <c r="AB15" i="149" s="1"/>
  <c r="AB15" i="153"/>
  <c r="AA15" i="146"/>
  <c r="AB15" i="146" s="1"/>
  <c r="AB15" i="117"/>
  <c r="AA15" i="114"/>
  <c r="AB15" i="114" s="1"/>
  <c r="AB15" i="127"/>
  <c r="AB15" i="131"/>
  <c r="AA15" i="128"/>
  <c r="AB15" i="128" s="1"/>
  <c r="AB15" i="126"/>
  <c r="AA15" i="116"/>
  <c r="AC15" i="113"/>
  <c r="AK12" i="72" s="1"/>
  <c r="G12" i="100"/>
  <c r="AD15" i="113"/>
  <c r="AF15" i="113" s="1"/>
  <c r="AA14" i="151"/>
  <c r="AB14" i="151" s="1"/>
  <c r="AB14" i="148"/>
  <c r="AA14" i="147"/>
  <c r="AB14" i="147" s="1"/>
  <c r="AB14" i="145"/>
  <c r="AB14" i="144"/>
  <c r="AC13" i="80"/>
  <c r="AB14" i="117"/>
  <c r="AA14" i="118"/>
  <c r="AB14" i="118" s="1"/>
  <c r="AB14" i="131"/>
  <c r="AA14" i="127"/>
  <c r="AB14" i="127" s="1"/>
  <c r="AB40" i="115"/>
  <c r="AA40" i="151"/>
  <c r="AB40" i="151" s="1"/>
  <c r="AB40" i="146"/>
  <c r="AA40" i="153"/>
  <c r="AB40" i="153" s="1"/>
  <c r="AB40" i="147"/>
  <c r="AA40" i="144"/>
  <c r="AB40" i="144" s="1"/>
  <c r="AB40" i="114"/>
  <c r="AB39" i="76"/>
  <c r="AC39" i="76" s="1"/>
  <c r="AB40" i="120"/>
  <c r="AA40" i="117"/>
  <c r="AB40" i="117" s="1"/>
  <c r="AC39" i="80"/>
  <c r="AA40" i="129"/>
  <c r="AB40" i="129" s="1"/>
  <c r="AB40" i="118"/>
  <c r="AB58" i="147"/>
  <c r="AA58" i="145"/>
  <c r="AB58" i="145" s="1"/>
  <c r="AB58" i="151"/>
  <c r="AA58" i="148"/>
  <c r="AB58" i="148" s="1"/>
  <c r="AB58" i="114"/>
  <c r="AB57" i="76"/>
  <c r="AC57" i="76" s="1"/>
  <c r="AB58" i="128"/>
  <c r="AA58" i="126"/>
  <c r="AB58" i="126" s="1"/>
  <c r="AB58" i="131"/>
  <c r="AA58" i="127"/>
  <c r="AB58" i="127" s="1"/>
  <c r="AB58" i="117"/>
  <c r="AA12" i="115"/>
  <c r="AB12" i="115" s="1"/>
  <c r="AB12" i="153"/>
  <c r="AA12" i="147"/>
  <c r="AB12" i="147" s="1"/>
  <c r="AB12" i="152"/>
  <c r="AA12" i="146"/>
  <c r="AB12" i="146" s="1"/>
  <c r="AA12" i="120"/>
  <c r="AB12" i="120" s="1"/>
  <c r="AB12" i="114"/>
  <c r="AA12" i="129"/>
  <c r="AB12" i="129" s="1"/>
  <c r="AB12" i="118"/>
  <c r="AA12" i="117"/>
  <c r="AB12" i="117" s="1"/>
  <c r="G9" i="100"/>
  <c r="AC12" i="113"/>
  <c r="AK9" i="72" s="1"/>
  <c r="AA72" i="149"/>
  <c r="AB72" i="149" s="1"/>
  <c r="AB72" i="148"/>
  <c r="AA72" i="151"/>
  <c r="AB72" i="151" s="1"/>
  <c r="AB72" i="145"/>
  <c r="AA72" i="117"/>
  <c r="AB72" i="117" s="1"/>
  <c r="AB72" i="131"/>
  <c r="AA72" i="127"/>
  <c r="AB72" i="127" s="1"/>
  <c r="AB72" i="125"/>
  <c r="AA72" i="116"/>
  <c r="AB72" i="116" s="1"/>
  <c r="AB72" i="128"/>
  <c r="AA72" i="126"/>
  <c r="AB72" i="126" s="1"/>
  <c r="AB43" i="115"/>
  <c r="AA43" i="151"/>
  <c r="AB43" i="151" s="1"/>
  <c r="AB43" i="146"/>
  <c r="AA43" i="144"/>
  <c r="AB43" i="144" s="1"/>
  <c r="AB43" i="153"/>
  <c r="AA43" i="147"/>
  <c r="AB43" i="147" s="1"/>
  <c r="AB43" i="114"/>
  <c r="AA43" i="129"/>
  <c r="AB43" i="129" s="1"/>
  <c r="AA43" i="119"/>
  <c r="AB43" i="119" s="1"/>
  <c r="AA43" i="117"/>
  <c r="AB43" i="117" s="1"/>
  <c r="AB43" i="131"/>
  <c r="AA43" i="127"/>
  <c r="AB43" i="127" s="1"/>
  <c r="AB43" i="116"/>
  <c r="AB8" i="151"/>
  <c r="AA8" i="148"/>
  <c r="AB8" i="148" s="1"/>
  <c r="AB8" i="147"/>
  <c r="AA8" i="145"/>
  <c r="AB8" i="145" s="1"/>
  <c r="AA8" i="131"/>
  <c r="AB8" i="131" s="1"/>
  <c r="AB8" i="126"/>
  <c r="AA8" i="125"/>
  <c r="AB8" i="125" s="1"/>
  <c r="AA8" i="119"/>
  <c r="AB8" i="119" s="1"/>
  <c r="AB7" i="76"/>
  <c r="AC7" i="76" s="1"/>
  <c r="AB8" i="120"/>
  <c r="AA20" i="115"/>
  <c r="AB20" i="115" s="1"/>
  <c r="AB20" i="153"/>
  <c r="AA20" i="147"/>
  <c r="AB20" i="147" s="1"/>
  <c r="AB20" i="152"/>
  <c r="AA20" i="146"/>
  <c r="AB20" i="146" s="1"/>
  <c r="AA20" i="126"/>
  <c r="AB20" i="126" s="1"/>
  <c r="AB20" i="114"/>
  <c r="AB19" i="76"/>
  <c r="AC19" i="76" s="1"/>
  <c r="AB20" i="120"/>
  <c r="AA20" i="117"/>
  <c r="AB20" i="117" s="1"/>
  <c r="AC20" i="113"/>
  <c r="AK17" i="72" s="1"/>
  <c r="G17" i="100"/>
  <c r="AD20" i="113"/>
  <c r="AF20" i="113" s="1"/>
  <c r="AC67" i="147"/>
  <c r="BB64" i="72" s="1"/>
  <c r="X64" i="100"/>
  <c r="AC67" i="144"/>
  <c r="AY64" i="72" s="1"/>
  <c r="U64" i="100"/>
  <c r="AD67" i="144"/>
  <c r="AF67" i="144" s="1"/>
  <c r="AC67" i="152"/>
  <c r="BF64" i="72" s="1"/>
  <c r="AB64" i="100"/>
  <c r="AD67" i="152"/>
  <c r="AF67" i="152" s="1"/>
  <c r="AC38" i="120"/>
  <c r="AR35" i="72" s="1"/>
  <c r="N35" i="100"/>
  <c r="AD38" i="120"/>
  <c r="AF38" i="120" s="1"/>
  <c r="S35" i="100"/>
  <c r="AC38" i="129"/>
  <c r="AC41" i="115"/>
  <c r="AM38" i="72" s="1"/>
  <c r="I38" i="100"/>
  <c r="AD41" i="115"/>
  <c r="AF41" i="115" s="1"/>
  <c r="AC19" i="144"/>
  <c r="AY16" i="72" s="1"/>
  <c r="U16" i="100"/>
  <c r="AC36" i="152"/>
  <c r="BF33" i="72" s="1"/>
  <c r="AB33" i="100"/>
  <c r="AC36" i="147"/>
  <c r="BB33" i="72" s="1"/>
  <c r="X33" i="100"/>
  <c r="AD36" i="147"/>
  <c r="AF36" i="147" s="1"/>
  <c r="AC28" i="126"/>
  <c r="AT25" i="72" s="1"/>
  <c r="P25" i="100"/>
  <c r="AD28" i="126"/>
  <c r="AF28" i="126" s="1"/>
  <c r="AC28" i="144"/>
  <c r="AY25" i="72" s="1"/>
  <c r="U25" i="100"/>
  <c r="AD28" i="144"/>
  <c r="AF28" i="144" s="1"/>
  <c r="J56" i="100"/>
  <c r="AC59" i="116"/>
  <c r="AN56" i="72" s="1"/>
  <c r="AC25" i="144"/>
  <c r="AY22" i="72" s="1"/>
  <c r="U22" i="100"/>
  <c r="AD25" i="144"/>
  <c r="AF25" i="144" s="1"/>
  <c r="AC25" i="153"/>
  <c r="BG22" i="72" s="1"/>
  <c r="AC22" i="100"/>
  <c r="AC25" i="152"/>
  <c r="BF22" i="72" s="1"/>
  <c r="AB22" i="100"/>
  <c r="AB71" i="115"/>
  <c r="AA71" i="152"/>
  <c r="AB71" i="152" s="1"/>
  <c r="AB71" i="147"/>
  <c r="AA71" i="144"/>
  <c r="AB71" i="144" s="1"/>
  <c r="AB71" i="151"/>
  <c r="AA71" i="146"/>
  <c r="AB71" i="146" s="1"/>
  <c r="AA71" i="119"/>
  <c r="AB71" i="119" s="1"/>
  <c r="AA71" i="114"/>
  <c r="AB71" i="114" s="1"/>
  <c r="AB71" i="127"/>
  <c r="AA71" i="117"/>
  <c r="AB71" i="117" s="1"/>
  <c r="AB71" i="128"/>
  <c r="AA71" i="125"/>
  <c r="AB71" i="125" s="1"/>
  <c r="AC9" i="118"/>
  <c r="AP6" i="72" s="1"/>
  <c r="L6" i="100"/>
  <c r="AD9" i="118"/>
  <c r="AF9" i="118" s="1"/>
  <c r="AC9" i="116"/>
  <c r="J6" i="100"/>
  <c r="AD8" i="80"/>
  <c r="BI6" i="72" s="1"/>
  <c r="AE6" i="100"/>
  <c r="AE8" i="80"/>
  <c r="AG8" i="80" s="1"/>
  <c r="AC9" i="148"/>
  <c r="BC6" i="72" s="1"/>
  <c r="Y6" i="100"/>
  <c r="AC9" i="145"/>
  <c r="AZ6" i="72" s="1"/>
  <c r="V6" i="100"/>
  <c r="AD9" i="145"/>
  <c r="AF9" i="145" s="1"/>
  <c r="AC64" i="144"/>
  <c r="AY61" i="72" s="1"/>
  <c r="U61" i="100"/>
  <c r="AD64" i="144"/>
  <c r="AF64" i="144" s="1"/>
  <c r="AC64" i="153"/>
  <c r="BG61" i="72" s="1"/>
  <c r="AC61" i="100"/>
  <c r="AC64" i="152"/>
  <c r="BF61" i="72" s="1"/>
  <c r="AB61" i="100"/>
  <c r="AC23" i="116"/>
  <c r="J20" i="100"/>
  <c r="AC23" i="131"/>
  <c r="AX20" i="72" s="1"/>
  <c r="T20" i="100"/>
  <c r="AD23" i="131"/>
  <c r="AF23" i="131" s="1"/>
  <c r="Q20" i="100"/>
  <c r="AC23" i="127"/>
  <c r="AC23" i="149"/>
  <c r="BD20" i="72" s="1"/>
  <c r="Z20" i="100"/>
  <c r="AD23" i="149"/>
  <c r="AF23" i="149" s="1"/>
  <c r="AC23" i="145"/>
  <c r="AZ20" i="72" s="1"/>
  <c r="V20" i="100"/>
  <c r="U20" i="100"/>
  <c r="AC23" i="144"/>
  <c r="AY20" i="72" s="1"/>
  <c r="S26" i="100"/>
  <c r="AC29" i="129"/>
  <c r="AC29" i="116"/>
  <c r="J26" i="100"/>
  <c r="AD45" i="80"/>
  <c r="BI43" i="72" s="1"/>
  <c r="AE43" i="100"/>
  <c r="AC46" i="146"/>
  <c r="BA43" i="72" s="1"/>
  <c r="W43" i="100"/>
  <c r="AC46" i="145"/>
  <c r="AZ43" i="72" s="1"/>
  <c r="V43" i="100"/>
  <c r="AD46" i="145"/>
  <c r="AF46" i="145" s="1"/>
  <c r="AH31" i="113"/>
  <c r="AI31" i="113" s="1"/>
  <c r="AJ31" i="113"/>
  <c r="AD53" i="100"/>
  <c r="AD55" i="76"/>
  <c r="BH53" i="72" s="1"/>
  <c r="H47" i="100"/>
  <c r="AC50" i="114"/>
  <c r="AL47" i="72" s="1"/>
  <c r="AC50" i="146"/>
  <c r="BA47" i="72" s="1"/>
  <c r="W47" i="100"/>
  <c r="AD50" i="146"/>
  <c r="AF50" i="146" s="1"/>
  <c r="AC50" i="149"/>
  <c r="BD47" i="72" s="1"/>
  <c r="Z47" i="100"/>
  <c r="AC50" i="115"/>
  <c r="AM47" i="72" s="1"/>
  <c r="I47" i="100"/>
  <c r="AD50" i="115"/>
  <c r="AF50" i="115" s="1"/>
  <c r="AC73" i="120"/>
  <c r="AR70" i="72" s="1"/>
  <c r="N70" i="100"/>
  <c r="AD73" i="120"/>
  <c r="AF73" i="120" s="1"/>
  <c r="AC73" i="147"/>
  <c r="BB70" i="72" s="1"/>
  <c r="X70" i="100"/>
  <c r="AD73" i="147"/>
  <c r="AF73" i="147" s="1"/>
  <c r="AC73" i="146"/>
  <c r="BA70" i="72" s="1"/>
  <c r="W70" i="100"/>
  <c r="AD22" i="113"/>
  <c r="AF22" i="113" s="1"/>
  <c r="AC22" i="125"/>
  <c r="AS19" i="72" s="1"/>
  <c r="O19" i="100"/>
  <c r="AD22" i="125"/>
  <c r="AF22" i="125" s="1"/>
  <c r="AC22" i="118"/>
  <c r="AP19" i="72" s="1"/>
  <c r="L19" i="100"/>
  <c r="AD22" i="118"/>
  <c r="AF22" i="118" s="1"/>
  <c r="R19" i="100"/>
  <c r="AC22" i="128"/>
  <c r="H19" i="100"/>
  <c r="AC22" i="114"/>
  <c r="AL19" i="72" s="1"/>
  <c r="AC22" i="152"/>
  <c r="BF19" i="72" s="1"/>
  <c r="AB19" i="100"/>
  <c r="AD22" i="152"/>
  <c r="AF22" i="152" s="1"/>
  <c r="AC22" i="153"/>
  <c r="BG19" i="72" s="1"/>
  <c r="AC19" i="100"/>
  <c r="AC53" i="120"/>
  <c r="AR50" i="72" s="1"/>
  <c r="N50" i="100"/>
  <c r="AD53" i="120"/>
  <c r="AF53" i="120" s="1"/>
  <c r="AC45" i="147"/>
  <c r="BB42" i="72" s="1"/>
  <c r="X42" i="100"/>
  <c r="AD45" i="147"/>
  <c r="AF45" i="147" s="1"/>
  <c r="AC45" i="115"/>
  <c r="AM42" i="72" s="1"/>
  <c r="I42" i="100"/>
  <c r="AD36" i="80"/>
  <c r="BI34" i="72" s="1"/>
  <c r="AE34" i="100"/>
  <c r="AE36" i="80"/>
  <c r="AG36" i="80" s="1"/>
  <c r="Q34" i="100"/>
  <c r="AC37" i="127"/>
  <c r="AC17" i="153"/>
  <c r="BG14" i="72" s="1"/>
  <c r="AC14" i="100"/>
  <c r="AD17" i="153"/>
  <c r="AF17" i="153" s="1"/>
  <c r="AC17" i="152"/>
  <c r="BF14" i="72" s="1"/>
  <c r="AB14" i="100"/>
  <c r="AD17" i="152"/>
  <c r="AF17" i="152" s="1"/>
  <c r="AC32" i="126"/>
  <c r="AT29" i="72" s="1"/>
  <c r="P29" i="100"/>
  <c r="AC32" i="148"/>
  <c r="BC29" i="72" s="1"/>
  <c r="Y29" i="100"/>
  <c r="AC32" i="152"/>
  <c r="BF29" i="72" s="1"/>
  <c r="AB29" i="100"/>
  <c r="AD32" i="152"/>
  <c r="AF32" i="152" s="1"/>
  <c r="G36" i="72"/>
  <c r="AK39" i="113"/>
  <c r="AC39" i="125"/>
  <c r="AS36" i="72" s="1"/>
  <c r="O36" i="100"/>
  <c r="AD39" i="125"/>
  <c r="AF39" i="125" s="1"/>
  <c r="AC24" i="148"/>
  <c r="BC21" i="72" s="1"/>
  <c r="Y21" i="100"/>
  <c r="AC24" i="151"/>
  <c r="BE21" i="72" s="1"/>
  <c r="AA21" i="100"/>
  <c r="J59" i="100"/>
  <c r="AC62" i="116"/>
  <c r="AN59" i="72" s="1"/>
  <c r="AC62" i="148"/>
  <c r="BC59" i="72" s="1"/>
  <c r="Y59" i="100"/>
  <c r="AD62" i="148"/>
  <c r="AF62" i="148" s="1"/>
  <c r="AC62" i="147"/>
  <c r="BB59" i="72" s="1"/>
  <c r="X59" i="100"/>
  <c r="AC62" i="115"/>
  <c r="AM59" i="72" s="1"/>
  <c r="I59" i="100"/>
  <c r="AD62" i="115"/>
  <c r="AF62" i="115" s="1"/>
  <c r="Q31" i="100"/>
  <c r="AC34" i="127"/>
  <c r="AU31" i="72" s="1"/>
  <c r="AC34" i="126"/>
  <c r="AT31" i="72" s="1"/>
  <c r="P31" i="100"/>
  <c r="AD31" i="100"/>
  <c r="AD33" i="76"/>
  <c r="BH31" i="72" s="1"/>
  <c r="AC34" i="146"/>
  <c r="BA31" i="72" s="1"/>
  <c r="W31" i="100"/>
  <c r="AC34" i="145"/>
  <c r="AZ31" i="72" s="1"/>
  <c r="V31" i="100"/>
  <c r="AD34" i="145"/>
  <c r="AF34" i="145" s="1"/>
  <c r="AB57" i="115"/>
  <c r="AA57" i="152"/>
  <c r="AB57" i="152" s="1"/>
  <c r="AB57" i="149"/>
  <c r="AA57" i="153"/>
  <c r="AB57" i="153" s="1"/>
  <c r="AB57" i="146"/>
  <c r="AA57" i="144"/>
  <c r="AB57" i="144" s="1"/>
  <c r="AA57" i="119"/>
  <c r="AB57" i="119" s="1"/>
  <c r="AA57" i="125"/>
  <c r="AB57" i="125" s="1"/>
  <c r="AC56" i="80"/>
  <c r="AA57" i="126"/>
  <c r="AB57" i="126" s="1"/>
  <c r="AB57" i="129"/>
  <c r="AA57" i="128"/>
  <c r="AB57" i="128" s="1"/>
  <c r="AB57" i="117"/>
  <c r="AA44" i="115"/>
  <c r="AB44" i="115" s="1"/>
  <c r="AB44" i="152"/>
  <c r="AA44" i="147"/>
  <c r="AB44" i="147" s="1"/>
  <c r="AB44" i="153"/>
  <c r="AA44" i="148"/>
  <c r="AB44" i="148" s="1"/>
  <c r="AB44" i="128"/>
  <c r="AA44" i="126"/>
  <c r="AB44" i="126" s="1"/>
  <c r="AB44" i="114"/>
  <c r="AB43" i="76"/>
  <c r="AC43" i="76" s="1"/>
  <c r="AB44" i="120"/>
  <c r="AA44" i="117"/>
  <c r="AB44" i="117" s="1"/>
  <c r="AC44" i="113"/>
  <c r="AK41" i="72" s="1"/>
  <c r="G41" i="100"/>
  <c r="AC66" i="125"/>
  <c r="AS63" i="72" s="1"/>
  <c r="O63" i="100"/>
  <c r="J58" i="100"/>
  <c r="AC61" i="116"/>
  <c r="AC61" i="149"/>
  <c r="BD58" i="72" s="1"/>
  <c r="Z58" i="100"/>
  <c r="AC21" i="118"/>
  <c r="AP18" i="72" s="1"/>
  <c r="L18" i="100"/>
  <c r="AD21" i="118"/>
  <c r="AF21" i="118" s="1"/>
  <c r="K15" i="100"/>
  <c r="AC18" i="117"/>
  <c r="AC18" i="131"/>
  <c r="AX15" i="72" s="1"/>
  <c r="T15" i="100"/>
  <c r="AD18" i="131"/>
  <c r="AF18" i="131" s="1"/>
  <c r="R15" i="100"/>
  <c r="AC18" i="128"/>
  <c r="K65" i="100"/>
  <c r="AC68" i="117"/>
  <c r="G13" i="72"/>
  <c r="AK16" i="113"/>
  <c r="Q13" i="100"/>
  <c r="AC16" i="127"/>
  <c r="AC16" i="125"/>
  <c r="AS13" i="72" s="1"/>
  <c r="O13" i="100"/>
  <c r="AC16" i="131"/>
  <c r="AX13" i="72" s="1"/>
  <c r="T13" i="100"/>
  <c r="AC16" i="152"/>
  <c r="BF13" i="72" s="1"/>
  <c r="AB13" i="100"/>
  <c r="AC16" i="153"/>
  <c r="BG13" i="72" s="1"/>
  <c r="AC13" i="100"/>
  <c r="AD16" i="153"/>
  <c r="AF16" i="153" s="1"/>
  <c r="AD48" i="80"/>
  <c r="BI46" i="72" s="1"/>
  <c r="AE46" i="100"/>
  <c r="AE48" i="80"/>
  <c r="AG48" i="80" s="1"/>
  <c r="Q46" i="100"/>
  <c r="AC49" i="127"/>
  <c r="AU46" i="72" s="1"/>
  <c r="AD46" i="100"/>
  <c r="AD48" i="76"/>
  <c r="AC49" i="148"/>
  <c r="BC46" i="72" s="1"/>
  <c r="Y46" i="100"/>
  <c r="R23" i="100"/>
  <c r="AC26" i="128"/>
  <c r="AV23" i="72" s="1"/>
  <c r="AC26" i="144"/>
  <c r="AY23" i="72" s="1"/>
  <c r="U23" i="100"/>
  <c r="AC65" i="151"/>
  <c r="BE62" i="72" s="1"/>
  <c r="AA62" i="100"/>
  <c r="AD65" i="151"/>
  <c r="AF65" i="151" s="1"/>
  <c r="AC65" i="149"/>
  <c r="BD62" i="72" s="1"/>
  <c r="Z62" i="100"/>
  <c r="R27" i="100"/>
  <c r="AC30" i="128"/>
  <c r="H24" i="100"/>
  <c r="AC27" i="114"/>
  <c r="AC27" i="152"/>
  <c r="BF24" i="72" s="1"/>
  <c r="AB24" i="100"/>
  <c r="AD27" i="152"/>
  <c r="AF27" i="152" s="1"/>
  <c r="AC27" i="149"/>
  <c r="BD24" i="72" s="1"/>
  <c r="Z24" i="100"/>
  <c r="AD70" i="113"/>
  <c r="AF70" i="113" s="1"/>
  <c r="K67" i="100"/>
  <c r="AC70" i="117"/>
  <c r="AO67" i="72" s="1"/>
  <c r="J67" i="100"/>
  <c r="AC70" i="116"/>
  <c r="R67" i="100"/>
  <c r="AC70" i="128"/>
  <c r="AV67" i="72" s="1"/>
  <c r="AC70" i="144"/>
  <c r="AY67" i="72" s="1"/>
  <c r="U67" i="100"/>
  <c r="AD70" i="144"/>
  <c r="AF70" i="144" s="1"/>
  <c r="AC70" i="153"/>
  <c r="BG67" i="72" s="1"/>
  <c r="AC67" i="100"/>
  <c r="AD70" i="153"/>
  <c r="AF70" i="153" s="1"/>
  <c r="AC70" i="152"/>
  <c r="BF67" i="72" s="1"/>
  <c r="AB67" i="100"/>
  <c r="R66" i="100"/>
  <c r="AC69" i="128"/>
  <c r="AV66" i="72" s="1"/>
  <c r="S66" i="100"/>
  <c r="AC69" i="129"/>
  <c r="AD66" i="100"/>
  <c r="AD68" i="76"/>
  <c r="BH66" i="72" s="1"/>
  <c r="H66" i="100"/>
  <c r="AC69" i="114"/>
  <c r="AC69" i="151"/>
  <c r="BE66" i="72" s="1"/>
  <c r="AA66" i="100"/>
  <c r="AC69" i="149"/>
  <c r="BD66" i="72" s="1"/>
  <c r="Z66" i="100"/>
  <c r="AD69" i="149"/>
  <c r="AF69" i="149" s="1"/>
  <c r="AC10" i="125"/>
  <c r="AS7" i="72" s="1"/>
  <c r="O7" i="100"/>
  <c r="AD10" i="125"/>
  <c r="AF10" i="125" s="1"/>
  <c r="AD44" i="113" l="1"/>
  <c r="AF44" i="113" s="1"/>
  <c r="AD32" i="126"/>
  <c r="AF32" i="126" s="1"/>
  <c r="AD26" i="144"/>
  <c r="AF26" i="144" s="1"/>
  <c r="M44" i="100"/>
  <c r="AC47" i="119"/>
  <c r="AD16" i="125"/>
  <c r="AF16" i="125" s="1"/>
  <c r="AD31" i="119"/>
  <c r="AF31" i="119" s="1"/>
  <c r="M72" i="100"/>
  <c r="AC75" i="119"/>
  <c r="AQ72" i="72" s="1"/>
  <c r="AD22" i="114"/>
  <c r="AF22" i="114" s="1"/>
  <c r="AD50" i="114"/>
  <c r="AF50" i="114" s="1"/>
  <c r="AD10" i="145"/>
  <c r="AF10" i="145" s="1"/>
  <c r="AD10" i="127"/>
  <c r="AF10" i="127" s="1"/>
  <c r="AD13" i="119"/>
  <c r="AF13" i="119" s="1"/>
  <c r="AC12" i="119"/>
  <c r="M9" i="100"/>
  <c r="AC15" i="119"/>
  <c r="M12" i="100"/>
  <c r="AC14" i="119"/>
  <c r="M11" i="100"/>
  <c r="AD69" i="152"/>
  <c r="AF69" i="152" s="1"/>
  <c r="AD73" i="151"/>
  <c r="AF73" i="151" s="1"/>
  <c r="AD70" i="131"/>
  <c r="AF70" i="131" s="1"/>
  <c r="AD68" i="152"/>
  <c r="AF68" i="152" s="1"/>
  <c r="AD21" i="147"/>
  <c r="AF21" i="147" s="1"/>
  <c r="AD62" i="152"/>
  <c r="AF62" i="152" s="1"/>
  <c r="AD24" i="116"/>
  <c r="AF24" i="116" s="1"/>
  <c r="AD68" i="125"/>
  <c r="AF68" i="125" s="1"/>
  <c r="AD52" i="146"/>
  <c r="AF52" i="146" s="1"/>
  <c r="AD55" i="151"/>
  <c r="AF55" i="151" s="1"/>
  <c r="AD53" i="114"/>
  <c r="AF53" i="114" s="1"/>
  <c r="AD56" i="151"/>
  <c r="AF56" i="151" s="1"/>
  <c r="AD56" i="114"/>
  <c r="AF56" i="114" s="1"/>
  <c r="AD64" i="129"/>
  <c r="AF64" i="129" s="1"/>
  <c r="AD19" i="114"/>
  <c r="AF19" i="114" s="1"/>
  <c r="M17" i="100"/>
  <c r="AC20" i="119"/>
  <c r="AQ17" i="72" s="1"/>
  <c r="AD69" i="151"/>
  <c r="AF69" i="151" s="1"/>
  <c r="AE68" i="76"/>
  <c r="AG68" i="76" s="1"/>
  <c r="AD59" i="116"/>
  <c r="AF59" i="116" s="1"/>
  <c r="AD49" i="128"/>
  <c r="AF49" i="128" s="1"/>
  <c r="AD61" i="153"/>
  <c r="AF61" i="153" s="1"/>
  <c r="AD54" i="129"/>
  <c r="AF54" i="129" s="1"/>
  <c r="AD28" i="149"/>
  <c r="AF28" i="149" s="1"/>
  <c r="AE69" i="76"/>
  <c r="AG69" i="76" s="1"/>
  <c r="AD38" i="145"/>
  <c r="AF38" i="145" s="1"/>
  <c r="AD38" i="117"/>
  <c r="AF38" i="117" s="1"/>
  <c r="AD67" i="115"/>
  <c r="AF67" i="115" s="1"/>
  <c r="AD32" i="115"/>
  <c r="AF32" i="115" s="1"/>
  <c r="AD53" i="117"/>
  <c r="AF53" i="117" s="1"/>
  <c r="AD25" i="151"/>
  <c r="AF25" i="151" s="1"/>
  <c r="AD59" i="152"/>
  <c r="AF59" i="152" s="1"/>
  <c r="AD50" i="119"/>
  <c r="AF50" i="119" s="1"/>
  <c r="AD41" i="131"/>
  <c r="AF41" i="131" s="1"/>
  <c r="AD33" i="113"/>
  <c r="AF33" i="113" s="1"/>
  <c r="AD30" i="148"/>
  <c r="AF30" i="148" s="1"/>
  <c r="AD11" i="144"/>
  <c r="AF11" i="144" s="1"/>
  <c r="AD65" i="148"/>
  <c r="AF65" i="148" s="1"/>
  <c r="AD70" i="127"/>
  <c r="AF70" i="127" s="1"/>
  <c r="M41" i="100"/>
  <c r="AC44" i="119"/>
  <c r="AD49" i="153"/>
  <c r="AF49" i="153" s="1"/>
  <c r="AD16" i="145"/>
  <c r="AF16" i="145" s="1"/>
  <c r="AD18" i="153"/>
  <c r="AF18" i="153" s="1"/>
  <c r="AD21" i="127"/>
  <c r="AF21" i="127" s="1"/>
  <c r="AD34" i="114"/>
  <c r="AF34" i="114" s="1"/>
  <c r="AD67" i="119"/>
  <c r="AF67" i="119" s="1"/>
  <c r="AD21" i="119"/>
  <c r="AF21" i="119" s="1"/>
  <c r="AD62" i="147"/>
  <c r="AF62" i="147" s="1"/>
  <c r="AD24" i="148"/>
  <c r="AF24" i="148" s="1"/>
  <c r="AG42" i="100"/>
  <c r="AD64" i="152"/>
  <c r="AF64" i="152" s="1"/>
  <c r="AA48" i="152"/>
  <c r="AE26" i="76"/>
  <c r="AG26" i="76" s="1"/>
  <c r="AD24" i="115"/>
  <c r="AF24" i="115" s="1"/>
  <c r="AE38" i="80"/>
  <c r="AG38" i="80" s="1"/>
  <c r="AD32" i="153"/>
  <c r="AF32" i="153" s="1"/>
  <c r="AE44" i="80"/>
  <c r="AG44" i="80" s="1"/>
  <c r="AD53" i="127"/>
  <c r="AF53" i="127" s="1"/>
  <c r="AD37" i="129"/>
  <c r="AF37" i="129" s="1"/>
  <c r="AD22" i="147"/>
  <c r="AF22" i="147" s="1"/>
  <c r="AE21" i="76"/>
  <c r="AG21" i="76" s="1"/>
  <c r="AD13" i="127"/>
  <c r="AF13" i="127" s="1"/>
  <c r="AE54" i="80"/>
  <c r="AG54" i="80" s="1"/>
  <c r="AD39" i="129"/>
  <c r="AF39" i="129" s="1"/>
  <c r="AD45" i="145"/>
  <c r="AF45" i="145" s="1"/>
  <c r="AD18" i="148"/>
  <c r="AF18" i="148" s="1"/>
  <c r="AA48" i="145"/>
  <c r="AA48" i="148"/>
  <c r="AA48" i="114"/>
  <c r="AA48" i="120"/>
  <c r="AA48" i="128"/>
  <c r="AD49" i="114"/>
  <c r="AF49" i="114" s="1"/>
  <c r="AD60" i="114"/>
  <c r="AF60" i="114" s="1"/>
  <c r="AD68" i="147"/>
  <c r="AF68" i="147" s="1"/>
  <c r="AE20" i="76"/>
  <c r="AG20" i="76" s="1"/>
  <c r="AD52" i="147"/>
  <c r="AF52" i="147" s="1"/>
  <c r="AD52" i="117"/>
  <c r="AF52" i="117" s="1"/>
  <c r="AD34" i="129"/>
  <c r="AF34" i="129" s="1"/>
  <c r="AD34" i="116"/>
  <c r="AF34" i="116" s="1"/>
  <c r="AD37" i="131"/>
  <c r="AF37" i="131" s="1"/>
  <c r="AD22" i="149"/>
  <c r="AF22" i="149" s="1"/>
  <c r="AD50" i="151"/>
  <c r="AF50" i="151" s="1"/>
  <c r="AD46" i="148"/>
  <c r="AF46" i="148" s="1"/>
  <c r="AD46" i="129"/>
  <c r="AF46" i="129" s="1"/>
  <c r="AE28" i="76"/>
  <c r="AG28" i="76" s="1"/>
  <c r="AD64" i="149"/>
  <c r="AF64" i="149" s="1"/>
  <c r="AD64" i="116"/>
  <c r="AF64" i="116" s="1"/>
  <c r="AD26" i="152"/>
  <c r="AF26" i="152" s="1"/>
  <c r="AE15" i="80"/>
  <c r="AG15" i="80" s="1"/>
  <c r="AD60" i="125"/>
  <c r="AF60" i="125" s="1"/>
  <c r="AD68" i="114"/>
  <c r="AF68" i="114" s="1"/>
  <c r="AD61" i="151"/>
  <c r="AF61" i="151" s="1"/>
  <c r="AD32" i="149"/>
  <c r="AF32" i="149" s="1"/>
  <c r="AD17" i="149"/>
  <c r="AF17" i="149" s="1"/>
  <c r="AD17" i="117"/>
  <c r="AF17" i="117" s="1"/>
  <c r="AD73" i="153"/>
  <c r="AF73" i="153" s="1"/>
  <c r="AG19" i="100"/>
  <c r="AG47" i="100"/>
  <c r="AG22" i="100"/>
  <c r="AA48" i="153"/>
  <c r="AA48" i="144"/>
  <c r="AA48" i="119"/>
  <c r="AB48" i="119" s="1"/>
  <c r="AA48" i="131"/>
  <c r="AA48" i="125"/>
  <c r="AA48" i="129"/>
  <c r="AD10" i="148"/>
  <c r="AF10" i="148" s="1"/>
  <c r="AD69" i="117"/>
  <c r="AF69" i="117" s="1"/>
  <c r="AD13" i="129"/>
  <c r="AF13" i="129" s="1"/>
  <c r="AG57" i="100"/>
  <c r="AG15" i="100"/>
  <c r="AD52" i="116"/>
  <c r="AF52" i="116" s="1"/>
  <c r="AM70" i="72"/>
  <c r="AD73" i="115"/>
  <c r="AF73" i="115" s="1"/>
  <c r="BC26" i="72"/>
  <c r="AD29" i="148"/>
  <c r="AF29" i="148" s="1"/>
  <c r="BB61" i="72"/>
  <c r="AD64" i="147"/>
  <c r="AF64" i="147" s="1"/>
  <c r="AD70" i="117"/>
  <c r="AF70" i="117" s="1"/>
  <c r="AF67" i="100"/>
  <c r="AD16" i="131"/>
  <c r="AF16" i="131" s="1"/>
  <c r="AD61" i="149"/>
  <c r="AF61" i="149" s="1"/>
  <c r="AG14" i="100"/>
  <c r="AD45" i="115"/>
  <c r="AF45" i="115" s="1"/>
  <c r="AD46" i="146"/>
  <c r="AF46" i="146" s="1"/>
  <c r="AG61" i="100"/>
  <c r="AD9" i="148"/>
  <c r="AF9" i="148" s="1"/>
  <c r="AD25" i="152"/>
  <c r="AF25" i="152" s="1"/>
  <c r="AD19" i="144"/>
  <c r="AF19" i="144" s="1"/>
  <c r="AD12" i="113"/>
  <c r="AF12" i="113" s="1"/>
  <c r="AG62" i="100"/>
  <c r="AG23" i="100"/>
  <c r="AF46" i="100"/>
  <c r="AG46" i="100"/>
  <c r="AW70" i="72"/>
  <c r="AD73" i="129"/>
  <c r="AF73" i="129" s="1"/>
  <c r="BA20" i="72"/>
  <c r="AD23" i="146"/>
  <c r="AF23" i="146" s="1"/>
  <c r="AS61" i="72"/>
  <c r="AD64" i="125"/>
  <c r="AF64" i="125" s="1"/>
  <c r="AF15" i="100"/>
  <c r="AF61" i="100"/>
  <c r="AF51" i="100"/>
  <c r="AG64" i="100"/>
  <c r="AF58" i="100"/>
  <c r="AF64" i="100"/>
  <c r="AF25" i="100"/>
  <c r="AE31" i="80"/>
  <c r="AG31" i="80" s="1"/>
  <c r="AD45" i="128"/>
  <c r="AF45" i="128" s="1"/>
  <c r="AD74" i="119"/>
  <c r="AF74" i="119" s="1"/>
  <c r="AD10" i="153"/>
  <c r="AF10" i="153" s="1"/>
  <c r="AE40" i="80"/>
  <c r="AG40" i="80" s="1"/>
  <c r="AD41" i="147"/>
  <c r="AF41" i="147" s="1"/>
  <c r="AD38" i="151"/>
  <c r="AF38" i="151" s="1"/>
  <c r="AD38" i="153"/>
  <c r="AF38" i="153" s="1"/>
  <c r="AD38" i="144"/>
  <c r="AF38" i="144" s="1"/>
  <c r="AG26" i="100"/>
  <c r="AD9" i="152"/>
  <c r="AF9" i="152" s="1"/>
  <c r="AF22" i="100"/>
  <c r="AD59" i="151"/>
  <c r="AF59" i="151" s="1"/>
  <c r="AD19" i="147"/>
  <c r="AF19" i="147" s="1"/>
  <c r="AD67" i="148"/>
  <c r="AF67" i="148" s="1"/>
  <c r="AD10" i="129"/>
  <c r="AF10" i="129" s="1"/>
  <c r="AD69" i="147"/>
  <c r="AF69" i="147" s="1"/>
  <c r="AD69" i="127"/>
  <c r="AF69" i="127" s="1"/>
  <c r="AG67" i="100"/>
  <c r="AG27" i="100"/>
  <c r="AD26" i="148"/>
  <c r="AF26" i="148" s="1"/>
  <c r="AD26" i="117"/>
  <c r="AF26" i="117" s="1"/>
  <c r="AF23" i="100"/>
  <c r="AD21" i="129"/>
  <c r="AF21" i="129" s="1"/>
  <c r="AD55" i="152"/>
  <c r="AF55" i="152" s="1"/>
  <c r="AE16" i="76"/>
  <c r="AG16" i="76" s="1"/>
  <c r="AD31" i="127"/>
  <c r="AF31" i="127" s="1"/>
  <c r="AD46" i="149"/>
  <c r="AF46" i="149" s="1"/>
  <c r="AD46" i="127"/>
  <c r="AF46" i="127" s="1"/>
  <c r="AD29" i="153"/>
  <c r="AF29" i="153" s="1"/>
  <c r="AE35" i="80"/>
  <c r="AG35" i="80" s="1"/>
  <c r="AD30" i="145"/>
  <c r="AF30" i="145" s="1"/>
  <c r="AD30" i="117"/>
  <c r="AF30" i="117" s="1"/>
  <c r="AD16" i="148"/>
  <c r="AF16" i="148" s="1"/>
  <c r="AF57" i="100"/>
  <c r="AD21" i="145"/>
  <c r="AF21" i="145" s="1"/>
  <c r="AD61" i="146"/>
  <c r="AF61" i="146" s="1"/>
  <c r="AD66" i="151"/>
  <c r="AF66" i="151" s="1"/>
  <c r="AF14" i="100"/>
  <c r="AD53" i="147"/>
  <c r="AF53" i="147" s="1"/>
  <c r="AD53" i="128"/>
  <c r="AF53" i="128" s="1"/>
  <c r="AD22" i="148"/>
  <c r="AF22" i="148" s="1"/>
  <c r="AD31" i="148"/>
  <c r="AF31" i="148" s="1"/>
  <c r="AD46" i="153"/>
  <c r="AF46" i="153" s="1"/>
  <c r="AD46" i="128"/>
  <c r="AF46" i="128" s="1"/>
  <c r="AD23" i="115"/>
  <c r="AF23" i="115" s="1"/>
  <c r="AG38" i="100"/>
  <c r="AF7" i="100"/>
  <c r="AD30" i="147"/>
  <c r="AF30" i="147" s="1"/>
  <c r="AD74" i="151"/>
  <c r="AF74" i="151" s="1"/>
  <c r="AD49" i="151"/>
  <c r="AF49" i="151" s="1"/>
  <c r="AD60" i="145"/>
  <c r="AF60" i="145" s="1"/>
  <c r="AD68" i="115"/>
  <c r="AF68" i="115" s="1"/>
  <c r="AD66" i="119"/>
  <c r="AF66" i="119" s="1"/>
  <c r="AF28" i="100"/>
  <c r="AD71" i="116"/>
  <c r="AF71" i="116" s="1"/>
  <c r="AG25" i="100"/>
  <c r="AD36" i="131"/>
  <c r="AF36" i="131" s="1"/>
  <c r="AD41" i="129"/>
  <c r="AF41" i="129" s="1"/>
  <c r="AD38" i="152"/>
  <c r="AF38" i="152" s="1"/>
  <c r="AD20" i="119"/>
  <c r="AF20" i="119" s="1"/>
  <c r="AD75" i="119"/>
  <c r="AF75" i="119" s="1"/>
  <c r="AD74" i="144"/>
  <c r="AF74" i="144" s="1"/>
  <c r="AE65" i="76"/>
  <c r="AG65" i="76" s="1"/>
  <c r="AD66" i="127"/>
  <c r="AF66" i="127" s="1"/>
  <c r="AD24" i="119"/>
  <c r="AF24" i="119" s="1"/>
  <c r="AD39" i="148"/>
  <c r="AF39" i="148" s="1"/>
  <c r="AD31" i="114"/>
  <c r="AF31" i="114" s="1"/>
  <c r="AD31" i="129"/>
  <c r="AF31" i="129" s="1"/>
  <c r="AD25" i="145"/>
  <c r="AF25" i="145" s="1"/>
  <c r="AD65" i="147"/>
  <c r="AF65" i="147" s="1"/>
  <c r="AD52" i="125"/>
  <c r="AF52" i="125" s="1"/>
  <c r="AD55" i="127"/>
  <c r="AF55" i="127" s="1"/>
  <c r="AD56" i="145"/>
  <c r="AF56" i="145" s="1"/>
  <c r="AD56" i="117"/>
  <c r="AF56" i="117" s="1"/>
  <c r="AD29" i="118"/>
  <c r="AF29" i="118" s="1"/>
  <c r="AD9" i="147"/>
  <c r="AF9" i="147" s="1"/>
  <c r="AD59" i="153"/>
  <c r="AF59" i="153" s="1"/>
  <c r="AE13" i="76"/>
  <c r="AG13" i="76" s="1"/>
  <c r="AD26" i="146"/>
  <c r="AF26" i="146" s="1"/>
  <c r="AD24" i="153"/>
  <c r="AF24" i="153" s="1"/>
  <c r="AD56" i="149"/>
  <c r="AF56" i="149" s="1"/>
  <c r="AD46" i="152"/>
  <c r="AF46" i="152" s="1"/>
  <c r="AC57" i="144"/>
  <c r="AY54" i="72" s="1"/>
  <c r="U54" i="100"/>
  <c r="AD57" i="144"/>
  <c r="AF57" i="144" s="1"/>
  <c r="AC57" i="153"/>
  <c r="BG54" i="72" s="1"/>
  <c r="AC54" i="100"/>
  <c r="AC57" i="152"/>
  <c r="BF54" i="72" s="1"/>
  <c r="AB54" i="100"/>
  <c r="AD57" i="152"/>
  <c r="AF57" i="152" s="1"/>
  <c r="AC71" i="125"/>
  <c r="AS68" i="72" s="1"/>
  <c r="O68" i="100"/>
  <c r="AD71" i="125"/>
  <c r="AF71" i="125" s="1"/>
  <c r="AC71" i="117"/>
  <c r="AO68" i="72" s="1"/>
  <c r="K68" i="100"/>
  <c r="AD71" i="117"/>
  <c r="AF71" i="117" s="1"/>
  <c r="H68" i="100"/>
  <c r="AC71" i="114"/>
  <c r="AL68" i="72" s="1"/>
  <c r="AC20" i="146"/>
  <c r="BA17" i="72" s="1"/>
  <c r="W17" i="100"/>
  <c r="AC20" i="147"/>
  <c r="BB17" i="72" s="1"/>
  <c r="X17" i="100"/>
  <c r="AD20" i="147"/>
  <c r="AF20" i="147" s="1"/>
  <c r="AC20" i="115"/>
  <c r="AM17" i="72" s="1"/>
  <c r="I17" i="100"/>
  <c r="AD20" i="115"/>
  <c r="AF20" i="115" s="1"/>
  <c r="AC8" i="125"/>
  <c r="AS5" i="72" s="1"/>
  <c r="O5" i="100"/>
  <c r="AC8" i="131"/>
  <c r="AX5" i="72" s="1"/>
  <c r="T5" i="100"/>
  <c r="AD8" i="131"/>
  <c r="AF8" i="131" s="1"/>
  <c r="Q40" i="100"/>
  <c r="AC43" i="127"/>
  <c r="AU40" i="72" s="1"/>
  <c r="K40" i="100"/>
  <c r="AC43" i="117"/>
  <c r="AC12" i="146"/>
  <c r="BA9" i="72" s="1"/>
  <c r="W9" i="100"/>
  <c r="AD12" i="146"/>
  <c r="AF12" i="146" s="1"/>
  <c r="AC12" i="147"/>
  <c r="BB9" i="72" s="1"/>
  <c r="X9" i="100"/>
  <c r="AD12" i="147"/>
  <c r="AF12" i="147" s="1"/>
  <c r="AC12" i="115"/>
  <c r="AM9" i="72" s="1"/>
  <c r="I9" i="100"/>
  <c r="Q55" i="100"/>
  <c r="AC58" i="127"/>
  <c r="AU55" i="72" s="1"/>
  <c r="AC58" i="126"/>
  <c r="AT55" i="72" s="1"/>
  <c r="P55" i="100"/>
  <c r="AD58" i="126"/>
  <c r="AF58" i="126" s="1"/>
  <c r="AD55" i="100"/>
  <c r="AD57" i="76"/>
  <c r="BH55" i="72" s="1"/>
  <c r="AC58" i="148"/>
  <c r="BC55" i="72" s="1"/>
  <c r="Y55" i="100"/>
  <c r="AD58" i="148"/>
  <c r="AF58" i="148" s="1"/>
  <c r="AC58" i="145"/>
  <c r="AZ55" i="72" s="1"/>
  <c r="V55" i="100"/>
  <c r="AC14" i="147"/>
  <c r="BB11" i="72" s="1"/>
  <c r="X11" i="100"/>
  <c r="AD14" i="147"/>
  <c r="AF14" i="147" s="1"/>
  <c r="AC14" i="151"/>
  <c r="BE11" i="72" s="1"/>
  <c r="AA11" i="100"/>
  <c r="AD14" i="151"/>
  <c r="AF14" i="151" s="1"/>
  <c r="R12" i="100"/>
  <c r="AC15" i="128"/>
  <c r="AC47" i="131"/>
  <c r="AX44" i="72" s="1"/>
  <c r="T44" i="100"/>
  <c r="H44" i="100"/>
  <c r="AC47" i="114"/>
  <c r="AC47" i="151"/>
  <c r="BE44" i="72" s="1"/>
  <c r="AA44" i="100"/>
  <c r="M60" i="100"/>
  <c r="AC63" i="119"/>
  <c r="AQ60" i="72" s="1"/>
  <c r="AD50" i="80"/>
  <c r="BI48" i="72" s="1"/>
  <c r="AE48" i="100"/>
  <c r="AE50" i="80"/>
  <c r="AG50" i="80" s="1"/>
  <c r="AC51" i="118"/>
  <c r="AP48" i="72" s="1"/>
  <c r="L48" i="100"/>
  <c r="AD51" i="118"/>
  <c r="AF51" i="118" s="1"/>
  <c r="AC51" i="148"/>
  <c r="BC48" i="72" s="1"/>
  <c r="Y48" i="100"/>
  <c r="AD51" i="148"/>
  <c r="AF51" i="148" s="1"/>
  <c r="K48" i="100"/>
  <c r="AC51" i="117"/>
  <c r="AO48" i="72" s="1"/>
  <c r="AC51" i="147"/>
  <c r="BB48" i="72" s="1"/>
  <c r="X48" i="100"/>
  <c r="AC33" i="125"/>
  <c r="AS30" i="72" s="1"/>
  <c r="O30" i="100"/>
  <c r="AD33" i="125"/>
  <c r="AF33" i="125" s="1"/>
  <c r="AC33" i="152"/>
  <c r="BF30" i="72" s="1"/>
  <c r="AB30" i="100"/>
  <c r="AD33" i="152"/>
  <c r="AF33" i="152" s="1"/>
  <c r="AC33" i="147"/>
  <c r="BB30" i="72" s="1"/>
  <c r="X30" i="100"/>
  <c r="AD33" i="147"/>
  <c r="AF33" i="147" s="1"/>
  <c r="AC11" i="120"/>
  <c r="AR8" i="72" s="1"/>
  <c r="N8" i="100"/>
  <c r="AD11" i="120"/>
  <c r="AF11" i="120" s="1"/>
  <c r="AC11" i="131"/>
  <c r="AX8" i="72" s="1"/>
  <c r="T8" i="100"/>
  <c r="AD11" i="131"/>
  <c r="AF11" i="131" s="1"/>
  <c r="S32" i="100"/>
  <c r="AC35" i="129"/>
  <c r="R32" i="100"/>
  <c r="AC35" i="128"/>
  <c r="AV32" i="72" s="1"/>
  <c r="AC35" i="146"/>
  <c r="BA32" i="72" s="1"/>
  <c r="W32" i="100"/>
  <c r="AD35" i="146"/>
  <c r="AF35" i="146" s="1"/>
  <c r="AC35" i="144"/>
  <c r="AY32" i="72" s="1"/>
  <c r="U32" i="100"/>
  <c r="AD35" i="144"/>
  <c r="AF35" i="144" s="1"/>
  <c r="AC35" i="151"/>
  <c r="BE32" i="72" s="1"/>
  <c r="AA32" i="100"/>
  <c r="AD35" i="151"/>
  <c r="AF35" i="151" s="1"/>
  <c r="AC44" i="125"/>
  <c r="AS41" i="72" s="1"/>
  <c r="O41" i="100"/>
  <c r="AD44" i="125"/>
  <c r="AF44" i="125" s="1"/>
  <c r="AC44" i="131"/>
  <c r="AX41" i="72" s="1"/>
  <c r="T41" i="100"/>
  <c r="AD44" i="131"/>
  <c r="AF44" i="131" s="1"/>
  <c r="S41" i="100"/>
  <c r="AC44" i="129"/>
  <c r="AC44" i="151"/>
  <c r="BE41" i="72" s="1"/>
  <c r="AA41" i="100"/>
  <c r="AC44" i="149"/>
  <c r="BD41" i="72" s="1"/>
  <c r="Z41" i="100"/>
  <c r="AC57" i="131"/>
  <c r="AX54" i="72" s="1"/>
  <c r="T54" i="100"/>
  <c r="AD57" i="131"/>
  <c r="AF57" i="131" s="1"/>
  <c r="Q54" i="100"/>
  <c r="AC57" i="127"/>
  <c r="AD54" i="100"/>
  <c r="AD56" i="76"/>
  <c r="AC57" i="151"/>
  <c r="BE54" i="72" s="1"/>
  <c r="AA54" i="100"/>
  <c r="AC57" i="147"/>
  <c r="BB54" i="72" s="1"/>
  <c r="X54" i="100"/>
  <c r="AC20" i="148"/>
  <c r="BC17" i="72" s="1"/>
  <c r="Y17" i="100"/>
  <c r="AD20" i="148"/>
  <c r="AF20" i="148" s="1"/>
  <c r="AC20" i="151"/>
  <c r="BE17" i="72" s="1"/>
  <c r="AA17" i="100"/>
  <c r="AD20" i="151"/>
  <c r="AF20" i="151" s="1"/>
  <c r="AC8" i="149"/>
  <c r="BD5" i="72" s="1"/>
  <c r="Z5" i="100"/>
  <c r="AC8" i="146"/>
  <c r="BA5" i="72" s="1"/>
  <c r="W5" i="100"/>
  <c r="AC8" i="115"/>
  <c r="AM5" i="72" s="1"/>
  <c r="I5" i="100"/>
  <c r="AD8" i="115"/>
  <c r="AF8" i="115" s="1"/>
  <c r="AC43" i="125"/>
  <c r="AS40" i="72" s="1"/>
  <c r="O40" i="100"/>
  <c r="AD43" i="125"/>
  <c r="AF43" i="125" s="1"/>
  <c r="AC43" i="120"/>
  <c r="AR40" i="72" s="1"/>
  <c r="N40" i="100"/>
  <c r="AD43" i="120"/>
  <c r="AF43" i="120" s="1"/>
  <c r="R40" i="100"/>
  <c r="AC43" i="128"/>
  <c r="AC43" i="152"/>
  <c r="BF40" i="72" s="1"/>
  <c r="AB40" i="100"/>
  <c r="AC43" i="148"/>
  <c r="BC40" i="72" s="1"/>
  <c r="Y40" i="100"/>
  <c r="S69" i="100"/>
  <c r="AC72" i="129"/>
  <c r="AW69" i="72" s="1"/>
  <c r="Q9" i="100"/>
  <c r="AC12" i="127"/>
  <c r="AC12" i="148"/>
  <c r="BC9" i="72" s="1"/>
  <c r="Y9" i="100"/>
  <c r="AD12" i="148"/>
  <c r="AF12" i="148" s="1"/>
  <c r="AC12" i="151"/>
  <c r="BE9" i="72" s="1"/>
  <c r="AA9" i="100"/>
  <c r="AD12" i="151"/>
  <c r="AF12" i="151" s="1"/>
  <c r="AC58" i="118"/>
  <c r="AP55" i="72" s="1"/>
  <c r="L55" i="100"/>
  <c r="AD58" i="118"/>
  <c r="AF58" i="118" s="1"/>
  <c r="AC58" i="146"/>
  <c r="BA55" i="72" s="1"/>
  <c r="W55" i="100"/>
  <c r="AC58" i="149"/>
  <c r="BD55" i="72" s="1"/>
  <c r="Z55" i="100"/>
  <c r="AD58" i="149"/>
  <c r="AF58" i="149" s="1"/>
  <c r="AC58" i="115"/>
  <c r="AM55" i="72" s="1"/>
  <c r="I55" i="100"/>
  <c r="AD58" i="115"/>
  <c r="AF58" i="115" s="1"/>
  <c r="R37" i="100"/>
  <c r="AC40" i="128"/>
  <c r="AC14" i="125"/>
  <c r="AS11" i="72" s="1"/>
  <c r="O11" i="100"/>
  <c r="S44" i="100"/>
  <c r="AC47" i="129"/>
  <c r="AW44" i="72" s="1"/>
  <c r="AC47" i="125"/>
  <c r="AS44" i="72" s="1"/>
  <c r="O44" i="100"/>
  <c r="AD47" i="125"/>
  <c r="AF47" i="125" s="1"/>
  <c r="AC47" i="120"/>
  <c r="AR44" i="72" s="1"/>
  <c r="N44" i="100"/>
  <c r="AC47" i="153"/>
  <c r="BG44" i="72" s="1"/>
  <c r="AC44" i="100"/>
  <c r="AC47" i="146"/>
  <c r="BA44" i="72" s="1"/>
  <c r="W44" i="100"/>
  <c r="S60" i="100"/>
  <c r="AC63" i="129"/>
  <c r="AW60" i="72" s="1"/>
  <c r="AC63" i="120"/>
  <c r="AR60" i="72" s="1"/>
  <c r="N60" i="100"/>
  <c r="AD63" i="120"/>
  <c r="AF63" i="120" s="1"/>
  <c r="AD62" i="80"/>
  <c r="BI60" i="72" s="1"/>
  <c r="AE60" i="100"/>
  <c r="AC63" i="147"/>
  <c r="BB60" i="72" s="1"/>
  <c r="X60" i="100"/>
  <c r="AD63" i="147"/>
  <c r="AF63" i="147" s="1"/>
  <c r="AC63" i="145"/>
  <c r="AZ60" i="72" s="1"/>
  <c r="V60" i="100"/>
  <c r="AD63" i="145"/>
  <c r="AF63" i="145" s="1"/>
  <c r="Q72" i="100"/>
  <c r="AC75" i="127"/>
  <c r="H72" i="100"/>
  <c r="AC75" i="114"/>
  <c r="AL72" i="72" s="1"/>
  <c r="AC75" i="152"/>
  <c r="BF72" i="72" s="1"/>
  <c r="AB72" i="100"/>
  <c r="AD75" i="152"/>
  <c r="AF75" i="152" s="1"/>
  <c r="AC75" i="151"/>
  <c r="BE72" i="72" s="1"/>
  <c r="AA72" i="100"/>
  <c r="AD75" i="151"/>
  <c r="AF75" i="151" s="1"/>
  <c r="S8" i="100"/>
  <c r="AC11" i="129"/>
  <c r="AW8" i="72" s="1"/>
  <c r="AC11" i="118"/>
  <c r="AP8" i="72" s="1"/>
  <c r="L8" i="100"/>
  <c r="AD11" i="118"/>
  <c r="AF11" i="118" s="1"/>
  <c r="H8" i="100"/>
  <c r="AC11" i="114"/>
  <c r="AC11" i="147"/>
  <c r="BB8" i="72" s="1"/>
  <c r="X8" i="100"/>
  <c r="AC11" i="146"/>
  <c r="BA8" i="72" s="1"/>
  <c r="W8" i="100"/>
  <c r="AD11" i="146"/>
  <c r="AF11" i="146" s="1"/>
  <c r="AC11" i="115"/>
  <c r="AM8" i="72" s="1"/>
  <c r="I8" i="100"/>
  <c r="AD11" i="115"/>
  <c r="AF11" i="115" s="1"/>
  <c r="AD32" i="100"/>
  <c r="AD34" i="76"/>
  <c r="AD34" i="80"/>
  <c r="BI32" i="72" s="1"/>
  <c r="AE32" i="100"/>
  <c r="AE34" i="80"/>
  <c r="AG34" i="80" s="1"/>
  <c r="AC35" i="125"/>
  <c r="AS32" i="72" s="1"/>
  <c r="O32" i="100"/>
  <c r="AD35" i="125"/>
  <c r="AF35" i="125" s="1"/>
  <c r="AC35" i="126"/>
  <c r="AT32" i="72" s="1"/>
  <c r="P32" i="100"/>
  <c r="AD35" i="126"/>
  <c r="AF35" i="126" s="1"/>
  <c r="K41" i="100"/>
  <c r="AC44" i="117"/>
  <c r="AC44" i="126"/>
  <c r="AT41" i="72" s="1"/>
  <c r="P41" i="100"/>
  <c r="AD44" i="126"/>
  <c r="AF44" i="126" s="1"/>
  <c r="AC44" i="148"/>
  <c r="BC41" i="72" s="1"/>
  <c r="Y41" i="100"/>
  <c r="AC44" i="147"/>
  <c r="BB41" i="72" s="1"/>
  <c r="X41" i="100"/>
  <c r="AD44" i="147"/>
  <c r="AF44" i="147" s="1"/>
  <c r="AC44" i="115"/>
  <c r="AM41" i="72" s="1"/>
  <c r="I41" i="100"/>
  <c r="AD44" i="115"/>
  <c r="AF44" i="115" s="1"/>
  <c r="R54" i="100"/>
  <c r="AC57" i="128"/>
  <c r="AV54" i="72" s="1"/>
  <c r="AC57" i="126"/>
  <c r="AT54" i="72" s="1"/>
  <c r="P54" i="100"/>
  <c r="AD57" i="126"/>
  <c r="AF57" i="126" s="1"/>
  <c r="AC57" i="125"/>
  <c r="AS54" i="72" s="1"/>
  <c r="O54" i="100"/>
  <c r="AD57" i="125"/>
  <c r="AF57" i="125" s="1"/>
  <c r="AC71" i="146"/>
  <c r="BA68" i="72" s="1"/>
  <c r="W68" i="100"/>
  <c r="AD71" i="146"/>
  <c r="AF71" i="146" s="1"/>
  <c r="AC71" i="144"/>
  <c r="AY68" i="72" s="1"/>
  <c r="U68" i="100"/>
  <c r="AD71" i="144"/>
  <c r="AF71" i="144" s="1"/>
  <c r="AC71" i="152"/>
  <c r="BF68" i="72" s="1"/>
  <c r="AB68" i="100"/>
  <c r="K17" i="100"/>
  <c r="AC20" i="117"/>
  <c r="AC20" i="126"/>
  <c r="AT17" i="72" s="1"/>
  <c r="P17" i="100"/>
  <c r="AD20" i="126"/>
  <c r="AF20" i="126" s="1"/>
  <c r="M5" i="100"/>
  <c r="AC8" i="119"/>
  <c r="AC8" i="145"/>
  <c r="AZ5" i="72" s="1"/>
  <c r="V5" i="100"/>
  <c r="AD8" i="145"/>
  <c r="AF8" i="145" s="1"/>
  <c r="AC8" i="148"/>
  <c r="BC5" i="72" s="1"/>
  <c r="Y5" i="100"/>
  <c r="S40" i="100"/>
  <c r="AC43" i="129"/>
  <c r="AW40" i="72" s="1"/>
  <c r="AC43" i="147"/>
  <c r="BB40" i="72" s="1"/>
  <c r="X40" i="100"/>
  <c r="AC43" i="144"/>
  <c r="AY40" i="72" s="1"/>
  <c r="U40" i="100"/>
  <c r="AD43" i="144"/>
  <c r="AF43" i="144" s="1"/>
  <c r="AC43" i="151"/>
  <c r="BE40" i="72" s="1"/>
  <c r="AA40" i="100"/>
  <c r="AC72" i="126"/>
  <c r="AT69" i="72" s="1"/>
  <c r="P69" i="100"/>
  <c r="AD72" i="126"/>
  <c r="AF72" i="126" s="1"/>
  <c r="Q69" i="100"/>
  <c r="AC72" i="127"/>
  <c r="K69" i="100"/>
  <c r="AC72" i="117"/>
  <c r="AC72" i="151"/>
  <c r="BE69" i="72" s="1"/>
  <c r="AA69" i="100"/>
  <c r="AD72" i="151"/>
  <c r="AF72" i="151" s="1"/>
  <c r="K9" i="100"/>
  <c r="AC12" i="117"/>
  <c r="S9" i="100"/>
  <c r="AC12" i="129"/>
  <c r="AC12" i="120"/>
  <c r="AR9" i="72" s="1"/>
  <c r="N9" i="100"/>
  <c r="AD12" i="120"/>
  <c r="AF12" i="120" s="1"/>
  <c r="S37" i="100"/>
  <c r="AC40" i="129"/>
  <c r="K37" i="100"/>
  <c r="AC40" i="117"/>
  <c r="AD37" i="100"/>
  <c r="AD39" i="76"/>
  <c r="BH37" i="72" s="1"/>
  <c r="AC40" i="144"/>
  <c r="AY37" i="72" s="1"/>
  <c r="U37" i="100"/>
  <c r="AD40" i="144"/>
  <c r="AF40" i="144" s="1"/>
  <c r="AC40" i="153"/>
  <c r="BG37" i="72" s="1"/>
  <c r="AC37" i="100"/>
  <c r="AD40" i="153"/>
  <c r="AF40" i="153" s="1"/>
  <c r="AC40" i="151"/>
  <c r="BE37" i="72" s="1"/>
  <c r="AA37" i="100"/>
  <c r="Q11" i="100"/>
  <c r="AC14" i="127"/>
  <c r="AC14" i="118"/>
  <c r="AP11" i="72" s="1"/>
  <c r="L11" i="100"/>
  <c r="AD14" i="118"/>
  <c r="AF14" i="118" s="1"/>
  <c r="H12" i="100"/>
  <c r="AC15" i="114"/>
  <c r="AL12" i="72" s="1"/>
  <c r="AC15" i="146"/>
  <c r="BA12" i="72" s="1"/>
  <c r="W12" i="100"/>
  <c r="AD15" i="146"/>
  <c r="AF15" i="146" s="1"/>
  <c r="AC15" i="149"/>
  <c r="BD12" i="72" s="1"/>
  <c r="Z12" i="100"/>
  <c r="AC15" i="115"/>
  <c r="AM12" i="72" s="1"/>
  <c r="I12" i="100"/>
  <c r="AD15" i="115"/>
  <c r="AF15" i="115" s="1"/>
  <c r="AC63" i="118"/>
  <c r="AP60" i="72" s="1"/>
  <c r="L60" i="100"/>
  <c r="AD63" i="118"/>
  <c r="AF63" i="118" s="1"/>
  <c r="AC63" i="131"/>
  <c r="AX60" i="72" s="1"/>
  <c r="T60" i="100"/>
  <c r="AD63" i="131"/>
  <c r="AF63" i="131" s="1"/>
  <c r="AD60" i="100"/>
  <c r="AD62" i="76"/>
  <c r="AC63" i="148"/>
  <c r="BC60" i="72" s="1"/>
  <c r="Y60" i="100"/>
  <c r="AC63" i="144"/>
  <c r="AY60" i="72" s="1"/>
  <c r="U60" i="100"/>
  <c r="AD63" i="144"/>
  <c r="AF63" i="144" s="1"/>
  <c r="AC63" i="152"/>
  <c r="BF60" i="72" s="1"/>
  <c r="AB60" i="100"/>
  <c r="Q48" i="100"/>
  <c r="AC51" i="127"/>
  <c r="AU48" i="72" s="1"/>
  <c r="AD74" i="80"/>
  <c r="BI72" i="72" s="1"/>
  <c r="AE72" i="100"/>
  <c r="AE74" i="80"/>
  <c r="AG74" i="80" s="1"/>
  <c r="AD72" i="100"/>
  <c r="AD74" i="76"/>
  <c r="AC75" i="148"/>
  <c r="BC72" i="72" s="1"/>
  <c r="Y72" i="100"/>
  <c r="AC75" i="153"/>
  <c r="BG72" i="72" s="1"/>
  <c r="AC72" i="100"/>
  <c r="AD75" i="153"/>
  <c r="AF75" i="153" s="1"/>
  <c r="AD32" i="80"/>
  <c r="BI30" i="72" s="1"/>
  <c r="AE30" i="100"/>
  <c r="Q30" i="100"/>
  <c r="AC33" i="127"/>
  <c r="AU30" i="72" s="1"/>
  <c r="AD30" i="100"/>
  <c r="AD32" i="76"/>
  <c r="AC11" i="149"/>
  <c r="BD8" i="72" s="1"/>
  <c r="Z8" i="100"/>
  <c r="AD11" i="149"/>
  <c r="AF11" i="149" s="1"/>
  <c r="AC11" i="145"/>
  <c r="AZ8" i="72" s="1"/>
  <c r="V8" i="100"/>
  <c r="S68" i="100"/>
  <c r="AC71" i="129"/>
  <c r="AW68" i="72" s="1"/>
  <c r="AD68" i="100"/>
  <c r="AD70" i="76"/>
  <c r="AC71" i="118"/>
  <c r="AP68" i="72" s="1"/>
  <c r="L68" i="100"/>
  <c r="AD71" i="118"/>
  <c r="AF71" i="118" s="1"/>
  <c r="AC71" i="148"/>
  <c r="BC68" i="72" s="1"/>
  <c r="Y68" i="100"/>
  <c r="AD71" i="148"/>
  <c r="AF71" i="148" s="1"/>
  <c r="AC71" i="145"/>
  <c r="AZ68" i="72" s="1"/>
  <c r="V68" i="100"/>
  <c r="AC20" i="125"/>
  <c r="AS17" i="72" s="1"/>
  <c r="O17" i="100"/>
  <c r="AD20" i="125"/>
  <c r="AF20" i="125" s="1"/>
  <c r="AC20" i="131"/>
  <c r="AX17" i="72" s="1"/>
  <c r="T17" i="100"/>
  <c r="S17" i="100"/>
  <c r="AC20" i="129"/>
  <c r="AD7" i="80"/>
  <c r="BI5" i="72" s="1"/>
  <c r="AE5" i="100"/>
  <c r="AC8" i="118"/>
  <c r="AP5" i="72" s="1"/>
  <c r="L5" i="100"/>
  <c r="AD8" i="118"/>
  <c r="AF8" i="118" s="1"/>
  <c r="H5" i="100"/>
  <c r="AC8" i="114"/>
  <c r="AC72" i="144"/>
  <c r="AY69" i="72" s="1"/>
  <c r="U69" i="100"/>
  <c r="AC72" i="153"/>
  <c r="BG69" i="72" s="1"/>
  <c r="AC69" i="100"/>
  <c r="AD72" i="153"/>
  <c r="AF72" i="153" s="1"/>
  <c r="AC72" i="152"/>
  <c r="BF69" i="72" s="1"/>
  <c r="AB69" i="100"/>
  <c r="AD72" i="152"/>
  <c r="AF72" i="152" s="1"/>
  <c r="AC12" i="125"/>
  <c r="AS9" i="72" s="1"/>
  <c r="O9" i="100"/>
  <c r="AD12" i="125"/>
  <c r="AF12" i="125" s="1"/>
  <c r="AC12" i="131"/>
  <c r="AX9" i="72" s="1"/>
  <c r="T9" i="100"/>
  <c r="J55" i="100"/>
  <c r="AC58" i="116"/>
  <c r="AC58" i="125"/>
  <c r="AS55" i="72" s="1"/>
  <c r="O55" i="100"/>
  <c r="AD58" i="125"/>
  <c r="AF58" i="125" s="1"/>
  <c r="AC40" i="125"/>
  <c r="AS37" i="72" s="1"/>
  <c r="O37" i="100"/>
  <c r="AD40" i="125"/>
  <c r="AF40" i="125" s="1"/>
  <c r="AC40" i="131"/>
  <c r="AX37" i="72" s="1"/>
  <c r="T37" i="100"/>
  <c r="AD40" i="131"/>
  <c r="AF40" i="131" s="1"/>
  <c r="AC40" i="145"/>
  <c r="AZ37" i="72" s="1"/>
  <c r="V37" i="100"/>
  <c r="AD40" i="145"/>
  <c r="AF40" i="145" s="1"/>
  <c r="AC40" i="149"/>
  <c r="BD37" i="72" s="1"/>
  <c r="Z37" i="100"/>
  <c r="H11" i="100"/>
  <c r="AC14" i="114"/>
  <c r="AC14" i="152"/>
  <c r="BF11" i="72" s="1"/>
  <c r="AB11" i="100"/>
  <c r="AC14" i="153"/>
  <c r="BG11" i="72" s="1"/>
  <c r="AC11" i="100"/>
  <c r="AC15" i="118"/>
  <c r="AP12" i="72" s="1"/>
  <c r="L12" i="100"/>
  <c r="AD15" i="118"/>
  <c r="AF15" i="118" s="1"/>
  <c r="AC15" i="125"/>
  <c r="AS12" i="72" s="1"/>
  <c r="O12" i="100"/>
  <c r="AD15" i="125"/>
  <c r="AF15" i="125" s="1"/>
  <c r="AC15" i="151"/>
  <c r="BE12" i="72" s="1"/>
  <c r="AA12" i="100"/>
  <c r="AC15" i="147"/>
  <c r="BB12" i="72" s="1"/>
  <c r="X12" i="100"/>
  <c r="AD15" i="147"/>
  <c r="AF15" i="147" s="1"/>
  <c r="AC47" i="115"/>
  <c r="AM44" i="72" s="1"/>
  <c r="I44" i="100"/>
  <c r="AD47" i="115"/>
  <c r="AF47" i="115" s="1"/>
  <c r="AC51" i="126"/>
  <c r="AT48" i="72" s="1"/>
  <c r="P48" i="100"/>
  <c r="AD51" i="126"/>
  <c r="AF51" i="126" s="1"/>
  <c r="J48" i="100"/>
  <c r="AC51" i="116"/>
  <c r="AC51" i="125"/>
  <c r="AS48" i="72" s="1"/>
  <c r="O48" i="100"/>
  <c r="AD51" i="125"/>
  <c r="AF51" i="125" s="1"/>
  <c r="AC51" i="146"/>
  <c r="BA48" i="72" s="1"/>
  <c r="W48" i="100"/>
  <c r="AD51" i="146"/>
  <c r="AF51" i="146" s="1"/>
  <c r="AC51" i="144"/>
  <c r="AY48" i="72" s="1"/>
  <c r="U48" i="100"/>
  <c r="AD51" i="144"/>
  <c r="AF51" i="144" s="1"/>
  <c r="AC51" i="152"/>
  <c r="BF48" i="72" s="1"/>
  <c r="AB48" i="100"/>
  <c r="J72" i="100"/>
  <c r="AC75" i="116"/>
  <c r="AC75" i="131"/>
  <c r="AX72" i="72" s="1"/>
  <c r="T72" i="100"/>
  <c r="AD75" i="131"/>
  <c r="AF75" i="131" s="1"/>
  <c r="AC33" i="118"/>
  <c r="AP30" i="72" s="1"/>
  <c r="L30" i="100"/>
  <c r="AD33" i="118"/>
  <c r="AF33" i="118" s="1"/>
  <c r="K30" i="100"/>
  <c r="AC33" i="117"/>
  <c r="R30" i="100"/>
  <c r="AC33" i="128"/>
  <c r="AC33" i="146"/>
  <c r="BA30" i="72" s="1"/>
  <c r="W30" i="100"/>
  <c r="AD33" i="146"/>
  <c r="AF33" i="146" s="1"/>
  <c r="AC33" i="145"/>
  <c r="AZ30" i="72" s="1"/>
  <c r="V30" i="100"/>
  <c r="AD33" i="145"/>
  <c r="AF33" i="145" s="1"/>
  <c r="AC33" i="115"/>
  <c r="AM30" i="72" s="1"/>
  <c r="I30" i="100"/>
  <c r="M32" i="100"/>
  <c r="AC35" i="119"/>
  <c r="AL17" i="46"/>
  <c r="AI20" i="72"/>
  <c r="AI73" i="72" s="1"/>
  <c r="AH69" i="149"/>
  <c r="AI69" i="149" s="1"/>
  <c r="AJ69" i="149"/>
  <c r="AH69" i="151"/>
  <c r="AI69" i="151" s="1"/>
  <c r="AJ69" i="151"/>
  <c r="AI68" i="76"/>
  <c r="AJ68" i="76" s="1"/>
  <c r="AK68" i="76"/>
  <c r="AH70" i="117"/>
  <c r="AI70" i="117" s="1"/>
  <c r="AJ70" i="117"/>
  <c r="AD27" i="114"/>
  <c r="AF27" i="114" s="1"/>
  <c r="AL24" i="72"/>
  <c r="AH26" i="144"/>
  <c r="AI26" i="144" s="1"/>
  <c r="AJ26" i="144"/>
  <c r="AI48" i="80"/>
  <c r="AJ48" i="80" s="1"/>
  <c r="AK48" i="80"/>
  <c r="AH16" i="125"/>
  <c r="AI16" i="125" s="1"/>
  <c r="AJ16" i="125"/>
  <c r="AH21" i="118"/>
  <c r="AI21" i="118" s="1"/>
  <c r="AJ21" i="118"/>
  <c r="AH61" i="149"/>
  <c r="AI61" i="149" s="1"/>
  <c r="AJ61" i="149"/>
  <c r="AD41" i="100"/>
  <c r="AD43" i="76"/>
  <c r="M54" i="100"/>
  <c r="AC57" i="119"/>
  <c r="AC57" i="149"/>
  <c r="BD54" i="72" s="1"/>
  <c r="Z54" i="100"/>
  <c r="AC57" i="115"/>
  <c r="AM54" i="72" s="1"/>
  <c r="I54" i="100"/>
  <c r="AD57" i="115"/>
  <c r="AF57" i="115" s="1"/>
  <c r="AH62" i="115"/>
  <c r="AI62" i="115" s="1"/>
  <c r="AJ62" i="115"/>
  <c r="AH62" i="147"/>
  <c r="AI62" i="147" s="1"/>
  <c r="AJ62" i="147"/>
  <c r="AD24" i="151"/>
  <c r="AF24" i="151" s="1"/>
  <c r="AH24" i="148"/>
  <c r="AI24" i="148" s="1"/>
  <c r="AJ24" i="148"/>
  <c r="AH17" i="152"/>
  <c r="AI17" i="152" s="1"/>
  <c r="AJ17" i="152"/>
  <c r="AD37" i="127"/>
  <c r="AF37" i="127" s="1"/>
  <c r="AU34" i="72"/>
  <c r="AH45" i="147"/>
  <c r="AI45" i="147" s="1"/>
  <c r="AJ45" i="147"/>
  <c r="AH50" i="114"/>
  <c r="AI50" i="114" s="1"/>
  <c r="AJ50" i="114"/>
  <c r="AH23" i="131"/>
  <c r="AI23" i="131" s="1"/>
  <c r="AJ23" i="131"/>
  <c r="AH64" i="152"/>
  <c r="AI64" i="152" s="1"/>
  <c r="AJ64" i="152"/>
  <c r="AH9" i="145"/>
  <c r="AI9" i="145" s="1"/>
  <c r="AJ9" i="145"/>
  <c r="AH9" i="148"/>
  <c r="AI9" i="148" s="1"/>
  <c r="AJ9" i="148"/>
  <c r="M68" i="100"/>
  <c r="AC71" i="119"/>
  <c r="AC71" i="147"/>
  <c r="BB68" i="72" s="1"/>
  <c r="X68" i="100"/>
  <c r="AD71" i="147"/>
  <c r="AF71" i="147" s="1"/>
  <c r="AC71" i="115"/>
  <c r="AM68" i="72" s="1"/>
  <c r="I68" i="100"/>
  <c r="AD71" i="115"/>
  <c r="AF71" i="115" s="1"/>
  <c r="AH59" i="116"/>
  <c r="AI59" i="116" s="1"/>
  <c r="AJ59" i="116"/>
  <c r="AH19" i="144"/>
  <c r="AI19" i="144" s="1"/>
  <c r="AJ19" i="144"/>
  <c r="AC20" i="153"/>
  <c r="BG17" i="72" s="1"/>
  <c r="AC17" i="100"/>
  <c r="AD20" i="153"/>
  <c r="AF20" i="153" s="1"/>
  <c r="AC8" i="151"/>
  <c r="BE5" i="72" s="1"/>
  <c r="AA5" i="100"/>
  <c r="AD8" i="151"/>
  <c r="AF8" i="151" s="1"/>
  <c r="H40" i="100"/>
  <c r="AC43" i="114"/>
  <c r="AC43" i="146"/>
  <c r="BA40" i="72" s="1"/>
  <c r="W40" i="100"/>
  <c r="AD43" i="146"/>
  <c r="AF43" i="146" s="1"/>
  <c r="R69" i="100"/>
  <c r="AC72" i="128"/>
  <c r="AC72" i="131"/>
  <c r="AX69" i="72" s="1"/>
  <c r="T69" i="100"/>
  <c r="AD72" i="131"/>
  <c r="AF72" i="131" s="1"/>
  <c r="AC72" i="148"/>
  <c r="BC69" i="72" s="1"/>
  <c r="Y69" i="100"/>
  <c r="H9" i="100"/>
  <c r="AC12" i="114"/>
  <c r="AC40" i="118"/>
  <c r="AP37" i="72" s="1"/>
  <c r="L37" i="100"/>
  <c r="AD40" i="118"/>
  <c r="AF40" i="118" s="1"/>
  <c r="AC40" i="120"/>
  <c r="AR37" i="72" s="1"/>
  <c r="N37" i="100"/>
  <c r="AD40" i="120"/>
  <c r="AF40" i="120" s="1"/>
  <c r="H37" i="100"/>
  <c r="AC40" i="114"/>
  <c r="AL37" i="72" s="1"/>
  <c r="AC40" i="146"/>
  <c r="BA37" i="72" s="1"/>
  <c r="W37" i="100"/>
  <c r="AD40" i="146"/>
  <c r="AF40" i="146" s="1"/>
  <c r="K11" i="100"/>
  <c r="AC14" i="117"/>
  <c r="AO11" i="72" s="1"/>
  <c r="Q12" i="100"/>
  <c r="AC15" i="127"/>
  <c r="AU12" i="72" s="1"/>
  <c r="AC15" i="153"/>
  <c r="BG12" i="72" s="1"/>
  <c r="AC12" i="100"/>
  <c r="AD15" i="153"/>
  <c r="AF15" i="153" s="1"/>
  <c r="AC47" i="118"/>
  <c r="AP44" i="72" s="1"/>
  <c r="L44" i="100"/>
  <c r="AD47" i="118"/>
  <c r="AF47" i="118" s="1"/>
  <c r="M48" i="100"/>
  <c r="AC51" i="119"/>
  <c r="R48" i="100"/>
  <c r="AC51" i="128"/>
  <c r="AV48" i="72" s="1"/>
  <c r="AC51" i="145"/>
  <c r="AZ48" i="72" s="1"/>
  <c r="V48" i="100"/>
  <c r="K72" i="100"/>
  <c r="AC75" i="117"/>
  <c r="M30" i="100"/>
  <c r="AC33" i="119"/>
  <c r="AC33" i="148"/>
  <c r="BC30" i="72" s="1"/>
  <c r="Y30" i="100"/>
  <c r="AD33" i="148"/>
  <c r="AF33" i="148" s="1"/>
  <c r="AH69" i="152"/>
  <c r="AI69" i="152" s="1"/>
  <c r="AJ69" i="152"/>
  <c r="AH70" i="125"/>
  <c r="AI70" i="125" s="1"/>
  <c r="AJ70" i="125"/>
  <c r="AD27" i="117"/>
  <c r="AF27" i="117" s="1"/>
  <c r="AO24" i="72"/>
  <c r="AH27" i="120"/>
  <c r="AI27" i="120" s="1"/>
  <c r="AJ27" i="120"/>
  <c r="AD8" i="100"/>
  <c r="AD10" i="76"/>
  <c r="AC11" i="151"/>
  <c r="BE8" i="72" s="1"/>
  <c r="AA8" i="100"/>
  <c r="AD11" i="151"/>
  <c r="AF11" i="151" s="1"/>
  <c r="AH13" i="129"/>
  <c r="AI13" i="129" s="1"/>
  <c r="AJ13" i="129"/>
  <c r="AH26" i="118"/>
  <c r="AI26" i="118" s="1"/>
  <c r="AJ26" i="118"/>
  <c r="AH26" i="113"/>
  <c r="AI26" i="113" s="1"/>
  <c r="AJ26" i="113"/>
  <c r="AH74" i="149"/>
  <c r="AI74" i="149" s="1"/>
  <c r="AJ74" i="149"/>
  <c r="AH49" i="128"/>
  <c r="AI49" i="128" s="1"/>
  <c r="AJ49" i="128"/>
  <c r="AH52" i="116"/>
  <c r="AI52" i="116" s="1"/>
  <c r="AJ52" i="116"/>
  <c r="AI33" i="80"/>
  <c r="AJ33" i="80" s="1"/>
  <c r="AK33" i="80"/>
  <c r="AH24" i="147"/>
  <c r="AI24" i="147" s="1"/>
  <c r="AJ24" i="147"/>
  <c r="AH24" i="120"/>
  <c r="AI24" i="120" s="1"/>
  <c r="AJ24" i="120"/>
  <c r="AI38" i="80"/>
  <c r="AJ38" i="80" s="1"/>
  <c r="AK38" i="80"/>
  <c r="AH39" i="131"/>
  <c r="AI39" i="131" s="1"/>
  <c r="AJ39" i="131"/>
  <c r="AD39" i="116"/>
  <c r="AF39" i="116" s="1"/>
  <c r="AN36" i="72"/>
  <c r="AH32" i="153"/>
  <c r="AI32" i="153" s="1"/>
  <c r="AJ32" i="153"/>
  <c r="AH17" i="120"/>
  <c r="AI17" i="120" s="1"/>
  <c r="AJ17" i="120"/>
  <c r="AH37" i="146"/>
  <c r="AI37" i="146" s="1"/>
  <c r="AJ37" i="146"/>
  <c r="AH37" i="126"/>
  <c r="AI37" i="126" s="1"/>
  <c r="AJ37" i="126"/>
  <c r="AH53" i="127"/>
  <c r="AI53" i="127" s="1"/>
  <c r="AJ53" i="127"/>
  <c r="AH22" i="144"/>
  <c r="AI22" i="144" s="1"/>
  <c r="AJ22" i="144"/>
  <c r="AH73" i="151"/>
  <c r="AI73" i="151" s="1"/>
  <c r="AJ73" i="151"/>
  <c r="AD73" i="125"/>
  <c r="AF73" i="125" s="1"/>
  <c r="AH73" i="129"/>
  <c r="AI73" i="129" s="1"/>
  <c r="AJ73" i="129"/>
  <c r="AD46" i="116"/>
  <c r="AF46" i="116" s="1"/>
  <c r="AN43" i="72"/>
  <c r="AH29" i="152"/>
  <c r="AI29" i="152" s="1"/>
  <c r="AJ29" i="152"/>
  <c r="AH23" i="147"/>
  <c r="AI23" i="147" s="1"/>
  <c r="AJ23" i="147"/>
  <c r="AD23" i="128"/>
  <c r="AF23" i="128" s="1"/>
  <c r="AV20" i="72"/>
  <c r="AH64" i="131"/>
  <c r="AI64" i="131" s="1"/>
  <c r="AJ64" i="131"/>
  <c r="AH64" i="125"/>
  <c r="AI64" i="125" s="1"/>
  <c r="AJ64" i="125"/>
  <c r="AC35" i="131"/>
  <c r="AX32" i="72" s="1"/>
  <c r="T32" i="100"/>
  <c r="AD35" i="131"/>
  <c r="AF35" i="131" s="1"/>
  <c r="K32" i="100"/>
  <c r="AC35" i="117"/>
  <c r="AC35" i="145"/>
  <c r="AZ32" i="72" s="1"/>
  <c r="V32" i="100"/>
  <c r="AD35" i="145"/>
  <c r="AF35" i="145" s="1"/>
  <c r="AH9" i="152"/>
  <c r="AI9" i="152" s="1"/>
  <c r="AJ9" i="152"/>
  <c r="L49" i="139"/>
  <c r="G49" i="139"/>
  <c r="H49" i="139"/>
  <c r="F46" i="139"/>
  <c r="H64" i="81"/>
  <c r="G64" i="81"/>
  <c r="E67" i="81"/>
  <c r="AH25" i="120"/>
  <c r="AI25" i="120" s="1"/>
  <c r="AJ25" i="120"/>
  <c r="AI58" i="80"/>
  <c r="AJ58" i="80" s="1"/>
  <c r="AK58" i="80"/>
  <c r="AD54" i="117"/>
  <c r="AF54" i="117" s="1"/>
  <c r="AO51" i="72"/>
  <c r="AD19" i="117"/>
  <c r="AF19" i="117" s="1"/>
  <c r="AO16" i="72"/>
  <c r="AD19" i="118"/>
  <c r="AF19" i="118" s="1"/>
  <c r="AD19" i="116"/>
  <c r="AF19" i="116" s="1"/>
  <c r="AN16" i="72"/>
  <c r="AD38" i="128"/>
  <c r="AF38" i="128" s="1"/>
  <c r="AV35" i="72"/>
  <c r="AH67" i="131"/>
  <c r="AI67" i="131" s="1"/>
  <c r="AJ67" i="131"/>
  <c r="G7" i="72"/>
  <c r="AK10" i="113"/>
  <c r="AH69" i="127"/>
  <c r="AI69" i="127" s="1"/>
  <c r="AJ69" i="127"/>
  <c r="AH70" i="131"/>
  <c r="AI70" i="131" s="1"/>
  <c r="AJ70" i="131"/>
  <c r="AF27" i="100"/>
  <c r="AH13" i="125"/>
  <c r="AI13" i="125" s="1"/>
  <c r="AJ13" i="125"/>
  <c r="AH26" i="148"/>
  <c r="AI26" i="148" s="1"/>
  <c r="AJ26" i="148"/>
  <c r="AH16" i="149"/>
  <c r="AI16" i="149" s="1"/>
  <c r="AJ16" i="149"/>
  <c r="AH68" i="152"/>
  <c r="AI68" i="152" s="1"/>
  <c r="AJ68" i="152"/>
  <c r="U15" i="72"/>
  <c r="AK18" i="144"/>
  <c r="AH21" i="147"/>
  <c r="AI21" i="147" s="1"/>
  <c r="AJ21" i="147"/>
  <c r="AD61" i="125"/>
  <c r="AF61" i="125" s="1"/>
  <c r="AH66" i="144"/>
  <c r="AI66" i="144" s="1"/>
  <c r="AJ66" i="144"/>
  <c r="Q41" i="100"/>
  <c r="AC44" i="127"/>
  <c r="AD43" i="80"/>
  <c r="BI41" i="72" s="1"/>
  <c r="AE41" i="100"/>
  <c r="AE43" i="80"/>
  <c r="AG43" i="80" s="1"/>
  <c r="AH52" i="152"/>
  <c r="AI52" i="152" s="1"/>
  <c r="AJ52" i="152"/>
  <c r="AH52" i="131"/>
  <c r="AI52" i="131" s="1"/>
  <c r="AJ52" i="131"/>
  <c r="AH55" i="152"/>
  <c r="AI55" i="152" s="1"/>
  <c r="AJ55" i="152"/>
  <c r="AC57" i="118"/>
  <c r="AP54" i="72" s="1"/>
  <c r="L54" i="100"/>
  <c r="AD57" i="118"/>
  <c r="AF57" i="118" s="1"/>
  <c r="AC57" i="148"/>
  <c r="BC54" i="72" s="1"/>
  <c r="Y54" i="100"/>
  <c r="AH34" i="151"/>
  <c r="AI34" i="151" s="1"/>
  <c r="AJ34" i="151"/>
  <c r="AH62" i="152"/>
  <c r="AI62" i="152" s="1"/>
  <c r="AJ62" i="152"/>
  <c r="AH24" i="116"/>
  <c r="AI24" i="116" s="1"/>
  <c r="AJ24" i="116"/>
  <c r="AD39" i="127"/>
  <c r="AF39" i="127" s="1"/>
  <c r="AU36" i="72"/>
  <c r="AH17" i="115"/>
  <c r="AI17" i="115" s="1"/>
  <c r="AJ17" i="115"/>
  <c r="AH37" i="148"/>
  <c r="AI37" i="148" s="1"/>
  <c r="AJ37" i="148"/>
  <c r="AD37" i="116"/>
  <c r="AF37" i="116" s="1"/>
  <c r="AN34" i="72"/>
  <c r="G42" i="72"/>
  <c r="AK45" i="113"/>
  <c r="AI21" i="76"/>
  <c r="AJ21" i="76" s="1"/>
  <c r="AK21" i="76"/>
  <c r="AH73" i="144"/>
  <c r="AI73" i="144" s="1"/>
  <c r="AJ73" i="144"/>
  <c r="AH73" i="116"/>
  <c r="AI73" i="116" s="1"/>
  <c r="AJ73" i="116"/>
  <c r="AH50" i="153"/>
  <c r="AI50" i="153" s="1"/>
  <c r="AJ50" i="153"/>
  <c r="AH31" i="127"/>
  <c r="AI31" i="127" s="1"/>
  <c r="AJ31" i="127"/>
  <c r="AH46" i="149"/>
  <c r="AI46" i="149" s="1"/>
  <c r="AJ46" i="149"/>
  <c r="AH46" i="127"/>
  <c r="AI46" i="127" s="1"/>
  <c r="AJ46" i="127"/>
  <c r="AH29" i="153"/>
  <c r="AI29" i="153" s="1"/>
  <c r="AJ29" i="153"/>
  <c r="AF26" i="100"/>
  <c r="AD23" i="114"/>
  <c r="AF23" i="114" s="1"/>
  <c r="AL20" i="72"/>
  <c r="AH9" i="126"/>
  <c r="AI9" i="126" s="1"/>
  <c r="AJ9" i="126"/>
  <c r="AH9" i="119"/>
  <c r="AI9" i="119" s="1"/>
  <c r="AJ9" i="119"/>
  <c r="AH59" i="148"/>
  <c r="AI59" i="148" s="1"/>
  <c r="AJ59" i="148"/>
  <c r="AD36" i="127"/>
  <c r="AF36" i="127" s="1"/>
  <c r="AU33" i="72"/>
  <c r="AH54" i="129"/>
  <c r="AI54" i="129" s="1"/>
  <c r="AJ54" i="129"/>
  <c r="AD67" i="125"/>
  <c r="AF67" i="125" s="1"/>
  <c r="AC20" i="118"/>
  <c r="AP17" i="72" s="1"/>
  <c r="L17" i="100"/>
  <c r="AD20" i="118"/>
  <c r="AF20" i="118" s="1"/>
  <c r="G5" i="72"/>
  <c r="AK8" i="113"/>
  <c r="Q5" i="100"/>
  <c r="AC8" i="127"/>
  <c r="S5" i="100"/>
  <c r="AC8" i="129"/>
  <c r="H69" i="100"/>
  <c r="AC72" i="114"/>
  <c r="AL69" i="72" s="1"/>
  <c r="AC72" i="147"/>
  <c r="BB69" i="72" s="1"/>
  <c r="X69" i="100"/>
  <c r="AD72" i="147"/>
  <c r="AF72" i="147" s="1"/>
  <c r="AC72" i="115"/>
  <c r="AM69" i="72" s="1"/>
  <c r="I69" i="100"/>
  <c r="AC58" i="120"/>
  <c r="AR55" i="72" s="1"/>
  <c r="N55" i="100"/>
  <c r="AD58" i="120"/>
  <c r="AF58" i="120" s="1"/>
  <c r="M37" i="100"/>
  <c r="AC40" i="119"/>
  <c r="AC40" i="116"/>
  <c r="J37" i="100"/>
  <c r="AC40" i="148"/>
  <c r="BC37" i="72" s="1"/>
  <c r="Y37" i="100"/>
  <c r="AD40" i="148"/>
  <c r="AF40" i="148" s="1"/>
  <c r="R11" i="100"/>
  <c r="AC14" i="128"/>
  <c r="AC14" i="146"/>
  <c r="BA11" i="72" s="1"/>
  <c r="W11" i="100"/>
  <c r="AC15" i="120"/>
  <c r="AR12" i="72" s="1"/>
  <c r="N12" i="100"/>
  <c r="AD15" i="120"/>
  <c r="AF15" i="120" s="1"/>
  <c r="AC15" i="148"/>
  <c r="BC12" i="72" s="1"/>
  <c r="Y12" i="100"/>
  <c r="AD15" i="148"/>
  <c r="AF15" i="148" s="1"/>
  <c r="AC15" i="145"/>
  <c r="AZ12" i="72" s="1"/>
  <c r="V12" i="100"/>
  <c r="AD15" i="145"/>
  <c r="AF15" i="145" s="1"/>
  <c r="AC51" i="131"/>
  <c r="AX48" i="72" s="1"/>
  <c r="T48" i="100"/>
  <c r="H48" i="100"/>
  <c r="AC51" i="114"/>
  <c r="AC51" i="153"/>
  <c r="BG48" i="72" s="1"/>
  <c r="AC48" i="100"/>
  <c r="AC51" i="149"/>
  <c r="BD48" i="72" s="1"/>
  <c r="Z48" i="100"/>
  <c r="AD51" i="149"/>
  <c r="AF51" i="149" s="1"/>
  <c r="AC51" i="115"/>
  <c r="AM48" i="72" s="1"/>
  <c r="I48" i="100"/>
  <c r="AD51" i="115"/>
  <c r="AF51" i="115" s="1"/>
  <c r="AC33" i="120"/>
  <c r="AR30" i="72" s="1"/>
  <c r="N30" i="100"/>
  <c r="AD33" i="120"/>
  <c r="AF33" i="120" s="1"/>
  <c r="H30" i="100"/>
  <c r="AC33" i="114"/>
  <c r="AC33" i="153"/>
  <c r="BG30" i="72" s="1"/>
  <c r="AC30" i="100"/>
  <c r="AD33" i="153"/>
  <c r="AF33" i="153" s="1"/>
  <c r="AC33" i="151"/>
  <c r="BE30" i="72" s="1"/>
  <c r="AA30" i="100"/>
  <c r="AD33" i="151"/>
  <c r="AF33" i="151" s="1"/>
  <c r="U7" i="72"/>
  <c r="AK10" i="144"/>
  <c r="AH69" i="115"/>
  <c r="AI69" i="115" s="1"/>
  <c r="AJ69" i="115"/>
  <c r="AD70" i="114"/>
  <c r="AF70" i="114" s="1"/>
  <c r="AL67" i="72"/>
  <c r="AH27" i="151"/>
  <c r="AI27" i="151" s="1"/>
  <c r="AJ27" i="151"/>
  <c r="AI26" i="80"/>
  <c r="AJ26" i="80" s="1"/>
  <c r="AK26" i="80"/>
  <c r="M8" i="100"/>
  <c r="AC11" i="119"/>
  <c r="AC11" i="125"/>
  <c r="AS8" i="72" s="1"/>
  <c r="O8" i="100"/>
  <c r="AD11" i="125"/>
  <c r="AF11" i="125" s="1"/>
  <c r="AC11" i="153"/>
  <c r="BG8" i="72" s="1"/>
  <c r="AC8" i="100"/>
  <c r="AD11" i="153"/>
  <c r="AF11" i="153" s="1"/>
  <c r="AF62" i="100"/>
  <c r="AD26" i="114"/>
  <c r="AF26" i="114" s="1"/>
  <c r="AL23" i="72"/>
  <c r="AH16" i="148"/>
  <c r="AI16" i="148" s="1"/>
  <c r="AJ16" i="148"/>
  <c r="AH68" i="151"/>
  <c r="AI68" i="151" s="1"/>
  <c r="AJ68" i="151"/>
  <c r="AH68" i="125"/>
  <c r="AI68" i="125" s="1"/>
  <c r="AJ68" i="125"/>
  <c r="AH21" i="145"/>
  <c r="AI21" i="145" s="1"/>
  <c r="AJ21" i="145"/>
  <c r="AH21" i="131"/>
  <c r="AI21" i="131" s="1"/>
  <c r="AJ21" i="131"/>
  <c r="AH61" i="146"/>
  <c r="AI61" i="146" s="1"/>
  <c r="AJ61" i="146"/>
  <c r="AD66" i="128"/>
  <c r="AF66" i="128" s="1"/>
  <c r="AV63" i="72"/>
  <c r="AD66" i="117"/>
  <c r="AF66" i="117" s="1"/>
  <c r="AO63" i="72"/>
  <c r="AD52" i="153"/>
  <c r="AF52" i="153" s="1"/>
  <c r="AG49" i="100"/>
  <c r="AI54" i="80"/>
  <c r="AJ54" i="80" s="1"/>
  <c r="AK54" i="80"/>
  <c r="AD62" i="120"/>
  <c r="AF62" i="120" s="1"/>
  <c r="AD39" i="117"/>
  <c r="AF39" i="117" s="1"/>
  <c r="AO36" i="72"/>
  <c r="AH32" i="120"/>
  <c r="AI32" i="120" s="1"/>
  <c r="AJ32" i="120"/>
  <c r="AD17" i="151"/>
  <c r="AF17" i="151" s="1"/>
  <c r="AH37" i="120"/>
  <c r="AI37" i="120" s="1"/>
  <c r="AJ37" i="120"/>
  <c r="AH45" i="145"/>
  <c r="AI45" i="145" s="1"/>
  <c r="AJ45" i="145"/>
  <c r="AD45" i="127"/>
  <c r="AF45" i="127" s="1"/>
  <c r="AU42" i="72"/>
  <c r="AH53" i="147"/>
  <c r="AI53" i="147" s="1"/>
  <c r="AJ53" i="147"/>
  <c r="AE52" i="76"/>
  <c r="AG52" i="76" s="1"/>
  <c r="BH50" i="72"/>
  <c r="AH53" i="128"/>
  <c r="AI53" i="128" s="1"/>
  <c r="AJ53" i="128"/>
  <c r="AH22" i="148"/>
  <c r="AI22" i="148" s="1"/>
  <c r="AJ22" i="148"/>
  <c r="AD73" i="114"/>
  <c r="AF73" i="114" s="1"/>
  <c r="AL70" i="72"/>
  <c r="AH73" i="145"/>
  <c r="AI73" i="145" s="1"/>
  <c r="AJ73" i="145"/>
  <c r="AH56" i="115"/>
  <c r="AI56" i="115" s="1"/>
  <c r="AJ56" i="115"/>
  <c r="AH31" i="148"/>
  <c r="AI31" i="148" s="1"/>
  <c r="AJ31" i="148"/>
  <c r="AH31" i="145"/>
  <c r="AI31" i="145" s="1"/>
  <c r="AJ31" i="145"/>
  <c r="AH46" i="153"/>
  <c r="AI46" i="153" s="1"/>
  <c r="AJ46" i="153"/>
  <c r="AH46" i="128"/>
  <c r="AI46" i="128" s="1"/>
  <c r="AJ46" i="128"/>
  <c r="AH29" i="126"/>
  <c r="AI29" i="126" s="1"/>
  <c r="AJ29" i="126"/>
  <c r="AH23" i="115"/>
  <c r="AI23" i="115" s="1"/>
  <c r="AJ23" i="115"/>
  <c r="AH23" i="119"/>
  <c r="AI23" i="119" s="1"/>
  <c r="AJ23" i="119"/>
  <c r="AH64" i="126"/>
  <c r="AI64" i="126" s="1"/>
  <c r="AJ64" i="126"/>
  <c r="AC35" i="149"/>
  <c r="BD32" i="72" s="1"/>
  <c r="Z32" i="100"/>
  <c r="AD35" i="149"/>
  <c r="AF35" i="149" s="1"/>
  <c r="AC35" i="147"/>
  <c r="BB32" i="72" s="1"/>
  <c r="X32" i="100"/>
  <c r="AD35" i="147"/>
  <c r="AF35" i="147" s="1"/>
  <c r="AH9" i="146"/>
  <c r="AI9" i="146" s="1"/>
  <c r="AJ9" i="146"/>
  <c r="AH25" i="119"/>
  <c r="AI25" i="119" s="1"/>
  <c r="AJ25" i="119"/>
  <c r="AH25" i="116"/>
  <c r="AI25" i="116" s="1"/>
  <c r="AJ25" i="116"/>
  <c r="AH59" i="144"/>
  <c r="AI59" i="144" s="1"/>
  <c r="AJ59" i="144"/>
  <c r="AH59" i="118"/>
  <c r="AI59" i="118" s="1"/>
  <c r="AJ59" i="118"/>
  <c r="AH28" i="149"/>
  <c r="AI28" i="149" s="1"/>
  <c r="AJ28" i="149"/>
  <c r="AH28" i="118"/>
  <c r="AI28" i="118" s="1"/>
  <c r="AJ28" i="118"/>
  <c r="AH54" i="119"/>
  <c r="AI54" i="119" s="1"/>
  <c r="AJ54" i="119"/>
  <c r="AH19" i="153"/>
  <c r="AI19" i="153" s="1"/>
  <c r="AJ19" i="153"/>
  <c r="AH19" i="129"/>
  <c r="AI19" i="129" s="1"/>
  <c r="AJ19" i="129"/>
  <c r="AH38" i="147"/>
  <c r="AI38" i="147" s="1"/>
  <c r="AJ38" i="147"/>
  <c r="P35" i="72"/>
  <c r="AK38" i="126"/>
  <c r="AH67" i="153"/>
  <c r="AI67" i="153" s="1"/>
  <c r="AJ67" i="153"/>
  <c r="AD67" i="128"/>
  <c r="AF67" i="128" s="1"/>
  <c r="AV64" i="72"/>
  <c r="AH23" i="126"/>
  <c r="AI23" i="126" s="1"/>
  <c r="AJ23" i="126"/>
  <c r="AI27" i="80"/>
  <c r="AJ27" i="80" s="1"/>
  <c r="AK27" i="80"/>
  <c r="AH54" i="151"/>
  <c r="AI54" i="151" s="1"/>
  <c r="AJ54" i="151"/>
  <c r="AH41" i="148"/>
  <c r="AI41" i="148" s="1"/>
  <c r="AJ41" i="148"/>
  <c r="AH38" i="115"/>
  <c r="AI38" i="115" s="1"/>
  <c r="AJ38" i="115"/>
  <c r="J64" i="72"/>
  <c r="AK67" i="116"/>
  <c r="AH10" i="147"/>
  <c r="AI10" i="147" s="1"/>
  <c r="AJ10" i="147"/>
  <c r="AD10" i="114"/>
  <c r="AF10" i="114" s="1"/>
  <c r="AL7" i="72"/>
  <c r="AD10" i="119"/>
  <c r="AF10" i="119" s="1"/>
  <c r="AQ7" i="72"/>
  <c r="AI69" i="76"/>
  <c r="AJ69" i="76" s="1"/>
  <c r="AK69" i="76"/>
  <c r="AD27" i="127"/>
  <c r="AF27" i="127" s="1"/>
  <c r="AU24" i="72"/>
  <c r="AH30" i="147"/>
  <c r="AI30" i="147" s="1"/>
  <c r="AJ30" i="147"/>
  <c r="AH30" i="126"/>
  <c r="AI30" i="126" s="1"/>
  <c r="AJ30" i="126"/>
  <c r="AH30" i="118"/>
  <c r="AI30" i="118" s="1"/>
  <c r="AJ30" i="118"/>
  <c r="AI64" i="80"/>
  <c r="AJ64" i="80" s="1"/>
  <c r="AK64" i="80"/>
  <c r="AH13" i="153"/>
  <c r="AI13" i="153" s="1"/>
  <c r="AJ13" i="153"/>
  <c r="AF10" i="100"/>
  <c r="AG10" i="100"/>
  <c r="G10" i="72"/>
  <c r="AK13" i="113"/>
  <c r="AH26" i="126"/>
  <c r="AI26" i="126" s="1"/>
  <c r="AJ26" i="126"/>
  <c r="AH74" i="115"/>
  <c r="AI74" i="115" s="1"/>
  <c r="AJ74" i="115"/>
  <c r="AH74" i="151"/>
  <c r="AI74" i="151" s="1"/>
  <c r="AJ74" i="151"/>
  <c r="AD74" i="117"/>
  <c r="AF74" i="117" s="1"/>
  <c r="AO71" i="72"/>
  <c r="AD74" i="128"/>
  <c r="AF74" i="128" s="1"/>
  <c r="AV71" i="72"/>
  <c r="AH49" i="151"/>
  <c r="AI49" i="151" s="1"/>
  <c r="AJ49" i="151"/>
  <c r="AH49" i="125"/>
  <c r="AI49" i="125" s="1"/>
  <c r="AJ49" i="125"/>
  <c r="AD49" i="116"/>
  <c r="AF49" i="116" s="1"/>
  <c r="AN46" i="72"/>
  <c r="AD16" i="116"/>
  <c r="AF16" i="116" s="1"/>
  <c r="AN13" i="72"/>
  <c r="AH60" i="145"/>
  <c r="AI60" i="145" s="1"/>
  <c r="AJ60" i="145"/>
  <c r="AH60" i="149"/>
  <c r="AI60" i="149" s="1"/>
  <c r="AJ60" i="149"/>
  <c r="AH60" i="118"/>
  <c r="AI60" i="118" s="1"/>
  <c r="AJ60" i="118"/>
  <c r="AH68" i="115"/>
  <c r="AI68" i="115" s="1"/>
  <c r="AJ68" i="115"/>
  <c r="AH68" i="146"/>
  <c r="AI68" i="146" s="1"/>
  <c r="AJ68" i="146"/>
  <c r="AH18" i="148"/>
  <c r="AI18" i="148" s="1"/>
  <c r="AJ18" i="148"/>
  <c r="AI17" i="76"/>
  <c r="AJ17" i="76" s="1"/>
  <c r="AK17" i="76"/>
  <c r="AI20" i="80"/>
  <c r="AJ20" i="80" s="1"/>
  <c r="AK20" i="80"/>
  <c r="AD61" i="127"/>
  <c r="AF61" i="127" s="1"/>
  <c r="AU58" i="72"/>
  <c r="AD66" i="114"/>
  <c r="AF66" i="114" s="1"/>
  <c r="AL63" i="72"/>
  <c r="AH66" i="119"/>
  <c r="AI66" i="119" s="1"/>
  <c r="AJ66" i="119"/>
  <c r="AH52" i="146"/>
  <c r="AI52" i="146" s="1"/>
  <c r="AJ52" i="146"/>
  <c r="AH52" i="118"/>
  <c r="AI52" i="118" s="1"/>
  <c r="AJ52" i="118"/>
  <c r="AH55" i="151"/>
  <c r="AI55" i="151" s="1"/>
  <c r="AJ55" i="151"/>
  <c r="AH55" i="126"/>
  <c r="AI55" i="126" s="1"/>
  <c r="AJ55" i="126"/>
  <c r="AD55" i="114"/>
  <c r="AF55" i="114" s="1"/>
  <c r="AL52" i="72"/>
  <c r="AH57" i="113"/>
  <c r="AI57" i="113" s="1"/>
  <c r="AJ57" i="113"/>
  <c r="AH62" i="131"/>
  <c r="AI62" i="131" s="1"/>
  <c r="AJ62" i="131"/>
  <c r="AD24" i="127"/>
  <c r="AF24" i="127" s="1"/>
  <c r="AU21" i="72"/>
  <c r="AI23" i="80"/>
  <c r="AJ23" i="80" s="1"/>
  <c r="AK23" i="80"/>
  <c r="AD39" i="119"/>
  <c r="AF39" i="119" s="1"/>
  <c r="AQ36" i="72"/>
  <c r="AD32" i="127"/>
  <c r="AF32" i="127" s="1"/>
  <c r="AU29" i="72"/>
  <c r="AD32" i="128"/>
  <c r="AF32" i="128" s="1"/>
  <c r="AV29" i="72"/>
  <c r="AH17" i="131"/>
  <c r="AI17" i="131" s="1"/>
  <c r="AJ17" i="131"/>
  <c r="AD17" i="116"/>
  <c r="AF17" i="116" s="1"/>
  <c r="AN14" i="72"/>
  <c r="AH37" i="149"/>
  <c r="AI37" i="149" s="1"/>
  <c r="AJ37" i="149"/>
  <c r="AH45" i="118"/>
  <c r="AI45" i="118" s="1"/>
  <c r="AJ45" i="118"/>
  <c r="AH45" i="125"/>
  <c r="AI45" i="125" s="1"/>
  <c r="AJ45" i="125"/>
  <c r="AH53" i="114"/>
  <c r="AI53" i="114" s="1"/>
  <c r="AJ53" i="114"/>
  <c r="AG50" i="100"/>
  <c r="AF50" i="100"/>
  <c r="AH56" i="147"/>
  <c r="AI56" i="147" s="1"/>
  <c r="AJ56" i="147"/>
  <c r="AH56" i="151"/>
  <c r="AI56" i="151" s="1"/>
  <c r="AJ56" i="151"/>
  <c r="AH56" i="114"/>
  <c r="AI56" i="114" s="1"/>
  <c r="AJ56" i="114"/>
  <c r="AF53" i="100"/>
  <c r="AG53" i="100"/>
  <c r="AH31" i="147"/>
  <c r="AI31" i="147" s="1"/>
  <c r="AJ31" i="147"/>
  <c r="AG28" i="100"/>
  <c r="AD46" i="117"/>
  <c r="AF46" i="117" s="1"/>
  <c r="AO43" i="72"/>
  <c r="AH46" i="131"/>
  <c r="AI46" i="131" s="1"/>
  <c r="AJ46" i="131"/>
  <c r="AH64" i="129"/>
  <c r="AI64" i="129" s="1"/>
  <c r="AJ64" i="129"/>
  <c r="G61" i="72"/>
  <c r="AK64" i="113"/>
  <c r="AH71" i="116"/>
  <c r="AI71" i="116" s="1"/>
  <c r="AJ71" i="116"/>
  <c r="AD25" i="128"/>
  <c r="AF25" i="128" s="1"/>
  <c r="AV22" i="72"/>
  <c r="AH59" i="131"/>
  <c r="AI59" i="131" s="1"/>
  <c r="AJ59" i="131"/>
  <c r="AG56" i="100"/>
  <c r="AF56" i="100"/>
  <c r="AH28" i="115"/>
  <c r="AI28" i="115" s="1"/>
  <c r="AJ28" i="115"/>
  <c r="AH36" i="131"/>
  <c r="AI36" i="131" s="1"/>
  <c r="AJ36" i="131"/>
  <c r="AH36" i="125"/>
  <c r="AI36" i="125" s="1"/>
  <c r="AJ36" i="125"/>
  <c r="AH54" i="153"/>
  <c r="AI54" i="153" s="1"/>
  <c r="AJ54" i="153"/>
  <c r="AD54" i="128"/>
  <c r="AF54" i="128" s="1"/>
  <c r="AV51" i="72"/>
  <c r="AH54" i="118"/>
  <c r="AI54" i="118" s="1"/>
  <c r="AJ54" i="118"/>
  <c r="AG51" i="100"/>
  <c r="AH19" i="114"/>
  <c r="AI19" i="114" s="1"/>
  <c r="AJ19" i="114"/>
  <c r="AG16" i="100"/>
  <c r="AF16" i="100"/>
  <c r="AD19" i="119"/>
  <c r="AF19" i="119" s="1"/>
  <c r="AQ16" i="72"/>
  <c r="AH41" i="146"/>
  <c r="AI41" i="146" s="1"/>
  <c r="AJ41" i="146"/>
  <c r="AD41" i="116"/>
  <c r="AF41" i="116" s="1"/>
  <c r="AN38" i="72"/>
  <c r="AH41" i="129"/>
  <c r="AI41" i="129" s="1"/>
  <c r="AJ41" i="129"/>
  <c r="AH38" i="152"/>
  <c r="AI38" i="152" s="1"/>
  <c r="AJ38" i="152"/>
  <c r="AD38" i="114"/>
  <c r="AF38" i="114" s="1"/>
  <c r="AL35" i="72"/>
  <c r="AD38" i="119"/>
  <c r="AF38" i="119" s="1"/>
  <c r="AQ35" i="72"/>
  <c r="AD67" i="114"/>
  <c r="AF67" i="114" s="1"/>
  <c r="AL64" i="72"/>
  <c r="AD67" i="129"/>
  <c r="AF67" i="129" s="1"/>
  <c r="AW64" i="72"/>
  <c r="AD20" i="128"/>
  <c r="AF20" i="128" s="1"/>
  <c r="AV17" i="72"/>
  <c r="AH20" i="119"/>
  <c r="AI20" i="119" s="1"/>
  <c r="AJ20" i="119"/>
  <c r="AH40" i="113"/>
  <c r="AI40" i="113" s="1"/>
  <c r="AJ40" i="113"/>
  <c r="AD15" i="116"/>
  <c r="AF15" i="116" s="1"/>
  <c r="AN12" i="72"/>
  <c r="AD15" i="119"/>
  <c r="AF15" i="119" s="1"/>
  <c r="AQ12" i="72"/>
  <c r="AD47" i="119"/>
  <c r="AF47" i="119" s="1"/>
  <c r="AQ44" i="72"/>
  <c r="AH75" i="119"/>
  <c r="AI75" i="119" s="1"/>
  <c r="AJ75" i="119"/>
  <c r="AH69" i="120"/>
  <c r="AI69" i="120" s="1"/>
  <c r="AJ69" i="120"/>
  <c r="G66" i="72"/>
  <c r="AK69" i="113"/>
  <c r="AH30" i="148"/>
  <c r="AI30" i="148" s="1"/>
  <c r="AJ30" i="148"/>
  <c r="AD30" i="129"/>
  <c r="AF30" i="129" s="1"/>
  <c r="AW27" i="72"/>
  <c r="AH30" i="120"/>
  <c r="AI30" i="120" s="1"/>
  <c r="AJ30" i="120"/>
  <c r="AH11" i="144"/>
  <c r="AI11" i="144" s="1"/>
  <c r="AJ11" i="144"/>
  <c r="AH65" i="115"/>
  <c r="AI65" i="115" s="1"/>
  <c r="AJ65" i="115"/>
  <c r="AH65" i="148"/>
  <c r="AI65" i="148" s="1"/>
  <c r="AJ65" i="148"/>
  <c r="AH13" i="151"/>
  <c r="AI13" i="151" s="1"/>
  <c r="AJ13" i="151"/>
  <c r="AD26" i="129"/>
  <c r="AF26" i="129" s="1"/>
  <c r="AW23" i="72"/>
  <c r="AH26" i="120"/>
  <c r="AI26" i="120" s="1"/>
  <c r="AJ26" i="120"/>
  <c r="AH74" i="144"/>
  <c r="AI74" i="144" s="1"/>
  <c r="AJ74" i="144"/>
  <c r="AH49" i="114"/>
  <c r="AI49" i="114" s="1"/>
  <c r="AJ49" i="114"/>
  <c r="AE15" i="76"/>
  <c r="AG15" i="76" s="1"/>
  <c r="BH13" i="72"/>
  <c r="AD60" i="128"/>
  <c r="AF60" i="128" s="1"/>
  <c r="AV57" i="72"/>
  <c r="AH60" i="114"/>
  <c r="AI60" i="114" s="1"/>
  <c r="AJ60" i="114"/>
  <c r="AH68" i="145"/>
  <c r="AI68" i="145" s="1"/>
  <c r="AJ68" i="145"/>
  <c r="AH68" i="147"/>
  <c r="AI68" i="147" s="1"/>
  <c r="AJ68" i="147"/>
  <c r="AI67" i="80"/>
  <c r="AJ67" i="80" s="1"/>
  <c r="AK67" i="80"/>
  <c r="AD68" i="127"/>
  <c r="AF68" i="127" s="1"/>
  <c r="AU65" i="72"/>
  <c r="AH18" i="115"/>
  <c r="AI18" i="115" s="1"/>
  <c r="AJ18" i="115"/>
  <c r="AH18" i="146"/>
  <c r="AI18" i="146" s="1"/>
  <c r="AJ18" i="146"/>
  <c r="AH21" i="151"/>
  <c r="AI21" i="151" s="1"/>
  <c r="AJ21" i="151"/>
  <c r="AI20" i="76"/>
  <c r="AJ20" i="76" s="1"/>
  <c r="AK20" i="76"/>
  <c r="AD61" i="128"/>
  <c r="AF61" i="128" s="1"/>
  <c r="AV58" i="72"/>
  <c r="AG58" i="100"/>
  <c r="AI65" i="76"/>
  <c r="AJ65" i="76" s="1"/>
  <c r="AK65" i="76"/>
  <c r="AH66" i="127"/>
  <c r="AI66" i="127" s="1"/>
  <c r="AJ66" i="127"/>
  <c r="AH52" i="147"/>
  <c r="AI52" i="147" s="1"/>
  <c r="AJ52" i="147"/>
  <c r="AD52" i="119"/>
  <c r="AF52" i="119" s="1"/>
  <c r="AQ49" i="72"/>
  <c r="AH52" i="117"/>
  <c r="AI52" i="117" s="1"/>
  <c r="AJ52" i="117"/>
  <c r="AH34" i="129"/>
  <c r="AI34" i="129" s="1"/>
  <c r="AJ34" i="129"/>
  <c r="AH34" i="116"/>
  <c r="AI34" i="116" s="1"/>
  <c r="AJ34" i="116"/>
  <c r="AH62" i="146"/>
  <c r="AI62" i="146" s="1"/>
  <c r="AJ62" i="146"/>
  <c r="AH24" i="144"/>
  <c r="AI24" i="144" s="1"/>
  <c r="AJ24" i="144"/>
  <c r="AH24" i="119"/>
  <c r="AI24" i="119" s="1"/>
  <c r="AJ24" i="119"/>
  <c r="AH39" i="148"/>
  <c r="AI39" i="148" s="1"/>
  <c r="AJ39" i="148"/>
  <c r="AH39" i="120"/>
  <c r="AI39" i="120" s="1"/>
  <c r="AJ39" i="120"/>
  <c r="AH37" i="131"/>
  <c r="AI37" i="131" s="1"/>
  <c r="AJ37" i="131"/>
  <c r="AH37" i="118"/>
  <c r="AI37" i="118" s="1"/>
  <c r="AJ37" i="118"/>
  <c r="AH22" i="149"/>
  <c r="AI22" i="149" s="1"/>
  <c r="AJ22" i="149"/>
  <c r="AH22" i="145"/>
  <c r="AI22" i="145" s="1"/>
  <c r="AJ22" i="145"/>
  <c r="AH50" i="147"/>
  <c r="AI50" i="147" s="1"/>
  <c r="AJ50" i="147"/>
  <c r="AH50" i="151"/>
  <c r="AI50" i="151" s="1"/>
  <c r="AJ50" i="151"/>
  <c r="AH50" i="118"/>
  <c r="AI50" i="118" s="1"/>
  <c r="AJ50" i="118"/>
  <c r="AH50" i="131"/>
  <c r="AI50" i="131" s="1"/>
  <c r="AJ50" i="131"/>
  <c r="AH56" i="152"/>
  <c r="AI56" i="152" s="1"/>
  <c r="AJ56" i="152"/>
  <c r="AH56" i="144"/>
  <c r="AI56" i="144" s="1"/>
  <c r="AJ56" i="144"/>
  <c r="AH31" i="114"/>
  <c r="AI31" i="114" s="1"/>
  <c r="AJ31" i="114"/>
  <c r="AH31" i="129"/>
  <c r="AI31" i="129" s="1"/>
  <c r="AJ31" i="129"/>
  <c r="AH46" i="148"/>
  <c r="AI46" i="148" s="1"/>
  <c r="AJ46" i="148"/>
  <c r="AH46" i="129"/>
  <c r="AI46" i="129" s="1"/>
  <c r="AJ46" i="129"/>
  <c r="AI28" i="76"/>
  <c r="AJ28" i="76" s="1"/>
  <c r="AK28" i="76"/>
  <c r="AI22" i="80"/>
  <c r="AJ22" i="80" s="1"/>
  <c r="AK22" i="80"/>
  <c r="AH23" i="125"/>
  <c r="AI23" i="125" s="1"/>
  <c r="AJ23" i="125"/>
  <c r="AH64" i="149"/>
  <c r="AI64" i="149" s="1"/>
  <c r="AJ64" i="149"/>
  <c r="AH64" i="116"/>
  <c r="AI64" i="116" s="1"/>
  <c r="AJ64" i="116"/>
  <c r="AD35" i="116"/>
  <c r="AF35" i="116" s="1"/>
  <c r="AN32" i="72"/>
  <c r="AH9" i="125"/>
  <c r="AI9" i="125" s="1"/>
  <c r="AJ9" i="125"/>
  <c r="P5" i="137"/>
  <c r="N15" i="137"/>
  <c r="M17" i="137"/>
  <c r="N17" i="137" s="1"/>
  <c r="P17" i="137" s="1"/>
  <c r="S17" i="137" s="1"/>
  <c r="Z17" i="137" s="1"/>
  <c r="AH25" i="145"/>
  <c r="AI25" i="145" s="1"/>
  <c r="AJ25" i="145"/>
  <c r="AD28" i="129"/>
  <c r="AF28" i="129" s="1"/>
  <c r="AW25" i="72"/>
  <c r="AH28" i="131"/>
  <c r="AI28" i="131" s="1"/>
  <c r="AJ28" i="131"/>
  <c r="AH36" i="144"/>
  <c r="AI36" i="144" s="1"/>
  <c r="AJ36" i="144"/>
  <c r="AH54" i="149"/>
  <c r="AI54" i="149" s="1"/>
  <c r="AJ54" i="149"/>
  <c r="M38" i="72"/>
  <c r="AK41" i="119"/>
  <c r="AI37" i="76"/>
  <c r="AJ37" i="76" s="1"/>
  <c r="AK37" i="76"/>
  <c r="AH38" i="116"/>
  <c r="AI38" i="116" s="1"/>
  <c r="AJ38" i="116"/>
  <c r="AH67" i="118"/>
  <c r="AI67" i="118" s="1"/>
  <c r="AJ67" i="118"/>
  <c r="AJ17" i="46"/>
  <c r="E20" i="100"/>
  <c r="AM6" i="46"/>
  <c r="AK12" i="46"/>
  <c r="AI9" i="80"/>
  <c r="AJ9" i="80" s="1"/>
  <c r="AK9" i="80"/>
  <c r="AD10" i="116"/>
  <c r="AF10" i="116" s="1"/>
  <c r="AN7" i="72"/>
  <c r="AG7" i="100"/>
  <c r="AH69" i="145"/>
  <c r="AI69" i="145" s="1"/>
  <c r="AJ69" i="145"/>
  <c r="AI68" i="80"/>
  <c r="AJ68" i="80" s="1"/>
  <c r="AK68" i="80"/>
  <c r="AH70" i="127"/>
  <c r="AI70" i="127" s="1"/>
  <c r="AJ70" i="127"/>
  <c r="AH27" i="126"/>
  <c r="AI27" i="126" s="1"/>
  <c r="AJ27" i="126"/>
  <c r="AH30" i="116"/>
  <c r="AI30" i="116" s="1"/>
  <c r="AJ30" i="116"/>
  <c r="AH65" i="147"/>
  <c r="AI65" i="147" s="1"/>
  <c r="AJ65" i="147"/>
  <c r="AH65" i="131"/>
  <c r="AI65" i="131" s="1"/>
  <c r="AJ65" i="131"/>
  <c r="U10" i="72"/>
  <c r="AK13" i="144"/>
  <c r="AH13" i="126"/>
  <c r="AI13" i="126" s="1"/>
  <c r="AJ13" i="126"/>
  <c r="AH26" i="152"/>
  <c r="AI26" i="152" s="1"/>
  <c r="AJ26" i="152"/>
  <c r="AH26" i="131"/>
  <c r="AI26" i="131" s="1"/>
  <c r="AJ26" i="131"/>
  <c r="AH74" i="146"/>
  <c r="AI74" i="146" s="1"/>
  <c r="AJ74" i="146"/>
  <c r="AH49" i="145"/>
  <c r="AI49" i="145" s="1"/>
  <c r="AJ49" i="145"/>
  <c r="U13" i="72"/>
  <c r="AK16" i="144"/>
  <c r="AI15" i="80"/>
  <c r="AJ15" i="80" s="1"/>
  <c r="AK15" i="80"/>
  <c r="AH60" i="151"/>
  <c r="AI60" i="151" s="1"/>
  <c r="AJ60" i="151"/>
  <c r="AH60" i="125"/>
  <c r="AI60" i="125" s="1"/>
  <c r="AJ60" i="125"/>
  <c r="AH68" i="153"/>
  <c r="AI68" i="153" s="1"/>
  <c r="AJ68" i="153"/>
  <c r="Y65" i="72"/>
  <c r="AK68" i="148"/>
  <c r="AH68" i="114"/>
  <c r="AI68" i="114" s="1"/>
  <c r="AJ68" i="114"/>
  <c r="AG65" i="100"/>
  <c r="AF65" i="100"/>
  <c r="AH21" i="126"/>
  <c r="AI21" i="126" s="1"/>
  <c r="AJ21" i="126"/>
  <c r="AH61" i="151"/>
  <c r="AI61" i="151" s="1"/>
  <c r="AJ61" i="151"/>
  <c r="AE60" i="76"/>
  <c r="AG60" i="76" s="1"/>
  <c r="BH58" i="72"/>
  <c r="AI65" i="80"/>
  <c r="AJ65" i="80" s="1"/>
  <c r="AK65" i="80"/>
  <c r="AH52" i="125"/>
  <c r="AI52" i="125" s="1"/>
  <c r="AJ52" i="125"/>
  <c r="AH55" i="144"/>
  <c r="AI55" i="144" s="1"/>
  <c r="AJ55" i="144"/>
  <c r="AH55" i="127"/>
  <c r="AI55" i="127" s="1"/>
  <c r="AJ55" i="127"/>
  <c r="AH34" i="153"/>
  <c r="AI34" i="153" s="1"/>
  <c r="AJ34" i="153"/>
  <c r="AD34" i="117"/>
  <c r="AF34" i="117" s="1"/>
  <c r="AO31" i="72"/>
  <c r="AH62" i="153"/>
  <c r="AI62" i="153" s="1"/>
  <c r="AJ62" i="153"/>
  <c r="AD24" i="129"/>
  <c r="AF24" i="129" s="1"/>
  <c r="AW21" i="72"/>
  <c r="AH39" i="146"/>
  <c r="AI39" i="146" s="1"/>
  <c r="AJ39" i="146"/>
  <c r="AD39" i="128"/>
  <c r="AF39" i="128" s="1"/>
  <c r="AV36" i="72"/>
  <c r="AH32" i="149"/>
  <c r="AI32" i="149" s="1"/>
  <c r="AJ32" i="149"/>
  <c r="AH32" i="125"/>
  <c r="AI32" i="125" s="1"/>
  <c r="AJ32" i="125"/>
  <c r="AD32" i="116"/>
  <c r="AF32" i="116" s="1"/>
  <c r="AN29" i="72"/>
  <c r="AH17" i="149"/>
  <c r="AI17" i="149" s="1"/>
  <c r="AJ17" i="149"/>
  <c r="AD17" i="127"/>
  <c r="AF17" i="127" s="1"/>
  <c r="AU14" i="72"/>
  <c r="AH17" i="117"/>
  <c r="AI17" i="117" s="1"/>
  <c r="AJ17" i="117"/>
  <c r="AE36" i="76"/>
  <c r="AG36" i="76" s="1"/>
  <c r="BH34" i="72"/>
  <c r="AD37" i="128"/>
  <c r="AF37" i="128" s="1"/>
  <c r="AV34" i="72"/>
  <c r="AF42" i="100"/>
  <c r="AH53" i="126"/>
  <c r="AI53" i="126" s="1"/>
  <c r="AJ53" i="126"/>
  <c r="AH22" i="146"/>
  <c r="AI22" i="146" s="1"/>
  <c r="AJ22" i="146"/>
  <c r="AH22" i="120"/>
  <c r="AI22" i="120" s="1"/>
  <c r="AJ22" i="120"/>
  <c r="AH73" i="153"/>
  <c r="AI73" i="153" s="1"/>
  <c r="AJ73" i="153"/>
  <c r="AH73" i="119"/>
  <c r="AI73" i="119" s="1"/>
  <c r="AJ73" i="119"/>
  <c r="AH50" i="144"/>
  <c r="AI50" i="144" s="1"/>
  <c r="AJ50" i="144"/>
  <c r="J47" i="72"/>
  <c r="AK50" i="116"/>
  <c r="AF47" i="100"/>
  <c r="AH56" i="145"/>
  <c r="AI56" i="145" s="1"/>
  <c r="AJ56" i="145"/>
  <c r="AH56" i="117"/>
  <c r="AI56" i="117" s="1"/>
  <c r="AJ56" i="117"/>
  <c r="AH31" i="153"/>
  <c r="AI31" i="153" s="1"/>
  <c r="AJ31" i="153"/>
  <c r="X26" i="72"/>
  <c r="AK29" i="147"/>
  <c r="AH29" i="118"/>
  <c r="AI29" i="118" s="1"/>
  <c r="AJ29" i="118"/>
  <c r="AH23" i="151"/>
  <c r="AI23" i="151" s="1"/>
  <c r="AJ23" i="151"/>
  <c r="AH64" i="115"/>
  <c r="AI64" i="115" s="1"/>
  <c r="AJ64" i="115"/>
  <c r="AI63" i="80"/>
  <c r="AJ63" i="80" s="1"/>
  <c r="AK63" i="80"/>
  <c r="AH9" i="147"/>
  <c r="AI9" i="147" s="1"/>
  <c r="AJ9" i="147"/>
  <c r="AD9" i="114"/>
  <c r="AF9" i="114" s="1"/>
  <c r="AL6" i="72"/>
  <c r="AD9" i="129"/>
  <c r="AF9" i="129" s="1"/>
  <c r="AW6" i="72"/>
  <c r="AH25" i="115"/>
  <c r="AI25" i="115" s="1"/>
  <c r="AJ25" i="115"/>
  <c r="AH25" i="118"/>
  <c r="AI25" i="118" s="1"/>
  <c r="AJ25" i="118"/>
  <c r="AH59" i="153"/>
  <c r="AI59" i="153" s="1"/>
  <c r="AJ59" i="153"/>
  <c r="AH59" i="126"/>
  <c r="AI59" i="126" s="1"/>
  <c r="AJ59" i="126"/>
  <c r="AD28" i="114"/>
  <c r="AF28" i="114" s="1"/>
  <c r="AL25" i="72"/>
  <c r="AH36" i="118"/>
  <c r="AI36" i="118" s="1"/>
  <c r="AJ36" i="118"/>
  <c r="AH54" i="147"/>
  <c r="AI54" i="147" s="1"/>
  <c r="AJ54" i="147"/>
  <c r="AH54" i="120"/>
  <c r="AI54" i="120" s="1"/>
  <c r="AJ54" i="120"/>
  <c r="AI18" i="80"/>
  <c r="AJ18" i="80" s="1"/>
  <c r="AK18" i="80"/>
  <c r="AH41" i="153"/>
  <c r="AI41" i="153" s="1"/>
  <c r="AJ41" i="153"/>
  <c r="AF38" i="100"/>
  <c r="Y35" i="72"/>
  <c r="AK38" i="148"/>
  <c r="AH38" i="145"/>
  <c r="AI38" i="145" s="1"/>
  <c r="AJ38" i="145"/>
  <c r="AH38" i="117"/>
  <c r="AI38" i="117" s="1"/>
  <c r="AJ38" i="117"/>
  <c r="AH67" i="115"/>
  <c r="AI67" i="115" s="1"/>
  <c r="AJ67" i="115"/>
  <c r="AH67" i="151"/>
  <c r="AI67" i="151" s="1"/>
  <c r="AJ67" i="151"/>
  <c r="AD58" i="119"/>
  <c r="AF58" i="119" s="1"/>
  <c r="AQ55" i="72"/>
  <c r="G11" i="72"/>
  <c r="AK14" i="113"/>
  <c r="AI13" i="76"/>
  <c r="AJ13" i="76" s="1"/>
  <c r="AK13" i="76"/>
  <c r="G48" i="72"/>
  <c r="AK51" i="113"/>
  <c r="AH75" i="120"/>
  <c r="AI75" i="120" s="1"/>
  <c r="AJ75" i="120"/>
  <c r="AD33" i="116"/>
  <c r="AF33" i="116" s="1"/>
  <c r="AN30" i="72"/>
  <c r="AH10" i="145"/>
  <c r="AI10" i="145" s="1"/>
  <c r="AJ10" i="145"/>
  <c r="AH10" i="127"/>
  <c r="AI10" i="127" s="1"/>
  <c r="AJ10" i="127"/>
  <c r="AH69" i="126"/>
  <c r="AI69" i="126" s="1"/>
  <c r="AJ69" i="126"/>
  <c r="M67" i="72"/>
  <c r="AK70" i="119"/>
  <c r="AH27" i="144"/>
  <c r="AI27" i="144" s="1"/>
  <c r="AJ27" i="144"/>
  <c r="AH30" i="149"/>
  <c r="AI30" i="149" s="1"/>
  <c r="AJ30" i="149"/>
  <c r="AH30" i="125"/>
  <c r="AI30" i="125" s="1"/>
  <c r="AJ30" i="125"/>
  <c r="AD11" i="116"/>
  <c r="AF11" i="116" s="1"/>
  <c r="AN8" i="72"/>
  <c r="AD65" i="114"/>
  <c r="AF65" i="114" s="1"/>
  <c r="AL62" i="72"/>
  <c r="AH65" i="120"/>
  <c r="AI65" i="120" s="1"/>
  <c r="AJ65" i="120"/>
  <c r="AH26" i="115"/>
  <c r="AI26" i="115" s="1"/>
  <c r="AJ26" i="115"/>
  <c r="AH26" i="146"/>
  <c r="AI26" i="146" s="1"/>
  <c r="AJ26" i="146"/>
  <c r="AH26" i="125"/>
  <c r="AI26" i="125" s="1"/>
  <c r="AJ26" i="125"/>
  <c r="AH49" i="153"/>
  <c r="AI49" i="153" s="1"/>
  <c r="AJ49" i="153"/>
  <c r="AH49" i="126"/>
  <c r="AI49" i="126" s="1"/>
  <c r="AJ49" i="126"/>
  <c r="G46" i="72"/>
  <c r="AK49" i="113"/>
  <c r="AH16" i="145"/>
  <c r="AI16" i="145" s="1"/>
  <c r="AJ16" i="145"/>
  <c r="AH16" i="118"/>
  <c r="AI16" i="118" s="1"/>
  <c r="AJ16" i="118"/>
  <c r="AH60" i="126"/>
  <c r="AI60" i="126" s="1"/>
  <c r="AJ60" i="126"/>
  <c r="AD68" i="116"/>
  <c r="AF68" i="116" s="1"/>
  <c r="AN65" i="72"/>
  <c r="AH68" i="131"/>
  <c r="AI68" i="131" s="1"/>
  <c r="AJ68" i="131"/>
  <c r="AH18" i="153"/>
  <c r="AI18" i="153" s="1"/>
  <c r="AJ18" i="153"/>
  <c r="AH18" i="118"/>
  <c r="AI18" i="118" s="1"/>
  <c r="AJ18" i="118"/>
  <c r="G15" i="72"/>
  <c r="AK18" i="113"/>
  <c r="AH21" i="127"/>
  <c r="AI21" i="127" s="1"/>
  <c r="AJ21" i="127"/>
  <c r="AH61" i="147"/>
  <c r="AI61" i="147" s="1"/>
  <c r="AJ61" i="147"/>
  <c r="AH66" i="118"/>
  <c r="AI66" i="118" s="1"/>
  <c r="AJ66" i="118"/>
  <c r="AH52" i="145"/>
  <c r="AI52" i="145" s="1"/>
  <c r="AJ52" i="145"/>
  <c r="G49" i="72"/>
  <c r="AK52" i="113"/>
  <c r="AH34" i="114"/>
  <c r="AI34" i="114" s="1"/>
  <c r="AJ34" i="114"/>
  <c r="AF31" i="100"/>
  <c r="AG31" i="100"/>
  <c r="AH24" i="153"/>
  <c r="AI24" i="153" s="1"/>
  <c r="AJ24" i="153"/>
  <c r="AD24" i="117"/>
  <c r="AF24" i="117" s="1"/>
  <c r="AO21" i="72"/>
  <c r="V36" i="72"/>
  <c r="AK39" i="145"/>
  <c r="AH32" i="115"/>
  <c r="AI32" i="115" s="1"/>
  <c r="AJ32" i="115"/>
  <c r="AH32" i="146"/>
  <c r="AI32" i="146" s="1"/>
  <c r="AJ32" i="146"/>
  <c r="AG29" i="100"/>
  <c r="AF29" i="100"/>
  <c r="AI31" i="76"/>
  <c r="AJ31" i="76" s="1"/>
  <c r="AK31" i="76"/>
  <c r="AI31" i="80"/>
  <c r="AJ31" i="80" s="1"/>
  <c r="AK31" i="80"/>
  <c r="AH17" i="147"/>
  <c r="AI17" i="147" s="1"/>
  <c r="AJ17" i="147"/>
  <c r="AH17" i="118"/>
  <c r="AI17" i="118" s="1"/>
  <c r="AJ17" i="118"/>
  <c r="AD37" i="117"/>
  <c r="AF37" i="117" s="1"/>
  <c r="AO34" i="72"/>
  <c r="AH45" i="128"/>
  <c r="AI45" i="128" s="1"/>
  <c r="AJ45" i="128"/>
  <c r="AH53" i="117"/>
  <c r="AI53" i="117" s="1"/>
  <c r="AJ53" i="117"/>
  <c r="AH22" i="116"/>
  <c r="AI22" i="116" s="1"/>
  <c r="AJ22" i="116"/>
  <c r="AE72" i="76"/>
  <c r="AG72" i="76" s="1"/>
  <c r="BH70" i="72"/>
  <c r="AD73" i="117"/>
  <c r="AF73" i="117" s="1"/>
  <c r="AO70" i="72"/>
  <c r="AH56" i="149"/>
  <c r="AI56" i="149" s="1"/>
  <c r="AJ56" i="149"/>
  <c r="AH56" i="131"/>
  <c r="AI56" i="131" s="1"/>
  <c r="AJ56" i="131"/>
  <c r="AH56" i="119"/>
  <c r="AI56" i="119" s="1"/>
  <c r="AJ56" i="119"/>
  <c r="AH31" i="116"/>
  <c r="AI31" i="116" s="1"/>
  <c r="AJ31" i="116"/>
  <c r="AH46" i="152"/>
  <c r="AI46" i="152" s="1"/>
  <c r="AJ46" i="152"/>
  <c r="AH46" i="144"/>
  <c r="AI46" i="144" s="1"/>
  <c r="AJ46" i="144"/>
  <c r="AI45" i="76"/>
  <c r="AJ45" i="76" s="1"/>
  <c r="AK45" i="76"/>
  <c r="AH29" i="145"/>
  <c r="AI29" i="145" s="1"/>
  <c r="AJ29" i="145"/>
  <c r="AH23" i="117"/>
  <c r="AI23" i="117" s="1"/>
  <c r="AJ23" i="117"/>
  <c r="AH64" i="119"/>
  <c r="AI64" i="119" s="1"/>
  <c r="AJ64" i="119"/>
  <c r="AD28" i="127"/>
  <c r="AF28" i="127" s="1"/>
  <c r="AU25" i="72"/>
  <c r="AD36" i="117"/>
  <c r="AF36" i="117" s="1"/>
  <c r="AO33" i="72"/>
  <c r="AH19" i="126"/>
  <c r="AI19" i="126" s="1"/>
  <c r="AJ19" i="126"/>
  <c r="AH41" i="126"/>
  <c r="AI41" i="126" s="1"/>
  <c r="AJ41" i="126"/>
  <c r="T35" i="72"/>
  <c r="AK38" i="131"/>
  <c r="AE66" i="76"/>
  <c r="AG66" i="76" s="1"/>
  <c r="BH64" i="72"/>
  <c r="AD27" i="119"/>
  <c r="AF27" i="119" s="1"/>
  <c r="AQ24" i="72"/>
  <c r="AD68" i="119"/>
  <c r="AF68" i="119" s="1"/>
  <c r="AD30" i="119"/>
  <c r="AF30" i="119" s="1"/>
  <c r="AQ27" i="72"/>
  <c r="AH74" i="119"/>
  <c r="AI74" i="119" s="1"/>
  <c r="AJ74" i="119"/>
  <c r="AH10" i="153"/>
  <c r="AI10" i="153" s="1"/>
  <c r="AJ10" i="153"/>
  <c r="AH13" i="119"/>
  <c r="AI13" i="119" s="1"/>
  <c r="AJ13" i="119"/>
  <c r="AD45" i="119"/>
  <c r="AF45" i="119" s="1"/>
  <c r="AQ42" i="72"/>
  <c r="AH50" i="119"/>
  <c r="AI50" i="119" s="1"/>
  <c r="AJ50" i="119"/>
  <c r="AH41" i="125"/>
  <c r="AI41" i="125" s="1"/>
  <c r="AJ41" i="125"/>
  <c r="AI40" i="80"/>
  <c r="AJ40" i="80" s="1"/>
  <c r="AK40" i="80"/>
  <c r="U82" i="113"/>
  <c r="U76" i="115"/>
  <c r="U82" i="115" s="1"/>
  <c r="U76" i="153"/>
  <c r="U82" i="153" s="1"/>
  <c r="U76" i="144"/>
  <c r="U82" i="144" s="1"/>
  <c r="U76" i="151"/>
  <c r="U82" i="151" s="1"/>
  <c r="U76" i="148"/>
  <c r="U82" i="148" s="1"/>
  <c r="U76" i="146"/>
  <c r="U82" i="146" s="1"/>
  <c r="U76" i="152"/>
  <c r="U82" i="152" s="1"/>
  <c r="U76" i="149"/>
  <c r="U82" i="149" s="1"/>
  <c r="U76" i="147"/>
  <c r="U82" i="147" s="1"/>
  <c r="U76" i="145"/>
  <c r="U82" i="145" s="1"/>
  <c r="U76" i="117"/>
  <c r="U82" i="117" s="1"/>
  <c r="U76" i="116"/>
  <c r="U82" i="116" s="1"/>
  <c r="V75" i="80"/>
  <c r="V81" i="80" s="1"/>
  <c r="U76" i="128"/>
  <c r="U82" i="128" s="1"/>
  <c r="U76" i="129"/>
  <c r="U82" i="129" s="1"/>
  <c r="U76" i="126"/>
  <c r="U82" i="126" s="1"/>
  <c r="U76" i="118"/>
  <c r="U82" i="118" s="1"/>
  <c r="U76" i="119"/>
  <c r="U82" i="119" s="1"/>
  <c r="U77" i="114"/>
  <c r="U83" i="114" s="1"/>
  <c r="U76" i="131"/>
  <c r="U82" i="131" s="1"/>
  <c r="V75" i="76"/>
  <c r="V81" i="76" s="1"/>
  <c r="U76" i="127"/>
  <c r="U82" i="127" s="1"/>
  <c r="U76" i="120"/>
  <c r="U82" i="120" s="1"/>
  <c r="U76" i="125"/>
  <c r="U82" i="125" s="1"/>
  <c r="AD69" i="114"/>
  <c r="AF69" i="114" s="1"/>
  <c r="AL66" i="72"/>
  <c r="AH70" i="144"/>
  <c r="AI70" i="144" s="1"/>
  <c r="AJ70" i="144"/>
  <c r="AD70" i="116"/>
  <c r="AF70" i="116" s="1"/>
  <c r="AN67" i="72"/>
  <c r="AD30" i="128"/>
  <c r="AF30" i="128" s="1"/>
  <c r="AV27" i="72"/>
  <c r="AD65" i="149"/>
  <c r="AF65" i="149" s="1"/>
  <c r="AH16" i="131"/>
  <c r="AI16" i="131" s="1"/>
  <c r="AJ16" i="131"/>
  <c r="AD18" i="117"/>
  <c r="AF18" i="117" s="1"/>
  <c r="AO15" i="72"/>
  <c r="AD61" i="116"/>
  <c r="AF61" i="116" s="1"/>
  <c r="AN58" i="72"/>
  <c r="AD66" i="125"/>
  <c r="AF66" i="125" s="1"/>
  <c r="AC57" i="146"/>
  <c r="BA54" i="72" s="1"/>
  <c r="W54" i="100"/>
  <c r="AD57" i="146"/>
  <c r="AF57" i="146" s="1"/>
  <c r="AH62" i="148"/>
  <c r="AI62" i="148" s="1"/>
  <c r="AJ62" i="148"/>
  <c r="AH39" i="125"/>
  <c r="AI39" i="125" s="1"/>
  <c r="AJ39" i="125"/>
  <c r="AI36" i="80"/>
  <c r="AJ36" i="80" s="1"/>
  <c r="AK36" i="80"/>
  <c r="AH45" i="115"/>
  <c r="AI45" i="115" s="1"/>
  <c r="AJ45" i="115"/>
  <c r="AH22" i="114"/>
  <c r="AI22" i="114" s="1"/>
  <c r="AJ22" i="114"/>
  <c r="AH22" i="125"/>
  <c r="AI22" i="125" s="1"/>
  <c r="AJ22" i="125"/>
  <c r="AF19" i="100"/>
  <c r="AH73" i="120"/>
  <c r="AI73" i="120" s="1"/>
  <c r="AJ73" i="120"/>
  <c r="AD50" i="149"/>
  <c r="AF50" i="149" s="1"/>
  <c r="AH46" i="145"/>
  <c r="AI46" i="145" s="1"/>
  <c r="AJ46" i="145"/>
  <c r="AH46" i="146"/>
  <c r="AI46" i="146" s="1"/>
  <c r="AJ46" i="146"/>
  <c r="AD29" i="116"/>
  <c r="AF29" i="116" s="1"/>
  <c r="AN26" i="72"/>
  <c r="AD23" i="127"/>
  <c r="AF23" i="127" s="1"/>
  <c r="AU20" i="72"/>
  <c r="AD23" i="116"/>
  <c r="AF23" i="116" s="1"/>
  <c r="AN20" i="72"/>
  <c r="AI8" i="80"/>
  <c r="AJ8" i="80" s="1"/>
  <c r="AK8" i="80"/>
  <c r="AD9" i="116"/>
  <c r="AF9" i="116" s="1"/>
  <c r="AN6" i="72"/>
  <c r="AC71" i="151"/>
  <c r="BE68" i="72" s="1"/>
  <c r="AA68" i="100"/>
  <c r="AD71" i="151"/>
  <c r="AF71" i="151" s="1"/>
  <c r="AH25" i="152"/>
  <c r="AI25" i="152" s="1"/>
  <c r="AJ25" i="152"/>
  <c r="AH28" i="126"/>
  <c r="AI28" i="126" s="1"/>
  <c r="AJ28" i="126"/>
  <c r="AH41" i="115"/>
  <c r="AI41" i="115" s="1"/>
  <c r="AJ41" i="115"/>
  <c r="AH67" i="152"/>
  <c r="AI67" i="152" s="1"/>
  <c r="AJ67" i="152"/>
  <c r="AD17" i="100"/>
  <c r="AD19" i="76"/>
  <c r="AC20" i="152"/>
  <c r="BF17" i="72" s="1"/>
  <c r="AB17" i="100"/>
  <c r="AC8" i="120"/>
  <c r="AR5" i="72" s="1"/>
  <c r="N5" i="100"/>
  <c r="AD8" i="120"/>
  <c r="AF8" i="120" s="1"/>
  <c r="AC8" i="147"/>
  <c r="BB5" i="72" s="1"/>
  <c r="X5" i="100"/>
  <c r="AD8" i="147"/>
  <c r="AF8" i="147" s="1"/>
  <c r="M40" i="100"/>
  <c r="AC43" i="119"/>
  <c r="AC43" i="153"/>
  <c r="BG40" i="72" s="1"/>
  <c r="AC40" i="100"/>
  <c r="AD43" i="153"/>
  <c r="AF43" i="153" s="1"/>
  <c r="AC43" i="115"/>
  <c r="AM40" i="72" s="1"/>
  <c r="I40" i="100"/>
  <c r="AD43" i="115"/>
  <c r="AF43" i="115" s="1"/>
  <c r="AC72" i="125"/>
  <c r="AS69" i="72" s="1"/>
  <c r="O69" i="100"/>
  <c r="AC72" i="145"/>
  <c r="AZ69" i="72" s="1"/>
  <c r="V69" i="100"/>
  <c r="AD72" i="145"/>
  <c r="AF72" i="145" s="1"/>
  <c r="AH12" i="113"/>
  <c r="AI12" i="113" s="1"/>
  <c r="AJ12" i="113"/>
  <c r="AC12" i="118"/>
  <c r="AP9" i="72" s="1"/>
  <c r="L9" i="100"/>
  <c r="AD12" i="118"/>
  <c r="AF12" i="118" s="1"/>
  <c r="AD39" i="80"/>
  <c r="BI37" i="72" s="1"/>
  <c r="AE37" i="100"/>
  <c r="AE39" i="80"/>
  <c r="AG39" i="80" s="1"/>
  <c r="AC40" i="147"/>
  <c r="BB37" i="72" s="1"/>
  <c r="X37" i="100"/>
  <c r="AD40" i="147"/>
  <c r="AF40" i="147" s="1"/>
  <c r="AC40" i="115"/>
  <c r="AM37" i="72" s="1"/>
  <c r="I37" i="100"/>
  <c r="AD40" i="115"/>
  <c r="AF40" i="115" s="1"/>
  <c r="AC14" i="131"/>
  <c r="AX11" i="72" s="1"/>
  <c r="T11" i="100"/>
  <c r="AD14" i="131"/>
  <c r="AF14" i="131" s="1"/>
  <c r="AC14" i="144"/>
  <c r="AY11" i="72" s="1"/>
  <c r="U11" i="100"/>
  <c r="AD14" i="144"/>
  <c r="AF14" i="144" s="1"/>
  <c r="K12" i="100"/>
  <c r="AC15" i="117"/>
  <c r="AC15" i="152"/>
  <c r="BF12" i="72" s="1"/>
  <c r="AB12" i="100"/>
  <c r="AC47" i="145"/>
  <c r="AZ44" i="72" s="1"/>
  <c r="V44" i="100"/>
  <c r="AD47" i="145"/>
  <c r="AF47" i="145" s="1"/>
  <c r="AD48" i="100"/>
  <c r="AD50" i="76"/>
  <c r="AC51" i="151"/>
  <c r="BE48" i="72" s="1"/>
  <c r="AA48" i="100"/>
  <c r="AC75" i="144"/>
  <c r="AY72" i="72" s="1"/>
  <c r="U72" i="100"/>
  <c r="AD75" i="144"/>
  <c r="AF75" i="144" s="1"/>
  <c r="AC33" i="149"/>
  <c r="BD30" i="72" s="1"/>
  <c r="Z30" i="100"/>
  <c r="AH10" i="151"/>
  <c r="AI10" i="151" s="1"/>
  <c r="AJ10" i="151"/>
  <c r="AH10" i="148"/>
  <c r="AI10" i="148" s="1"/>
  <c r="AJ10" i="148"/>
  <c r="AE9" i="76"/>
  <c r="AG9" i="76" s="1"/>
  <c r="BH7" i="72"/>
  <c r="AD10" i="131"/>
  <c r="AF10" i="131" s="1"/>
  <c r="AH69" i="117"/>
  <c r="AI69" i="117" s="1"/>
  <c r="AJ69" i="117"/>
  <c r="AI26" i="76"/>
  <c r="AJ26" i="76" s="1"/>
  <c r="AK26" i="76"/>
  <c r="AC11" i="148"/>
  <c r="BC8" i="72" s="1"/>
  <c r="Y8" i="100"/>
  <c r="AH13" i="149"/>
  <c r="AI13" i="149" s="1"/>
  <c r="AJ13" i="149"/>
  <c r="AH49" i="118"/>
  <c r="AI49" i="118" s="1"/>
  <c r="AJ49" i="118"/>
  <c r="AD60" i="116"/>
  <c r="AF60" i="116" s="1"/>
  <c r="AN57" i="72"/>
  <c r="AH18" i="125"/>
  <c r="AI18" i="125" s="1"/>
  <c r="AJ18" i="125"/>
  <c r="AD18" i="116"/>
  <c r="AF18" i="116" s="1"/>
  <c r="AN15" i="72"/>
  <c r="AH61" i="152"/>
  <c r="AI61" i="152" s="1"/>
  <c r="AJ61" i="152"/>
  <c r="AH61" i="153"/>
  <c r="AI61" i="153" s="1"/>
  <c r="AJ61" i="153"/>
  <c r="AD61" i="144"/>
  <c r="AF61" i="144" s="1"/>
  <c r="AH62" i="125"/>
  <c r="AI62" i="125" s="1"/>
  <c r="AJ62" i="125"/>
  <c r="AH24" i="115"/>
  <c r="AI24" i="115" s="1"/>
  <c r="AJ24" i="115"/>
  <c r="AD24" i="114"/>
  <c r="AF24" i="114" s="1"/>
  <c r="AL21" i="72"/>
  <c r="AD32" i="129"/>
  <c r="AF32" i="129" s="1"/>
  <c r="AW29" i="72"/>
  <c r="AD37" i="114"/>
  <c r="AF37" i="114" s="1"/>
  <c r="AL34" i="72"/>
  <c r="AH45" i="151"/>
  <c r="AI45" i="151" s="1"/>
  <c r="AJ45" i="151"/>
  <c r="AI44" i="80"/>
  <c r="AJ44" i="80" s="1"/>
  <c r="AK44" i="80"/>
  <c r="AD53" i="144"/>
  <c r="AF53" i="144" s="1"/>
  <c r="AH22" i="131"/>
  <c r="AI22" i="131" s="1"/>
  <c r="AJ22" i="131"/>
  <c r="AH73" i="115"/>
  <c r="AI73" i="115" s="1"/>
  <c r="AJ73" i="115"/>
  <c r="AH29" i="148"/>
  <c r="AI29" i="148" s="1"/>
  <c r="AJ29" i="148"/>
  <c r="AH23" i="153"/>
  <c r="AI23" i="153" s="1"/>
  <c r="AJ23" i="153"/>
  <c r="AH23" i="146"/>
  <c r="AI23" i="146" s="1"/>
  <c r="AJ23" i="146"/>
  <c r="AH64" i="147"/>
  <c r="AI64" i="147" s="1"/>
  <c r="AJ64" i="147"/>
  <c r="AC35" i="120"/>
  <c r="AR32" i="72" s="1"/>
  <c r="N32" i="100"/>
  <c r="AD35" i="120"/>
  <c r="AF35" i="120" s="1"/>
  <c r="AC35" i="118"/>
  <c r="AP32" i="72" s="1"/>
  <c r="L32" i="100"/>
  <c r="AD35" i="118"/>
  <c r="AF35" i="118" s="1"/>
  <c r="AC35" i="153"/>
  <c r="BG32" i="72" s="1"/>
  <c r="AC32" i="100"/>
  <c r="AC35" i="115"/>
  <c r="AM32" i="72" s="1"/>
  <c r="I32" i="100"/>
  <c r="AD35" i="115"/>
  <c r="AF35" i="115" s="1"/>
  <c r="G48" i="166"/>
  <c r="H48" i="166"/>
  <c r="F45" i="166"/>
  <c r="AH59" i="146"/>
  <c r="AI59" i="146" s="1"/>
  <c r="AJ59" i="146"/>
  <c r="AH59" i="151"/>
  <c r="AI59" i="151" s="1"/>
  <c r="AJ59" i="151"/>
  <c r="AF33" i="100"/>
  <c r="AG33" i="100"/>
  <c r="AH19" i="146"/>
  <c r="AI19" i="146" s="1"/>
  <c r="AJ19" i="146"/>
  <c r="AH19" i="147"/>
  <c r="AI19" i="147" s="1"/>
  <c r="AJ19" i="147"/>
  <c r="AH67" i="148"/>
  <c r="AI67" i="148" s="1"/>
  <c r="AJ67" i="148"/>
  <c r="AH10" i="129"/>
  <c r="AI10" i="129" s="1"/>
  <c r="AJ10" i="129"/>
  <c r="AH69" i="147"/>
  <c r="AI69" i="147" s="1"/>
  <c r="AJ69" i="147"/>
  <c r="AH27" i="148"/>
  <c r="AI27" i="148" s="1"/>
  <c r="AJ27" i="148"/>
  <c r="AH30" i="153"/>
  <c r="AI30" i="153" s="1"/>
  <c r="AJ30" i="153"/>
  <c r="AD65" i="129"/>
  <c r="AF65" i="129" s="1"/>
  <c r="AW62" i="72"/>
  <c r="AH26" i="117"/>
  <c r="AI26" i="117" s="1"/>
  <c r="AJ26" i="117"/>
  <c r="AH74" i="131"/>
  <c r="AI74" i="131" s="1"/>
  <c r="AJ74" i="131"/>
  <c r="AD49" i="131"/>
  <c r="AF49" i="131" s="1"/>
  <c r="AH60" i="148"/>
  <c r="AI60" i="148" s="1"/>
  <c r="AJ60" i="148"/>
  <c r="AD68" i="128"/>
  <c r="AF68" i="128" s="1"/>
  <c r="AV65" i="72"/>
  <c r="AH18" i="149"/>
  <c r="AI18" i="149" s="1"/>
  <c r="AJ18" i="149"/>
  <c r="AB18" i="72"/>
  <c r="AK21" i="152"/>
  <c r="AH21" i="144"/>
  <c r="AI21" i="144" s="1"/>
  <c r="AJ21" i="144"/>
  <c r="AH21" i="129"/>
  <c r="AI21" i="129" s="1"/>
  <c r="AJ21" i="129"/>
  <c r="AH66" i="116"/>
  <c r="AI66" i="116" s="1"/>
  <c r="AJ66" i="116"/>
  <c r="AC44" i="118"/>
  <c r="AP41" i="72" s="1"/>
  <c r="L41" i="100"/>
  <c r="AD44" i="118"/>
  <c r="AF44" i="118" s="1"/>
  <c r="AC44" i="145"/>
  <c r="AZ41" i="72" s="1"/>
  <c r="V41" i="100"/>
  <c r="AD44" i="145"/>
  <c r="AF44" i="145" s="1"/>
  <c r="AH55" i="149"/>
  <c r="AI55" i="149" s="1"/>
  <c r="AJ55" i="149"/>
  <c r="AH55" i="116"/>
  <c r="AI55" i="116" s="1"/>
  <c r="AJ55" i="116"/>
  <c r="AC57" i="120"/>
  <c r="AR54" i="72" s="1"/>
  <c r="N54" i="100"/>
  <c r="AD57" i="120"/>
  <c r="AF57" i="120" s="1"/>
  <c r="H54" i="100"/>
  <c r="AC57" i="114"/>
  <c r="AL54" i="72" s="1"/>
  <c r="AC57" i="145"/>
  <c r="AZ54" i="72" s="1"/>
  <c r="V54" i="100"/>
  <c r="AD57" i="145"/>
  <c r="AF57" i="145" s="1"/>
  <c r="AH62" i="144"/>
  <c r="AI62" i="144" s="1"/>
  <c r="AJ62" i="144"/>
  <c r="AI61" i="76"/>
  <c r="AJ61" i="76" s="1"/>
  <c r="AK61" i="76"/>
  <c r="AH39" i="115"/>
  <c r="AI39" i="115" s="1"/>
  <c r="AJ39" i="115"/>
  <c r="AH39" i="126"/>
  <c r="AI39" i="126" s="1"/>
  <c r="AJ39" i="126"/>
  <c r="E73" i="100"/>
  <c r="AH32" i="145"/>
  <c r="AI32" i="145" s="1"/>
  <c r="AJ32" i="145"/>
  <c r="AI16" i="76"/>
  <c r="AJ16" i="76" s="1"/>
  <c r="AK16" i="76"/>
  <c r="AH37" i="129"/>
  <c r="AI37" i="129" s="1"/>
  <c r="AJ37" i="129"/>
  <c r="AH45" i="120"/>
  <c r="AI45" i="120" s="1"/>
  <c r="AJ45" i="120"/>
  <c r="AD53" i="131"/>
  <c r="AF53" i="131" s="1"/>
  <c r="AH22" i="147"/>
  <c r="AI22" i="147" s="1"/>
  <c r="AJ22" i="147"/>
  <c r="AH50" i="120"/>
  <c r="AI50" i="120" s="1"/>
  <c r="AJ50" i="120"/>
  <c r="G47" i="72"/>
  <c r="AK50" i="113"/>
  <c r="AD56" i="129"/>
  <c r="AF56" i="129" s="1"/>
  <c r="AW53" i="72"/>
  <c r="AD31" i="146"/>
  <c r="AF31" i="146" s="1"/>
  <c r="AD46" i="114"/>
  <c r="AF46" i="114" s="1"/>
  <c r="AL43" i="72"/>
  <c r="AH29" i="144"/>
  <c r="AI29" i="144" s="1"/>
  <c r="AJ29" i="144"/>
  <c r="AD23" i="129"/>
  <c r="AF23" i="129" s="1"/>
  <c r="AW20" i="72"/>
  <c r="AD64" i="118"/>
  <c r="AF64" i="118" s="1"/>
  <c r="AH25" i="146"/>
  <c r="AI25" i="146" s="1"/>
  <c r="AJ25" i="146"/>
  <c r="AD25" i="129"/>
  <c r="AF25" i="129" s="1"/>
  <c r="AW22" i="72"/>
  <c r="AD59" i="129"/>
  <c r="AF59" i="129" s="1"/>
  <c r="AW56" i="72"/>
  <c r="AH36" i="148"/>
  <c r="AI36" i="148" s="1"/>
  <c r="AJ36" i="148"/>
  <c r="AI35" i="80"/>
  <c r="AJ35" i="80" s="1"/>
  <c r="AK35" i="80"/>
  <c r="AH54" i="146"/>
  <c r="AI54" i="146" s="1"/>
  <c r="AJ54" i="146"/>
  <c r="AH19" i="125"/>
  <c r="AI19" i="125" s="1"/>
  <c r="AJ19" i="125"/>
  <c r="AH41" i="144"/>
  <c r="AI41" i="144" s="1"/>
  <c r="AJ41" i="144"/>
  <c r="G38" i="72"/>
  <c r="AK41" i="113"/>
  <c r="Q17" i="100"/>
  <c r="AC20" i="127"/>
  <c r="AD19" i="80"/>
  <c r="BI17" i="72" s="1"/>
  <c r="AE17" i="100"/>
  <c r="K5" i="100"/>
  <c r="AC8" i="117"/>
  <c r="AC72" i="120"/>
  <c r="AR69" i="72" s="1"/>
  <c r="N69" i="100"/>
  <c r="AD72" i="120"/>
  <c r="AF72" i="120" s="1"/>
  <c r="AC72" i="146"/>
  <c r="BA69" i="72" s="1"/>
  <c r="W69" i="100"/>
  <c r="AD72" i="146"/>
  <c r="AF72" i="146" s="1"/>
  <c r="AC12" i="126"/>
  <c r="AT9" i="72" s="1"/>
  <c r="P9" i="100"/>
  <c r="AD12" i="126"/>
  <c r="AF12" i="126" s="1"/>
  <c r="G55" i="72"/>
  <c r="AK58" i="113"/>
  <c r="S55" i="100"/>
  <c r="AC58" i="129"/>
  <c r="Q37" i="100"/>
  <c r="AC40" i="127"/>
  <c r="AC40" i="152"/>
  <c r="BF37" i="72" s="1"/>
  <c r="AB37" i="100"/>
  <c r="AC14" i="149"/>
  <c r="BD11" i="72" s="1"/>
  <c r="Z11" i="100"/>
  <c r="AD14" i="149"/>
  <c r="AF14" i="149" s="1"/>
  <c r="AC14" i="115"/>
  <c r="AM11" i="72" s="1"/>
  <c r="I11" i="100"/>
  <c r="AD14" i="115"/>
  <c r="AF14" i="115" s="1"/>
  <c r="S12" i="100"/>
  <c r="AC15" i="129"/>
  <c r="AW12" i="72" s="1"/>
  <c r="AD14" i="80"/>
  <c r="BI12" i="72" s="1"/>
  <c r="AE12" i="100"/>
  <c r="AE14" i="80"/>
  <c r="AG14" i="80" s="1"/>
  <c r="AC51" i="120"/>
  <c r="AR48" i="72" s="1"/>
  <c r="N48" i="100"/>
  <c r="AD51" i="120"/>
  <c r="AF51" i="120" s="1"/>
  <c r="S48" i="100"/>
  <c r="AC51" i="129"/>
  <c r="AC75" i="126"/>
  <c r="AT72" i="72" s="1"/>
  <c r="P72" i="100"/>
  <c r="AD75" i="126"/>
  <c r="AF75" i="126" s="1"/>
  <c r="AC33" i="126"/>
  <c r="AT30" i="72" s="1"/>
  <c r="P30" i="100"/>
  <c r="AD33" i="126"/>
  <c r="AF33" i="126" s="1"/>
  <c r="AC33" i="144"/>
  <c r="AY30" i="72" s="1"/>
  <c r="U30" i="100"/>
  <c r="AD33" i="144"/>
  <c r="AF33" i="144" s="1"/>
  <c r="AH10" i="149"/>
  <c r="AI10" i="149" s="1"/>
  <c r="AJ10" i="149"/>
  <c r="AD70" i="129"/>
  <c r="AF70" i="129" s="1"/>
  <c r="AW67" i="72"/>
  <c r="AH30" i="145"/>
  <c r="AI30" i="145" s="1"/>
  <c r="AJ30" i="145"/>
  <c r="AH30" i="117"/>
  <c r="AI30" i="117" s="1"/>
  <c r="AJ30" i="117"/>
  <c r="K8" i="100"/>
  <c r="AC11" i="117"/>
  <c r="AC11" i="126"/>
  <c r="AT8" i="72" s="1"/>
  <c r="P8" i="100"/>
  <c r="AD11" i="126"/>
  <c r="AF11" i="126" s="1"/>
  <c r="AC11" i="152"/>
  <c r="BF8" i="72" s="1"/>
  <c r="AB8" i="100"/>
  <c r="AD11" i="152"/>
  <c r="AF11" i="152" s="1"/>
  <c r="AH65" i="126"/>
  <c r="AI65" i="126" s="1"/>
  <c r="AJ65" i="126"/>
  <c r="AH13" i="127"/>
  <c r="AI13" i="127" s="1"/>
  <c r="AJ13" i="127"/>
  <c r="AD49" i="120"/>
  <c r="AF49" i="120" s="1"/>
  <c r="AD16" i="114"/>
  <c r="AF16" i="114" s="1"/>
  <c r="AL13" i="72"/>
  <c r="AD60" i="117"/>
  <c r="AF60" i="117" s="1"/>
  <c r="AO57" i="72"/>
  <c r="AH18" i="152"/>
  <c r="AI18" i="152" s="1"/>
  <c r="AJ18" i="152"/>
  <c r="AD18" i="120"/>
  <c r="AF18" i="120" s="1"/>
  <c r="AD21" i="117"/>
  <c r="AF21" i="117" s="1"/>
  <c r="AO18" i="72"/>
  <c r="AD61" i="117"/>
  <c r="AF61" i="117" s="1"/>
  <c r="AO58" i="72"/>
  <c r="AI60" i="80"/>
  <c r="AJ60" i="80" s="1"/>
  <c r="AK60" i="80"/>
  <c r="AH66" i="151"/>
  <c r="AI66" i="151" s="1"/>
  <c r="AJ66" i="151"/>
  <c r="AI51" i="76"/>
  <c r="AJ51" i="76" s="1"/>
  <c r="AK51" i="76"/>
  <c r="AH55" i="119"/>
  <c r="AI55" i="119" s="1"/>
  <c r="AJ55" i="119"/>
  <c r="AH34" i="119"/>
  <c r="AI34" i="119" s="1"/>
  <c r="AJ34" i="119"/>
  <c r="AD62" i="114"/>
  <c r="AF62" i="114" s="1"/>
  <c r="AL59" i="72"/>
  <c r="AH24" i="126"/>
  <c r="AI24" i="126" s="1"/>
  <c r="AJ24" i="126"/>
  <c r="AH39" i="129"/>
  <c r="AI39" i="129" s="1"/>
  <c r="AJ39" i="129"/>
  <c r="U7" i="115"/>
  <c r="Z7" i="113"/>
  <c r="Z76" i="113" s="1"/>
  <c r="Z82" i="113" s="1"/>
  <c r="U7" i="144"/>
  <c r="U7" i="152"/>
  <c r="U7" i="147"/>
  <c r="U7" i="149"/>
  <c r="U7" i="145"/>
  <c r="U7" i="153"/>
  <c r="U7" i="151"/>
  <c r="U7" i="146"/>
  <c r="U7" i="148"/>
  <c r="U7" i="118"/>
  <c r="U7" i="131"/>
  <c r="U7" i="127"/>
  <c r="U7" i="129"/>
  <c r="V6" i="76"/>
  <c r="U7" i="120"/>
  <c r="U7" i="119"/>
  <c r="U7" i="117"/>
  <c r="V6" i="80"/>
  <c r="U7" i="114"/>
  <c r="U7" i="128"/>
  <c r="U7" i="125"/>
  <c r="U7" i="116"/>
  <c r="U7" i="126"/>
  <c r="V7" i="113"/>
  <c r="V76" i="113" s="1"/>
  <c r="V82" i="113" s="1"/>
  <c r="X7" i="113"/>
  <c r="AH10" i="125"/>
  <c r="AI10" i="125" s="1"/>
  <c r="AJ10" i="125"/>
  <c r="AF66" i="100"/>
  <c r="AG66" i="100"/>
  <c r="AD69" i="129"/>
  <c r="AF69" i="129" s="1"/>
  <c r="AW66" i="72"/>
  <c r="AD69" i="128"/>
  <c r="AF69" i="128" s="1"/>
  <c r="AD70" i="152"/>
  <c r="AF70" i="152" s="1"/>
  <c r="AH70" i="153"/>
  <c r="AI70" i="153" s="1"/>
  <c r="AJ70" i="153"/>
  <c r="AD70" i="128"/>
  <c r="AF70" i="128" s="1"/>
  <c r="AH70" i="113"/>
  <c r="AI70" i="113" s="1"/>
  <c r="AJ70" i="113"/>
  <c r="AD27" i="149"/>
  <c r="AF27" i="149" s="1"/>
  <c r="AH27" i="152"/>
  <c r="AI27" i="152" s="1"/>
  <c r="AJ27" i="152"/>
  <c r="AG24" i="100"/>
  <c r="AF24" i="100"/>
  <c r="AH65" i="151"/>
  <c r="AI65" i="151" s="1"/>
  <c r="AJ65" i="151"/>
  <c r="AD26" i="128"/>
  <c r="AF26" i="128" s="1"/>
  <c r="AD49" i="148"/>
  <c r="AF49" i="148" s="1"/>
  <c r="AE48" i="76"/>
  <c r="AG48" i="76" s="1"/>
  <c r="BH46" i="72"/>
  <c r="AD49" i="127"/>
  <c r="AF49" i="127" s="1"/>
  <c r="AH16" i="153"/>
  <c r="AI16" i="153" s="1"/>
  <c r="AJ16" i="153"/>
  <c r="AD16" i="152"/>
  <c r="AF16" i="152" s="1"/>
  <c r="AD16" i="127"/>
  <c r="AF16" i="127" s="1"/>
  <c r="AU13" i="72"/>
  <c r="AD68" i="117"/>
  <c r="AF68" i="117" s="1"/>
  <c r="AO65" i="72"/>
  <c r="AD18" i="128"/>
  <c r="AF18" i="128" s="1"/>
  <c r="AV15" i="72"/>
  <c r="AH18" i="131"/>
  <c r="AI18" i="131" s="1"/>
  <c r="AJ18" i="131"/>
  <c r="AH44" i="113"/>
  <c r="AI44" i="113" s="1"/>
  <c r="AJ44" i="113"/>
  <c r="AC44" i="120"/>
  <c r="AR41" i="72" s="1"/>
  <c r="N41" i="100"/>
  <c r="AD44" i="120"/>
  <c r="AF44" i="120" s="1"/>
  <c r="H41" i="100"/>
  <c r="AC44" i="114"/>
  <c r="AL41" i="72" s="1"/>
  <c r="R41" i="100"/>
  <c r="AC44" i="128"/>
  <c r="AC44" i="153"/>
  <c r="BG41" i="72" s="1"/>
  <c r="AC41" i="100"/>
  <c r="AC44" i="152"/>
  <c r="BF41" i="72" s="1"/>
  <c r="AB41" i="100"/>
  <c r="K54" i="100"/>
  <c r="AC57" i="117"/>
  <c r="S54" i="100"/>
  <c r="AC57" i="129"/>
  <c r="AW54" i="72" s="1"/>
  <c r="AD56" i="80"/>
  <c r="BI54" i="72" s="1"/>
  <c r="AE54" i="100"/>
  <c r="AE56" i="80"/>
  <c r="AG56" i="80" s="1"/>
  <c r="AH34" i="145"/>
  <c r="AI34" i="145" s="1"/>
  <c r="AJ34" i="145"/>
  <c r="AD34" i="146"/>
  <c r="AF34" i="146" s="1"/>
  <c r="AE33" i="76"/>
  <c r="AG33" i="76" s="1"/>
  <c r="AD34" i="126"/>
  <c r="AF34" i="126" s="1"/>
  <c r="AD34" i="127"/>
  <c r="AF34" i="127" s="1"/>
  <c r="AD62" i="116"/>
  <c r="AF62" i="116" s="1"/>
  <c r="AH32" i="152"/>
  <c r="AI32" i="152" s="1"/>
  <c r="AJ32" i="152"/>
  <c r="AD32" i="148"/>
  <c r="AF32" i="148" s="1"/>
  <c r="AH32" i="126"/>
  <c r="AI32" i="126" s="1"/>
  <c r="AJ32" i="126"/>
  <c r="AH17" i="153"/>
  <c r="AI17" i="153" s="1"/>
  <c r="AJ17" i="153"/>
  <c r="AH53" i="120"/>
  <c r="AI53" i="120" s="1"/>
  <c r="AJ53" i="120"/>
  <c r="AD22" i="153"/>
  <c r="AF22" i="153" s="1"/>
  <c r="AH22" i="152"/>
  <c r="AI22" i="152" s="1"/>
  <c r="AJ22" i="152"/>
  <c r="AD22" i="128"/>
  <c r="AF22" i="128" s="1"/>
  <c r="AV19" i="72"/>
  <c r="AH22" i="118"/>
  <c r="AI22" i="118" s="1"/>
  <c r="AJ22" i="118"/>
  <c r="AH22" i="113"/>
  <c r="AI22" i="113" s="1"/>
  <c r="AJ22" i="113"/>
  <c r="AD73" i="146"/>
  <c r="AF73" i="146" s="1"/>
  <c r="AH73" i="147"/>
  <c r="AI73" i="147" s="1"/>
  <c r="AJ73" i="147"/>
  <c r="AH50" i="115"/>
  <c r="AI50" i="115" s="1"/>
  <c r="AJ50" i="115"/>
  <c r="AH50" i="146"/>
  <c r="AI50" i="146" s="1"/>
  <c r="AJ50" i="146"/>
  <c r="AE55" i="76"/>
  <c r="AG55" i="76" s="1"/>
  <c r="G28" i="72"/>
  <c r="AK31" i="113"/>
  <c r="AE45" i="80"/>
  <c r="AG45" i="80" s="1"/>
  <c r="AD29" i="129"/>
  <c r="AF29" i="129" s="1"/>
  <c r="AW26" i="72"/>
  <c r="AD23" i="144"/>
  <c r="AF23" i="144" s="1"/>
  <c r="AD23" i="145"/>
  <c r="AF23" i="145" s="1"/>
  <c r="AH23" i="149"/>
  <c r="AI23" i="149" s="1"/>
  <c r="AJ23" i="149"/>
  <c r="AD64" i="153"/>
  <c r="AF64" i="153" s="1"/>
  <c r="AH64" i="144"/>
  <c r="AI64" i="144" s="1"/>
  <c r="AJ64" i="144"/>
  <c r="AH9" i="118"/>
  <c r="AI9" i="118" s="1"/>
  <c r="AJ9" i="118"/>
  <c r="R68" i="100"/>
  <c r="AC71" i="128"/>
  <c r="Q68" i="100"/>
  <c r="AC71" i="127"/>
  <c r="AD25" i="153"/>
  <c r="AF25" i="153" s="1"/>
  <c r="AH25" i="144"/>
  <c r="AI25" i="144" s="1"/>
  <c r="AJ25" i="144"/>
  <c r="AH28" i="144"/>
  <c r="AI28" i="144" s="1"/>
  <c r="AJ28" i="144"/>
  <c r="AH36" i="147"/>
  <c r="AI36" i="147" s="1"/>
  <c r="AJ36" i="147"/>
  <c r="AD36" i="152"/>
  <c r="AF36" i="152" s="1"/>
  <c r="AD38" i="129"/>
  <c r="AF38" i="129" s="1"/>
  <c r="AW35" i="72"/>
  <c r="AH38" i="120"/>
  <c r="AI38" i="120" s="1"/>
  <c r="AJ38" i="120"/>
  <c r="AH67" i="144"/>
  <c r="AI67" i="144" s="1"/>
  <c r="AJ67" i="144"/>
  <c r="AD67" i="147"/>
  <c r="AF67" i="147" s="1"/>
  <c r="AH20" i="113"/>
  <c r="AI20" i="113" s="1"/>
  <c r="AJ20" i="113"/>
  <c r="AC20" i="120"/>
  <c r="AR17" i="72" s="1"/>
  <c r="N17" i="100"/>
  <c r="AD20" i="120"/>
  <c r="AF20" i="120" s="1"/>
  <c r="H17" i="100"/>
  <c r="AC20" i="114"/>
  <c r="AD7" i="76"/>
  <c r="BH5" i="72" s="1"/>
  <c r="AD5" i="100"/>
  <c r="AE7" i="76"/>
  <c r="AG7" i="76" s="1"/>
  <c r="AC8" i="126"/>
  <c r="AT5" i="72" s="1"/>
  <c r="P5" i="100"/>
  <c r="AD8" i="126"/>
  <c r="AF8" i="126" s="1"/>
  <c r="AC43" i="116"/>
  <c r="J40" i="100"/>
  <c r="AC43" i="131"/>
  <c r="AX40" i="72" s="1"/>
  <c r="T40" i="100"/>
  <c r="AD43" i="131"/>
  <c r="AF43" i="131" s="1"/>
  <c r="J69" i="100"/>
  <c r="AC72" i="116"/>
  <c r="AC72" i="149"/>
  <c r="BD69" i="72" s="1"/>
  <c r="Z69" i="100"/>
  <c r="AD72" i="149"/>
  <c r="AF72" i="149" s="1"/>
  <c r="AC12" i="152"/>
  <c r="BF9" i="72" s="1"/>
  <c r="AB9" i="100"/>
  <c r="AC12" i="153"/>
  <c r="BG9" i="72" s="1"/>
  <c r="AC9" i="100"/>
  <c r="K55" i="100"/>
  <c r="AC58" i="117"/>
  <c r="AC58" i="131"/>
  <c r="AX55" i="72" s="1"/>
  <c r="T55" i="100"/>
  <c r="R55" i="100"/>
  <c r="AC58" i="128"/>
  <c r="AV55" i="72" s="1"/>
  <c r="H55" i="100"/>
  <c r="AC58" i="114"/>
  <c r="AC58" i="151"/>
  <c r="BE55" i="72" s="1"/>
  <c r="AA55" i="100"/>
  <c r="AC58" i="147"/>
  <c r="BB55" i="72" s="1"/>
  <c r="X55" i="100"/>
  <c r="AD58" i="147"/>
  <c r="AF58" i="147" s="1"/>
  <c r="AD13" i="80"/>
  <c r="BI11" i="72" s="1"/>
  <c r="AE11" i="100"/>
  <c r="AC14" i="145"/>
  <c r="AZ11" i="72" s="1"/>
  <c r="V11" i="100"/>
  <c r="AC14" i="148"/>
  <c r="BC11" i="72" s="1"/>
  <c r="Y11" i="100"/>
  <c r="AH15" i="113"/>
  <c r="AI15" i="113" s="1"/>
  <c r="AJ15" i="113"/>
  <c r="AC15" i="126"/>
  <c r="AT12" i="72" s="1"/>
  <c r="P12" i="100"/>
  <c r="AD15" i="126"/>
  <c r="AF15" i="126" s="1"/>
  <c r="AC15" i="131"/>
  <c r="AX12" i="72" s="1"/>
  <c r="T12" i="100"/>
  <c r="AD15" i="131"/>
  <c r="AF15" i="131" s="1"/>
  <c r="Q44" i="100"/>
  <c r="AC47" i="127"/>
  <c r="AD44" i="100"/>
  <c r="AD46" i="76"/>
  <c r="BH44" i="72" s="1"/>
  <c r="AC47" i="149"/>
  <c r="BD44" i="72" s="1"/>
  <c r="Z44" i="100"/>
  <c r="K44" i="100"/>
  <c r="AC47" i="117"/>
  <c r="AO44" i="72" s="1"/>
  <c r="AC47" i="148"/>
  <c r="BC44" i="72" s="1"/>
  <c r="Y44" i="100"/>
  <c r="AD47" i="148"/>
  <c r="AF47" i="148" s="1"/>
  <c r="Q60" i="100"/>
  <c r="AC63" i="127"/>
  <c r="AU60" i="72" s="1"/>
  <c r="AC63" i="126"/>
  <c r="AT60" i="72" s="1"/>
  <c r="P60" i="100"/>
  <c r="AD63" i="126"/>
  <c r="AF63" i="126" s="1"/>
  <c r="H60" i="100"/>
  <c r="AC63" i="114"/>
  <c r="AC63" i="151"/>
  <c r="BE60" i="72" s="1"/>
  <c r="AA60" i="100"/>
  <c r="AC63" i="146"/>
  <c r="BA60" i="72" s="1"/>
  <c r="W60" i="100"/>
  <c r="AD63" i="146"/>
  <c r="AF63" i="146" s="1"/>
  <c r="AC63" i="115"/>
  <c r="AM60" i="72" s="1"/>
  <c r="I60" i="100"/>
  <c r="AD63" i="115"/>
  <c r="AF63" i="115" s="1"/>
  <c r="AA48" i="115"/>
  <c r="AB48" i="115" s="1"/>
  <c r="AB48" i="152"/>
  <c r="AA48" i="149"/>
  <c r="AB48" i="149" s="1"/>
  <c r="AB48" i="153"/>
  <c r="AA48" i="146"/>
  <c r="AB48" i="146" s="1"/>
  <c r="AB48" i="144"/>
  <c r="AB48" i="131"/>
  <c r="AA48" i="127"/>
  <c r="AB48" i="127" s="1"/>
  <c r="AB48" i="125"/>
  <c r="AB47" i="80"/>
  <c r="AC47" i="80" s="1"/>
  <c r="AB48" i="129"/>
  <c r="AA48" i="118"/>
  <c r="AB48" i="118" s="1"/>
  <c r="AC48" i="113"/>
  <c r="AK45" i="72" s="1"/>
  <c r="G45" i="100"/>
  <c r="AD48" i="113"/>
  <c r="AF48" i="113" s="1"/>
  <c r="O72" i="100"/>
  <c r="AC75" i="125"/>
  <c r="AS72" i="72" s="1"/>
  <c r="AC75" i="118"/>
  <c r="AP72" i="72" s="1"/>
  <c r="L72" i="100"/>
  <c r="AD75" i="118"/>
  <c r="AF75" i="118" s="1"/>
  <c r="R72" i="100"/>
  <c r="AC75" i="128"/>
  <c r="AV72" i="72" s="1"/>
  <c r="AC75" i="149"/>
  <c r="BD72" i="72" s="1"/>
  <c r="Z72" i="100"/>
  <c r="AD75" i="149"/>
  <c r="AF75" i="149" s="1"/>
  <c r="AC75" i="147"/>
  <c r="BB72" i="72" s="1"/>
  <c r="X72" i="100"/>
  <c r="AD75" i="147"/>
  <c r="AF75" i="147" s="1"/>
  <c r="AC75" i="115"/>
  <c r="AM72" i="72" s="1"/>
  <c r="I72" i="100"/>
  <c r="AD75" i="115"/>
  <c r="AF75" i="115" s="1"/>
  <c r="S30" i="100"/>
  <c r="AC33" i="129"/>
  <c r="AW30" i="72" s="1"/>
  <c r="AC33" i="131"/>
  <c r="AX30" i="72" s="1"/>
  <c r="T30" i="100"/>
  <c r="AD33" i="131"/>
  <c r="AF33" i="131" s="1"/>
  <c r="AD10" i="117"/>
  <c r="AF10" i="117" s="1"/>
  <c r="AO7" i="72"/>
  <c r="AD69" i="153"/>
  <c r="AF69" i="153" s="1"/>
  <c r="AH69" i="144"/>
  <c r="AI69" i="144" s="1"/>
  <c r="AJ69" i="144"/>
  <c r="AH70" i="120"/>
  <c r="AI70" i="120" s="1"/>
  <c r="AJ70" i="120"/>
  <c r="AH27" i="115"/>
  <c r="AI27" i="115" s="1"/>
  <c r="AJ27" i="115"/>
  <c r="AD27" i="146"/>
  <c r="AF27" i="146" s="1"/>
  <c r="AH27" i="153"/>
  <c r="AI27" i="153" s="1"/>
  <c r="AJ27" i="153"/>
  <c r="AH27" i="125"/>
  <c r="AI27" i="125" s="1"/>
  <c r="AJ27" i="125"/>
  <c r="R8" i="100"/>
  <c r="AC11" i="128"/>
  <c r="AD10" i="80"/>
  <c r="BI8" i="72" s="1"/>
  <c r="AE8" i="100"/>
  <c r="AE10" i="80"/>
  <c r="AG10" i="80" s="1"/>
  <c r="Q8" i="100"/>
  <c r="AC11" i="127"/>
  <c r="AD65" i="128"/>
  <c r="AF65" i="128" s="1"/>
  <c r="AV62" i="72"/>
  <c r="AD65" i="117"/>
  <c r="AF65" i="117" s="1"/>
  <c r="AO62" i="72"/>
  <c r="AH65" i="118"/>
  <c r="AI65" i="118" s="1"/>
  <c r="AJ65" i="118"/>
  <c r="AE12" i="76"/>
  <c r="AG12" i="76" s="1"/>
  <c r="AI12" i="80"/>
  <c r="AJ12" i="80" s="1"/>
  <c r="AK12" i="80"/>
  <c r="AD26" i="153"/>
  <c r="AF26" i="153" s="1"/>
  <c r="AH26" i="151"/>
  <c r="AI26" i="151" s="1"/>
  <c r="AJ26" i="151"/>
  <c r="AI25" i="80"/>
  <c r="AJ25" i="80" s="1"/>
  <c r="AK25" i="80"/>
  <c r="AH74" i="147"/>
  <c r="AI74" i="147" s="1"/>
  <c r="AJ74" i="147"/>
  <c r="AD74" i="129"/>
  <c r="AF74" i="129" s="1"/>
  <c r="AW71" i="72"/>
  <c r="AH74" i="126"/>
  <c r="AI74" i="126" s="1"/>
  <c r="AJ74" i="126"/>
  <c r="AD49" i="117"/>
  <c r="AF49" i="117" s="1"/>
  <c r="AD16" i="129"/>
  <c r="AF16" i="129" s="1"/>
  <c r="AW13" i="72"/>
  <c r="AD16" i="117"/>
  <c r="AF16" i="117" s="1"/>
  <c r="AO13" i="72"/>
  <c r="AH16" i="120"/>
  <c r="AI16" i="120" s="1"/>
  <c r="AJ16" i="120"/>
  <c r="AD60" i="152"/>
  <c r="AF60" i="152" s="1"/>
  <c r="AH60" i="153"/>
  <c r="AI60" i="153" s="1"/>
  <c r="AJ60" i="153"/>
  <c r="AE59" i="76"/>
  <c r="AG59" i="76" s="1"/>
  <c r="BH57" i="72"/>
  <c r="AH21" i="120"/>
  <c r="AI21" i="120" s="1"/>
  <c r="AJ21" i="120"/>
  <c r="AH61" i="118"/>
  <c r="AI61" i="118" s="1"/>
  <c r="AJ61" i="118"/>
  <c r="AH52" i="126"/>
  <c r="AI52" i="126" s="1"/>
  <c r="AJ52" i="126"/>
  <c r="AD55" i="148"/>
  <c r="AF55" i="148" s="1"/>
  <c r="AH55" i="131"/>
  <c r="AI55" i="131" s="1"/>
  <c r="AJ55" i="131"/>
  <c r="AD55" i="118"/>
  <c r="AF55" i="118" s="1"/>
  <c r="AE54" i="76"/>
  <c r="AG54" i="76" s="1"/>
  <c r="BH52" i="72"/>
  <c r="AH34" i="149"/>
  <c r="AI34" i="149" s="1"/>
  <c r="AJ34" i="149"/>
  <c r="AD62" i="117"/>
  <c r="AF62" i="117" s="1"/>
  <c r="AH24" i="146"/>
  <c r="AI24" i="146" s="1"/>
  <c r="AJ24" i="146"/>
  <c r="AG21" i="100"/>
  <c r="AF21" i="100"/>
  <c r="AD32" i="151"/>
  <c r="AF32" i="151" s="1"/>
  <c r="AD32" i="117"/>
  <c r="AF32" i="117" s="1"/>
  <c r="AH37" i="115"/>
  <c r="AI37" i="115" s="1"/>
  <c r="AJ37" i="115"/>
  <c r="AH37" i="147"/>
  <c r="AI37" i="147" s="1"/>
  <c r="AJ37" i="147"/>
  <c r="AF34" i="100"/>
  <c r="AG34" i="100"/>
  <c r="AH45" i="149"/>
  <c r="AI45" i="149" s="1"/>
  <c r="AJ45" i="149"/>
  <c r="AD45" i="117"/>
  <c r="AF45" i="117" s="1"/>
  <c r="AO42" i="72"/>
  <c r="AE44" i="76"/>
  <c r="AG44" i="76" s="1"/>
  <c r="BH42" i="72"/>
  <c r="AD45" i="129"/>
  <c r="AF45" i="129" s="1"/>
  <c r="AW42" i="72"/>
  <c r="AD53" i="152"/>
  <c r="AF53" i="152" s="1"/>
  <c r="AH53" i="153"/>
  <c r="AI53" i="153" s="1"/>
  <c r="AJ53" i="153"/>
  <c r="AH53" i="125"/>
  <c r="AI53" i="125" s="1"/>
  <c r="AJ53" i="125"/>
  <c r="AI52" i="80"/>
  <c r="AJ52" i="80" s="1"/>
  <c r="AK52" i="80"/>
  <c r="AD22" i="117"/>
  <c r="AF22" i="117" s="1"/>
  <c r="AD73" i="149"/>
  <c r="AF73" i="149" s="1"/>
  <c r="AH73" i="118"/>
  <c r="AI73" i="118" s="1"/>
  <c r="AJ73" i="118"/>
  <c r="AD73" i="127"/>
  <c r="AF73" i="127" s="1"/>
  <c r="AU70" i="72"/>
  <c r="AE49" i="76"/>
  <c r="AG49" i="76" s="1"/>
  <c r="BH47" i="72"/>
  <c r="AE30" i="76"/>
  <c r="AG30" i="76" s="1"/>
  <c r="BH28" i="72"/>
  <c r="AD31" i="128"/>
  <c r="AF31" i="128" s="1"/>
  <c r="AD46" i="126"/>
  <c r="AF46" i="126" s="1"/>
  <c r="AD29" i="117"/>
  <c r="AF29" i="117" s="1"/>
  <c r="AO26" i="72"/>
  <c r="AD29" i="114"/>
  <c r="AF29" i="114" s="1"/>
  <c r="AL26" i="72"/>
  <c r="AD29" i="127"/>
  <c r="AF29" i="127" s="1"/>
  <c r="AU26" i="72"/>
  <c r="AH29" i="131"/>
  <c r="AI29" i="131" s="1"/>
  <c r="AJ29" i="131"/>
  <c r="AE22" i="76"/>
  <c r="AG22" i="76" s="1"/>
  <c r="AD64" i="145"/>
  <c r="AF64" i="145" s="1"/>
  <c r="AD9" i="153"/>
  <c r="AF9" i="153" s="1"/>
  <c r="AE8" i="76"/>
  <c r="AG8" i="76" s="1"/>
  <c r="AD25" i="114"/>
  <c r="AF25" i="114" s="1"/>
  <c r="AL22" i="72"/>
  <c r="AH25" i="126"/>
  <c r="AI25" i="126" s="1"/>
  <c r="AJ25" i="126"/>
  <c r="AH59" i="115"/>
  <c r="AI59" i="115" s="1"/>
  <c r="AJ59" i="115"/>
  <c r="AH28" i="152"/>
  <c r="AI28" i="152" s="1"/>
  <c r="AJ28" i="152"/>
  <c r="AD28" i="148"/>
  <c r="AF28" i="148" s="1"/>
  <c r="AD36" i="128"/>
  <c r="AF36" i="128" s="1"/>
  <c r="AV33" i="72"/>
  <c r="AD36" i="114"/>
  <c r="AF36" i="114" s="1"/>
  <c r="AL33" i="72"/>
  <c r="AH36" i="120"/>
  <c r="AI36" i="120" s="1"/>
  <c r="AJ36" i="120"/>
  <c r="AD54" i="131"/>
  <c r="AF54" i="131" s="1"/>
  <c r="AH19" i="115"/>
  <c r="AI19" i="115" s="1"/>
  <c r="AJ19" i="115"/>
  <c r="AH19" i="120"/>
  <c r="AI19" i="120" s="1"/>
  <c r="AJ19" i="120"/>
  <c r="AD67" i="145"/>
  <c r="AF67" i="145" s="1"/>
  <c r="AH10" i="118"/>
  <c r="AI10" i="118" s="1"/>
  <c r="AJ10" i="118"/>
  <c r="AH70" i="115"/>
  <c r="AI70" i="115" s="1"/>
  <c r="AJ70" i="115"/>
  <c r="AD70" i="148"/>
  <c r="AF70" i="148" s="1"/>
  <c r="AD27" i="129"/>
  <c r="AF27" i="129" s="1"/>
  <c r="AH27" i="116"/>
  <c r="AI27" i="116" s="1"/>
  <c r="AJ27" i="116"/>
  <c r="AD30" i="114"/>
  <c r="AF30" i="114" s="1"/>
  <c r="AL27" i="72"/>
  <c r="AH30" i="113"/>
  <c r="AI30" i="113" s="1"/>
  <c r="AJ30" i="113"/>
  <c r="AD65" i="145"/>
  <c r="AF65" i="145" s="1"/>
  <c r="AH65" i="125"/>
  <c r="AI65" i="125" s="1"/>
  <c r="AJ65" i="125"/>
  <c r="AD13" i="146"/>
  <c r="AF13" i="146" s="1"/>
  <c r="AH13" i="120"/>
  <c r="AI13" i="120" s="1"/>
  <c r="AJ13" i="120"/>
  <c r="AH74" i="145"/>
  <c r="AI74" i="145" s="1"/>
  <c r="AJ74" i="145"/>
  <c r="AD74" i="127"/>
  <c r="AF74" i="127" s="1"/>
  <c r="AH74" i="116"/>
  <c r="AI74" i="116" s="1"/>
  <c r="AJ74" i="116"/>
  <c r="AH16" i="115"/>
  <c r="AI16" i="115" s="1"/>
  <c r="AJ16" i="115"/>
  <c r="AH16" i="126"/>
  <c r="AI16" i="126" s="1"/>
  <c r="AJ16" i="126"/>
  <c r="AH60" i="144"/>
  <c r="AI60" i="144" s="1"/>
  <c r="AJ60" i="144"/>
  <c r="AD60" i="131"/>
  <c r="AF60" i="131" s="1"/>
  <c r="AD65" i="72"/>
  <c r="AL67" i="76"/>
  <c r="AD18" i="127"/>
  <c r="AF18" i="127" s="1"/>
  <c r="AU15" i="72"/>
  <c r="AD21" i="114"/>
  <c r="AF21" i="114" s="1"/>
  <c r="AF18" i="100"/>
  <c r="AG18" i="100"/>
  <c r="AH61" i="148"/>
  <c r="AI61" i="148" s="1"/>
  <c r="AJ61" i="148"/>
  <c r="V58" i="72"/>
  <c r="AK61" i="145"/>
  <c r="AH66" i="152"/>
  <c r="AI66" i="152" s="1"/>
  <c r="AJ66" i="152"/>
  <c r="AD66" i="129"/>
  <c r="AF66" i="129" s="1"/>
  <c r="J41" i="100"/>
  <c r="AC44" i="116"/>
  <c r="AH52" i="144"/>
  <c r="AI52" i="144" s="1"/>
  <c r="AJ52" i="144"/>
  <c r="AH55" i="125"/>
  <c r="AI55" i="125" s="1"/>
  <c r="AJ55" i="125"/>
  <c r="J54" i="100"/>
  <c r="AF54" i="100" s="1"/>
  <c r="AC57" i="116"/>
  <c r="AH34" i="118"/>
  <c r="AI34" i="118" s="1"/>
  <c r="AJ34" i="118"/>
  <c r="AD34" i="131"/>
  <c r="AF34" i="131" s="1"/>
  <c r="AD62" i="127"/>
  <c r="AF62" i="127" s="1"/>
  <c r="AU59" i="72"/>
  <c r="AH24" i="145"/>
  <c r="AI24" i="145" s="1"/>
  <c r="AJ24" i="145"/>
  <c r="AH24" i="125"/>
  <c r="AI24" i="125" s="1"/>
  <c r="AJ24" i="125"/>
  <c r="AH39" i="153"/>
  <c r="AI39" i="153" s="1"/>
  <c r="AJ39" i="153"/>
  <c r="AM14" i="46"/>
  <c r="AK15" i="46"/>
  <c r="AH12" i="72" s="1"/>
  <c r="AR7" i="46"/>
  <c r="AS7" i="46" s="1"/>
  <c r="AU7" i="46" s="1"/>
  <c r="AT7" i="46"/>
  <c r="AH32" i="131"/>
  <c r="AI32" i="131" s="1"/>
  <c r="AJ32" i="131"/>
  <c r="AH17" i="146"/>
  <c r="AI17" i="146" s="1"/>
  <c r="AJ17" i="146"/>
  <c r="AD17" i="129"/>
  <c r="AF17" i="129" s="1"/>
  <c r="AH37" i="125"/>
  <c r="AI37" i="125" s="1"/>
  <c r="AJ37" i="125"/>
  <c r="AH45" i="152"/>
  <c r="AI45" i="152" s="1"/>
  <c r="AJ45" i="152"/>
  <c r="Y42" i="72"/>
  <c r="AK45" i="148"/>
  <c r="AH53" i="148"/>
  <c r="AI53" i="148" s="1"/>
  <c r="AJ53" i="148"/>
  <c r="AD53" i="145"/>
  <c r="AF53" i="145" s="1"/>
  <c r="AH53" i="118"/>
  <c r="AI53" i="118" s="1"/>
  <c r="AJ53" i="118"/>
  <c r="AD22" i="129"/>
  <c r="AF22" i="129" s="1"/>
  <c r="AW19" i="72"/>
  <c r="AH73" i="152"/>
  <c r="AI73" i="152" s="1"/>
  <c r="AJ73" i="152"/>
  <c r="AH73" i="126"/>
  <c r="AI73" i="126" s="1"/>
  <c r="AJ73" i="126"/>
  <c r="AI49" i="80"/>
  <c r="AJ49" i="80" s="1"/>
  <c r="AK49" i="80"/>
  <c r="AH56" i="148"/>
  <c r="AI56" i="148" s="1"/>
  <c r="AJ56" i="148"/>
  <c r="AH31" i="120"/>
  <c r="AI31" i="120" s="1"/>
  <c r="AJ31" i="120"/>
  <c r="AF43" i="100"/>
  <c r="AG43" i="100"/>
  <c r="AH46" i="119"/>
  <c r="AI46" i="119" s="1"/>
  <c r="AJ46" i="119"/>
  <c r="AD29" i="128"/>
  <c r="AF29" i="128" s="1"/>
  <c r="AV26" i="72"/>
  <c r="AH23" i="148"/>
  <c r="AI23" i="148" s="1"/>
  <c r="AJ23" i="148"/>
  <c r="AD64" i="148"/>
  <c r="AF64" i="148" s="1"/>
  <c r="AD64" i="114"/>
  <c r="AF64" i="114" s="1"/>
  <c r="AL61" i="72"/>
  <c r="AH64" i="120"/>
  <c r="AI64" i="120" s="1"/>
  <c r="AJ64" i="120"/>
  <c r="AH9" i="151"/>
  <c r="AI9" i="151" s="1"/>
  <c r="AJ9" i="151"/>
  <c r="AC71" i="126"/>
  <c r="AT68" i="72" s="1"/>
  <c r="P68" i="100"/>
  <c r="AD71" i="126"/>
  <c r="AF71" i="126" s="1"/>
  <c r="AC71" i="131"/>
  <c r="AX68" i="72" s="1"/>
  <c r="T68" i="100"/>
  <c r="AD71" i="131"/>
  <c r="AF71" i="131" s="1"/>
  <c r="AD70" i="80"/>
  <c r="BI68" i="72" s="1"/>
  <c r="AE68" i="100"/>
  <c r="AC71" i="120"/>
  <c r="AR68" i="72" s="1"/>
  <c r="N68" i="100"/>
  <c r="AD71" i="120"/>
  <c r="AF71" i="120" s="1"/>
  <c r="AC71" i="153"/>
  <c r="BG68" i="72" s="1"/>
  <c r="AC68" i="100"/>
  <c r="AD71" i="153"/>
  <c r="AF71" i="153" s="1"/>
  <c r="AC71" i="149"/>
  <c r="BD68" i="72" s="1"/>
  <c r="Z68" i="100"/>
  <c r="AD71" i="149"/>
  <c r="AF71" i="149" s="1"/>
  <c r="AH25" i="125"/>
  <c r="AI25" i="125" s="1"/>
  <c r="AJ25" i="125"/>
  <c r="AI24" i="76"/>
  <c r="AJ24" i="76" s="1"/>
  <c r="AK24" i="76"/>
  <c r="AD59" i="117"/>
  <c r="AF59" i="117" s="1"/>
  <c r="AD28" i="151"/>
  <c r="AF28" i="151" s="1"/>
  <c r="AH28" i="120"/>
  <c r="AI28" i="120" s="1"/>
  <c r="AJ28" i="120"/>
  <c r="AE53" i="76"/>
  <c r="AG53" i="76" s="1"/>
  <c r="AH19" i="148"/>
  <c r="AI19" i="148" s="1"/>
  <c r="AJ19" i="148"/>
  <c r="AE18" i="76"/>
  <c r="AG18" i="76" s="1"/>
  <c r="V38" i="72"/>
  <c r="AK41" i="145"/>
  <c r="AD41" i="127"/>
  <c r="AF41" i="127" s="1"/>
  <c r="AU38" i="72"/>
  <c r="AH38" i="149"/>
  <c r="AI38" i="149" s="1"/>
  <c r="AJ38" i="149"/>
  <c r="AE37" i="80"/>
  <c r="AG37" i="80" s="1"/>
  <c r="AH38" i="125"/>
  <c r="AI38" i="125" s="1"/>
  <c r="AJ38" i="125"/>
  <c r="AD67" i="146"/>
  <c r="AF67" i="146" s="1"/>
  <c r="AI66" i="80"/>
  <c r="AJ66" i="80" s="1"/>
  <c r="AK66" i="80"/>
  <c r="AC20" i="116"/>
  <c r="J17" i="100"/>
  <c r="AC20" i="149"/>
  <c r="BD17" i="72" s="1"/>
  <c r="Z17" i="100"/>
  <c r="AC20" i="145"/>
  <c r="AZ17" i="72" s="1"/>
  <c r="V17" i="100"/>
  <c r="AD20" i="145"/>
  <c r="AF20" i="145" s="1"/>
  <c r="R5" i="100"/>
  <c r="AC8" i="128"/>
  <c r="AV5" i="72" s="1"/>
  <c r="AC8" i="152"/>
  <c r="BF5" i="72" s="1"/>
  <c r="AB5" i="100"/>
  <c r="AC8" i="153"/>
  <c r="BG5" i="72" s="1"/>
  <c r="AC5" i="100"/>
  <c r="AC43" i="118"/>
  <c r="AP40" i="72" s="1"/>
  <c r="L40" i="100"/>
  <c r="AD43" i="118"/>
  <c r="AF43" i="118" s="1"/>
  <c r="AD42" i="80"/>
  <c r="BI40" i="72" s="1"/>
  <c r="AE40" i="100"/>
  <c r="AE42" i="80"/>
  <c r="AG42" i="80" s="1"/>
  <c r="AD40" i="100"/>
  <c r="AD42" i="76"/>
  <c r="AC43" i="145"/>
  <c r="AZ40" i="72" s="1"/>
  <c r="V40" i="100"/>
  <c r="AC43" i="126"/>
  <c r="AT40" i="72" s="1"/>
  <c r="P40" i="100"/>
  <c r="AD43" i="126"/>
  <c r="AF43" i="126" s="1"/>
  <c r="AC72" i="118"/>
  <c r="AP69" i="72" s="1"/>
  <c r="L69" i="100"/>
  <c r="AD72" i="118"/>
  <c r="AF72" i="118" s="1"/>
  <c r="AD71" i="80"/>
  <c r="BI69" i="72" s="1"/>
  <c r="AE69" i="100"/>
  <c r="AE71" i="80"/>
  <c r="AG71" i="80" s="1"/>
  <c r="AD69" i="100"/>
  <c r="AD71" i="76"/>
  <c r="BH69" i="72" s="1"/>
  <c r="AD11" i="80"/>
  <c r="BI9" i="72" s="1"/>
  <c r="AE9" i="100"/>
  <c r="AC12" i="145"/>
  <c r="AZ9" i="72" s="1"/>
  <c r="V9" i="100"/>
  <c r="AC12" i="149"/>
  <c r="BD9" i="72" s="1"/>
  <c r="Z9" i="100"/>
  <c r="AD57" i="80"/>
  <c r="BI55" i="72" s="1"/>
  <c r="AE55" i="100"/>
  <c r="AE57" i="80"/>
  <c r="AG57" i="80" s="1"/>
  <c r="AC58" i="144"/>
  <c r="AY55" i="72" s="1"/>
  <c r="U55" i="100"/>
  <c r="AD58" i="144"/>
  <c r="AF58" i="144" s="1"/>
  <c r="AC58" i="153"/>
  <c r="BG55" i="72" s="1"/>
  <c r="AC55" i="100"/>
  <c r="AD58" i="153"/>
  <c r="AF58" i="153" s="1"/>
  <c r="AC58" i="152"/>
  <c r="BF55" i="72" s="1"/>
  <c r="AB55" i="100"/>
  <c r="AD58" i="152"/>
  <c r="AF58" i="152" s="1"/>
  <c r="AC40" i="126"/>
  <c r="AT37" i="72" s="1"/>
  <c r="P37" i="100"/>
  <c r="AG37" i="100" s="1"/>
  <c r="AD40" i="126"/>
  <c r="AF40" i="126" s="1"/>
  <c r="AC14" i="120"/>
  <c r="AR11" i="72" s="1"/>
  <c r="N11" i="100"/>
  <c r="AD14" i="120"/>
  <c r="AF14" i="120" s="1"/>
  <c r="S11" i="100"/>
  <c r="AC14" i="129"/>
  <c r="AC14" i="126"/>
  <c r="AT11" i="72" s="1"/>
  <c r="P11" i="100"/>
  <c r="AD14" i="126"/>
  <c r="AF14" i="126" s="1"/>
  <c r="AD12" i="100"/>
  <c r="AD14" i="76"/>
  <c r="AC15" i="144"/>
  <c r="AY12" i="72" s="1"/>
  <c r="U12" i="100"/>
  <c r="AD15" i="144"/>
  <c r="AF15" i="144" s="1"/>
  <c r="G44" i="72"/>
  <c r="AK47" i="113"/>
  <c r="AC47" i="126"/>
  <c r="AT44" i="72" s="1"/>
  <c r="P44" i="100"/>
  <c r="AD47" i="126"/>
  <c r="AF47" i="126" s="1"/>
  <c r="R44" i="100"/>
  <c r="AC47" i="128"/>
  <c r="AV44" i="72" s="1"/>
  <c r="AD46" i="80"/>
  <c r="BI44" i="72" s="1"/>
  <c r="AE44" i="100"/>
  <c r="AE46" i="80"/>
  <c r="AG46" i="80" s="1"/>
  <c r="AC47" i="147"/>
  <c r="BB44" i="72" s="1"/>
  <c r="X44" i="100"/>
  <c r="AC47" i="144"/>
  <c r="AY44" i="72" s="1"/>
  <c r="U44" i="100"/>
  <c r="AD47" i="144"/>
  <c r="AF47" i="144" s="1"/>
  <c r="R60" i="100"/>
  <c r="AC63" i="128"/>
  <c r="AV60" i="72" s="1"/>
  <c r="AC63" i="125"/>
  <c r="AS60" i="72" s="1"/>
  <c r="O60" i="100"/>
  <c r="AD63" i="125"/>
  <c r="AF63" i="125" s="1"/>
  <c r="K60" i="100"/>
  <c r="AC63" i="117"/>
  <c r="AC63" i="153"/>
  <c r="BG60" i="72" s="1"/>
  <c r="AC60" i="100"/>
  <c r="AD63" i="153"/>
  <c r="AF63" i="153" s="1"/>
  <c r="AC63" i="149"/>
  <c r="BD60" i="72" s="1"/>
  <c r="Z60" i="100"/>
  <c r="AD63" i="149"/>
  <c r="AF63" i="149" s="1"/>
  <c r="S72" i="100"/>
  <c r="AC75" i="129"/>
  <c r="AC75" i="146"/>
  <c r="BA72" i="72" s="1"/>
  <c r="W72" i="100"/>
  <c r="AD75" i="146"/>
  <c r="AF75" i="146" s="1"/>
  <c r="AC75" i="145"/>
  <c r="AZ72" i="72" s="1"/>
  <c r="V72" i="100"/>
  <c r="AH10" i="126"/>
  <c r="AI10" i="126" s="1"/>
  <c r="AJ10" i="126"/>
  <c r="AH69" i="148"/>
  <c r="AI69" i="148" s="1"/>
  <c r="AJ69" i="148"/>
  <c r="AD69" i="131"/>
  <c r="AF69" i="131" s="1"/>
  <c r="AH70" i="149"/>
  <c r="AI70" i="149" s="1"/>
  <c r="AJ70" i="149"/>
  <c r="AH27" i="147"/>
  <c r="AI27" i="147" s="1"/>
  <c r="AJ27" i="147"/>
  <c r="U27" i="72"/>
  <c r="AK30" i="144"/>
  <c r="AH11" i="113"/>
  <c r="AI11" i="113" s="1"/>
  <c r="AJ11" i="113"/>
  <c r="AD65" i="152"/>
  <c r="AF65" i="152" s="1"/>
  <c r="AH65" i="144"/>
  <c r="AI65" i="144" s="1"/>
  <c r="AJ65" i="144"/>
  <c r="AH65" i="113"/>
  <c r="AI65" i="113" s="1"/>
  <c r="AJ65" i="113"/>
  <c r="AH26" i="147"/>
  <c r="AI26" i="147" s="1"/>
  <c r="AJ26" i="147"/>
  <c r="AH26" i="119"/>
  <c r="AI26" i="119" s="1"/>
  <c r="AJ26" i="119"/>
  <c r="AD74" i="148"/>
  <c r="AF74" i="148" s="1"/>
  <c r="AI73" i="80"/>
  <c r="AJ73" i="80" s="1"/>
  <c r="AK73" i="80"/>
  <c r="AD49" i="152"/>
  <c r="AF49" i="152" s="1"/>
  <c r="AH49" i="144"/>
  <c r="AI49" i="144" s="1"/>
  <c r="AJ49" i="144"/>
  <c r="AH49" i="119"/>
  <c r="AI49" i="119" s="1"/>
  <c r="AJ49" i="119"/>
  <c r="AF13" i="100"/>
  <c r="AG13" i="100"/>
  <c r="AD60" i="115"/>
  <c r="AF60" i="115" s="1"/>
  <c r="AH60" i="147"/>
  <c r="AI60" i="147" s="1"/>
  <c r="AJ60" i="147"/>
  <c r="AH60" i="119"/>
  <c r="AI60" i="119" s="1"/>
  <c r="AJ60" i="119"/>
  <c r="AD68" i="129"/>
  <c r="AF68" i="129" s="1"/>
  <c r="AW65" i="72"/>
  <c r="AI17" i="80"/>
  <c r="AJ17" i="80" s="1"/>
  <c r="AK17" i="80"/>
  <c r="AH61" i="119"/>
  <c r="AI61" i="119" s="1"/>
  <c r="AJ61" i="119"/>
  <c r="AD52" i="128"/>
  <c r="AF52" i="128" s="1"/>
  <c r="AV49" i="72"/>
  <c r="AH52" i="120"/>
  <c r="AI52" i="120" s="1"/>
  <c r="AJ52" i="120"/>
  <c r="AD55" i="145"/>
  <c r="AF55" i="145" s="1"/>
  <c r="AH55" i="153"/>
  <c r="AI55" i="153" s="1"/>
  <c r="AJ55" i="153"/>
  <c r="AD55" i="147"/>
  <c r="AF55" i="147" s="1"/>
  <c r="AD34" i="147"/>
  <c r="AF34" i="147" s="1"/>
  <c r="AH34" i="152"/>
  <c r="AI34" i="152" s="1"/>
  <c r="AJ34" i="152"/>
  <c r="AH62" i="149"/>
  <c r="AI62" i="149" s="1"/>
  <c r="AJ62" i="149"/>
  <c r="AG59" i="100"/>
  <c r="AF59" i="100"/>
  <c r="AH62" i="119"/>
  <c r="AI62" i="119" s="1"/>
  <c r="AJ62" i="119"/>
  <c r="AH24" i="152"/>
  <c r="AI24" i="152" s="1"/>
  <c r="AJ24" i="152"/>
  <c r="AH39" i="152"/>
  <c r="AI39" i="152" s="1"/>
  <c r="AJ39" i="152"/>
  <c r="AH32" i="147"/>
  <c r="AI32" i="147" s="1"/>
  <c r="AJ32" i="147"/>
  <c r="U29" i="72"/>
  <c r="AK32" i="144"/>
  <c r="AH32" i="118"/>
  <c r="AI32" i="118" s="1"/>
  <c r="AJ32" i="118"/>
  <c r="AH17" i="126"/>
  <c r="AI17" i="126" s="1"/>
  <c r="AJ17" i="126"/>
  <c r="AH17" i="119"/>
  <c r="AI17" i="119" s="1"/>
  <c r="AJ17" i="119"/>
  <c r="AD37" i="151"/>
  <c r="AF37" i="151" s="1"/>
  <c r="AH37" i="144"/>
  <c r="AI37" i="144" s="1"/>
  <c r="AJ37" i="144"/>
  <c r="AD53" i="115"/>
  <c r="AF53" i="115" s="1"/>
  <c r="AH22" i="119"/>
  <c r="AI22" i="119" s="1"/>
  <c r="AJ22" i="119"/>
  <c r="AF70" i="100"/>
  <c r="AG70" i="100"/>
  <c r="AH73" i="131"/>
  <c r="AI73" i="131" s="1"/>
  <c r="AJ73" i="131"/>
  <c r="AD50" i="145"/>
  <c r="AF50" i="145" s="1"/>
  <c r="AH50" i="126"/>
  <c r="AI50" i="126" s="1"/>
  <c r="AJ50" i="126"/>
  <c r="AH56" i="146"/>
  <c r="AI56" i="146" s="1"/>
  <c r="AJ56" i="146"/>
  <c r="AD56" i="125"/>
  <c r="AF56" i="125" s="1"/>
  <c r="AH29" i="149"/>
  <c r="AI29" i="149" s="1"/>
  <c r="AJ29" i="149"/>
  <c r="AH64" i="151"/>
  <c r="AI64" i="151" s="1"/>
  <c r="AJ64" i="151"/>
  <c r="Q32" i="100"/>
  <c r="AC35" i="127"/>
  <c r="H32" i="100"/>
  <c r="AC35" i="114"/>
  <c r="AL32" i="72" s="1"/>
  <c r="AC35" i="152"/>
  <c r="BF32" i="72" s="1"/>
  <c r="AB32" i="100"/>
  <c r="AD35" i="152"/>
  <c r="AF35" i="152" s="1"/>
  <c r="AC35" i="148"/>
  <c r="BC32" i="72" s="1"/>
  <c r="Y32" i="100"/>
  <c r="AH9" i="115"/>
  <c r="AI9" i="115" s="1"/>
  <c r="AJ9" i="115"/>
  <c r="AD9" i="127"/>
  <c r="AF9" i="127" s="1"/>
  <c r="AU6" i="72"/>
  <c r="AD9" i="117"/>
  <c r="AF9" i="117" s="1"/>
  <c r="AO6" i="72"/>
  <c r="AH25" i="148"/>
  <c r="AI25" i="148" s="1"/>
  <c r="AJ25" i="148"/>
  <c r="AH25" i="131"/>
  <c r="AI25" i="131" s="1"/>
  <c r="AJ25" i="131"/>
  <c r="AH59" i="125"/>
  <c r="AI59" i="125" s="1"/>
  <c r="AJ59" i="125"/>
  <c r="AD28" i="116"/>
  <c r="AF28" i="116" s="1"/>
  <c r="AN25" i="72"/>
  <c r="AH36" i="115"/>
  <c r="AI36" i="115" s="1"/>
  <c r="AJ36" i="115"/>
  <c r="AD36" i="146"/>
  <c r="AF36" i="146" s="1"/>
  <c r="AH36" i="126"/>
  <c r="AI36" i="126" s="1"/>
  <c r="AJ36" i="126"/>
  <c r="AD54" i="148"/>
  <c r="AF54" i="148" s="1"/>
  <c r="AD54" i="114"/>
  <c r="AF54" i="114" s="1"/>
  <c r="AL51" i="72"/>
  <c r="AD54" i="127"/>
  <c r="AF54" i="127" s="1"/>
  <c r="AD19" i="128"/>
  <c r="AF19" i="128" s="1"/>
  <c r="AV16" i="72"/>
  <c r="AH41" i="120"/>
  <c r="AI41" i="120" s="1"/>
  <c r="AJ41" i="120"/>
  <c r="W35" i="72"/>
  <c r="AK38" i="146"/>
  <c r="AH38" i="118"/>
  <c r="AI38" i="118" s="1"/>
  <c r="AJ38" i="118"/>
  <c r="AH67" i="126"/>
  <c r="AI67" i="126" s="1"/>
  <c r="AJ67" i="126"/>
  <c r="AD9" i="128"/>
  <c r="AF9" i="128" s="1"/>
  <c r="AV6" i="72"/>
  <c r="AD59" i="128"/>
  <c r="AF59" i="128" s="1"/>
  <c r="AV56" i="72"/>
  <c r="AH28" i="145"/>
  <c r="AI28" i="145" s="1"/>
  <c r="AJ28" i="145"/>
  <c r="AH36" i="145"/>
  <c r="AI36" i="145" s="1"/>
  <c r="AJ36" i="145"/>
  <c r="M33" i="72"/>
  <c r="AK36" i="119"/>
  <c r="AD54" i="116"/>
  <c r="AF54" i="116" s="1"/>
  <c r="AN51" i="72"/>
  <c r="AH19" i="152"/>
  <c r="AI19" i="152" s="1"/>
  <c r="AJ19" i="152"/>
  <c r="AD41" i="114"/>
  <c r="AF41" i="114" s="1"/>
  <c r="AD67" i="117"/>
  <c r="AF67" i="117" s="1"/>
  <c r="AO64" i="72"/>
  <c r="AH10" i="115"/>
  <c r="AI10" i="115" s="1"/>
  <c r="AJ10" i="115"/>
  <c r="AH10" i="146"/>
  <c r="AI10" i="146" s="1"/>
  <c r="AJ10" i="146"/>
  <c r="AH27" i="145"/>
  <c r="AI27" i="145" s="1"/>
  <c r="AJ27" i="145"/>
  <c r="AD30" i="115"/>
  <c r="AF30" i="115" s="1"/>
  <c r="AD30" i="146"/>
  <c r="AF30" i="146" s="1"/>
  <c r="AE29" i="76"/>
  <c r="AG29" i="76" s="1"/>
  <c r="AH30" i="131"/>
  <c r="AI30" i="131" s="1"/>
  <c r="AJ30" i="131"/>
  <c r="AE64" i="76"/>
  <c r="AG64" i="76" s="1"/>
  <c r="BH62" i="72"/>
  <c r="AD65" i="127"/>
  <c r="AF65" i="127" s="1"/>
  <c r="AH13" i="152"/>
  <c r="AI13" i="152" s="1"/>
  <c r="AJ13" i="152"/>
  <c r="AD13" i="114"/>
  <c r="AF13" i="114" s="1"/>
  <c r="AL10" i="72"/>
  <c r="AD13" i="128"/>
  <c r="AF13" i="128" s="1"/>
  <c r="AV10" i="72"/>
  <c r="AH26" i="149"/>
  <c r="AI26" i="149" s="1"/>
  <c r="AJ26" i="149"/>
  <c r="AD26" i="145"/>
  <c r="AF26" i="145" s="1"/>
  <c r="AE25" i="76"/>
  <c r="AG25" i="76" s="1"/>
  <c r="AD26" i="127"/>
  <c r="AF26" i="127" s="1"/>
  <c r="AD74" i="152"/>
  <c r="AF74" i="152" s="1"/>
  <c r="AH74" i="118"/>
  <c r="AI74" i="118" s="1"/>
  <c r="AJ74" i="118"/>
  <c r="AD49" i="147"/>
  <c r="AF49" i="147" s="1"/>
  <c r="AD16" i="128"/>
  <c r="AF16" i="128" s="1"/>
  <c r="AV13" i="72"/>
  <c r="AI59" i="80"/>
  <c r="AJ59" i="80" s="1"/>
  <c r="AK59" i="80"/>
  <c r="AD60" i="127"/>
  <c r="AF60" i="127" s="1"/>
  <c r="AU57" i="72"/>
  <c r="AH68" i="126"/>
  <c r="AI68" i="126" s="1"/>
  <c r="AJ68" i="126"/>
  <c r="AD18" i="151"/>
  <c r="AF18" i="151" s="1"/>
  <c r="AH21" i="153"/>
  <c r="AI21" i="153" s="1"/>
  <c r="AJ21" i="153"/>
  <c r="AD61" i="114"/>
  <c r="AF61" i="114" s="1"/>
  <c r="AD61" i="126"/>
  <c r="AF61" i="126" s="1"/>
  <c r="AH66" i="115"/>
  <c r="AI66" i="115" s="1"/>
  <c r="AJ66" i="115"/>
  <c r="AD66" i="148"/>
  <c r="AF66" i="148" s="1"/>
  <c r="AH66" i="146"/>
  <c r="AI66" i="146" s="1"/>
  <c r="AJ66" i="146"/>
  <c r="AG63" i="100"/>
  <c r="AF63" i="100"/>
  <c r="AD44" i="119"/>
  <c r="AF44" i="119" s="1"/>
  <c r="AQ41" i="72"/>
  <c r="AH44" i="144"/>
  <c r="AI44" i="144" s="1"/>
  <c r="AJ44" i="144"/>
  <c r="AD52" i="149"/>
  <c r="AF52" i="149" s="1"/>
  <c r="AI51" i="80"/>
  <c r="AJ51" i="80" s="1"/>
  <c r="AK51" i="80"/>
  <c r="AD52" i="127"/>
  <c r="AF52" i="127" s="1"/>
  <c r="AU49" i="72"/>
  <c r="AH55" i="115"/>
  <c r="AI55" i="115" s="1"/>
  <c r="AJ55" i="115"/>
  <c r="AD55" i="146"/>
  <c r="AF55" i="146" s="1"/>
  <c r="AD55" i="128"/>
  <c r="AF55" i="128" s="1"/>
  <c r="AG52" i="100"/>
  <c r="AF52" i="100"/>
  <c r="AH62" i="126"/>
  <c r="AI62" i="126" s="1"/>
  <c r="AJ62" i="126"/>
  <c r="AH62" i="118"/>
  <c r="AI62" i="118" s="1"/>
  <c r="AJ62" i="118"/>
  <c r="AH24" i="118"/>
  <c r="AI24" i="118" s="1"/>
  <c r="AJ24" i="118"/>
  <c r="AD39" i="151"/>
  <c r="AF39" i="151" s="1"/>
  <c r="AH39" i="144"/>
  <c r="AI39" i="144" s="1"/>
  <c r="AJ39" i="144"/>
  <c r="AD39" i="147"/>
  <c r="AF39" i="147" s="1"/>
  <c r="AD39" i="114"/>
  <c r="AF39" i="114" s="1"/>
  <c r="AG36" i="100"/>
  <c r="AF36" i="100"/>
  <c r="AI16" i="80"/>
  <c r="AJ16" i="80" s="1"/>
  <c r="AK16" i="80"/>
  <c r="G14" i="72"/>
  <c r="AK17" i="113"/>
  <c r="AH37" i="145"/>
  <c r="AI37" i="145" s="1"/>
  <c r="AJ37" i="145"/>
  <c r="AD45" i="116"/>
  <c r="AF45" i="116" s="1"/>
  <c r="AN42" i="72"/>
  <c r="AH45" i="126"/>
  <c r="AI45" i="126" s="1"/>
  <c r="AJ45" i="126"/>
  <c r="AH53" i="151"/>
  <c r="AI53" i="151" s="1"/>
  <c r="AJ53" i="151"/>
  <c r="AD53" i="116"/>
  <c r="AF53" i="116" s="1"/>
  <c r="AN50" i="72"/>
  <c r="AD53" i="119"/>
  <c r="AF53" i="119" s="1"/>
  <c r="AQ50" i="72"/>
  <c r="AD73" i="128"/>
  <c r="AF73" i="128" s="1"/>
  <c r="AV70" i="72"/>
  <c r="AH50" i="125"/>
  <c r="AI50" i="125" s="1"/>
  <c r="AJ50" i="125"/>
  <c r="AH56" i="120"/>
  <c r="AI56" i="120" s="1"/>
  <c r="AJ56" i="120"/>
  <c r="AE55" i="80"/>
  <c r="AG55" i="80" s="1"/>
  <c r="AH56" i="118"/>
  <c r="AI56" i="118" s="1"/>
  <c r="AJ56" i="118"/>
  <c r="AD31" i="151"/>
  <c r="AF31" i="151" s="1"/>
  <c r="AH31" i="144"/>
  <c r="AI31" i="144" s="1"/>
  <c r="AJ31" i="144"/>
  <c r="AI30" i="80"/>
  <c r="AJ30" i="80" s="1"/>
  <c r="AK30" i="80"/>
  <c r="AD31" i="131"/>
  <c r="AF31" i="131" s="1"/>
  <c r="AH31" i="118"/>
  <c r="AI31" i="118" s="1"/>
  <c r="AJ31" i="118"/>
  <c r="AH29" i="115"/>
  <c r="AI29" i="115" s="1"/>
  <c r="AJ29" i="115"/>
  <c r="AD29" i="146"/>
  <c r="AF29" i="146" s="1"/>
  <c r="AH29" i="120"/>
  <c r="AI29" i="120" s="1"/>
  <c r="AJ29" i="120"/>
  <c r="AE28" i="80"/>
  <c r="AG28" i="80" s="1"/>
  <c r="AD64" i="117"/>
  <c r="AF64" i="117" s="1"/>
  <c r="AD71" i="113"/>
  <c r="AF71" i="113" s="1"/>
  <c r="AF68" i="100"/>
  <c r="AD25" i="127"/>
  <c r="AF25" i="127" s="1"/>
  <c r="G22" i="72"/>
  <c r="AK25" i="113"/>
  <c r="AD59" i="145"/>
  <c r="AF59" i="145" s="1"/>
  <c r="AH59" i="147"/>
  <c r="AI59" i="147" s="1"/>
  <c r="AJ59" i="147"/>
  <c r="AD59" i="114"/>
  <c r="AF59" i="114" s="1"/>
  <c r="AL56" i="72"/>
  <c r="AD59" i="127"/>
  <c r="AF59" i="127" s="1"/>
  <c r="AH28" i="147"/>
  <c r="AI28" i="147" s="1"/>
  <c r="AJ28" i="147"/>
  <c r="AD28" i="146"/>
  <c r="AF28" i="146" s="1"/>
  <c r="AD28" i="119"/>
  <c r="AF28" i="119" s="1"/>
  <c r="AQ25" i="72"/>
  <c r="AD28" i="128"/>
  <c r="AF28" i="128" s="1"/>
  <c r="AV25" i="72"/>
  <c r="AD28" i="117"/>
  <c r="AF28" i="117" s="1"/>
  <c r="AO25" i="72"/>
  <c r="AD36" i="129"/>
  <c r="AF36" i="129" s="1"/>
  <c r="AW33" i="72"/>
  <c r="AH54" i="152"/>
  <c r="AI54" i="152" s="1"/>
  <c r="AJ54" i="152"/>
  <c r="AH54" i="144"/>
  <c r="AI54" i="144" s="1"/>
  <c r="AJ54" i="144"/>
  <c r="AH54" i="125"/>
  <c r="AI54" i="125" s="1"/>
  <c r="AJ54" i="125"/>
  <c r="G51" i="72"/>
  <c r="AK54" i="113"/>
  <c r="AD19" i="149"/>
  <c r="AF19" i="149" s="1"/>
  <c r="AH19" i="145"/>
  <c r="AI19" i="145" s="1"/>
  <c r="AJ19" i="145"/>
  <c r="AD19" i="127"/>
  <c r="AF19" i="127" s="1"/>
  <c r="AH41" i="118"/>
  <c r="AI41" i="118" s="1"/>
  <c r="AJ41" i="118"/>
  <c r="AD41" i="117"/>
  <c r="AF41" i="117" s="1"/>
  <c r="AO38" i="72"/>
  <c r="AG35" i="100"/>
  <c r="AF35" i="100"/>
  <c r="G64" i="72"/>
  <c r="AK67" i="113"/>
  <c r="AH20" i="144"/>
  <c r="AI20" i="144" s="1"/>
  <c r="AJ20" i="144"/>
  <c r="J5" i="100"/>
  <c r="AC8" i="116"/>
  <c r="AN5" i="72" s="1"/>
  <c r="AH43" i="113"/>
  <c r="AI43" i="113" s="1"/>
  <c r="AJ43" i="113"/>
  <c r="AE11" i="76"/>
  <c r="AG11" i="76" s="1"/>
  <c r="BH9" i="72"/>
  <c r="AD12" i="119"/>
  <c r="AF12" i="119" s="1"/>
  <c r="AQ9" i="72"/>
  <c r="AH12" i="144"/>
  <c r="AI12" i="144" s="1"/>
  <c r="AJ12" i="144"/>
  <c r="AD14" i="119"/>
  <c r="AF14" i="119" s="1"/>
  <c r="AQ11" i="72"/>
  <c r="AD63" i="113"/>
  <c r="AF63" i="113" s="1"/>
  <c r="AA48" i="147"/>
  <c r="AB48" i="147" s="1"/>
  <c r="AB48" i="145"/>
  <c r="AA48" i="151"/>
  <c r="AB48" i="151" s="1"/>
  <c r="AB48" i="148"/>
  <c r="AA48" i="116"/>
  <c r="AB48" i="116"/>
  <c r="AB48" i="114"/>
  <c r="AB47" i="76"/>
  <c r="AC47" i="76" s="1"/>
  <c r="AB48" i="120"/>
  <c r="AA48" i="117"/>
  <c r="AB48" i="117" s="1"/>
  <c r="AB48" i="128"/>
  <c r="AA48" i="126"/>
  <c r="AB48" i="126" s="1"/>
  <c r="AD75" i="113"/>
  <c r="AF75" i="113" s="1"/>
  <c r="AD69" i="116"/>
  <c r="AF69" i="116" s="1"/>
  <c r="AH70" i="145"/>
  <c r="AI70" i="145" s="1"/>
  <c r="AJ70" i="145"/>
  <c r="AD70" i="146"/>
  <c r="AF70" i="146" s="1"/>
  <c r="AI69" i="80"/>
  <c r="AJ69" i="80" s="1"/>
  <c r="AK69" i="80"/>
  <c r="AD30" i="152"/>
  <c r="AF30" i="152" s="1"/>
  <c r="AD65" i="146"/>
  <c r="AF65" i="146" s="1"/>
  <c r="AD65" i="119"/>
  <c r="AF65" i="119" s="1"/>
  <c r="AQ62" i="72"/>
  <c r="AH13" i="148"/>
  <c r="AI13" i="148" s="1"/>
  <c r="AJ13" i="148"/>
  <c r="AD13" i="117"/>
  <c r="AF13" i="117" s="1"/>
  <c r="AO10" i="72"/>
  <c r="AH13" i="131"/>
  <c r="AI13" i="131" s="1"/>
  <c r="AJ13" i="131"/>
  <c r="AD13" i="116"/>
  <c r="AF13" i="116" s="1"/>
  <c r="AN10" i="72"/>
  <c r="AD26" i="116"/>
  <c r="AF26" i="116" s="1"/>
  <c r="AN23" i="72"/>
  <c r="AH74" i="153"/>
  <c r="AI74" i="153" s="1"/>
  <c r="AJ74" i="153"/>
  <c r="AH49" i="115"/>
  <c r="AI49" i="115" s="1"/>
  <c r="AJ49" i="115"/>
  <c r="AD49" i="149"/>
  <c r="AF49" i="149" s="1"/>
  <c r="AH49" i="146"/>
  <c r="AI49" i="146" s="1"/>
  <c r="AJ49" i="146"/>
  <c r="AH16" i="151"/>
  <c r="AI16" i="151" s="1"/>
  <c r="AJ16" i="151"/>
  <c r="AD16" i="147"/>
  <c r="AF16" i="147" s="1"/>
  <c r="AD16" i="119"/>
  <c r="AF16" i="119" s="1"/>
  <c r="AH60" i="120"/>
  <c r="AI60" i="120" s="1"/>
  <c r="AJ60" i="120"/>
  <c r="G57" i="72"/>
  <c r="AK60" i="113"/>
  <c r="AH68" i="118"/>
  <c r="AI68" i="118" s="1"/>
  <c r="AJ68" i="118"/>
  <c r="AH18" i="147"/>
  <c r="AI18" i="147" s="1"/>
  <c r="AJ18" i="147"/>
  <c r="AD18" i="114"/>
  <c r="AF18" i="114" s="1"/>
  <c r="AL15" i="72"/>
  <c r="AD18" i="119"/>
  <c r="AF18" i="119" s="1"/>
  <c r="AQ15" i="72"/>
  <c r="AH21" i="148"/>
  <c r="AI21" i="148" s="1"/>
  <c r="AJ21" i="148"/>
  <c r="AH21" i="125"/>
  <c r="AI21" i="125" s="1"/>
  <c r="AJ21" i="125"/>
  <c r="AH61" i="120"/>
  <c r="AI61" i="120" s="1"/>
  <c r="AJ61" i="120"/>
  <c r="G58" i="72"/>
  <c r="AK61" i="113"/>
  <c r="AD66" i="145"/>
  <c r="AF66" i="145" s="1"/>
  <c r="AH66" i="147"/>
  <c r="AI66" i="147" s="1"/>
  <c r="AJ66" i="147"/>
  <c r="AH66" i="126"/>
  <c r="AI66" i="126" s="1"/>
  <c r="AJ66" i="126"/>
  <c r="AH52" i="115"/>
  <c r="AI52" i="115" s="1"/>
  <c r="AJ52" i="115"/>
  <c r="AD52" i="148"/>
  <c r="AF52" i="148" s="1"/>
  <c r="AD55" i="117"/>
  <c r="AF55" i="117" s="1"/>
  <c r="AO52" i="72"/>
  <c r="AH34" i="144"/>
  <c r="AI34" i="144" s="1"/>
  <c r="AJ34" i="144"/>
  <c r="AH34" i="120"/>
  <c r="AI34" i="120" s="1"/>
  <c r="AJ34" i="120"/>
  <c r="AH62" i="145"/>
  <c r="AI62" i="145" s="1"/>
  <c r="AJ62" i="145"/>
  <c r="AI61" i="80"/>
  <c r="AJ61" i="80" s="1"/>
  <c r="AK61" i="80"/>
  <c r="AE23" i="76"/>
  <c r="AG23" i="76" s="1"/>
  <c r="AH17" i="145"/>
  <c r="AI17" i="145" s="1"/>
  <c r="AJ17" i="145"/>
  <c r="AD17" i="148"/>
  <c r="AF17" i="148" s="1"/>
  <c r="AD17" i="128"/>
  <c r="AF17" i="128" s="1"/>
  <c r="AV14" i="72"/>
  <c r="AD17" i="114"/>
  <c r="AF17" i="114" s="1"/>
  <c r="AL14" i="72"/>
  <c r="AI21" i="80"/>
  <c r="AJ21" i="80" s="1"/>
  <c r="AK21" i="80"/>
  <c r="AD50" i="128"/>
  <c r="AF50" i="128" s="1"/>
  <c r="AD50" i="117"/>
  <c r="AF50" i="117" s="1"/>
  <c r="AH56" i="153"/>
  <c r="AI56" i="153" s="1"/>
  <c r="AJ56" i="153"/>
  <c r="AD56" i="127"/>
  <c r="AF56" i="127" s="1"/>
  <c r="AU53" i="72"/>
  <c r="AD56" i="116"/>
  <c r="AF56" i="116" s="1"/>
  <c r="AN53" i="72"/>
  <c r="AH56" i="126"/>
  <c r="AI56" i="126" s="1"/>
  <c r="AJ56" i="126"/>
  <c r="AD31" i="149"/>
  <c r="AF31" i="149" s="1"/>
  <c r="AH31" i="152"/>
  <c r="AI31" i="152" s="1"/>
  <c r="AJ31" i="152"/>
  <c r="AH31" i="126"/>
  <c r="AI31" i="126" s="1"/>
  <c r="AJ31" i="126"/>
  <c r="AH46" i="115"/>
  <c r="AI46" i="115" s="1"/>
  <c r="AJ46" i="115"/>
  <c r="AD46" i="147"/>
  <c r="AF46" i="147" s="1"/>
  <c r="AH46" i="120"/>
  <c r="AI46" i="120" s="1"/>
  <c r="AJ46" i="120"/>
  <c r="AH23" i="152"/>
  <c r="AI23" i="152" s="1"/>
  <c r="AJ23" i="152"/>
  <c r="AH23" i="120"/>
  <c r="AI23" i="120" s="1"/>
  <c r="AJ23" i="120"/>
  <c r="AD64" i="128"/>
  <c r="AF64" i="128" s="1"/>
  <c r="AV61" i="72"/>
  <c r="AH35" i="113"/>
  <c r="AI35" i="113" s="1"/>
  <c r="AJ35" i="113"/>
  <c r="AH9" i="120"/>
  <c r="AI9" i="120" s="1"/>
  <c r="AJ9" i="120"/>
  <c r="AH9" i="131"/>
  <c r="AI9" i="131" s="1"/>
  <c r="AJ9" i="131"/>
  <c r="AD25" i="149"/>
  <c r="AF25" i="149" s="1"/>
  <c r="AE58" i="76"/>
  <c r="AG58" i="76" s="1"/>
  <c r="BH56" i="72"/>
  <c r="AH59" i="120"/>
  <c r="AI59" i="120" s="1"/>
  <c r="AJ59" i="120"/>
  <c r="AH28" i="125"/>
  <c r="AI28" i="125" s="1"/>
  <c r="AJ28" i="125"/>
  <c r="AD36" i="151"/>
  <c r="AF36" i="151" s="1"/>
  <c r="AH36" i="153"/>
  <c r="AI36" i="153" s="1"/>
  <c r="AJ36" i="153"/>
  <c r="AE35" i="76"/>
  <c r="AG35" i="76" s="1"/>
  <c r="BH33" i="72"/>
  <c r="AH54" i="145"/>
  <c r="AI54" i="145" s="1"/>
  <c r="AJ54" i="145"/>
  <c r="AI53" i="80"/>
  <c r="AJ53" i="80" s="1"/>
  <c r="AK53" i="80"/>
  <c r="AD19" i="131"/>
  <c r="AF19" i="131" s="1"/>
  <c r="AD38" i="127"/>
  <c r="AF38" i="127" s="1"/>
  <c r="AH10" i="152"/>
  <c r="AI10" i="152" s="1"/>
  <c r="AJ10" i="152"/>
  <c r="AH10" i="120"/>
  <c r="AI10" i="120" s="1"/>
  <c r="AJ10" i="120"/>
  <c r="AH69" i="125"/>
  <c r="AI69" i="125" s="1"/>
  <c r="AJ69" i="125"/>
  <c r="AH70" i="147"/>
  <c r="AI70" i="147" s="1"/>
  <c r="AJ70" i="147"/>
  <c r="AH70" i="118"/>
  <c r="AI70" i="118" s="1"/>
  <c r="AJ70" i="118"/>
  <c r="AH27" i="131"/>
  <c r="AI27" i="131" s="1"/>
  <c r="AJ27" i="131"/>
  <c r="AD30" i="151"/>
  <c r="AF30" i="151" s="1"/>
  <c r="AD30" i="127"/>
  <c r="AF30" i="127" s="1"/>
  <c r="AU27" i="72"/>
  <c r="AH65" i="116"/>
  <c r="AI65" i="116" s="1"/>
  <c r="AJ65" i="116"/>
  <c r="AH13" i="115"/>
  <c r="AI13" i="115" s="1"/>
  <c r="AJ13" i="115"/>
  <c r="AD13" i="147"/>
  <c r="AF13" i="147" s="1"/>
  <c r="AH13" i="118"/>
  <c r="AI13" i="118" s="1"/>
  <c r="AJ13" i="118"/>
  <c r="AD74" i="114"/>
  <c r="AF74" i="114" s="1"/>
  <c r="AG71" i="100"/>
  <c r="AF71" i="100"/>
  <c r="AE73" i="76"/>
  <c r="AG73" i="76" s="1"/>
  <c r="AD49" i="129"/>
  <c r="AF49" i="129" s="1"/>
  <c r="AD16" i="146"/>
  <c r="AF16" i="146" s="1"/>
  <c r="AD60" i="129"/>
  <c r="AF60" i="129" s="1"/>
  <c r="AW57" i="72"/>
  <c r="AH68" i="144"/>
  <c r="AI68" i="144" s="1"/>
  <c r="AJ68" i="144"/>
  <c r="AH68" i="120"/>
  <c r="AI68" i="120" s="1"/>
  <c r="AJ68" i="120"/>
  <c r="AD18" i="145"/>
  <c r="AF18" i="145" s="1"/>
  <c r="AH18" i="126"/>
  <c r="AI18" i="126" s="1"/>
  <c r="AJ18" i="126"/>
  <c r="AD21" i="115"/>
  <c r="AF21" i="115" s="1"/>
  <c r="AH21" i="146"/>
  <c r="AI21" i="146" s="1"/>
  <c r="AJ21" i="146"/>
  <c r="AD21" i="128"/>
  <c r="AF21" i="128" s="1"/>
  <c r="AV18" i="72"/>
  <c r="AD61" i="131"/>
  <c r="AF61" i="131" s="1"/>
  <c r="AH66" i="153"/>
  <c r="AI66" i="153" s="1"/>
  <c r="AJ66" i="153"/>
  <c r="AH66" i="120"/>
  <c r="AI66" i="120" s="1"/>
  <c r="AJ66" i="120"/>
  <c r="AH44" i="146"/>
  <c r="AI44" i="146" s="1"/>
  <c r="AJ44" i="146"/>
  <c r="AD52" i="151"/>
  <c r="AF52" i="151" s="1"/>
  <c r="AD52" i="129"/>
  <c r="AF52" i="129" s="1"/>
  <c r="AW49" i="72"/>
  <c r="AH55" i="120"/>
  <c r="AI55" i="120" s="1"/>
  <c r="AJ55" i="120"/>
  <c r="AD34" i="128"/>
  <c r="AF34" i="128" s="1"/>
  <c r="AD62" i="128"/>
  <c r="AF62" i="128" s="1"/>
  <c r="AD24" i="149"/>
  <c r="AF24" i="149" s="1"/>
  <c r="AH24" i="131"/>
  <c r="AI24" i="131" s="1"/>
  <c r="AJ24" i="131"/>
  <c r="AH39" i="118"/>
  <c r="AI39" i="118" s="1"/>
  <c r="AJ39" i="118"/>
  <c r="U14" i="72"/>
  <c r="AK17" i="144"/>
  <c r="AH37" i="152"/>
  <c r="AI37" i="152" s="1"/>
  <c r="AJ37" i="152"/>
  <c r="AD45" i="153"/>
  <c r="AF45" i="153" s="1"/>
  <c r="AH45" i="144"/>
  <c r="AI45" i="144" s="1"/>
  <c r="AJ45" i="144"/>
  <c r="AD45" i="131"/>
  <c r="AF45" i="131" s="1"/>
  <c r="AH53" i="149"/>
  <c r="AI53" i="149" s="1"/>
  <c r="AJ53" i="149"/>
  <c r="AH22" i="115"/>
  <c r="AI22" i="115" s="1"/>
  <c r="AJ22" i="115"/>
  <c r="AH22" i="126"/>
  <c r="AI22" i="126" s="1"/>
  <c r="AJ22" i="126"/>
  <c r="AE72" i="80"/>
  <c r="AG72" i="80" s="1"/>
  <c r="AH50" i="152"/>
  <c r="AI50" i="152" s="1"/>
  <c r="AJ50" i="152"/>
  <c r="AD50" i="129"/>
  <c r="AF50" i="129" s="1"/>
  <c r="AW47" i="72"/>
  <c r="AH31" i="115"/>
  <c r="AI31" i="115" s="1"/>
  <c r="AJ31" i="115"/>
  <c r="AH31" i="125"/>
  <c r="AI31" i="125" s="1"/>
  <c r="AJ31" i="125"/>
  <c r="AD46" i="151"/>
  <c r="AF46" i="151" s="1"/>
  <c r="AH46" i="118"/>
  <c r="AI46" i="118" s="1"/>
  <c r="AJ46" i="118"/>
  <c r="AD29" i="151"/>
  <c r="AF29" i="151" s="1"/>
  <c r="AH29" i="119"/>
  <c r="AI29" i="119" s="1"/>
  <c r="AJ29" i="119"/>
  <c r="G26" i="72"/>
  <c r="AK29" i="113"/>
  <c r="AH23" i="118"/>
  <c r="AI23" i="118" s="1"/>
  <c r="AJ23" i="118"/>
  <c r="AH64" i="146"/>
  <c r="AI64" i="146" s="1"/>
  <c r="AJ64" i="146"/>
  <c r="AD61" i="72"/>
  <c r="AL63" i="76"/>
  <c r="AG6" i="100"/>
  <c r="AF6" i="100"/>
  <c r="AH25" i="147"/>
  <c r="AI25" i="147" s="1"/>
  <c r="AJ25" i="147"/>
  <c r="AD25" i="117"/>
  <c r="AF25" i="117" s="1"/>
  <c r="AO22" i="72"/>
  <c r="AH28" i="153"/>
  <c r="AI28" i="153" s="1"/>
  <c r="AJ28" i="153"/>
  <c r="AI27" i="76"/>
  <c r="AJ27" i="76" s="1"/>
  <c r="AK27" i="76"/>
  <c r="G25" i="72"/>
  <c r="AK28" i="113"/>
  <c r="AD36" i="149"/>
  <c r="AF36" i="149" s="1"/>
  <c r="AH36" i="116"/>
  <c r="AI36" i="116" s="1"/>
  <c r="AJ36" i="116"/>
  <c r="AH54" i="115"/>
  <c r="AI54" i="115" s="1"/>
  <c r="AJ54" i="115"/>
  <c r="AH54" i="126"/>
  <c r="AI54" i="126" s="1"/>
  <c r="AJ54" i="126"/>
  <c r="AH19" i="151"/>
  <c r="AI19" i="151" s="1"/>
  <c r="AJ19" i="151"/>
  <c r="AH41" i="151"/>
  <c r="AI41" i="151" s="1"/>
  <c r="AJ41" i="151"/>
  <c r="AE40" i="76"/>
  <c r="AG40" i="76" s="1"/>
  <c r="BH38" i="72"/>
  <c r="AD41" i="128"/>
  <c r="AF41" i="128" s="1"/>
  <c r="AV38" i="72"/>
  <c r="AD67" i="127"/>
  <c r="AF67" i="127" s="1"/>
  <c r="AU64" i="72"/>
  <c r="AH67" i="120"/>
  <c r="AI67" i="120" s="1"/>
  <c r="AJ67" i="120"/>
  <c r="AD8" i="144"/>
  <c r="AF8" i="144" s="1"/>
  <c r="AH43" i="149"/>
  <c r="AI43" i="149" s="1"/>
  <c r="AJ43" i="149"/>
  <c r="G69" i="72"/>
  <c r="AK72" i="113"/>
  <c r="AD72" i="119"/>
  <c r="AF72" i="119" s="1"/>
  <c r="AD12" i="128"/>
  <c r="AF12" i="128" s="1"/>
  <c r="AV9" i="72"/>
  <c r="AD12" i="116"/>
  <c r="AF12" i="116" s="1"/>
  <c r="AN9" i="72"/>
  <c r="AD14" i="116"/>
  <c r="AF14" i="116" s="1"/>
  <c r="AN11" i="72"/>
  <c r="AD47" i="116"/>
  <c r="AF47" i="116" s="1"/>
  <c r="AN44" i="72"/>
  <c r="AH47" i="152"/>
  <c r="AI47" i="152" s="1"/>
  <c r="AJ47" i="152"/>
  <c r="AD63" i="116"/>
  <c r="AF63" i="116" s="1"/>
  <c r="R7" i="72"/>
  <c r="AK10" i="128"/>
  <c r="AH69" i="146"/>
  <c r="AI69" i="146" s="1"/>
  <c r="AJ69" i="146"/>
  <c r="AH69" i="118"/>
  <c r="AI69" i="118" s="1"/>
  <c r="AJ69" i="118"/>
  <c r="AD70" i="151"/>
  <c r="AF70" i="151" s="1"/>
  <c r="AH70" i="126"/>
  <c r="AI70" i="126" s="1"/>
  <c r="AJ70" i="126"/>
  <c r="AD27" i="128"/>
  <c r="AF27" i="128" s="1"/>
  <c r="AV24" i="72"/>
  <c r="AH27" i="118"/>
  <c r="AI27" i="118" s="1"/>
  <c r="AJ27" i="118"/>
  <c r="AI29" i="80"/>
  <c r="AJ29" i="80" s="1"/>
  <c r="AK29" i="80"/>
  <c r="AH65" i="153"/>
  <c r="AI65" i="153" s="1"/>
  <c r="AJ65" i="153"/>
  <c r="AH13" i="145"/>
  <c r="AI13" i="145" s="1"/>
  <c r="AJ13" i="145"/>
  <c r="AH74" i="125"/>
  <c r="AI74" i="125" s="1"/>
  <c r="AJ74" i="125"/>
  <c r="AD74" i="120"/>
  <c r="AF74" i="120" s="1"/>
  <c r="AH60" i="146"/>
  <c r="AI60" i="146" s="1"/>
  <c r="AJ60" i="146"/>
  <c r="AH68" i="149"/>
  <c r="AI68" i="149" s="1"/>
  <c r="AJ68" i="149"/>
  <c r="AD18" i="129"/>
  <c r="AF18" i="129" s="1"/>
  <c r="AW15" i="72"/>
  <c r="AH21" i="149"/>
  <c r="AI21" i="149" s="1"/>
  <c r="AJ21" i="149"/>
  <c r="AD21" i="116"/>
  <c r="AF21" i="116" s="1"/>
  <c r="AN18" i="72"/>
  <c r="AH61" i="115"/>
  <c r="AI61" i="115" s="1"/>
  <c r="AJ61" i="115"/>
  <c r="AD61" i="129"/>
  <c r="AF61" i="129" s="1"/>
  <c r="AW58" i="72"/>
  <c r="AH66" i="149"/>
  <c r="AI66" i="149" s="1"/>
  <c r="AJ66" i="149"/>
  <c r="AH66" i="131"/>
  <c r="AI66" i="131" s="1"/>
  <c r="AJ66" i="131"/>
  <c r="AD52" i="114"/>
  <c r="AF52" i="114" s="1"/>
  <c r="AL49" i="72"/>
  <c r="AD55" i="129"/>
  <c r="AF55" i="129" s="1"/>
  <c r="AW52" i="72"/>
  <c r="AH34" i="115"/>
  <c r="AI34" i="115" s="1"/>
  <c r="AJ34" i="115"/>
  <c r="Y31" i="72"/>
  <c r="AK34" i="148"/>
  <c r="AH34" i="125"/>
  <c r="AI34" i="125" s="1"/>
  <c r="AJ34" i="125"/>
  <c r="AD62" i="151"/>
  <c r="AF62" i="151" s="1"/>
  <c r="AD62" i="129"/>
  <c r="AF62" i="129" s="1"/>
  <c r="AW59" i="72"/>
  <c r="AH24" i="128"/>
  <c r="AI24" i="128" s="1"/>
  <c r="AJ24" i="128"/>
  <c r="AD39" i="149"/>
  <c r="AF39" i="149" s="1"/>
  <c r="AE38" i="76"/>
  <c r="AG38" i="76" s="1"/>
  <c r="BH36" i="72"/>
  <c r="AD32" i="114"/>
  <c r="AF32" i="114" s="1"/>
  <c r="AL29" i="72"/>
  <c r="AH17" i="125"/>
  <c r="AI17" i="125" s="1"/>
  <c r="AJ17" i="125"/>
  <c r="AH37" i="153"/>
  <c r="AI37" i="153" s="1"/>
  <c r="AJ37" i="153"/>
  <c r="AH37" i="119"/>
  <c r="AI37" i="119" s="1"/>
  <c r="AJ37" i="119"/>
  <c r="AD45" i="146"/>
  <c r="AF45" i="146" s="1"/>
  <c r="AD45" i="114"/>
  <c r="AF45" i="114" s="1"/>
  <c r="AH53" i="146"/>
  <c r="AI53" i="146" s="1"/>
  <c r="AJ53" i="146"/>
  <c r="AD53" i="129"/>
  <c r="AF53" i="129" s="1"/>
  <c r="AD22" i="151"/>
  <c r="AF22" i="151" s="1"/>
  <c r="AD22" i="127"/>
  <c r="AF22" i="127" s="1"/>
  <c r="AU19" i="72"/>
  <c r="AH73" i="148"/>
  <c r="AI73" i="148" s="1"/>
  <c r="AJ73" i="148"/>
  <c r="AD50" i="148"/>
  <c r="AF50" i="148" s="1"/>
  <c r="AD50" i="127"/>
  <c r="AF50" i="127" s="1"/>
  <c r="AU47" i="72"/>
  <c r="AD56" i="128"/>
  <c r="AF56" i="128" s="1"/>
  <c r="AV53" i="72"/>
  <c r="AD31" i="117"/>
  <c r="AF31" i="117" s="1"/>
  <c r="AO28" i="72"/>
  <c r="AH46" i="125"/>
  <c r="AI46" i="125" s="1"/>
  <c r="AJ46" i="125"/>
  <c r="AH29" i="125"/>
  <c r="AI29" i="125" s="1"/>
  <c r="AJ29" i="125"/>
  <c r="AD64" i="127"/>
  <c r="AF64" i="127" s="1"/>
  <c r="AU61" i="72"/>
  <c r="AH9" i="149"/>
  <c r="AI9" i="149" s="1"/>
  <c r="AJ9" i="149"/>
  <c r="U6" i="72"/>
  <c r="AK9" i="144"/>
  <c r="AH25" i="151"/>
  <c r="AI25" i="151" s="1"/>
  <c r="AJ25" i="151"/>
  <c r="AI24" i="80"/>
  <c r="AJ24" i="80" s="1"/>
  <c r="AK24" i="80"/>
  <c r="AH59" i="152"/>
  <c r="AI59" i="152" s="1"/>
  <c r="AJ59" i="152"/>
  <c r="AH59" i="149"/>
  <c r="AI59" i="149" s="1"/>
  <c r="AJ59" i="149"/>
  <c r="AH41" i="149"/>
  <c r="AI41" i="149" s="1"/>
  <c r="AJ41" i="149"/>
  <c r="AH67" i="149"/>
  <c r="AI67" i="149" s="1"/>
  <c r="AJ67" i="149"/>
  <c r="AD32" i="119"/>
  <c r="AF32" i="119" s="1"/>
  <c r="AQ29" i="72"/>
  <c r="AH67" i="119"/>
  <c r="AI67" i="119" s="1"/>
  <c r="AJ67" i="119"/>
  <c r="AH21" i="119"/>
  <c r="AI21" i="119" s="1"/>
  <c r="AJ21" i="119"/>
  <c r="AD69" i="119"/>
  <c r="AF69" i="119" s="1"/>
  <c r="AQ66" i="72"/>
  <c r="AD59" i="119"/>
  <c r="AF59" i="119" s="1"/>
  <c r="AQ56" i="72"/>
  <c r="AH41" i="152"/>
  <c r="AI41" i="152" s="1"/>
  <c r="AJ41" i="152"/>
  <c r="AF72" i="100" l="1"/>
  <c r="AG60" i="100"/>
  <c r="AF37" i="100"/>
  <c r="AJ31" i="119"/>
  <c r="AH31" i="119"/>
  <c r="AI31" i="119" s="1"/>
  <c r="AD47" i="147"/>
  <c r="AF47" i="147" s="1"/>
  <c r="AH47" i="147" s="1"/>
  <c r="AI47" i="147" s="1"/>
  <c r="AG72" i="100"/>
  <c r="AD75" i="125"/>
  <c r="AF75" i="125" s="1"/>
  <c r="AF60" i="100"/>
  <c r="AD63" i="151"/>
  <c r="AF63" i="151" s="1"/>
  <c r="AG68" i="100"/>
  <c r="AD44" i="153"/>
  <c r="AF44" i="153" s="1"/>
  <c r="AD44" i="114"/>
  <c r="AF44" i="114" s="1"/>
  <c r="AD15" i="129"/>
  <c r="AF15" i="129" s="1"/>
  <c r="AD40" i="152"/>
  <c r="AF40" i="152" s="1"/>
  <c r="AE19" i="80"/>
  <c r="AG19" i="80" s="1"/>
  <c r="AG54" i="100"/>
  <c r="AD11" i="148"/>
  <c r="AF11" i="148" s="1"/>
  <c r="AD33" i="149"/>
  <c r="AF33" i="149" s="1"/>
  <c r="AD51" i="151"/>
  <c r="AF51" i="151" s="1"/>
  <c r="AD15" i="152"/>
  <c r="AF15" i="152" s="1"/>
  <c r="AD72" i="125"/>
  <c r="AF72" i="125" s="1"/>
  <c r="AD47" i="120"/>
  <c r="AF47" i="120" s="1"/>
  <c r="AD58" i="146"/>
  <c r="AF58" i="146" s="1"/>
  <c r="AD43" i="152"/>
  <c r="AF43" i="152" s="1"/>
  <c r="AD8" i="146"/>
  <c r="AF8" i="146" s="1"/>
  <c r="AD51" i="147"/>
  <c r="AF51" i="147" s="1"/>
  <c r="AD51" i="117"/>
  <c r="AF51" i="117" s="1"/>
  <c r="AD63" i="119"/>
  <c r="AF63" i="119" s="1"/>
  <c r="AD72" i="115"/>
  <c r="AF72" i="115" s="1"/>
  <c r="AD14" i="153"/>
  <c r="AF14" i="153" s="1"/>
  <c r="AJ33" i="113"/>
  <c r="AH33" i="113"/>
  <c r="AI33" i="113" s="1"/>
  <c r="AD51" i="153"/>
  <c r="AF51" i="153" s="1"/>
  <c r="AH41" i="131"/>
  <c r="AI41" i="131" s="1"/>
  <c r="AJ41" i="131"/>
  <c r="M19" i="137"/>
  <c r="N19" i="137"/>
  <c r="AD47" i="151"/>
  <c r="AF47" i="151" s="1"/>
  <c r="AE11" i="80"/>
  <c r="AG11" i="80" s="1"/>
  <c r="AI11" i="80" s="1"/>
  <c r="AJ11" i="80" s="1"/>
  <c r="AE71" i="76"/>
  <c r="AG71" i="76" s="1"/>
  <c r="AD14" i="117"/>
  <c r="AF14" i="117" s="1"/>
  <c r="AD40" i="114"/>
  <c r="AF40" i="114" s="1"/>
  <c r="AD72" i="148"/>
  <c r="AF72" i="148" s="1"/>
  <c r="AD20" i="131"/>
  <c r="AF20" i="131" s="1"/>
  <c r="AD71" i="145"/>
  <c r="AF71" i="145" s="1"/>
  <c r="AD71" i="129"/>
  <c r="AF71" i="129" s="1"/>
  <c r="AD11" i="145"/>
  <c r="AF11" i="145" s="1"/>
  <c r="AD40" i="151"/>
  <c r="AF40" i="151" s="1"/>
  <c r="AE39" i="76"/>
  <c r="AG39" i="76" s="1"/>
  <c r="AD71" i="152"/>
  <c r="AF71" i="152" s="1"/>
  <c r="AD57" i="128"/>
  <c r="AF57" i="128" s="1"/>
  <c r="AD44" i="148"/>
  <c r="AF44" i="148" s="1"/>
  <c r="M45" i="100"/>
  <c r="AC48" i="119"/>
  <c r="AF12" i="100"/>
  <c r="AG17" i="100"/>
  <c r="AF41" i="100"/>
  <c r="AF9" i="100"/>
  <c r="AJ38" i="144"/>
  <c r="AH38" i="144"/>
  <c r="AI38" i="144" s="1"/>
  <c r="AJ38" i="151"/>
  <c r="AH38" i="151"/>
  <c r="AI38" i="151" s="1"/>
  <c r="AD35" i="114"/>
  <c r="AF35" i="114" s="1"/>
  <c r="AH35" i="114" s="1"/>
  <c r="AI35" i="114" s="1"/>
  <c r="AG32" i="100"/>
  <c r="AD12" i="149"/>
  <c r="AF12" i="149" s="1"/>
  <c r="AH12" i="149" s="1"/>
  <c r="AI12" i="149" s="1"/>
  <c r="AD8" i="153"/>
  <c r="AF8" i="153" s="1"/>
  <c r="AD20" i="149"/>
  <c r="AF20" i="149" s="1"/>
  <c r="AH20" i="149" s="1"/>
  <c r="AI20" i="149" s="1"/>
  <c r="AE70" i="80"/>
  <c r="AG70" i="80" s="1"/>
  <c r="AD14" i="145"/>
  <c r="AF14" i="145" s="1"/>
  <c r="AD12" i="153"/>
  <c r="AF12" i="153" s="1"/>
  <c r="AG40" i="100"/>
  <c r="AD57" i="148"/>
  <c r="AF57" i="148" s="1"/>
  <c r="AD51" i="145"/>
  <c r="AF51" i="145" s="1"/>
  <c r="AD51" i="128"/>
  <c r="AF51" i="128" s="1"/>
  <c r="AD51" i="152"/>
  <c r="AF51" i="152" s="1"/>
  <c r="AD40" i="149"/>
  <c r="AF40" i="149" s="1"/>
  <c r="AD51" i="127"/>
  <c r="AF51" i="127" s="1"/>
  <c r="AD63" i="152"/>
  <c r="AF63" i="152" s="1"/>
  <c r="AD63" i="148"/>
  <c r="AF63" i="148" s="1"/>
  <c r="AD15" i="149"/>
  <c r="AF15" i="149" s="1"/>
  <c r="AD11" i="129"/>
  <c r="AF11" i="129" s="1"/>
  <c r="AD63" i="129"/>
  <c r="AF63" i="129" s="1"/>
  <c r="AD47" i="146"/>
  <c r="AF47" i="146" s="1"/>
  <c r="AD57" i="147"/>
  <c r="AF57" i="147" s="1"/>
  <c r="AD44" i="151"/>
  <c r="AF44" i="151" s="1"/>
  <c r="AD58" i="145"/>
  <c r="AF58" i="145" s="1"/>
  <c r="AD8" i="125"/>
  <c r="AF8" i="125" s="1"/>
  <c r="AD57" i="153"/>
  <c r="AF57" i="153" s="1"/>
  <c r="AH38" i="153"/>
  <c r="AI38" i="153" s="1"/>
  <c r="AJ38" i="153"/>
  <c r="AJ41" i="147"/>
  <c r="AH41" i="147"/>
  <c r="AI41" i="147" s="1"/>
  <c r="AC48" i="151"/>
  <c r="BE45" i="72" s="1"/>
  <c r="AA45" i="100"/>
  <c r="AD48" i="151"/>
  <c r="AF48" i="151" s="1"/>
  <c r="AC48" i="147"/>
  <c r="BB45" i="72" s="1"/>
  <c r="X45" i="100"/>
  <c r="AD48" i="147"/>
  <c r="AF48" i="147" s="1"/>
  <c r="AC48" i="146"/>
  <c r="BA45" i="72" s="1"/>
  <c r="W45" i="100"/>
  <c r="AD48" i="146"/>
  <c r="AF48" i="146" s="1"/>
  <c r="AC48" i="149"/>
  <c r="BD45" i="72" s="1"/>
  <c r="Z45" i="100"/>
  <c r="AC48" i="115"/>
  <c r="AM45" i="72" s="1"/>
  <c r="I45" i="100"/>
  <c r="AD48" i="115"/>
  <c r="AF48" i="115" s="1"/>
  <c r="AC48" i="126"/>
  <c r="AT45" i="72" s="1"/>
  <c r="P45" i="100"/>
  <c r="AD48" i="126"/>
  <c r="AF48" i="126" s="1"/>
  <c r="K45" i="100"/>
  <c r="AC48" i="117"/>
  <c r="AD45" i="100"/>
  <c r="AD47" i="76"/>
  <c r="BH45" i="72" s="1"/>
  <c r="AC48" i="118"/>
  <c r="AP45" i="72" s="1"/>
  <c r="L45" i="100"/>
  <c r="AD48" i="118"/>
  <c r="AF48" i="118" s="1"/>
  <c r="AD47" i="80"/>
  <c r="BI45" i="72" s="1"/>
  <c r="AE45" i="100"/>
  <c r="Q45" i="100"/>
  <c r="AC48" i="127"/>
  <c r="AB38" i="72"/>
  <c r="AK41" i="152"/>
  <c r="AH69" i="119"/>
  <c r="AI69" i="119" s="1"/>
  <c r="AJ69" i="119"/>
  <c r="M64" i="72"/>
  <c r="AK67" i="119"/>
  <c r="Z64" i="72"/>
  <c r="AK67" i="149"/>
  <c r="AH50" i="148"/>
  <c r="AI50" i="148" s="1"/>
  <c r="AJ50" i="148"/>
  <c r="AH22" i="127"/>
  <c r="AI22" i="127" s="1"/>
  <c r="AJ22" i="127"/>
  <c r="W50" i="72"/>
  <c r="AK53" i="146"/>
  <c r="O31" i="72"/>
  <c r="AK34" i="125"/>
  <c r="I31" i="72"/>
  <c r="AK34" i="115"/>
  <c r="AH52" i="114"/>
  <c r="AI52" i="114" s="1"/>
  <c r="AJ52" i="114"/>
  <c r="T63" i="72"/>
  <c r="AK66" i="131"/>
  <c r="AH61" i="129"/>
  <c r="AI61" i="129" s="1"/>
  <c r="AJ61" i="129"/>
  <c r="I58" i="72"/>
  <c r="AK61" i="115"/>
  <c r="AH21" i="116"/>
  <c r="AI21" i="116" s="1"/>
  <c r="AJ21" i="116"/>
  <c r="Z18" i="72"/>
  <c r="AK21" i="149"/>
  <c r="AH18" i="129"/>
  <c r="AI18" i="129" s="1"/>
  <c r="AJ18" i="129"/>
  <c r="Z65" i="72"/>
  <c r="AK68" i="149"/>
  <c r="W57" i="72"/>
  <c r="AK60" i="146"/>
  <c r="AH70" i="151"/>
  <c r="AI70" i="151" s="1"/>
  <c r="AJ70" i="151"/>
  <c r="L66" i="72"/>
  <c r="AK69" i="118"/>
  <c r="W66" i="72"/>
  <c r="AK69" i="146"/>
  <c r="AH72" i="119"/>
  <c r="AI72" i="119" s="1"/>
  <c r="AJ72" i="119"/>
  <c r="Z40" i="72"/>
  <c r="AK43" i="149"/>
  <c r="AH36" i="149"/>
  <c r="AI36" i="149" s="1"/>
  <c r="AJ36" i="149"/>
  <c r="AD25" i="72"/>
  <c r="AL27" i="76"/>
  <c r="AC25" i="72"/>
  <c r="AK28" i="153"/>
  <c r="AH25" i="117"/>
  <c r="AI25" i="117" s="1"/>
  <c r="AJ25" i="117"/>
  <c r="X22" i="72"/>
  <c r="AK25" i="147"/>
  <c r="W61" i="72"/>
  <c r="AK64" i="146"/>
  <c r="L20" i="72"/>
  <c r="AK23" i="118"/>
  <c r="M26" i="72"/>
  <c r="AK29" i="119"/>
  <c r="AH46" i="151"/>
  <c r="AI46" i="151" s="1"/>
  <c r="AJ46" i="151"/>
  <c r="O28" i="72"/>
  <c r="AK31" i="125"/>
  <c r="I28" i="72"/>
  <c r="AK31" i="115"/>
  <c r="AH50" i="129"/>
  <c r="AI50" i="129" s="1"/>
  <c r="AJ50" i="129"/>
  <c r="AB47" i="72"/>
  <c r="AK50" i="152"/>
  <c r="AH45" i="131"/>
  <c r="AI45" i="131" s="1"/>
  <c r="AJ45" i="131"/>
  <c r="U42" i="72"/>
  <c r="AK45" i="144"/>
  <c r="AH24" i="149"/>
  <c r="AI24" i="149" s="1"/>
  <c r="AJ24" i="149"/>
  <c r="AH62" i="128"/>
  <c r="AI62" i="128" s="1"/>
  <c r="AJ62" i="128"/>
  <c r="AH52" i="151"/>
  <c r="AI52" i="151" s="1"/>
  <c r="AJ52" i="151"/>
  <c r="W41" i="72"/>
  <c r="AK44" i="146"/>
  <c r="AH61" i="131"/>
  <c r="AI61" i="131" s="1"/>
  <c r="AJ61" i="131"/>
  <c r="AH21" i="128"/>
  <c r="AI21" i="128" s="1"/>
  <c r="AJ21" i="128"/>
  <c r="W18" i="72"/>
  <c r="AK21" i="146"/>
  <c r="AH18" i="145"/>
  <c r="AI18" i="145" s="1"/>
  <c r="AJ18" i="145"/>
  <c r="N65" i="72"/>
  <c r="AK68" i="120"/>
  <c r="U65" i="72"/>
  <c r="AK68" i="144"/>
  <c r="AH60" i="129"/>
  <c r="AI60" i="129" s="1"/>
  <c r="AJ60" i="129"/>
  <c r="AH49" i="129"/>
  <c r="AI49" i="129" s="1"/>
  <c r="AJ49" i="129"/>
  <c r="AI73" i="76"/>
  <c r="AJ73" i="76" s="1"/>
  <c r="AK73" i="76"/>
  <c r="AH13" i="147"/>
  <c r="AI13" i="147" s="1"/>
  <c r="AJ13" i="147"/>
  <c r="I10" i="72"/>
  <c r="AK13" i="115"/>
  <c r="J62" i="72"/>
  <c r="AK65" i="116"/>
  <c r="AH30" i="127"/>
  <c r="AI30" i="127" s="1"/>
  <c r="AJ30" i="127"/>
  <c r="AH19" i="131"/>
  <c r="AI19" i="131" s="1"/>
  <c r="AJ19" i="131"/>
  <c r="AE51" i="72"/>
  <c r="AL53" i="80"/>
  <c r="V51" i="72"/>
  <c r="AK54" i="145"/>
  <c r="AI35" i="76"/>
  <c r="AJ35" i="76" s="1"/>
  <c r="AK35" i="76"/>
  <c r="AC33" i="72"/>
  <c r="AK36" i="153"/>
  <c r="AH25" i="149"/>
  <c r="AI25" i="149" s="1"/>
  <c r="AJ25" i="149"/>
  <c r="AH46" i="147"/>
  <c r="AI46" i="147" s="1"/>
  <c r="AJ46" i="147"/>
  <c r="I43" i="72"/>
  <c r="AK46" i="115"/>
  <c r="P28" i="72"/>
  <c r="AK31" i="126"/>
  <c r="AB28" i="72"/>
  <c r="AK31" i="152"/>
  <c r="AH50" i="117"/>
  <c r="AI50" i="117" s="1"/>
  <c r="AJ50" i="117"/>
  <c r="AH17" i="148"/>
  <c r="AI17" i="148" s="1"/>
  <c r="AJ17" i="148"/>
  <c r="V14" i="72"/>
  <c r="AK17" i="145"/>
  <c r="AH52" i="148"/>
  <c r="AI52" i="148" s="1"/>
  <c r="AJ52" i="148"/>
  <c r="I49" i="72"/>
  <c r="AK52" i="115"/>
  <c r="P63" i="72"/>
  <c r="AK66" i="126"/>
  <c r="X63" i="72"/>
  <c r="AK66" i="147"/>
  <c r="AH16" i="119"/>
  <c r="AI16" i="119" s="1"/>
  <c r="AJ16" i="119"/>
  <c r="AH49" i="149"/>
  <c r="AI49" i="149" s="1"/>
  <c r="AJ49" i="149"/>
  <c r="I46" i="72"/>
  <c r="AK49" i="115"/>
  <c r="AC71" i="72"/>
  <c r="AK74" i="153"/>
  <c r="AH26" i="116"/>
  <c r="AI26" i="116" s="1"/>
  <c r="AJ26" i="116"/>
  <c r="AH13" i="116"/>
  <c r="AI13" i="116" s="1"/>
  <c r="AJ13" i="116"/>
  <c r="T10" i="72"/>
  <c r="AK13" i="131"/>
  <c r="AH13" i="117"/>
  <c r="AI13" i="117" s="1"/>
  <c r="AJ13" i="117"/>
  <c r="Y10" i="72"/>
  <c r="AK13" i="148"/>
  <c r="AH65" i="119"/>
  <c r="AI65" i="119" s="1"/>
  <c r="AJ65" i="119"/>
  <c r="AH30" i="152"/>
  <c r="AI30" i="152" s="1"/>
  <c r="AJ30" i="152"/>
  <c r="AE67" i="72"/>
  <c r="AL69" i="80"/>
  <c r="AH69" i="116"/>
  <c r="AI69" i="116" s="1"/>
  <c r="AJ69" i="116"/>
  <c r="AC48" i="116"/>
  <c r="AN45" i="72" s="1"/>
  <c r="J45" i="100"/>
  <c r="AD48" i="116"/>
  <c r="AF48" i="116" s="1"/>
  <c r="AC48" i="148"/>
  <c r="BC45" i="72" s="1"/>
  <c r="Y45" i="100"/>
  <c r="AD48" i="148"/>
  <c r="AF48" i="148" s="1"/>
  <c r="AC48" i="145"/>
  <c r="AZ45" i="72" s="1"/>
  <c r="V45" i="100"/>
  <c r="AD48" i="145"/>
  <c r="AF48" i="145" s="1"/>
  <c r="AH63" i="113"/>
  <c r="AI63" i="113" s="1"/>
  <c r="AJ63" i="113"/>
  <c r="AH14" i="119"/>
  <c r="AI14" i="119" s="1"/>
  <c r="AJ14" i="119"/>
  <c r="U9" i="72"/>
  <c r="AK12" i="144"/>
  <c r="AH12" i="119"/>
  <c r="AI12" i="119" s="1"/>
  <c r="AJ12" i="119"/>
  <c r="AI11" i="76"/>
  <c r="AJ11" i="76" s="1"/>
  <c r="AK11" i="76"/>
  <c r="G40" i="72"/>
  <c r="AK43" i="113"/>
  <c r="AH19" i="127"/>
  <c r="AI19" i="127" s="1"/>
  <c r="AJ19" i="127"/>
  <c r="V16" i="72"/>
  <c r="AK19" i="145"/>
  <c r="AH28" i="146"/>
  <c r="AI28" i="146" s="1"/>
  <c r="AJ28" i="146"/>
  <c r="X25" i="72"/>
  <c r="AK28" i="147"/>
  <c r="AH59" i="145"/>
  <c r="AI59" i="145" s="1"/>
  <c r="AJ59" i="145"/>
  <c r="AH71" i="113"/>
  <c r="AI71" i="113" s="1"/>
  <c r="AJ71" i="113"/>
  <c r="AI28" i="80"/>
  <c r="AJ28" i="80" s="1"/>
  <c r="AK28" i="80"/>
  <c r="N26" i="72"/>
  <c r="AK29" i="120"/>
  <c r="AH31" i="131"/>
  <c r="AI31" i="131" s="1"/>
  <c r="AJ31" i="131"/>
  <c r="AE28" i="72"/>
  <c r="AL30" i="80"/>
  <c r="U28" i="72"/>
  <c r="AK31" i="144"/>
  <c r="AI55" i="80"/>
  <c r="AJ55" i="80" s="1"/>
  <c r="AK55" i="80"/>
  <c r="N53" i="72"/>
  <c r="AK56" i="120"/>
  <c r="O47" i="72"/>
  <c r="AK50" i="125"/>
  <c r="AH73" i="128"/>
  <c r="AI73" i="128" s="1"/>
  <c r="AJ73" i="128"/>
  <c r="AH53" i="119"/>
  <c r="AI53" i="119" s="1"/>
  <c r="AJ53" i="119"/>
  <c r="AH53" i="116"/>
  <c r="AI53" i="116" s="1"/>
  <c r="AJ53" i="116"/>
  <c r="AA50" i="72"/>
  <c r="AK53" i="151"/>
  <c r="P42" i="72"/>
  <c r="AK45" i="126"/>
  <c r="AH45" i="116"/>
  <c r="AI45" i="116" s="1"/>
  <c r="AJ45" i="116"/>
  <c r="V34" i="72"/>
  <c r="AK37" i="145"/>
  <c r="AE14" i="72"/>
  <c r="AL16" i="80"/>
  <c r="AH39" i="147"/>
  <c r="AI39" i="147" s="1"/>
  <c r="AJ39" i="147"/>
  <c r="U36" i="72"/>
  <c r="AK39" i="144"/>
  <c r="AH55" i="128"/>
  <c r="AI55" i="128" s="1"/>
  <c r="AJ55" i="128"/>
  <c r="AH52" i="149"/>
  <c r="AI52" i="149" s="1"/>
  <c r="AJ52" i="149"/>
  <c r="U41" i="72"/>
  <c r="AK44" i="144"/>
  <c r="AH44" i="119"/>
  <c r="AI44" i="119" s="1"/>
  <c r="AJ44" i="119"/>
  <c r="W63" i="72"/>
  <c r="AK66" i="146"/>
  <c r="AH61" i="126"/>
  <c r="AI61" i="126" s="1"/>
  <c r="AJ61" i="126"/>
  <c r="AH18" i="151"/>
  <c r="AI18" i="151" s="1"/>
  <c r="AJ18" i="151"/>
  <c r="P65" i="72"/>
  <c r="AK68" i="126"/>
  <c r="AH60" i="127"/>
  <c r="AI60" i="127" s="1"/>
  <c r="AJ60" i="127"/>
  <c r="AE57" i="72"/>
  <c r="AL59" i="80"/>
  <c r="AH16" i="128"/>
  <c r="AI16" i="128" s="1"/>
  <c r="AJ16" i="128"/>
  <c r="AH74" i="152"/>
  <c r="AI74" i="152" s="1"/>
  <c r="AJ74" i="152"/>
  <c r="AI25" i="76"/>
  <c r="AJ25" i="76" s="1"/>
  <c r="AK25" i="76"/>
  <c r="AH65" i="127"/>
  <c r="AI65" i="127" s="1"/>
  <c r="AJ65" i="127"/>
  <c r="AI64" i="76"/>
  <c r="AJ64" i="76" s="1"/>
  <c r="AK64" i="76"/>
  <c r="T27" i="72"/>
  <c r="AK30" i="131"/>
  <c r="AH30" i="146"/>
  <c r="AI30" i="146" s="1"/>
  <c r="AJ30" i="146"/>
  <c r="AH41" i="114"/>
  <c r="AI41" i="114" s="1"/>
  <c r="AJ41" i="114"/>
  <c r="AB16" i="72"/>
  <c r="AK19" i="152"/>
  <c r="AH54" i="116"/>
  <c r="AI54" i="116" s="1"/>
  <c r="AJ54" i="116"/>
  <c r="V33" i="72"/>
  <c r="AK36" i="145"/>
  <c r="V25" i="72"/>
  <c r="AK28" i="145"/>
  <c r="AH59" i="128"/>
  <c r="AI59" i="128" s="1"/>
  <c r="AJ59" i="128"/>
  <c r="AH9" i="128"/>
  <c r="AI9" i="128" s="1"/>
  <c r="AJ9" i="128"/>
  <c r="P64" i="72"/>
  <c r="AK67" i="126"/>
  <c r="L35" i="72"/>
  <c r="AK38" i="118"/>
  <c r="N38" i="72"/>
  <c r="AK41" i="120"/>
  <c r="AH19" i="128"/>
  <c r="AI19" i="128" s="1"/>
  <c r="AJ19" i="128"/>
  <c r="AH54" i="148"/>
  <c r="AI54" i="148" s="1"/>
  <c r="AJ54" i="148"/>
  <c r="P33" i="72"/>
  <c r="AK36" i="126"/>
  <c r="AJ35" i="114"/>
  <c r="AA61" i="72"/>
  <c r="AK64" i="151"/>
  <c r="Z26" i="72"/>
  <c r="AK29" i="149"/>
  <c r="AH50" i="145"/>
  <c r="AI50" i="145" s="1"/>
  <c r="AJ50" i="145"/>
  <c r="AH53" i="115"/>
  <c r="AI53" i="115" s="1"/>
  <c r="AJ53" i="115"/>
  <c r="U34" i="72"/>
  <c r="AK37" i="144"/>
  <c r="AH34" i="147"/>
  <c r="AI34" i="147" s="1"/>
  <c r="AJ34" i="147"/>
  <c r="AH55" i="145"/>
  <c r="AI55" i="145" s="1"/>
  <c r="AJ55" i="145"/>
  <c r="N49" i="72"/>
  <c r="AK52" i="120"/>
  <c r="AH52" i="128"/>
  <c r="AI52" i="128" s="1"/>
  <c r="AJ52" i="128"/>
  <c r="M58" i="72"/>
  <c r="AK61" i="119"/>
  <c r="AE15" i="72"/>
  <c r="AL17" i="80"/>
  <c r="AH68" i="129"/>
  <c r="AI68" i="129" s="1"/>
  <c r="AJ68" i="129"/>
  <c r="M57" i="72"/>
  <c r="AK60" i="119"/>
  <c r="X57" i="72"/>
  <c r="AK60" i="147"/>
  <c r="AH49" i="152"/>
  <c r="AI49" i="152" s="1"/>
  <c r="AJ49" i="152"/>
  <c r="AE71" i="72"/>
  <c r="AL73" i="80"/>
  <c r="AH65" i="152"/>
  <c r="AI65" i="152" s="1"/>
  <c r="AJ65" i="152"/>
  <c r="G8" i="72"/>
  <c r="AK11" i="113"/>
  <c r="X24" i="72"/>
  <c r="AK27" i="147"/>
  <c r="Z67" i="72"/>
  <c r="AK70" i="149"/>
  <c r="AD75" i="129"/>
  <c r="AF75" i="129" s="1"/>
  <c r="AW72" i="72"/>
  <c r="AH63" i="149"/>
  <c r="AI63" i="149" s="1"/>
  <c r="AJ63" i="149"/>
  <c r="AD63" i="117"/>
  <c r="AF63" i="117" s="1"/>
  <c r="AO60" i="72"/>
  <c r="AH63" i="125"/>
  <c r="AI63" i="125" s="1"/>
  <c r="AJ63" i="125"/>
  <c r="AH47" i="144"/>
  <c r="AI47" i="144" s="1"/>
  <c r="AJ47" i="144"/>
  <c r="AJ47" i="147"/>
  <c r="AI46" i="80"/>
  <c r="AJ46" i="80" s="1"/>
  <c r="AK46" i="80"/>
  <c r="AH47" i="126"/>
  <c r="AI47" i="126" s="1"/>
  <c r="AJ47" i="126"/>
  <c r="AE14" i="76"/>
  <c r="AG14" i="76" s="1"/>
  <c r="BH12" i="72"/>
  <c r="AH14" i="126"/>
  <c r="AI14" i="126" s="1"/>
  <c r="AJ14" i="126"/>
  <c r="AH40" i="126"/>
  <c r="AI40" i="126" s="1"/>
  <c r="AJ40" i="126"/>
  <c r="AH58" i="153"/>
  <c r="AI58" i="153" s="1"/>
  <c r="AJ58" i="153"/>
  <c r="AI57" i="80"/>
  <c r="AJ57" i="80" s="1"/>
  <c r="AK57" i="80"/>
  <c r="AJ12" i="149"/>
  <c r="AK11" i="80"/>
  <c r="AI71" i="76"/>
  <c r="AJ71" i="76" s="1"/>
  <c r="AK71" i="76"/>
  <c r="AH72" i="118"/>
  <c r="AI72" i="118" s="1"/>
  <c r="AJ72" i="118"/>
  <c r="AH43" i="118"/>
  <c r="AI43" i="118" s="1"/>
  <c r="AJ43" i="118"/>
  <c r="AH8" i="153"/>
  <c r="AI8" i="153" s="1"/>
  <c r="AJ8" i="153"/>
  <c r="AH20" i="145"/>
  <c r="AI20" i="145" s="1"/>
  <c r="AJ20" i="145"/>
  <c r="AJ20" i="149"/>
  <c r="AH67" i="146"/>
  <c r="AI67" i="146" s="1"/>
  <c r="AJ67" i="146"/>
  <c r="O35" i="72"/>
  <c r="AK38" i="125"/>
  <c r="AI18" i="76"/>
  <c r="AJ18" i="76" s="1"/>
  <c r="AK18" i="76"/>
  <c r="Y16" i="72"/>
  <c r="AK19" i="148"/>
  <c r="AH28" i="151"/>
  <c r="AI28" i="151" s="1"/>
  <c r="AJ28" i="151"/>
  <c r="AH71" i="149"/>
  <c r="AI71" i="149" s="1"/>
  <c r="AJ71" i="149"/>
  <c r="AH71" i="120"/>
  <c r="AI71" i="120" s="1"/>
  <c r="AJ71" i="120"/>
  <c r="AI70" i="80"/>
  <c r="AJ70" i="80" s="1"/>
  <c r="AK70" i="80"/>
  <c r="AH71" i="131"/>
  <c r="AI71" i="131" s="1"/>
  <c r="AJ71" i="131"/>
  <c r="AH64" i="148"/>
  <c r="AI64" i="148" s="1"/>
  <c r="AJ64" i="148"/>
  <c r="Y20" i="72"/>
  <c r="AK23" i="148"/>
  <c r="AH29" i="128"/>
  <c r="AI29" i="128" s="1"/>
  <c r="AJ29" i="128"/>
  <c r="M43" i="72"/>
  <c r="AK46" i="119"/>
  <c r="N28" i="72"/>
  <c r="AK31" i="120"/>
  <c r="Y53" i="72"/>
  <c r="AK56" i="148"/>
  <c r="AE47" i="72"/>
  <c r="AL49" i="80"/>
  <c r="P70" i="72"/>
  <c r="AK73" i="126"/>
  <c r="AB70" i="72"/>
  <c r="AK73" i="152"/>
  <c r="AH22" i="129"/>
  <c r="AI22" i="129" s="1"/>
  <c r="AJ22" i="129"/>
  <c r="L50" i="72"/>
  <c r="AK53" i="118"/>
  <c r="AH17" i="129"/>
  <c r="AI17" i="129" s="1"/>
  <c r="AJ17" i="129"/>
  <c r="W14" i="72"/>
  <c r="AK17" i="146"/>
  <c r="T29" i="72"/>
  <c r="AK32" i="131"/>
  <c r="AH34" i="131"/>
  <c r="AI34" i="131" s="1"/>
  <c r="AJ34" i="131"/>
  <c r="L31" i="72"/>
  <c r="AK34" i="118"/>
  <c r="O52" i="72"/>
  <c r="AK55" i="125"/>
  <c r="U49" i="72"/>
  <c r="AK52" i="144"/>
  <c r="AH21" i="114"/>
  <c r="AI21" i="114" s="1"/>
  <c r="AJ21" i="114"/>
  <c r="AH18" i="127"/>
  <c r="AI18" i="127" s="1"/>
  <c r="AJ18" i="127"/>
  <c r="AH60" i="131"/>
  <c r="AI60" i="131" s="1"/>
  <c r="AJ60" i="131"/>
  <c r="U57" i="72"/>
  <c r="AK60" i="144"/>
  <c r="P13" i="72"/>
  <c r="AK16" i="126"/>
  <c r="I13" i="72"/>
  <c r="AK16" i="115"/>
  <c r="J71" i="72"/>
  <c r="AK74" i="116"/>
  <c r="AH13" i="146"/>
  <c r="AI13" i="146" s="1"/>
  <c r="AJ13" i="146"/>
  <c r="O62" i="72"/>
  <c r="AK65" i="125"/>
  <c r="AH27" i="129"/>
  <c r="AI27" i="129" s="1"/>
  <c r="AJ27" i="129"/>
  <c r="AH67" i="145"/>
  <c r="AI67" i="145" s="1"/>
  <c r="AJ67" i="145"/>
  <c r="N16" i="72"/>
  <c r="AK19" i="120"/>
  <c r="I16" i="72"/>
  <c r="AK19" i="115"/>
  <c r="N33" i="72"/>
  <c r="AK36" i="120"/>
  <c r="AH36" i="114"/>
  <c r="AI36" i="114" s="1"/>
  <c r="AJ36" i="114"/>
  <c r="AH36" i="128"/>
  <c r="AI36" i="128" s="1"/>
  <c r="AJ36" i="128"/>
  <c r="AH9" i="153"/>
  <c r="AI9" i="153" s="1"/>
  <c r="AJ9" i="153"/>
  <c r="AI22" i="76"/>
  <c r="AJ22" i="76" s="1"/>
  <c r="AK22" i="76"/>
  <c r="T26" i="72"/>
  <c r="AK29" i="131"/>
  <c r="AH29" i="127"/>
  <c r="AI29" i="127" s="1"/>
  <c r="AJ29" i="127"/>
  <c r="AH29" i="114"/>
  <c r="AI29" i="114" s="1"/>
  <c r="AJ29" i="114"/>
  <c r="AH29" i="117"/>
  <c r="AI29" i="117" s="1"/>
  <c r="AJ29" i="117"/>
  <c r="AH31" i="128"/>
  <c r="AI31" i="128" s="1"/>
  <c r="AJ31" i="128"/>
  <c r="AI30" i="76"/>
  <c r="AJ30" i="76" s="1"/>
  <c r="AK30" i="76"/>
  <c r="AI49" i="76"/>
  <c r="AJ49" i="76" s="1"/>
  <c r="AK49" i="76"/>
  <c r="AH73" i="127"/>
  <c r="AI73" i="127" s="1"/>
  <c r="AJ73" i="127"/>
  <c r="L70" i="72"/>
  <c r="AK73" i="118"/>
  <c r="AH22" i="117"/>
  <c r="AI22" i="117" s="1"/>
  <c r="AJ22" i="117"/>
  <c r="AH53" i="152"/>
  <c r="AI53" i="152" s="1"/>
  <c r="AJ53" i="152"/>
  <c r="AH45" i="129"/>
  <c r="AI45" i="129" s="1"/>
  <c r="AJ45" i="129"/>
  <c r="AI44" i="76"/>
  <c r="AJ44" i="76" s="1"/>
  <c r="AK44" i="76"/>
  <c r="AH45" i="117"/>
  <c r="AI45" i="117" s="1"/>
  <c r="AJ45" i="117"/>
  <c r="Z42" i="72"/>
  <c r="AK45" i="149"/>
  <c r="X34" i="72"/>
  <c r="AK37" i="147"/>
  <c r="I34" i="72"/>
  <c r="AK37" i="115"/>
  <c r="AH32" i="117"/>
  <c r="AI32" i="117" s="1"/>
  <c r="AJ32" i="117"/>
  <c r="AH62" i="117"/>
  <c r="AI62" i="117" s="1"/>
  <c r="AJ62" i="117"/>
  <c r="Z31" i="72"/>
  <c r="AK34" i="149"/>
  <c r="AI54" i="76"/>
  <c r="AJ54" i="76" s="1"/>
  <c r="AK54" i="76"/>
  <c r="AH55" i="148"/>
  <c r="AI55" i="148" s="1"/>
  <c r="AJ55" i="148"/>
  <c r="P49" i="72"/>
  <c r="AK52" i="126"/>
  <c r="L58" i="72"/>
  <c r="AK61" i="118"/>
  <c r="N18" i="72"/>
  <c r="AK21" i="120"/>
  <c r="AI59" i="76"/>
  <c r="AJ59" i="76" s="1"/>
  <c r="AK59" i="76"/>
  <c r="AC57" i="72"/>
  <c r="AK60" i="153"/>
  <c r="AH49" i="117"/>
  <c r="AI49" i="117" s="1"/>
  <c r="AJ49" i="117"/>
  <c r="P71" i="72"/>
  <c r="AK74" i="126"/>
  <c r="AH74" i="129"/>
  <c r="AI74" i="129" s="1"/>
  <c r="AJ74" i="129"/>
  <c r="X71" i="72"/>
  <c r="AK74" i="147"/>
  <c r="AE23" i="72"/>
  <c r="AL25" i="80"/>
  <c r="AA23" i="72"/>
  <c r="AK26" i="151"/>
  <c r="AI12" i="76"/>
  <c r="AJ12" i="76" s="1"/>
  <c r="AK12" i="76"/>
  <c r="L62" i="72"/>
  <c r="AK65" i="118"/>
  <c r="AH65" i="117"/>
  <c r="AI65" i="117" s="1"/>
  <c r="AJ65" i="117"/>
  <c r="AH65" i="128"/>
  <c r="AI65" i="128" s="1"/>
  <c r="AJ65" i="128"/>
  <c r="AD11" i="128"/>
  <c r="AF11" i="128" s="1"/>
  <c r="AV8" i="72"/>
  <c r="AH27" i="146"/>
  <c r="AI27" i="146" s="1"/>
  <c r="AJ27" i="146"/>
  <c r="I24" i="72"/>
  <c r="AK27" i="115"/>
  <c r="N67" i="72"/>
  <c r="AK70" i="120"/>
  <c r="U66" i="72"/>
  <c r="AK69" i="144"/>
  <c r="AH33" i="131"/>
  <c r="AI33" i="131" s="1"/>
  <c r="AJ33" i="131"/>
  <c r="AH75" i="115"/>
  <c r="AI75" i="115" s="1"/>
  <c r="AJ75" i="115"/>
  <c r="AH75" i="149"/>
  <c r="AI75" i="149" s="1"/>
  <c r="AJ75" i="149"/>
  <c r="AH75" i="118"/>
  <c r="AI75" i="118" s="1"/>
  <c r="AJ75" i="118"/>
  <c r="AH75" i="125"/>
  <c r="AI75" i="125" s="1"/>
  <c r="AJ75" i="125"/>
  <c r="AH48" i="113"/>
  <c r="AI48" i="113" s="1"/>
  <c r="AJ48" i="113"/>
  <c r="S45" i="100"/>
  <c r="AC48" i="129"/>
  <c r="AC48" i="125"/>
  <c r="AS45" i="72" s="1"/>
  <c r="O45" i="100"/>
  <c r="AC48" i="131"/>
  <c r="AX45" i="72" s="1"/>
  <c r="T45" i="100"/>
  <c r="AD48" i="131"/>
  <c r="AF48" i="131" s="1"/>
  <c r="AH63" i="146"/>
  <c r="AI63" i="146" s="1"/>
  <c r="AJ63" i="146"/>
  <c r="AH63" i="151"/>
  <c r="AI63" i="151" s="1"/>
  <c r="AJ63" i="151"/>
  <c r="AD63" i="114"/>
  <c r="AF63" i="114" s="1"/>
  <c r="AL60" i="72"/>
  <c r="AH63" i="126"/>
  <c r="AI63" i="126" s="1"/>
  <c r="AJ63" i="126"/>
  <c r="AH47" i="148"/>
  <c r="AI47" i="148" s="1"/>
  <c r="AJ47" i="148"/>
  <c r="AD47" i="127"/>
  <c r="AF47" i="127" s="1"/>
  <c r="AU44" i="72"/>
  <c r="AH15" i="131"/>
  <c r="AI15" i="131" s="1"/>
  <c r="AJ15" i="131"/>
  <c r="AH14" i="145"/>
  <c r="AI14" i="145" s="1"/>
  <c r="AJ14" i="145"/>
  <c r="AF55" i="100"/>
  <c r="AG55" i="100"/>
  <c r="AH12" i="153"/>
  <c r="AI12" i="153" s="1"/>
  <c r="AJ12" i="153"/>
  <c r="AD72" i="116"/>
  <c r="AF72" i="116" s="1"/>
  <c r="AN69" i="72"/>
  <c r="AH43" i="131"/>
  <c r="AI43" i="131" s="1"/>
  <c r="AJ43" i="131"/>
  <c r="AD43" i="116"/>
  <c r="AF43" i="116" s="1"/>
  <c r="AN40" i="72"/>
  <c r="AI7" i="76"/>
  <c r="AJ7" i="76" s="1"/>
  <c r="AK7" i="76"/>
  <c r="AH67" i="147"/>
  <c r="AI67" i="147" s="1"/>
  <c r="AJ67" i="147"/>
  <c r="U64" i="72"/>
  <c r="AK67" i="144"/>
  <c r="N35" i="72"/>
  <c r="AK38" i="120"/>
  <c r="AH38" i="129"/>
  <c r="AI38" i="129" s="1"/>
  <c r="AJ38" i="129"/>
  <c r="AH25" i="153"/>
  <c r="AI25" i="153" s="1"/>
  <c r="AJ25" i="153"/>
  <c r="L6" i="72"/>
  <c r="AK9" i="118"/>
  <c r="U61" i="72"/>
  <c r="AK64" i="144"/>
  <c r="AH23" i="145"/>
  <c r="AI23" i="145" s="1"/>
  <c r="AJ23" i="145"/>
  <c r="AI45" i="80"/>
  <c r="AJ45" i="80" s="1"/>
  <c r="AK45" i="80"/>
  <c r="AH73" i="146"/>
  <c r="AI73" i="146" s="1"/>
  <c r="AJ73" i="146"/>
  <c r="G19" i="72"/>
  <c r="AK22" i="113"/>
  <c r="L19" i="72"/>
  <c r="AK22" i="118"/>
  <c r="AH22" i="128"/>
  <c r="AI22" i="128" s="1"/>
  <c r="AJ22" i="128"/>
  <c r="AB19" i="72"/>
  <c r="AK22" i="152"/>
  <c r="AH32" i="148"/>
  <c r="AI32" i="148" s="1"/>
  <c r="AJ32" i="148"/>
  <c r="AB29" i="72"/>
  <c r="AK32" i="152"/>
  <c r="AH34" i="127"/>
  <c r="AI34" i="127" s="1"/>
  <c r="AJ34" i="127"/>
  <c r="AI33" i="76"/>
  <c r="AJ33" i="76" s="1"/>
  <c r="AK33" i="76"/>
  <c r="AI56" i="80"/>
  <c r="AJ56" i="80" s="1"/>
  <c r="AK56" i="80"/>
  <c r="AD57" i="117"/>
  <c r="AF57" i="117" s="1"/>
  <c r="AO54" i="72"/>
  <c r="AH44" i="153"/>
  <c r="AI44" i="153" s="1"/>
  <c r="AJ44" i="153"/>
  <c r="AD44" i="128"/>
  <c r="AF44" i="128" s="1"/>
  <c r="AV41" i="72"/>
  <c r="AH44" i="114"/>
  <c r="AI44" i="114" s="1"/>
  <c r="AJ44" i="114"/>
  <c r="AH16" i="152"/>
  <c r="AI16" i="152" s="1"/>
  <c r="AJ16" i="152"/>
  <c r="AC13" i="72"/>
  <c r="AK16" i="153"/>
  <c r="AH49" i="148"/>
  <c r="AI49" i="148" s="1"/>
  <c r="AJ49" i="148"/>
  <c r="AH27" i="149"/>
  <c r="AI27" i="149" s="1"/>
  <c r="AJ27" i="149"/>
  <c r="G67" i="72"/>
  <c r="AK70" i="113"/>
  <c r="AH70" i="152"/>
  <c r="AI70" i="152" s="1"/>
  <c r="AJ70" i="152"/>
  <c r="X76" i="113"/>
  <c r="X82" i="113" s="1"/>
  <c r="AA7" i="113"/>
  <c r="Z7" i="126"/>
  <c r="Z76" i="126" s="1"/>
  <c r="Z82" i="126" s="1"/>
  <c r="X7" i="126"/>
  <c r="V7" i="126"/>
  <c r="Z7" i="125"/>
  <c r="Z76" i="125" s="1"/>
  <c r="Z82" i="125" s="1"/>
  <c r="X7" i="125"/>
  <c r="V7" i="125"/>
  <c r="Z7" i="114"/>
  <c r="Z77" i="114" s="1"/>
  <c r="Z83" i="114" s="1"/>
  <c r="X7" i="114"/>
  <c r="V7" i="114"/>
  <c r="Z7" i="117"/>
  <c r="Z76" i="117" s="1"/>
  <c r="Z82" i="117" s="1"/>
  <c r="X7" i="117"/>
  <c r="V7" i="117"/>
  <c r="Z7" i="120"/>
  <c r="Z76" i="120" s="1"/>
  <c r="Z82" i="120" s="1"/>
  <c r="X7" i="120"/>
  <c r="V7" i="120"/>
  <c r="Z7" i="129"/>
  <c r="Z76" i="129" s="1"/>
  <c r="Z82" i="129" s="1"/>
  <c r="X7" i="129"/>
  <c r="V7" i="129"/>
  <c r="Z7" i="131"/>
  <c r="Z76" i="131" s="1"/>
  <c r="Z82" i="131" s="1"/>
  <c r="X7" i="131"/>
  <c r="V7" i="131"/>
  <c r="Z7" i="148"/>
  <c r="Z76" i="148" s="1"/>
  <c r="Z82" i="148" s="1"/>
  <c r="V7" i="148"/>
  <c r="V76" i="148" s="1"/>
  <c r="V82" i="148" s="1"/>
  <c r="X7" i="148"/>
  <c r="Z7" i="151"/>
  <c r="Z76" i="151" s="1"/>
  <c r="Z82" i="151" s="1"/>
  <c r="X7" i="151"/>
  <c r="V7" i="151"/>
  <c r="Z7" i="145"/>
  <c r="Z76" i="145" s="1"/>
  <c r="Z82" i="145" s="1"/>
  <c r="X7" i="145"/>
  <c r="V7" i="145"/>
  <c r="V76" i="145" s="1"/>
  <c r="V82" i="145" s="1"/>
  <c r="Z7" i="147"/>
  <c r="Z76" i="147" s="1"/>
  <c r="Z82" i="147" s="1"/>
  <c r="X7" i="147"/>
  <c r="V7" i="147"/>
  <c r="Z7" i="144"/>
  <c r="Z76" i="144" s="1"/>
  <c r="Z82" i="144" s="1"/>
  <c r="X7" i="144"/>
  <c r="V7" i="144"/>
  <c r="Z7" i="115"/>
  <c r="Z76" i="115" s="1"/>
  <c r="Z82" i="115" s="1"/>
  <c r="X7" i="115"/>
  <c r="V7" i="115"/>
  <c r="S36" i="72"/>
  <c r="AK39" i="129"/>
  <c r="P21" i="72"/>
  <c r="AK24" i="126"/>
  <c r="AH62" i="114"/>
  <c r="AI62" i="114" s="1"/>
  <c r="AJ62" i="114"/>
  <c r="M31" i="72"/>
  <c r="AK34" i="119"/>
  <c r="M52" i="72"/>
  <c r="AK55" i="119"/>
  <c r="AD49" i="72"/>
  <c r="AL51" i="76"/>
  <c r="AA63" i="72"/>
  <c r="AK66" i="151"/>
  <c r="AE58" i="72"/>
  <c r="AL60" i="80"/>
  <c r="AH61" i="117"/>
  <c r="AI61" i="117" s="1"/>
  <c r="AJ61" i="117"/>
  <c r="AH21" i="117"/>
  <c r="AI21" i="117" s="1"/>
  <c r="AJ21" i="117"/>
  <c r="AH49" i="120"/>
  <c r="AI49" i="120" s="1"/>
  <c r="AJ49" i="120"/>
  <c r="Q10" i="72"/>
  <c r="AK13" i="127"/>
  <c r="P62" i="72"/>
  <c r="AK65" i="126"/>
  <c r="AH11" i="126"/>
  <c r="AI11" i="126" s="1"/>
  <c r="AJ11" i="126"/>
  <c r="K27" i="72"/>
  <c r="AK30" i="117"/>
  <c r="V27" i="72"/>
  <c r="AK30" i="145"/>
  <c r="AH70" i="129"/>
  <c r="AI70" i="129" s="1"/>
  <c r="AJ70" i="129"/>
  <c r="Z7" i="72"/>
  <c r="AK10" i="149"/>
  <c r="AH33" i="126"/>
  <c r="AI33" i="126" s="1"/>
  <c r="AJ33" i="126"/>
  <c r="AD51" i="129"/>
  <c r="AF51" i="129" s="1"/>
  <c r="AW48" i="72"/>
  <c r="AH51" i="120"/>
  <c r="AI51" i="120" s="1"/>
  <c r="AJ51" i="120"/>
  <c r="AH15" i="129"/>
  <c r="AI15" i="129" s="1"/>
  <c r="AJ15" i="129"/>
  <c r="AH14" i="149"/>
  <c r="AI14" i="149" s="1"/>
  <c r="AJ14" i="149"/>
  <c r="AH40" i="152"/>
  <c r="AI40" i="152" s="1"/>
  <c r="AJ40" i="152"/>
  <c r="AD40" i="127"/>
  <c r="AF40" i="127" s="1"/>
  <c r="AU37" i="72"/>
  <c r="AD58" i="129"/>
  <c r="AF58" i="129" s="1"/>
  <c r="AW55" i="72"/>
  <c r="AH12" i="126"/>
  <c r="AI12" i="126" s="1"/>
  <c r="AJ12" i="126"/>
  <c r="AH72" i="120"/>
  <c r="AI72" i="120" s="1"/>
  <c r="AJ72" i="120"/>
  <c r="AI19" i="80"/>
  <c r="AJ19" i="80" s="1"/>
  <c r="AK19" i="80"/>
  <c r="AD20" i="127"/>
  <c r="AF20" i="127" s="1"/>
  <c r="AU17" i="72"/>
  <c r="AH64" i="118"/>
  <c r="AI64" i="118" s="1"/>
  <c r="AJ64" i="118"/>
  <c r="AH23" i="129"/>
  <c r="AI23" i="129" s="1"/>
  <c r="AJ23" i="129"/>
  <c r="U26" i="72"/>
  <c r="AK29" i="144"/>
  <c r="AH46" i="114"/>
  <c r="AI46" i="114" s="1"/>
  <c r="AJ46" i="114"/>
  <c r="AH53" i="131"/>
  <c r="AI53" i="131" s="1"/>
  <c r="AJ53" i="131"/>
  <c r="N42" i="72"/>
  <c r="AK45" i="120"/>
  <c r="S34" i="72"/>
  <c r="AK37" i="129"/>
  <c r="AD14" i="72"/>
  <c r="AL16" i="76"/>
  <c r="V29" i="72"/>
  <c r="AK32" i="145"/>
  <c r="AH57" i="145"/>
  <c r="AI57" i="145" s="1"/>
  <c r="AJ57" i="145"/>
  <c r="AH57" i="120"/>
  <c r="AI57" i="120" s="1"/>
  <c r="AJ57" i="120"/>
  <c r="J52" i="72"/>
  <c r="AK55" i="116"/>
  <c r="Z52" i="72"/>
  <c r="AK55" i="149"/>
  <c r="AH44" i="118"/>
  <c r="AI44" i="118" s="1"/>
  <c r="AJ44" i="118"/>
  <c r="J63" i="72"/>
  <c r="AK66" i="116"/>
  <c r="S18" i="72"/>
  <c r="AK21" i="129"/>
  <c r="U18" i="72"/>
  <c r="AK21" i="144"/>
  <c r="Z15" i="72"/>
  <c r="AK18" i="149"/>
  <c r="AH68" i="128"/>
  <c r="AI68" i="128" s="1"/>
  <c r="AJ68" i="128"/>
  <c r="Y57" i="72"/>
  <c r="AK60" i="148"/>
  <c r="F54" i="166"/>
  <c r="F59" i="166" s="1"/>
  <c r="H45" i="166"/>
  <c r="G45" i="166"/>
  <c r="AH35" i="120"/>
  <c r="AI35" i="120" s="1"/>
  <c r="AJ35" i="120"/>
  <c r="X61" i="72"/>
  <c r="AK64" i="147"/>
  <c r="W20" i="72"/>
  <c r="AK23" i="146"/>
  <c r="AC20" i="72"/>
  <c r="AK23" i="153"/>
  <c r="Y26" i="72"/>
  <c r="AK29" i="148"/>
  <c r="AH53" i="144"/>
  <c r="AI53" i="144" s="1"/>
  <c r="AJ53" i="144"/>
  <c r="AE42" i="72"/>
  <c r="AL44" i="80"/>
  <c r="AA42" i="72"/>
  <c r="AK45" i="151"/>
  <c r="AH37" i="114"/>
  <c r="AI37" i="114" s="1"/>
  <c r="AJ37" i="114"/>
  <c r="AH32" i="129"/>
  <c r="AI32" i="129" s="1"/>
  <c r="AJ32" i="129"/>
  <c r="AH24" i="114"/>
  <c r="AI24" i="114" s="1"/>
  <c r="AJ24" i="114"/>
  <c r="I21" i="72"/>
  <c r="AK24" i="115"/>
  <c r="O59" i="72"/>
  <c r="AK62" i="125"/>
  <c r="AH61" i="144"/>
  <c r="AI61" i="144" s="1"/>
  <c r="AJ61" i="144"/>
  <c r="AC58" i="72"/>
  <c r="AK61" i="153"/>
  <c r="AB58" i="72"/>
  <c r="AK61" i="152"/>
  <c r="AH18" i="116"/>
  <c r="AI18" i="116" s="1"/>
  <c r="AJ18" i="116"/>
  <c r="O15" i="72"/>
  <c r="AK18" i="125"/>
  <c r="AH60" i="116"/>
  <c r="AI60" i="116" s="1"/>
  <c r="AJ60" i="116"/>
  <c r="L46" i="72"/>
  <c r="AK49" i="118"/>
  <c r="Z10" i="72"/>
  <c r="AK13" i="149"/>
  <c r="AH11" i="148"/>
  <c r="AI11" i="148" s="1"/>
  <c r="AJ11" i="148"/>
  <c r="AH10" i="131"/>
  <c r="AI10" i="131" s="1"/>
  <c r="AJ10" i="131"/>
  <c r="AI9" i="76"/>
  <c r="AJ9" i="76" s="1"/>
  <c r="AK9" i="76"/>
  <c r="Y7" i="72"/>
  <c r="AK10" i="148"/>
  <c r="AA7" i="72"/>
  <c r="AK10" i="151"/>
  <c r="AH33" i="149"/>
  <c r="AI33" i="149" s="1"/>
  <c r="AJ33" i="149"/>
  <c r="AH75" i="144"/>
  <c r="AI75" i="144" s="1"/>
  <c r="AJ75" i="144"/>
  <c r="AH51" i="151"/>
  <c r="AI51" i="151" s="1"/>
  <c r="AJ51" i="151"/>
  <c r="AE50" i="76"/>
  <c r="AG50" i="76" s="1"/>
  <c r="BH48" i="72"/>
  <c r="AH47" i="145"/>
  <c r="AI47" i="145" s="1"/>
  <c r="AJ47" i="145"/>
  <c r="AH15" i="152"/>
  <c r="AI15" i="152" s="1"/>
  <c r="AJ15" i="152"/>
  <c r="AD15" i="117"/>
  <c r="AF15" i="117" s="1"/>
  <c r="AO12" i="72"/>
  <c r="AH14" i="144"/>
  <c r="AI14" i="144" s="1"/>
  <c r="AJ14" i="144"/>
  <c r="AH40" i="115"/>
  <c r="AI40" i="115" s="1"/>
  <c r="AJ40" i="115"/>
  <c r="AI39" i="80"/>
  <c r="AJ39" i="80" s="1"/>
  <c r="AK39" i="80"/>
  <c r="AH72" i="145"/>
  <c r="AI72" i="145" s="1"/>
  <c r="AJ72" i="145"/>
  <c r="AH72" i="125"/>
  <c r="AI72" i="125" s="1"/>
  <c r="AJ72" i="125"/>
  <c r="AH43" i="115"/>
  <c r="AI43" i="115" s="1"/>
  <c r="AJ43" i="115"/>
  <c r="AD43" i="119"/>
  <c r="AF43" i="119" s="1"/>
  <c r="AQ40" i="72"/>
  <c r="AH8" i="147"/>
  <c r="AI8" i="147" s="1"/>
  <c r="AJ8" i="147"/>
  <c r="AB64" i="72"/>
  <c r="AK67" i="152"/>
  <c r="I38" i="72"/>
  <c r="AK41" i="115"/>
  <c r="P25" i="72"/>
  <c r="AK28" i="126"/>
  <c r="AB22" i="72"/>
  <c r="AK25" i="152"/>
  <c r="AH50" i="149"/>
  <c r="AI50" i="149" s="1"/>
  <c r="AJ50" i="149"/>
  <c r="N70" i="72"/>
  <c r="AK73" i="120"/>
  <c r="O36" i="72"/>
  <c r="AK39" i="125"/>
  <c r="Y59" i="72"/>
  <c r="AK62" i="148"/>
  <c r="AG41" i="100"/>
  <c r="AH66" i="125"/>
  <c r="AI66" i="125" s="1"/>
  <c r="AJ66" i="125"/>
  <c r="AH61" i="116"/>
  <c r="AI61" i="116" s="1"/>
  <c r="AJ61" i="116"/>
  <c r="AH18" i="117"/>
  <c r="AI18" i="117" s="1"/>
  <c r="AJ18" i="117"/>
  <c r="T13" i="72"/>
  <c r="AK16" i="131"/>
  <c r="AE38" i="72"/>
  <c r="AL40" i="80"/>
  <c r="O38" i="72"/>
  <c r="AK41" i="125"/>
  <c r="M47" i="72"/>
  <c r="AK50" i="119"/>
  <c r="AH45" i="119"/>
  <c r="AI45" i="119" s="1"/>
  <c r="AJ45" i="119"/>
  <c r="M10" i="72"/>
  <c r="AK13" i="119"/>
  <c r="AC7" i="72"/>
  <c r="AK10" i="153"/>
  <c r="M71" i="72"/>
  <c r="AK74" i="119"/>
  <c r="AH30" i="119"/>
  <c r="AI30" i="119" s="1"/>
  <c r="AJ30" i="119"/>
  <c r="P16" i="72"/>
  <c r="AK19" i="126"/>
  <c r="AH36" i="117"/>
  <c r="AI36" i="117" s="1"/>
  <c r="AJ36" i="117"/>
  <c r="AH28" i="127"/>
  <c r="AI28" i="127" s="1"/>
  <c r="AJ28" i="127"/>
  <c r="M61" i="72"/>
  <c r="AK64" i="119"/>
  <c r="K20" i="72"/>
  <c r="AK23" i="117"/>
  <c r="V26" i="72"/>
  <c r="AK29" i="145"/>
  <c r="AD43" i="72"/>
  <c r="AL45" i="76"/>
  <c r="U43" i="72"/>
  <c r="AK46" i="144"/>
  <c r="AB43" i="72"/>
  <c r="AK46" i="152"/>
  <c r="J28" i="72"/>
  <c r="AK31" i="116"/>
  <c r="M53" i="72"/>
  <c r="AK56" i="119"/>
  <c r="T53" i="72"/>
  <c r="AK56" i="131"/>
  <c r="Z53" i="72"/>
  <c r="AK56" i="149"/>
  <c r="AH73" i="117"/>
  <c r="AI73" i="117" s="1"/>
  <c r="AJ73" i="117"/>
  <c r="AI72" i="76"/>
  <c r="AJ72" i="76" s="1"/>
  <c r="AK72" i="76"/>
  <c r="J19" i="72"/>
  <c r="AK22" i="116"/>
  <c r="K50" i="72"/>
  <c r="AK53" i="117"/>
  <c r="R42" i="72"/>
  <c r="AK45" i="128"/>
  <c r="AH37" i="117"/>
  <c r="AI37" i="117" s="1"/>
  <c r="AJ37" i="117"/>
  <c r="L14" i="72"/>
  <c r="AK17" i="118"/>
  <c r="X14" i="72"/>
  <c r="AK17" i="147"/>
  <c r="AE29" i="72"/>
  <c r="AL31" i="80"/>
  <c r="AD29" i="72"/>
  <c r="AL31" i="76"/>
  <c r="W29" i="72"/>
  <c r="AK32" i="146"/>
  <c r="I29" i="72"/>
  <c r="AK32" i="115"/>
  <c r="AH24" i="117"/>
  <c r="AI24" i="117" s="1"/>
  <c r="AJ24" i="117"/>
  <c r="AC21" i="72"/>
  <c r="AK24" i="153"/>
  <c r="H31" i="72"/>
  <c r="AK34" i="114"/>
  <c r="V49" i="72"/>
  <c r="AK52" i="145"/>
  <c r="L63" i="72"/>
  <c r="AK66" i="118"/>
  <c r="X58" i="72"/>
  <c r="AK61" i="147"/>
  <c r="Q18" i="72"/>
  <c r="AK21" i="127"/>
  <c r="L15" i="72"/>
  <c r="AK18" i="118"/>
  <c r="AC15" i="72"/>
  <c r="AK18" i="153"/>
  <c r="T65" i="72"/>
  <c r="AK68" i="131"/>
  <c r="AH68" i="116"/>
  <c r="AI68" i="116" s="1"/>
  <c r="AJ68" i="116"/>
  <c r="P57" i="72"/>
  <c r="AK60" i="126"/>
  <c r="L13" i="72"/>
  <c r="AK16" i="118"/>
  <c r="V13" i="72"/>
  <c r="AK16" i="145"/>
  <c r="P46" i="72"/>
  <c r="AK49" i="126"/>
  <c r="AC46" i="72"/>
  <c r="AK49" i="153"/>
  <c r="O23" i="72"/>
  <c r="AK26" i="125"/>
  <c r="W23" i="72"/>
  <c r="AK26" i="146"/>
  <c r="I23" i="72"/>
  <c r="AK26" i="115"/>
  <c r="N62" i="72"/>
  <c r="AK65" i="120"/>
  <c r="AH65" i="114"/>
  <c r="AI65" i="114" s="1"/>
  <c r="AJ65" i="114"/>
  <c r="AH11" i="116"/>
  <c r="AI11" i="116" s="1"/>
  <c r="AJ11" i="116"/>
  <c r="O27" i="72"/>
  <c r="AK30" i="125"/>
  <c r="Z27" i="72"/>
  <c r="AK30" i="149"/>
  <c r="U24" i="72"/>
  <c r="AK27" i="144"/>
  <c r="P66" i="72"/>
  <c r="AK69" i="126"/>
  <c r="Q7" i="72"/>
  <c r="AK10" i="127"/>
  <c r="V7" i="72"/>
  <c r="AK10" i="145"/>
  <c r="AH33" i="116"/>
  <c r="AI33" i="116" s="1"/>
  <c r="AJ33" i="116"/>
  <c r="N72" i="72"/>
  <c r="AK75" i="120"/>
  <c r="AD11" i="72"/>
  <c r="AL13" i="76"/>
  <c r="AH58" i="119"/>
  <c r="AI58" i="119" s="1"/>
  <c r="AJ58" i="119"/>
  <c r="AC38" i="72"/>
  <c r="AK41" i="153"/>
  <c r="AE16" i="72"/>
  <c r="AL18" i="80"/>
  <c r="N51" i="72"/>
  <c r="AK54" i="120"/>
  <c r="X51" i="72"/>
  <c r="AK54" i="147"/>
  <c r="L33" i="72"/>
  <c r="AK36" i="118"/>
  <c r="AH28" i="114"/>
  <c r="AI28" i="114" s="1"/>
  <c r="AJ28" i="114"/>
  <c r="P56" i="72"/>
  <c r="AK59" i="126"/>
  <c r="AC56" i="72"/>
  <c r="AK59" i="153"/>
  <c r="L22" i="72"/>
  <c r="AK25" i="118"/>
  <c r="I22" i="72"/>
  <c r="AK25" i="115"/>
  <c r="AH9" i="129"/>
  <c r="AI9" i="129" s="1"/>
  <c r="AJ9" i="129"/>
  <c r="AH9" i="114"/>
  <c r="AI9" i="114" s="1"/>
  <c r="AJ9" i="114"/>
  <c r="X6" i="72"/>
  <c r="AK9" i="147"/>
  <c r="AE61" i="72"/>
  <c r="AL63" i="80"/>
  <c r="I61" i="72"/>
  <c r="AK64" i="115"/>
  <c r="AA20" i="72"/>
  <c r="AK23" i="151"/>
  <c r="L26" i="72"/>
  <c r="AK29" i="118"/>
  <c r="AC28" i="72"/>
  <c r="AK31" i="153"/>
  <c r="K53" i="72"/>
  <c r="AK56" i="117"/>
  <c r="V53" i="72"/>
  <c r="AK56" i="145"/>
  <c r="AH37" i="128"/>
  <c r="AI37" i="128" s="1"/>
  <c r="AJ37" i="128"/>
  <c r="AI36" i="76"/>
  <c r="AJ36" i="76" s="1"/>
  <c r="AK36" i="76"/>
  <c r="K14" i="72"/>
  <c r="AK17" i="117"/>
  <c r="AH17" i="127"/>
  <c r="AI17" i="127" s="1"/>
  <c r="AJ17" i="127"/>
  <c r="Z14" i="72"/>
  <c r="AK17" i="149"/>
  <c r="AH32" i="116"/>
  <c r="AI32" i="116" s="1"/>
  <c r="AJ32" i="116"/>
  <c r="O29" i="72"/>
  <c r="AK32" i="125"/>
  <c r="Z29" i="72"/>
  <c r="AK32" i="149"/>
  <c r="AH39" i="128"/>
  <c r="AI39" i="128" s="1"/>
  <c r="AJ39" i="128"/>
  <c r="W36" i="72"/>
  <c r="AK39" i="146"/>
  <c r="AH24" i="129"/>
  <c r="AI24" i="129" s="1"/>
  <c r="AJ24" i="129"/>
  <c r="AC59" i="72"/>
  <c r="AK62" i="153"/>
  <c r="AH34" i="117"/>
  <c r="AI34" i="117" s="1"/>
  <c r="AJ34" i="117"/>
  <c r="AC31" i="72"/>
  <c r="AK34" i="153"/>
  <c r="AH10" i="116"/>
  <c r="AI10" i="116" s="1"/>
  <c r="AJ10" i="116"/>
  <c r="AE7" i="72"/>
  <c r="AL9" i="80"/>
  <c r="AM12" i="46"/>
  <c r="AN6" i="46"/>
  <c r="L64" i="72"/>
  <c r="AK67" i="118"/>
  <c r="J35" i="72"/>
  <c r="AK38" i="116"/>
  <c r="AD35" i="72"/>
  <c r="AL37" i="76"/>
  <c r="Z51" i="72"/>
  <c r="AK54" i="149"/>
  <c r="U33" i="72"/>
  <c r="AK36" i="144"/>
  <c r="T25" i="72"/>
  <c r="AK28" i="131"/>
  <c r="AH28" i="129"/>
  <c r="AI28" i="129" s="1"/>
  <c r="AJ28" i="129"/>
  <c r="V22" i="72"/>
  <c r="AK25" i="145"/>
  <c r="S5" i="137"/>
  <c r="P15" i="137"/>
  <c r="P19" i="137" s="1"/>
  <c r="O6" i="72"/>
  <c r="AK9" i="125"/>
  <c r="AH35" i="116"/>
  <c r="AI35" i="116" s="1"/>
  <c r="AJ35" i="116"/>
  <c r="AF32" i="100"/>
  <c r="J61" i="72"/>
  <c r="AK64" i="116"/>
  <c r="Z61" i="72"/>
  <c r="AK64" i="149"/>
  <c r="O20" i="72"/>
  <c r="AK23" i="125"/>
  <c r="AE20" i="72"/>
  <c r="AL22" i="80"/>
  <c r="AD26" i="72"/>
  <c r="AL28" i="76"/>
  <c r="S43" i="72"/>
  <c r="AK46" i="129"/>
  <c r="Y43" i="72"/>
  <c r="AK46" i="148"/>
  <c r="S28" i="72"/>
  <c r="AK31" i="129"/>
  <c r="H28" i="72"/>
  <c r="AK31" i="114"/>
  <c r="U53" i="72"/>
  <c r="AK56" i="144"/>
  <c r="AB53" i="72"/>
  <c r="AK56" i="152"/>
  <c r="T47" i="72"/>
  <c r="AK50" i="131"/>
  <c r="L47" i="72"/>
  <c r="AK50" i="118"/>
  <c r="AA47" i="72"/>
  <c r="AK50" i="151"/>
  <c r="X47" i="72"/>
  <c r="AK50" i="147"/>
  <c r="V19" i="72"/>
  <c r="AK22" i="145"/>
  <c r="Z19" i="72"/>
  <c r="AK22" i="149"/>
  <c r="L34" i="72"/>
  <c r="AK37" i="118"/>
  <c r="T34" i="72"/>
  <c r="AK37" i="131"/>
  <c r="N36" i="72"/>
  <c r="AK39" i="120"/>
  <c r="Y36" i="72"/>
  <c r="AK39" i="148"/>
  <c r="M21" i="72"/>
  <c r="AK24" i="119"/>
  <c r="U21" i="72"/>
  <c r="AK24" i="144"/>
  <c r="W59" i="72"/>
  <c r="AK62" i="146"/>
  <c r="J31" i="72"/>
  <c r="AK34" i="116"/>
  <c r="S31" i="72"/>
  <c r="AK34" i="129"/>
  <c r="K49" i="72"/>
  <c r="AK52" i="117"/>
  <c r="AH52" i="119"/>
  <c r="AI52" i="119" s="1"/>
  <c r="AJ52" i="119"/>
  <c r="X49" i="72"/>
  <c r="AK52" i="147"/>
  <c r="Q63" i="72"/>
  <c r="AK66" i="127"/>
  <c r="AD63" i="72"/>
  <c r="AL65" i="76"/>
  <c r="AH47" i="119"/>
  <c r="AI47" i="119" s="1"/>
  <c r="AJ47" i="119"/>
  <c r="AH15" i="119"/>
  <c r="AI15" i="119" s="1"/>
  <c r="AJ15" i="119"/>
  <c r="AH15" i="116"/>
  <c r="AI15" i="116" s="1"/>
  <c r="AJ15" i="116"/>
  <c r="G37" i="72"/>
  <c r="AK40" i="113"/>
  <c r="AF40" i="100"/>
  <c r="M17" i="72"/>
  <c r="AK20" i="119"/>
  <c r="AH20" i="128"/>
  <c r="AI20" i="128" s="1"/>
  <c r="AJ20" i="128"/>
  <c r="AH67" i="129"/>
  <c r="AI67" i="129" s="1"/>
  <c r="AJ67" i="129"/>
  <c r="AH67" i="114"/>
  <c r="AI67" i="114" s="1"/>
  <c r="AJ67" i="114"/>
  <c r="AH38" i="119"/>
  <c r="AI38" i="119" s="1"/>
  <c r="AJ38" i="119"/>
  <c r="AH38" i="114"/>
  <c r="AI38" i="114" s="1"/>
  <c r="AJ38" i="114"/>
  <c r="AB35" i="72"/>
  <c r="AK38" i="152"/>
  <c r="S38" i="72"/>
  <c r="AK41" i="129"/>
  <c r="AH41" i="116"/>
  <c r="AI41" i="116" s="1"/>
  <c r="AJ41" i="116"/>
  <c r="W38" i="72"/>
  <c r="AK41" i="146"/>
  <c r="AH19" i="119"/>
  <c r="AI19" i="119" s="1"/>
  <c r="AJ19" i="119"/>
  <c r="H16" i="72"/>
  <c r="AK19" i="114"/>
  <c r="X28" i="72"/>
  <c r="AK31" i="147"/>
  <c r="H53" i="72"/>
  <c r="AK56" i="114"/>
  <c r="AA53" i="72"/>
  <c r="AK56" i="151"/>
  <c r="X53" i="72"/>
  <c r="AK56" i="147"/>
  <c r="H50" i="72"/>
  <c r="AK53" i="114"/>
  <c r="O42" i="72"/>
  <c r="AK45" i="125"/>
  <c r="L42" i="72"/>
  <c r="AK45" i="118"/>
  <c r="Z34" i="72"/>
  <c r="AK37" i="149"/>
  <c r="AH17" i="116"/>
  <c r="AI17" i="116" s="1"/>
  <c r="AJ17" i="116"/>
  <c r="T14" i="72"/>
  <c r="AK17" i="131"/>
  <c r="AH32" i="128"/>
  <c r="AI32" i="128" s="1"/>
  <c r="AJ32" i="128"/>
  <c r="AH32" i="127"/>
  <c r="AI32" i="127" s="1"/>
  <c r="AJ32" i="127"/>
  <c r="AH39" i="119"/>
  <c r="AI39" i="119" s="1"/>
  <c r="AJ39" i="119"/>
  <c r="AE21" i="72"/>
  <c r="AL23" i="80"/>
  <c r="AH24" i="127"/>
  <c r="AI24" i="127" s="1"/>
  <c r="AJ24" i="127"/>
  <c r="T59" i="72"/>
  <c r="AK62" i="131"/>
  <c r="G54" i="72"/>
  <c r="AK57" i="113"/>
  <c r="AH55" i="114"/>
  <c r="AI55" i="114" s="1"/>
  <c r="AJ55" i="114"/>
  <c r="P52" i="72"/>
  <c r="AK55" i="126"/>
  <c r="AA52" i="72"/>
  <c r="AK55" i="151"/>
  <c r="L49" i="72"/>
  <c r="AK52" i="118"/>
  <c r="W49" i="72"/>
  <c r="AK52" i="146"/>
  <c r="M63" i="72"/>
  <c r="AK66" i="119"/>
  <c r="AH66" i="114"/>
  <c r="AI66" i="114" s="1"/>
  <c r="AJ66" i="114"/>
  <c r="AH61" i="127"/>
  <c r="AI61" i="127" s="1"/>
  <c r="AJ61" i="127"/>
  <c r="AH35" i="147"/>
  <c r="AI35" i="147" s="1"/>
  <c r="AJ35" i="147"/>
  <c r="R43" i="72"/>
  <c r="AK46" i="128"/>
  <c r="AC43" i="72"/>
  <c r="AK46" i="153"/>
  <c r="V28" i="72"/>
  <c r="AK31" i="145"/>
  <c r="Y28" i="72"/>
  <c r="AK31" i="148"/>
  <c r="I53" i="72"/>
  <c r="AK56" i="115"/>
  <c r="V70" i="72"/>
  <c r="AK73" i="145"/>
  <c r="AH73" i="114"/>
  <c r="AI73" i="114" s="1"/>
  <c r="AJ73" i="114"/>
  <c r="Y19" i="72"/>
  <c r="AK22" i="148"/>
  <c r="R50" i="72"/>
  <c r="AK53" i="128"/>
  <c r="AI52" i="76"/>
  <c r="AJ52" i="76" s="1"/>
  <c r="AK52" i="76"/>
  <c r="X50" i="72"/>
  <c r="AK53" i="147"/>
  <c r="AH45" i="127"/>
  <c r="AI45" i="127" s="1"/>
  <c r="AJ45" i="127"/>
  <c r="V42" i="72"/>
  <c r="AK45" i="145"/>
  <c r="N34" i="72"/>
  <c r="AK37" i="120"/>
  <c r="AH62" i="120"/>
  <c r="AI62" i="120" s="1"/>
  <c r="AJ62" i="120"/>
  <c r="AE52" i="72"/>
  <c r="AL54" i="80"/>
  <c r="AH52" i="153"/>
  <c r="AI52" i="153" s="1"/>
  <c r="AJ52" i="153"/>
  <c r="AH66" i="117"/>
  <c r="AI66" i="117" s="1"/>
  <c r="AJ66" i="117"/>
  <c r="AH66" i="128"/>
  <c r="AI66" i="128" s="1"/>
  <c r="AJ66" i="128"/>
  <c r="W58" i="72"/>
  <c r="AK61" i="146"/>
  <c r="T18" i="72"/>
  <c r="AK21" i="131"/>
  <c r="V18" i="72"/>
  <c r="AK21" i="145"/>
  <c r="O65" i="72"/>
  <c r="AK68" i="125"/>
  <c r="AA65" i="72"/>
  <c r="AK68" i="151"/>
  <c r="Y13" i="72"/>
  <c r="AK16" i="148"/>
  <c r="AH26" i="114"/>
  <c r="AI26" i="114" s="1"/>
  <c r="AJ26" i="114"/>
  <c r="AH11" i="153"/>
  <c r="AI11" i="153" s="1"/>
  <c r="AJ11" i="153"/>
  <c r="AD11" i="119"/>
  <c r="AF11" i="119" s="1"/>
  <c r="AQ8" i="72"/>
  <c r="AE24" i="72"/>
  <c r="AL26" i="80"/>
  <c r="AA24" i="72"/>
  <c r="AK27" i="151"/>
  <c r="AH70" i="114"/>
  <c r="AI70" i="114" s="1"/>
  <c r="AJ70" i="114"/>
  <c r="I66" i="72"/>
  <c r="AK69" i="115"/>
  <c r="AH33" i="153"/>
  <c r="AI33" i="153" s="1"/>
  <c r="AJ33" i="153"/>
  <c r="AG30" i="100"/>
  <c r="AF30" i="100"/>
  <c r="AH51" i="115"/>
  <c r="AI51" i="115" s="1"/>
  <c r="AJ51" i="115"/>
  <c r="AG48" i="100"/>
  <c r="AF48" i="100"/>
  <c r="AD51" i="131"/>
  <c r="AF51" i="131" s="1"/>
  <c r="AH15" i="145"/>
  <c r="AI15" i="145" s="1"/>
  <c r="AJ15" i="145"/>
  <c r="AH15" i="120"/>
  <c r="AI15" i="120" s="1"/>
  <c r="AJ15" i="120"/>
  <c r="AD14" i="146"/>
  <c r="AF14" i="146" s="1"/>
  <c r="AD14" i="128"/>
  <c r="AF14" i="128" s="1"/>
  <c r="AV11" i="72"/>
  <c r="AH40" i="148"/>
  <c r="AI40" i="148" s="1"/>
  <c r="AJ40" i="148"/>
  <c r="AD40" i="116"/>
  <c r="AF40" i="116" s="1"/>
  <c r="AN37" i="72"/>
  <c r="AD72" i="114"/>
  <c r="AF72" i="114" s="1"/>
  <c r="AG69" i="100"/>
  <c r="AF69" i="100"/>
  <c r="AH67" i="125"/>
  <c r="AI67" i="125" s="1"/>
  <c r="AJ67" i="125"/>
  <c r="S51" i="72"/>
  <c r="AK54" i="129"/>
  <c r="AH36" i="127"/>
  <c r="AI36" i="127" s="1"/>
  <c r="AJ36" i="127"/>
  <c r="Y56" i="72"/>
  <c r="AK59" i="148"/>
  <c r="M6" i="72"/>
  <c r="AK9" i="119"/>
  <c r="P6" i="72"/>
  <c r="AK9" i="126"/>
  <c r="AH23" i="114"/>
  <c r="AI23" i="114" s="1"/>
  <c r="AJ23" i="114"/>
  <c r="AI43" i="80"/>
  <c r="AJ43" i="80" s="1"/>
  <c r="AK43" i="80"/>
  <c r="U63" i="72"/>
  <c r="AK66" i="144"/>
  <c r="T67" i="72"/>
  <c r="AK70" i="131"/>
  <c r="Q66" i="72"/>
  <c r="AK69" i="127"/>
  <c r="T64" i="72"/>
  <c r="AK67" i="131"/>
  <c r="AH38" i="128"/>
  <c r="AI38" i="128" s="1"/>
  <c r="AJ38" i="128"/>
  <c r="AH19" i="116"/>
  <c r="AI19" i="116" s="1"/>
  <c r="AJ19" i="116"/>
  <c r="G67" i="81"/>
  <c r="E81" i="81"/>
  <c r="H67" i="81"/>
  <c r="AB6" i="72"/>
  <c r="AK9" i="152"/>
  <c r="AD35" i="117"/>
  <c r="AF35" i="117" s="1"/>
  <c r="AO32" i="72"/>
  <c r="AH35" i="131"/>
  <c r="AI35" i="131" s="1"/>
  <c r="AJ35" i="131"/>
  <c r="O61" i="72"/>
  <c r="AK64" i="125"/>
  <c r="T61" i="72"/>
  <c r="AK64" i="131"/>
  <c r="AH23" i="128"/>
  <c r="AI23" i="128" s="1"/>
  <c r="AJ23" i="128"/>
  <c r="X20" i="72"/>
  <c r="AK23" i="147"/>
  <c r="AB26" i="72"/>
  <c r="AK29" i="152"/>
  <c r="AH46" i="116"/>
  <c r="AI46" i="116" s="1"/>
  <c r="AJ46" i="116"/>
  <c r="S70" i="72"/>
  <c r="AK73" i="129"/>
  <c r="AH11" i="151"/>
  <c r="AI11" i="151" s="1"/>
  <c r="AJ11" i="151"/>
  <c r="N24" i="72"/>
  <c r="AK27" i="120"/>
  <c r="AH27" i="117"/>
  <c r="AI27" i="117" s="1"/>
  <c r="AJ27" i="117"/>
  <c r="O67" i="72"/>
  <c r="AK70" i="125"/>
  <c r="AB66" i="72"/>
  <c r="AK69" i="152"/>
  <c r="AD33" i="119"/>
  <c r="AF33" i="119" s="1"/>
  <c r="AQ30" i="72"/>
  <c r="AD75" i="117"/>
  <c r="AF75" i="117" s="1"/>
  <c r="AO72" i="72"/>
  <c r="AD51" i="119"/>
  <c r="AF51" i="119" s="1"/>
  <c r="AQ48" i="72"/>
  <c r="AH47" i="118"/>
  <c r="AI47" i="118" s="1"/>
  <c r="AJ47" i="118"/>
  <c r="AD15" i="127"/>
  <c r="AF15" i="127" s="1"/>
  <c r="AH40" i="146"/>
  <c r="AI40" i="146" s="1"/>
  <c r="AJ40" i="146"/>
  <c r="AH40" i="120"/>
  <c r="AI40" i="120" s="1"/>
  <c r="AJ40" i="120"/>
  <c r="AD12" i="114"/>
  <c r="AF12" i="114" s="1"/>
  <c r="AL9" i="72"/>
  <c r="AG9" i="100"/>
  <c r="AD72" i="128"/>
  <c r="AF72" i="128" s="1"/>
  <c r="AV69" i="72"/>
  <c r="AH43" i="146"/>
  <c r="AI43" i="146" s="1"/>
  <c r="AJ43" i="146"/>
  <c r="AH20" i="153"/>
  <c r="AI20" i="153" s="1"/>
  <c r="AJ20" i="153"/>
  <c r="AF17" i="100"/>
  <c r="U16" i="72"/>
  <c r="AK19" i="144"/>
  <c r="J56" i="72"/>
  <c r="AK59" i="116"/>
  <c r="AH71" i="147"/>
  <c r="AI71" i="147" s="1"/>
  <c r="AJ71" i="147"/>
  <c r="Y6" i="72"/>
  <c r="AK9" i="148"/>
  <c r="V6" i="72"/>
  <c r="AK9" i="145"/>
  <c r="AB61" i="72"/>
  <c r="AK64" i="152"/>
  <c r="T20" i="72"/>
  <c r="AK23" i="131"/>
  <c r="H47" i="72"/>
  <c r="AK50" i="114"/>
  <c r="X42" i="72"/>
  <c r="AK45" i="147"/>
  <c r="AH37" i="127"/>
  <c r="AI37" i="127" s="1"/>
  <c r="AJ37" i="127"/>
  <c r="AB14" i="72"/>
  <c r="AK17" i="152"/>
  <c r="Y21" i="72"/>
  <c r="AK24" i="148"/>
  <c r="AH57" i="115"/>
  <c r="AI57" i="115" s="1"/>
  <c r="AJ57" i="115"/>
  <c r="AD57" i="149"/>
  <c r="AF57" i="149" s="1"/>
  <c r="AD57" i="119"/>
  <c r="AF57" i="119" s="1"/>
  <c r="AQ54" i="72"/>
  <c r="AE43" i="76"/>
  <c r="AG43" i="76" s="1"/>
  <c r="BH41" i="72"/>
  <c r="O13" i="72"/>
  <c r="AK16" i="125"/>
  <c r="AE46" i="72"/>
  <c r="AL48" i="80"/>
  <c r="U23" i="72"/>
  <c r="AK26" i="144"/>
  <c r="AH27" i="114"/>
  <c r="AI27" i="114" s="1"/>
  <c r="AJ27" i="114"/>
  <c r="K67" i="72"/>
  <c r="AK70" i="117"/>
  <c r="AD66" i="72"/>
  <c r="AL68" i="76"/>
  <c r="AA66" i="72"/>
  <c r="AK69" i="151"/>
  <c r="Z66" i="72"/>
  <c r="AK69" i="149"/>
  <c r="AD33" i="115"/>
  <c r="AF33" i="115" s="1"/>
  <c r="AH33" i="145"/>
  <c r="AI33" i="145" s="1"/>
  <c r="AJ33" i="145"/>
  <c r="AD33" i="128"/>
  <c r="AF33" i="128" s="1"/>
  <c r="AV30" i="72"/>
  <c r="AD33" i="117"/>
  <c r="AF33" i="117" s="1"/>
  <c r="AO30" i="72"/>
  <c r="AH33" i="118"/>
  <c r="AI33" i="118" s="1"/>
  <c r="AJ33" i="118"/>
  <c r="AD75" i="116"/>
  <c r="AF75" i="116" s="1"/>
  <c r="AN72" i="72"/>
  <c r="AH51" i="146"/>
  <c r="AI51" i="146" s="1"/>
  <c r="AJ51" i="146"/>
  <c r="AD51" i="116"/>
  <c r="AF51" i="116" s="1"/>
  <c r="AN48" i="72"/>
  <c r="AH51" i="126"/>
  <c r="AI51" i="126" s="1"/>
  <c r="AJ51" i="126"/>
  <c r="AH15" i="147"/>
  <c r="AI15" i="147" s="1"/>
  <c r="AJ15" i="147"/>
  <c r="AD15" i="151"/>
  <c r="AF15" i="151" s="1"/>
  <c r="AH15" i="125"/>
  <c r="AI15" i="125" s="1"/>
  <c r="AJ15" i="125"/>
  <c r="AD14" i="152"/>
  <c r="AF14" i="152" s="1"/>
  <c r="AD14" i="114"/>
  <c r="AF14" i="114" s="1"/>
  <c r="AL11" i="72"/>
  <c r="AH40" i="131"/>
  <c r="AI40" i="131" s="1"/>
  <c r="AJ40" i="131"/>
  <c r="AH58" i="125"/>
  <c r="AI58" i="125" s="1"/>
  <c r="AJ58" i="125"/>
  <c r="AD12" i="131"/>
  <c r="AF12" i="131" s="1"/>
  <c r="AH12" i="125"/>
  <c r="AI12" i="125" s="1"/>
  <c r="AJ12" i="125"/>
  <c r="AH72" i="153"/>
  <c r="AI72" i="153" s="1"/>
  <c r="AJ72" i="153"/>
  <c r="AD72" i="144"/>
  <c r="AF72" i="144" s="1"/>
  <c r="AD8" i="114"/>
  <c r="AF8" i="114" s="1"/>
  <c r="AL5" i="72"/>
  <c r="AH8" i="118"/>
  <c r="AI8" i="118" s="1"/>
  <c r="AJ8" i="118"/>
  <c r="AE7" i="80"/>
  <c r="AG7" i="80" s="1"/>
  <c r="AD20" i="129"/>
  <c r="AF20" i="129" s="1"/>
  <c r="AW17" i="72"/>
  <c r="AH71" i="118"/>
  <c r="AI71" i="118" s="1"/>
  <c r="AJ71" i="118"/>
  <c r="AE32" i="76"/>
  <c r="AG32" i="76" s="1"/>
  <c r="BH30" i="72"/>
  <c r="AD33" i="127"/>
  <c r="AF33" i="127" s="1"/>
  <c r="AE32" i="80"/>
  <c r="AG32" i="80" s="1"/>
  <c r="AH75" i="153"/>
  <c r="AI75" i="153" s="1"/>
  <c r="AJ75" i="153"/>
  <c r="AD75" i="148"/>
  <c r="AF75" i="148" s="1"/>
  <c r="AE74" i="76"/>
  <c r="AG74" i="76" s="1"/>
  <c r="BH72" i="72"/>
  <c r="AI74" i="80"/>
  <c r="AJ74" i="80" s="1"/>
  <c r="AK74" i="80"/>
  <c r="AH63" i="118"/>
  <c r="AI63" i="118" s="1"/>
  <c r="AJ63" i="118"/>
  <c r="AD15" i="114"/>
  <c r="AF15" i="114" s="1"/>
  <c r="AD14" i="127"/>
  <c r="AF14" i="127" s="1"/>
  <c r="AU11" i="72"/>
  <c r="AH40" i="144"/>
  <c r="AI40" i="144" s="1"/>
  <c r="AJ40" i="144"/>
  <c r="AD40" i="117"/>
  <c r="AF40" i="117" s="1"/>
  <c r="AO37" i="72"/>
  <c r="AD40" i="129"/>
  <c r="AF40" i="129" s="1"/>
  <c r="AW37" i="72"/>
  <c r="AH12" i="120"/>
  <c r="AI12" i="120" s="1"/>
  <c r="AJ12" i="120"/>
  <c r="AD72" i="117"/>
  <c r="AF72" i="117" s="1"/>
  <c r="AO69" i="72"/>
  <c r="AD72" i="127"/>
  <c r="AF72" i="127" s="1"/>
  <c r="AU69" i="72"/>
  <c r="AH72" i="126"/>
  <c r="AI72" i="126" s="1"/>
  <c r="AJ72" i="126"/>
  <c r="AD43" i="151"/>
  <c r="AF43" i="151" s="1"/>
  <c r="AH43" i="144"/>
  <c r="AI43" i="144" s="1"/>
  <c r="AJ43" i="144"/>
  <c r="AD43" i="147"/>
  <c r="AF43" i="147" s="1"/>
  <c r="AD43" i="129"/>
  <c r="AF43" i="129" s="1"/>
  <c r="AD8" i="148"/>
  <c r="AF8" i="148" s="1"/>
  <c r="AH8" i="145"/>
  <c r="AI8" i="145" s="1"/>
  <c r="AJ8" i="145"/>
  <c r="AD20" i="117"/>
  <c r="AF20" i="117" s="1"/>
  <c r="AO17" i="72"/>
  <c r="AH71" i="146"/>
  <c r="AI71" i="146" s="1"/>
  <c r="AJ71" i="146"/>
  <c r="AH57" i="126"/>
  <c r="AI57" i="126" s="1"/>
  <c r="AJ57" i="126"/>
  <c r="AH44" i="115"/>
  <c r="AI44" i="115" s="1"/>
  <c r="AJ44" i="115"/>
  <c r="AD44" i="117"/>
  <c r="AF44" i="117" s="1"/>
  <c r="AO41" i="72"/>
  <c r="AH35" i="126"/>
  <c r="AI35" i="126" s="1"/>
  <c r="AJ35" i="126"/>
  <c r="AI34" i="80"/>
  <c r="AJ34" i="80" s="1"/>
  <c r="AK34" i="80"/>
  <c r="AH11" i="146"/>
  <c r="AI11" i="146" s="1"/>
  <c r="AJ11" i="146"/>
  <c r="AD11" i="147"/>
  <c r="AF11" i="147" s="1"/>
  <c r="AD11" i="114"/>
  <c r="AF11" i="114" s="1"/>
  <c r="AL8" i="72"/>
  <c r="AH11" i="118"/>
  <c r="AI11" i="118" s="1"/>
  <c r="AJ11" i="118"/>
  <c r="AH75" i="151"/>
  <c r="AI75" i="151" s="1"/>
  <c r="AJ75" i="151"/>
  <c r="AD75" i="114"/>
  <c r="AF75" i="114" s="1"/>
  <c r="AH63" i="147"/>
  <c r="AI63" i="147" s="1"/>
  <c r="AJ63" i="147"/>
  <c r="AE62" i="80"/>
  <c r="AG62" i="80" s="1"/>
  <c r="AH63" i="120"/>
  <c r="AI63" i="120" s="1"/>
  <c r="AJ63" i="120"/>
  <c r="AD47" i="153"/>
  <c r="AF47" i="153" s="1"/>
  <c r="AD47" i="129"/>
  <c r="AF47" i="129" s="1"/>
  <c r="AD14" i="125"/>
  <c r="AF14" i="125" s="1"/>
  <c r="AD40" i="128"/>
  <c r="AF40" i="128" s="1"/>
  <c r="AV37" i="72"/>
  <c r="AH58" i="115"/>
  <c r="AI58" i="115" s="1"/>
  <c r="AJ58" i="115"/>
  <c r="AH12" i="151"/>
  <c r="AI12" i="151" s="1"/>
  <c r="AJ12" i="151"/>
  <c r="AD12" i="127"/>
  <c r="AF12" i="127" s="1"/>
  <c r="AU9" i="72"/>
  <c r="AD72" i="129"/>
  <c r="AF72" i="129" s="1"/>
  <c r="AD43" i="148"/>
  <c r="AF43" i="148" s="1"/>
  <c r="AH43" i="125"/>
  <c r="AI43" i="125" s="1"/>
  <c r="AJ43" i="125"/>
  <c r="AD8" i="149"/>
  <c r="AF8" i="149" s="1"/>
  <c r="AH20" i="151"/>
  <c r="AI20" i="151" s="1"/>
  <c r="AJ20" i="151"/>
  <c r="AD57" i="151"/>
  <c r="AF57" i="151" s="1"/>
  <c r="AE56" i="76"/>
  <c r="AG56" i="76" s="1"/>
  <c r="BH54" i="72"/>
  <c r="AD57" i="127"/>
  <c r="AF57" i="127" s="1"/>
  <c r="AU54" i="72"/>
  <c r="AH57" i="131"/>
  <c r="AI57" i="131" s="1"/>
  <c r="AJ57" i="131"/>
  <c r="AD44" i="149"/>
  <c r="AF44" i="149" s="1"/>
  <c r="AH44" i="125"/>
  <c r="AI44" i="125" s="1"/>
  <c r="AJ44" i="125"/>
  <c r="AH35" i="144"/>
  <c r="AI35" i="144" s="1"/>
  <c r="AJ35" i="144"/>
  <c r="AD35" i="128"/>
  <c r="AF35" i="128" s="1"/>
  <c r="AH11" i="120"/>
  <c r="AI11" i="120" s="1"/>
  <c r="AJ11" i="120"/>
  <c r="AH33" i="152"/>
  <c r="AI33" i="152" s="1"/>
  <c r="AJ33" i="152"/>
  <c r="AH51" i="148"/>
  <c r="AI51" i="148" s="1"/>
  <c r="AJ51" i="148"/>
  <c r="AI50" i="80"/>
  <c r="AJ50" i="80" s="1"/>
  <c r="AK50" i="80"/>
  <c r="AF44" i="100"/>
  <c r="AG44" i="100"/>
  <c r="AD47" i="131"/>
  <c r="AF47" i="131" s="1"/>
  <c r="AD15" i="128"/>
  <c r="AF15" i="128" s="1"/>
  <c r="AV12" i="72"/>
  <c r="AH14" i="151"/>
  <c r="AI14" i="151" s="1"/>
  <c r="AJ14" i="151"/>
  <c r="AE57" i="76"/>
  <c r="AG57" i="76" s="1"/>
  <c r="AD58" i="127"/>
  <c r="AF58" i="127" s="1"/>
  <c r="AD12" i="115"/>
  <c r="AF12" i="115" s="1"/>
  <c r="AH12" i="147"/>
  <c r="AI12" i="147" s="1"/>
  <c r="AJ12" i="147"/>
  <c r="AD43" i="117"/>
  <c r="AF43" i="117" s="1"/>
  <c r="AO40" i="72"/>
  <c r="AD43" i="127"/>
  <c r="AF43" i="127" s="1"/>
  <c r="AH20" i="147"/>
  <c r="AI20" i="147" s="1"/>
  <c r="AJ20" i="147"/>
  <c r="AD20" i="146"/>
  <c r="AF20" i="146" s="1"/>
  <c r="AD71" i="114"/>
  <c r="AF71" i="114" s="1"/>
  <c r="AH71" i="125"/>
  <c r="AI71" i="125" s="1"/>
  <c r="AJ71" i="125"/>
  <c r="AH59" i="119"/>
  <c r="AI59" i="119" s="1"/>
  <c r="AJ59" i="119"/>
  <c r="M18" i="72"/>
  <c r="AK21" i="119"/>
  <c r="AH32" i="119"/>
  <c r="AI32" i="119" s="1"/>
  <c r="AJ32" i="119"/>
  <c r="Z38" i="72"/>
  <c r="AK41" i="149"/>
  <c r="Y70" i="72"/>
  <c r="AK73" i="148"/>
  <c r="AH53" i="129"/>
  <c r="AI53" i="129" s="1"/>
  <c r="AJ53" i="129"/>
  <c r="AH45" i="146"/>
  <c r="AI45" i="146" s="1"/>
  <c r="AJ45" i="146"/>
  <c r="AH39" i="149"/>
  <c r="AI39" i="149" s="1"/>
  <c r="AJ39" i="149"/>
  <c r="AH62" i="151"/>
  <c r="AI62" i="151" s="1"/>
  <c r="AJ62" i="151"/>
  <c r="AH55" i="129"/>
  <c r="AI55" i="129" s="1"/>
  <c r="AJ55" i="129"/>
  <c r="Z63" i="72"/>
  <c r="AK66" i="149"/>
  <c r="Z56" i="72"/>
  <c r="AK59" i="149"/>
  <c r="AB56" i="72"/>
  <c r="AK59" i="152"/>
  <c r="AE22" i="72"/>
  <c r="AL24" i="80"/>
  <c r="AA22" i="72"/>
  <c r="AK25" i="151"/>
  <c r="Z6" i="72"/>
  <c r="AK9" i="149"/>
  <c r="AH64" i="127"/>
  <c r="AI64" i="127" s="1"/>
  <c r="AJ64" i="127"/>
  <c r="O26" i="72"/>
  <c r="AK29" i="125"/>
  <c r="O43" i="72"/>
  <c r="AK46" i="125"/>
  <c r="AH31" i="117"/>
  <c r="AI31" i="117" s="1"/>
  <c r="AJ31" i="117"/>
  <c r="AH56" i="128"/>
  <c r="AI56" i="128" s="1"/>
  <c r="AJ56" i="128"/>
  <c r="AH50" i="127"/>
  <c r="AI50" i="127" s="1"/>
  <c r="AJ50" i="127"/>
  <c r="AH22" i="151"/>
  <c r="AI22" i="151" s="1"/>
  <c r="AJ22" i="151"/>
  <c r="AH45" i="114"/>
  <c r="AI45" i="114" s="1"/>
  <c r="AJ45" i="114"/>
  <c r="M34" i="72"/>
  <c r="AK37" i="119"/>
  <c r="AC34" i="72"/>
  <c r="AK37" i="153"/>
  <c r="O14" i="72"/>
  <c r="AK17" i="125"/>
  <c r="AH32" i="114"/>
  <c r="AI32" i="114" s="1"/>
  <c r="AJ32" i="114"/>
  <c r="AI38" i="76"/>
  <c r="AJ38" i="76" s="1"/>
  <c r="AK38" i="76"/>
  <c r="R21" i="72"/>
  <c r="AK24" i="128"/>
  <c r="AH62" i="129"/>
  <c r="AI62" i="129" s="1"/>
  <c r="AJ62" i="129"/>
  <c r="AH74" i="120"/>
  <c r="AI74" i="120" s="1"/>
  <c r="AJ74" i="120"/>
  <c r="O71" i="72"/>
  <c r="AK74" i="125"/>
  <c r="V10" i="72"/>
  <c r="AK13" i="145"/>
  <c r="AC62" i="72"/>
  <c r="AK65" i="153"/>
  <c r="AE27" i="72"/>
  <c r="AL29" i="80"/>
  <c r="L24" i="72"/>
  <c r="AK27" i="118"/>
  <c r="AH27" i="128"/>
  <c r="AI27" i="128" s="1"/>
  <c r="AJ27" i="128"/>
  <c r="P67" i="72"/>
  <c r="AK70" i="126"/>
  <c r="AH63" i="116"/>
  <c r="AI63" i="116" s="1"/>
  <c r="AJ63" i="116"/>
  <c r="AB44" i="72"/>
  <c r="AK47" i="152"/>
  <c r="AH47" i="116"/>
  <c r="AI47" i="116" s="1"/>
  <c r="AJ47" i="116"/>
  <c r="AH14" i="116"/>
  <c r="AI14" i="116" s="1"/>
  <c r="AJ14" i="116"/>
  <c r="AH12" i="116"/>
  <c r="AI12" i="116" s="1"/>
  <c r="AJ12" i="116"/>
  <c r="AH12" i="128"/>
  <c r="AI12" i="128" s="1"/>
  <c r="AJ12" i="128"/>
  <c r="AH8" i="144"/>
  <c r="AI8" i="144" s="1"/>
  <c r="AJ8" i="144"/>
  <c r="N64" i="72"/>
  <c r="AK67" i="120"/>
  <c r="AH67" i="127"/>
  <c r="AI67" i="127" s="1"/>
  <c r="AJ67" i="127"/>
  <c r="AH41" i="128"/>
  <c r="AI41" i="128" s="1"/>
  <c r="AJ41" i="128"/>
  <c r="AI40" i="76"/>
  <c r="AJ40" i="76" s="1"/>
  <c r="AK40" i="76"/>
  <c r="AA38" i="72"/>
  <c r="AK41" i="151"/>
  <c r="AA16" i="72"/>
  <c r="AK19" i="151"/>
  <c r="P51" i="72"/>
  <c r="AK54" i="126"/>
  <c r="I51" i="72"/>
  <c r="AK54" i="115"/>
  <c r="J33" i="72"/>
  <c r="AK36" i="116"/>
  <c r="AH29" i="151"/>
  <c r="AI29" i="151" s="1"/>
  <c r="AJ29" i="151"/>
  <c r="L43" i="72"/>
  <c r="AK46" i="118"/>
  <c r="AI72" i="80"/>
  <c r="AJ72" i="80" s="1"/>
  <c r="AK72" i="80"/>
  <c r="P19" i="72"/>
  <c r="AK22" i="126"/>
  <c r="I19" i="72"/>
  <c r="AK22" i="115"/>
  <c r="Z50" i="72"/>
  <c r="AK53" i="149"/>
  <c r="AH45" i="153"/>
  <c r="AI45" i="153" s="1"/>
  <c r="AJ45" i="153"/>
  <c r="AB34" i="72"/>
  <c r="AK37" i="152"/>
  <c r="L36" i="72"/>
  <c r="AK39" i="118"/>
  <c r="T21" i="72"/>
  <c r="AK24" i="131"/>
  <c r="AH34" i="128"/>
  <c r="AI34" i="128" s="1"/>
  <c r="AJ34" i="128"/>
  <c r="N52" i="72"/>
  <c r="AK55" i="120"/>
  <c r="AH52" i="129"/>
  <c r="AI52" i="129" s="1"/>
  <c r="AJ52" i="129"/>
  <c r="N63" i="72"/>
  <c r="AK66" i="120"/>
  <c r="AC63" i="72"/>
  <c r="AK66" i="153"/>
  <c r="AH21" i="115"/>
  <c r="AI21" i="115" s="1"/>
  <c r="AJ21" i="115"/>
  <c r="P15" i="72"/>
  <c r="AK18" i="126"/>
  <c r="AH16" i="146"/>
  <c r="AI16" i="146" s="1"/>
  <c r="AJ16" i="146"/>
  <c r="AH74" i="114"/>
  <c r="AI74" i="114" s="1"/>
  <c r="AJ74" i="114"/>
  <c r="L10" i="72"/>
  <c r="AK13" i="118"/>
  <c r="AH30" i="151"/>
  <c r="AI30" i="151" s="1"/>
  <c r="AJ30" i="151"/>
  <c r="T24" i="72"/>
  <c r="AK27" i="131"/>
  <c r="L67" i="72"/>
  <c r="AK70" i="118"/>
  <c r="X67" i="72"/>
  <c r="AK70" i="147"/>
  <c r="O66" i="72"/>
  <c r="AK69" i="125"/>
  <c r="N7" i="72"/>
  <c r="AK10" i="120"/>
  <c r="AB7" i="72"/>
  <c r="AK10" i="152"/>
  <c r="AH38" i="127"/>
  <c r="AI38" i="127" s="1"/>
  <c r="AJ38" i="127"/>
  <c r="AH36" i="151"/>
  <c r="AI36" i="151" s="1"/>
  <c r="AJ36" i="151"/>
  <c r="O25" i="72"/>
  <c r="AK28" i="125"/>
  <c r="N56" i="72"/>
  <c r="AK59" i="120"/>
  <c r="AI58" i="76"/>
  <c r="AJ58" i="76" s="1"/>
  <c r="AK58" i="76"/>
  <c r="T6" i="72"/>
  <c r="AK9" i="131"/>
  <c r="N6" i="72"/>
  <c r="AK9" i="120"/>
  <c r="G32" i="72"/>
  <c r="AK35" i="113"/>
  <c r="AH64" i="128"/>
  <c r="AI64" i="128" s="1"/>
  <c r="AJ64" i="128"/>
  <c r="N20" i="72"/>
  <c r="AK23" i="120"/>
  <c r="AB20" i="72"/>
  <c r="AK23" i="152"/>
  <c r="N43" i="72"/>
  <c r="AK46" i="120"/>
  <c r="AH31" i="149"/>
  <c r="AI31" i="149" s="1"/>
  <c r="AJ31" i="149"/>
  <c r="P53" i="72"/>
  <c r="AK56" i="126"/>
  <c r="AH56" i="116"/>
  <c r="AI56" i="116" s="1"/>
  <c r="AJ56" i="116"/>
  <c r="AH56" i="127"/>
  <c r="AI56" i="127" s="1"/>
  <c r="AJ56" i="127"/>
  <c r="AC53" i="72"/>
  <c r="AK56" i="153"/>
  <c r="AH50" i="128"/>
  <c r="AI50" i="128" s="1"/>
  <c r="AJ50" i="128"/>
  <c r="AE19" i="72"/>
  <c r="AL21" i="80"/>
  <c r="AH17" i="114"/>
  <c r="AI17" i="114" s="1"/>
  <c r="AJ17" i="114"/>
  <c r="AH17" i="128"/>
  <c r="AI17" i="128" s="1"/>
  <c r="AJ17" i="128"/>
  <c r="AI23" i="76"/>
  <c r="AJ23" i="76" s="1"/>
  <c r="AK23" i="76"/>
  <c r="AE59" i="72"/>
  <c r="AL61" i="80"/>
  <c r="V59" i="72"/>
  <c r="AK62" i="145"/>
  <c r="N31" i="72"/>
  <c r="AK34" i="120"/>
  <c r="U31" i="72"/>
  <c r="AK34" i="144"/>
  <c r="AH55" i="117"/>
  <c r="AI55" i="117" s="1"/>
  <c r="AJ55" i="117"/>
  <c r="AH66" i="145"/>
  <c r="AI66" i="145" s="1"/>
  <c r="AJ66" i="145"/>
  <c r="N58" i="72"/>
  <c r="AK61" i="120"/>
  <c r="O18" i="72"/>
  <c r="AK21" i="125"/>
  <c r="Y18" i="72"/>
  <c r="AK21" i="148"/>
  <c r="AH18" i="119"/>
  <c r="AI18" i="119" s="1"/>
  <c r="AJ18" i="119"/>
  <c r="AH18" i="114"/>
  <c r="AI18" i="114" s="1"/>
  <c r="AJ18" i="114"/>
  <c r="X15" i="72"/>
  <c r="AK18" i="147"/>
  <c r="L65" i="72"/>
  <c r="AK68" i="118"/>
  <c r="N57" i="72"/>
  <c r="AK60" i="120"/>
  <c r="AH16" i="147"/>
  <c r="AI16" i="147" s="1"/>
  <c r="AJ16" i="147"/>
  <c r="AA13" i="72"/>
  <c r="AK16" i="151"/>
  <c r="W46" i="72"/>
  <c r="AK49" i="146"/>
  <c r="AH65" i="146"/>
  <c r="AI65" i="146" s="1"/>
  <c r="AJ65" i="146"/>
  <c r="AH70" i="146"/>
  <c r="AI70" i="146" s="1"/>
  <c r="AJ70" i="146"/>
  <c r="V67" i="72"/>
  <c r="AK70" i="145"/>
  <c r="AH75" i="113"/>
  <c r="AI75" i="113" s="1"/>
  <c r="AJ75" i="113"/>
  <c r="R45" i="100"/>
  <c r="AC48" i="128"/>
  <c r="AC48" i="120"/>
  <c r="AR45" i="72" s="1"/>
  <c r="N45" i="100"/>
  <c r="AD48" i="120"/>
  <c r="AF48" i="120" s="1"/>
  <c r="H45" i="100"/>
  <c r="AC48" i="114"/>
  <c r="AD8" i="116"/>
  <c r="AF8" i="116" s="1"/>
  <c r="U17" i="72"/>
  <c r="AK20" i="144"/>
  <c r="AH41" i="117"/>
  <c r="AI41" i="117" s="1"/>
  <c r="AJ41" i="117"/>
  <c r="L38" i="72"/>
  <c r="AK41" i="118"/>
  <c r="AH19" i="149"/>
  <c r="AI19" i="149" s="1"/>
  <c r="AJ19" i="149"/>
  <c r="O51" i="72"/>
  <c r="AK54" i="125"/>
  <c r="U51" i="72"/>
  <c r="AK54" i="144"/>
  <c r="AB51" i="72"/>
  <c r="AK54" i="152"/>
  <c r="AH36" i="129"/>
  <c r="AI36" i="129" s="1"/>
  <c r="AJ36" i="129"/>
  <c r="AH28" i="117"/>
  <c r="AI28" i="117" s="1"/>
  <c r="AJ28" i="117"/>
  <c r="AH28" i="128"/>
  <c r="AI28" i="128" s="1"/>
  <c r="AJ28" i="128"/>
  <c r="AH28" i="119"/>
  <c r="AI28" i="119" s="1"/>
  <c r="AJ28" i="119"/>
  <c r="AH59" i="127"/>
  <c r="AI59" i="127" s="1"/>
  <c r="AJ59" i="127"/>
  <c r="AH59" i="114"/>
  <c r="AI59" i="114" s="1"/>
  <c r="AJ59" i="114"/>
  <c r="X56" i="72"/>
  <c r="AK59" i="147"/>
  <c r="AH25" i="127"/>
  <c r="AI25" i="127" s="1"/>
  <c r="AJ25" i="127"/>
  <c r="AH64" i="117"/>
  <c r="AI64" i="117" s="1"/>
  <c r="AJ64" i="117"/>
  <c r="AH29" i="146"/>
  <c r="AI29" i="146" s="1"/>
  <c r="AJ29" i="146"/>
  <c r="I26" i="72"/>
  <c r="AK29" i="115"/>
  <c r="L28" i="72"/>
  <c r="AK31" i="118"/>
  <c r="AH31" i="151"/>
  <c r="AI31" i="151" s="1"/>
  <c r="AJ31" i="151"/>
  <c r="L53" i="72"/>
  <c r="AK56" i="118"/>
  <c r="AH39" i="114"/>
  <c r="AI39" i="114" s="1"/>
  <c r="AJ39" i="114"/>
  <c r="AH39" i="151"/>
  <c r="AI39" i="151" s="1"/>
  <c r="AJ39" i="151"/>
  <c r="L21" i="72"/>
  <c r="AK24" i="118"/>
  <c r="L59" i="72"/>
  <c r="AK62" i="118"/>
  <c r="P59" i="72"/>
  <c r="AK62" i="126"/>
  <c r="AH55" i="146"/>
  <c r="AI55" i="146" s="1"/>
  <c r="AJ55" i="146"/>
  <c r="I52" i="72"/>
  <c r="AK55" i="115"/>
  <c r="AH52" i="127"/>
  <c r="AI52" i="127" s="1"/>
  <c r="AJ52" i="127"/>
  <c r="AE49" i="72"/>
  <c r="AL51" i="80"/>
  <c r="AH66" i="148"/>
  <c r="AI66" i="148" s="1"/>
  <c r="AJ66" i="148"/>
  <c r="I63" i="72"/>
  <c r="AK66" i="115"/>
  <c r="AH61" i="114"/>
  <c r="AI61" i="114" s="1"/>
  <c r="AJ61" i="114"/>
  <c r="AC18" i="72"/>
  <c r="AK21" i="153"/>
  <c r="AH49" i="147"/>
  <c r="AI49" i="147" s="1"/>
  <c r="AJ49" i="147"/>
  <c r="L71" i="72"/>
  <c r="AK74" i="118"/>
  <c r="AH26" i="127"/>
  <c r="AI26" i="127" s="1"/>
  <c r="AJ26" i="127"/>
  <c r="AH26" i="145"/>
  <c r="AI26" i="145" s="1"/>
  <c r="AJ26" i="145"/>
  <c r="Z23" i="72"/>
  <c r="AK26" i="149"/>
  <c r="AH13" i="128"/>
  <c r="AI13" i="128" s="1"/>
  <c r="AJ13" i="128"/>
  <c r="AH13" i="114"/>
  <c r="AI13" i="114" s="1"/>
  <c r="AJ13" i="114"/>
  <c r="AB10" i="72"/>
  <c r="AK13" i="152"/>
  <c r="AI29" i="76"/>
  <c r="AJ29" i="76" s="1"/>
  <c r="AK29" i="76"/>
  <c r="AH30" i="115"/>
  <c r="AI30" i="115" s="1"/>
  <c r="AJ30" i="115"/>
  <c r="V24" i="72"/>
  <c r="AK27" i="145"/>
  <c r="W7" i="72"/>
  <c r="AK10" i="146"/>
  <c r="I7" i="72"/>
  <c r="AK10" i="115"/>
  <c r="AH67" i="117"/>
  <c r="AI67" i="117" s="1"/>
  <c r="AJ67" i="117"/>
  <c r="AH54" i="127"/>
  <c r="AI54" i="127" s="1"/>
  <c r="AJ54" i="127"/>
  <c r="AH54" i="114"/>
  <c r="AI54" i="114" s="1"/>
  <c r="AJ54" i="114"/>
  <c r="AH36" i="146"/>
  <c r="AI36" i="146" s="1"/>
  <c r="AJ36" i="146"/>
  <c r="I33" i="72"/>
  <c r="AK36" i="115"/>
  <c r="AH28" i="116"/>
  <c r="AI28" i="116" s="1"/>
  <c r="AJ28" i="116"/>
  <c r="O56" i="72"/>
  <c r="AK59" i="125"/>
  <c r="T22" i="72"/>
  <c r="AK25" i="131"/>
  <c r="Y22" i="72"/>
  <c r="AK25" i="148"/>
  <c r="AH9" i="117"/>
  <c r="AI9" i="117" s="1"/>
  <c r="AJ9" i="117"/>
  <c r="AH9" i="127"/>
  <c r="AI9" i="127" s="1"/>
  <c r="AJ9" i="127"/>
  <c r="I6" i="72"/>
  <c r="AK9" i="115"/>
  <c r="AD35" i="148"/>
  <c r="AF35" i="148" s="1"/>
  <c r="AH35" i="152"/>
  <c r="AI35" i="152" s="1"/>
  <c r="AJ35" i="152"/>
  <c r="AD35" i="127"/>
  <c r="AF35" i="127" s="1"/>
  <c r="AU32" i="72"/>
  <c r="AH56" i="125"/>
  <c r="AI56" i="125" s="1"/>
  <c r="AJ56" i="125"/>
  <c r="W53" i="72"/>
  <c r="AK56" i="146"/>
  <c r="P47" i="72"/>
  <c r="AK50" i="126"/>
  <c r="T70" i="72"/>
  <c r="AK73" i="131"/>
  <c r="M19" i="72"/>
  <c r="AK22" i="119"/>
  <c r="AH37" i="151"/>
  <c r="AI37" i="151" s="1"/>
  <c r="AJ37" i="151"/>
  <c r="M14" i="72"/>
  <c r="AK17" i="119"/>
  <c r="P14" i="72"/>
  <c r="AK17" i="126"/>
  <c r="L29" i="72"/>
  <c r="AK32" i="118"/>
  <c r="X29" i="72"/>
  <c r="AK32" i="147"/>
  <c r="AB36" i="72"/>
  <c r="AK39" i="152"/>
  <c r="AB21" i="72"/>
  <c r="AK24" i="152"/>
  <c r="M59" i="72"/>
  <c r="AK62" i="119"/>
  <c r="Z59" i="72"/>
  <c r="AK62" i="149"/>
  <c r="AB31" i="72"/>
  <c r="AK34" i="152"/>
  <c r="AH55" i="147"/>
  <c r="AI55" i="147" s="1"/>
  <c r="AJ55" i="147"/>
  <c r="AC52" i="72"/>
  <c r="AK55" i="153"/>
  <c r="AH60" i="115"/>
  <c r="AI60" i="115" s="1"/>
  <c r="AJ60" i="115"/>
  <c r="M46" i="72"/>
  <c r="AK49" i="119"/>
  <c r="U46" i="72"/>
  <c r="AK49" i="144"/>
  <c r="AH74" i="148"/>
  <c r="AI74" i="148" s="1"/>
  <c r="AJ74" i="148"/>
  <c r="M23" i="72"/>
  <c r="AK26" i="119"/>
  <c r="X23" i="72"/>
  <c r="AK26" i="147"/>
  <c r="G62" i="72"/>
  <c r="AK65" i="113"/>
  <c r="U62" i="72"/>
  <c r="AK65" i="144"/>
  <c r="AH69" i="131"/>
  <c r="AI69" i="131" s="1"/>
  <c r="AJ69" i="131"/>
  <c r="Y66" i="72"/>
  <c r="AK69" i="148"/>
  <c r="P7" i="72"/>
  <c r="AK10" i="126"/>
  <c r="AD75" i="145"/>
  <c r="AF75" i="145" s="1"/>
  <c r="AH75" i="146"/>
  <c r="AI75" i="146" s="1"/>
  <c r="AJ75" i="146"/>
  <c r="AH63" i="153"/>
  <c r="AI63" i="153" s="1"/>
  <c r="AJ63" i="153"/>
  <c r="AD63" i="128"/>
  <c r="AF63" i="128" s="1"/>
  <c r="AD47" i="128"/>
  <c r="AF47" i="128" s="1"/>
  <c r="AH15" i="144"/>
  <c r="AI15" i="144" s="1"/>
  <c r="AJ15" i="144"/>
  <c r="AD14" i="129"/>
  <c r="AF14" i="129" s="1"/>
  <c r="AW11" i="72"/>
  <c r="AH14" i="120"/>
  <c r="AI14" i="120" s="1"/>
  <c r="AJ14" i="120"/>
  <c r="AH58" i="152"/>
  <c r="AI58" i="152" s="1"/>
  <c r="AJ58" i="152"/>
  <c r="AH58" i="144"/>
  <c r="AI58" i="144" s="1"/>
  <c r="AJ58" i="144"/>
  <c r="AD12" i="145"/>
  <c r="AF12" i="145" s="1"/>
  <c r="AI71" i="80"/>
  <c r="AJ71" i="80" s="1"/>
  <c r="AK71" i="80"/>
  <c r="AH43" i="126"/>
  <c r="AI43" i="126" s="1"/>
  <c r="AJ43" i="126"/>
  <c r="AD43" i="145"/>
  <c r="AF43" i="145" s="1"/>
  <c r="AE42" i="76"/>
  <c r="AG42" i="76" s="1"/>
  <c r="BH40" i="72"/>
  <c r="AI42" i="80"/>
  <c r="AJ42" i="80" s="1"/>
  <c r="AK42" i="80"/>
  <c r="AD8" i="152"/>
  <c r="AF8" i="152" s="1"/>
  <c r="AD8" i="128"/>
  <c r="AF8" i="128" s="1"/>
  <c r="AD20" i="116"/>
  <c r="AF20" i="116" s="1"/>
  <c r="AN17" i="72"/>
  <c r="AE64" i="72"/>
  <c r="AL66" i="80"/>
  <c r="AI37" i="80"/>
  <c r="AJ37" i="80" s="1"/>
  <c r="AK37" i="80"/>
  <c r="Z35" i="72"/>
  <c r="AK38" i="149"/>
  <c r="AH41" i="127"/>
  <c r="AI41" i="127" s="1"/>
  <c r="AJ41" i="127"/>
  <c r="AI53" i="76"/>
  <c r="AJ53" i="76" s="1"/>
  <c r="AK53" i="76"/>
  <c r="N25" i="72"/>
  <c r="AK28" i="120"/>
  <c r="AH59" i="117"/>
  <c r="AI59" i="117" s="1"/>
  <c r="AJ59" i="117"/>
  <c r="AD22" i="72"/>
  <c r="AL24" i="76"/>
  <c r="O22" i="72"/>
  <c r="AK25" i="125"/>
  <c r="AH71" i="153"/>
  <c r="AI71" i="153" s="1"/>
  <c r="AJ71" i="153"/>
  <c r="AH71" i="126"/>
  <c r="AI71" i="126" s="1"/>
  <c r="AJ71" i="126"/>
  <c r="AA6" i="72"/>
  <c r="AK9" i="151"/>
  <c r="N61" i="72"/>
  <c r="AK64" i="120"/>
  <c r="AH64" i="114"/>
  <c r="AI64" i="114" s="1"/>
  <c r="AJ64" i="114"/>
  <c r="AH53" i="145"/>
  <c r="AI53" i="145" s="1"/>
  <c r="AJ53" i="145"/>
  <c r="Y50" i="72"/>
  <c r="AK53" i="148"/>
  <c r="AB42" i="72"/>
  <c r="AK45" i="152"/>
  <c r="O34" i="72"/>
  <c r="AK37" i="125"/>
  <c r="AM15" i="46"/>
  <c r="AN14" i="46"/>
  <c r="AC36" i="72"/>
  <c r="AK39" i="153"/>
  <c r="O21" i="72"/>
  <c r="AK24" i="125"/>
  <c r="V21" i="72"/>
  <c r="AK24" i="145"/>
  <c r="AH62" i="127"/>
  <c r="AI62" i="127" s="1"/>
  <c r="AJ62" i="127"/>
  <c r="AD57" i="116"/>
  <c r="AF57" i="116" s="1"/>
  <c r="AN54" i="72"/>
  <c r="AD44" i="116"/>
  <c r="AF44" i="116" s="1"/>
  <c r="AN41" i="72"/>
  <c r="AH66" i="129"/>
  <c r="AI66" i="129" s="1"/>
  <c r="AJ66" i="129"/>
  <c r="AB63" i="72"/>
  <c r="AK66" i="152"/>
  <c r="Y58" i="72"/>
  <c r="AK61" i="148"/>
  <c r="AH74" i="127"/>
  <c r="AI74" i="127" s="1"/>
  <c r="AJ74" i="127"/>
  <c r="V71" i="72"/>
  <c r="AK74" i="145"/>
  <c r="N10" i="72"/>
  <c r="AK13" i="120"/>
  <c r="AH65" i="145"/>
  <c r="AI65" i="145" s="1"/>
  <c r="AJ65" i="145"/>
  <c r="G27" i="72"/>
  <c r="AK30" i="113"/>
  <c r="AH30" i="114"/>
  <c r="AI30" i="114" s="1"/>
  <c r="AJ30" i="114"/>
  <c r="J24" i="72"/>
  <c r="AK27" i="116"/>
  <c r="AH70" i="148"/>
  <c r="AI70" i="148" s="1"/>
  <c r="AJ70" i="148"/>
  <c r="I67" i="72"/>
  <c r="AK70" i="115"/>
  <c r="L7" i="72"/>
  <c r="AK10" i="118"/>
  <c r="AH54" i="131"/>
  <c r="AI54" i="131" s="1"/>
  <c r="AJ54" i="131"/>
  <c r="AH28" i="148"/>
  <c r="AI28" i="148" s="1"/>
  <c r="AJ28" i="148"/>
  <c r="AB25" i="72"/>
  <c r="AK28" i="152"/>
  <c r="I56" i="72"/>
  <c r="AK59" i="115"/>
  <c r="P22" i="72"/>
  <c r="AK25" i="126"/>
  <c r="AH25" i="114"/>
  <c r="AI25" i="114" s="1"/>
  <c r="AJ25" i="114"/>
  <c r="AI8" i="76"/>
  <c r="AJ8" i="76" s="1"/>
  <c r="AK8" i="76"/>
  <c r="AH64" i="145"/>
  <c r="AI64" i="145" s="1"/>
  <c r="AJ64" i="145"/>
  <c r="AH46" i="126"/>
  <c r="AI46" i="126" s="1"/>
  <c r="AJ46" i="126"/>
  <c r="AH73" i="149"/>
  <c r="AI73" i="149" s="1"/>
  <c r="AJ73" i="149"/>
  <c r="AE50" i="72"/>
  <c r="AL52" i="80"/>
  <c r="O50" i="72"/>
  <c r="AK53" i="125"/>
  <c r="AC50" i="72"/>
  <c r="AK53" i="153"/>
  <c r="AH32" i="151"/>
  <c r="AI32" i="151" s="1"/>
  <c r="AJ32" i="151"/>
  <c r="W21" i="72"/>
  <c r="AK24" i="146"/>
  <c r="AH55" i="118"/>
  <c r="AI55" i="118" s="1"/>
  <c r="AJ55" i="118"/>
  <c r="T52" i="72"/>
  <c r="AK55" i="131"/>
  <c r="AH60" i="152"/>
  <c r="AI60" i="152" s="1"/>
  <c r="AJ60" i="152"/>
  <c r="N13" i="72"/>
  <c r="AK16" i="120"/>
  <c r="AH16" i="117"/>
  <c r="AI16" i="117" s="1"/>
  <c r="AJ16" i="117"/>
  <c r="AH16" i="129"/>
  <c r="AI16" i="129" s="1"/>
  <c r="AJ16" i="129"/>
  <c r="AH26" i="153"/>
  <c r="AI26" i="153" s="1"/>
  <c r="AJ26" i="153"/>
  <c r="AE10" i="72"/>
  <c r="AL12" i="80"/>
  <c r="AD11" i="127"/>
  <c r="AF11" i="127" s="1"/>
  <c r="AU8" i="72"/>
  <c r="AI10" i="80"/>
  <c r="AJ10" i="80" s="1"/>
  <c r="AK10" i="80"/>
  <c r="O24" i="72"/>
  <c r="AK27" i="125"/>
  <c r="AC24" i="72"/>
  <c r="AK27" i="153"/>
  <c r="AH69" i="153"/>
  <c r="AI69" i="153" s="1"/>
  <c r="AJ69" i="153"/>
  <c r="AH10" i="117"/>
  <c r="AI10" i="117" s="1"/>
  <c r="AJ10" i="117"/>
  <c r="AD33" i="129"/>
  <c r="AF33" i="129" s="1"/>
  <c r="AH75" i="147"/>
  <c r="AI75" i="147" s="1"/>
  <c r="AJ75" i="147"/>
  <c r="AD75" i="128"/>
  <c r="AF75" i="128" s="1"/>
  <c r="AC48" i="144"/>
  <c r="AY45" i="72" s="1"/>
  <c r="U45" i="100"/>
  <c r="AD48" i="144"/>
  <c r="AF48" i="144" s="1"/>
  <c r="AC48" i="153"/>
  <c r="BG45" i="72" s="1"/>
  <c r="AC45" i="100"/>
  <c r="AC48" i="152"/>
  <c r="BF45" i="72" s="1"/>
  <c r="AB45" i="100"/>
  <c r="AD48" i="152"/>
  <c r="AF48" i="152" s="1"/>
  <c r="AH63" i="115"/>
  <c r="AI63" i="115" s="1"/>
  <c r="AJ63" i="115"/>
  <c r="AD63" i="127"/>
  <c r="AF63" i="127" s="1"/>
  <c r="AD47" i="117"/>
  <c r="AF47" i="117" s="1"/>
  <c r="AD47" i="149"/>
  <c r="AF47" i="149" s="1"/>
  <c r="AE46" i="76"/>
  <c r="AG46" i="76" s="1"/>
  <c r="AH15" i="126"/>
  <c r="AI15" i="126" s="1"/>
  <c r="AJ15" i="126"/>
  <c r="G12" i="72"/>
  <c r="AK15" i="113"/>
  <c r="AD14" i="148"/>
  <c r="AF14" i="148" s="1"/>
  <c r="AE13" i="80"/>
  <c r="AG13" i="80" s="1"/>
  <c r="AH58" i="147"/>
  <c r="AI58" i="147" s="1"/>
  <c r="AJ58" i="147"/>
  <c r="AD58" i="151"/>
  <c r="AF58" i="151" s="1"/>
  <c r="AD58" i="114"/>
  <c r="AF58" i="114" s="1"/>
  <c r="AL55" i="72"/>
  <c r="AD58" i="128"/>
  <c r="AF58" i="128" s="1"/>
  <c r="AD58" i="131"/>
  <c r="AF58" i="131" s="1"/>
  <c r="AD58" i="117"/>
  <c r="AF58" i="117" s="1"/>
  <c r="AO55" i="72"/>
  <c r="AD12" i="152"/>
  <c r="AF12" i="152" s="1"/>
  <c r="AH72" i="149"/>
  <c r="AI72" i="149" s="1"/>
  <c r="AJ72" i="149"/>
  <c r="AH8" i="126"/>
  <c r="AI8" i="126" s="1"/>
  <c r="AJ8" i="126"/>
  <c r="AD20" i="114"/>
  <c r="AF20" i="114" s="1"/>
  <c r="AL17" i="72"/>
  <c r="AH20" i="120"/>
  <c r="AI20" i="120" s="1"/>
  <c r="AJ20" i="120"/>
  <c r="G17" i="72"/>
  <c r="AK20" i="113"/>
  <c r="AH36" i="152"/>
  <c r="AI36" i="152" s="1"/>
  <c r="AJ36" i="152"/>
  <c r="X33" i="72"/>
  <c r="AK36" i="147"/>
  <c r="U25" i="72"/>
  <c r="AK28" i="144"/>
  <c r="U22" i="72"/>
  <c r="AK25" i="144"/>
  <c r="AD71" i="127"/>
  <c r="AF71" i="127" s="1"/>
  <c r="AU68" i="72"/>
  <c r="AD71" i="128"/>
  <c r="AF71" i="128" s="1"/>
  <c r="AV68" i="72"/>
  <c r="AH64" i="153"/>
  <c r="AI64" i="153" s="1"/>
  <c r="AJ64" i="153"/>
  <c r="Z20" i="72"/>
  <c r="AK23" i="149"/>
  <c r="AH23" i="144"/>
  <c r="AI23" i="144" s="1"/>
  <c r="AJ23" i="144"/>
  <c r="AH29" i="129"/>
  <c r="AI29" i="129" s="1"/>
  <c r="AJ29" i="129"/>
  <c r="AI55" i="76"/>
  <c r="AJ55" i="76" s="1"/>
  <c r="AK55" i="76"/>
  <c r="W47" i="72"/>
  <c r="AK50" i="146"/>
  <c r="I47" i="72"/>
  <c r="AK50" i="115"/>
  <c r="X70" i="72"/>
  <c r="AK73" i="147"/>
  <c r="AH22" i="153"/>
  <c r="AI22" i="153" s="1"/>
  <c r="AJ22" i="153"/>
  <c r="N50" i="72"/>
  <c r="AK53" i="120"/>
  <c r="AC14" i="72"/>
  <c r="AK17" i="153"/>
  <c r="P29" i="72"/>
  <c r="AK32" i="126"/>
  <c r="AH62" i="116"/>
  <c r="AI62" i="116" s="1"/>
  <c r="AJ62" i="116"/>
  <c r="AH34" i="126"/>
  <c r="AI34" i="126" s="1"/>
  <c r="AJ34" i="126"/>
  <c r="AH34" i="146"/>
  <c r="AI34" i="146" s="1"/>
  <c r="AJ34" i="146"/>
  <c r="V31" i="72"/>
  <c r="AK34" i="145"/>
  <c r="AD57" i="129"/>
  <c r="AF57" i="129" s="1"/>
  <c r="AD44" i="152"/>
  <c r="AF44" i="152" s="1"/>
  <c r="AH44" i="120"/>
  <c r="AI44" i="120" s="1"/>
  <c r="AJ44" i="120"/>
  <c r="G41" i="72"/>
  <c r="AK44" i="113"/>
  <c r="T15" i="72"/>
  <c r="AK18" i="131"/>
  <c r="AH18" i="128"/>
  <c r="AI18" i="128" s="1"/>
  <c r="AJ18" i="128"/>
  <c r="AH68" i="117"/>
  <c r="AI68" i="117" s="1"/>
  <c r="AJ68" i="117"/>
  <c r="AH16" i="127"/>
  <c r="AI16" i="127" s="1"/>
  <c r="AJ16" i="127"/>
  <c r="AH49" i="127"/>
  <c r="AI49" i="127" s="1"/>
  <c r="AJ49" i="127"/>
  <c r="AI48" i="76"/>
  <c r="AJ48" i="76" s="1"/>
  <c r="AK48" i="76"/>
  <c r="AH26" i="128"/>
  <c r="AI26" i="128" s="1"/>
  <c r="AJ26" i="128"/>
  <c r="AA62" i="72"/>
  <c r="AK65" i="151"/>
  <c r="AB24" i="72"/>
  <c r="AK27" i="152"/>
  <c r="AH70" i="128"/>
  <c r="AI70" i="128" s="1"/>
  <c r="AJ70" i="128"/>
  <c r="AC67" i="72"/>
  <c r="AK70" i="153"/>
  <c r="AH69" i="128"/>
  <c r="AI69" i="128" s="1"/>
  <c r="AJ69" i="128"/>
  <c r="AH69" i="129"/>
  <c r="AI69" i="129" s="1"/>
  <c r="AJ69" i="129"/>
  <c r="O7" i="72"/>
  <c r="AK10" i="125"/>
  <c r="Z7" i="116"/>
  <c r="Z76" i="116" s="1"/>
  <c r="Z82" i="116" s="1"/>
  <c r="X7" i="116"/>
  <c r="V7" i="116"/>
  <c r="Z7" i="128"/>
  <c r="Z76" i="128" s="1"/>
  <c r="Z82" i="128" s="1"/>
  <c r="X7" i="128"/>
  <c r="V7" i="128"/>
  <c r="AA6" i="80"/>
  <c r="AA75" i="80" s="1"/>
  <c r="AA81" i="80" s="1"/>
  <c r="Y6" i="80"/>
  <c r="W6" i="80"/>
  <c r="Z7" i="119"/>
  <c r="X7" i="119"/>
  <c r="X76" i="119" s="1"/>
  <c r="X82" i="119" s="1"/>
  <c r="V7" i="119"/>
  <c r="AA6" i="76"/>
  <c r="AA75" i="76" s="1"/>
  <c r="AA81" i="76" s="1"/>
  <c r="Y6" i="76"/>
  <c r="W6" i="76"/>
  <c r="W75" i="76" s="1"/>
  <c r="W81" i="76" s="1"/>
  <c r="Z7" i="127"/>
  <c r="Z76" i="127" s="1"/>
  <c r="Z82" i="127" s="1"/>
  <c r="X7" i="127"/>
  <c r="V7" i="127"/>
  <c r="Z7" i="118"/>
  <c r="Z76" i="118" s="1"/>
  <c r="Z82" i="118" s="1"/>
  <c r="X7" i="118"/>
  <c r="V7" i="118"/>
  <c r="Z7" i="146"/>
  <c r="Z76" i="146" s="1"/>
  <c r="Z82" i="146" s="1"/>
  <c r="X7" i="146"/>
  <c r="V7" i="146"/>
  <c r="Z7" i="153"/>
  <c r="Z76" i="153" s="1"/>
  <c r="Z82" i="153" s="1"/>
  <c r="X7" i="153"/>
  <c r="V7" i="153"/>
  <c r="V76" i="153" s="1"/>
  <c r="V82" i="153" s="1"/>
  <c r="Z7" i="149"/>
  <c r="Z76" i="149" s="1"/>
  <c r="Z82" i="149" s="1"/>
  <c r="X7" i="149"/>
  <c r="V7" i="149"/>
  <c r="Z7" i="152"/>
  <c r="Z76" i="152" s="1"/>
  <c r="Z82" i="152" s="1"/>
  <c r="X7" i="152"/>
  <c r="V7" i="152"/>
  <c r="AH18" i="120"/>
  <c r="AI18" i="120" s="1"/>
  <c r="AJ18" i="120"/>
  <c r="AB15" i="72"/>
  <c r="AK18" i="152"/>
  <c r="AH60" i="117"/>
  <c r="AI60" i="117" s="1"/>
  <c r="AJ60" i="117"/>
  <c r="AH16" i="114"/>
  <c r="AI16" i="114" s="1"/>
  <c r="AJ16" i="114"/>
  <c r="AH11" i="152"/>
  <c r="AI11" i="152" s="1"/>
  <c r="AJ11" i="152"/>
  <c r="AD11" i="117"/>
  <c r="AF11" i="117" s="1"/>
  <c r="AO8" i="72"/>
  <c r="AH33" i="144"/>
  <c r="AI33" i="144" s="1"/>
  <c r="AJ33" i="144"/>
  <c r="AH75" i="126"/>
  <c r="AI75" i="126" s="1"/>
  <c r="AJ75" i="126"/>
  <c r="AI14" i="80"/>
  <c r="AJ14" i="80" s="1"/>
  <c r="AK14" i="80"/>
  <c r="AH14" i="115"/>
  <c r="AI14" i="115" s="1"/>
  <c r="AJ14" i="115"/>
  <c r="AH72" i="146"/>
  <c r="AI72" i="146" s="1"/>
  <c r="AJ72" i="146"/>
  <c r="AD8" i="117"/>
  <c r="AF8" i="117" s="1"/>
  <c r="AO5" i="72"/>
  <c r="U38" i="72"/>
  <c r="AK41" i="144"/>
  <c r="O16" i="72"/>
  <c r="AK19" i="125"/>
  <c r="W51" i="72"/>
  <c r="AK54" i="146"/>
  <c r="AE33" i="72"/>
  <c r="AL35" i="80"/>
  <c r="Y33" i="72"/>
  <c r="AK36" i="148"/>
  <c r="AH59" i="129"/>
  <c r="AI59" i="129" s="1"/>
  <c r="AJ59" i="129"/>
  <c r="AH25" i="129"/>
  <c r="AI25" i="129" s="1"/>
  <c r="AJ25" i="129"/>
  <c r="W22" i="72"/>
  <c r="AK25" i="146"/>
  <c r="AH31" i="146"/>
  <c r="AI31" i="146" s="1"/>
  <c r="AJ31" i="146"/>
  <c r="AH56" i="129"/>
  <c r="AI56" i="129" s="1"/>
  <c r="AJ56" i="129"/>
  <c r="N47" i="72"/>
  <c r="AK50" i="120"/>
  <c r="X19" i="72"/>
  <c r="AK22" i="147"/>
  <c r="AG12" i="100"/>
  <c r="P36" i="72"/>
  <c r="AK39" i="126"/>
  <c r="I36" i="72"/>
  <c r="AK39" i="115"/>
  <c r="AD59" i="72"/>
  <c r="AL61" i="76"/>
  <c r="U59" i="72"/>
  <c r="AK62" i="144"/>
  <c r="AD57" i="114"/>
  <c r="AF57" i="114" s="1"/>
  <c r="AH44" i="145"/>
  <c r="AI44" i="145" s="1"/>
  <c r="AJ44" i="145"/>
  <c r="AH49" i="131"/>
  <c r="AI49" i="131" s="1"/>
  <c r="AJ49" i="131"/>
  <c r="T71" i="72"/>
  <c r="AK74" i="131"/>
  <c r="K23" i="72"/>
  <c r="AK26" i="117"/>
  <c r="AH65" i="129"/>
  <c r="AI65" i="129" s="1"/>
  <c r="AJ65" i="129"/>
  <c r="AC27" i="72"/>
  <c r="AK30" i="153"/>
  <c r="Y24" i="72"/>
  <c r="AK27" i="148"/>
  <c r="X66" i="72"/>
  <c r="AK69" i="147"/>
  <c r="S7" i="72"/>
  <c r="AK10" i="129"/>
  <c r="Y64" i="72"/>
  <c r="AK67" i="148"/>
  <c r="X16" i="72"/>
  <c r="AK19" i="147"/>
  <c r="W16" i="72"/>
  <c r="AK19" i="146"/>
  <c r="AA56" i="72"/>
  <c r="AK59" i="151"/>
  <c r="W56" i="72"/>
  <c r="AK59" i="146"/>
  <c r="AH35" i="115"/>
  <c r="AI35" i="115" s="1"/>
  <c r="AJ35" i="115"/>
  <c r="AD35" i="153"/>
  <c r="AF35" i="153" s="1"/>
  <c r="AH35" i="118"/>
  <c r="AI35" i="118" s="1"/>
  <c r="AJ35" i="118"/>
  <c r="I70" i="72"/>
  <c r="AK73" i="115"/>
  <c r="T19" i="72"/>
  <c r="AK22" i="131"/>
  <c r="AD24" i="72"/>
  <c r="AL26" i="76"/>
  <c r="K66" i="72"/>
  <c r="AK69" i="117"/>
  <c r="AH14" i="131"/>
  <c r="AI14" i="131" s="1"/>
  <c r="AJ14" i="131"/>
  <c r="AH40" i="147"/>
  <c r="AI40" i="147" s="1"/>
  <c r="AJ40" i="147"/>
  <c r="AH12" i="118"/>
  <c r="AI12" i="118" s="1"/>
  <c r="AJ12" i="118"/>
  <c r="G9" i="72"/>
  <c r="AK12" i="113"/>
  <c r="AH43" i="153"/>
  <c r="AI43" i="153" s="1"/>
  <c r="AJ43" i="153"/>
  <c r="AH8" i="120"/>
  <c r="AI8" i="120" s="1"/>
  <c r="AJ8" i="120"/>
  <c r="AD20" i="152"/>
  <c r="AF20" i="152" s="1"/>
  <c r="AE19" i="76"/>
  <c r="AG19" i="76" s="1"/>
  <c r="BH17" i="72"/>
  <c r="AH71" i="151"/>
  <c r="AI71" i="151" s="1"/>
  <c r="AJ71" i="151"/>
  <c r="AH9" i="116"/>
  <c r="AI9" i="116" s="1"/>
  <c r="AJ9" i="116"/>
  <c r="AE6" i="72"/>
  <c r="AL8" i="80"/>
  <c r="AH23" i="116"/>
  <c r="AI23" i="116" s="1"/>
  <c r="AJ23" i="116"/>
  <c r="AH23" i="127"/>
  <c r="AI23" i="127" s="1"/>
  <c r="AJ23" i="127"/>
  <c r="AH29" i="116"/>
  <c r="AI29" i="116" s="1"/>
  <c r="AJ29" i="116"/>
  <c r="W43" i="72"/>
  <c r="AK46" i="146"/>
  <c r="V43" i="72"/>
  <c r="AK46" i="145"/>
  <c r="O19" i="72"/>
  <c r="AK22" i="125"/>
  <c r="H19" i="72"/>
  <c r="AK22" i="114"/>
  <c r="I42" i="72"/>
  <c r="AK45" i="115"/>
  <c r="AE34" i="72"/>
  <c r="AL36" i="80"/>
  <c r="AH57" i="146"/>
  <c r="AI57" i="146" s="1"/>
  <c r="AJ57" i="146"/>
  <c r="AH65" i="149"/>
  <c r="AI65" i="149" s="1"/>
  <c r="AJ65" i="149"/>
  <c r="AH30" i="128"/>
  <c r="AI30" i="128" s="1"/>
  <c r="AJ30" i="128"/>
  <c r="AH70" i="116"/>
  <c r="AI70" i="116" s="1"/>
  <c r="AJ70" i="116"/>
  <c r="U67" i="72"/>
  <c r="AK70" i="144"/>
  <c r="AH69" i="114"/>
  <c r="AI69" i="114" s="1"/>
  <c r="AJ69" i="114"/>
  <c r="AH68" i="119"/>
  <c r="AI68" i="119" s="1"/>
  <c r="AJ68" i="119"/>
  <c r="AH27" i="119"/>
  <c r="AI27" i="119" s="1"/>
  <c r="AJ27" i="119"/>
  <c r="AI66" i="76"/>
  <c r="AJ66" i="76" s="1"/>
  <c r="AK66" i="76"/>
  <c r="P38" i="72"/>
  <c r="AK41" i="126"/>
  <c r="AA64" i="72"/>
  <c r="AK67" i="151"/>
  <c r="I64" i="72"/>
  <c r="AK67" i="115"/>
  <c r="K35" i="72"/>
  <c r="AK38" i="117"/>
  <c r="V35" i="72"/>
  <c r="AK38" i="145"/>
  <c r="U47" i="72"/>
  <c r="AK50" i="144"/>
  <c r="M70" i="72"/>
  <c r="AK73" i="119"/>
  <c r="AC70" i="72"/>
  <c r="AK73" i="153"/>
  <c r="N19" i="72"/>
  <c r="AK22" i="120"/>
  <c r="W19" i="72"/>
  <c r="AK22" i="146"/>
  <c r="P50" i="72"/>
  <c r="AK53" i="126"/>
  <c r="Q52" i="72"/>
  <c r="AK55" i="127"/>
  <c r="U52" i="72"/>
  <c r="AK55" i="144"/>
  <c r="O49" i="72"/>
  <c r="AK52" i="125"/>
  <c r="AE63" i="72"/>
  <c r="AL65" i="80"/>
  <c r="AI60" i="76"/>
  <c r="AJ60" i="76" s="1"/>
  <c r="AK60" i="76"/>
  <c r="AA58" i="72"/>
  <c r="AK61" i="151"/>
  <c r="P18" i="72"/>
  <c r="AK21" i="126"/>
  <c r="H65" i="72"/>
  <c r="AK68" i="114"/>
  <c r="AC65" i="72"/>
  <c r="AK68" i="153"/>
  <c r="O57" i="72"/>
  <c r="AK60" i="125"/>
  <c r="AA57" i="72"/>
  <c r="AK60" i="151"/>
  <c r="AE13" i="72"/>
  <c r="AL15" i="80"/>
  <c r="V46" i="72"/>
  <c r="AK49" i="145"/>
  <c r="W71" i="72"/>
  <c r="AK74" i="146"/>
  <c r="T23" i="72"/>
  <c r="AK26" i="131"/>
  <c r="AB23" i="72"/>
  <c r="AK26" i="152"/>
  <c r="P10" i="72"/>
  <c r="AK13" i="126"/>
  <c r="T62" i="72"/>
  <c r="AK65" i="131"/>
  <c r="X62" i="72"/>
  <c r="AK65" i="147"/>
  <c r="J27" i="72"/>
  <c r="AK30" i="116"/>
  <c r="P24" i="72"/>
  <c r="AK27" i="126"/>
  <c r="Q67" i="72"/>
  <c r="AK70" i="127"/>
  <c r="AE66" i="72"/>
  <c r="AL68" i="80"/>
  <c r="V66" i="72"/>
  <c r="AK69" i="145"/>
  <c r="AK17" i="46"/>
  <c r="AH20" i="72"/>
  <c r="AH73" i="72" s="1"/>
  <c r="AF20" i="100"/>
  <c r="AG20" i="100"/>
  <c r="AH61" i="128"/>
  <c r="AI61" i="128" s="1"/>
  <c r="AJ61" i="128"/>
  <c r="AD18" i="72"/>
  <c r="AL20" i="76"/>
  <c r="AA18" i="72"/>
  <c r="AK21" i="151"/>
  <c r="W15" i="72"/>
  <c r="AK18" i="146"/>
  <c r="I15" i="72"/>
  <c r="AK18" i="115"/>
  <c r="AH68" i="127"/>
  <c r="AI68" i="127" s="1"/>
  <c r="AJ68" i="127"/>
  <c r="AE65" i="72"/>
  <c r="AL67" i="80"/>
  <c r="X65" i="72"/>
  <c r="AK68" i="147"/>
  <c r="V65" i="72"/>
  <c r="AK68" i="145"/>
  <c r="H57" i="72"/>
  <c r="AK60" i="114"/>
  <c r="AH60" i="128"/>
  <c r="AI60" i="128" s="1"/>
  <c r="AJ60" i="128"/>
  <c r="AI15" i="76"/>
  <c r="AJ15" i="76" s="1"/>
  <c r="AK15" i="76"/>
  <c r="H46" i="72"/>
  <c r="AK49" i="114"/>
  <c r="U71" i="72"/>
  <c r="AK74" i="144"/>
  <c r="N23" i="72"/>
  <c r="AK26" i="120"/>
  <c r="AH26" i="129"/>
  <c r="AI26" i="129" s="1"/>
  <c r="AJ26" i="129"/>
  <c r="AA10" i="72"/>
  <c r="AK13" i="151"/>
  <c r="Y62" i="72"/>
  <c r="AK65" i="148"/>
  <c r="I62" i="72"/>
  <c r="AK65" i="115"/>
  <c r="U8" i="72"/>
  <c r="AK11" i="144"/>
  <c r="N27" i="72"/>
  <c r="AK30" i="120"/>
  <c r="AH30" i="129"/>
  <c r="AI30" i="129" s="1"/>
  <c r="AJ30" i="129"/>
  <c r="Y27" i="72"/>
  <c r="AK30" i="148"/>
  <c r="N66" i="72"/>
  <c r="AK69" i="120"/>
  <c r="M72" i="72"/>
  <c r="AK75" i="119"/>
  <c r="L51" i="72"/>
  <c r="AK54" i="118"/>
  <c r="AH54" i="128"/>
  <c r="AI54" i="128" s="1"/>
  <c r="AJ54" i="128"/>
  <c r="AC51" i="72"/>
  <c r="AK54" i="153"/>
  <c r="O33" i="72"/>
  <c r="AK36" i="125"/>
  <c r="T33" i="72"/>
  <c r="AK36" i="131"/>
  <c r="I25" i="72"/>
  <c r="AK28" i="115"/>
  <c r="T56" i="72"/>
  <c r="AK59" i="131"/>
  <c r="AH25" i="128"/>
  <c r="AI25" i="128" s="1"/>
  <c r="AJ25" i="128"/>
  <c r="J68" i="72"/>
  <c r="AK71" i="116"/>
  <c r="S61" i="72"/>
  <c r="AK64" i="129"/>
  <c r="T43" i="72"/>
  <c r="AK46" i="131"/>
  <c r="AH46" i="117"/>
  <c r="AI46" i="117" s="1"/>
  <c r="AJ46" i="117"/>
  <c r="AE18" i="72"/>
  <c r="AL20" i="80"/>
  <c r="AD15" i="72"/>
  <c r="AL17" i="76"/>
  <c r="Y15" i="72"/>
  <c r="AK18" i="148"/>
  <c r="W65" i="72"/>
  <c r="AK68" i="146"/>
  <c r="I65" i="72"/>
  <c r="AK68" i="115"/>
  <c r="L57" i="72"/>
  <c r="AK60" i="118"/>
  <c r="Z57" i="72"/>
  <c r="AK60" i="149"/>
  <c r="V57" i="72"/>
  <c r="AK60" i="145"/>
  <c r="AH16" i="116"/>
  <c r="AI16" i="116" s="1"/>
  <c r="AJ16" i="116"/>
  <c r="AH49" i="116"/>
  <c r="AI49" i="116" s="1"/>
  <c r="AJ49" i="116"/>
  <c r="O46" i="72"/>
  <c r="AK49" i="125"/>
  <c r="AA46" i="72"/>
  <c r="AK49" i="151"/>
  <c r="AH74" i="128"/>
  <c r="AI74" i="128" s="1"/>
  <c r="AJ74" i="128"/>
  <c r="AH74" i="117"/>
  <c r="AI74" i="117" s="1"/>
  <c r="AJ74" i="117"/>
  <c r="AA71" i="72"/>
  <c r="AK74" i="151"/>
  <c r="I71" i="72"/>
  <c r="AK74" i="115"/>
  <c r="P23" i="72"/>
  <c r="AK26" i="126"/>
  <c r="AC10" i="72"/>
  <c r="AK13" i="153"/>
  <c r="AE62" i="72"/>
  <c r="AL64" i="80"/>
  <c r="L27" i="72"/>
  <c r="AK30" i="118"/>
  <c r="P27" i="72"/>
  <c r="AK30" i="126"/>
  <c r="X27" i="72"/>
  <c r="AK30" i="147"/>
  <c r="AH27" i="127"/>
  <c r="AI27" i="127" s="1"/>
  <c r="AJ27" i="127"/>
  <c r="AD67" i="72"/>
  <c r="AL69" i="76"/>
  <c r="AH10" i="119"/>
  <c r="AI10" i="119" s="1"/>
  <c r="AJ10" i="119"/>
  <c r="AH10" i="114"/>
  <c r="AI10" i="114" s="1"/>
  <c r="AJ10" i="114"/>
  <c r="X7" i="72"/>
  <c r="AK10" i="147"/>
  <c r="I35" i="72"/>
  <c r="AK38" i="115"/>
  <c r="Y38" i="72"/>
  <c r="AK41" i="148"/>
  <c r="AA51" i="72"/>
  <c r="AK54" i="151"/>
  <c r="AE25" i="72"/>
  <c r="AL27" i="80"/>
  <c r="P20" i="72"/>
  <c r="AK23" i="126"/>
  <c r="AH67" i="128"/>
  <c r="AI67" i="128" s="1"/>
  <c r="AJ67" i="128"/>
  <c r="AC64" i="72"/>
  <c r="AK67" i="153"/>
  <c r="X35" i="72"/>
  <c r="AK38" i="147"/>
  <c r="S16" i="72"/>
  <c r="AK19" i="129"/>
  <c r="AC16" i="72"/>
  <c r="AK19" i="153"/>
  <c r="M51" i="72"/>
  <c r="AK54" i="119"/>
  <c r="L25" i="72"/>
  <c r="AK28" i="118"/>
  <c r="Z25" i="72"/>
  <c r="AK28" i="149"/>
  <c r="L56" i="72"/>
  <c r="AK59" i="118"/>
  <c r="U56" i="72"/>
  <c r="AK59" i="144"/>
  <c r="J22" i="72"/>
  <c r="AK25" i="116"/>
  <c r="M22" i="72"/>
  <c r="AK25" i="119"/>
  <c r="W6" i="72"/>
  <c r="AK9" i="146"/>
  <c r="AH35" i="149"/>
  <c r="AI35" i="149" s="1"/>
  <c r="AJ35" i="149"/>
  <c r="P61" i="72"/>
  <c r="AK64" i="126"/>
  <c r="M20" i="72"/>
  <c r="AK23" i="119"/>
  <c r="I20" i="72"/>
  <c r="AK23" i="115"/>
  <c r="P26" i="72"/>
  <c r="AK29" i="126"/>
  <c r="AH17" i="151"/>
  <c r="AI17" i="151" s="1"/>
  <c r="AJ17" i="151"/>
  <c r="N29" i="72"/>
  <c r="AK32" i="120"/>
  <c r="AH39" i="117"/>
  <c r="AI39" i="117" s="1"/>
  <c r="AJ39" i="117"/>
  <c r="AH11" i="125"/>
  <c r="AI11" i="125" s="1"/>
  <c r="AJ11" i="125"/>
  <c r="AH33" i="151"/>
  <c r="AI33" i="151" s="1"/>
  <c r="AJ33" i="151"/>
  <c r="AD33" i="114"/>
  <c r="AF33" i="114" s="1"/>
  <c r="AL30" i="72"/>
  <c r="AH33" i="120"/>
  <c r="AI33" i="120" s="1"/>
  <c r="AJ33" i="120"/>
  <c r="AH51" i="149"/>
  <c r="AI51" i="149" s="1"/>
  <c r="AJ51" i="149"/>
  <c r="AH51" i="153"/>
  <c r="AI51" i="153" s="1"/>
  <c r="AJ51" i="153"/>
  <c r="AD51" i="114"/>
  <c r="AF51" i="114" s="1"/>
  <c r="AL48" i="72"/>
  <c r="AH15" i="148"/>
  <c r="AI15" i="148" s="1"/>
  <c r="AJ15" i="148"/>
  <c r="AD40" i="119"/>
  <c r="AF40" i="119" s="1"/>
  <c r="AQ37" i="72"/>
  <c r="AH58" i="120"/>
  <c r="AI58" i="120" s="1"/>
  <c r="AJ58" i="120"/>
  <c r="AH72" i="115"/>
  <c r="AI72" i="115" s="1"/>
  <c r="AJ72" i="115"/>
  <c r="AH72" i="147"/>
  <c r="AI72" i="147" s="1"/>
  <c r="AJ72" i="147"/>
  <c r="AD8" i="129"/>
  <c r="AF8" i="129" s="1"/>
  <c r="AW5" i="72"/>
  <c r="AD8" i="127"/>
  <c r="AF8" i="127" s="1"/>
  <c r="AU5" i="72"/>
  <c r="AH20" i="118"/>
  <c r="AI20" i="118" s="1"/>
  <c r="AJ20" i="118"/>
  <c r="AC26" i="72"/>
  <c r="AK29" i="153"/>
  <c r="Q43" i="72"/>
  <c r="AK46" i="127"/>
  <c r="Z43" i="72"/>
  <c r="AK46" i="149"/>
  <c r="Q28" i="72"/>
  <c r="AK31" i="127"/>
  <c r="AC47" i="72"/>
  <c r="AK50" i="153"/>
  <c r="J70" i="72"/>
  <c r="AK73" i="116"/>
  <c r="U70" i="72"/>
  <c r="AK73" i="144"/>
  <c r="AD19" i="72"/>
  <c r="AL21" i="76"/>
  <c r="AH37" i="116"/>
  <c r="AI37" i="116" s="1"/>
  <c r="AJ37" i="116"/>
  <c r="Y34" i="72"/>
  <c r="AK37" i="148"/>
  <c r="I14" i="72"/>
  <c r="AK17" i="115"/>
  <c r="AH39" i="127"/>
  <c r="AI39" i="127" s="1"/>
  <c r="AJ39" i="127"/>
  <c r="J21" i="72"/>
  <c r="AK24" i="116"/>
  <c r="AB59" i="72"/>
  <c r="AK62" i="152"/>
  <c r="AA31" i="72"/>
  <c r="AK34" i="151"/>
  <c r="AH57" i="148"/>
  <c r="AI57" i="148" s="1"/>
  <c r="AJ57" i="148"/>
  <c r="AH57" i="118"/>
  <c r="AI57" i="118" s="1"/>
  <c r="AJ57" i="118"/>
  <c r="AB52" i="72"/>
  <c r="AK55" i="152"/>
  <c r="T49" i="72"/>
  <c r="AK52" i="131"/>
  <c r="AB49" i="72"/>
  <c r="AK52" i="152"/>
  <c r="AD44" i="127"/>
  <c r="AF44" i="127" s="1"/>
  <c r="AU41" i="72"/>
  <c r="AH61" i="125"/>
  <c r="AI61" i="125" s="1"/>
  <c r="AJ61" i="125"/>
  <c r="X18" i="72"/>
  <c r="AK21" i="147"/>
  <c r="AB65" i="72"/>
  <c r="AK68" i="152"/>
  <c r="Z13" i="72"/>
  <c r="AK16" i="149"/>
  <c r="Y23" i="72"/>
  <c r="AK26" i="148"/>
  <c r="O10" i="72"/>
  <c r="AK13" i="125"/>
  <c r="AH19" i="118"/>
  <c r="AI19" i="118" s="1"/>
  <c r="AJ19" i="118"/>
  <c r="AH19" i="117"/>
  <c r="AI19" i="117" s="1"/>
  <c r="AJ19" i="117"/>
  <c r="AH54" i="117"/>
  <c r="AI54" i="117" s="1"/>
  <c r="AJ54" i="117"/>
  <c r="AE56" i="72"/>
  <c r="AL58" i="80"/>
  <c r="N22" i="72"/>
  <c r="AK25" i="120"/>
  <c r="H46" i="139"/>
  <c r="G46" i="139"/>
  <c r="F53" i="139"/>
  <c r="L46" i="139"/>
  <c r="AH35" i="145"/>
  <c r="AI35" i="145" s="1"/>
  <c r="AJ35" i="145"/>
  <c r="AH73" i="125"/>
  <c r="AI73" i="125" s="1"/>
  <c r="AJ73" i="125"/>
  <c r="AA70" i="72"/>
  <c r="AK73" i="151"/>
  <c r="U19" i="72"/>
  <c r="AK22" i="144"/>
  <c r="Q50" i="72"/>
  <c r="AK53" i="127"/>
  <c r="P34" i="72"/>
  <c r="AK37" i="126"/>
  <c r="W34" i="72"/>
  <c r="AK37" i="146"/>
  <c r="N14" i="72"/>
  <c r="AK17" i="120"/>
  <c r="AC29" i="72"/>
  <c r="AK32" i="153"/>
  <c r="AH39" i="116"/>
  <c r="AI39" i="116" s="1"/>
  <c r="AJ39" i="116"/>
  <c r="T36" i="72"/>
  <c r="AK39" i="131"/>
  <c r="AE36" i="72"/>
  <c r="AL38" i="80"/>
  <c r="N21" i="72"/>
  <c r="AK24" i="120"/>
  <c r="X21" i="72"/>
  <c r="AK24" i="147"/>
  <c r="AE31" i="72"/>
  <c r="AL33" i="80"/>
  <c r="J49" i="72"/>
  <c r="AK52" i="116"/>
  <c r="R46" i="72"/>
  <c r="AK49" i="128"/>
  <c r="Z71" i="72"/>
  <c r="AK74" i="149"/>
  <c r="G23" i="72"/>
  <c r="AK26" i="113"/>
  <c r="L23" i="72"/>
  <c r="AK26" i="118"/>
  <c r="S10" i="72"/>
  <c r="AK13" i="129"/>
  <c r="AE10" i="76"/>
  <c r="AG10" i="76" s="1"/>
  <c r="BH8" i="72"/>
  <c r="AH33" i="148"/>
  <c r="AI33" i="148" s="1"/>
  <c r="AJ33" i="148"/>
  <c r="AD48" i="119"/>
  <c r="AF48" i="119" s="1"/>
  <c r="AQ45" i="72"/>
  <c r="AH51" i="145"/>
  <c r="AI51" i="145" s="1"/>
  <c r="AJ51" i="145"/>
  <c r="AH51" i="128"/>
  <c r="AI51" i="128" s="1"/>
  <c r="AJ51" i="128"/>
  <c r="AH15" i="153"/>
  <c r="AI15" i="153" s="1"/>
  <c r="AJ15" i="153"/>
  <c r="AH14" i="117"/>
  <c r="AI14" i="117" s="1"/>
  <c r="AJ14" i="117"/>
  <c r="AH40" i="114"/>
  <c r="AI40" i="114" s="1"/>
  <c r="AJ40" i="114"/>
  <c r="AH40" i="118"/>
  <c r="AI40" i="118" s="1"/>
  <c r="AJ40" i="118"/>
  <c r="AH72" i="148"/>
  <c r="AI72" i="148" s="1"/>
  <c r="AJ72" i="148"/>
  <c r="AH72" i="131"/>
  <c r="AI72" i="131" s="1"/>
  <c r="AJ72" i="131"/>
  <c r="AD43" i="114"/>
  <c r="AF43" i="114" s="1"/>
  <c r="AL40" i="72"/>
  <c r="AH8" i="151"/>
  <c r="AI8" i="151" s="1"/>
  <c r="AJ8" i="151"/>
  <c r="AH71" i="115"/>
  <c r="AI71" i="115" s="1"/>
  <c r="AJ71" i="115"/>
  <c r="AD71" i="119"/>
  <c r="AF71" i="119" s="1"/>
  <c r="AQ68" i="72"/>
  <c r="AH24" i="151"/>
  <c r="AI24" i="151" s="1"/>
  <c r="AJ24" i="151"/>
  <c r="X59" i="72"/>
  <c r="AK62" i="147"/>
  <c r="I59" i="72"/>
  <c r="AK62" i="115"/>
  <c r="Z58" i="72"/>
  <c r="AK61" i="149"/>
  <c r="L18" i="72"/>
  <c r="AK21" i="118"/>
  <c r="AD35" i="119"/>
  <c r="AF35" i="119" s="1"/>
  <c r="AQ32" i="72"/>
  <c r="AH33" i="146"/>
  <c r="AI33" i="146" s="1"/>
  <c r="AJ33" i="146"/>
  <c r="AH75" i="131"/>
  <c r="AI75" i="131" s="1"/>
  <c r="AJ75" i="131"/>
  <c r="AH51" i="152"/>
  <c r="AI51" i="152" s="1"/>
  <c r="AJ51" i="152"/>
  <c r="AH51" i="144"/>
  <c r="AI51" i="144" s="1"/>
  <c r="AJ51" i="144"/>
  <c r="AH51" i="125"/>
  <c r="AI51" i="125" s="1"/>
  <c r="AJ51" i="125"/>
  <c r="AH47" i="115"/>
  <c r="AI47" i="115" s="1"/>
  <c r="AJ47" i="115"/>
  <c r="AH15" i="118"/>
  <c r="AI15" i="118" s="1"/>
  <c r="AJ15" i="118"/>
  <c r="AH14" i="153"/>
  <c r="AI14" i="153" s="1"/>
  <c r="AJ14" i="153"/>
  <c r="AG11" i="100"/>
  <c r="AF11" i="100"/>
  <c r="AH40" i="149"/>
  <c r="AI40" i="149" s="1"/>
  <c r="AJ40" i="149"/>
  <c r="AH40" i="145"/>
  <c r="AI40" i="145" s="1"/>
  <c r="AJ40" i="145"/>
  <c r="AH40" i="125"/>
  <c r="AI40" i="125" s="1"/>
  <c r="AJ40" i="125"/>
  <c r="AD58" i="116"/>
  <c r="AF58" i="116" s="1"/>
  <c r="AN55" i="72"/>
  <c r="AH72" i="152"/>
  <c r="AI72" i="152" s="1"/>
  <c r="AJ72" i="152"/>
  <c r="AG5" i="100"/>
  <c r="AF5" i="100"/>
  <c r="AH20" i="131"/>
  <c r="AI20" i="131" s="1"/>
  <c r="AJ20" i="131"/>
  <c r="AH20" i="125"/>
  <c r="AI20" i="125" s="1"/>
  <c r="AJ20" i="125"/>
  <c r="AH71" i="145"/>
  <c r="AI71" i="145" s="1"/>
  <c r="AJ71" i="145"/>
  <c r="AH71" i="148"/>
  <c r="AI71" i="148" s="1"/>
  <c r="AJ71" i="148"/>
  <c r="AE70" i="76"/>
  <c r="AG70" i="76" s="1"/>
  <c r="BH68" i="72"/>
  <c r="AH71" i="129"/>
  <c r="AI71" i="129" s="1"/>
  <c r="AJ71" i="129"/>
  <c r="AH11" i="145"/>
  <c r="AI11" i="145" s="1"/>
  <c r="AJ11" i="145"/>
  <c r="AH11" i="149"/>
  <c r="AI11" i="149" s="1"/>
  <c r="AJ11" i="149"/>
  <c r="AH51" i="127"/>
  <c r="AI51" i="127" s="1"/>
  <c r="AJ51" i="127"/>
  <c r="AH63" i="152"/>
  <c r="AI63" i="152" s="1"/>
  <c r="AJ63" i="152"/>
  <c r="AH63" i="144"/>
  <c r="AI63" i="144" s="1"/>
  <c r="AJ63" i="144"/>
  <c r="AH63" i="148"/>
  <c r="AI63" i="148" s="1"/>
  <c r="AJ63" i="148"/>
  <c r="AE62" i="76"/>
  <c r="AG62" i="76" s="1"/>
  <c r="BH60" i="72"/>
  <c r="AH63" i="131"/>
  <c r="AI63" i="131" s="1"/>
  <c r="AJ63" i="131"/>
  <c r="AH15" i="115"/>
  <c r="AI15" i="115" s="1"/>
  <c r="AJ15" i="115"/>
  <c r="AH15" i="149"/>
  <c r="AI15" i="149" s="1"/>
  <c r="AJ15" i="149"/>
  <c r="AH15" i="146"/>
  <c r="AI15" i="146" s="1"/>
  <c r="AJ15" i="146"/>
  <c r="AH14" i="118"/>
  <c r="AI14" i="118" s="1"/>
  <c r="AJ14" i="118"/>
  <c r="AH40" i="151"/>
  <c r="AI40" i="151" s="1"/>
  <c r="AJ40" i="151"/>
  <c r="AH40" i="153"/>
  <c r="AI40" i="153" s="1"/>
  <c r="AJ40" i="153"/>
  <c r="AI39" i="76"/>
  <c r="AJ39" i="76" s="1"/>
  <c r="AK39" i="76"/>
  <c r="AD12" i="129"/>
  <c r="AF12" i="129" s="1"/>
  <c r="AW9" i="72"/>
  <c r="AD12" i="117"/>
  <c r="AF12" i="117" s="1"/>
  <c r="AO9" i="72"/>
  <c r="AH72" i="151"/>
  <c r="AI72" i="151" s="1"/>
  <c r="AJ72" i="151"/>
  <c r="AD8" i="119"/>
  <c r="AF8" i="119" s="1"/>
  <c r="AQ5" i="72"/>
  <c r="AH20" i="126"/>
  <c r="AI20" i="126" s="1"/>
  <c r="AJ20" i="126"/>
  <c r="AH71" i="152"/>
  <c r="AI71" i="152" s="1"/>
  <c r="AJ71" i="152"/>
  <c r="AH71" i="144"/>
  <c r="AI71" i="144" s="1"/>
  <c r="AJ71" i="144"/>
  <c r="AH57" i="125"/>
  <c r="AI57" i="125" s="1"/>
  <c r="AJ57" i="125"/>
  <c r="AH57" i="128"/>
  <c r="AI57" i="128" s="1"/>
  <c r="AJ57" i="128"/>
  <c r="AH44" i="147"/>
  <c r="AI44" i="147" s="1"/>
  <c r="AJ44" i="147"/>
  <c r="AH44" i="148"/>
  <c r="AI44" i="148" s="1"/>
  <c r="AJ44" i="148"/>
  <c r="AH44" i="126"/>
  <c r="AI44" i="126" s="1"/>
  <c r="AJ44" i="126"/>
  <c r="AH35" i="125"/>
  <c r="AI35" i="125" s="1"/>
  <c r="AJ35" i="125"/>
  <c r="AE34" i="76"/>
  <c r="AG34" i="76" s="1"/>
  <c r="BH32" i="72"/>
  <c r="AH11" i="115"/>
  <c r="AI11" i="115" s="1"/>
  <c r="AJ11" i="115"/>
  <c r="AG8" i="100"/>
  <c r="AF8" i="100"/>
  <c r="AH11" i="129"/>
  <c r="AI11" i="129" s="1"/>
  <c r="AJ11" i="129"/>
  <c r="AH75" i="152"/>
  <c r="AI75" i="152" s="1"/>
  <c r="AJ75" i="152"/>
  <c r="AD75" i="127"/>
  <c r="AF75" i="127" s="1"/>
  <c r="AU72" i="72"/>
  <c r="AH63" i="145"/>
  <c r="AI63" i="145" s="1"/>
  <c r="AJ63" i="145"/>
  <c r="AH63" i="129"/>
  <c r="AI63" i="129" s="1"/>
  <c r="AJ63" i="129"/>
  <c r="AH47" i="146"/>
  <c r="AI47" i="146" s="1"/>
  <c r="AJ47" i="146"/>
  <c r="AH47" i="120"/>
  <c r="AI47" i="120" s="1"/>
  <c r="AJ47" i="120"/>
  <c r="AH47" i="125"/>
  <c r="AI47" i="125" s="1"/>
  <c r="AJ47" i="125"/>
  <c r="AH58" i="149"/>
  <c r="AI58" i="149" s="1"/>
  <c r="AJ58" i="149"/>
  <c r="AH58" i="146"/>
  <c r="AI58" i="146" s="1"/>
  <c r="AJ58" i="146"/>
  <c r="AH58" i="118"/>
  <c r="AI58" i="118" s="1"/>
  <c r="AJ58" i="118"/>
  <c r="AH12" i="148"/>
  <c r="AI12" i="148" s="1"/>
  <c r="AJ12" i="148"/>
  <c r="AH43" i="152"/>
  <c r="AI43" i="152" s="1"/>
  <c r="AJ43" i="152"/>
  <c r="AD43" i="128"/>
  <c r="AF43" i="128" s="1"/>
  <c r="AV40" i="72"/>
  <c r="AH43" i="120"/>
  <c r="AI43" i="120" s="1"/>
  <c r="AJ43" i="120"/>
  <c r="AH8" i="115"/>
  <c r="AI8" i="115" s="1"/>
  <c r="AJ8" i="115"/>
  <c r="AH8" i="146"/>
  <c r="AI8" i="146" s="1"/>
  <c r="AJ8" i="146"/>
  <c r="AH20" i="148"/>
  <c r="AI20" i="148" s="1"/>
  <c r="AJ20" i="148"/>
  <c r="AH57" i="147"/>
  <c r="AI57" i="147" s="1"/>
  <c r="AJ57" i="147"/>
  <c r="AH44" i="151"/>
  <c r="AI44" i="151" s="1"/>
  <c r="AJ44" i="151"/>
  <c r="AD44" i="129"/>
  <c r="AF44" i="129" s="1"/>
  <c r="AW41" i="72"/>
  <c r="AH44" i="131"/>
  <c r="AI44" i="131" s="1"/>
  <c r="AJ44" i="131"/>
  <c r="AH35" i="151"/>
  <c r="AI35" i="151" s="1"/>
  <c r="AJ35" i="151"/>
  <c r="AH35" i="146"/>
  <c r="AI35" i="146" s="1"/>
  <c r="AJ35" i="146"/>
  <c r="AD35" i="129"/>
  <c r="AF35" i="129" s="1"/>
  <c r="AW32" i="72"/>
  <c r="AH11" i="131"/>
  <c r="AI11" i="131" s="1"/>
  <c r="AJ11" i="131"/>
  <c r="AH33" i="147"/>
  <c r="AI33" i="147" s="1"/>
  <c r="AJ33" i="147"/>
  <c r="AH33" i="125"/>
  <c r="AI33" i="125" s="1"/>
  <c r="AJ33" i="125"/>
  <c r="AH51" i="147"/>
  <c r="AI51" i="147" s="1"/>
  <c r="AJ51" i="147"/>
  <c r="AH51" i="117"/>
  <c r="AI51" i="117" s="1"/>
  <c r="AJ51" i="117"/>
  <c r="AH51" i="118"/>
  <c r="AI51" i="118" s="1"/>
  <c r="AJ51" i="118"/>
  <c r="AH63" i="119"/>
  <c r="AI63" i="119" s="1"/>
  <c r="AJ63" i="119"/>
  <c r="AH47" i="151"/>
  <c r="AI47" i="151" s="1"/>
  <c r="AJ47" i="151"/>
  <c r="AD47" i="114"/>
  <c r="AF47" i="114" s="1"/>
  <c r="AL44" i="72"/>
  <c r="AH14" i="147"/>
  <c r="AI14" i="147" s="1"/>
  <c r="AJ14" i="147"/>
  <c r="AH58" i="145"/>
  <c r="AI58" i="145" s="1"/>
  <c r="AJ58" i="145"/>
  <c r="AH58" i="148"/>
  <c r="AI58" i="148" s="1"/>
  <c r="AJ58" i="148"/>
  <c r="AH58" i="126"/>
  <c r="AI58" i="126" s="1"/>
  <c r="AJ58" i="126"/>
  <c r="AH12" i="146"/>
  <c r="AI12" i="146" s="1"/>
  <c r="AJ12" i="146"/>
  <c r="AH8" i="131"/>
  <c r="AI8" i="131" s="1"/>
  <c r="AJ8" i="131"/>
  <c r="AH8" i="125"/>
  <c r="AI8" i="125" s="1"/>
  <c r="AJ8" i="125"/>
  <c r="AH20" i="115"/>
  <c r="AI20" i="115" s="1"/>
  <c r="AJ20" i="115"/>
  <c r="AH71" i="117"/>
  <c r="AI71" i="117" s="1"/>
  <c r="AJ71" i="117"/>
  <c r="AH57" i="152"/>
  <c r="AI57" i="152" s="1"/>
  <c r="AJ57" i="152"/>
  <c r="AH57" i="153"/>
  <c r="AI57" i="153" s="1"/>
  <c r="AJ57" i="153"/>
  <c r="AH57" i="144"/>
  <c r="AI57" i="144" s="1"/>
  <c r="AJ57" i="144"/>
  <c r="AD48" i="153" l="1"/>
  <c r="AF48" i="153" s="1"/>
  <c r="AK31" i="119"/>
  <c r="M28" i="72"/>
  <c r="AE47" i="76"/>
  <c r="AG47" i="76" s="1"/>
  <c r="AD48" i="149"/>
  <c r="AF48" i="149" s="1"/>
  <c r="T38" i="72"/>
  <c r="AK41" i="131"/>
  <c r="AK33" i="113"/>
  <c r="G30" i="72"/>
  <c r="AF45" i="100"/>
  <c r="X38" i="72"/>
  <c r="AK41" i="147"/>
  <c r="AA35" i="72"/>
  <c r="AK38" i="151"/>
  <c r="U35" i="72"/>
  <c r="AK38" i="144"/>
  <c r="AC35" i="72"/>
  <c r="AK38" i="153"/>
  <c r="U54" i="72"/>
  <c r="AK57" i="144"/>
  <c r="AB54" i="72"/>
  <c r="AK57" i="152"/>
  <c r="I17" i="72"/>
  <c r="AK20" i="115"/>
  <c r="T5" i="72"/>
  <c r="AK8" i="131"/>
  <c r="P55" i="72"/>
  <c r="AK58" i="126"/>
  <c r="V55" i="72"/>
  <c r="AK58" i="145"/>
  <c r="AH47" i="114"/>
  <c r="AI47" i="114" s="1"/>
  <c r="AJ47" i="114"/>
  <c r="M60" i="72"/>
  <c r="AK63" i="119"/>
  <c r="L48" i="72"/>
  <c r="AK51" i="118"/>
  <c r="O30" i="72"/>
  <c r="AK33" i="125"/>
  <c r="L17" i="72"/>
  <c r="AK20" i="118"/>
  <c r="AH8" i="127"/>
  <c r="AI8" i="127" s="1"/>
  <c r="AJ8" i="127"/>
  <c r="AH8" i="129"/>
  <c r="AI8" i="129" s="1"/>
  <c r="AJ8" i="129"/>
  <c r="X69" i="72"/>
  <c r="AK72" i="147"/>
  <c r="I69" i="72"/>
  <c r="AK72" i="115"/>
  <c r="N55" i="72"/>
  <c r="AK58" i="120"/>
  <c r="AH40" i="119"/>
  <c r="AI40" i="119" s="1"/>
  <c r="AJ40" i="119"/>
  <c r="K71" i="72"/>
  <c r="AK74" i="117"/>
  <c r="R71" i="72"/>
  <c r="AK74" i="128"/>
  <c r="J46" i="72"/>
  <c r="AK49" i="116"/>
  <c r="J13" i="72"/>
  <c r="AK16" i="116"/>
  <c r="K43" i="72"/>
  <c r="AK46" i="117"/>
  <c r="S27" i="72"/>
  <c r="AK30" i="129"/>
  <c r="S23" i="72"/>
  <c r="AK26" i="129"/>
  <c r="AD13" i="72"/>
  <c r="AL15" i="76"/>
  <c r="R57" i="72"/>
  <c r="AK60" i="128"/>
  <c r="Q65" i="72"/>
  <c r="AK68" i="127"/>
  <c r="R58" i="72"/>
  <c r="AK61" i="128"/>
  <c r="AD58" i="72"/>
  <c r="AL60" i="76"/>
  <c r="AD64" i="72"/>
  <c r="AL66" i="76"/>
  <c r="M24" i="72"/>
  <c r="AK27" i="119"/>
  <c r="M65" i="72"/>
  <c r="AK68" i="119"/>
  <c r="H66" i="72"/>
  <c r="AK69" i="114"/>
  <c r="J67" i="72"/>
  <c r="AK70" i="116"/>
  <c r="R27" i="72"/>
  <c r="AK30" i="128"/>
  <c r="Z62" i="72"/>
  <c r="AK65" i="149"/>
  <c r="W54" i="72"/>
  <c r="AK57" i="146"/>
  <c r="J26" i="72"/>
  <c r="AK29" i="116"/>
  <c r="Q20" i="72"/>
  <c r="AK23" i="127"/>
  <c r="J20" i="72"/>
  <c r="AK23" i="116"/>
  <c r="J6" i="72"/>
  <c r="AK9" i="116"/>
  <c r="AA68" i="72"/>
  <c r="AK71" i="151"/>
  <c r="AI19" i="76"/>
  <c r="AJ19" i="76" s="1"/>
  <c r="AK19" i="76"/>
  <c r="AH35" i="153"/>
  <c r="AI35" i="153" s="1"/>
  <c r="AJ35" i="153"/>
  <c r="I32" i="72"/>
  <c r="AK35" i="115"/>
  <c r="S62" i="72"/>
  <c r="AK65" i="129"/>
  <c r="T46" i="72"/>
  <c r="AK49" i="131"/>
  <c r="V41" i="72"/>
  <c r="AK44" i="145"/>
  <c r="AH8" i="117"/>
  <c r="AI8" i="117" s="1"/>
  <c r="AJ8" i="117"/>
  <c r="W69" i="72"/>
  <c r="AK72" i="146"/>
  <c r="V76" i="152"/>
  <c r="V82" i="152" s="1"/>
  <c r="X76" i="149"/>
  <c r="X82" i="149" s="1"/>
  <c r="AA7" i="149"/>
  <c r="AA76" i="149" s="1"/>
  <c r="AA82" i="149" s="1"/>
  <c r="AA7" i="146"/>
  <c r="AA76" i="146" s="1"/>
  <c r="AA82" i="146" s="1"/>
  <c r="X76" i="146"/>
  <c r="X82" i="146" s="1"/>
  <c r="V76" i="118"/>
  <c r="V82" i="118" s="1"/>
  <c r="AA7" i="127"/>
  <c r="AA76" i="127" s="1"/>
  <c r="AA82" i="127" s="1"/>
  <c r="X76" i="127"/>
  <c r="X82" i="127" s="1"/>
  <c r="W75" i="80"/>
  <c r="W81" i="80" s="1"/>
  <c r="AA7" i="128"/>
  <c r="AA76" i="128" s="1"/>
  <c r="AA82" i="128" s="1"/>
  <c r="X76" i="128"/>
  <c r="X82" i="128" s="1"/>
  <c r="AB7" i="116"/>
  <c r="V76" i="116"/>
  <c r="V82" i="116" s="1"/>
  <c r="S66" i="72"/>
  <c r="AK69" i="129"/>
  <c r="R66" i="72"/>
  <c r="AK69" i="128"/>
  <c r="R67" i="72"/>
  <c r="AK70" i="128"/>
  <c r="R23" i="72"/>
  <c r="AK26" i="128"/>
  <c r="AD46" i="72"/>
  <c r="AL48" i="76"/>
  <c r="Q46" i="72"/>
  <c r="AK49" i="127"/>
  <c r="Q13" i="72"/>
  <c r="AK16" i="127"/>
  <c r="K65" i="72"/>
  <c r="AK68" i="117"/>
  <c r="R15" i="72"/>
  <c r="AK18" i="128"/>
  <c r="N41" i="72"/>
  <c r="AK44" i="120"/>
  <c r="AH57" i="129"/>
  <c r="AI57" i="129" s="1"/>
  <c r="AJ57" i="129"/>
  <c r="W31" i="72"/>
  <c r="AK34" i="146"/>
  <c r="P31" i="72"/>
  <c r="AK34" i="126"/>
  <c r="J59" i="72"/>
  <c r="AK62" i="116"/>
  <c r="AC19" i="72"/>
  <c r="AK22" i="153"/>
  <c r="AD53" i="72"/>
  <c r="AL55" i="76"/>
  <c r="S26" i="72"/>
  <c r="AK29" i="129"/>
  <c r="U20" i="72"/>
  <c r="AK23" i="144"/>
  <c r="AC61" i="72"/>
  <c r="AK64" i="153"/>
  <c r="AH71" i="128"/>
  <c r="AI71" i="128" s="1"/>
  <c r="AJ71" i="128"/>
  <c r="AH71" i="127"/>
  <c r="AI71" i="127" s="1"/>
  <c r="AJ71" i="127"/>
  <c r="AB33" i="72"/>
  <c r="AK36" i="152"/>
  <c r="N17" i="72"/>
  <c r="AK20" i="120"/>
  <c r="AH20" i="114"/>
  <c r="AI20" i="114" s="1"/>
  <c r="AJ20" i="114"/>
  <c r="P5" i="72"/>
  <c r="AK8" i="126"/>
  <c r="Z69" i="72"/>
  <c r="AK72" i="149"/>
  <c r="AH58" i="131"/>
  <c r="AI58" i="131" s="1"/>
  <c r="AJ58" i="131"/>
  <c r="AH58" i="151"/>
  <c r="AI58" i="151" s="1"/>
  <c r="AJ58" i="151"/>
  <c r="X55" i="72"/>
  <c r="AK58" i="147"/>
  <c r="AH14" i="148"/>
  <c r="AI14" i="148" s="1"/>
  <c r="AJ14" i="148"/>
  <c r="P12" i="72"/>
  <c r="AK15" i="126"/>
  <c r="AH47" i="149"/>
  <c r="AI47" i="149" s="1"/>
  <c r="AJ47" i="149"/>
  <c r="AH63" i="127"/>
  <c r="AI63" i="127" s="1"/>
  <c r="AJ63" i="127"/>
  <c r="I60" i="72"/>
  <c r="AK63" i="115"/>
  <c r="AG45" i="100"/>
  <c r="AH75" i="128"/>
  <c r="AI75" i="128" s="1"/>
  <c r="AJ75" i="128"/>
  <c r="X72" i="72"/>
  <c r="AK75" i="147"/>
  <c r="AP14" i="46"/>
  <c r="AN15" i="46"/>
  <c r="V50" i="72"/>
  <c r="AK53" i="145"/>
  <c r="H61" i="72"/>
  <c r="AK64" i="114"/>
  <c r="P68" i="72"/>
  <c r="AK71" i="126"/>
  <c r="AC68" i="72"/>
  <c r="AK71" i="153"/>
  <c r="K56" i="72"/>
  <c r="AK59" i="117"/>
  <c r="AD51" i="72"/>
  <c r="AL53" i="76"/>
  <c r="Q38" i="72"/>
  <c r="AK41" i="127"/>
  <c r="AE35" i="72"/>
  <c r="AL37" i="80"/>
  <c r="AH20" i="116"/>
  <c r="AI20" i="116" s="1"/>
  <c r="AJ20" i="116"/>
  <c r="AH8" i="152"/>
  <c r="AI8" i="152" s="1"/>
  <c r="AJ8" i="152"/>
  <c r="AE40" i="72"/>
  <c r="AL42" i="80"/>
  <c r="AI42" i="76"/>
  <c r="AJ42" i="76" s="1"/>
  <c r="AK42" i="76"/>
  <c r="AH12" i="145"/>
  <c r="AI12" i="145" s="1"/>
  <c r="AJ12" i="145"/>
  <c r="U55" i="72"/>
  <c r="AK58" i="144"/>
  <c r="AB55" i="72"/>
  <c r="AK58" i="152"/>
  <c r="N11" i="72"/>
  <c r="AK14" i="120"/>
  <c r="AH14" i="129"/>
  <c r="AI14" i="129" s="1"/>
  <c r="AJ14" i="129"/>
  <c r="U12" i="72"/>
  <c r="AK15" i="144"/>
  <c r="AH63" i="128"/>
  <c r="AI63" i="128" s="1"/>
  <c r="AJ63" i="128"/>
  <c r="AC60" i="72"/>
  <c r="AK63" i="153"/>
  <c r="W72" i="72"/>
  <c r="AK75" i="146"/>
  <c r="AH35" i="148"/>
  <c r="AI35" i="148" s="1"/>
  <c r="AJ35" i="148"/>
  <c r="Q6" i="72"/>
  <c r="AK9" i="127"/>
  <c r="K6" i="72"/>
  <c r="AK9" i="117"/>
  <c r="J25" i="72"/>
  <c r="AK28" i="116"/>
  <c r="W33" i="72"/>
  <c r="AK36" i="146"/>
  <c r="H51" i="72"/>
  <c r="AK54" i="114"/>
  <c r="Q51" i="72"/>
  <c r="AK54" i="127"/>
  <c r="K64" i="72"/>
  <c r="AK67" i="117"/>
  <c r="I27" i="72"/>
  <c r="AK30" i="115"/>
  <c r="AD27" i="72"/>
  <c r="AL29" i="76"/>
  <c r="H10" i="72"/>
  <c r="AK13" i="114"/>
  <c r="R10" i="72"/>
  <c r="AK13" i="128"/>
  <c r="V23" i="72"/>
  <c r="AK26" i="145"/>
  <c r="Q23" i="72"/>
  <c r="AK26" i="127"/>
  <c r="X46" i="72"/>
  <c r="AK49" i="147"/>
  <c r="H58" i="72"/>
  <c r="AK61" i="114"/>
  <c r="Y63" i="72"/>
  <c r="AK66" i="148"/>
  <c r="Q49" i="72"/>
  <c r="AK52" i="127"/>
  <c r="W52" i="72"/>
  <c r="AK55" i="146"/>
  <c r="AA36" i="72"/>
  <c r="AK39" i="151"/>
  <c r="H36" i="72"/>
  <c r="AK39" i="114"/>
  <c r="AA28" i="72"/>
  <c r="AK31" i="151"/>
  <c r="W26" i="72"/>
  <c r="AK29" i="146"/>
  <c r="K61" i="72"/>
  <c r="AK64" i="117"/>
  <c r="Q22" i="72"/>
  <c r="AK25" i="127"/>
  <c r="H56" i="72"/>
  <c r="AK59" i="114"/>
  <c r="Q56" i="72"/>
  <c r="AK59" i="127"/>
  <c r="M25" i="72"/>
  <c r="AK28" i="119"/>
  <c r="R25" i="72"/>
  <c r="AK28" i="128"/>
  <c r="K25" i="72"/>
  <c r="AK28" i="117"/>
  <c r="S33" i="72"/>
  <c r="AK36" i="129"/>
  <c r="AD48" i="114"/>
  <c r="AF48" i="114" s="1"/>
  <c r="AL45" i="72"/>
  <c r="AH48" i="120"/>
  <c r="AI48" i="120" s="1"/>
  <c r="AJ48" i="120"/>
  <c r="G72" i="72"/>
  <c r="AK75" i="113"/>
  <c r="W67" i="72"/>
  <c r="AK70" i="146"/>
  <c r="W62" i="72"/>
  <c r="AK65" i="146"/>
  <c r="X13" i="72"/>
  <c r="AK16" i="147"/>
  <c r="V63" i="72"/>
  <c r="AK66" i="145"/>
  <c r="K52" i="72"/>
  <c r="AK55" i="117"/>
  <c r="AD21" i="72"/>
  <c r="AL23" i="76"/>
  <c r="R14" i="72"/>
  <c r="AK17" i="128"/>
  <c r="H14" i="72"/>
  <c r="AK17" i="114"/>
  <c r="R47" i="72"/>
  <c r="AK50" i="128"/>
  <c r="Q53" i="72"/>
  <c r="AK56" i="127"/>
  <c r="J53" i="72"/>
  <c r="AK56" i="116"/>
  <c r="Z28" i="72"/>
  <c r="AK31" i="149"/>
  <c r="R61" i="72"/>
  <c r="AK64" i="128"/>
  <c r="AD56" i="72"/>
  <c r="AL58" i="76"/>
  <c r="AA33" i="72"/>
  <c r="AK36" i="151"/>
  <c r="Q35" i="72"/>
  <c r="AK38" i="127"/>
  <c r="AA27" i="72"/>
  <c r="AK30" i="151"/>
  <c r="H71" i="72"/>
  <c r="AK74" i="114"/>
  <c r="W13" i="72"/>
  <c r="AK16" i="146"/>
  <c r="I18" i="72"/>
  <c r="AK21" i="115"/>
  <c r="S49" i="72"/>
  <c r="AK52" i="129"/>
  <c r="R31" i="72"/>
  <c r="AK34" i="128"/>
  <c r="AC42" i="72"/>
  <c r="AK45" i="153"/>
  <c r="AE70" i="72"/>
  <c r="AL72" i="80"/>
  <c r="AA26" i="72"/>
  <c r="AK29" i="151"/>
  <c r="AD38" i="72"/>
  <c r="AL40" i="76"/>
  <c r="R38" i="72"/>
  <c r="AK41" i="128"/>
  <c r="Q64" i="72"/>
  <c r="AK67" i="127"/>
  <c r="U5" i="72"/>
  <c r="AK8" i="144"/>
  <c r="R9" i="72"/>
  <c r="AK12" i="128"/>
  <c r="J9" i="72"/>
  <c r="AK12" i="116"/>
  <c r="J11" i="72"/>
  <c r="AK14" i="116"/>
  <c r="J44" i="72"/>
  <c r="AK47" i="116"/>
  <c r="J60" i="72"/>
  <c r="AK63" i="116"/>
  <c r="R24" i="72"/>
  <c r="AK27" i="128"/>
  <c r="N71" i="72"/>
  <c r="AK74" i="120"/>
  <c r="S59" i="72"/>
  <c r="AK62" i="129"/>
  <c r="AD36" i="72"/>
  <c r="AL38" i="76"/>
  <c r="H29" i="72"/>
  <c r="AK32" i="114"/>
  <c r="H42" i="72"/>
  <c r="AK45" i="114"/>
  <c r="AA19" i="72"/>
  <c r="AK22" i="151"/>
  <c r="Q47" i="72"/>
  <c r="AK50" i="127"/>
  <c r="R53" i="72"/>
  <c r="AK56" i="128"/>
  <c r="K28" i="72"/>
  <c r="AK31" i="117"/>
  <c r="Q61" i="72"/>
  <c r="AK64" i="127"/>
  <c r="S52" i="72"/>
  <c r="AK55" i="129"/>
  <c r="AA59" i="72"/>
  <c r="AK62" i="151"/>
  <c r="Z36" i="72"/>
  <c r="AK39" i="149"/>
  <c r="W42" i="72"/>
  <c r="AK45" i="146"/>
  <c r="S50" i="72"/>
  <c r="AK53" i="129"/>
  <c r="M29" i="72"/>
  <c r="AK32" i="119"/>
  <c r="M56" i="72"/>
  <c r="AK59" i="119"/>
  <c r="O68" i="72"/>
  <c r="AK71" i="125"/>
  <c r="AH20" i="146"/>
  <c r="AI20" i="146" s="1"/>
  <c r="AJ20" i="146"/>
  <c r="X17" i="72"/>
  <c r="AK20" i="147"/>
  <c r="AH12" i="115"/>
  <c r="AI12" i="115" s="1"/>
  <c r="AJ12" i="115"/>
  <c r="AI57" i="76"/>
  <c r="AJ57" i="76" s="1"/>
  <c r="AK57" i="76"/>
  <c r="AA11" i="72"/>
  <c r="AK14" i="151"/>
  <c r="AH15" i="128"/>
  <c r="AI15" i="128" s="1"/>
  <c r="AJ15" i="128"/>
  <c r="AH35" i="128"/>
  <c r="AI35" i="128" s="1"/>
  <c r="AJ35" i="128"/>
  <c r="U32" i="72"/>
  <c r="AK35" i="144"/>
  <c r="O41" i="72"/>
  <c r="AK44" i="125"/>
  <c r="AH57" i="151"/>
  <c r="AI57" i="151" s="1"/>
  <c r="AJ57" i="151"/>
  <c r="AA17" i="72"/>
  <c r="AK20" i="151"/>
  <c r="AH43" i="148"/>
  <c r="AI43" i="148" s="1"/>
  <c r="AJ43" i="148"/>
  <c r="AH14" i="125"/>
  <c r="AI14" i="125" s="1"/>
  <c r="AJ14" i="125"/>
  <c r="AH47" i="153"/>
  <c r="AI47" i="153" s="1"/>
  <c r="AJ47" i="153"/>
  <c r="N60" i="72"/>
  <c r="AK63" i="120"/>
  <c r="AH75" i="114"/>
  <c r="AI75" i="114" s="1"/>
  <c r="AJ75" i="114"/>
  <c r="AA72" i="72"/>
  <c r="AK75" i="151"/>
  <c r="L8" i="72"/>
  <c r="AK11" i="118"/>
  <c r="AH11" i="114"/>
  <c r="AI11" i="114" s="1"/>
  <c r="AJ11" i="114"/>
  <c r="AH8" i="148"/>
  <c r="AI8" i="148" s="1"/>
  <c r="AJ8" i="148"/>
  <c r="AH43" i="147"/>
  <c r="AI43" i="147" s="1"/>
  <c r="AJ43" i="147"/>
  <c r="U40" i="72"/>
  <c r="AK43" i="144"/>
  <c r="AH15" i="114"/>
  <c r="AI15" i="114" s="1"/>
  <c r="AJ15" i="114"/>
  <c r="L60" i="72"/>
  <c r="AK63" i="118"/>
  <c r="AE72" i="72"/>
  <c r="AL74" i="80"/>
  <c r="AI74" i="76"/>
  <c r="AJ74" i="76" s="1"/>
  <c r="AK74" i="76"/>
  <c r="AI32" i="80"/>
  <c r="AJ32" i="80" s="1"/>
  <c r="AK32" i="80"/>
  <c r="AI7" i="80"/>
  <c r="AJ7" i="80" s="1"/>
  <c r="AK7" i="80"/>
  <c r="L5" i="72"/>
  <c r="AK8" i="118"/>
  <c r="AH8" i="114"/>
  <c r="AI8" i="114" s="1"/>
  <c r="AJ8" i="114"/>
  <c r="AH12" i="131"/>
  <c r="AI12" i="131" s="1"/>
  <c r="AJ12" i="131"/>
  <c r="O55" i="72"/>
  <c r="AK58" i="125"/>
  <c r="T37" i="72"/>
  <c r="AK40" i="131"/>
  <c r="AH14" i="114"/>
  <c r="AI14" i="114" s="1"/>
  <c r="AJ14" i="114"/>
  <c r="AH15" i="151"/>
  <c r="AI15" i="151" s="1"/>
  <c r="AJ15" i="151"/>
  <c r="X12" i="72"/>
  <c r="AK15" i="147"/>
  <c r="P48" i="72"/>
  <c r="AK51" i="126"/>
  <c r="AH51" i="116"/>
  <c r="AI51" i="116" s="1"/>
  <c r="AJ51" i="116"/>
  <c r="W48" i="72"/>
  <c r="AK51" i="146"/>
  <c r="AH75" i="116"/>
  <c r="AI75" i="116" s="1"/>
  <c r="AJ75" i="116"/>
  <c r="L30" i="72"/>
  <c r="AK33" i="118"/>
  <c r="AH33" i="117"/>
  <c r="AI33" i="117" s="1"/>
  <c r="AJ33" i="117"/>
  <c r="AH33" i="128"/>
  <c r="AI33" i="128" s="1"/>
  <c r="AJ33" i="128"/>
  <c r="V30" i="72"/>
  <c r="AK33" i="145"/>
  <c r="AH57" i="149"/>
  <c r="AI57" i="149" s="1"/>
  <c r="AJ57" i="149"/>
  <c r="I54" i="72"/>
  <c r="AK57" i="115"/>
  <c r="Q34" i="72"/>
  <c r="AK37" i="127"/>
  <c r="X68" i="72"/>
  <c r="AK71" i="147"/>
  <c r="AH12" i="114"/>
  <c r="AI12" i="114" s="1"/>
  <c r="AJ12" i="114"/>
  <c r="N37" i="72"/>
  <c r="AK40" i="120"/>
  <c r="W37" i="72"/>
  <c r="AK40" i="146"/>
  <c r="J16" i="72"/>
  <c r="AK19" i="116"/>
  <c r="R35" i="72"/>
  <c r="AK38" i="128"/>
  <c r="AH14" i="146"/>
  <c r="AI14" i="146" s="1"/>
  <c r="AJ14" i="146"/>
  <c r="N12" i="72"/>
  <c r="AK15" i="120"/>
  <c r="V12" i="72"/>
  <c r="AK15" i="145"/>
  <c r="J12" i="72"/>
  <c r="AK15" i="116"/>
  <c r="M12" i="72"/>
  <c r="AK15" i="119"/>
  <c r="M44" i="72"/>
  <c r="AK47" i="119"/>
  <c r="M49" i="72"/>
  <c r="AK52" i="119"/>
  <c r="AP6" i="46"/>
  <c r="AN12" i="46"/>
  <c r="AN17" i="46" s="1"/>
  <c r="J65" i="72"/>
  <c r="AK68" i="116"/>
  <c r="K21" i="72"/>
  <c r="AK24" i="117"/>
  <c r="K34" i="72"/>
  <c r="AK37" i="117"/>
  <c r="AD70" i="72"/>
  <c r="AL72" i="76"/>
  <c r="K70" i="72"/>
  <c r="AK73" i="117"/>
  <c r="Q25" i="72"/>
  <c r="AK28" i="127"/>
  <c r="K33" i="72"/>
  <c r="AK36" i="117"/>
  <c r="M27" i="72"/>
  <c r="AK30" i="119"/>
  <c r="M42" i="72"/>
  <c r="AK45" i="119"/>
  <c r="K15" i="72"/>
  <c r="AK18" i="117"/>
  <c r="J58" i="72"/>
  <c r="AK61" i="116"/>
  <c r="O63" i="72"/>
  <c r="AK66" i="125"/>
  <c r="G54" i="166"/>
  <c r="H54" i="166"/>
  <c r="R65" i="72"/>
  <c r="AK68" i="128"/>
  <c r="L41" i="72"/>
  <c r="AK44" i="118"/>
  <c r="N54" i="72"/>
  <c r="AK57" i="120"/>
  <c r="V54" i="72"/>
  <c r="AK57" i="145"/>
  <c r="T50" i="72"/>
  <c r="AK53" i="131"/>
  <c r="H43" i="72"/>
  <c r="AK46" i="114"/>
  <c r="S20" i="72"/>
  <c r="AK23" i="129"/>
  <c r="L61" i="72"/>
  <c r="AK64" i="118"/>
  <c r="AH20" i="127"/>
  <c r="AI20" i="127" s="1"/>
  <c r="AJ20" i="127"/>
  <c r="AE17" i="72"/>
  <c r="AL19" i="80"/>
  <c r="N69" i="72"/>
  <c r="AK72" i="120"/>
  <c r="P9" i="72"/>
  <c r="AK12" i="126"/>
  <c r="AH58" i="129"/>
  <c r="AI58" i="129" s="1"/>
  <c r="AJ58" i="129"/>
  <c r="AH40" i="127"/>
  <c r="AI40" i="127" s="1"/>
  <c r="AJ40" i="127"/>
  <c r="AB37" i="72"/>
  <c r="AK40" i="152"/>
  <c r="Z11" i="72"/>
  <c r="AK14" i="149"/>
  <c r="S12" i="72"/>
  <c r="AK15" i="129"/>
  <c r="N48" i="72"/>
  <c r="AK51" i="120"/>
  <c r="AH51" i="129"/>
  <c r="AI51" i="129" s="1"/>
  <c r="AJ51" i="129"/>
  <c r="V76" i="115"/>
  <c r="V82" i="115" s="1"/>
  <c r="AA7" i="144"/>
  <c r="AA76" i="144" s="1"/>
  <c r="AA82" i="144" s="1"/>
  <c r="X76" i="144"/>
  <c r="X82" i="144" s="1"/>
  <c r="V76" i="147"/>
  <c r="V82" i="147" s="1"/>
  <c r="X76" i="145"/>
  <c r="X82" i="145" s="1"/>
  <c r="AA7" i="145"/>
  <c r="V76" i="151"/>
  <c r="V82" i="151" s="1"/>
  <c r="V76" i="131"/>
  <c r="V82" i="131" s="1"/>
  <c r="AA7" i="129"/>
  <c r="AA76" i="129" s="1"/>
  <c r="AA82" i="129" s="1"/>
  <c r="X76" i="129"/>
  <c r="X82" i="129" s="1"/>
  <c r="V76" i="120"/>
  <c r="V82" i="120" s="1"/>
  <c r="X76" i="117"/>
  <c r="X82" i="117" s="1"/>
  <c r="AA7" i="117"/>
  <c r="AA76" i="117" s="1"/>
  <c r="AA82" i="117" s="1"/>
  <c r="V77" i="114"/>
  <c r="V83" i="114" s="1"/>
  <c r="AA7" i="125"/>
  <c r="AA76" i="125" s="1"/>
  <c r="AA82" i="125" s="1"/>
  <c r="X76" i="125"/>
  <c r="X82" i="125" s="1"/>
  <c r="V76" i="126"/>
  <c r="V82" i="126" s="1"/>
  <c r="AB67" i="72"/>
  <c r="AK70" i="152"/>
  <c r="Z24" i="72"/>
  <c r="AK27" i="149"/>
  <c r="Y46" i="72"/>
  <c r="AK49" i="148"/>
  <c r="AB13" i="72"/>
  <c r="AK16" i="152"/>
  <c r="H41" i="72"/>
  <c r="AK44" i="114"/>
  <c r="AH44" i="128"/>
  <c r="AI44" i="128" s="1"/>
  <c r="AJ44" i="128"/>
  <c r="AC41" i="72"/>
  <c r="AK44" i="153"/>
  <c r="AH57" i="117"/>
  <c r="AI57" i="117" s="1"/>
  <c r="AJ57" i="117"/>
  <c r="AE54" i="72"/>
  <c r="AL56" i="80"/>
  <c r="AD31" i="72"/>
  <c r="AL33" i="76"/>
  <c r="Q31" i="72"/>
  <c r="AK34" i="127"/>
  <c r="Y29" i="72"/>
  <c r="AK32" i="148"/>
  <c r="R19" i="72"/>
  <c r="AK22" i="128"/>
  <c r="W70" i="72"/>
  <c r="AK73" i="146"/>
  <c r="AH48" i="131"/>
  <c r="AI48" i="131" s="1"/>
  <c r="AJ48" i="131"/>
  <c r="AD48" i="125"/>
  <c r="AF48" i="125" s="1"/>
  <c r="AD48" i="129"/>
  <c r="AF48" i="129" s="1"/>
  <c r="AW45" i="72"/>
  <c r="R33" i="72"/>
  <c r="AK36" i="128"/>
  <c r="H33" i="72"/>
  <c r="AK36" i="114"/>
  <c r="V64" i="72"/>
  <c r="AK67" i="145"/>
  <c r="S24" i="72"/>
  <c r="AK27" i="129"/>
  <c r="W10" i="72"/>
  <c r="AK13" i="146"/>
  <c r="T57" i="72"/>
  <c r="AK60" i="131"/>
  <c r="Q15" i="72"/>
  <c r="AK18" i="127"/>
  <c r="H18" i="72"/>
  <c r="AK21" i="114"/>
  <c r="T31" i="72"/>
  <c r="AK34" i="131"/>
  <c r="P44" i="72"/>
  <c r="AK47" i="126"/>
  <c r="AE44" i="72"/>
  <c r="AL46" i="80"/>
  <c r="X44" i="72"/>
  <c r="AK47" i="147"/>
  <c r="U44" i="72"/>
  <c r="AK47" i="144"/>
  <c r="O60" i="72"/>
  <c r="AK63" i="125"/>
  <c r="AH63" i="117"/>
  <c r="AI63" i="117" s="1"/>
  <c r="AJ63" i="117"/>
  <c r="Z60" i="72"/>
  <c r="AK63" i="149"/>
  <c r="AH75" i="129"/>
  <c r="AI75" i="129" s="1"/>
  <c r="AJ75" i="129"/>
  <c r="AB62" i="72"/>
  <c r="AK65" i="152"/>
  <c r="AB46" i="72"/>
  <c r="AK49" i="152"/>
  <c r="S65" i="72"/>
  <c r="AK68" i="129"/>
  <c r="R49" i="72"/>
  <c r="AK52" i="128"/>
  <c r="V52" i="72"/>
  <c r="AK55" i="145"/>
  <c r="X31" i="72"/>
  <c r="AK34" i="147"/>
  <c r="I50" i="72"/>
  <c r="AK53" i="115"/>
  <c r="V47" i="72"/>
  <c r="AK50" i="145"/>
  <c r="H32" i="72"/>
  <c r="AK35" i="114"/>
  <c r="Y51" i="72"/>
  <c r="AK54" i="148"/>
  <c r="R16" i="72"/>
  <c r="AK19" i="128"/>
  <c r="R6" i="72"/>
  <c r="AK9" i="128"/>
  <c r="R56" i="72"/>
  <c r="AK59" i="128"/>
  <c r="J51" i="72"/>
  <c r="AK54" i="116"/>
  <c r="H38" i="72"/>
  <c r="AK41" i="114"/>
  <c r="W27" i="72"/>
  <c r="AK30" i="146"/>
  <c r="AD62" i="72"/>
  <c r="AL64" i="76"/>
  <c r="Q62" i="72"/>
  <c r="AK65" i="127"/>
  <c r="AD23" i="72"/>
  <c r="AL25" i="76"/>
  <c r="AB71" i="72"/>
  <c r="AK74" i="152"/>
  <c r="R13" i="72"/>
  <c r="AK16" i="128"/>
  <c r="Q57" i="72"/>
  <c r="AK60" i="127"/>
  <c r="AA15" i="72"/>
  <c r="AK18" i="151"/>
  <c r="P58" i="72"/>
  <c r="AK61" i="126"/>
  <c r="M41" i="72"/>
  <c r="AK44" i="119"/>
  <c r="Z49" i="72"/>
  <c r="AK52" i="149"/>
  <c r="R52" i="72"/>
  <c r="AK55" i="128"/>
  <c r="X36" i="72"/>
  <c r="AK39" i="147"/>
  <c r="V56" i="72"/>
  <c r="AK59" i="145"/>
  <c r="W25" i="72"/>
  <c r="AK28" i="146"/>
  <c r="Q16" i="72"/>
  <c r="AK19" i="127"/>
  <c r="AD9" i="72"/>
  <c r="AL11" i="76"/>
  <c r="M9" i="72"/>
  <c r="AK12" i="119"/>
  <c r="M11" i="72"/>
  <c r="AK14" i="119"/>
  <c r="G60" i="72"/>
  <c r="AK63" i="113"/>
  <c r="AH48" i="148"/>
  <c r="AI48" i="148" s="1"/>
  <c r="AJ48" i="148"/>
  <c r="K22" i="72"/>
  <c r="AK25" i="117"/>
  <c r="M69" i="72"/>
  <c r="AK72" i="119"/>
  <c r="AA67" i="72"/>
  <c r="AK70" i="151"/>
  <c r="S15" i="72"/>
  <c r="AK18" i="129"/>
  <c r="J18" i="72"/>
  <c r="AK21" i="116"/>
  <c r="S58" i="72"/>
  <c r="AK61" i="129"/>
  <c r="H49" i="72"/>
  <c r="AK52" i="114"/>
  <c r="Q19" i="72"/>
  <c r="AK22" i="127"/>
  <c r="Y47" i="72"/>
  <c r="AK50" i="148"/>
  <c r="M66" i="72"/>
  <c r="AK69" i="119"/>
  <c r="AE47" i="80"/>
  <c r="AG47" i="80" s="1"/>
  <c r="AH48" i="118"/>
  <c r="AI48" i="118" s="1"/>
  <c r="AJ48" i="118"/>
  <c r="AD48" i="117"/>
  <c r="AF48" i="117" s="1"/>
  <c r="AO45" i="72"/>
  <c r="AH48" i="126"/>
  <c r="AI48" i="126" s="1"/>
  <c r="AJ48" i="126"/>
  <c r="AH48" i="147"/>
  <c r="AI48" i="147" s="1"/>
  <c r="AJ48" i="147"/>
  <c r="AC54" i="72"/>
  <c r="AK57" i="153"/>
  <c r="K68" i="72"/>
  <c r="AK71" i="117"/>
  <c r="O5" i="72"/>
  <c r="AK8" i="125"/>
  <c r="W9" i="72"/>
  <c r="AK12" i="146"/>
  <c r="Y55" i="72"/>
  <c r="AK58" i="148"/>
  <c r="X11" i="72"/>
  <c r="AK14" i="147"/>
  <c r="AA44" i="72"/>
  <c r="AK47" i="151"/>
  <c r="K48" i="72"/>
  <c r="AK51" i="117"/>
  <c r="X48" i="72"/>
  <c r="AK51" i="147"/>
  <c r="X30" i="72"/>
  <c r="AK33" i="147"/>
  <c r="T8" i="72"/>
  <c r="AK11" i="131"/>
  <c r="AH35" i="129"/>
  <c r="AI35" i="129" s="1"/>
  <c r="AJ35" i="129"/>
  <c r="W32" i="72"/>
  <c r="AK35" i="146"/>
  <c r="AA32" i="72"/>
  <c r="AK35" i="151"/>
  <c r="T41" i="72"/>
  <c r="AK44" i="131"/>
  <c r="AH44" i="129"/>
  <c r="AI44" i="129" s="1"/>
  <c r="AJ44" i="129"/>
  <c r="AA41" i="72"/>
  <c r="AK44" i="151"/>
  <c r="X54" i="72"/>
  <c r="AK57" i="147"/>
  <c r="Y17" i="72"/>
  <c r="AK20" i="148"/>
  <c r="W5" i="72"/>
  <c r="AK8" i="146"/>
  <c r="I5" i="72"/>
  <c r="AK8" i="115"/>
  <c r="N40" i="72"/>
  <c r="AK43" i="120"/>
  <c r="AH43" i="128"/>
  <c r="AI43" i="128" s="1"/>
  <c r="AJ43" i="128"/>
  <c r="AB40" i="72"/>
  <c r="AK43" i="152"/>
  <c r="Y9" i="72"/>
  <c r="AK12" i="148"/>
  <c r="L55" i="72"/>
  <c r="AK58" i="118"/>
  <c r="W55" i="72"/>
  <c r="AK58" i="146"/>
  <c r="Z55" i="72"/>
  <c r="AK58" i="149"/>
  <c r="O44" i="72"/>
  <c r="AK47" i="125"/>
  <c r="N44" i="72"/>
  <c r="AK47" i="120"/>
  <c r="W44" i="72"/>
  <c r="AK47" i="146"/>
  <c r="S60" i="72"/>
  <c r="AK63" i="129"/>
  <c r="V60" i="72"/>
  <c r="AK63" i="145"/>
  <c r="AH75" i="127"/>
  <c r="AI75" i="127" s="1"/>
  <c r="AJ75" i="127"/>
  <c r="AB72" i="72"/>
  <c r="AK75" i="152"/>
  <c r="S8" i="72"/>
  <c r="AK11" i="129"/>
  <c r="I8" i="72"/>
  <c r="AK11" i="115"/>
  <c r="AI34" i="76"/>
  <c r="AJ34" i="76" s="1"/>
  <c r="AK34" i="76"/>
  <c r="O32" i="72"/>
  <c r="AK35" i="125"/>
  <c r="P41" i="72"/>
  <c r="AK44" i="126"/>
  <c r="Y41" i="72"/>
  <c r="AK44" i="148"/>
  <c r="X41" i="72"/>
  <c r="AK44" i="147"/>
  <c r="R54" i="72"/>
  <c r="AK57" i="128"/>
  <c r="O54" i="72"/>
  <c r="AK57" i="125"/>
  <c r="U68" i="72"/>
  <c r="AK71" i="144"/>
  <c r="AB68" i="72"/>
  <c r="AK71" i="152"/>
  <c r="P17" i="72"/>
  <c r="AK20" i="126"/>
  <c r="AH8" i="119"/>
  <c r="AI8" i="119" s="1"/>
  <c r="AJ8" i="119"/>
  <c r="AA69" i="72"/>
  <c r="AK72" i="151"/>
  <c r="AH12" i="117"/>
  <c r="AI12" i="117" s="1"/>
  <c r="AJ12" i="117"/>
  <c r="AH12" i="129"/>
  <c r="AI12" i="129" s="1"/>
  <c r="AJ12" i="129"/>
  <c r="AD37" i="72"/>
  <c r="AL39" i="76"/>
  <c r="AC37" i="72"/>
  <c r="AK40" i="153"/>
  <c r="AA37" i="72"/>
  <c r="AK40" i="151"/>
  <c r="L11" i="72"/>
  <c r="AK14" i="118"/>
  <c r="W12" i="72"/>
  <c r="AK15" i="146"/>
  <c r="Z12" i="72"/>
  <c r="AK15" i="149"/>
  <c r="I12" i="72"/>
  <c r="AK15" i="115"/>
  <c r="T60" i="72"/>
  <c r="AK63" i="131"/>
  <c r="AI62" i="76"/>
  <c r="AJ62" i="76" s="1"/>
  <c r="AK62" i="76"/>
  <c r="Y60" i="72"/>
  <c r="AK63" i="148"/>
  <c r="U60" i="72"/>
  <c r="AK63" i="144"/>
  <c r="AB60" i="72"/>
  <c r="AK63" i="152"/>
  <c r="Q48" i="72"/>
  <c r="AK51" i="127"/>
  <c r="Z8" i="72"/>
  <c r="AK11" i="149"/>
  <c r="V8" i="72"/>
  <c r="AK11" i="145"/>
  <c r="S68" i="72"/>
  <c r="AK71" i="129"/>
  <c r="AI70" i="76"/>
  <c r="AJ70" i="76" s="1"/>
  <c r="AK70" i="76"/>
  <c r="Y68" i="72"/>
  <c r="AK71" i="148"/>
  <c r="V68" i="72"/>
  <c r="AK71" i="145"/>
  <c r="O17" i="72"/>
  <c r="AK20" i="125"/>
  <c r="T17" i="72"/>
  <c r="AK20" i="131"/>
  <c r="AB69" i="72"/>
  <c r="AK72" i="152"/>
  <c r="AH58" i="116"/>
  <c r="AI58" i="116" s="1"/>
  <c r="AJ58" i="116"/>
  <c r="O37" i="72"/>
  <c r="AK40" i="125"/>
  <c r="V37" i="72"/>
  <c r="AK40" i="145"/>
  <c r="Z37" i="72"/>
  <c r="AK40" i="149"/>
  <c r="AC11" i="72"/>
  <c r="AK14" i="153"/>
  <c r="L12" i="72"/>
  <c r="AK15" i="118"/>
  <c r="I44" i="72"/>
  <c r="AK47" i="115"/>
  <c r="O48" i="72"/>
  <c r="AK51" i="125"/>
  <c r="U48" i="72"/>
  <c r="AK51" i="144"/>
  <c r="AB48" i="72"/>
  <c r="AK51" i="152"/>
  <c r="T72" i="72"/>
  <c r="AK75" i="131"/>
  <c r="W30" i="72"/>
  <c r="AK33" i="146"/>
  <c r="AH35" i="119"/>
  <c r="AI35" i="119" s="1"/>
  <c r="AJ35" i="119"/>
  <c r="AA21" i="72"/>
  <c r="AK24" i="151"/>
  <c r="AH71" i="119"/>
  <c r="AI71" i="119" s="1"/>
  <c r="AJ71" i="119"/>
  <c r="I68" i="72"/>
  <c r="AK71" i="115"/>
  <c r="AA5" i="72"/>
  <c r="AK8" i="151"/>
  <c r="AH43" i="114"/>
  <c r="AI43" i="114" s="1"/>
  <c r="AJ43" i="114"/>
  <c r="T69" i="72"/>
  <c r="AK72" i="131"/>
  <c r="Y69" i="72"/>
  <c r="AK72" i="148"/>
  <c r="L37" i="72"/>
  <c r="AK40" i="118"/>
  <c r="H37" i="72"/>
  <c r="AK40" i="114"/>
  <c r="K11" i="72"/>
  <c r="AK14" i="117"/>
  <c r="AC12" i="72"/>
  <c r="AK15" i="153"/>
  <c r="R48" i="72"/>
  <c r="AK51" i="128"/>
  <c r="V48" i="72"/>
  <c r="AK51" i="145"/>
  <c r="AH48" i="119"/>
  <c r="AI48" i="119" s="1"/>
  <c r="AJ48" i="119"/>
  <c r="Y30" i="72"/>
  <c r="AK33" i="148"/>
  <c r="AI10" i="76"/>
  <c r="AJ10" i="76" s="1"/>
  <c r="AK10" i="76"/>
  <c r="J36" i="72"/>
  <c r="AK39" i="116"/>
  <c r="O70" i="72"/>
  <c r="AK73" i="125"/>
  <c r="V32" i="72"/>
  <c r="AK35" i="145"/>
  <c r="H53" i="139"/>
  <c r="F61" i="139"/>
  <c r="L53" i="139"/>
  <c r="G53" i="139"/>
  <c r="K51" i="72"/>
  <c r="AK54" i="117"/>
  <c r="K16" i="72"/>
  <c r="AK19" i="117"/>
  <c r="L16" i="72"/>
  <c r="AK19" i="118"/>
  <c r="O58" i="72"/>
  <c r="AK61" i="125"/>
  <c r="AH44" i="127"/>
  <c r="AI44" i="127" s="1"/>
  <c r="AJ44" i="127"/>
  <c r="L54" i="72"/>
  <c r="AK57" i="118"/>
  <c r="Y54" i="72"/>
  <c r="AK57" i="148"/>
  <c r="Q36" i="72"/>
  <c r="AK39" i="127"/>
  <c r="J34" i="72"/>
  <c r="AK37" i="116"/>
  <c r="Y12" i="72"/>
  <c r="AK15" i="148"/>
  <c r="AH51" i="114"/>
  <c r="AI51" i="114" s="1"/>
  <c r="AJ51" i="114"/>
  <c r="AC48" i="72"/>
  <c r="AK51" i="153"/>
  <c r="Z48" i="72"/>
  <c r="AK51" i="149"/>
  <c r="N30" i="72"/>
  <c r="AK33" i="120"/>
  <c r="AH33" i="114"/>
  <c r="AI33" i="114" s="1"/>
  <c r="AJ33" i="114"/>
  <c r="AA30" i="72"/>
  <c r="AK33" i="151"/>
  <c r="O8" i="72"/>
  <c r="AK11" i="125"/>
  <c r="K36" i="72"/>
  <c r="AK39" i="117"/>
  <c r="AA14" i="72"/>
  <c r="AK17" i="151"/>
  <c r="Z32" i="72"/>
  <c r="AK35" i="149"/>
  <c r="R64" i="72"/>
  <c r="AK67" i="128"/>
  <c r="H7" i="72"/>
  <c r="AK10" i="114"/>
  <c r="M7" i="72"/>
  <c r="AK10" i="119"/>
  <c r="Q24" i="72"/>
  <c r="AK27" i="127"/>
  <c r="R22" i="72"/>
  <c r="AK25" i="128"/>
  <c r="R51" i="72"/>
  <c r="AK54" i="128"/>
  <c r="AH20" i="152"/>
  <c r="AI20" i="152" s="1"/>
  <c r="AJ20" i="152"/>
  <c r="N5" i="72"/>
  <c r="AK8" i="120"/>
  <c r="AC40" i="72"/>
  <c r="AK43" i="153"/>
  <c r="L9" i="72"/>
  <c r="AK12" i="118"/>
  <c r="X37" i="72"/>
  <c r="AK40" i="147"/>
  <c r="T11" i="72"/>
  <c r="AK14" i="131"/>
  <c r="L32" i="72"/>
  <c r="AK35" i="118"/>
  <c r="AH57" i="114"/>
  <c r="AI57" i="114" s="1"/>
  <c r="AJ57" i="114"/>
  <c r="S53" i="72"/>
  <c r="AK56" i="129"/>
  <c r="W28" i="72"/>
  <c r="AK31" i="146"/>
  <c r="S22" i="72"/>
  <c r="AK25" i="129"/>
  <c r="S56" i="72"/>
  <c r="AK59" i="129"/>
  <c r="I11" i="72"/>
  <c r="AK14" i="115"/>
  <c r="AE12" i="72"/>
  <c r="AL14" i="80"/>
  <c r="P72" i="72"/>
  <c r="AK75" i="126"/>
  <c r="U30" i="72"/>
  <c r="AK33" i="144"/>
  <c r="AH11" i="117"/>
  <c r="AI11" i="117" s="1"/>
  <c r="AJ11" i="117"/>
  <c r="AB8" i="72"/>
  <c r="AK11" i="152"/>
  <c r="H13" i="72"/>
  <c r="AK16" i="114"/>
  <c r="K57" i="72"/>
  <c r="AK60" i="117"/>
  <c r="N15" i="72"/>
  <c r="AK18" i="120"/>
  <c r="AA7" i="152"/>
  <c r="AA76" i="152" s="1"/>
  <c r="AA82" i="152" s="1"/>
  <c r="X76" i="152"/>
  <c r="X82" i="152" s="1"/>
  <c r="V76" i="149"/>
  <c r="V82" i="149" s="1"/>
  <c r="AB7" i="149"/>
  <c r="X76" i="153"/>
  <c r="X82" i="153" s="1"/>
  <c r="AA7" i="153"/>
  <c r="V76" i="146"/>
  <c r="V82" i="146" s="1"/>
  <c r="AB7" i="146"/>
  <c r="X76" i="118"/>
  <c r="X82" i="118" s="1"/>
  <c r="AA7" i="118"/>
  <c r="AA76" i="118" s="1"/>
  <c r="AA82" i="118" s="1"/>
  <c r="AB7" i="127"/>
  <c r="V76" i="127"/>
  <c r="V82" i="127" s="1"/>
  <c r="Y75" i="76"/>
  <c r="Y81" i="76" s="1"/>
  <c r="AB6" i="76"/>
  <c r="V76" i="119"/>
  <c r="V82" i="119" s="1"/>
  <c r="Z76" i="119"/>
  <c r="Z82" i="119" s="1"/>
  <c r="AA7" i="119"/>
  <c r="AA76" i="119" s="1"/>
  <c r="AA82" i="119" s="1"/>
  <c r="AB6" i="80"/>
  <c r="AB75" i="80" s="1"/>
  <c r="AB81" i="80" s="1"/>
  <c r="Y75" i="80"/>
  <c r="Y81" i="80" s="1"/>
  <c r="AB7" i="128"/>
  <c r="V76" i="128"/>
  <c r="V82" i="128" s="1"/>
  <c r="AA7" i="116"/>
  <c r="AA76" i="116" s="1"/>
  <c r="AA82" i="116" s="1"/>
  <c r="X76" i="116"/>
  <c r="X82" i="116" s="1"/>
  <c r="AH44" i="152"/>
  <c r="AI44" i="152" s="1"/>
  <c r="AJ44" i="152"/>
  <c r="AH12" i="152"/>
  <c r="AI12" i="152" s="1"/>
  <c r="AJ12" i="152"/>
  <c r="AH58" i="117"/>
  <c r="AI58" i="117" s="1"/>
  <c r="AJ58" i="117"/>
  <c r="AH58" i="128"/>
  <c r="AI58" i="128" s="1"/>
  <c r="AJ58" i="128"/>
  <c r="AH58" i="114"/>
  <c r="AI58" i="114" s="1"/>
  <c r="AJ58" i="114"/>
  <c r="AI13" i="80"/>
  <c r="AJ13" i="80" s="1"/>
  <c r="AK13" i="80"/>
  <c r="AI46" i="76"/>
  <c r="AJ46" i="76" s="1"/>
  <c r="AK46" i="76"/>
  <c r="AH47" i="117"/>
  <c r="AI47" i="117" s="1"/>
  <c r="AJ47" i="117"/>
  <c r="AH48" i="152"/>
  <c r="AI48" i="152" s="1"/>
  <c r="AJ48" i="152"/>
  <c r="AH48" i="153"/>
  <c r="AI48" i="153" s="1"/>
  <c r="AJ48" i="153"/>
  <c r="AH48" i="144"/>
  <c r="AI48" i="144" s="1"/>
  <c r="AJ48" i="144"/>
  <c r="AH33" i="129"/>
  <c r="AI33" i="129" s="1"/>
  <c r="AJ33" i="129"/>
  <c r="K7" i="72"/>
  <c r="AK10" i="117"/>
  <c r="AC66" i="72"/>
  <c r="AK69" i="153"/>
  <c r="AE8" i="72"/>
  <c r="AL10" i="80"/>
  <c r="AH11" i="127"/>
  <c r="AI11" i="127" s="1"/>
  <c r="AJ11" i="127"/>
  <c r="AC23" i="72"/>
  <c r="AK26" i="153"/>
  <c r="S13" i="72"/>
  <c r="AK16" i="129"/>
  <c r="K13" i="72"/>
  <c r="AK16" i="117"/>
  <c r="AB57" i="72"/>
  <c r="AK60" i="152"/>
  <c r="L52" i="72"/>
  <c r="AK55" i="118"/>
  <c r="AA29" i="72"/>
  <c r="AK32" i="151"/>
  <c r="Z70" i="72"/>
  <c r="AK73" i="149"/>
  <c r="P43" i="72"/>
  <c r="AK46" i="126"/>
  <c r="V61" i="72"/>
  <c r="AK64" i="145"/>
  <c r="AD6" i="72"/>
  <c r="AL8" i="76"/>
  <c r="H22" i="72"/>
  <c r="AK25" i="114"/>
  <c r="Y25" i="72"/>
  <c r="AK28" i="148"/>
  <c r="T51" i="72"/>
  <c r="AK54" i="131"/>
  <c r="Y67" i="72"/>
  <c r="AK70" i="148"/>
  <c r="H27" i="72"/>
  <c r="AK30" i="114"/>
  <c r="V62" i="72"/>
  <c r="AK65" i="145"/>
  <c r="Q71" i="72"/>
  <c r="AK74" i="127"/>
  <c r="S63" i="72"/>
  <c r="AK66" i="129"/>
  <c r="AH44" i="116"/>
  <c r="AI44" i="116" s="1"/>
  <c r="AJ44" i="116"/>
  <c r="AH57" i="116"/>
  <c r="AI57" i="116" s="1"/>
  <c r="AJ57" i="116"/>
  <c r="Q59" i="72"/>
  <c r="AK62" i="127"/>
  <c r="AH8" i="128"/>
  <c r="AI8" i="128" s="1"/>
  <c r="AJ8" i="128"/>
  <c r="AH43" i="145"/>
  <c r="AI43" i="145" s="1"/>
  <c r="AJ43" i="145"/>
  <c r="P40" i="72"/>
  <c r="AK43" i="126"/>
  <c r="AE69" i="72"/>
  <c r="AL71" i="80"/>
  <c r="AH47" i="128"/>
  <c r="AI47" i="128" s="1"/>
  <c r="AJ47" i="128"/>
  <c r="AH75" i="145"/>
  <c r="AI75" i="145" s="1"/>
  <c r="AJ75" i="145"/>
  <c r="T66" i="72"/>
  <c r="AK69" i="131"/>
  <c r="Y71" i="72"/>
  <c r="AK74" i="148"/>
  <c r="I57" i="72"/>
  <c r="AK60" i="115"/>
  <c r="X52" i="72"/>
  <c r="AK55" i="147"/>
  <c r="AA34" i="72"/>
  <c r="AK37" i="151"/>
  <c r="O53" i="72"/>
  <c r="AK56" i="125"/>
  <c r="AH35" i="127"/>
  <c r="AI35" i="127" s="1"/>
  <c r="AJ35" i="127"/>
  <c r="AB32" i="72"/>
  <c r="AK35" i="152"/>
  <c r="Z16" i="72"/>
  <c r="AK19" i="149"/>
  <c r="K38" i="72"/>
  <c r="AK41" i="117"/>
  <c r="AH8" i="116"/>
  <c r="AI8" i="116" s="1"/>
  <c r="AJ8" i="116"/>
  <c r="AD48" i="128"/>
  <c r="AF48" i="128" s="1"/>
  <c r="AV45" i="72"/>
  <c r="H15" i="72"/>
  <c r="AK18" i="114"/>
  <c r="M15" i="72"/>
  <c r="AK18" i="119"/>
  <c r="AH71" i="114"/>
  <c r="AI71" i="114" s="1"/>
  <c r="AJ71" i="114"/>
  <c r="AH43" i="127"/>
  <c r="AI43" i="127" s="1"/>
  <c r="AJ43" i="127"/>
  <c r="AH43" i="117"/>
  <c r="AI43" i="117" s="1"/>
  <c r="AJ43" i="117"/>
  <c r="X9" i="72"/>
  <c r="AK12" i="147"/>
  <c r="AH58" i="127"/>
  <c r="AI58" i="127" s="1"/>
  <c r="AJ58" i="127"/>
  <c r="AH47" i="131"/>
  <c r="AI47" i="131" s="1"/>
  <c r="AJ47" i="131"/>
  <c r="AE48" i="72"/>
  <c r="AL50" i="80"/>
  <c r="Y48" i="72"/>
  <c r="AK51" i="148"/>
  <c r="AB30" i="72"/>
  <c r="AK33" i="152"/>
  <c r="N8" i="72"/>
  <c r="AK11" i="120"/>
  <c r="AH44" i="149"/>
  <c r="AI44" i="149" s="1"/>
  <c r="AJ44" i="149"/>
  <c r="T54" i="72"/>
  <c r="AK57" i="131"/>
  <c r="AH57" i="127"/>
  <c r="AI57" i="127" s="1"/>
  <c r="AJ57" i="127"/>
  <c r="AI56" i="76"/>
  <c r="AJ56" i="76" s="1"/>
  <c r="AK56" i="76"/>
  <c r="AH8" i="149"/>
  <c r="AI8" i="149" s="1"/>
  <c r="AJ8" i="149"/>
  <c r="O40" i="72"/>
  <c r="AK43" i="125"/>
  <c r="AH72" i="129"/>
  <c r="AI72" i="129" s="1"/>
  <c r="AJ72" i="129"/>
  <c r="AH12" i="127"/>
  <c r="AI12" i="127" s="1"/>
  <c r="AJ12" i="127"/>
  <c r="AA9" i="72"/>
  <c r="AK12" i="151"/>
  <c r="I55" i="72"/>
  <c r="AK58" i="115"/>
  <c r="AH40" i="128"/>
  <c r="AI40" i="128" s="1"/>
  <c r="AJ40" i="128"/>
  <c r="AH47" i="129"/>
  <c r="AI47" i="129" s="1"/>
  <c r="AJ47" i="129"/>
  <c r="AI62" i="80"/>
  <c r="AJ62" i="80" s="1"/>
  <c r="AK62" i="80"/>
  <c r="X60" i="72"/>
  <c r="AK63" i="147"/>
  <c r="AH11" i="147"/>
  <c r="AI11" i="147" s="1"/>
  <c r="AJ11" i="147"/>
  <c r="W8" i="72"/>
  <c r="AK11" i="146"/>
  <c r="AE32" i="72"/>
  <c r="AL34" i="80"/>
  <c r="P32" i="72"/>
  <c r="AK35" i="126"/>
  <c r="AH44" i="117"/>
  <c r="AI44" i="117" s="1"/>
  <c r="AJ44" i="117"/>
  <c r="I41" i="72"/>
  <c r="AK44" i="115"/>
  <c r="P54" i="72"/>
  <c r="AK57" i="126"/>
  <c r="W68" i="72"/>
  <c r="AK71" i="146"/>
  <c r="AH20" i="117"/>
  <c r="AI20" i="117" s="1"/>
  <c r="AJ20" i="117"/>
  <c r="V5" i="72"/>
  <c r="AK8" i="145"/>
  <c r="AH43" i="129"/>
  <c r="AI43" i="129" s="1"/>
  <c r="AJ43" i="129"/>
  <c r="AH43" i="151"/>
  <c r="AI43" i="151" s="1"/>
  <c r="AJ43" i="151"/>
  <c r="P69" i="72"/>
  <c r="AK72" i="126"/>
  <c r="AH72" i="127"/>
  <c r="AI72" i="127" s="1"/>
  <c r="AJ72" i="127"/>
  <c r="AH72" i="117"/>
  <c r="AI72" i="117" s="1"/>
  <c r="AJ72" i="117"/>
  <c r="N9" i="72"/>
  <c r="AK12" i="120"/>
  <c r="AH40" i="129"/>
  <c r="AI40" i="129" s="1"/>
  <c r="AJ40" i="129"/>
  <c r="AH40" i="117"/>
  <c r="AI40" i="117" s="1"/>
  <c r="AJ40" i="117"/>
  <c r="U37" i="72"/>
  <c r="AK40" i="144"/>
  <c r="AH14" i="127"/>
  <c r="AI14" i="127" s="1"/>
  <c r="AJ14" i="127"/>
  <c r="AH75" i="148"/>
  <c r="AI75" i="148" s="1"/>
  <c r="AJ75" i="148"/>
  <c r="AC72" i="72"/>
  <c r="AK75" i="153"/>
  <c r="AH33" i="127"/>
  <c r="AI33" i="127" s="1"/>
  <c r="AJ33" i="127"/>
  <c r="AI32" i="76"/>
  <c r="AJ32" i="76" s="1"/>
  <c r="AK32" i="76"/>
  <c r="L68" i="72"/>
  <c r="AK71" i="118"/>
  <c r="AH20" i="129"/>
  <c r="AI20" i="129" s="1"/>
  <c r="AJ20" i="129"/>
  <c r="AH72" i="144"/>
  <c r="AI72" i="144" s="1"/>
  <c r="AJ72" i="144"/>
  <c r="AC69" i="72"/>
  <c r="AK72" i="153"/>
  <c r="O9" i="72"/>
  <c r="AK12" i="125"/>
  <c r="AH14" i="152"/>
  <c r="AI14" i="152" s="1"/>
  <c r="AJ14" i="152"/>
  <c r="O12" i="72"/>
  <c r="AK15" i="125"/>
  <c r="AH33" i="115"/>
  <c r="AI33" i="115" s="1"/>
  <c r="AJ33" i="115"/>
  <c r="H24" i="72"/>
  <c r="AK27" i="114"/>
  <c r="AI43" i="76"/>
  <c r="AJ43" i="76" s="1"/>
  <c r="AK43" i="76"/>
  <c r="AH57" i="119"/>
  <c r="AI57" i="119" s="1"/>
  <c r="AJ57" i="119"/>
  <c r="AC17" i="72"/>
  <c r="AK20" i="153"/>
  <c r="W40" i="72"/>
  <c r="AK43" i="146"/>
  <c r="AH72" i="128"/>
  <c r="AI72" i="128" s="1"/>
  <c r="AJ72" i="128"/>
  <c r="AH15" i="127"/>
  <c r="AI15" i="127" s="1"/>
  <c r="AJ15" i="127"/>
  <c r="L44" i="72"/>
  <c r="AK47" i="118"/>
  <c r="AH51" i="119"/>
  <c r="AI51" i="119" s="1"/>
  <c r="AJ51" i="119"/>
  <c r="AH75" i="117"/>
  <c r="AI75" i="117" s="1"/>
  <c r="AJ75" i="117"/>
  <c r="AH33" i="119"/>
  <c r="AI33" i="119" s="1"/>
  <c r="AJ33" i="119"/>
  <c r="K24" i="72"/>
  <c r="AK27" i="117"/>
  <c r="AA8" i="72"/>
  <c r="AK11" i="151"/>
  <c r="J43" i="72"/>
  <c r="AK46" i="116"/>
  <c r="R20" i="72"/>
  <c r="AK23" i="128"/>
  <c r="T32" i="72"/>
  <c r="AK35" i="131"/>
  <c r="AH35" i="117"/>
  <c r="AI35" i="117" s="1"/>
  <c r="AJ35" i="117"/>
  <c r="E83" i="81"/>
  <c r="H81" i="81"/>
  <c r="G81" i="81"/>
  <c r="AE41" i="72"/>
  <c r="AL43" i="80"/>
  <c r="H20" i="72"/>
  <c r="AK23" i="114"/>
  <c r="Q33" i="72"/>
  <c r="AK36" i="127"/>
  <c r="O64" i="72"/>
  <c r="AK67" i="125"/>
  <c r="AH72" i="114"/>
  <c r="AI72" i="114" s="1"/>
  <c r="AJ72" i="114"/>
  <c r="AH40" i="116"/>
  <c r="AI40" i="116" s="1"/>
  <c r="AJ40" i="116"/>
  <c r="Y37" i="72"/>
  <c r="AK40" i="148"/>
  <c r="AH14" i="128"/>
  <c r="AI14" i="128" s="1"/>
  <c r="AJ14" i="128"/>
  <c r="AH51" i="131"/>
  <c r="AI51" i="131" s="1"/>
  <c r="AJ51" i="131"/>
  <c r="I48" i="72"/>
  <c r="AK51" i="115"/>
  <c r="AC30" i="72"/>
  <c r="AK33" i="153"/>
  <c r="H67" i="72"/>
  <c r="AK70" i="114"/>
  <c r="AH11" i="119"/>
  <c r="AI11" i="119" s="1"/>
  <c r="AJ11" i="119"/>
  <c r="AC8" i="72"/>
  <c r="AK11" i="153"/>
  <c r="H23" i="72"/>
  <c r="AK26" i="114"/>
  <c r="R63" i="72"/>
  <c r="AK66" i="128"/>
  <c r="K63" i="72"/>
  <c r="AK66" i="117"/>
  <c r="AC49" i="72"/>
  <c r="AK52" i="153"/>
  <c r="N59" i="72"/>
  <c r="AK62" i="120"/>
  <c r="Q42" i="72"/>
  <c r="AK45" i="127"/>
  <c r="AD50" i="72"/>
  <c r="AL52" i="76"/>
  <c r="H70" i="72"/>
  <c r="AK73" i="114"/>
  <c r="X32" i="72"/>
  <c r="AK35" i="147"/>
  <c r="Q58" i="72"/>
  <c r="AK61" i="127"/>
  <c r="H63" i="72"/>
  <c r="AF63" i="72" s="1"/>
  <c r="AG63" i="72" s="1"/>
  <c r="BJ63" i="72" s="1"/>
  <c r="AK66" i="114"/>
  <c r="H52" i="72"/>
  <c r="AK55" i="114"/>
  <c r="Q21" i="72"/>
  <c r="AK24" i="127"/>
  <c r="M36" i="72"/>
  <c r="AK39" i="119"/>
  <c r="Q29" i="72"/>
  <c r="AK32" i="127"/>
  <c r="R29" i="72"/>
  <c r="AK32" i="128"/>
  <c r="J14" i="72"/>
  <c r="AK17" i="116"/>
  <c r="M16" i="72"/>
  <c r="AK19" i="119"/>
  <c r="J38" i="72"/>
  <c r="AK41" i="116"/>
  <c r="H35" i="72"/>
  <c r="AK38" i="114"/>
  <c r="M35" i="72"/>
  <c r="AK38" i="119"/>
  <c r="H64" i="72"/>
  <c r="AK67" i="114"/>
  <c r="S64" i="72"/>
  <c r="AK67" i="129"/>
  <c r="R17" i="72"/>
  <c r="AK20" i="128"/>
  <c r="J32" i="72"/>
  <c r="AK35" i="116"/>
  <c r="S15" i="137"/>
  <c r="S19" i="137" s="1"/>
  <c r="Z5" i="137"/>
  <c r="Z15" i="137" s="1"/>
  <c r="Z19" i="137" s="1"/>
  <c r="U5" i="137"/>
  <c r="S25" i="72"/>
  <c r="AK28" i="129"/>
  <c r="AM17" i="46"/>
  <c r="J7" i="72"/>
  <c r="AK10" i="116"/>
  <c r="K31" i="72"/>
  <c r="AF31" i="72" s="1"/>
  <c r="AG31" i="72" s="1"/>
  <c r="BJ31" i="72" s="1"/>
  <c r="AK34" i="117"/>
  <c r="S21" i="72"/>
  <c r="AK24" i="129"/>
  <c r="R36" i="72"/>
  <c r="AK39" i="128"/>
  <c r="J29" i="72"/>
  <c r="AK32" i="116"/>
  <c r="Q14" i="72"/>
  <c r="AK17" i="127"/>
  <c r="AD34" i="72"/>
  <c r="AL36" i="76"/>
  <c r="R34" i="72"/>
  <c r="AK37" i="128"/>
  <c r="H6" i="72"/>
  <c r="AK9" i="114"/>
  <c r="S6" i="72"/>
  <c r="AK9" i="129"/>
  <c r="H25" i="72"/>
  <c r="AK28" i="114"/>
  <c r="M55" i="72"/>
  <c r="AK58" i="119"/>
  <c r="J30" i="72"/>
  <c r="AK33" i="116"/>
  <c r="J8" i="72"/>
  <c r="AK11" i="116"/>
  <c r="H62" i="72"/>
  <c r="AK65" i="114"/>
  <c r="Z47" i="72"/>
  <c r="AK50" i="149"/>
  <c r="X5" i="72"/>
  <c r="AK8" i="147"/>
  <c r="AH43" i="119"/>
  <c r="AI43" i="119" s="1"/>
  <c r="AJ43" i="119"/>
  <c r="I40" i="72"/>
  <c r="AK43" i="115"/>
  <c r="O69" i="72"/>
  <c r="AK72" i="125"/>
  <c r="V69" i="72"/>
  <c r="AK72" i="145"/>
  <c r="AE37" i="72"/>
  <c r="AL39" i="80"/>
  <c r="I37" i="72"/>
  <c r="AK40" i="115"/>
  <c r="U11" i="72"/>
  <c r="AK14" i="144"/>
  <c r="AH15" i="117"/>
  <c r="AI15" i="117" s="1"/>
  <c r="AJ15" i="117"/>
  <c r="AB12" i="72"/>
  <c r="AK15" i="152"/>
  <c r="V44" i="72"/>
  <c r="AK47" i="145"/>
  <c r="AI50" i="76"/>
  <c r="AJ50" i="76" s="1"/>
  <c r="AK50" i="76"/>
  <c r="AA48" i="72"/>
  <c r="AK51" i="151"/>
  <c r="U72" i="72"/>
  <c r="AK75" i="144"/>
  <c r="Z30" i="72"/>
  <c r="AK33" i="149"/>
  <c r="AD7" i="72"/>
  <c r="AL9" i="76"/>
  <c r="T7" i="72"/>
  <c r="AK10" i="131"/>
  <c r="Y8" i="72"/>
  <c r="AK11" i="148"/>
  <c r="J57" i="72"/>
  <c r="AK60" i="116"/>
  <c r="J15" i="72"/>
  <c r="AK18" i="116"/>
  <c r="U58" i="72"/>
  <c r="AK61" i="144"/>
  <c r="H21" i="72"/>
  <c r="AK24" i="114"/>
  <c r="S29" i="72"/>
  <c r="AK32" i="129"/>
  <c r="H34" i="72"/>
  <c r="AF34" i="72" s="1"/>
  <c r="AG34" i="72" s="1"/>
  <c r="BJ34" i="72" s="1"/>
  <c r="AK37" i="114"/>
  <c r="U50" i="72"/>
  <c r="AK53" i="144"/>
  <c r="N32" i="72"/>
  <c r="AK35" i="120"/>
  <c r="P30" i="72"/>
  <c r="AK33" i="126"/>
  <c r="S67" i="72"/>
  <c r="AK70" i="129"/>
  <c r="P8" i="72"/>
  <c r="AK11" i="126"/>
  <c r="N46" i="72"/>
  <c r="AK49" i="120"/>
  <c r="K18" i="72"/>
  <c r="AK21" i="117"/>
  <c r="K58" i="72"/>
  <c r="AK61" i="117"/>
  <c r="H59" i="72"/>
  <c r="AK62" i="114"/>
  <c r="X76" i="115"/>
  <c r="X82" i="115" s="1"/>
  <c r="AA7" i="115"/>
  <c r="AA76" i="115" s="1"/>
  <c r="AA82" i="115" s="1"/>
  <c r="AB7" i="144"/>
  <c r="V76" i="144"/>
  <c r="V82" i="144" s="1"/>
  <c r="AA7" i="147"/>
  <c r="AA76" i="147" s="1"/>
  <c r="AA82" i="147" s="1"/>
  <c r="X76" i="147"/>
  <c r="X82" i="147" s="1"/>
  <c r="AA7" i="151"/>
  <c r="AA76" i="151" s="1"/>
  <c r="AA82" i="151" s="1"/>
  <c r="X76" i="151"/>
  <c r="X82" i="151" s="1"/>
  <c r="AA7" i="148"/>
  <c r="X76" i="148"/>
  <c r="X82" i="148" s="1"/>
  <c r="X76" i="131"/>
  <c r="X82" i="131" s="1"/>
  <c r="AA7" i="131"/>
  <c r="AA76" i="131" s="1"/>
  <c r="AA82" i="131" s="1"/>
  <c r="AB7" i="129"/>
  <c r="V76" i="129"/>
  <c r="V82" i="129" s="1"/>
  <c r="AA7" i="120"/>
  <c r="AA76" i="120" s="1"/>
  <c r="AA82" i="120" s="1"/>
  <c r="X76" i="120"/>
  <c r="X82" i="120" s="1"/>
  <c r="AB7" i="117"/>
  <c r="V76" i="117"/>
  <c r="V82" i="117" s="1"/>
  <c r="X77" i="114"/>
  <c r="X83" i="114" s="1"/>
  <c r="AA7" i="114"/>
  <c r="AA77" i="114" s="1"/>
  <c r="AA83" i="114" s="1"/>
  <c r="AB7" i="125"/>
  <c r="V76" i="125"/>
  <c r="V82" i="125" s="1"/>
  <c r="X76" i="126"/>
  <c r="X82" i="126" s="1"/>
  <c r="AA7" i="126"/>
  <c r="AA76" i="126" s="1"/>
  <c r="AA82" i="126" s="1"/>
  <c r="AA76" i="113"/>
  <c r="AA82" i="113" s="1"/>
  <c r="AB7" i="113"/>
  <c r="AE43" i="72"/>
  <c r="AL45" i="80"/>
  <c r="V20" i="72"/>
  <c r="AK23" i="145"/>
  <c r="AC22" i="72"/>
  <c r="AK25" i="153"/>
  <c r="S35" i="72"/>
  <c r="AK38" i="129"/>
  <c r="X64" i="72"/>
  <c r="AK67" i="147"/>
  <c r="AD5" i="72"/>
  <c r="AL7" i="76"/>
  <c r="AH43" i="116"/>
  <c r="AI43" i="116" s="1"/>
  <c r="AJ43" i="116"/>
  <c r="T40" i="72"/>
  <c r="AK43" i="131"/>
  <c r="AH72" i="116"/>
  <c r="AI72" i="116" s="1"/>
  <c r="AJ72" i="116"/>
  <c r="AC9" i="72"/>
  <c r="AK12" i="153"/>
  <c r="V11" i="72"/>
  <c r="AK14" i="145"/>
  <c r="T12" i="72"/>
  <c r="AK15" i="131"/>
  <c r="AH47" i="127"/>
  <c r="AI47" i="127" s="1"/>
  <c r="AJ47" i="127"/>
  <c r="Y44" i="72"/>
  <c r="AK47" i="148"/>
  <c r="P60" i="72"/>
  <c r="AK63" i="126"/>
  <c r="AH63" i="114"/>
  <c r="AI63" i="114" s="1"/>
  <c r="AJ63" i="114"/>
  <c r="AA60" i="72"/>
  <c r="AK63" i="151"/>
  <c r="W60" i="72"/>
  <c r="AK63" i="146"/>
  <c r="G45" i="72"/>
  <c r="AK48" i="113"/>
  <c r="O72" i="72"/>
  <c r="AK75" i="125"/>
  <c r="L72" i="72"/>
  <c r="AK75" i="118"/>
  <c r="Z72" i="72"/>
  <c r="AK75" i="149"/>
  <c r="I72" i="72"/>
  <c r="AK75" i="115"/>
  <c r="T30" i="72"/>
  <c r="AK33" i="131"/>
  <c r="W24" i="72"/>
  <c r="AK27" i="146"/>
  <c r="AH11" i="128"/>
  <c r="AI11" i="128" s="1"/>
  <c r="AJ11" i="128"/>
  <c r="R62" i="72"/>
  <c r="AK65" i="128"/>
  <c r="K62" i="72"/>
  <c r="AK65" i="117"/>
  <c r="AD10" i="72"/>
  <c r="AL12" i="76"/>
  <c r="S71" i="72"/>
  <c r="AK74" i="129"/>
  <c r="K46" i="72"/>
  <c r="AK49" i="117"/>
  <c r="AD57" i="72"/>
  <c r="AL59" i="76"/>
  <c r="Y52" i="72"/>
  <c r="AK55" i="148"/>
  <c r="AD52" i="72"/>
  <c r="AL54" i="76"/>
  <c r="K59" i="72"/>
  <c r="AK62" i="117"/>
  <c r="K29" i="72"/>
  <c r="AK32" i="117"/>
  <c r="K42" i="72"/>
  <c r="AK45" i="117"/>
  <c r="AD42" i="72"/>
  <c r="AL44" i="76"/>
  <c r="S42" i="72"/>
  <c r="AK45" i="129"/>
  <c r="AB50" i="72"/>
  <c r="AK53" i="152"/>
  <c r="K19" i="72"/>
  <c r="AK22" i="117"/>
  <c r="Q70" i="72"/>
  <c r="AK73" i="127"/>
  <c r="AD47" i="72"/>
  <c r="AL49" i="76"/>
  <c r="AD28" i="72"/>
  <c r="AL30" i="76"/>
  <c r="R28" i="72"/>
  <c r="AK31" i="128"/>
  <c r="K26" i="72"/>
  <c r="AK29" i="117"/>
  <c r="H26" i="72"/>
  <c r="AK29" i="114"/>
  <c r="Q26" i="72"/>
  <c r="AK29" i="127"/>
  <c r="AD20" i="72"/>
  <c r="AL22" i="76"/>
  <c r="AC6" i="72"/>
  <c r="AK9" i="153"/>
  <c r="S14" i="72"/>
  <c r="AK17" i="129"/>
  <c r="S19" i="72"/>
  <c r="AK22" i="129"/>
  <c r="R26" i="72"/>
  <c r="AK29" i="128"/>
  <c r="Y61" i="72"/>
  <c r="AK64" i="148"/>
  <c r="T68" i="72"/>
  <c r="AK71" i="131"/>
  <c r="AE68" i="72"/>
  <c r="AL70" i="80"/>
  <c r="N68" i="72"/>
  <c r="AK71" i="120"/>
  <c r="Z68" i="72"/>
  <c r="AK71" i="149"/>
  <c r="AA25" i="72"/>
  <c r="AK28" i="151"/>
  <c r="AD16" i="72"/>
  <c r="AL18" i="76"/>
  <c r="W64" i="72"/>
  <c r="AK67" i="146"/>
  <c r="Z17" i="72"/>
  <c r="AK20" i="149"/>
  <c r="V17" i="72"/>
  <c r="AK20" i="145"/>
  <c r="AC5" i="72"/>
  <c r="AK8" i="153"/>
  <c r="L40" i="72"/>
  <c r="AK43" i="118"/>
  <c r="L69" i="72"/>
  <c r="AK72" i="118"/>
  <c r="AD69" i="72"/>
  <c r="AL71" i="76"/>
  <c r="AE9" i="72"/>
  <c r="AL11" i="80"/>
  <c r="Z9" i="72"/>
  <c r="AK12" i="149"/>
  <c r="AE55" i="72"/>
  <c r="AL57" i="80"/>
  <c r="AC55" i="72"/>
  <c r="AK58" i="153"/>
  <c r="P37" i="72"/>
  <c r="AK40" i="126"/>
  <c r="P11" i="72"/>
  <c r="AK14" i="126"/>
  <c r="AI14" i="76"/>
  <c r="AJ14" i="76" s="1"/>
  <c r="AK14" i="76"/>
  <c r="J42" i="72"/>
  <c r="AK45" i="116"/>
  <c r="J50" i="72"/>
  <c r="AK53" i="116"/>
  <c r="M50" i="72"/>
  <c r="AK53" i="119"/>
  <c r="R70" i="72"/>
  <c r="AK73" i="128"/>
  <c r="AE53" i="72"/>
  <c r="AF53" i="72" s="1"/>
  <c r="AG53" i="72" s="1"/>
  <c r="BJ53" i="72" s="1"/>
  <c r="AL55" i="80"/>
  <c r="T28" i="72"/>
  <c r="AK31" i="131"/>
  <c r="AE26" i="72"/>
  <c r="AL28" i="80"/>
  <c r="G68" i="72"/>
  <c r="AK71" i="113"/>
  <c r="AH48" i="145"/>
  <c r="AI48" i="145" s="1"/>
  <c r="AJ48" i="145"/>
  <c r="AH48" i="116"/>
  <c r="AI48" i="116" s="1"/>
  <c r="AJ48" i="116"/>
  <c r="J66" i="72"/>
  <c r="AK69" i="116"/>
  <c r="AB27" i="72"/>
  <c r="AK30" i="152"/>
  <c r="M62" i="72"/>
  <c r="AK65" i="119"/>
  <c r="K10" i="72"/>
  <c r="AK13" i="117"/>
  <c r="J10" i="72"/>
  <c r="AK13" i="116"/>
  <c r="J23" i="72"/>
  <c r="AK26" i="116"/>
  <c r="Z46" i="72"/>
  <c r="AK49" i="149"/>
  <c r="M13" i="72"/>
  <c r="AK16" i="119"/>
  <c r="Y49" i="72"/>
  <c r="AK52" i="148"/>
  <c r="Y14" i="72"/>
  <c r="AK17" i="148"/>
  <c r="K47" i="72"/>
  <c r="AK50" i="117"/>
  <c r="X43" i="72"/>
  <c r="AK46" i="147"/>
  <c r="Z22" i="72"/>
  <c r="AK25" i="149"/>
  <c r="AD33" i="72"/>
  <c r="AL35" i="76"/>
  <c r="T16" i="72"/>
  <c r="AF16" i="72" s="1"/>
  <c r="AG16" i="72" s="1"/>
  <c r="BJ16" i="72" s="1"/>
  <c r="AK19" i="131"/>
  <c r="Q27" i="72"/>
  <c r="AF27" i="72" s="1"/>
  <c r="AG27" i="72" s="1"/>
  <c r="BJ27" i="72" s="1"/>
  <c r="AK30" i="127"/>
  <c r="X10" i="72"/>
  <c r="AK13" i="147"/>
  <c r="AD71" i="72"/>
  <c r="AL73" i="76"/>
  <c r="S46" i="72"/>
  <c r="AK49" i="129"/>
  <c r="S57" i="72"/>
  <c r="AK60" i="129"/>
  <c r="V15" i="72"/>
  <c r="AK18" i="145"/>
  <c r="R18" i="72"/>
  <c r="AK21" i="128"/>
  <c r="T58" i="72"/>
  <c r="AK61" i="131"/>
  <c r="AA49" i="72"/>
  <c r="AK52" i="151"/>
  <c r="R59" i="72"/>
  <c r="AK62" i="128"/>
  <c r="Z21" i="72"/>
  <c r="AK24" i="149"/>
  <c r="T42" i="72"/>
  <c r="AK45" i="131"/>
  <c r="S47" i="72"/>
  <c r="AK50" i="129"/>
  <c r="AA43" i="72"/>
  <c r="AK46" i="151"/>
  <c r="Z33" i="72"/>
  <c r="AK36" i="149"/>
  <c r="AD48" i="127"/>
  <c r="AF48" i="127" s="1"/>
  <c r="AU45" i="72"/>
  <c r="AI47" i="76"/>
  <c r="AJ47" i="76" s="1"/>
  <c r="AK47" i="76"/>
  <c r="AH48" i="115"/>
  <c r="AI48" i="115" s="1"/>
  <c r="AJ48" i="115"/>
  <c r="AH48" i="149"/>
  <c r="AI48" i="149" s="1"/>
  <c r="AJ48" i="149"/>
  <c r="AH48" i="146"/>
  <c r="AI48" i="146" s="1"/>
  <c r="AJ48" i="146"/>
  <c r="AH48" i="151"/>
  <c r="AI48" i="151" s="1"/>
  <c r="AJ48" i="151"/>
  <c r="AF50" i="72" l="1"/>
  <c r="AG50" i="72" s="1"/>
  <c r="BJ50" i="72" s="1"/>
  <c r="AF19" i="72"/>
  <c r="AG19" i="72" s="1"/>
  <c r="BJ19" i="72" s="1"/>
  <c r="AF62" i="72"/>
  <c r="AG62" i="72" s="1"/>
  <c r="BJ62" i="72" s="1"/>
  <c r="AF23" i="72"/>
  <c r="AG23" i="72" s="1"/>
  <c r="BJ23" i="72" s="1"/>
  <c r="AF67" i="72"/>
  <c r="AG67" i="72" s="1"/>
  <c r="BJ67" i="72" s="1"/>
  <c r="AF28" i="72"/>
  <c r="AG28" i="72" s="1"/>
  <c r="BJ28" i="72" s="1"/>
  <c r="AF46" i="72"/>
  <c r="AG46" i="72" s="1"/>
  <c r="BJ46" i="72" s="1"/>
  <c r="AF57" i="72"/>
  <c r="AG57" i="72" s="1"/>
  <c r="BJ57" i="72" s="1"/>
  <c r="AF65" i="72"/>
  <c r="AG65" i="72" s="1"/>
  <c r="BJ65" i="72" s="1"/>
  <c r="AA45" i="72"/>
  <c r="AK48" i="151"/>
  <c r="W45" i="72"/>
  <c r="AK48" i="146"/>
  <c r="Z45" i="72"/>
  <c r="AK48" i="149"/>
  <c r="I45" i="72"/>
  <c r="AK48" i="115"/>
  <c r="AD45" i="72"/>
  <c r="AL47" i="76"/>
  <c r="AH48" i="127"/>
  <c r="AI48" i="127" s="1"/>
  <c r="AJ48" i="127"/>
  <c r="AF47" i="72"/>
  <c r="AG47" i="72" s="1"/>
  <c r="BJ47" i="72" s="1"/>
  <c r="J45" i="72"/>
  <c r="AK48" i="116"/>
  <c r="V45" i="72"/>
  <c r="AK48" i="145"/>
  <c r="AD12" i="72"/>
  <c r="AL14" i="76"/>
  <c r="AF26" i="72"/>
  <c r="AG26" i="72" s="1"/>
  <c r="BJ26" i="72" s="1"/>
  <c r="R8" i="72"/>
  <c r="AK11" i="128"/>
  <c r="H60" i="72"/>
  <c r="AK63" i="114"/>
  <c r="Q44" i="72"/>
  <c r="AK47" i="127"/>
  <c r="J69" i="72"/>
  <c r="AK72" i="116"/>
  <c r="J40" i="72"/>
  <c r="AK43" i="116"/>
  <c r="AC7" i="125"/>
  <c r="O4" i="100"/>
  <c r="O73" i="100" s="1"/>
  <c r="AD7" i="125"/>
  <c r="AB76" i="125"/>
  <c r="AB82" i="125" s="1"/>
  <c r="K4" i="100"/>
  <c r="K73" i="100" s="1"/>
  <c r="AB76" i="117"/>
  <c r="AB82" i="117" s="1"/>
  <c r="AC7" i="117"/>
  <c r="AD7" i="117" s="1"/>
  <c r="S4" i="100"/>
  <c r="S73" i="100" s="1"/>
  <c r="AC7" i="129"/>
  <c r="AB76" i="129"/>
  <c r="AB82" i="129" s="1"/>
  <c r="AB7" i="148"/>
  <c r="AA76" i="148"/>
  <c r="AA82" i="148" s="1"/>
  <c r="AC7" i="144"/>
  <c r="U4" i="100"/>
  <c r="U73" i="100" s="1"/>
  <c r="AD7" i="144"/>
  <c r="AB76" i="144"/>
  <c r="AB82" i="144" s="1"/>
  <c r="AF59" i="72"/>
  <c r="AG59" i="72" s="1"/>
  <c r="BJ59" i="72" s="1"/>
  <c r="AF64" i="72"/>
  <c r="AG64" i="72" s="1"/>
  <c r="BJ64" i="72" s="1"/>
  <c r="AF35" i="72"/>
  <c r="AG35" i="72" s="1"/>
  <c r="BJ35" i="72" s="1"/>
  <c r="AF52" i="72"/>
  <c r="AG52" i="72" s="1"/>
  <c r="BJ52" i="72" s="1"/>
  <c r="AF70" i="72"/>
  <c r="AG70" i="72" s="1"/>
  <c r="BJ70" i="72" s="1"/>
  <c r="M8" i="72"/>
  <c r="AK11" i="119"/>
  <c r="T48" i="72"/>
  <c r="AK51" i="131"/>
  <c r="G83" i="81"/>
  <c r="K32" i="72"/>
  <c r="AK35" i="117"/>
  <c r="M30" i="72"/>
  <c r="AK33" i="119"/>
  <c r="K72" i="72"/>
  <c r="AK75" i="117"/>
  <c r="M48" i="72"/>
  <c r="AK51" i="119"/>
  <c r="Q12" i="72"/>
  <c r="AK15" i="127"/>
  <c r="R69" i="72"/>
  <c r="AK72" i="128"/>
  <c r="M54" i="72"/>
  <c r="AK57" i="119"/>
  <c r="AD41" i="72"/>
  <c r="AL43" i="76"/>
  <c r="AF24" i="72"/>
  <c r="AG24" i="72" s="1"/>
  <c r="BJ24" i="72" s="1"/>
  <c r="I30" i="72"/>
  <c r="AK33" i="115"/>
  <c r="V72" i="72"/>
  <c r="AK75" i="145"/>
  <c r="R44" i="72"/>
  <c r="AK47" i="128"/>
  <c r="V40" i="72"/>
  <c r="AK43" i="145"/>
  <c r="R5" i="72"/>
  <c r="AK8" i="128"/>
  <c r="J54" i="72"/>
  <c r="AK57" i="116"/>
  <c r="J41" i="72"/>
  <c r="AK44" i="116"/>
  <c r="AB75" i="76"/>
  <c r="AB81" i="76" s="1"/>
  <c r="AC6" i="76"/>
  <c r="AC7" i="146"/>
  <c r="AD7" i="146" s="1"/>
  <c r="AB76" i="146"/>
  <c r="AB82" i="146" s="1"/>
  <c r="W4" i="100"/>
  <c r="W73" i="100" s="1"/>
  <c r="AB7" i="153"/>
  <c r="AA76" i="153"/>
  <c r="AA82" i="153" s="1"/>
  <c r="AC7" i="149"/>
  <c r="AD7" i="149" s="1"/>
  <c r="Z4" i="100"/>
  <c r="Z73" i="100" s="1"/>
  <c r="AB76" i="149"/>
  <c r="AB82" i="149" s="1"/>
  <c r="AB17" i="72"/>
  <c r="AK20" i="152"/>
  <c r="AF7" i="72"/>
  <c r="AG7" i="72" s="1"/>
  <c r="BJ7" i="72" s="1"/>
  <c r="H30" i="72"/>
  <c r="AK33" i="114"/>
  <c r="H48" i="72"/>
  <c r="AK51" i="114"/>
  <c r="Q41" i="72"/>
  <c r="AK44" i="127"/>
  <c r="AI47" i="80"/>
  <c r="AJ47" i="80" s="1"/>
  <c r="AK47" i="80"/>
  <c r="AF49" i="72"/>
  <c r="AG49" i="72" s="1"/>
  <c r="BJ49" i="72" s="1"/>
  <c r="Y45" i="72"/>
  <c r="AK48" i="148"/>
  <c r="S72" i="72"/>
  <c r="AK75" i="129"/>
  <c r="K60" i="72"/>
  <c r="AK63" i="117"/>
  <c r="AF18" i="72"/>
  <c r="AG18" i="72" s="1"/>
  <c r="BJ18" i="72" s="1"/>
  <c r="AF33" i="72"/>
  <c r="AG33" i="72" s="1"/>
  <c r="BJ33" i="72" s="1"/>
  <c r="AH48" i="125"/>
  <c r="AI48" i="125" s="1"/>
  <c r="AJ48" i="125"/>
  <c r="T45" i="72"/>
  <c r="AK48" i="131"/>
  <c r="AB7" i="126"/>
  <c r="AB7" i="114"/>
  <c r="AB7" i="120"/>
  <c r="AB7" i="131"/>
  <c r="AB7" i="115"/>
  <c r="S48" i="72"/>
  <c r="AK51" i="129"/>
  <c r="Q37" i="72"/>
  <c r="AK40" i="127"/>
  <c r="S55" i="72"/>
  <c r="AK58" i="129"/>
  <c r="Q17" i="72"/>
  <c r="AK20" i="127"/>
  <c r="AF43" i="72"/>
  <c r="AG43" i="72" s="1"/>
  <c r="BJ43" i="72" s="1"/>
  <c r="H59" i="166"/>
  <c r="G59" i="166"/>
  <c r="W11" i="72"/>
  <c r="AK14" i="146"/>
  <c r="H9" i="72"/>
  <c r="AK12" i="114"/>
  <c r="Z54" i="72"/>
  <c r="AK57" i="149"/>
  <c r="AF14" i="72"/>
  <c r="AG14" i="72" s="1"/>
  <c r="BJ14" i="72" s="1"/>
  <c r="N45" i="72"/>
  <c r="AK48" i="120"/>
  <c r="AH48" i="114"/>
  <c r="AI48" i="114" s="1"/>
  <c r="AJ48" i="114"/>
  <c r="AF56" i="72"/>
  <c r="AG56" i="72" s="1"/>
  <c r="BJ56" i="72" s="1"/>
  <c r="AF36" i="72"/>
  <c r="AG36" i="72" s="1"/>
  <c r="BJ36" i="72" s="1"/>
  <c r="AF58" i="72"/>
  <c r="AG58" i="72" s="1"/>
  <c r="BJ58" i="72" s="1"/>
  <c r="AF10" i="72"/>
  <c r="AG10" i="72" s="1"/>
  <c r="BJ10" i="72" s="1"/>
  <c r="AF51" i="72"/>
  <c r="AG51" i="72" s="1"/>
  <c r="BJ51" i="72" s="1"/>
  <c r="Y32" i="72"/>
  <c r="AK35" i="148"/>
  <c r="R60" i="72"/>
  <c r="AK63" i="128"/>
  <c r="S11" i="72"/>
  <c r="AK14" i="129"/>
  <c r="V9" i="72"/>
  <c r="AK12" i="145"/>
  <c r="AD40" i="72"/>
  <c r="AL42" i="76"/>
  <c r="AB5" i="72"/>
  <c r="AK8" i="152"/>
  <c r="J17" i="72"/>
  <c r="AK20" i="116"/>
  <c r="AF61" i="72"/>
  <c r="AG61" i="72" s="1"/>
  <c r="BJ61" i="72" s="1"/>
  <c r="AR14" i="46"/>
  <c r="AP15" i="46"/>
  <c r="AT14" i="46"/>
  <c r="AT15" i="46" s="1"/>
  <c r="R72" i="72"/>
  <c r="AK75" i="128"/>
  <c r="Q68" i="72"/>
  <c r="AK71" i="127"/>
  <c r="R68" i="72"/>
  <c r="AK71" i="128"/>
  <c r="S54" i="72"/>
  <c r="AK57" i="129"/>
  <c r="AB7" i="152"/>
  <c r="H44" i="72"/>
  <c r="AK47" i="114"/>
  <c r="G4" i="100"/>
  <c r="AC7" i="113"/>
  <c r="AB76" i="113"/>
  <c r="AB82" i="113" s="1"/>
  <c r="AF21" i="72"/>
  <c r="AG21" i="72" s="1"/>
  <c r="BJ21" i="72" s="1"/>
  <c r="AD48" i="72"/>
  <c r="AL50" i="76"/>
  <c r="K12" i="72"/>
  <c r="AK15" i="117"/>
  <c r="M40" i="72"/>
  <c r="AK43" i="119"/>
  <c r="AF25" i="72"/>
  <c r="AG25" i="72" s="1"/>
  <c r="BJ25" i="72" s="1"/>
  <c r="AF6" i="72"/>
  <c r="AG6" i="72" s="1"/>
  <c r="BJ6" i="72" s="1"/>
  <c r="V5" i="137"/>
  <c r="V15" i="137" s="1"/>
  <c r="V19" i="137" s="1"/>
  <c r="U15" i="137"/>
  <c r="U19" i="137" s="1"/>
  <c r="R11" i="72"/>
  <c r="AK14" i="128"/>
  <c r="J37" i="72"/>
  <c r="AK40" i="116"/>
  <c r="H69" i="72"/>
  <c r="AK72" i="114"/>
  <c r="AB11" i="72"/>
  <c r="AK14" i="152"/>
  <c r="U69" i="72"/>
  <c r="AK72" i="144"/>
  <c r="S17" i="72"/>
  <c r="AK20" i="129"/>
  <c r="AD30" i="72"/>
  <c r="AL32" i="76"/>
  <c r="Q30" i="72"/>
  <c r="AK33" i="127"/>
  <c r="Y72" i="72"/>
  <c r="AK75" i="148"/>
  <c r="Q11" i="72"/>
  <c r="AK14" i="127"/>
  <c r="K37" i="72"/>
  <c r="AK40" i="117"/>
  <c r="S37" i="72"/>
  <c r="AK40" i="129"/>
  <c r="K69" i="72"/>
  <c r="AK72" i="117"/>
  <c r="Q69" i="72"/>
  <c r="AK72" i="127"/>
  <c r="AA40" i="72"/>
  <c r="AK43" i="151"/>
  <c r="S40" i="72"/>
  <c r="AK43" i="129"/>
  <c r="K17" i="72"/>
  <c r="AK20" i="117"/>
  <c r="K41" i="72"/>
  <c r="AK44" i="117"/>
  <c r="X8" i="72"/>
  <c r="AK11" i="147"/>
  <c r="AE60" i="72"/>
  <c r="AL62" i="80"/>
  <c r="S44" i="72"/>
  <c r="AK47" i="129"/>
  <c r="R37" i="72"/>
  <c r="AK40" i="128"/>
  <c r="Q9" i="72"/>
  <c r="AK12" i="127"/>
  <c r="S69" i="72"/>
  <c r="AK72" i="129"/>
  <c r="Z5" i="72"/>
  <c r="AK8" i="149"/>
  <c r="AD54" i="72"/>
  <c r="AL56" i="76"/>
  <c r="Q54" i="72"/>
  <c r="AK57" i="127"/>
  <c r="Z41" i="72"/>
  <c r="AK44" i="149"/>
  <c r="T44" i="72"/>
  <c r="AK47" i="131"/>
  <c r="Q55" i="72"/>
  <c r="AK58" i="127"/>
  <c r="K40" i="72"/>
  <c r="AK43" i="117"/>
  <c r="Q40" i="72"/>
  <c r="AK43" i="127"/>
  <c r="H68" i="72"/>
  <c r="AK71" i="114"/>
  <c r="AF15" i="72"/>
  <c r="AG15" i="72" s="1"/>
  <c r="BJ15" i="72" s="1"/>
  <c r="AH48" i="128"/>
  <c r="AI48" i="128" s="1"/>
  <c r="AJ48" i="128"/>
  <c r="J5" i="72"/>
  <c r="AK8" i="116"/>
  <c r="Q32" i="72"/>
  <c r="AK35" i="127"/>
  <c r="AF22" i="72"/>
  <c r="AG22" i="72" s="1"/>
  <c r="BJ22" i="72" s="1"/>
  <c r="Q8" i="72"/>
  <c r="AK11" i="127"/>
  <c r="S30" i="72"/>
  <c r="AK33" i="129"/>
  <c r="U45" i="72"/>
  <c r="AK48" i="144"/>
  <c r="AC45" i="72"/>
  <c r="AK48" i="153"/>
  <c r="AB45" i="72"/>
  <c r="AK48" i="152"/>
  <c r="K44" i="72"/>
  <c r="AK47" i="117"/>
  <c r="AD44" i="72"/>
  <c r="AL46" i="76"/>
  <c r="AE11" i="72"/>
  <c r="AL13" i="80"/>
  <c r="H55" i="72"/>
  <c r="AK58" i="114"/>
  <c r="R55" i="72"/>
  <c r="AK58" i="128"/>
  <c r="K55" i="72"/>
  <c r="AK58" i="117"/>
  <c r="AB9" i="72"/>
  <c r="AK12" i="152"/>
  <c r="AB41" i="72"/>
  <c r="AK44" i="152"/>
  <c r="R4" i="100"/>
  <c r="R73" i="100" s="1"/>
  <c r="AC7" i="128"/>
  <c r="AB76" i="128"/>
  <c r="AB82" i="128" s="1"/>
  <c r="AD7" i="128"/>
  <c r="AB7" i="119"/>
  <c r="Q4" i="100"/>
  <c r="Q73" i="100" s="1"/>
  <c r="AC7" i="127"/>
  <c r="AB76" i="127"/>
  <c r="AB82" i="127" s="1"/>
  <c r="AF13" i="72"/>
  <c r="AG13" i="72" s="1"/>
  <c r="BJ13" i="72" s="1"/>
  <c r="K8" i="72"/>
  <c r="AK11" i="117"/>
  <c r="H54" i="72"/>
  <c r="AK57" i="114"/>
  <c r="L61" i="139"/>
  <c r="F65" i="139"/>
  <c r="H61" i="139"/>
  <c r="G61" i="139"/>
  <c r="AD8" i="72"/>
  <c r="AL10" i="76"/>
  <c r="M45" i="72"/>
  <c r="AK48" i="119"/>
  <c r="H40" i="72"/>
  <c r="AK43" i="114"/>
  <c r="M68" i="72"/>
  <c r="AK71" i="119"/>
  <c r="M32" i="72"/>
  <c r="AK35" i="119"/>
  <c r="J55" i="72"/>
  <c r="AK58" i="116"/>
  <c r="AD68" i="72"/>
  <c r="AL70" i="76"/>
  <c r="AD60" i="72"/>
  <c r="AL62" i="76"/>
  <c r="S9" i="72"/>
  <c r="AK12" i="129"/>
  <c r="K9" i="72"/>
  <c r="AK12" i="117"/>
  <c r="M5" i="72"/>
  <c r="AK8" i="119"/>
  <c r="AD32" i="72"/>
  <c r="AL34" i="76"/>
  <c r="Q72" i="72"/>
  <c r="AK75" i="127"/>
  <c r="R40" i="72"/>
  <c r="AK43" i="128"/>
  <c r="S41" i="72"/>
  <c r="AK44" i="129"/>
  <c r="S32" i="72"/>
  <c r="AK35" i="129"/>
  <c r="X45" i="72"/>
  <c r="AK48" i="147"/>
  <c r="P45" i="72"/>
  <c r="AK48" i="126"/>
  <c r="AH48" i="117"/>
  <c r="AI48" i="117" s="1"/>
  <c r="AJ48" i="117"/>
  <c r="L45" i="72"/>
  <c r="AK48" i="118"/>
  <c r="AF38" i="72"/>
  <c r="AG38" i="72" s="1"/>
  <c r="BJ38" i="72" s="1"/>
  <c r="AH48" i="129"/>
  <c r="AI48" i="129" s="1"/>
  <c r="AJ48" i="129"/>
  <c r="K54" i="72"/>
  <c r="AK57" i="117"/>
  <c r="R41" i="72"/>
  <c r="AK44" i="128"/>
  <c r="AB7" i="151"/>
  <c r="AB7" i="145"/>
  <c r="AA76" i="145"/>
  <c r="AA82" i="145" s="1"/>
  <c r="AB7" i="147"/>
  <c r="AR6" i="46"/>
  <c r="AT6" i="46"/>
  <c r="AT12" i="46" s="1"/>
  <c r="AT17" i="46" s="1"/>
  <c r="AP12" i="46"/>
  <c r="AP17" i="46" s="1"/>
  <c r="R30" i="72"/>
  <c r="AK33" i="128"/>
  <c r="K30" i="72"/>
  <c r="AK33" i="117"/>
  <c r="J72" i="72"/>
  <c r="AK75" i="116"/>
  <c r="J48" i="72"/>
  <c r="AK51" i="116"/>
  <c r="AA12" i="72"/>
  <c r="AK15" i="151"/>
  <c r="H11" i="72"/>
  <c r="AK14" i="114"/>
  <c r="T9" i="72"/>
  <c r="AK12" i="131"/>
  <c r="H5" i="72"/>
  <c r="AK8" i="114"/>
  <c r="AE5" i="72"/>
  <c r="AL7" i="80"/>
  <c r="AE30" i="72"/>
  <c r="AL32" i="80"/>
  <c r="AD72" i="72"/>
  <c r="AL74" i="76"/>
  <c r="H12" i="72"/>
  <c r="AK15" i="114"/>
  <c r="X40" i="72"/>
  <c r="AK43" i="147"/>
  <c r="Y5" i="72"/>
  <c r="AK8" i="148"/>
  <c r="H8" i="72"/>
  <c r="AK11" i="114"/>
  <c r="H72" i="72"/>
  <c r="AK75" i="114"/>
  <c r="AC44" i="72"/>
  <c r="AK47" i="153"/>
  <c r="O11" i="72"/>
  <c r="AK14" i="125"/>
  <c r="Y40" i="72"/>
  <c r="AK43" i="148"/>
  <c r="AA54" i="72"/>
  <c r="AK57" i="151"/>
  <c r="R32" i="72"/>
  <c r="AK35" i="128"/>
  <c r="R12" i="72"/>
  <c r="AK15" i="128"/>
  <c r="AD55" i="72"/>
  <c r="AL57" i="76"/>
  <c r="I9" i="72"/>
  <c r="AK12" i="115"/>
  <c r="W17" i="72"/>
  <c r="AK20" i="146"/>
  <c r="AF42" i="72"/>
  <c r="AG42" i="72" s="1"/>
  <c r="BJ42" i="72" s="1"/>
  <c r="AF29" i="72"/>
  <c r="AG29" i="72" s="1"/>
  <c r="BJ29" i="72" s="1"/>
  <c r="AF71" i="72"/>
  <c r="AG71" i="72" s="1"/>
  <c r="BJ71" i="72" s="1"/>
  <c r="Q60" i="72"/>
  <c r="AK63" i="127"/>
  <c r="Z44" i="72"/>
  <c r="AK47" i="149"/>
  <c r="Y11" i="72"/>
  <c r="AK14" i="148"/>
  <c r="AA55" i="72"/>
  <c r="AK58" i="151"/>
  <c r="T55" i="72"/>
  <c r="AK58" i="131"/>
  <c r="H17" i="72"/>
  <c r="AK20" i="114"/>
  <c r="J4" i="100"/>
  <c r="J73" i="100" s="1"/>
  <c r="AC7" i="116"/>
  <c r="AB76" i="116"/>
  <c r="AB82" i="116" s="1"/>
  <c r="AC6" i="80"/>
  <c r="AB7" i="118"/>
  <c r="K5" i="72"/>
  <c r="AK8" i="117"/>
  <c r="AC32" i="72"/>
  <c r="AK35" i="153"/>
  <c r="AD17" i="72"/>
  <c r="AL19" i="76"/>
  <c r="AF66" i="72"/>
  <c r="AG66" i="72" s="1"/>
  <c r="BJ66" i="72" s="1"/>
  <c r="M37" i="72"/>
  <c r="AK40" i="119"/>
  <c r="S5" i="72"/>
  <c r="AK8" i="129"/>
  <c r="Q5" i="72"/>
  <c r="AK8" i="127"/>
  <c r="AF72" i="72" l="1"/>
  <c r="AG72" i="72" s="1"/>
  <c r="BJ72" i="72" s="1"/>
  <c r="AF8" i="72"/>
  <c r="AG8" i="72" s="1"/>
  <c r="BJ8" i="72" s="1"/>
  <c r="AF68" i="72"/>
  <c r="AG68" i="72" s="1"/>
  <c r="BJ68" i="72" s="1"/>
  <c r="AF37" i="72"/>
  <c r="AG37" i="72" s="1"/>
  <c r="BJ37" i="72" s="1"/>
  <c r="AF60" i="72"/>
  <c r="AG60" i="72" s="1"/>
  <c r="BJ60" i="72" s="1"/>
  <c r="AF41" i="72"/>
  <c r="AG41" i="72" s="1"/>
  <c r="BJ41" i="72" s="1"/>
  <c r="AF32" i="72"/>
  <c r="AG32" i="72" s="1"/>
  <c r="BJ32" i="72" s="1"/>
  <c r="AD7" i="116"/>
  <c r="AN4" i="72"/>
  <c r="AN73" i="72" s="1"/>
  <c r="AC76" i="116"/>
  <c r="AC82" i="116" s="1"/>
  <c r="AS6" i="46"/>
  <c r="AR12" i="46"/>
  <c r="AC7" i="151"/>
  <c r="AA4" i="100"/>
  <c r="AA73" i="100" s="1"/>
  <c r="AB76" i="151"/>
  <c r="AB82" i="151" s="1"/>
  <c r="S45" i="72"/>
  <c r="AK48" i="129"/>
  <c r="L65" i="139"/>
  <c r="G65" i="139"/>
  <c r="H65" i="139"/>
  <c r="F69" i="139"/>
  <c r="AD7" i="127"/>
  <c r="AU4" i="72"/>
  <c r="AU73" i="72" s="1"/>
  <c r="AC76" i="127"/>
  <c r="AC82" i="127" s="1"/>
  <c r="M4" i="100"/>
  <c r="M73" i="100" s="1"/>
  <c r="AC7" i="119"/>
  <c r="AB76" i="119"/>
  <c r="AB82" i="119" s="1"/>
  <c r="AF55" i="72"/>
  <c r="AG55" i="72" s="1"/>
  <c r="BJ55" i="72" s="1"/>
  <c r="AF69" i="72"/>
  <c r="AG69" i="72" s="1"/>
  <c r="BJ69" i="72" s="1"/>
  <c r="G73" i="100"/>
  <c r="AF44" i="72"/>
  <c r="AG44" i="72" s="1"/>
  <c r="BJ44" i="72" s="1"/>
  <c r="AC7" i="152"/>
  <c r="AB4" i="100"/>
  <c r="AB73" i="100" s="1"/>
  <c r="AD7" i="152"/>
  <c r="AB76" i="152"/>
  <c r="AB82" i="152" s="1"/>
  <c r="AF9" i="72"/>
  <c r="AG9" i="72" s="1"/>
  <c r="BJ9" i="72" s="1"/>
  <c r="AC7" i="131"/>
  <c r="AB76" i="131"/>
  <c r="AB82" i="131" s="1"/>
  <c r="T4" i="100"/>
  <c r="T73" i="100" s="1"/>
  <c r="H4" i="100"/>
  <c r="H73" i="100" s="1"/>
  <c r="AC7" i="114"/>
  <c r="AB77" i="114"/>
  <c r="AB83" i="114" s="1"/>
  <c r="AE45" i="72"/>
  <c r="AL47" i="80"/>
  <c r="AF48" i="72"/>
  <c r="AG48" i="72" s="1"/>
  <c r="BJ48" i="72" s="1"/>
  <c r="AF30" i="72"/>
  <c r="AG30" i="72" s="1"/>
  <c r="BJ30" i="72" s="1"/>
  <c r="AD76" i="149"/>
  <c r="AD82" i="149" s="1"/>
  <c r="AF7" i="149"/>
  <c r="AD76" i="146"/>
  <c r="AD82" i="146" s="1"/>
  <c r="AF7" i="146"/>
  <c r="AD4" i="100"/>
  <c r="AD73" i="100" s="1"/>
  <c r="AC75" i="76"/>
  <c r="AC81" i="76" s="1"/>
  <c r="AD6" i="76"/>
  <c r="AO4" i="72"/>
  <c r="AO73" i="72" s="1"/>
  <c r="AC76" i="117"/>
  <c r="AC82" i="117" s="1"/>
  <c r="AF7" i="125"/>
  <c r="AD76" i="125"/>
  <c r="AD82" i="125" s="1"/>
  <c r="AS4" i="72"/>
  <c r="AS73" i="72" s="1"/>
  <c r="AC76" i="125"/>
  <c r="AC82" i="125" s="1"/>
  <c r="Q45" i="72"/>
  <c r="AK48" i="127"/>
  <c r="AD6" i="80"/>
  <c r="AE4" i="100"/>
  <c r="AE73" i="100" s="1"/>
  <c r="AC75" i="80"/>
  <c r="AC81" i="80" s="1"/>
  <c r="AE6" i="80"/>
  <c r="L4" i="100"/>
  <c r="L73" i="100" s="1"/>
  <c r="AB76" i="118"/>
  <c r="AB82" i="118" s="1"/>
  <c r="AC7" i="118"/>
  <c r="AD7" i="118"/>
  <c r="AF17" i="72"/>
  <c r="AG17" i="72" s="1"/>
  <c r="BJ17" i="72" s="1"/>
  <c r="AF5" i="72"/>
  <c r="AG5" i="72" s="1"/>
  <c r="BJ5" i="72" s="1"/>
  <c r="AF11" i="72"/>
  <c r="AG11" i="72" s="1"/>
  <c r="BJ11" i="72" s="1"/>
  <c r="AC7" i="147"/>
  <c r="AD7" i="147" s="1"/>
  <c r="X4" i="100"/>
  <c r="X73" i="100" s="1"/>
  <c r="AB76" i="147"/>
  <c r="AB82" i="147" s="1"/>
  <c r="AC7" i="145"/>
  <c r="AB76" i="145"/>
  <c r="AB82" i="145" s="1"/>
  <c r="AD7" i="145"/>
  <c r="V4" i="100"/>
  <c r="V73" i="100" s="1"/>
  <c r="K45" i="72"/>
  <c r="AK48" i="117"/>
  <c r="AF40" i="72"/>
  <c r="AG40" i="72" s="1"/>
  <c r="BJ40" i="72" s="1"/>
  <c r="AF54" i="72"/>
  <c r="AG54" i="72" s="1"/>
  <c r="BJ54" i="72" s="1"/>
  <c r="AF7" i="128"/>
  <c r="AD76" i="128"/>
  <c r="AD82" i="128" s="1"/>
  <c r="AV4" i="72"/>
  <c r="AV73" i="72" s="1"/>
  <c r="AC76" i="128"/>
  <c r="AC82" i="128" s="1"/>
  <c r="R45" i="72"/>
  <c r="AK48" i="128"/>
  <c r="AD7" i="113"/>
  <c r="AC76" i="113"/>
  <c r="AC82" i="113" s="1"/>
  <c r="AK4" i="72"/>
  <c r="AK73" i="72" s="1"/>
  <c r="AS14" i="46"/>
  <c r="AR15" i="46"/>
  <c r="H45" i="72"/>
  <c r="AK48" i="114"/>
  <c r="I4" i="100"/>
  <c r="I73" i="100" s="1"/>
  <c r="AC7" i="115"/>
  <c r="AB76" i="115"/>
  <c r="AB82" i="115" s="1"/>
  <c r="AD7" i="115"/>
  <c r="AC7" i="120"/>
  <c r="N4" i="100"/>
  <c r="N73" i="100" s="1"/>
  <c r="AB76" i="120"/>
  <c r="AB82" i="120" s="1"/>
  <c r="P4" i="100"/>
  <c r="P73" i="100" s="1"/>
  <c r="AC7" i="126"/>
  <c r="AB76" i="126"/>
  <c r="AB82" i="126" s="1"/>
  <c r="O45" i="72"/>
  <c r="AK48" i="125"/>
  <c r="BD4" i="72"/>
  <c r="BD73" i="72" s="1"/>
  <c r="AC76" i="149"/>
  <c r="AC82" i="149" s="1"/>
  <c r="AC7" i="153"/>
  <c r="AC4" i="100"/>
  <c r="AC73" i="100" s="1"/>
  <c r="AB76" i="153"/>
  <c r="AB82" i="153" s="1"/>
  <c r="BA4" i="72"/>
  <c r="BA73" i="72" s="1"/>
  <c r="AC76" i="146"/>
  <c r="AC82" i="146" s="1"/>
  <c r="AD76" i="144"/>
  <c r="AD82" i="144" s="1"/>
  <c r="AF7" i="144"/>
  <c r="AY4" i="72"/>
  <c r="AY73" i="72" s="1"/>
  <c r="AC76" i="144"/>
  <c r="AC82" i="144" s="1"/>
  <c r="AC7" i="148"/>
  <c r="Y4" i="100"/>
  <c r="Y73" i="100" s="1"/>
  <c r="AD7" i="148"/>
  <c r="AB76" i="148"/>
  <c r="AB82" i="148" s="1"/>
  <c r="AD7" i="129"/>
  <c r="AW4" i="72"/>
  <c r="AW73" i="72" s="1"/>
  <c r="AC76" i="129"/>
  <c r="AC82" i="129" s="1"/>
  <c r="AF7" i="117"/>
  <c r="AD76" i="117"/>
  <c r="AD82" i="117" s="1"/>
  <c r="AF7" i="147" l="1"/>
  <c r="AD76" i="147"/>
  <c r="AD82" i="147" s="1"/>
  <c r="AD76" i="148"/>
  <c r="AD82" i="148" s="1"/>
  <c r="AF7" i="148"/>
  <c r="BC4" i="72"/>
  <c r="BC73" i="72" s="1"/>
  <c r="AC76" i="148"/>
  <c r="AC82" i="148" s="1"/>
  <c r="BG4" i="72"/>
  <c r="BG73" i="72" s="1"/>
  <c r="AC76" i="153"/>
  <c r="AC82" i="153" s="1"/>
  <c r="AT4" i="72"/>
  <c r="AT73" i="72" s="1"/>
  <c r="AC76" i="126"/>
  <c r="AC82" i="126" s="1"/>
  <c r="AC76" i="120"/>
  <c r="AC82" i="120" s="1"/>
  <c r="AR4" i="72"/>
  <c r="AR73" i="72" s="1"/>
  <c r="AF45" i="72"/>
  <c r="AG45" i="72" s="1"/>
  <c r="BJ45" i="72" s="1"/>
  <c r="AS15" i="46"/>
  <c r="E12" i="72" s="1"/>
  <c r="AU14" i="46"/>
  <c r="AU15" i="46" s="1"/>
  <c r="AP4" i="72"/>
  <c r="AP73" i="72" s="1"/>
  <c r="AC76" i="118"/>
  <c r="AC82" i="118" s="1"/>
  <c r="AD75" i="80"/>
  <c r="AD81" i="80" s="1"/>
  <c r="BI4" i="72"/>
  <c r="BI73" i="72" s="1"/>
  <c r="AH7" i="125"/>
  <c r="AF76" i="125"/>
  <c r="AF82" i="125" s="1"/>
  <c r="AJ7" i="125"/>
  <c r="AJ76" i="125" s="1"/>
  <c r="AJ82" i="125" s="1"/>
  <c r="AF76" i="146"/>
  <c r="AF82" i="146" s="1"/>
  <c r="AH7" i="146"/>
  <c r="AJ7" i="146"/>
  <c r="AJ76" i="146" s="1"/>
  <c r="AJ82" i="146" s="1"/>
  <c r="AF76" i="149"/>
  <c r="AF82" i="149" s="1"/>
  <c r="AH7" i="149"/>
  <c r="AJ7" i="149"/>
  <c r="AJ76" i="149" s="1"/>
  <c r="AJ82" i="149" s="1"/>
  <c r="AD76" i="152"/>
  <c r="AD82" i="152" s="1"/>
  <c r="AF7" i="152"/>
  <c r="BF4" i="72"/>
  <c r="BF73" i="72" s="1"/>
  <c r="AC76" i="152"/>
  <c r="AC82" i="152" s="1"/>
  <c r="AG4" i="100"/>
  <c r="AG73" i="100" s="1"/>
  <c r="AF4" i="100"/>
  <c r="AF73" i="100" s="1"/>
  <c r="AD7" i="119"/>
  <c r="AQ4" i="72"/>
  <c r="AQ73" i="72" s="1"/>
  <c r="AC76" i="119"/>
  <c r="AC82" i="119" s="1"/>
  <c r="AF7" i="127"/>
  <c r="AD76" i="127"/>
  <c r="AD82" i="127" s="1"/>
  <c r="BE4" i="72"/>
  <c r="BE73" i="72" s="1"/>
  <c r="AC76" i="151"/>
  <c r="AC82" i="151" s="1"/>
  <c r="AS12" i="46"/>
  <c r="AU6" i="46"/>
  <c r="AU12" i="46" s="1"/>
  <c r="AU17" i="46" s="1"/>
  <c r="AF7" i="129"/>
  <c r="AD76" i="129"/>
  <c r="AD82" i="129" s="1"/>
  <c r="AF76" i="117"/>
  <c r="AF82" i="117" s="1"/>
  <c r="AH7" i="117"/>
  <c r="AJ7" i="117"/>
  <c r="AJ76" i="117" s="1"/>
  <c r="AJ82" i="117" s="1"/>
  <c r="AH7" i="144"/>
  <c r="AF76" i="144"/>
  <c r="AF82" i="144" s="1"/>
  <c r="AJ7" i="144"/>
  <c r="AJ76" i="144" s="1"/>
  <c r="AJ82" i="144" s="1"/>
  <c r="AD7" i="153"/>
  <c r="AD7" i="126"/>
  <c r="AD7" i="120"/>
  <c r="AF7" i="115"/>
  <c r="AD76" i="115"/>
  <c r="AD82" i="115" s="1"/>
  <c r="AM4" i="72"/>
  <c r="AM73" i="72" s="1"/>
  <c r="AC76" i="115"/>
  <c r="AC82" i="115" s="1"/>
  <c r="AF7" i="113"/>
  <c r="AD76" i="113"/>
  <c r="AD82" i="113" s="1"/>
  <c r="AF76" i="128"/>
  <c r="AF82" i="128" s="1"/>
  <c r="AH7" i="128"/>
  <c r="AJ7" i="128"/>
  <c r="AJ76" i="128" s="1"/>
  <c r="AJ82" i="128" s="1"/>
  <c r="AD76" i="145"/>
  <c r="AD82" i="145" s="1"/>
  <c r="AF7" i="145"/>
  <c r="AZ4" i="72"/>
  <c r="AZ73" i="72" s="1"/>
  <c r="AC76" i="145"/>
  <c r="AC82" i="145" s="1"/>
  <c r="BB4" i="72"/>
  <c r="BB73" i="72" s="1"/>
  <c r="AC76" i="147"/>
  <c r="AC82" i="147" s="1"/>
  <c r="AF7" i="118"/>
  <c r="AD76" i="118"/>
  <c r="AD82" i="118" s="1"/>
  <c r="AG6" i="80"/>
  <c r="AE75" i="80"/>
  <c r="AE81" i="80" s="1"/>
  <c r="AE6" i="76"/>
  <c r="BH4" i="72"/>
  <c r="BH73" i="72" s="1"/>
  <c r="AD75" i="76"/>
  <c r="AD81" i="76" s="1"/>
  <c r="AD7" i="114"/>
  <c r="AL4" i="72"/>
  <c r="AL73" i="72" s="1"/>
  <c r="AC77" i="114"/>
  <c r="AC83" i="114" s="1"/>
  <c r="AD7" i="131"/>
  <c r="AX4" i="72"/>
  <c r="AX73" i="72" s="1"/>
  <c r="AC76" i="131"/>
  <c r="AC82" i="131" s="1"/>
  <c r="G69" i="139"/>
  <c r="L69" i="139"/>
  <c r="H69" i="139"/>
  <c r="F71" i="139"/>
  <c r="AD7" i="151"/>
  <c r="AR17" i="46"/>
  <c r="AF7" i="116"/>
  <c r="AD76" i="116"/>
  <c r="AD82" i="116" s="1"/>
  <c r="AD76" i="151" l="1"/>
  <c r="AD82" i="151" s="1"/>
  <c r="AF7" i="151"/>
  <c r="G71" i="139"/>
  <c r="L71" i="139"/>
  <c r="AF7" i="131"/>
  <c r="AD76" i="131"/>
  <c r="AD82" i="131" s="1"/>
  <c r="AG6" i="76"/>
  <c r="AE75" i="76"/>
  <c r="AE81" i="76" s="1"/>
  <c r="AG75" i="80"/>
  <c r="AG81" i="80" s="1"/>
  <c r="AI6" i="80"/>
  <c r="AK6" i="80"/>
  <c r="AK75" i="80" s="1"/>
  <c r="AK81" i="80" s="1"/>
  <c r="AH7" i="118"/>
  <c r="AF76" i="118"/>
  <c r="AF82" i="118" s="1"/>
  <c r="AJ7" i="118"/>
  <c r="AJ76" i="118" s="1"/>
  <c r="AJ82" i="118" s="1"/>
  <c r="AI7" i="128"/>
  <c r="AH76" i="128"/>
  <c r="AH82" i="128" s="1"/>
  <c r="AF7" i="120"/>
  <c r="AD76" i="120"/>
  <c r="AD82" i="120" s="1"/>
  <c r="AD76" i="153"/>
  <c r="AD82" i="153" s="1"/>
  <c r="AF7" i="153"/>
  <c r="AH7" i="129"/>
  <c r="AF76" i="129"/>
  <c r="AF82" i="129" s="1"/>
  <c r="AJ7" i="129"/>
  <c r="AJ76" i="129" s="1"/>
  <c r="AJ82" i="129" s="1"/>
  <c r="E20" i="72"/>
  <c r="AF20" i="72" s="1"/>
  <c r="AG20" i="72" s="1"/>
  <c r="BJ20" i="72" s="1"/>
  <c r="AS17" i="46"/>
  <c r="AF76" i="127"/>
  <c r="AF82" i="127" s="1"/>
  <c r="AH7" i="127"/>
  <c r="AJ7" i="127"/>
  <c r="AJ76" i="127" s="1"/>
  <c r="AJ82" i="127" s="1"/>
  <c r="AF76" i="152"/>
  <c r="AF82" i="152" s="1"/>
  <c r="AH7" i="152"/>
  <c r="AJ7" i="152"/>
  <c r="AJ76" i="152" s="1"/>
  <c r="AJ82" i="152" s="1"/>
  <c r="AI7" i="146"/>
  <c r="AH76" i="146"/>
  <c r="AH82" i="146" s="1"/>
  <c r="AI7" i="125"/>
  <c r="AH76" i="125"/>
  <c r="AH82" i="125" s="1"/>
  <c r="AF12" i="72"/>
  <c r="AG12" i="72" s="1"/>
  <c r="BJ12" i="72" s="1"/>
  <c r="E73" i="72"/>
  <c r="AH7" i="148"/>
  <c r="AF76" i="148"/>
  <c r="AF82" i="148" s="1"/>
  <c r="AJ7" i="148"/>
  <c r="AJ76" i="148" s="1"/>
  <c r="AJ82" i="148" s="1"/>
  <c r="AF76" i="116"/>
  <c r="AF82" i="116" s="1"/>
  <c r="AH7" i="116"/>
  <c r="AJ7" i="116"/>
  <c r="AJ76" i="116" s="1"/>
  <c r="AJ82" i="116" s="1"/>
  <c r="AF7" i="114"/>
  <c r="AD77" i="114"/>
  <c r="AD83" i="114" s="1"/>
  <c r="AH7" i="145"/>
  <c r="AF76" i="145"/>
  <c r="AF82" i="145" s="1"/>
  <c r="AJ7" i="145"/>
  <c r="AJ76" i="145" s="1"/>
  <c r="AJ82" i="145" s="1"/>
  <c r="AF76" i="113"/>
  <c r="AF82" i="113" s="1"/>
  <c r="AH7" i="113"/>
  <c r="AJ7" i="113"/>
  <c r="AJ76" i="113" s="1"/>
  <c r="AJ82" i="113" s="1"/>
  <c r="AH7" i="115"/>
  <c r="AF76" i="115"/>
  <c r="AF82" i="115" s="1"/>
  <c r="AJ7" i="115"/>
  <c r="AJ76" i="115" s="1"/>
  <c r="AJ82" i="115" s="1"/>
  <c r="AF7" i="126"/>
  <c r="AD76" i="126"/>
  <c r="AD82" i="126" s="1"/>
  <c r="AI7" i="144"/>
  <c r="AH76" i="144"/>
  <c r="AH82" i="144" s="1"/>
  <c r="AI7" i="117"/>
  <c r="AH76" i="117"/>
  <c r="AH82" i="117" s="1"/>
  <c r="AF7" i="119"/>
  <c r="AD76" i="119"/>
  <c r="AD82" i="119" s="1"/>
  <c r="AI7" i="149"/>
  <c r="AH76" i="149"/>
  <c r="AH82" i="149" s="1"/>
  <c r="AF76" i="147"/>
  <c r="AF82" i="147" s="1"/>
  <c r="AH7" i="147"/>
  <c r="AJ7" i="147"/>
  <c r="AJ76" i="147" s="1"/>
  <c r="AJ82" i="147" s="1"/>
  <c r="AI7" i="147" l="1"/>
  <c r="AH76" i="147"/>
  <c r="AH82" i="147" s="1"/>
  <c r="AI7" i="115"/>
  <c r="AH76" i="115"/>
  <c r="AH82" i="115" s="1"/>
  <c r="AI7" i="113"/>
  <c r="AH76" i="113"/>
  <c r="AH82" i="113" s="1"/>
  <c r="AH76" i="145"/>
  <c r="AH82" i="145" s="1"/>
  <c r="AI7" i="145"/>
  <c r="AF77" i="114"/>
  <c r="AF83" i="114" s="1"/>
  <c r="AH7" i="114"/>
  <c r="AJ7" i="114"/>
  <c r="AJ77" i="114" s="1"/>
  <c r="AJ83" i="114" s="1"/>
  <c r="AI7" i="116"/>
  <c r="AH76" i="116"/>
  <c r="AH82" i="116" s="1"/>
  <c r="AI7" i="148"/>
  <c r="AH76" i="148"/>
  <c r="AH82" i="148" s="1"/>
  <c r="O4" i="72"/>
  <c r="O73" i="72" s="1"/>
  <c r="AI76" i="125"/>
  <c r="AI82" i="125" s="1"/>
  <c r="AK7" i="125"/>
  <c r="AK76" i="125" s="1"/>
  <c r="AK82" i="125" s="1"/>
  <c r="AI76" i="146"/>
  <c r="AI82" i="146" s="1"/>
  <c r="W4" i="72"/>
  <c r="W73" i="72" s="1"/>
  <c r="AK7" i="146"/>
  <c r="AK76" i="146" s="1"/>
  <c r="AK82" i="146" s="1"/>
  <c r="AH76" i="152"/>
  <c r="AH82" i="152" s="1"/>
  <c r="AI7" i="152"/>
  <c r="AF76" i="153"/>
  <c r="AF82" i="153" s="1"/>
  <c r="AH7" i="153"/>
  <c r="AJ7" i="153"/>
  <c r="AJ76" i="153" s="1"/>
  <c r="AJ82" i="153" s="1"/>
  <c r="AI7" i="118"/>
  <c r="AH76" i="118"/>
  <c r="AH82" i="118" s="1"/>
  <c r="AJ6" i="80"/>
  <c r="AI75" i="80"/>
  <c r="AI81" i="80" s="1"/>
  <c r="AH7" i="151"/>
  <c r="AF76" i="151"/>
  <c r="AF82" i="151" s="1"/>
  <c r="AJ7" i="151"/>
  <c r="AJ76" i="151" s="1"/>
  <c r="AJ82" i="151" s="1"/>
  <c r="AI76" i="149"/>
  <c r="AI82" i="149" s="1"/>
  <c r="Z4" i="72"/>
  <c r="Z73" i="72" s="1"/>
  <c r="AK7" i="149"/>
  <c r="AK76" i="149" s="1"/>
  <c r="AK82" i="149" s="1"/>
  <c r="AF76" i="119"/>
  <c r="AF82" i="119" s="1"/>
  <c r="AH7" i="119"/>
  <c r="AJ7" i="119"/>
  <c r="AJ76" i="119" s="1"/>
  <c r="AJ82" i="119" s="1"/>
  <c r="K4" i="72"/>
  <c r="K73" i="72" s="1"/>
  <c r="AI76" i="117"/>
  <c r="AI82" i="117" s="1"/>
  <c r="AK7" i="117"/>
  <c r="AK76" i="117" s="1"/>
  <c r="AK82" i="117" s="1"/>
  <c r="AI76" i="144"/>
  <c r="AI82" i="144" s="1"/>
  <c r="U4" i="72"/>
  <c r="U73" i="72" s="1"/>
  <c r="AK7" i="144"/>
  <c r="AK76" i="144" s="1"/>
  <c r="AK82" i="144" s="1"/>
  <c r="AH7" i="126"/>
  <c r="AF76" i="126"/>
  <c r="AF82" i="126" s="1"/>
  <c r="AJ7" i="126"/>
  <c r="AJ76" i="126" s="1"/>
  <c r="AJ82" i="126" s="1"/>
  <c r="AI7" i="127"/>
  <c r="AH76" i="127"/>
  <c r="AH82" i="127" s="1"/>
  <c r="AI7" i="129"/>
  <c r="AH76" i="129"/>
  <c r="AH82" i="129" s="1"/>
  <c r="AF76" i="120"/>
  <c r="AF82" i="120" s="1"/>
  <c r="AH7" i="120"/>
  <c r="AJ7" i="120"/>
  <c r="AJ76" i="120" s="1"/>
  <c r="AJ82" i="120" s="1"/>
  <c r="AI76" i="128"/>
  <c r="AI82" i="128" s="1"/>
  <c r="R4" i="72"/>
  <c r="R73" i="72" s="1"/>
  <c r="AK7" i="128"/>
  <c r="AK76" i="128" s="1"/>
  <c r="AK82" i="128" s="1"/>
  <c r="AG75" i="76"/>
  <c r="AG81" i="76" s="1"/>
  <c r="AI6" i="76"/>
  <c r="AK6" i="76"/>
  <c r="AK75" i="76" s="1"/>
  <c r="AK81" i="76" s="1"/>
  <c r="AH7" i="131"/>
  <c r="AF76" i="131"/>
  <c r="AF82" i="131" s="1"/>
  <c r="AJ7" i="131"/>
  <c r="AJ76" i="131" s="1"/>
  <c r="AJ82" i="131" s="1"/>
  <c r="AK7" i="129" l="1"/>
  <c r="AK76" i="129" s="1"/>
  <c r="AK82" i="129" s="1"/>
  <c r="AI76" i="129"/>
  <c r="AI82" i="129" s="1"/>
  <c r="S4" i="72"/>
  <c r="S73" i="72" s="1"/>
  <c r="Q4" i="72"/>
  <c r="Q73" i="72" s="1"/>
  <c r="AI76" i="127"/>
  <c r="AI82" i="127" s="1"/>
  <c r="AK7" i="127"/>
  <c r="AK76" i="127" s="1"/>
  <c r="AK82" i="127" s="1"/>
  <c r="AI7" i="126"/>
  <c r="AH76" i="126"/>
  <c r="AH82" i="126" s="1"/>
  <c r="AI7" i="119"/>
  <c r="AH76" i="119"/>
  <c r="AH82" i="119" s="1"/>
  <c r="AI76" i="148"/>
  <c r="AI82" i="148" s="1"/>
  <c r="Y4" i="72"/>
  <c r="Y73" i="72" s="1"/>
  <c r="AK7" i="148"/>
  <c r="AK76" i="148" s="1"/>
  <c r="AK82" i="148" s="1"/>
  <c r="AI76" i="116"/>
  <c r="AI82" i="116" s="1"/>
  <c r="J4" i="72"/>
  <c r="J73" i="72" s="1"/>
  <c r="AK7" i="116"/>
  <c r="AK76" i="116" s="1"/>
  <c r="AK82" i="116" s="1"/>
  <c r="AI7" i="114"/>
  <c r="AH77" i="114"/>
  <c r="AH83" i="114" s="1"/>
  <c r="AI76" i="145"/>
  <c r="AI82" i="145" s="1"/>
  <c r="V4" i="72"/>
  <c r="V73" i="72" s="1"/>
  <c r="AK7" i="145"/>
  <c r="AK76" i="145" s="1"/>
  <c r="AK82" i="145" s="1"/>
  <c r="AI7" i="131"/>
  <c r="AH76" i="131"/>
  <c r="AH82" i="131" s="1"/>
  <c r="AJ6" i="76"/>
  <c r="AI75" i="76"/>
  <c r="AI81" i="76" s="1"/>
  <c r="AI7" i="120"/>
  <c r="AH76" i="120"/>
  <c r="AH82" i="120" s="1"/>
  <c r="AI7" i="151"/>
  <c r="AH76" i="151"/>
  <c r="AH82" i="151" s="1"/>
  <c r="AE4" i="72"/>
  <c r="AE73" i="72" s="1"/>
  <c r="AJ75" i="80"/>
  <c r="AJ81" i="80" s="1"/>
  <c r="AL6" i="80"/>
  <c r="AL75" i="80" s="1"/>
  <c r="AL81" i="80" s="1"/>
  <c r="L4" i="72"/>
  <c r="L73" i="72" s="1"/>
  <c r="AI76" i="118"/>
  <c r="AI82" i="118" s="1"/>
  <c r="AK7" i="118"/>
  <c r="AK76" i="118" s="1"/>
  <c r="AK82" i="118" s="1"/>
  <c r="AI7" i="153"/>
  <c r="AH76" i="153"/>
  <c r="AH82" i="153" s="1"/>
  <c r="AI76" i="152"/>
  <c r="AI82" i="152" s="1"/>
  <c r="AB4" i="72"/>
  <c r="AB73" i="72" s="1"/>
  <c r="AK7" i="152"/>
  <c r="AK76" i="152" s="1"/>
  <c r="AK82" i="152" s="1"/>
  <c r="AI76" i="113"/>
  <c r="AI82" i="113" s="1"/>
  <c r="G4" i="72"/>
  <c r="AK7" i="113"/>
  <c r="AK76" i="113" s="1"/>
  <c r="AK82" i="113" s="1"/>
  <c r="I4" i="72"/>
  <c r="I73" i="72" s="1"/>
  <c r="AI76" i="115"/>
  <c r="AI82" i="115" s="1"/>
  <c r="AK7" i="115"/>
  <c r="AK76" i="115" s="1"/>
  <c r="AK82" i="115" s="1"/>
  <c r="AI76" i="147"/>
  <c r="AI82" i="147" s="1"/>
  <c r="X4" i="72"/>
  <c r="X73" i="72" s="1"/>
  <c r="AK7" i="147"/>
  <c r="AK76" i="147" s="1"/>
  <c r="AK82" i="147" s="1"/>
  <c r="G73" i="72" l="1"/>
  <c r="AI76" i="153"/>
  <c r="AI82" i="153" s="1"/>
  <c r="AC4" i="72"/>
  <c r="AC73" i="72" s="1"/>
  <c r="AK7" i="153"/>
  <c r="AK76" i="153" s="1"/>
  <c r="AK82" i="153" s="1"/>
  <c r="AI76" i="151"/>
  <c r="AI82" i="151" s="1"/>
  <c r="AA4" i="72"/>
  <c r="AA73" i="72" s="1"/>
  <c r="AK7" i="151"/>
  <c r="AK76" i="151" s="1"/>
  <c r="AK82" i="151" s="1"/>
  <c r="N4" i="72"/>
  <c r="N73" i="72" s="1"/>
  <c r="AI76" i="120"/>
  <c r="AI82" i="120" s="1"/>
  <c r="AK7" i="120"/>
  <c r="AK76" i="120" s="1"/>
  <c r="AK82" i="120" s="1"/>
  <c r="AD4" i="72"/>
  <c r="AD73" i="72" s="1"/>
  <c r="AJ75" i="76"/>
  <c r="AJ81" i="76" s="1"/>
  <c r="AL6" i="76"/>
  <c r="AL75" i="76" s="1"/>
  <c r="AL81" i="76" s="1"/>
  <c r="T4" i="72"/>
  <c r="T73" i="72" s="1"/>
  <c r="AI76" i="131"/>
  <c r="AI82" i="131" s="1"/>
  <c r="AK7" i="131"/>
  <c r="AK76" i="131" s="1"/>
  <c r="AK82" i="131" s="1"/>
  <c r="AI77" i="114"/>
  <c r="AI83" i="114" s="1"/>
  <c r="H4" i="72"/>
  <c r="H73" i="72" s="1"/>
  <c r="AK7" i="114"/>
  <c r="AK77" i="114" s="1"/>
  <c r="AK83" i="114" s="1"/>
  <c r="AI76" i="119"/>
  <c r="AI82" i="119" s="1"/>
  <c r="M4" i="72"/>
  <c r="M73" i="72" s="1"/>
  <c r="AK7" i="119"/>
  <c r="AK76" i="119" s="1"/>
  <c r="AK82" i="119" s="1"/>
  <c r="AI76" i="126"/>
  <c r="AI82" i="126" s="1"/>
  <c r="P4" i="72"/>
  <c r="P73" i="72" s="1"/>
  <c r="AK7" i="126"/>
  <c r="AK76" i="126" s="1"/>
  <c r="AK82" i="126" s="1"/>
  <c r="AF4" i="72" l="1"/>
  <c r="AG4" i="72" l="1"/>
  <c r="AF73" i="72"/>
  <c r="BJ4" i="72" l="1"/>
  <c r="BJ73" i="72" s="1"/>
  <c r="AG73" i="72"/>
</calcChain>
</file>

<file path=xl/sharedStrings.xml><?xml version="1.0" encoding="utf-8"?>
<sst xmlns="http://schemas.openxmlformats.org/spreadsheetml/2006/main" count="5421" uniqueCount="1309">
  <si>
    <t>FY2006/07
Hold 
Harmless 
Amount</t>
  </si>
  <si>
    <t>School 
System</t>
  </si>
  <si>
    <t>AD VALOREM 
CONSTITUTIONAL TAX</t>
  </si>
  <si>
    <t>COMBINED 
SALES 
PERCENT</t>
  </si>
  <si>
    <t>SALES
REVENUE 
(NON-DEBT)</t>
  </si>
  <si>
    <t>SALES 
REVENUE 
(DEBT)</t>
  </si>
  <si>
    <t>PARISH 
MILL 
RATE</t>
  </si>
  <si>
    <t>DIST 
MILL 
LOW</t>
  </si>
  <si>
    <t>DIST 
MILL 
HIGH</t>
  </si>
  <si>
    <t># 
OF 
DISTS.</t>
  </si>
  <si>
    <t>DIST 
REVENUE 
AMOUNT</t>
  </si>
  <si>
    <t>PARISH 
REVENUE 
AMOUNT</t>
  </si>
  <si>
    <t>TOTAL AVG. 
MILL RATE 
(NON DEBT)</t>
  </si>
  <si>
    <t>TOTAL AVG.
MILL RATE 
(DEBT)</t>
  </si>
  <si>
    <t>REVENUE
DISTRICT 
INCL. DEBT</t>
  </si>
  <si>
    <t>REVENUE
PARISHWIDE
INCL. DEBT</t>
  </si>
  <si>
    <t>PARISHWIDE  
MILLAGE 
INCL. DEBT</t>
  </si>
  <si>
    <t>TOTAL AVG.
MILL RATE 
INCLUDING
DEBT</t>
  </si>
  <si>
    <t>DEBT 
RATE</t>
  </si>
  <si>
    <t>% 
Change</t>
  </si>
  <si>
    <t>col. 34+col.30+col. 26</t>
  </si>
  <si>
    <t>col. 5 + col. 7 + col. 11</t>
  </si>
  <si>
    <t>col. 14 + col. 18</t>
  </si>
  <si>
    <t>La. Tax Commission Tables 41 &amp; 43</t>
  </si>
  <si>
    <t>(col. 26/ col. 3)*1000</t>
  </si>
  <si>
    <t>col. 30/ col 27</t>
  </si>
  <si>
    <t>col. 28/ col. 31</t>
  </si>
  <si>
    <t>col. 29/ col. 31</t>
  </si>
  <si>
    <t>City of Baker</t>
  </si>
  <si>
    <t>Foreign Language Associates</t>
  </si>
  <si>
    <t>Zachary Community</t>
  </si>
  <si>
    <t>col. 4 + col. 6 + col 13</t>
  </si>
  <si>
    <t>col. 5 + col. 7 + col 14</t>
  </si>
  <si>
    <t>col. 11 + col. 18</t>
  </si>
  <si>
    <t>(col. 19/ col. 3)*1000</t>
  </si>
  <si>
    <t>(col. 12/ col. 3)*1000</t>
  </si>
  <si>
    <t>SUMMARY OF AD VALOREM TAXES</t>
  </si>
  <si>
    <t>AFR-kpc 62220 col. 3</t>
  </si>
  <si>
    <t>AFR-kpc 62220 col. 4</t>
  </si>
  <si>
    <t>AFR-kpc 62320 col. 3</t>
  </si>
  <si>
    <t>AFR-kpc 62320 col. 4</t>
  </si>
  <si>
    <t>AFR-kpc 62320 col. 5</t>
  </si>
  <si>
    <t>AFR-kpc 62320 col. 6</t>
  </si>
  <si>
    <t>AFR-kpc 62320 col. 7</t>
  </si>
  <si>
    <t>AFR-kpc 62320 col. 8</t>
  </si>
  <si>
    <t>AFR-kpc 62620 col. 3</t>
  </si>
  <si>
    <t>AFR-kpc 62620 col. 4</t>
  </si>
  <si>
    <t>AFR-kpc 62620 col. 5</t>
  </si>
  <si>
    <t>AFR-kpc 62620 col. 6</t>
  </si>
  <si>
    <t>AFR-kpc 62620 col. 7</t>
  </si>
  <si>
    <t>AFR-kpc 62620 col. 8</t>
  </si>
  <si>
    <t>AD VALOREM RENEWABLE TAXES</t>
  </si>
  <si>
    <t>DEBT SERVICE TAXES</t>
  </si>
  <si>
    <t>TOTAL AD VALOREM TAXES         (DEBT)</t>
  </si>
  <si>
    <t>PARISH REVENUE AMOUNT</t>
  </si>
  <si>
    <t>DIST. MILL LOW</t>
  </si>
  <si>
    <t>DIST. MILL HIGH</t>
  </si>
  <si>
    <t># OF DISTS.</t>
  </si>
  <si>
    <t>K.</t>
  </si>
  <si>
    <t>Foreign Associate Teacher Stipends</t>
  </si>
  <si>
    <t>See 
Table 2</t>
  </si>
  <si>
    <t>col.13 x Tbl 3, col.1 (Oct 1 membership)</t>
  </si>
  <si>
    <t>If col 14 &gt;col. 15 then col. 15, otherwise col. 14</t>
  </si>
  <si>
    <t>AFR-kpc 63320 col.3</t>
  </si>
  <si>
    <t>AFR kpc 63320 col.4</t>
  </si>
  <si>
    <t>SUMMARY OF SALES TAXES</t>
  </si>
  <si>
    <t>Per HCR 235</t>
  </si>
  <si>
    <t>AFR kpcs (50% of 1210, 1220) 8231, 8232, 8233, 8234, 8240, 14200, 14300, 14400</t>
  </si>
  <si>
    <t>Col.35 / Tab.3 col.1</t>
  </si>
  <si>
    <t>Recovery School District Funding</t>
  </si>
  <si>
    <t>RSD Chartered</t>
  </si>
  <si>
    <t>Total RSD Chartered</t>
  </si>
  <si>
    <t xml:space="preserve">Percent 
State </t>
  </si>
  <si>
    <t>O.</t>
  </si>
  <si>
    <t>Adjustments</t>
  </si>
  <si>
    <t>P.</t>
  </si>
  <si>
    <t>See Table 2</t>
  </si>
  <si>
    <t xml:space="preserve">COMPUTED SALES
TAX BASE with GROWTH CAP OF </t>
  </si>
  <si>
    <t>STATE TOTAL</t>
  </si>
  <si>
    <t>COMPUTED SALES TAX BASE</t>
  </si>
  <si>
    <t>NON-DEBT RATE</t>
  </si>
  <si>
    <t>Acadia</t>
  </si>
  <si>
    <t>Allen</t>
  </si>
  <si>
    <t>Ascension</t>
  </si>
  <si>
    <t>Assumption</t>
  </si>
  <si>
    <t>Avoyelles</t>
  </si>
  <si>
    <t>Beauregard</t>
  </si>
  <si>
    <t>Bienville</t>
  </si>
  <si>
    <t>Bossier</t>
  </si>
  <si>
    <t>Caddo</t>
  </si>
  <si>
    <t>Calcasieu</t>
  </si>
  <si>
    <t>Caldwell</t>
  </si>
  <si>
    <t>Cameron</t>
  </si>
  <si>
    <t>Catahoula</t>
  </si>
  <si>
    <t>Claiborne</t>
  </si>
  <si>
    <t>Concordia</t>
  </si>
  <si>
    <t>DeSoto</t>
  </si>
  <si>
    <t>East Baton Rouge</t>
  </si>
  <si>
    <t>East Carroll</t>
  </si>
  <si>
    <t>East Feliciana</t>
  </si>
  <si>
    <t>Evangeline</t>
  </si>
  <si>
    <t>Franklin</t>
  </si>
  <si>
    <t>Grant</t>
  </si>
  <si>
    <t>Iberia</t>
  </si>
  <si>
    <t>Iberville</t>
  </si>
  <si>
    <t>Jackson</t>
  </si>
  <si>
    <t>Jefferson</t>
  </si>
  <si>
    <t>Jefferson Davis</t>
  </si>
  <si>
    <t>Lafayette</t>
  </si>
  <si>
    <t>Lafourche</t>
  </si>
  <si>
    <t>LaSalle</t>
  </si>
  <si>
    <t>Lincoln</t>
  </si>
  <si>
    <t>Livingston</t>
  </si>
  <si>
    <t>Madison</t>
  </si>
  <si>
    <t>Morehouse</t>
  </si>
  <si>
    <t>Natchitoches</t>
  </si>
  <si>
    <t>Orleans</t>
  </si>
  <si>
    <t>Ouachita</t>
  </si>
  <si>
    <t>Plaquemines</t>
  </si>
  <si>
    <t>Pointe Coupee</t>
  </si>
  <si>
    <t>Rapides</t>
  </si>
  <si>
    <t>Red River</t>
  </si>
  <si>
    <t>Richland</t>
  </si>
  <si>
    <t>Sabine</t>
  </si>
  <si>
    <t>St. Bernard</t>
  </si>
  <si>
    <t>St. Charles</t>
  </si>
  <si>
    <t>St. Helena</t>
  </si>
  <si>
    <t>St. James</t>
  </si>
  <si>
    <t>St. Landry</t>
  </si>
  <si>
    <t>St. Martin</t>
  </si>
  <si>
    <t>St. Mary</t>
  </si>
  <si>
    <t>St. Tammany</t>
  </si>
  <si>
    <t>Tangipahoa</t>
  </si>
  <si>
    <t>Tensas</t>
  </si>
  <si>
    <t>Terrebonne</t>
  </si>
  <si>
    <t>Union</t>
  </si>
  <si>
    <t>Vermilion</t>
  </si>
  <si>
    <t>Vernon</t>
  </si>
  <si>
    <t>Washington</t>
  </si>
  <si>
    <t>Webster</t>
  </si>
  <si>
    <t>West Baton Rouge</t>
  </si>
  <si>
    <t>West Carroll</t>
  </si>
  <si>
    <t>West Feliciana</t>
  </si>
  <si>
    <t>Winn</t>
  </si>
  <si>
    <t>City of Monroe</t>
  </si>
  <si>
    <t>City of Bogalusa</t>
  </si>
  <si>
    <t>STATE TOTALS</t>
  </si>
  <si>
    <t>Level 1 Base Per Pupil Amount</t>
  </si>
  <si>
    <t>1.</t>
  </si>
  <si>
    <t>2.</t>
  </si>
  <si>
    <t>3.</t>
  </si>
  <si>
    <t>4.</t>
  </si>
  <si>
    <t>5.</t>
  </si>
  <si>
    <t>6.</t>
  </si>
  <si>
    <t>Total Level 1 State and Local Costs (A X B)</t>
  </si>
  <si>
    <t>Level 2 Eligible Local Revenue</t>
  </si>
  <si>
    <t>A.</t>
  </si>
  <si>
    <t>B.</t>
  </si>
  <si>
    <t>C.</t>
  </si>
  <si>
    <t>D.</t>
  </si>
  <si>
    <t>E.</t>
  </si>
  <si>
    <t>G.</t>
  </si>
  <si>
    <t>M.</t>
  </si>
  <si>
    <t xml:space="preserve">TOTAL </t>
  </si>
  <si>
    <t>MFP Formula Items</t>
  </si>
  <si>
    <t xml:space="preserve">Economy-of-Scale Weight Factor </t>
  </si>
  <si>
    <t>Total Local Revenues in MFP</t>
  </si>
  <si>
    <t>Average Equivalent Millage Rate</t>
  </si>
  <si>
    <t>Average Equivalent Sales Tax Rate</t>
  </si>
  <si>
    <t>Property Tax Revenue</t>
  </si>
  <si>
    <t>Sales Tax Revenue</t>
  </si>
  <si>
    <t>7.</t>
  </si>
  <si>
    <t>Other Revenues Considered</t>
  </si>
  <si>
    <t>LEA</t>
  </si>
  <si>
    <t>AFR kpc 63320 col. 5</t>
  </si>
  <si>
    <t>School</t>
  </si>
  <si>
    <t>Mandated Cost Adjustment ($100)</t>
  </si>
  <si>
    <t>Rank</t>
  </si>
  <si>
    <t>St. John the Baptist</t>
  </si>
  <si>
    <t>MFP Simulation Summary (6-11-07)</t>
  </si>
  <si>
    <t>F.</t>
  </si>
  <si>
    <t>R.S. 17:350.21 Lab School Funding</t>
  </si>
  <si>
    <t xml:space="preserve">
COMPUTED SALES 
TAX BASE
 PERCENT CHANGE</t>
  </si>
  <si>
    <t>Central Community</t>
  </si>
  <si>
    <t>% Change</t>
  </si>
  <si>
    <t xml:space="preserve">TOTAL
LEVEL 1
COSTS </t>
  </si>
  <si>
    <t>3a</t>
  </si>
  <si>
    <t>3b</t>
  </si>
  <si>
    <t>3c</t>
  </si>
  <si>
    <t>Hold Harmless (Total)</t>
  </si>
  <si>
    <t>TOTAL AD VALOREM TAXES
(NON DEBT)</t>
  </si>
  <si>
    <t xml:space="preserve">Rank
</t>
  </si>
  <si>
    <t>Local Revenue as Percent of Total State and Local</t>
  </si>
  <si>
    <t>Per Pupil based on February 1 Membership</t>
  </si>
  <si>
    <t>Remaining
Hold 
Harmless
(FY2007/08)</t>
  </si>
  <si>
    <t>Total Net Assessed Property (capped at 10%)</t>
  </si>
  <si>
    <t>Total Est. Sales Tax Base (capped at 15%)</t>
  </si>
  <si>
    <t xml:space="preserve">Level 2 State Support </t>
  </si>
  <si>
    <t xml:space="preserve">Total 
Weighted
Membership
and/or Units </t>
  </si>
  <si>
    <t>DIST. 
REVENUE 
AMOUNT</t>
  </si>
  <si>
    <t>Total Revenue 
(for Use in MFP Level 1 and 2)</t>
  </si>
  <si>
    <r>
      <t>LSU</t>
    </r>
    <r>
      <rPr>
        <sz val="10"/>
        <rFont val="Arial"/>
        <family val="2"/>
      </rPr>
      <t xml:space="preserve">
Lab. School</t>
    </r>
  </si>
  <si>
    <r>
      <t>Southern Univ.</t>
    </r>
    <r>
      <rPr>
        <sz val="10"/>
        <rFont val="Arial"/>
        <family val="2"/>
      </rPr>
      <t xml:space="preserve">
Lab. School</t>
    </r>
  </si>
  <si>
    <t>School
System</t>
  </si>
  <si>
    <t>Adjustments Due to Student, 
CAFR/AFR and PEP Audits</t>
  </si>
  <si>
    <t>Due 
District
(+)</t>
  </si>
  <si>
    <t>Due 
State
(-)</t>
  </si>
  <si>
    <t>Per Pupil 
Amount</t>
  </si>
  <si>
    <t xml:space="preserve">Actual 
Sales and Property
Tax Revenues
(Including Debt) 
Plus Other Revenue </t>
  </si>
  <si>
    <t xml:space="preserve">Local Revenue
Over
Level 1 </t>
  </si>
  <si>
    <t>Per Pupil
Amount</t>
  </si>
  <si>
    <t>Plus/(Minus) Prior Year Adjustments - LSU/SU Lab Schools</t>
  </si>
  <si>
    <t>Total Type 5 Charters 
East Baton Rouge Parish</t>
  </si>
  <si>
    <t>Total Type 5 Charters 
Caddo Parish</t>
  </si>
  <si>
    <t>Total RSD LA</t>
  </si>
  <si>
    <t xml:space="preserve">     Prior Year Pay Raise/Insurance Supplements</t>
  </si>
  <si>
    <t xml:space="preserve">     Remaining Hold Harmless</t>
  </si>
  <si>
    <t xml:space="preserve">     Redistribution of Hold Harmless Phase-out</t>
  </si>
  <si>
    <t>Q.</t>
  </si>
  <si>
    <t>Total OPSB + RSD + DOE</t>
  </si>
  <si>
    <t>Plus/(Minus) Prior Year Adjustments - RSD</t>
  </si>
  <si>
    <t>Mid-Year - Normal Student Growth</t>
  </si>
  <si>
    <t>R.</t>
  </si>
  <si>
    <t>001</t>
  </si>
  <si>
    <t>003</t>
  </si>
  <si>
    <t>004</t>
  </si>
  <si>
    <t>006</t>
  </si>
  <si>
    <t>007</t>
  </si>
  <si>
    <t>008</t>
  </si>
  <si>
    <t>009</t>
  </si>
  <si>
    <t>010</t>
  </si>
  <si>
    <t>011</t>
  </si>
  <si>
    <t>017</t>
  </si>
  <si>
    <t>019</t>
  </si>
  <si>
    <t>021</t>
  </si>
  <si>
    <t>022</t>
  </si>
  <si>
    <t>023</t>
  </si>
  <si>
    <t>024</t>
  </si>
  <si>
    <t>025</t>
  </si>
  <si>
    <t>026</t>
  </si>
  <si>
    <t>028</t>
  </si>
  <si>
    <t>029</t>
  </si>
  <si>
    <t>031</t>
  </si>
  <si>
    <t>032</t>
  </si>
  <si>
    <t>034</t>
  </si>
  <si>
    <t>035</t>
  </si>
  <si>
    <t>036</t>
  </si>
  <si>
    <t>037</t>
  </si>
  <si>
    <t>038</t>
  </si>
  <si>
    <t>039</t>
  </si>
  <si>
    <t>040</t>
  </si>
  <si>
    <t>042</t>
  </si>
  <si>
    <t>044</t>
  </si>
  <si>
    <t>045</t>
  </si>
  <si>
    <t>046</t>
  </si>
  <si>
    <t>047</t>
  </si>
  <si>
    <t>048</t>
  </si>
  <si>
    <t>049</t>
  </si>
  <si>
    <t>050</t>
  </si>
  <si>
    <t>051</t>
  </si>
  <si>
    <t>052</t>
  </si>
  <si>
    <t>053</t>
  </si>
  <si>
    <t>055</t>
  </si>
  <si>
    <t>056</t>
  </si>
  <si>
    <t>057</t>
  </si>
  <si>
    <t>059</t>
  </si>
  <si>
    <t>061</t>
  </si>
  <si>
    <t>065</t>
  </si>
  <si>
    <t>066</t>
  </si>
  <si>
    <t>068</t>
  </si>
  <si>
    <r>
      <t xml:space="preserve">Pelican Foundation
</t>
    </r>
    <r>
      <rPr>
        <sz val="11"/>
        <rFont val="Arial"/>
        <family val="2"/>
      </rPr>
      <t>(Kenilworth Middle)</t>
    </r>
  </si>
  <si>
    <t>L.</t>
  </si>
  <si>
    <t>Office of Juvenile Justice</t>
  </si>
  <si>
    <t>Per Pupil Amount
Adjusted for
 Year-Round
School</t>
  </si>
  <si>
    <t>Per Pupil Amount
Adjusted for
 Year-Round
School and 
50% Special Ed</t>
  </si>
  <si>
    <t>MFP 
Budget Ltr</t>
  </si>
  <si>
    <t>col 2 X 1.3164</t>
  </si>
  <si>
    <t>col 3 + $1,470</t>
  </si>
  <si>
    <t>col 1 X col 4</t>
  </si>
  <si>
    <t>MFP
Budget Ltr</t>
  </si>
  <si>
    <t>(=56/177))</t>
  </si>
  <si>
    <t>Special Ed Students on 2/1/09 (state)</t>
  </si>
  <si>
    <t>base students 2/1/09 (state)</t>
  </si>
  <si>
    <t>percentage special ed students to base students (state average)</t>
  </si>
  <si>
    <t>total weighted students 2/1/09</t>
  </si>
  <si>
    <t>percentage special ed add on students to total weighted students</t>
  </si>
  <si>
    <t>total Level 1 and Level 2 state dollars</t>
  </si>
  <si>
    <t>Total L1 &amp; L2 dollars time 14.1%</t>
  </si>
  <si>
    <t>For 14% to increase to 50%, that is a 3572% increase</t>
  </si>
  <si>
    <t>base students on 2/1/09</t>
  </si>
  <si>
    <t>per pupil amount of special ed funding</t>
  </si>
  <si>
    <t>minus per pupil amount of original special ed funding ($375,552,036/650,290)</t>
  </si>
  <si>
    <t>Per pupil amount to increase funding for OJJ per pupil amounts</t>
  </si>
  <si>
    <t xml:space="preserve">Increase 
Cost 
Adjustment </t>
  </si>
  <si>
    <t>Continuation 
of
Prior Year
Pay Raises</t>
  </si>
  <si>
    <t>Mandated Cost 
Adjustment</t>
  </si>
  <si>
    <t>Continuation 
of 
Prior Year
Pay 
Raises</t>
  </si>
  <si>
    <t>Prior Year Pay Raises (FY01-02 through FY08-09)</t>
  </si>
  <si>
    <t xml:space="preserve">
Continuation
of
Prior Year 
Pay Raises
(FY2001-02 
through
FY2008-09)
Per Pupil
Amount</t>
  </si>
  <si>
    <t>Continuation
of Prior Year 
Pay Raises
(FY2001-02 
through
FY2008-09)
Per Pupil
Amount</t>
  </si>
  <si>
    <t>Continuation
of
Prior Year 
Pay Raises
(FY2001-02 
through
FY2008-09)
Per Pupil
Amount</t>
  </si>
  <si>
    <t>State Funds 
(with Continuation of Prior Year Pay Raises)
as Percent 
of Total State
and Local</t>
  </si>
  <si>
    <t>Without Continuation of Prior Year Pay Raises</t>
  </si>
  <si>
    <t>With Continuation of Prior Year Pay Raises</t>
  </si>
  <si>
    <t>Total Students Funded through the MFP</t>
  </si>
  <si>
    <t xml:space="preserve">     LSU and Southern Lab Schools</t>
  </si>
  <si>
    <t xml:space="preserve">     Office of Juvenile Justice</t>
  </si>
  <si>
    <t>Plus/(Minus) Prior Year Adjustments - City/Parish Schools</t>
  </si>
  <si>
    <t xml:space="preserve">LSU Lab. School </t>
  </si>
  <si>
    <r>
      <t>Southern Univ. Lab. School</t>
    </r>
    <r>
      <rPr>
        <sz val="12"/>
        <rFont val="Arial Narrow"/>
        <family val="2"/>
      </rPr>
      <t xml:space="preserve"> </t>
    </r>
  </si>
  <si>
    <t xml:space="preserve">Other Local School System Funding </t>
  </si>
  <si>
    <t>L
E
A</t>
  </si>
  <si>
    <t>LA School for Math, Science &amp; the Arts (LSMSA)</t>
  </si>
  <si>
    <t xml:space="preserve">     LA School for Math, Science and the Arts (LSMSA)</t>
  </si>
  <si>
    <t xml:space="preserve">     New Orleans Center for Creative Arts (NOCCA)</t>
  </si>
  <si>
    <t>New Orleans Center for Creative Arts (NOCCA)(full-day students)</t>
  </si>
  <si>
    <t>036xxx</t>
  </si>
  <si>
    <t>Per SIS</t>
  </si>
  <si>
    <t>Admin.
Fee
to
RSD</t>
  </si>
  <si>
    <t>Admin.
Fee
to 
LDOE</t>
  </si>
  <si>
    <t>Total
Admin.  
Fee</t>
  </si>
  <si>
    <t>Site
Code</t>
  </si>
  <si>
    <t>8.</t>
  </si>
  <si>
    <t>V.</t>
  </si>
  <si>
    <t>First Year Non-Legacy Type 2 Charter Schools</t>
  </si>
  <si>
    <t>Non-Legacy Type 2 Charters (Not 1st Year)</t>
  </si>
  <si>
    <t xml:space="preserve">     Years 1 - 4/Years 1 - 5 Reduction of Remaining Hold Harmless</t>
  </si>
  <si>
    <t xml:space="preserve">Legacy Type 2 Charter Schools </t>
  </si>
  <si>
    <t>Plus/(Minus) Prior Year Adjustments - Non-Legacy Type 2 Charters</t>
  </si>
  <si>
    <t>Total LAVCA</t>
  </si>
  <si>
    <t>Continuation
of
Prior
Year
Pay Raises</t>
  </si>
  <si>
    <t>W.</t>
  </si>
  <si>
    <t>X.</t>
  </si>
  <si>
    <t>State
Admin Fee
to the 
Dept. of
Education</t>
  </si>
  <si>
    <t>Y.</t>
  </si>
  <si>
    <t>Z.</t>
  </si>
  <si>
    <t>Transfers</t>
  </si>
  <si>
    <t>1.  RSD</t>
  </si>
  <si>
    <t>2. Non-Legacy Type 2 Charter Transfers (Not 1st Year)</t>
  </si>
  <si>
    <t xml:space="preserve">  b.</t>
  </si>
  <si>
    <t xml:space="preserve">  c.</t>
  </si>
  <si>
    <t xml:space="preserve">  d.</t>
  </si>
  <si>
    <t xml:space="preserve">  e.</t>
  </si>
  <si>
    <t xml:space="preserve">  f.</t>
  </si>
  <si>
    <t xml:space="preserve">   a.</t>
  </si>
  <si>
    <t>Out of State</t>
  </si>
  <si>
    <t>Plus/(Minus) Prior Year Adjustments - OJJ</t>
  </si>
  <si>
    <t>State MFP Appropriation/Executive Budget</t>
  </si>
  <si>
    <t>Estimated need in excess of MFP Appropriation/Executive Budget</t>
  </si>
  <si>
    <r>
      <t xml:space="preserve">Lake Charles Charter Academy
(Lake Charles Charter School Assoc., Inc)
</t>
    </r>
    <r>
      <rPr>
        <sz val="11"/>
        <color indexed="18"/>
        <rFont val="Arial"/>
        <family val="2"/>
      </rPr>
      <t>(Site Code 346001)
(Opened 11/12)</t>
    </r>
    <r>
      <rPr>
        <b/>
        <sz val="11"/>
        <color indexed="18"/>
        <rFont val="Arial"/>
        <family val="2"/>
      </rPr>
      <t xml:space="preserve">
</t>
    </r>
    <r>
      <rPr>
        <sz val="11"/>
        <color indexed="18"/>
        <rFont val="Arial"/>
        <family val="2"/>
      </rPr>
      <t>(Not in a District Building)</t>
    </r>
  </si>
  <si>
    <r>
      <t xml:space="preserve">Louisiana Connections 
Academy
(Friends of LA Connections Academy)
</t>
    </r>
    <r>
      <rPr>
        <sz val="11"/>
        <color indexed="18"/>
        <rFont val="Arial"/>
        <family val="2"/>
      </rPr>
      <t>(Virtual)
(Site Code 345001)
(Opened 11/12)
(Not in a District Bldg.)</t>
    </r>
  </si>
  <si>
    <r>
      <t xml:space="preserve">J. S. Clark Leadership Academy
(Outreach Community Development Corporation)
</t>
    </r>
    <r>
      <rPr>
        <sz val="10"/>
        <color indexed="18"/>
        <rFont val="Arial"/>
        <family val="2"/>
      </rPr>
      <t>(Site Code 349001)</t>
    </r>
    <r>
      <rPr>
        <b/>
        <sz val="10"/>
        <color indexed="18"/>
        <rFont val="Arial"/>
        <family val="2"/>
      </rPr>
      <t xml:space="preserve">
</t>
    </r>
    <r>
      <rPr>
        <sz val="10"/>
        <color indexed="18"/>
        <rFont val="Arial"/>
        <family val="2"/>
      </rPr>
      <t>(Opened 12/13)</t>
    </r>
    <r>
      <rPr>
        <b/>
        <sz val="10"/>
        <color indexed="18"/>
        <rFont val="Arial"/>
        <family val="2"/>
      </rPr>
      <t xml:space="preserve">
</t>
    </r>
    <r>
      <rPr>
        <sz val="10"/>
        <color indexed="18"/>
        <rFont val="Arial"/>
        <family val="2"/>
      </rPr>
      <t>(Not in a District Building)</t>
    </r>
  </si>
  <si>
    <r>
      <t xml:space="preserve">Lycee Francais de la Nouvelle Orleans
(LFNO, Inc.)
</t>
    </r>
    <r>
      <rPr>
        <sz val="11"/>
        <color indexed="18"/>
        <rFont val="Arial"/>
        <family val="2"/>
      </rPr>
      <t>(Site Code 347001)
(Opened 11/12)
(Not in a District Building)</t>
    </r>
  </si>
  <si>
    <r>
      <t xml:space="preserve">New Orleans Military/Maritime Academy
</t>
    </r>
    <r>
      <rPr>
        <sz val="11"/>
        <color indexed="18"/>
        <rFont val="Arial"/>
        <family val="2"/>
      </rPr>
      <t>(Site Code 348001)
(Opened 11/12)
(Not in a District Building)</t>
    </r>
  </si>
  <si>
    <r>
      <t xml:space="preserve">D'Arbonne Woods Charter School, Inc.
(D'Arbonne Woods Charter)
</t>
    </r>
    <r>
      <rPr>
        <sz val="11"/>
        <color indexed="18"/>
        <rFont val="Arial"/>
        <family val="2"/>
      </rPr>
      <t>(Site Code 341001)
(Opened 09/10)
(Not in a District Building)</t>
    </r>
  </si>
  <si>
    <r>
      <t xml:space="preserve">Madison Prep  Academy 
(CSAL:  Community Schools for Apprenticeship 
Learning)
</t>
    </r>
    <r>
      <rPr>
        <sz val="11"/>
        <color indexed="18"/>
        <rFont val="Arial"/>
        <family val="2"/>
      </rPr>
      <t>(Site Code 343001)
(Opened 09/10)</t>
    </r>
    <r>
      <rPr>
        <b/>
        <sz val="11"/>
        <color indexed="18"/>
        <rFont val="Arial"/>
        <family val="2"/>
      </rPr>
      <t xml:space="preserve">
</t>
    </r>
    <r>
      <rPr>
        <sz val="11"/>
        <color indexed="18"/>
        <rFont val="Arial"/>
        <family val="2"/>
      </rPr>
      <t>(Not in a District Building)</t>
    </r>
  </si>
  <si>
    <r>
      <t xml:space="preserve">Southwest LA Charter Academy
(Southwest LA Charter Academy Foundation, Inc.)
</t>
    </r>
    <r>
      <rPr>
        <sz val="10"/>
        <color indexed="18"/>
        <rFont val="Arial"/>
        <family val="2"/>
      </rPr>
      <t>(Site Code 328001)
(Opened 12/13)
(Not in a District Building)</t>
    </r>
  </si>
  <si>
    <t>N.</t>
  </si>
  <si>
    <t>Decrease in Levels 1,2 and 3</t>
  </si>
  <si>
    <t>decrease students for new type 2 in Calcasieu</t>
  </si>
  <si>
    <t>remove Escadrille estimate</t>
  </si>
  <si>
    <t>decrease in OJJ students</t>
  </si>
  <si>
    <t>decrease in local dollars paid by state to Belle Chasse</t>
  </si>
  <si>
    <t>10% return to state for Virtual Type 2 charters</t>
  </si>
  <si>
    <r>
      <rPr>
        <b/>
        <sz val="10"/>
        <color rgb="FF000066"/>
        <rFont val="Arial"/>
        <family val="2"/>
      </rPr>
      <t>City/Parish</t>
    </r>
    <r>
      <rPr>
        <b/>
        <sz val="10"/>
        <color indexed="18"/>
        <rFont val="Arial"/>
        <family val="2"/>
      </rPr>
      <t xml:space="preserve">
Pay Raise
Continuation
Per Pupil 
Amount
</t>
    </r>
  </si>
  <si>
    <t>July  
2013
Payment
Amount</t>
  </si>
  <si>
    <t>Total MFP Allocation (I+J+L+M+N+O+P+Q+R+S+T+U+V)</t>
  </si>
  <si>
    <t>MFP Allocation Including Adjustments (W + X)</t>
  </si>
  <si>
    <t xml:space="preserve">Career &amp; Technical Weight </t>
  </si>
  <si>
    <t xml:space="preserve">Gifted/Talented Weight </t>
  </si>
  <si>
    <t>Level 3 Supplementary Funding</t>
  </si>
  <si>
    <t>Low Income and English Language Learner</t>
  </si>
  <si>
    <r>
      <t xml:space="preserve"> Student Membership Count:  </t>
    </r>
    <r>
      <rPr>
        <b/>
        <sz val="11"/>
        <rFont val="Arial Narrow"/>
        <family val="2"/>
      </rPr>
      <t>Feb. 1, 2012 /  Feb. 1, 2013</t>
    </r>
  </si>
  <si>
    <t xml:space="preserve">Special Education Weight </t>
  </si>
  <si>
    <t>State Cost Allocation (65%)</t>
  </si>
  <si>
    <t>Local Cost Allocation (35%)</t>
  </si>
  <si>
    <t>Total
State
Cost 
Allocations
for
Other
Entities</t>
  </si>
  <si>
    <t>State 
Cost Allocation
 %</t>
  </si>
  <si>
    <t>Local 
Cost Allocation
 %</t>
  </si>
  <si>
    <t>Per Pupil 
Local Cost Allocation
 of Level 1</t>
  </si>
  <si>
    <t>MFP  
State
Cost 
Allocation</t>
  </si>
  <si>
    <t xml:space="preserve">State
Cost Allocation
Monthly
Payment
</t>
  </si>
  <si>
    <t>MFP
State 
Cost
Allocation</t>
  </si>
  <si>
    <t>MFP
State
Cost
Allocation</t>
  </si>
  <si>
    <t>State
Cost
Allocation</t>
  </si>
  <si>
    <t>State Cost
Allocation 
for OJJ
Secure Care
Students</t>
  </si>
  <si>
    <t>Level 1 and 2 State Cost Allocation (C1+E1)</t>
  </si>
  <si>
    <t>(5a)</t>
  </si>
  <si>
    <t>(6a)</t>
  </si>
  <si>
    <t>H.</t>
  </si>
  <si>
    <t>State Share Formula Allocation (City/Parish Local School System)</t>
  </si>
  <si>
    <t>RSD - LA
(Type 5 Only)</t>
  </si>
  <si>
    <t>RSD - Orleans
(Type 5 Only)</t>
  </si>
  <si>
    <t>RSD - State Operated</t>
  </si>
  <si>
    <t>3_ Legacy-333001-Avoyelles Public Charter School</t>
  </si>
  <si>
    <t>3_ Legacy-336001-Delhi Charter School</t>
  </si>
  <si>
    <t>3_ Legacy-337001-Belle Chasse Academy</t>
  </si>
  <si>
    <t>3_328001-Southwest Louisiana Charter School</t>
  </si>
  <si>
    <t>3_341001-D'Arbonne Woods Charter School</t>
  </si>
  <si>
    <t>3_343001-Madison Preparatory Academy</t>
  </si>
  <si>
    <t>3_343002-Louisiana Virtual Charter Academy</t>
  </si>
  <si>
    <t>3_344001-International High School of New Orleans</t>
  </si>
  <si>
    <t>3_345001-Louisiana Connections Academy</t>
  </si>
  <si>
    <t>3_346001-Lake Charles Charter Academy</t>
  </si>
  <si>
    <t>3_347001-Lycee Francais de la Nouvelle-Orleans</t>
  </si>
  <si>
    <t>3_348001-New Orleans Military/Maritime Academy</t>
  </si>
  <si>
    <t>3_349001-JS Clark Leadership Academy</t>
  </si>
  <si>
    <t>4_302006-Louisiana School for Math Science &amp; the Arts</t>
  </si>
  <si>
    <t>4_334001-New Orleans Center for Creative Arts</t>
  </si>
  <si>
    <t>2_318001-LSU Laboratory School</t>
  </si>
  <si>
    <t>2_319001-Southern University Lab School</t>
  </si>
  <si>
    <t>Acadia Parish</t>
  </si>
  <si>
    <t>002</t>
  </si>
  <si>
    <t>Allen Parish</t>
  </si>
  <si>
    <t>Ascension Parish</t>
  </si>
  <si>
    <t>Assumption Parish</t>
  </si>
  <si>
    <t>005</t>
  </si>
  <si>
    <t>Avoyelles Parish</t>
  </si>
  <si>
    <t>Beauregard Parish</t>
  </si>
  <si>
    <t>Bienville Parish</t>
  </si>
  <si>
    <t>Bossier Parish</t>
  </si>
  <si>
    <t>Caddo Parish</t>
  </si>
  <si>
    <t>Calcasieu Parish</t>
  </si>
  <si>
    <t>Caldwell Parish</t>
  </si>
  <si>
    <t>012</t>
  </si>
  <si>
    <t>Cameron Parish</t>
  </si>
  <si>
    <t>013</t>
  </si>
  <si>
    <t>Catahoula Parish</t>
  </si>
  <si>
    <t>014</t>
  </si>
  <si>
    <t>Claiborne Parish</t>
  </si>
  <si>
    <t>015</t>
  </si>
  <si>
    <t>Concordia Parish</t>
  </si>
  <si>
    <t>016</t>
  </si>
  <si>
    <t>DeSoto Parish</t>
  </si>
  <si>
    <t>East Baton Rouge Parish</t>
  </si>
  <si>
    <t>018</t>
  </si>
  <si>
    <t>East Carroll Parish</t>
  </si>
  <si>
    <t>East Feliciana Parish</t>
  </si>
  <si>
    <t>020</t>
  </si>
  <si>
    <t>Evangeline Parish</t>
  </si>
  <si>
    <t>Franklin Parish</t>
  </si>
  <si>
    <t>Grant Parish</t>
  </si>
  <si>
    <t>Iberia Parish</t>
  </si>
  <si>
    <t>Iberville Parish</t>
  </si>
  <si>
    <t>Jackson Parish</t>
  </si>
  <si>
    <t>Jefferson Parish</t>
  </si>
  <si>
    <t>027</t>
  </si>
  <si>
    <t>Jefferson Davis Parish</t>
  </si>
  <si>
    <t>Lafayette Parish</t>
  </si>
  <si>
    <t>Lafourche Parish</t>
  </si>
  <si>
    <t>030</t>
  </si>
  <si>
    <t>LaSalle Parish</t>
  </si>
  <si>
    <t>Lincoln Parish</t>
  </si>
  <si>
    <t>Livingston Parish</t>
  </si>
  <si>
    <t>033</t>
  </si>
  <si>
    <t>Madison Parish</t>
  </si>
  <si>
    <t>Morehouse Parish</t>
  </si>
  <si>
    <t>Natchitoches Parish</t>
  </si>
  <si>
    <t>Orleans Parish</t>
  </si>
  <si>
    <t>Ouachita Parish</t>
  </si>
  <si>
    <t>Plaquemines Parish</t>
  </si>
  <si>
    <t>Pointe Coupee Parish</t>
  </si>
  <si>
    <t>Rapides Parish</t>
  </si>
  <si>
    <t>041</t>
  </si>
  <si>
    <t>Red River Parish</t>
  </si>
  <si>
    <t>Richland Parish</t>
  </si>
  <si>
    <t>043</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</si>
  <si>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</si>
  <si>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</si>
  <si>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</si>
  <si>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</si>
  <si>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</si>
  <si>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</si>
  <si>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</si>
  <si>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</si>
  <si>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</si>
  <si>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</si>
  <si>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</si>
  <si>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054</t>
  </si>
  <si>
    <t>Tensas Parish</t>
  </si>
  <si>
    <t>Terrebonne Parish</t>
  </si>
  <si>
    <t>Union Parish</t>
  </si>
  <si>
    <t>Vermilion Parish</t>
  </si>
  <si>
    <t>058</t>
  </si>
  <si>
    <t>Vernon Parish</t>
  </si>
  <si>
    <t>Washington Parish</t>
  </si>
  <si>
    <t>060</t>
  </si>
  <si>
    <t>Webster Parish</t>
  </si>
  <si>
    <t>West Baton Rouge Parish</t>
  </si>
  <si>
    <t>062</t>
  </si>
  <si>
    <t>West Carroll Parish</t>
  </si>
  <si>
    <t>063</t>
  </si>
  <si>
    <t>West Feliciana Parish</t>
  </si>
  <si>
    <t>064</t>
  </si>
  <si>
    <t>Winn Parish</t>
  </si>
  <si>
    <t>City of Monroe School District</t>
  </si>
  <si>
    <t>City of Bogalusa School District</t>
  </si>
  <si>
    <t>067</t>
  </si>
  <si>
    <t>Zachary Community School District</t>
  </si>
  <si>
    <t>City of Baker School District</t>
  </si>
  <si>
    <t>069</t>
  </si>
  <si>
    <t>Central Community School District</t>
  </si>
  <si>
    <t>Out-Of-State</t>
  </si>
  <si>
    <t/>
  </si>
  <si>
    <t>Totals - MFP &amp; Funded</t>
  </si>
  <si>
    <t>Charter Schools</t>
  </si>
  <si>
    <t>Total 
Base
Allocation</t>
  </si>
  <si>
    <t>Continuation
of
Prior Year
Pay 
Raises</t>
  </si>
  <si>
    <t>TOTAL TYPE 2 CHARTER
 SCHOOL ALLOCATION</t>
  </si>
  <si>
    <t>Department of Education
Administrative Fee</t>
  </si>
  <si>
    <t>Total</t>
  </si>
  <si>
    <t xml:space="preserve">Monthly
Amount
</t>
  </si>
  <si>
    <t>3. First Year Non-Legacy Type 2 Charter Schools</t>
  </si>
  <si>
    <t xml:space="preserve">     First Year Non-Legacy Type 2 Charters (6)</t>
  </si>
  <si>
    <t>Total Weighted Membership of Parish/City Schools, Type 5 Charters,  Non-Legacy Type 2 Charters (Not 1st Year)</t>
  </si>
  <si>
    <t xml:space="preserve">    Parish/City Schools, Type 5 Charters, and 
    Non-Legacy Type 2 Charters (Not 1st Year),</t>
  </si>
  <si>
    <t>40.45/16.62</t>
  </si>
  <si>
    <t>1.99%/.82%</t>
  </si>
  <si>
    <t>3A5001</t>
  </si>
  <si>
    <t>g.</t>
  </si>
  <si>
    <t xml:space="preserve">  Legacy Type 2 Charters</t>
  </si>
  <si>
    <t xml:space="preserve"> h.</t>
  </si>
  <si>
    <t>Plus/(Minus) Prior Year Adjustments - Legacy Type 2 Charters</t>
  </si>
  <si>
    <r>
      <t xml:space="preserve">Louisiana Key Academy
</t>
    </r>
    <r>
      <rPr>
        <sz val="10"/>
        <color indexed="18"/>
        <rFont val="Arial"/>
        <family val="2"/>
      </rPr>
      <t>(Site Code 3A7001)
(Opened 13/14)
(Not in a District Building)</t>
    </r>
  </si>
  <si>
    <r>
      <t xml:space="preserve">Jefferson Chamber Foundation
</t>
    </r>
    <r>
      <rPr>
        <sz val="10"/>
        <color indexed="18"/>
        <rFont val="Arial"/>
        <family val="2"/>
      </rPr>
      <t>(Site Code 3A1001)
(Opened 13/14)
(Not in a District Building)</t>
    </r>
  </si>
  <si>
    <r>
      <t xml:space="preserve">Tallulah Charter School
</t>
    </r>
    <r>
      <rPr>
        <sz val="10"/>
        <color indexed="18"/>
        <rFont val="Arial"/>
        <family val="2"/>
      </rPr>
      <t>(Site Code 3A2001)
(Opened 13/14)
(Not in a District Building)</t>
    </r>
  </si>
  <si>
    <r>
      <t xml:space="preserve">Northshore Charter School
</t>
    </r>
    <r>
      <rPr>
        <sz val="10"/>
        <color indexed="18"/>
        <rFont val="Arial"/>
        <family val="2"/>
      </rPr>
      <t>(Site Code 3A6001)
(Opened 13/14)
(Not in a District Building)</t>
    </r>
  </si>
  <si>
    <r>
      <t xml:space="preserve">Delta Charter School
</t>
    </r>
    <r>
      <rPr>
        <sz val="10"/>
        <color indexed="18"/>
        <rFont val="Arial"/>
        <family val="2"/>
      </rPr>
      <t>(Site Code 3A4001)
(Opened 13/14)
(Not in a District Building)</t>
    </r>
  </si>
  <si>
    <r>
      <t xml:space="preserve">Baton Rouge 
Charter Academy 
at Mid-City
</t>
    </r>
    <r>
      <rPr>
        <sz val="10"/>
        <color indexed="18"/>
        <rFont val="Arial"/>
        <family val="2"/>
      </rPr>
      <t>(Site Code 3A3001)
(Opened 13/14)
(Not in a District Building)</t>
    </r>
  </si>
  <si>
    <t>FY2013-14
Budget Letter
July 2013
Circular No. 1153</t>
  </si>
  <si>
    <t>Estimated Reduction for Students Transferring to Scholarship Program</t>
  </si>
  <si>
    <t>Mid-Year Adjustment for Students</t>
  </si>
  <si>
    <t>City/Parish LEA Only</t>
  </si>
  <si>
    <t>Other Entities in Table 3</t>
  </si>
  <si>
    <t>Total
Midyear
Adjustment
for 
Students</t>
  </si>
  <si>
    <t xml:space="preserve">Monthly 
Payment </t>
  </si>
  <si>
    <t>Total
Mid-Year
Adjustments for Students</t>
  </si>
  <si>
    <t>Total
Local Cost Allocation
+ 
Mid-Year Adjustment
for Students</t>
  </si>
  <si>
    <t>Total
Mid-Year
Adjustment
for Students</t>
  </si>
  <si>
    <t>Total
MFP
State
Cost
Allocation 
+ Pay Raises</t>
  </si>
  <si>
    <t>Total
State Cost Allocation
+ Pay Raises
+/- Mid-Year
Adjustment
for Students</t>
  </si>
  <si>
    <t>Total MFP
State Cost 
Allocation
+ Prior Year
Pay Raises</t>
  </si>
  <si>
    <t>Total MFP
State Cost 
Allocation
+ Prior Year
Pay Raises
+/- Midyear
Adjustments
for Students</t>
  </si>
  <si>
    <t>Total MFP
State Cost  
Allocation 
+ Prior Year 
Pay Raises 
+/- Midyear
Adjustments
for Students
+/- Audit
Adjustments</t>
  </si>
  <si>
    <t xml:space="preserve">State
Cost
Allocation
Monthly
Payment
</t>
  </si>
  <si>
    <t>Total
State Cost
Allocation
+ Prior Year
Pay Raises
+/- Mid-Year
Adjustments
for Students
- Admin Fee</t>
  </si>
  <si>
    <t>Continuation
of
Prior
Year
Pay Raises
Per Pupil
Amount</t>
  </si>
  <si>
    <t>Total
State Cost
Allocation
+ Prior Year
Pay Raises</t>
  </si>
  <si>
    <t>Total
State Cost
Allocation
+ Prior Year
Pay Raises
+/- Mid-Year
Adjustments
for Students</t>
  </si>
  <si>
    <t>Total 
State 
Cost 
Allocation
+ Prior Year
Pay Raises</t>
  </si>
  <si>
    <t>State
Cost
Allocation
Monthly 
Payment</t>
  </si>
  <si>
    <t>Total
Mid-Year
Adjustment
for
Students</t>
  </si>
  <si>
    <r>
      <t xml:space="preserve">LA Virtual Charter Academy 
(LAVCA)
(Community School of 
Apprenticeship Learning)
(CSAL)
</t>
    </r>
    <r>
      <rPr>
        <sz val="11"/>
        <color indexed="18"/>
        <rFont val="Arial"/>
        <family val="2"/>
      </rPr>
      <t>(Site Code 343002)
(Opened 11/12)
(Not in a District Bldg.)</t>
    </r>
  </si>
  <si>
    <t>Total
Base
Allocation
+ Prior Year
Pay Raises
+/- Mid-Year
Adjustments
for Students</t>
  </si>
  <si>
    <t>col 10 + col 11</t>
  </si>
  <si>
    <t>col 12 - col 13</t>
  </si>
  <si>
    <t>col 14 ÷ 4</t>
  </si>
  <si>
    <t>col 1 + col 17</t>
  </si>
  <si>
    <t>col 16 ÷
col 18</t>
  </si>
  <si>
    <t>col 1 * col 19</t>
  </si>
  <si>
    <t>col 26 + col 27</t>
  </si>
  <si>
    <t>col 28 - col 29</t>
  </si>
  <si>
    <t>col 30 ÷ 4</t>
  </si>
  <si>
    <t>col 12 + col 28</t>
  </si>
  <si>
    <t>col 15 + col 31</t>
  </si>
  <si>
    <r>
      <t xml:space="preserve">ADM
for Youth
in
Secure Care 
</t>
    </r>
    <r>
      <rPr>
        <sz val="10"/>
        <color indexed="18"/>
        <rFont val="Arial"/>
        <family val="2"/>
      </rPr>
      <t>(Preliminary)
(12/13
ADM Data)</t>
    </r>
    <r>
      <rPr>
        <b/>
        <sz val="10"/>
        <color indexed="56"/>
        <rFont val="Arial"/>
        <family val="2"/>
      </rPr>
      <t/>
    </r>
  </si>
  <si>
    <t>col 9 + 
col 14</t>
  </si>
  <si>
    <t>col 32</t>
  </si>
  <si>
    <t>Minus
State Cost
Allocation
 for
LA
Connections
Table 5C3</t>
  </si>
  <si>
    <t>Minus
State Cost
Allocation
 for
LAVCA
Table 5C2</t>
  </si>
  <si>
    <t>Minus
State Cost
Allocation
 for
J.S. Clark Academy
Table 5C1G</t>
  </si>
  <si>
    <t>Minus
State Cost
Allocation
 for
Lake Charles Charter
Table 5C1F</t>
  </si>
  <si>
    <t>Minus
State Cost
Allocation
 for
N.O.
Military/
Maritime
Table 5C1D</t>
  </si>
  <si>
    <t>Minus
State Cost
Allocation
 for
Int'l H.S.
(VIBE)
Table 5C1C</t>
  </si>
  <si>
    <t>Minus
State Cost
Allocation
 for
D'Arbonne Woods
Table 5C1B</t>
  </si>
  <si>
    <t>Minus
State Cost
Allocation
 for
Madison Prep
(CSAL)
Table 5C1A</t>
  </si>
  <si>
    <t>col 34</t>
  </si>
  <si>
    <t>col 36</t>
  </si>
  <si>
    <t>col 21 + 
col 32</t>
  </si>
  <si>
    <t>Total
Admin.
Fee</t>
  </si>
  <si>
    <t>col 10</t>
  </si>
  <si>
    <t>Admin.
Fee
to 
LDE</t>
  </si>
  <si>
    <t>Admin.
Fee
to
LDE</t>
  </si>
  <si>
    <t>Total
State Cost
Allocation
+ Pay Raises
+/- Mid-Year
Adjustment
for Students
- Admin Fee</t>
  </si>
  <si>
    <t>Total
State Cost
Allocation
+ Pay Raises
+/- Mid-Year
Adjustment
for Students</t>
  </si>
  <si>
    <t>Total
Mid-Year
Adjustments
for Students</t>
  </si>
  <si>
    <t>col 25 + 
col 28</t>
  </si>
  <si>
    <t>col 27 + 
col 30</t>
  </si>
  <si>
    <t>col 26 + 
col 29</t>
  </si>
  <si>
    <t>TABLE 1: STATE LEVEL COMPARISON (July 2014)</t>
  </si>
  <si>
    <t>2014-2015
COMPUTED
 SALES TAX 
BASE</t>
  </si>
  <si>
    <t xml:space="preserve">  2012 ASSESSED PROPERTY VALUE</t>
  </si>
  <si>
    <t>TOTAL 
AD VALOREM 
REVENUE 
INCLUDING DEBT
(2012-2013)</t>
  </si>
  <si>
    <t>TOTAL 
SALES TAX REVENUE
(2012-2013)</t>
  </si>
  <si>
    <t>OTHER REVENUES:  
Includes State and Federal taxes in lieu of &amp; 50% of earnings from 16th section and from other real estate
2012-2013 AFR</t>
  </si>
  <si>
    <t>2012
TOTAL ASSESSED PROPERTY VALUE</t>
  </si>
  <si>
    <t>2012
ASSESSED HOMESTEAD EXEMPTION</t>
  </si>
  <si>
    <t>2012
NET ASSESSED TAXABLE PROPERTY</t>
  </si>
  <si>
    <t>2012
NET ASSESSED TAXABLE PROPERTY
with Cap of</t>
  </si>
  <si>
    <t>(Prior Year)
 2011
Net Assessed Taxable Property (Without cap)</t>
  </si>
  <si>
    <t>Comparison of  
FY2013-14
Budget Letter to
FY2014-15
Simulation</t>
  </si>
  <si>
    <t>2012
Ad Valorem 
Tax Revenues
(per 12-13 AFR)</t>
  </si>
  <si>
    <t>2012
Net Assessed 
Property
(with 10% Cap)</t>
  </si>
  <si>
    <t>FY2012-13
Sales Tax Revenue
(per 12-13 AFR)</t>
  </si>
  <si>
    <t>40.97/16.47</t>
  </si>
  <si>
    <t>1.98%/.80%</t>
  </si>
  <si>
    <r>
      <t xml:space="preserve">FY2013-2014 MFP Budget Letter </t>
    </r>
    <r>
      <rPr>
        <sz val="22"/>
        <color rgb="FFFF0000"/>
        <rFont val="Arial Narrow"/>
        <family val="2"/>
      </rPr>
      <t>(+2.75%, 12/13 Revenue Data)</t>
    </r>
  </si>
  <si>
    <r>
      <t xml:space="preserve">FY2014-15
Budget Letter
</t>
    </r>
    <r>
      <rPr>
        <b/>
        <sz val="14"/>
        <color rgb="FFFF0000"/>
        <rFont val="Arial Narrow"/>
        <family val="2"/>
      </rPr>
      <t>Simulation</t>
    </r>
  </si>
  <si>
    <t>J.</t>
  </si>
  <si>
    <t>I.</t>
  </si>
  <si>
    <t>Legacy Type 2 Charter Schools</t>
  </si>
  <si>
    <t>sum</t>
  </si>
  <si>
    <r>
      <t xml:space="preserve">FY2013-14
Budget Letter
July 2013
</t>
    </r>
    <r>
      <rPr>
        <sz val="14"/>
        <color indexed="18"/>
        <rFont val="Arial Narrow"/>
        <family val="2"/>
      </rPr>
      <t>Circular No. 1153</t>
    </r>
  </si>
  <si>
    <t>Audit Adjustments</t>
  </si>
  <si>
    <t>Special Education Weight (150%)</t>
  </si>
  <si>
    <t>Level 3 Legislative Allocations</t>
  </si>
  <si>
    <t>T3, C9</t>
  </si>
  <si>
    <t>T3, C8</t>
  </si>
  <si>
    <t xml:space="preserve">M. </t>
  </si>
  <si>
    <t>Other Adjustments</t>
  </si>
  <si>
    <t>10% Return for Virtual Type 2 Charters</t>
  </si>
  <si>
    <t xml:space="preserve">O. </t>
  </si>
  <si>
    <t>S.</t>
  </si>
  <si>
    <t>Funding for Other Schools Included with the City/Parish Membership (July):</t>
  </si>
  <si>
    <t>T3, C1</t>
  </si>
  <si>
    <t>Table (T),
Column (C)</t>
  </si>
  <si>
    <t>T3, C2</t>
  </si>
  <si>
    <t>T3, C3</t>
  </si>
  <si>
    <t>T3, C4</t>
  </si>
  <si>
    <t>T3, C5</t>
  </si>
  <si>
    <t>T3, C6</t>
  </si>
  <si>
    <t>T3, C13</t>
  </si>
  <si>
    <t>T3, C14</t>
  </si>
  <si>
    <t>T3, C22</t>
  </si>
  <si>
    <t>T7, C38</t>
  </si>
  <si>
    <t>T7, C3c</t>
  </si>
  <si>
    <t>T7, C34</t>
  </si>
  <si>
    <t>T7, C25</t>
  </si>
  <si>
    <t>T7, C27</t>
  </si>
  <si>
    <t>T7, C26</t>
  </si>
  <si>
    <t>T7, C30</t>
  </si>
  <si>
    <t>T7, C37</t>
  </si>
  <si>
    <t>T4, C16</t>
  </si>
  <si>
    <t>T4, C15</t>
  </si>
  <si>
    <t>T4, C8</t>
  </si>
  <si>
    <t>T4, C2</t>
  </si>
  <si>
    <t>T4, C5 - 6</t>
  </si>
  <si>
    <t>T4, C12</t>
  </si>
  <si>
    <t>T3, C24</t>
  </si>
  <si>
    <t>T4A, C5</t>
  </si>
  <si>
    <t>T5A1, C6</t>
  </si>
  <si>
    <t>T5E, C5</t>
  </si>
  <si>
    <t>T5D, C6</t>
  </si>
  <si>
    <t>T5D, C1</t>
  </si>
  <si>
    <t>T5A2, C1</t>
  </si>
  <si>
    <t>T5C1x-new</t>
  </si>
  <si>
    <t>T5E, C1</t>
  </si>
  <si>
    <t>T5A1, C1</t>
  </si>
  <si>
    <t>LSU and Southern Lab Schools</t>
  </si>
  <si>
    <t>LA School for Math, Science and the Arts (LSMSA)</t>
  </si>
  <si>
    <t>New Orleans Center for Creative Arts (NOCCA)</t>
  </si>
  <si>
    <t>Legacy Type 2 Charters</t>
  </si>
  <si>
    <r>
      <t>Estimated need in excess of MFP Appropriation/Executive Budget</t>
    </r>
    <r>
      <rPr>
        <sz val="12"/>
        <color indexed="62"/>
        <rFont val="Arial Narrow"/>
        <family val="2"/>
      </rPr>
      <t xml:space="preserve"> (Q - R)</t>
    </r>
  </si>
  <si>
    <t>For Informational Purposes Only:</t>
  </si>
  <si>
    <t>Total Students Funded Through the MFP (July):</t>
  </si>
  <si>
    <t>LSU Lab School</t>
  </si>
  <si>
    <t>Southern Lab School</t>
  </si>
  <si>
    <t>Total Lab Schools</t>
  </si>
  <si>
    <t>New Vision Learning (City of Monroe)</t>
  </si>
  <si>
    <t>Glencoe Charter School (St. Mary Parish)</t>
  </si>
  <si>
    <t>International School of LA (Orleans Parish)</t>
  </si>
  <si>
    <t>Avoyelles Public Charter School (Avoyelles Parish)</t>
  </si>
  <si>
    <t>Delhi Charter School (Richland Parish)</t>
  </si>
  <si>
    <t>Belle Chasse Academy (Plaquemines Parish)</t>
  </si>
  <si>
    <t>Milestone SABIS Academy (Orleans Parish)</t>
  </si>
  <si>
    <t>Total Legacy Type 2 Charter Schools</t>
  </si>
  <si>
    <t xml:space="preserve">Tallulah Charter School </t>
  </si>
  <si>
    <t>Louisiana Virtual Charter Academy (LAVCA)</t>
  </si>
  <si>
    <t xml:space="preserve">Louisiana Connections Academy </t>
  </si>
  <si>
    <t>TOTAL RSD Orleans (Chartered only)</t>
  </si>
  <si>
    <t>Total Type 5 Charters - EBR</t>
  </si>
  <si>
    <t>Total Type 5 Charters - Caddo</t>
  </si>
  <si>
    <t>Total Statewide</t>
  </si>
  <si>
    <t>LSDVI</t>
  </si>
  <si>
    <t>Total City/Parish</t>
  </si>
  <si>
    <t xml:space="preserve">Louisiana Key Academy </t>
  </si>
  <si>
    <t xml:space="preserve">Jefferson Chamber Foundation </t>
  </si>
  <si>
    <t xml:space="preserve">Northshore Charter School </t>
  </si>
  <si>
    <t xml:space="preserve">Baton Rouge Charter Academy at Mid-City </t>
  </si>
  <si>
    <t xml:space="preserve">Delta Charter School </t>
  </si>
  <si>
    <t>Total New Type 2 Charter Schools in MFP</t>
  </si>
  <si>
    <t>Total State Approved Schools</t>
  </si>
  <si>
    <t>Supplemental Course Allocation</t>
  </si>
  <si>
    <t>T4A, C10</t>
  </si>
  <si>
    <t>T4A, C9</t>
  </si>
  <si>
    <t>High Cost Services Assistance</t>
  </si>
  <si>
    <t xml:space="preserve">Southwest LA Charter School </t>
  </si>
  <si>
    <t xml:space="preserve">D'Arbonne Woods </t>
  </si>
  <si>
    <t xml:space="preserve">Madison Prep (CSAL) </t>
  </si>
  <si>
    <t xml:space="preserve">Int'l High School of N. O. </t>
  </si>
  <si>
    <t xml:space="preserve">Lake Charles Charter Academy </t>
  </si>
  <si>
    <t xml:space="preserve">Lycee Francois de la Nouvelle Orleans </t>
  </si>
  <si>
    <t xml:space="preserve">New Orleans Military/Maritime Admy </t>
  </si>
  <si>
    <t xml:space="preserve">J. S. Clark Leadership Academy </t>
  </si>
  <si>
    <t>Kenilworth Science and Tech (Pelican Foundation)</t>
  </si>
  <si>
    <t>Linwood Public Charter (Shreveport Charter)</t>
  </si>
  <si>
    <t>The MAX Charter School (Lafourche Parish)</t>
  </si>
  <si>
    <t>Impact Charter</t>
  </si>
  <si>
    <t>Vision Academy</t>
  </si>
  <si>
    <t>Advantage Charter Academy</t>
  </si>
  <si>
    <t>Lake Charles College Prep</t>
  </si>
  <si>
    <t>Northeast Claiborne Charter</t>
  </si>
  <si>
    <t>Acadiana Renaissance</t>
  </si>
  <si>
    <t>Lafayette Renaissance</t>
  </si>
  <si>
    <t>KIPP East (KIPP)</t>
  </si>
  <si>
    <t>Celerity Lanier Charter School (Celerity)</t>
  </si>
  <si>
    <t>Celerity Crestworth Charter School (Celerity)</t>
  </si>
  <si>
    <t>Capitol High School (Friendship)</t>
  </si>
  <si>
    <t>Baton Rouge University Prep (BR Univ Prep)</t>
  </si>
  <si>
    <t>Pierre A. Capdau Learning Acdmy (New Beg.)</t>
  </si>
  <si>
    <t>Medard H. Nelson Elem (New Beg.)</t>
  </si>
  <si>
    <t>Lake Area New Tech Early College (New Beg.)</t>
  </si>
  <si>
    <t>Gentilly Terrace Elem (New Beg.)</t>
  </si>
  <si>
    <t>The NET Charter School (Educators for Qual Alt)</t>
  </si>
  <si>
    <t>Paul Habans Elem (Crescent City Schools)</t>
  </si>
  <si>
    <t>Lagniappe Academies of N.O. (Lagniappe Academies)</t>
  </si>
  <si>
    <t>Crescent Leadership Acdmy (Crescent Ldrsp Acdmy.)</t>
  </si>
  <si>
    <t>Morris Jeff Community School (Morris Jeff Comm. School)</t>
  </si>
  <si>
    <t>Arise Academy (Arise Academy)</t>
  </si>
  <si>
    <t>Mildred Osborne Elem (Arise Academy)</t>
  </si>
  <si>
    <t>Success Preparatory Academy (Success Prep)</t>
  </si>
  <si>
    <t>Akili Academy of N.O. (Crescent City Schools)</t>
  </si>
  <si>
    <t>Sci Academy (Collegiate Academies)</t>
  </si>
  <si>
    <t>G.W. Carver Collegiate Acdmy (Collegiate Academies)</t>
  </si>
  <si>
    <t>G.W. Carver Prep Acdmy (Collegiate Academies)</t>
  </si>
  <si>
    <t>Miller McCoy Academy (Miller McCoy Academy)</t>
  </si>
  <si>
    <t>Sylvanie Williams College Prep (N.O. College Prep)</t>
  </si>
  <si>
    <t>Cohen College Prep (N.O. College Prep)</t>
  </si>
  <si>
    <t>Andrew H. Wilson Charter (Broadmoor)</t>
  </si>
  <si>
    <t>James M. Singleton Charter (Dryades YMCA)</t>
  </si>
  <si>
    <t>Joseph A. Craig (Friends of King)</t>
  </si>
  <si>
    <t>Lafayette Academy (Choice Foundation)</t>
  </si>
  <si>
    <t>Esperanza Charter (Choice Foundation)</t>
  </si>
  <si>
    <t>McDonogh #42 Elem Charter (Choice Foundation)</t>
  </si>
  <si>
    <t>KIPP Believe College Prep (KIPP N.O.)</t>
  </si>
  <si>
    <t>KIPP Central City Acdmy (KIPP N.O.)</t>
  </si>
  <si>
    <t>KIPP Renaissance High (KIPP N.O.)</t>
  </si>
  <si>
    <t>S.J. Green Charter (Firstline Schools)</t>
  </si>
  <si>
    <t>Arthur Ashe Charter (Firstline Schools)</t>
  </si>
  <si>
    <t>Joseph Clark High (Firstline Schools)</t>
  </si>
  <si>
    <t>John Dibert Community (Firstline Schools)</t>
  </si>
  <si>
    <t>Langston Hughes Acdmy (Firstline Schools)</t>
  </si>
  <si>
    <t>Mary D. Coghill Accelerated (Better Choice Foundation)</t>
  </si>
  <si>
    <t>T4A, C7</t>
  </si>
  <si>
    <t>(2a)</t>
  </si>
  <si>
    <t>(3a)</t>
  </si>
  <si>
    <t>Remaining
Hold 
Harmless
(FY2014/15)</t>
  </si>
  <si>
    <t>One-Tenth
(FY14/15)
Reduction of 
Remaining
 Hold Harmless</t>
  </si>
  <si>
    <t>October 2014
Mid-Year
Adjustment
for Students</t>
  </si>
  <si>
    <t>February 2015
Mid-Year
Adjustment
for Students</t>
  </si>
  <si>
    <t>YTD
State
Payments</t>
  </si>
  <si>
    <t>Balance 
Due</t>
  </si>
  <si>
    <t>October 2014
Midyear
Adjustment
for Students</t>
  </si>
  <si>
    <t>February 2015
Midyear
Adjustment
for Students</t>
  </si>
  <si>
    <t>Monthly
Payments</t>
  </si>
  <si>
    <r>
      <t xml:space="preserve">Monthly
Payment
Amounts
</t>
    </r>
    <r>
      <rPr>
        <sz val="10"/>
        <color indexed="18"/>
        <rFont val="Arial"/>
        <family val="2"/>
      </rPr>
      <t xml:space="preserve">
Table 2</t>
    </r>
  </si>
  <si>
    <t>October 2014
Mid-year
Adjustment
for
Students</t>
  </si>
  <si>
    <t>February 2015
Mid-year
Adjustment
for
Students</t>
  </si>
  <si>
    <t>Balance
Due</t>
  </si>
  <si>
    <t>February
2015
Mid-Year
Adjustment
for Students</t>
  </si>
  <si>
    <t>October
2014
Mid-Year
Adjustment
for Students</t>
  </si>
  <si>
    <t>T5A1, C11</t>
  </si>
  <si>
    <t>T2, C4</t>
  </si>
  <si>
    <t>T5D, C13</t>
  </si>
  <si>
    <t>T3, C7</t>
  </si>
  <si>
    <t>T3, C11</t>
  </si>
  <si>
    <t>T3, C26</t>
  </si>
  <si>
    <t>T3, C34</t>
  </si>
  <si>
    <t>T3, C35</t>
  </si>
  <si>
    <t>T4A, C16</t>
  </si>
  <si>
    <t>(Prior Year)
2013-14
 COMPUTED SALES TAX BASE
(Without cap)</t>
  </si>
  <si>
    <t>Plus/(Minus) Prior Year Adjustments - New Type 2 Charters</t>
  </si>
  <si>
    <t>9.</t>
  </si>
  <si>
    <t>First Year New Type 2 Charters (6) (13/14)</t>
  </si>
  <si>
    <t>First Year New Type 2 Charters (9) (14/15)</t>
  </si>
  <si>
    <t>LSMSA (In Table 3 for 14/15)</t>
  </si>
  <si>
    <t>NOCCA (In table 3 for 14/15)</t>
  </si>
  <si>
    <t>LSMSA</t>
  </si>
  <si>
    <t>NOCCA</t>
  </si>
  <si>
    <t>SSD (Does not include 101018, 101021, 101022)</t>
  </si>
  <si>
    <r>
      <rPr>
        <sz val="22"/>
        <color rgb="FFFF0000"/>
        <rFont val="Arial Narrow"/>
        <family val="2"/>
      </rPr>
      <t>PROJECTED</t>
    </r>
    <r>
      <rPr>
        <sz val="22"/>
        <rFont val="Arial Narrow"/>
        <family val="2"/>
      </rPr>
      <t xml:space="preserve"> FY2014-2015 MFP Budget Letter </t>
    </r>
  </si>
  <si>
    <r>
      <rPr>
        <b/>
        <sz val="14"/>
        <color rgb="FFFF0000"/>
        <rFont val="Arial Narrow"/>
        <family val="2"/>
      </rPr>
      <t>PROJECTED</t>
    </r>
    <r>
      <rPr>
        <b/>
        <sz val="14"/>
        <color indexed="18"/>
        <rFont val="Arial Narrow"/>
        <family val="2"/>
      </rPr>
      <t xml:space="preserve">
FY2014-15
Budget Letter
</t>
    </r>
  </si>
  <si>
    <r>
      <t xml:space="preserve">Comparison of  
FY2013-14
Budget Letter to
</t>
    </r>
    <r>
      <rPr>
        <b/>
        <sz val="12"/>
        <color rgb="FFFF0000"/>
        <rFont val="Arial Narrow"/>
        <family val="2"/>
      </rPr>
      <t>PROJECTED</t>
    </r>
    <r>
      <rPr>
        <b/>
        <sz val="12"/>
        <color indexed="18"/>
        <rFont val="Arial Narrow"/>
        <family val="2"/>
      </rPr>
      <t xml:space="preserve">
FY2014-15</t>
    </r>
  </si>
  <si>
    <r>
      <t xml:space="preserve">Career &amp; Technical Weight - </t>
    </r>
    <r>
      <rPr>
        <b/>
        <sz val="11"/>
        <rFont val="Arial Narrow"/>
        <family val="2"/>
      </rPr>
      <t>Courses for Industry Based Certification (12%)</t>
    </r>
  </si>
  <si>
    <r>
      <t xml:space="preserve">Career &amp; Technical Weight - </t>
    </r>
    <r>
      <rPr>
        <b/>
        <sz val="11"/>
        <rFont val="Arial Narrow"/>
        <family val="2"/>
      </rPr>
      <t>Foundational or Elective Courses (6%)</t>
    </r>
  </si>
  <si>
    <t>Gifted and Talented Weight (60%)</t>
  </si>
  <si>
    <t xml:space="preserve">Economy of Scale Weight Factor </t>
  </si>
  <si>
    <t>3a.</t>
  </si>
  <si>
    <t>3b.</t>
  </si>
  <si>
    <t>Type 5 Charters and RSD Operated</t>
  </si>
  <si>
    <t>New Type 2 Charters</t>
  </si>
  <si>
    <r>
      <t xml:space="preserve">Student Membership Count:  </t>
    </r>
    <r>
      <rPr>
        <b/>
        <sz val="11"/>
        <rFont val="Arial Narrow"/>
        <family val="2"/>
      </rPr>
      <t>Feb. 1, 2012 /  Feb. 1, 2013</t>
    </r>
  </si>
  <si>
    <t>City/Parish School Districts</t>
  </si>
  <si>
    <t>Special School District (SSD)</t>
  </si>
  <si>
    <t>Louisiana School for the Deaf and Visually Impaired (LSDVI)</t>
  </si>
  <si>
    <t>10.</t>
  </si>
  <si>
    <t>11.</t>
  </si>
  <si>
    <t xml:space="preserve">          Per Table 3, Column 1</t>
  </si>
  <si>
    <t xml:space="preserve">     Total Students Funded through the MFP</t>
  </si>
  <si>
    <t>1a</t>
  </si>
  <si>
    <t>1b</t>
  </si>
  <si>
    <t>New Type 2 Charters (First Year)</t>
  </si>
  <si>
    <t xml:space="preserve">New Type 2 Charters </t>
  </si>
  <si>
    <t>New Type 2 Charters 1st Year do not impact cost since most of these come from city/parish schools.</t>
  </si>
  <si>
    <t>most come from within city/parish counts</t>
  </si>
  <si>
    <t>Total Weighted Membership Count</t>
  </si>
  <si>
    <t>February 1 Student Membership Count (2/1/13 / 2/1/14 Projection)</t>
  </si>
  <si>
    <t>Low Income and English Language Learner Weight (22%)</t>
  </si>
  <si>
    <t>Total Level 1 State and Local Cost Allocation (A X B)</t>
  </si>
  <si>
    <t>Level 1 State Cost Allocation (65%)</t>
  </si>
  <si>
    <t>Level 1 Local Cost Allocation (35%)</t>
  </si>
  <si>
    <t>Property Tax Revenue Contribution</t>
  </si>
  <si>
    <t>Sales Tax Revenue Contribution</t>
  </si>
  <si>
    <t>Other Revenues Contribution</t>
  </si>
  <si>
    <t>Net Assessed Property Value (capped at 10%)</t>
  </si>
  <si>
    <t>Computed Sales Tax Base (capped at 15%)</t>
  </si>
  <si>
    <t>Average Equivalent Sales Tax Rate / State Computed Sales Tax Rate</t>
  </si>
  <si>
    <t>Average Equivalent Millage Rate / State Computed Property Tax Millage</t>
  </si>
  <si>
    <t>Level 1 State and Local Base Cost Per Pupil</t>
  </si>
  <si>
    <t xml:space="preserve">State Cost of Level 2 Incentive for Local Effort </t>
  </si>
  <si>
    <t>Continuation Pay Raises</t>
  </si>
  <si>
    <t>Hold Harmless Enhancement</t>
  </si>
  <si>
    <t>Mandated Costs in Health Insurance, Retirement and Fuel</t>
  </si>
  <si>
    <t>Level 4 Supplementary Funding (I.1+I.2+I.3+I.4+I.5)</t>
  </si>
  <si>
    <t>Foreign Language Associate Program Salary</t>
  </si>
  <si>
    <t>Foreign Language Associate Program Stipends</t>
  </si>
  <si>
    <r>
      <t xml:space="preserve">Office of
Juvenile Justice 
(OJJ)
</t>
    </r>
    <r>
      <rPr>
        <sz val="10"/>
        <color indexed="18"/>
        <rFont val="Arial"/>
        <family val="2"/>
      </rPr>
      <t>(Includes
A02001
A02002
A02003
101018
101021
101022)</t>
    </r>
  </si>
  <si>
    <r>
      <t xml:space="preserve">Total MFP State Cost Allocation plus Audit Adjustments plus 
Other Adjustments </t>
    </r>
    <r>
      <rPr>
        <b/>
        <sz val="12"/>
        <color rgb="FFFF0000"/>
        <rFont val="Arial Narrow"/>
        <family val="2"/>
      </rPr>
      <t xml:space="preserve">(July) </t>
    </r>
    <r>
      <rPr>
        <sz val="12"/>
        <color indexed="18"/>
        <rFont val="Arial Narrow"/>
        <family val="2"/>
      </rPr>
      <t>(M + N)</t>
    </r>
  </si>
  <si>
    <t>Total MFP State Cost Allocation plus Audit Adjustments plus
Other Adjustments plus Mid-Year Adjustments for Students (O + P)</t>
  </si>
  <si>
    <r>
      <t xml:space="preserve">Total MFP State Cost Allocation plus Audit Adjustments  </t>
    </r>
    <r>
      <rPr>
        <sz val="12"/>
        <color indexed="18"/>
        <rFont val="Arial Narrow"/>
        <family val="2"/>
      </rPr>
      <t>(K + L)</t>
    </r>
  </si>
  <si>
    <r>
      <t xml:space="preserve">Total MFP State Cost Allocation (Levels 1, 2, 3, 4 and 5) </t>
    </r>
    <r>
      <rPr>
        <sz val="12"/>
        <color indexed="18"/>
        <rFont val="Arial Narrow"/>
        <family val="2"/>
      </rPr>
      <t>(H+I+J)</t>
    </r>
  </si>
  <si>
    <t>State Cost Allocation (Levels 1, 2 and 3)
          Per Pupil Based on February 1 Membership</t>
  </si>
  <si>
    <r>
      <t xml:space="preserve">Allocations for Other Public Schools </t>
    </r>
    <r>
      <rPr>
        <sz val="12"/>
        <color indexed="18"/>
        <rFont val="Arial Narrow"/>
        <family val="2"/>
      </rPr>
      <t xml:space="preserve"> (J.1+J.2+J.3+J.4+J.5+J.6+J.7)</t>
    </r>
  </si>
  <si>
    <t>Mid-Year Student Allocations</t>
  </si>
  <si>
    <t>October 1 Mid-year Adjustment for Student Growth</t>
  </si>
  <si>
    <t>February 1 Mid-year Adjustment for Student Growth</t>
  </si>
  <si>
    <t xml:space="preserve">Local Property Tax Revenue </t>
  </si>
  <si>
    <t>Local Sales Tax Revenue</t>
  </si>
  <si>
    <t>a.</t>
  </si>
  <si>
    <t>b.</t>
  </si>
  <si>
    <t>c.</t>
  </si>
  <si>
    <t>2. Local Sales Tax Revenue</t>
  </si>
  <si>
    <t>1. Local Property Tax Revenue</t>
  </si>
  <si>
    <t>Celerity
(Celerity Lanier Charter School)</t>
  </si>
  <si>
    <t>Celerity
(Celerity Crestworth Charter School)</t>
  </si>
  <si>
    <t>Friendship
(Capitol High School)</t>
  </si>
  <si>
    <t>State Computed Property Tax Millage</t>
  </si>
  <si>
    <t>State Computed Sales Tax Rate</t>
  </si>
  <si>
    <t>3. Other Revenue Contribution</t>
  </si>
  <si>
    <t>Foreign Language/Escadrille Associate Program Stipends</t>
  </si>
  <si>
    <t>TBD</t>
  </si>
  <si>
    <t>Virtual Type 2 Charter School Adjustment (10% Return to State)</t>
  </si>
  <si>
    <r>
      <t xml:space="preserve">Foreign Language/Escadrille Associate Program Salary 
</t>
    </r>
    <r>
      <rPr>
        <sz val="12"/>
        <rFont val="Arial Narrow"/>
        <family val="2"/>
      </rPr>
      <t>(Included in Level 3 in 13/14)</t>
    </r>
  </si>
  <si>
    <t>T3, C10</t>
  </si>
  <si>
    <t>3A, C14</t>
  </si>
  <si>
    <t>T3, C33</t>
  </si>
  <si>
    <t>T4, C7</t>
  </si>
  <si>
    <t>T4, C11</t>
  </si>
  <si>
    <t>T5C2,T5C3</t>
  </si>
  <si>
    <t>Total 
Stipends
for Foreign
Associate/
Escadrille
Teachers</t>
  </si>
  <si>
    <r>
      <t xml:space="preserve">Career &amp; Technical Weight </t>
    </r>
    <r>
      <rPr>
        <b/>
        <sz val="11"/>
        <rFont val="Arial Narrow"/>
        <family val="2"/>
      </rPr>
      <t>(6%)</t>
    </r>
  </si>
  <si>
    <t>3_3A1001-JCFA-East</t>
  </si>
  <si>
    <t>3_3A2001-Tallulah Charter School</t>
  </si>
  <si>
    <t>3_3A3001-East Baton Rouge Charter Academy</t>
  </si>
  <si>
    <t>3_3A4001-Delta Charter School, MST</t>
  </si>
  <si>
    <t>3_3A6001-Northshore Charter School</t>
  </si>
  <si>
    <t>3_3A7001-Louisiana Key Academy</t>
  </si>
  <si>
    <t>Funding
for
Foreign
Associate/
Escadrille
Teachers</t>
  </si>
  <si>
    <t>Stipends for First Year  Teachers</t>
  </si>
  <si>
    <t>Stipends for Second and Third Year  Teachers</t>
  </si>
  <si>
    <r>
      <t xml:space="preserve">NOCCA
(New Orleans Center for
Creative Arts)
</t>
    </r>
    <r>
      <rPr>
        <sz val="11"/>
        <color indexed="18"/>
        <rFont val="Arial"/>
        <family val="2"/>
      </rPr>
      <t xml:space="preserve">(Site Code 334001)
</t>
    </r>
  </si>
  <si>
    <r>
      <t xml:space="preserve">LSMSA
(Louisiana Schools for Math,
Science and the Arts)
</t>
    </r>
    <r>
      <rPr>
        <sz val="11"/>
        <color indexed="18"/>
        <rFont val="Arial"/>
        <family val="2"/>
      </rPr>
      <t xml:space="preserve">(Site Code 302006)
</t>
    </r>
  </si>
  <si>
    <t>Edgar P. Harney Spirit of Excellence Acdmy (Spirit of Excel)</t>
  </si>
  <si>
    <t>LB Landry-OP Walker College &amp; Career Prep (ACSA)</t>
  </si>
  <si>
    <t>Dwight D. Eisenhower (ACSA )</t>
  </si>
  <si>
    <t>William J. Fischer (ACSA )</t>
  </si>
  <si>
    <t>McDonogh #32 Elem (ACSA)</t>
  </si>
  <si>
    <t>Martin Behrman (ACSA)</t>
  </si>
  <si>
    <t>Sophie B. Wright Learning Acdmy (Inst. of Academic Excel.)</t>
  </si>
  <si>
    <t>Dr. MLK, Jr Charter for Sci &amp; Tech (Friends of King)</t>
  </si>
  <si>
    <t>McDonogh #28 City Park Acdmy (N.O. Charter Schls Fndtn)</t>
  </si>
  <si>
    <t>ReNEW Cultural Arts Acdmy. (ReNEW)</t>
  </si>
  <si>
    <t>ReNEW SciTech Acdmy. (ReNEW)</t>
  </si>
  <si>
    <t>ReNEW Delores T. Aaron Elem (ReNEW)</t>
  </si>
  <si>
    <t>ReNEW Schaumburg Elem (ReNEW)</t>
  </si>
  <si>
    <t>ReNEW Accelerated High, West Bank (ReNEW)</t>
  </si>
  <si>
    <t>Career Development Allocation</t>
  </si>
  <si>
    <t>Prior Year Audit Adjustments</t>
  </si>
  <si>
    <t>col. 35</t>
  </si>
  <si>
    <t>Iberville Charter Academy</t>
  </si>
  <si>
    <t>Other
Revenue</t>
  </si>
  <si>
    <t>FY2012-13
Computed Sales
Tax Base with
15% Cap
on Growth</t>
  </si>
  <si>
    <t>Projected
Yield of
Sales Tax
Rate of</t>
  </si>
  <si>
    <t xml:space="preserve">Projected
Yield of
Property
Tax Millage
Rate of </t>
  </si>
  <si>
    <t>Minus
State Cost
Allocation
 for
Lycee
Francais
Table 5C1E</t>
  </si>
  <si>
    <t xml:space="preserve"> YTD
Payments</t>
  </si>
  <si>
    <t>Balance
Remaining</t>
  </si>
  <si>
    <t>Minus
State Cost
Allocation
 for
Southwest
LA Charter
Table 5C1H</t>
  </si>
  <si>
    <t>Minus
State Cost
Allocation
 for
JCFA-East
Table 5C1J</t>
  </si>
  <si>
    <t>Minus
State Cost
Allocation
 for
Tallulah Charter School
Table 5C1K</t>
  </si>
  <si>
    <t>Minus
State Cost
Allocation
 for
Baton
Rouge Charter Academy
Table 5C1M</t>
  </si>
  <si>
    <t>Minus
State Cost
Allocation
 for
Delta 
Charter
School
Table 5C1N</t>
  </si>
  <si>
    <t>Minus
State Cost
Allocation
 for
Northshore Charter
School
Table 5C1L</t>
  </si>
  <si>
    <t>Minus
State Cost
Allocation
 for
Louisiana
Key
Academy
Table 5C1I</t>
  </si>
  <si>
    <r>
      <t xml:space="preserve">Level 4 Supplementary Funding </t>
    </r>
    <r>
      <rPr>
        <sz val="12"/>
        <color indexed="18"/>
        <rFont val="Arial Narrow"/>
        <family val="2"/>
      </rPr>
      <t>(I.1a+I.1b+I.2+I.3+I.4)</t>
    </r>
  </si>
  <si>
    <r>
      <t xml:space="preserve">Level 1 and 2 State Cost Allocation </t>
    </r>
    <r>
      <rPr>
        <sz val="12"/>
        <color indexed="18"/>
        <rFont val="Arial Narrow"/>
        <family val="2"/>
      </rPr>
      <t>(C1+E1)</t>
    </r>
  </si>
  <si>
    <t>Number
 of  Foreign Associate/
Escadrille Teachers
2.1.14</t>
  </si>
  <si>
    <t>Total
Level 3
Funding
(Without Continuation
of 
Prior Year
Pay Raises)</t>
  </si>
  <si>
    <t>Redistribution
of Hold
Harmless 
Phase-out
(FY2007/08 - FY2014/15)</t>
  </si>
  <si>
    <t>Pay Raise &amp;
Insurance
Supplement
Amounts
from Prior
Years</t>
  </si>
  <si>
    <t>Prior Year
Reduction of
Remaining
Hold Harmless
(FY07/08 thru 
FY13/14)</t>
  </si>
  <si>
    <t>Continuation of Prior
Year Pay Raises</t>
  </si>
  <si>
    <t>Minus
State Cost
Allocation
 for
Recovery 
School 
District
Table 5B</t>
  </si>
  <si>
    <t>Total
Level 3
Funding
(With Continuation
of 
Prior Year
Pay Raises)</t>
  </si>
  <si>
    <t>Total Local Revenues in MFP (FY2011-12 / FY2012-13)</t>
  </si>
  <si>
    <r>
      <t xml:space="preserve">MFP State Cost Allocation 
(Levels 1, 2, 3, 4 and Allocations for Other Public Schools) </t>
    </r>
    <r>
      <rPr>
        <sz val="12"/>
        <color indexed="18"/>
        <rFont val="Arial Narrow"/>
        <family val="2"/>
      </rPr>
      <t>(H+I+J)</t>
    </r>
  </si>
  <si>
    <t>* New Charters in FY2014-15 funded based on projected student count; will be updated to actual 10/1/14 count</t>
  </si>
  <si>
    <t>This Table provides the State's funding to the RSD.  The RSD distributes funds to the Type 5 Charter Schools in Orleans Parish using the RSD's Differentiated Funding Formula for Special Education Students.</t>
  </si>
  <si>
    <r>
      <t xml:space="preserve">OPSB
</t>
    </r>
    <r>
      <rPr>
        <sz val="10"/>
        <rFont val="Arial"/>
        <family val="2"/>
      </rPr>
      <t>Orleans Parish</t>
    </r>
    <r>
      <rPr>
        <sz val="10"/>
        <color rgb="FFFF0000"/>
        <rFont val="Arial"/>
        <family val="2"/>
      </rPr>
      <t xml:space="preserve"> </t>
    </r>
  </si>
  <si>
    <t>Prepared: 3/5/2014</t>
  </si>
  <si>
    <t>Total
FY2014-15
Table 3</t>
  </si>
  <si>
    <r>
      <t xml:space="preserve">Feb. 1, 2014
MFP
Funded Membership
</t>
    </r>
    <r>
      <rPr>
        <sz val="10"/>
        <color indexed="18"/>
        <rFont val="Arial"/>
        <family val="2"/>
      </rPr>
      <t>(Per SIS)</t>
    </r>
  </si>
  <si>
    <r>
      <t xml:space="preserve">Feb. 1, 2014
MFP
Student 
Count 
</t>
    </r>
    <r>
      <rPr>
        <sz val="10"/>
        <color indexed="18"/>
        <rFont val="Arial"/>
        <family val="2"/>
      </rPr>
      <t>(per SIS)</t>
    </r>
  </si>
  <si>
    <t>Feb. 1, 2014
MFP Funded
Membership
(Per SIS)</t>
  </si>
  <si>
    <t xml:space="preserve">Feb. 1, 2014
MFP Funded
Membership
(Per SIS)
(Projected for
new charters)
</t>
  </si>
  <si>
    <t xml:space="preserve">
Feb. 1, 2014
MFP Funded
Membership
(Per SIS)
</t>
  </si>
  <si>
    <t>City/Parish District MFP Funded Membership 
February 1, 2014
(Per SIS)</t>
  </si>
  <si>
    <t>A02</t>
  </si>
  <si>
    <t>3A1001</t>
  </si>
  <si>
    <t>3A2001</t>
  </si>
  <si>
    <t>3A3001</t>
  </si>
  <si>
    <t>3A4001</t>
  </si>
  <si>
    <t>3A6001</t>
  </si>
  <si>
    <t>3A7001</t>
  </si>
  <si>
    <r>
      <t xml:space="preserve">Low Income
 and 
English 
Language 
Learner
</t>
    </r>
    <r>
      <rPr>
        <sz val="10"/>
        <color indexed="18"/>
        <rFont val="Arial"/>
        <family val="2"/>
      </rPr>
      <t>(Per SIS
2-1-14)</t>
    </r>
    <r>
      <rPr>
        <b/>
        <sz val="10"/>
        <color indexed="18"/>
        <rFont val="Arial"/>
        <family val="2"/>
      </rPr>
      <t xml:space="preserve">
</t>
    </r>
  </si>
  <si>
    <r>
      <t xml:space="preserve">Career &amp;
Technical
Units
(CTE)
</t>
    </r>
    <r>
      <rPr>
        <sz val="10"/>
        <color indexed="18"/>
        <rFont val="Arial"/>
        <family val="2"/>
      </rPr>
      <t>(Per LEADS
10-1-13)</t>
    </r>
  </si>
  <si>
    <t xml:space="preserve">
Feb. 1, 2014
Student Membership </t>
  </si>
  <si>
    <r>
      <t xml:space="preserve">
Feb. 1, 2014
Member-
ship 
(pe</t>
    </r>
    <r>
      <rPr>
        <sz val="10"/>
        <color indexed="18"/>
        <rFont val="Arial"/>
        <family val="2"/>
      </rPr>
      <t>r</t>
    </r>
    <r>
      <rPr>
        <b/>
        <sz val="10"/>
        <color indexed="18"/>
        <rFont val="Arial"/>
        <family val="2"/>
      </rPr>
      <t xml:space="preserve"> SIS)</t>
    </r>
  </si>
  <si>
    <t>Feb. 1, 2014
MFP 
Funded
Membership
(Per SIS)</t>
  </si>
  <si>
    <t>Feb. 1, 2014
MFP Funded
Membership 
+ 
ADM* at OJJ</t>
  </si>
  <si>
    <t>col 7 + col 11</t>
  </si>
  <si>
    <t>col 38</t>
  </si>
  <si>
    <t>col 21</t>
  </si>
  <si>
    <t>col 18</t>
  </si>
  <si>
    <t>3A, C2</t>
  </si>
  <si>
    <t>3A, C3</t>
  </si>
  <si>
    <t>3A, C12</t>
  </si>
  <si>
    <t>T6, C3</t>
  </si>
  <si>
    <t>T6, C6</t>
  </si>
  <si>
    <t>(4a)</t>
  </si>
  <si>
    <t>(6b)</t>
  </si>
  <si>
    <t>11a</t>
  </si>
  <si>
    <t>T3, C12</t>
  </si>
  <si>
    <t>T3, C11a</t>
  </si>
  <si>
    <t>T3, C20</t>
  </si>
  <si>
    <t>T3, C32</t>
  </si>
  <si>
    <t>T4, C9</t>
  </si>
  <si>
    <t>T5A2, C6</t>
  </si>
  <si>
    <t>T5A3, C5</t>
  </si>
  <si>
    <t>February 1 Student Membership Count (2/1/13 / 2/1/14)</t>
  </si>
  <si>
    <t>Prior Year Audit Adjustments
(For City/Parish LEAs only)</t>
  </si>
  <si>
    <t>1a.</t>
  </si>
  <si>
    <t>1b.</t>
  </si>
  <si>
    <t>3_ Legacy-340001-
The MAX Charter School</t>
  </si>
  <si>
    <t>3_ Legacy-
321001-
New
Vision
Learning
Academy</t>
  </si>
  <si>
    <t>3_ Legacy-
329001-
VB 
Glencoe
Charter
School</t>
  </si>
  <si>
    <t>3_ Legacy-
331001-
International
School of
Louisiana</t>
  </si>
  <si>
    <t>3_ Legacy-
339001-
Milestone
SABIS
Academy
of
New Orleans</t>
  </si>
  <si>
    <t>FY 2014-15
Total
MFP
Funded</t>
  </si>
  <si>
    <r>
      <t xml:space="preserve">Continuation 
of
 Prior Year 
Pay Raises 
</t>
    </r>
    <r>
      <rPr>
        <sz val="8"/>
        <color indexed="18"/>
        <rFont val="Arial"/>
        <family val="2"/>
      </rPr>
      <t>(Includes Type 5 Charters,
New Type 2 Charters, Not 1st Year)</t>
    </r>
  </si>
  <si>
    <t>Admin
Fee
to
Dept. of
Education
(.25%)</t>
  </si>
  <si>
    <t>YTD
Payments</t>
  </si>
  <si>
    <t>Total Cost
Allocation
+ Prior Year
Pay Raises</t>
  </si>
  <si>
    <t>Total Cost
Allocation
+ Prior Year
Pay Raises
+/- Mid-Year
Adjustments
for Students</t>
  </si>
  <si>
    <t xml:space="preserve">Monthly
Payment
</t>
  </si>
  <si>
    <t>3A8001</t>
  </si>
  <si>
    <t>3A9001</t>
  </si>
  <si>
    <t>3B1001</t>
  </si>
  <si>
    <t>3A3002</t>
  </si>
  <si>
    <t>328003</t>
  </si>
  <si>
    <t>3B5001</t>
  </si>
  <si>
    <t>3B6001</t>
  </si>
  <si>
    <t>3B6002</t>
  </si>
  <si>
    <t>3AP001</t>
  </si>
  <si>
    <t>3AP002</t>
  </si>
  <si>
    <t>3B9001</t>
  </si>
  <si>
    <t>3AQ001</t>
  </si>
  <si>
    <r>
      <t xml:space="preserve">Lafayette
Renaissance
</t>
    </r>
    <r>
      <rPr>
        <sz val="10"/>
        <color indexed="18"/>
        <rFont val="Arial"/>
        <family val="2"/>
      </rPr>
      <t>(Site Code 3B6002)
(Opened 14/15)
(Not in a District Building)</t>
    </r>
  </si>
  <si>
    <r>
      <t xml:space="preserve">Acadiana
Renaissance
</t>
    </r>
    <r>
      <rPr>
        <sz val="10"/>
        <color indexed="18"/>
        <rFont val="Arial"/>
        <family val="2"/>
      </rPr>
      <t>(Site Code 3B6001)
(Opened 14/15)
(Not in a District Building)</t>
    </r>
  </si>
  <si>
    <r>
      <t xml:space="preserve">Northeast
Claiborne
Charter
</t>
    </r>
    <r>
      <rPr>
        <sz val="10"/>
        <color indexed="18"/>
        <rFont val="Arial"/>
        <family val="2"/>
      </rPr>
      <t>(Site Code 3B5001)
(Opened 14/15)
(Not in a District Building)</t>
    </r>
  </si>
  <si>
    <r>
      <t xml:space="preserve">Lake Charles
College Prep
</t>
    </r>
    <r>
      <rPr>
        <sz val="10"/>
        <color indexed="18"/>
        <rFont val="Arial"/>
        <family val="2"/>
      </rPr>
      <t>(Site Code 328003)
(Opened 14/15)
(Not in a District Building)</t>
    </r>
  </si>
  <si>
    <r>
      <t xml:space="preserve">Iberville
Charter
Academy
</t>
    </r>
    <r>
      <rPr>
        <sz val="10"/>
        <color indexed="18"/>
        <rFont val="Arial"/>
        <family val="2"/>
      </rPr>
      <t>(Site Code 3A3002)
(Opened 14/15)
(Not in a District Building)</t>
    </r>
  </si>
  <si>
    <r>
      <t xml:space="preserve">Advantage
Charter
Academy
</t>
    </r>
    <r>
      <rPr>
        <sz val="10"/>
        <color indexed="18"/>
        <rFont val="Arial"/>
        <family val="2"/>
      </rPr>
      <t>(Site Code 3B1001)
(Opened 14/15)
(Not in a District Building)</t>
    </r>
  </si>
  <si>
    <r>
      <t xml:space="preserve">Vision Academy
</t>
    </r>
    <r>
      <rPr>
        <sz val="10"/>
        <color indexed="18"/>
        <rFont val="Arial"/>
        <family val="2"/>
      </rPr>
      <t>(Site Code 3A9001)
(Opened 14/15)
(Not in a District Building)</t>
    </r>
  </si>
  <si>
    <r>
      <t xml:space="preserve">Impact Charter School
</t>
    </r>
    <r>
      <rPr>
        <sz val="10"/>
        <color indexed="18"/>
        <rFont val="Arial"/>
        <family val="2"/>
      </rPr>
      <t>(Site Code 3A8001)
(Opened 14/15)
(Not in a District Building)</t>
    </r>
  </si>
  <si>
    <t>3B1002</t>
  </si>
  <si>
    <t>Williow Charter Academy</t>
  </si>
  <si>
    <r>
      <t xml:space="preserve">Willow
Charter
Academy
</t>
    </r>
    <r>
      <rPr>
        <sz val="10"/>
        <color indexed="18"/>
        <rFont val="Arial"/>
        <family val="2"/>
      </rPr>
      <t>(Site Code 3B1002)
(Opened 14/15)
(Not in a District Building)</t>
    </r>
  </si>
  <si>
    <t>Comparison</t>
  </si>
  <si>
    <t>October 2014
Midyear
Adjustment
for Students
(Includes RSD,
Type 5 Charters,
&amp; Non-Legacy
Type 2 Charters
(Not 1st Year)</t>
  </si>
  <si>
    <t>February 2015
Midyear
Adjustment
for Students
(Includes RSD,
Type 5 Charters,
&amp; Non-Legacy
Type 2 Charters
(Not 1st Year)</t>
  </si>
  <si>
    <r>
      <t xml:space="preserve">State Cost Allocation
Per Pupil
(Levels 
1, 2  &amp; 3)
</t>
    </r>
    <r>
      <rPr>
        <sz val="10"/>
        <color indexed="18"/>
        <rFont val="Arial"/>
        <family val="2"/>
      </rPr>
      <t>(Table 3, 
col. 29)</t>
    </r>
  </si>
  <si>
    <t>Total
Midyear
Adjustment
for Students
(Includes RSD,
Type 5 Charters,
&amp; Non-Legacy
Type 2 Charters
(Not 1st Year)</t>
  </si>
  <si>
    <t>FY2014-2015 MFP Budget Letter</t>
  </si>
  <si>
    <t>FY2013-14
Budget Letter
July 2013</t>
  </si>
  <si>
    <t>Total
Level
4</t>
  </si>
  <si>
    <t>First Year
Foreign Associate/
Escadrille 
Teachers in
FY2014-15</t>
  </si>
  <si>
    <t>Second and 
Third Year
Foreign
Associate/
Escadrille
Teachers in
FY2014-15</t>
  </si>
  <si>
    <t>Grades
7 through 12
2.1.14 SIS</t>
  </si>
  <si>
    <t>FY2014-15
MFP State
Share of Levels
1, 2, and 3
with
 Continuation 
of Prior-Year
 Pay Raises</t>
  </si>
  <si>
    <t>KIPP Central City Primary (KIPP N.O.)</t>
  </si>
  <si>
    <t>KIPP N.O. Leadership Acdmy (KIPP N.O.)</t>
  </si>
  <si>
    <t>Funding
for
Supplemental
Course
Allocation</t>
  </si>
  <si>
    <t>Salaries for
Foreign
Associate/
Escadrille
Teachers</t>
  </si>
  <si>
    <t>Total
State Cost
Allocation
+ Prior Year
Pay Raises
+/- Mid-Year
Adjustments
- Admin Fee</t>
  </si>
  <si>
    <t>Total
State Cost
Allocation
+ Prior Year
Pay Raises
+/- Mid-Year
Adjustments</t>
  </si>
  <si>
    <t xml:space="preserve">Total MFP
Distribution 
Amount minus 
Audit
Adjustments
and State Cost
Allocation
Table 2 </t>
  </si>
  <si>
    <r>
      <t xml:space="preserve">Students
with
Disabilities
</t>
    </r>
    <r>
      <rPr>
        <sz val="10"/>
        <color indexed="18"/>
        <rFont val="Arial"/>
        <family val="2"/>
      </rPr>
      <t>(Per SER
2-1-14)</t>
    </r>
  </si>
  <si>
    <t>Add-On 
Student
Units</t>
  </si>
  <si>
    <t>Add-On
Student
Units</t>
  </si>
  <si>
    <r>
      <t xml:space="preserve">Gifted and 
Talented 
Students
</t>
    </r>
    <r>
      <rPr>
        <sz val="10"/>
        <color indexed="18"/>
        <rFont val="Arial"/>
        <family val="2"/>
      </rPr>
      <t>(Per SER
2-1-14)</t>
    </r>
  </si>
  <si>
    <t>Economy-
of-Scale 
Percent 
Support</t>
  </si>
  <si>
    <t xml:space="preserve">Total Weighted 
Add-On 
Student
Units </t>
  </si>
  <si>
    <t>Local Cost
Allocation of 
Level 1
(Deduction
for Property &amp;
Sales and Other
Revenues)</t>
  </si>
  <si>
    <t>Local Cost Allocation 
of Level 2</t>
  </si>
  <si>
    <t>Economy-
of-Scale:
If &lt; 7500,
then
7500 less
February
Membership</t>
  </si>
  <si>
    <t>Audit
Adjustments
FY2013-14
MFP
(Includes 
2/1 midyear
 from 
FY2012-13)</t>
  </si>
  <si>
    <t>Continuation
of Prior
Year
Pay Raises
Per Pupil
Amount</t>
  </si>
  <si>
    <t>Continuation
of Prior
Year
Pay Raises</t>
  </si>
  <si>
    <t>Level 4 Foreign Assoc/Escadrille Salaries</t>
  </si>
  <si>
    <t>Level 4 Foreign Assoc/Escadrille Stipends</t>
  </si>
  <si>
    <t>Level 4 Career Development Allocation</t>
  </si>
  <si>
    <t>Level 4 High Cost Services Allocation</t>
  </si>
  <si>
    <t>Level 4 Supplemental Course Allocation</t>
  </si>
  <si>
    <t>GRAND TOTAL: STATE TOTALS WITH LEVEL 4</t>
  </si>
  <si>
    <t>SUBTOTAL: STATE TOTALS ONLY</t>
  </si>
  <si>
    <r>
      <t>Audit
Adjustments
FY2013-14
MFP</t>
    </r>
    <r>
      <rPr>
        <sz val="10"/>
        <color indexed="18"/>
        <rFont val="Arial"/>
        <family val="2"/>
      </rPr>
      <t xml:space="preserve">
(Includes 
2/1 midyear
 from 
FY2012-13)</t>
    </r>
  </si>
  <si>
    <t>TOTAL RSD 
(Operated + Chartered + Placeholder)</t>
  </si>
  <si>
    <t>RSD Operated</t>
  </si>
  <si>
    <t>RSD Orleans Placeholder</t>
  </si>
  <si>
    <t>Total
State Cost
Allocation
+ Prior Year
Pay Raises
+/- Mid-Year
Adjustments
- Admin Fee
+/- Audit
Adjustments
+ Total 
Level 4 Funds</t>
  </si>
  <si>
    <t>Total
State Cost
Allocation
+ Prior Year
Pay Raises
+/- Mid-Year
Adjustments
- Admin Fee
+/- Audit
Adjustments
+ Level 4 
Funds Paid
Monthly</t>
  </si>
  <si>
    <t>Total Cost
Allocation
+ Prior Year
Pay Raises
+/- Mid-Year
Adjustments
+/- Audit
Adjustments
+ Level 4
Funds Paid
Monthly</t>
  </si>
  <si>
    <t>Total Cost
Allocation
+ Prior Year
Pay Raises
+/- Mid-Year
Adjustments
+/- Audit
Adjustments
+ Total
Level 4 Funds</t>
  </si>
  <si>
    <t>Total 
State Cost
Allocation 
+/- Audit
Adjustments
+ Level 4
Funds Paid
Monthly</t>
  </si>
  <si>
    <t>Total 
State Cost
Allocation 
+/- Audit
Adjustments
+ Total
Level 4 Funds</t>
  </si>
  <si>
    <t>Total
State Cost
Allocation
+ Prior Year
Pay Raises
+/- Mid-Year
Adjustments
- Admin Fee
+/- Audit
Adjustments
+ Level 4
Funds Paid
Monthly</t>
  </si>
  <si>
    <t>Total
State Cost
Allocation
+ Prior Year
Pay Raises
+/- Mid-Year
Adjustments
- Admin Fee
+/- Audit
Adjustments
+ Total
Level 4 Funds</t>
  </si>
  <si>
    <t>Stipends for Foreign Associate/Escadrille Teachers
(Pending FY2014-15 Data)</t>
  </si>
  <si>
    <t>High
Cost
Services
Allocations
(Pending Awards)</t>
  </si>
  <si>
    <t>Supplemental
Course
Allocation</t>
  </si>
  <si>
    <t>Level 4 Funds Paid Monthly</t>
  </si>
  <si>
    <t>Continuation
of Prior Year
Pay Raises</t>
  </si>
  <si>
    <t>Stipends for
Foreign
Associate/
Escadrille
Teachers</t>
  </si>
  <si>
    <t>Career
Development
Allocation</t>
  </si>
  <si>
    <t>High
Cost
Services
Allocation</t>
  </si>
  <si>
    <t>Total MFP
State Cost  
Allocation 
+ Prior Year 
Pay Raises 
+/- Midyear
Adjustments
+/- Audit
Adjustments
+ Level 4
Funds Paid
Monthly</t>
  </si>
  <si>
    <t>Total MFP
State Cost  
Allocation 
+ Prior Year 
Pay Raises 
+/- Midyear
Adjustments
+/- Audit
Adjustments
+ Total
Level 4 Funds</t>
  </si>
  <si>
    <t>Level 4 Funds Paid Annually</t>
  </si>
  <si>
    <r>
      <t xml:space="preserve">New Vision Learning                                     
</t>
    </r>
    <r>
      <rPr>
        <sz val="10"/>
        <rFont val="Arial"/>
        <family val="2"/>
      </rPr>
      <t>City of Monroe 
(Not in a district bldg)</t>
    </r>
  </si>
  <si>
    <r>
      <t xml:space="preserve">Glencoe Charter School                                    
</t>
    </r>
    <r>
      <rPr>
        <sz val="10"/>
        <rFont val="Arial"/>
        <family val="2"/>
      </rPr>
      <t>St. Mary Parish 
(Not in a district bldg)</t>
    </r>
  </si>
  <si>
    <r>
      <t xml:space="preserve">International School of LA             
</t>
    </r>
    <r>
      <rPr>
        <sz val="10"/>
        <rFont val="Arial"/>
        <family val="2"/>
      </rPr>
      <t>Orleans Parish 
(In a district bldg.)</t>
    </r>
  </si>
  <si>
    <r>
      <t xml:space="preserve">International School of LA             
</t>
    </r>
    <r>
      <rPr>
        <sz val="10"/>
        <rFont val="Arial"/>
        <family val="2"/>
      </rPr>
      <t xml:space="preserve">Orleans Parish </t>
    </r>
    <r>
      <rPr>
        <b/>
        <sz val="10"/>
        <rFont val="Arial"/>
        <family val="2"/>
      </rPr>
      <t xml:space="preserve">
</t>
    </r>
    <r>
      <rPr>
        <sz val="10"/>
        <rFont val="Arial"/>
        <family val="2"/>
      </rPr>
      <t>(Not in a district bldg.)</t>
    </r>
  </si>
  <si>
    <r>
      <t xml:space="preserve">International School of LA             
</t>
    </r>
    <r>
      <rPr>
        <sz val="10"/>
        <rFont val="Arial"/>
        <family val="2"/>
      </rPr>
      <t xml:space="preserve">Orleans Parish </t>
    </r>
    <r>
      <rPr>
        <b/>
        <sz val="10"/>
        <rFont val="Arial"/>
        <family val="2"/>
      </rPr>
      <t xml:space="preserve">
</t>
    </r>
    <r>
      <rPr>
        <sz val="10"/>
        <rFont val="Arial"/>
        <family val="2"/>
      </rPr>
      <t>(Total Funding)</t>
    </r>
  </si>
  <si>
    <r>
      <t xml:space="preserve">Avoyelles Public Charter                   
</t>
    </r>
    <r>
      <rPr>
        <sz val="10"/>
        <rFont val="Arial"/>
        <family val="2"/>
      </rPr>
      <t>Avoyelles Parish 
(Not in a district bldg)</t>
    </r>
  </si>
  <si>
    <r>
      <t xml:space="preserve">Delhi Charter School                                    </t>
    </r>
    <r>
      <rPr>
        <sz val="10"/>
        <rFont val="Arial"/>
        <family val="2"/>
      </rPr>
      <t xml:space="preserve"> 
Richland Parish
(Not in a district bldg)</t>
    </r>
  </si>
  <si>
    <r>
      <t xml:space="preserve">Belle Chasse Academy                                 
</t>
    </r>
    <r>
      <rPr>
        <sz val="10"/>
        <rFont val="Arial"/>
        <family val="2"/>
      </rPr>
      <t>Plaquemines Parish
(Not in a district bldg)</t>
    </r>
  </si>
  <si>
    <r>
      <t xml:space="preserve">Milestone SABIS Academy
</t>
    </r>
    <r>
      <rPr>
        <sz val="10"/>
        <rFont val="Arial"/>
        <family val="2"/>
      </rPr>
      <t>Orleans Parish
(Not in a district bldg)</t>
    </r>
  </si>
  <si>
    <r>
      <t xml:space="preserve">Maxine Giardina 
</t>
    </r>
    <r>
      <rPr>
        <sz val="10"/>
        <rFont val="Arial"/>
        <family val="2"/>
      </rPr>
      <t>Lafourche Parish
(Not in a district bldg)</t>
    </r>
  </si>
  <si>
    <t>Total
State Cost
Allocation
+ Prior Year
Pay Raises
+/- Mid-Year
Adjustments
- Admin Fee
+/- Audit
Adjustments</t>
  </si>
  <si>
    <t>Total
State Cost
Allocation
+ Prior Year
Pay Raises
+/- Mid-Year
Adjustments
- Admin Fee
+/- Audit
Adjustments
+ Total
Level 4
Funds</t>
  </si>
  <si>
    <t>FY2014-15
Total MFP
Allocation 
+/- Adjustments
- State Cost Allocation to 
other LEAs
+ Level 4
Funds Paid
Monthly</t>
  </si>
  <si>
    <t>FY2014-15
Total MFP
Allocation 
+/- Adjustments
- State Cost Allocation to 
other LEAs
+ Total
Level 4
Funds</t>
  </si>
  <si>
    <r>
      <t xml:space="preserve">John Dibert Community (Firstline Schools)
</t>
    </r>
    <r>
      <rPr>
        <sz val="10"/>
        <color rgb="FFFF0000"/>
        <rFont val="Arial"/>
        <family val="2"/>
      </rPr>
      <t>Not in a District Building</t>
    </r>
  </si>
  <si>
    <r>
      <t xml:space="preserve">James M. Singleton Charter (Dryades YMCA)
</t>
    </r>
    <r>
      <rPr>
        <sz val="10"/>
        <color rgb="FFFF0000"/>
        <rFont val="Arial"/>
        <family val="2"/>
      </rPr>
      <t>Not in a District Building</t>
    </r>
  </si>
  <si>
    <r>
      <t xml:space="preserve">Morris Jeff Community School (Morris Jeff Comm. School)
</t>
    </r>
    <r>
      <rPr>
        <sz val="10"/>
        <color rgb="FFFF0000"/>
        <rFont val="Arial"/>
        <family val="2"/>
      </rPr>
      <t>Not in a District Building</t>
    </r>
  </si>
  <si>
    <r>
      <t xml:space="preserve">The NET Charter School (Educators for Qual Alt)
</t>
    </r>
    <r>
      <rPr>
        <sz val="10"/>
        <color rgb="FFFF0000"/>
        <rFont val="Arial"/>
        <family val="2"/>
      </rPr>
      <t>Not in a District Building</t>
    </r>
  </si>
  <si>
    <t>Estimated
Adjustment
for District
Building</t>
  </si>
  <si>
    <t>Total
State Cost Allocation
+ Prior Year
Pay Raises
+/- Mid-Year
Adjustments</t>
  </si>
  <si>
    <t>MFP State Cost Allocation</t>
  </si>
  <si>
    <r>
      <t xml:space="preserve">MFP State Cost Allocation for Youth in Secure Care 
</t>
    </r>
    <r>
      <rPr>
        <b/>
        <sz val="10"/>
        <color indexed="18"/>
        <rFont val="Arial"/>
        <family val="2"/>
      </rPr>
      <t xml:space="preserve">Based on Preliminary FY2012-13 Average Daily Membership (ADM) </t>
    </r>
  </si>
  <si>
    <t>Admin
Fee
to
RSD</t>
  </si>
  <si>
    <t>Admin
Fee
to
LDOE</t>
  </si>
  <si>
    <t xml:space="preserve">Total
Admin
Fee
</t>
  </si>
  <si>
    <t>Admin Fee
to the 
Dept. of
Education</t>
  </si>
  <si>
    <t>State
Admin Fee
to the
Dept. of
Education</t>
  </si>
  <si>
    <t>Career
Development
Fund (CDF)
Allocation
(Pending
January 2015
Course Units)</t>
  </si>
  <si>
    <t>Supplemental Course Allocation (SCA)</t>
  </si>
  <si>
    <t>Salaries for Foreign
Associate/Escadrille Teachers</t>
  </si>
  <si>
    <r>
      <t xml:space="preserve">International High School of N. O.
(VIBE:  Voices for Int'l Business &amp; Education)
</t>
    </r>
    <r>
      <rPr>
        <sz val="11"/>
        <color indexed="18"/>
        <rFont val="Arial"/>
        <family val="2"/>
      </rPr>
      <t>(Site Code 344001)
(Opened 10/11)
(In an Orleans Parish District Building)</t>
    </r>
    <r>
      <rPr>
        <b/>
        <sz val="11"/>
        <color indexed="18"/>
        <rFont val="Arial"/>
        <family val="2"/>
      </rPr>
      <t xml:space="preserve">
</t>
    </r>
  </si>
  <si>
    <r>
      <t xml:space="preserve">Feb. 1, 2014
MFP Funded
Membership
(Per SIS)
</t>
    </r>
    <r>
      <rPr>
        <sz val="8"/>
        <color indexed="18"/>
        <rFont val="Arial"/>
        <family val="2"/>
      </rPr>
      <t>(Includes  Recovery 
School District,
Type 5 Charters,
New Type 2
Charters
 (Not 1st Year))</t>
    </r>
  </si>
  <si>
    <t>Levels 1 &amp; 2
State Cost
Allocation</t>
  </si>
  <si>
    <t>State Cost
Allocation 
of Level 1</t>
  </si>
  <si>
    <t>State Cost
Allocation
of Level 2</t>
  </si>
  <si>
    <r>
      <t xml:space="preserve">Lagniappe Academies of N.O. (Lagniappe Academies)
</t>
    </r>
    <r>
      <rPr>
        <sz val="10"/>
        <color rgb="FFFF0000"/>
        <rFont val="Arial"/>
        <family val="2"/>
      </rPr>
      <t>Not in a District Building</t>
    </r>
  </si>
  <si>
    <r>
      <t xml:space="preserve">Crescent Leadership Acdmy (Crescent Ldrsp Acdmy.)
</t>
    </r>
    <r>
      <rPr>
        <b/>
        <sz val="10"/>
        <color rgb="FFFF0000"/>
        <rFont val="Arial"/>
        <family val="2"/>
      </rPr>
      <t>Total</t>
    </r>
  </si>
  <si>
    <r>
      <t xml:space="preserve">Crescent Leadership Acdmy (Crescent Ldrsp Acdmy.)
</t>
    </r>
    <r>
      <rPr>
        <sz val="10"/>
        <color rgb="FFFF0000"/>
        <rFont val="Arial"/>
        <family val="2"/>
      </rPr>
      <t>Not in a District Building (Grades 7-9)</t>
    </r>
  </si>
  <si>
    <r>
      <t xml:space="preserve">Crescent Leadership Acdmy (Crescent Ldrsp Acdmy.)
</t>
    </r>
    <r>
      <rPr>
        <sz val="10"/>
        <color rgb="FFFF0000"/>
        <rFont val="Arial"/>
        <family val="2"/>
      </rPr>
      <t>In a District Building (Grades 10-12)</t>
    </r>
  </si>
  <si>
    <r>
      <t xml:space="preserve">
Levels 1, 2 &amp; 3
State Cost Allocation
Per Pupil*
</t>
    </r>
    <r>
      <rPr>
        <sz val="9"/>
        <color indexed="18"/>
        <rFont val="Arial"/>
        <family val="2"/>
      </rPr>
      <t>(Table 3, Col 33)</t>
    </r>
  </si>
  <si>
    <r>
      <t xml:space="preserve">State Cost
Allocation
Per Pupil
(Levels 
1, 2 &amp; 3)
for Orleans 
Parish
</t>
    </r>
    <r>
      <rPr>
        <sz val="10"/>
        <color indexed="18"/>
        <rFont val="Arial"/>
        <family val="2"/>
      </rPr>
      <t>(Table 3, 
col. 29)</t>
    </r>
  </si>
  <si>
    <r>
      <t xml:space="preserve">Levels 1, 2 &amp; 3
State Cost
Allocation
Per Pupil 
without
Pay Raise
</t>
    </r>
    <r>
      <rPr>
        <sz val="9"/>
        <color indexed="18"/>
        <rFont val="Arial"/>
        <family val="2"/>
      </rPr>
      <t>(Table 3, Col 29)</t>
    </r>
  </si>
  <si>
    <t>Local Deduction Property Tax</t>
  </si>
  <si>
    <t>Local Deduction Sales Tax</t>
  </si>
  <si>
    <r>
      <t xml:space="preserve">Total Local
Deduction
</t>
    </r>
    <r>
      <rPr>
        <sz val="10"/>
        <color indexed="18"/>
        <rFont val="Arial"/>
        <family val="2"/>
      </rPr>
      <t>(Property,
Sales &amp;
Other
Revenue)</t>
    </r>
  </si>
  <si>
    <t>Total
Base 
Allocation
+ Prior Year
Pay Raises
+/- Mid-Year
Adjustments
for Students
- Admin Fee
+/- Audit 
Adjustments</t>
  </si>
  <si>
    <t>Total 
Base
Allocation
+ Prior Year
Pay Raises
+/- Mid-Year
Adjustments
for Students
- Admin Fee</t>
  </si>
  <si>
    <r>
      <t xml:space="preserve">Continuation 
of 
Prior Year 
Pay Raises 
</t>
    </r>
    <r>
      <rPr>
        <sz val="10"/>
        <color rgb="FF000080"/>
        <rFont val="Arial"/>
        <family val="2"/>
      </rPr>
      <t>(FY2001-02
 through 
FY2008-09)</t>
    </r>
    <r>
      <rPr>
        <b/>
        <sz val="10"/>
        <color rgb="FF000080"/>
        <rFont val="Arial"/>
        <family val="2"/>
      </rPr>
      <t xml:space="preserve">
Per Pupil
Amount</t>
    </r>
  </si>
  <si>
    <t>Total 
Base
Allocation
+Prior Year
Pay Raises</t>
  </si>
  <si>
    <t>Total
MFP Cost  
Allocation 
+ Prior Year 
Pay Raises 
+/- Midyear
Adjustments
- Admin. Fee
+/- Audit
Adjustments
+ Level 4
Funds Paid
Monthly</t>
  </si>
  <si>
    <t>Total
MFP Cost  
Allocation 
+ Prior Year 
Pay Raises 
+/- Midyear
Adjustments
- Admin. Fee
+/- Audit
Adjustments
+ Total
Level 4 Funds</t>
  </si>
  <si>
    <t>Total MFP
State Cost  
Allocation 
+ Prior Year 
Pay Raises 
+/- Midyear
Adjustments
- Admin. Fee
+/- Audit
Adjustments
+ Level 4
Funds Paid
Monthly</t>
  </si>
  <si>
    <t>Total MFP
State Cost  
Allocation 
+ Prior Year 
Pay Raises 
+/- Midyear
Adjustments
- Admin. Fee
+/- Audit
Adjustments
+ Total
Level 4 Funds</t>
  </si>
  <si>
    <r>
      <t xml:space="preserve">FY12-13
Audit 
Adjustments
</t>
    </r>
    <r>
      <rPr>
        <sz val="10"/>
        <color rgb="FF000080"/>
        <rFont val="Arial"/>
        <family val="2"/>
      </rPr>
      <t>(2/1/13 
Midyear
 Adjustment)</t>
    </r>
  </si>
  <si>
    <r>
      <t xml:space="preserve">FY13-14
Audit 
Adjustments
</t>
    </r>
    <r>
      <rPr>
        <sz val="10"/>
        <color rgb="FF000080"/>
        <rFont val="Arial"/>
        <family val="2"/>
      </rPr>
      <t>(CAFR,
Base and 
Weighted 
Counts,
10/1/13 
Midyear)</t>
    </r>
  </si>
  <si>
    <r>
      <t xml:space="preserve">Total Audit 
Adjustments
</t>
    </r>
    <r>
      <rPr>
        <sz val="10"/>
        <color rgb="FF000080"/>
        <rFont val="Arial"/>
        <family val="2"/>
      </rPr>
      <t>(For City/Parish LEAs only)</t>
    </r>
  </si>
  <si>
    <t>Harriet Tubman Charter School (Crescent City Schools)</t>
  </si>
  <si>
    <t>Fannie C. Williams Charter School (CLASS)</t>
  </si>
  <si>
    <t>ReNEW Accelerated High, City Park (ReNEW)</t>
  </si>
  <si>
    <t>Crocker College Prep (N.O. College Prep)</t>
  </si>
  <si>
    <t>Algiers Technology Acdmy (ACSA)</t>
  </si>
  <si>
    <r>
      <t xml:space="preserve">FY2014-15
Budget Letter
July 2014
</t>
    </r>
    <r>
      <rPr>
        <sz val="12"/>
        <color indexed="18"/>
        <rFont val="Arial Narrow"/>
        <family val="2"/>
      </rPr>
      <t>(Circular 1156)</t>
    </r>
  </si>
  <si>
    <t xml:space="preserve">
Table (T),
Column (C)</t>
  </si>
  <si>
    <t>TABLE 1: STATE LEVEL SUMMARY</t>
  </si>
  <si>
    <t>T5A5, C6</t>
  </si>
  <si>
    <t>T5A4, C6</t>
  </si>
  <si>
    <t xml:space="preserve">K.
</t>
  </si>
  <si>
    <t xml:space="preserve">J.
</t>
  </si>
  <si>
    <t xml:space="preserve">N.
</t>
  </si>
  <si>
    <r>
      <t xml:space="preserve">Allocations for Other Public Schools (Levels 1, 2 and 3)
</t>
    </r>
    <r>
      <rPr>
        <sz val="12"/>
        <color indexed="18"/>
        <rFont val="Arial Narrow"/>
        <family val="2"/>
      </rPr>
      <t xml:space="preserve"> (J.1a+J.1b+J.2+J.3+J.4+J.5+J.6+J.7)</t>
    </r>
  </si>
  <si>
    <r>
      <t xml:space="preserve">Total MFP State Cost Allocation plus Adjustments plus
Mid-Year Student Allocations </t>
    </r>
    <r>
      <rPr>
        <sz val="12"/>
        <color indexed="18"/>
        <rFont val="Arial Narrow"/>
        <family val="2"/>
      </rPr>
      <t>(K+L+M)</t>
    </r>
  </si>
  <si>
    <r>
      <t xml:space="preserve">State Cost Allocation (Levels 1, 2 and 3) </t>
    </r>
    <r>
      <rPr>
        <sz val="12"/>
        <color indexed="18"/>
        <rFont val="Arial Narrow"/>
        <family val="2"/>
      </rPr>
      <t>(F+G)</t>
    </r>
    <r>
      <rPr>
        <b/>
        <sz val="12"/>
        <color indexed="18"/>
        <rFont val="Arial Narrow"/>
        <family val="2"/>
      </rPr>
      <t xml:space="preserve">
          Per Pupil Based on February 1 Membership</t>
    </r>
  </si>
  <si>
    <r>
      <t xml:space="preserve">Level 3 Legislative Allocations </t>
    </r>
    <r>
      <rPr>
        <sz val="12"/>
        <color indexed="18"/>
        <rFont val="Arial Narrow"/>
        <family val="2"/>
      </rPr>
      <t>(G.1+G.2+G.3)</t>
    </r>
  </si>
  <si>
    <r>
      <t xml:space="preserve">State
Cost 
Allocation
</t>
    </r>
    <r>
      <rPr>
        <sz val="10"/>
        <color indexed="18"/>
        <rFont val="Arial"/>
        <family val="2"/>
      </rPr>
      <t>(90%)</t>
    </r>
  </si>
  <si>
    <r>
      <t xml:space="preserve">Continuation
of
Prior Year
Pay 
Raises
</t>
    </r>
    <r>
      <rPr>
        <sz val="10"/>
        <color indexed="18"/>
        <rFont val="Arial"/>
        <family val="2"/>
      </rPr>
      <t>(90%)</t>
    </r>
  </si>
  <si>
    <r>
      <t xml:space="preserve">Levels 1, 2 &amp; 3
State Cost
Allocation
Per Pupil 
without
Pay Raise
</t>
    </r>
    <r>
      <rPr>
        <sz val="10"/>
        <color indexed="18"/>
        <rFont val="Arial"/>
        <family val="2"/>
      </rPr>
      <t>(Table 3, Col 29)
(90%)</t>
    </r>
  </si>
  <si>
    <r>
      <t xml:space="preserve">Continuation
of
Prior Year
Pay Raises
Per Pupil
Amount
</t>
    </r>
    <r>
      <rPr>
        <sz val="10"/>
        <color indexed="18"/>
        <rFont val="Arial"/>
        <family val="2"/>
      </rPr>
      <t>(90%)</t>
    </r>
  </si>
  <si>
    <t>Return 
of 10%
to State</t>
  </si>
  <si>
    <t>KIPP McDonogh 15 Sch. For the Creative Arts (KIPP N.O.)</t>
  </si>
  <si>
    <t>KIPP McDonogh 15 Sch. for the Creative Arts (KIPP N.O.)</t>
  </si>
  <si>
    <t>Local
Revenue
Representation
due to
Office of
Juvenile
Justice
Table 5A3</t>
  </si>
  <si>
    <t>Local Revenue Representation
due to
RSD LA
Table 5B2</t>
  </si>
  <si>
    <t>Local Revenue Representation
due to
RSD 
Orleans
Table 5B1</t>
  </si>
  <si>
    <t>Local Revenue Representation 
due to
Madison 
Prep
(CSAL)
Table 5C1A</t>
  </si>
  <si>
    <t>Local Revenue Representation
due to
D'Arbonne
Woods
Table 5C1B</t>
  </si>
  <si>
    <t>Local Revenue Representation
due to
Int'l H. S.
(VIBE)
Table 5C1C</t>
  </si>
  <si>
    <t>Local Revenue Representation
due to
N.O.
Military/
Maritime
Table 5C1D</t>
  </si>
  <si>
    <t>Local Revenue Representation
due to
Lycee
Francais
Table 5C1E</t>
  </si>
  <si>
    <t>Local Revenue Representation
due to
Lake 
Charles Academy
Table 5C1F</t>
  </si>
  <si>
    <t>Local Revenue Representation
due to
J. S. Clark
Leader-
ship
Academy
Table 5C1G</t>
  </si>
  <si>
    <t>Local Revenue Representation
due to
Southwest
LA
Charter
Table 5C1H</t>
  </si>
  <si>
    <t>Local Revenue Representation
due to
LA Key Academy
Table 5C1I</t>
  </si>
  <si>
    <t>Local Revenue Representation
due to
Jefferson Chamber
Fdtn
Table 5C1J</t>
  </si>
  <si>
    <t>Local Revenue Representation
due to
Tallulah Charter
Table 5C1K</t>
  </si>
  <si>
    <t>Local Revenue Representation
due to
Northshore Charter
Table 5C1L</t>
  </si>
  <si>
    <t>Local Revenue Representation
due to
Baton Rouge Charter Admy
Table 5C1M</t>
  </si>
  <si>
    <t>Local Revenue Representation
due to
Delta Charter
Table 5C1N</t>
  </si>
  <si>
    <t>Local Revenue Representation
due to
Impact
Charter
Table 5C1O</t>
  </si>
  <si>
    <t>Local Revenue Representation
due to
Vision
Academy
Table 5C1P</t>
  </si>
  <si>
    <t>Local Revenue Representation
due to
Advantage
Charter
Academy
Table 5C1Q</t>
  </si>
  <si>
    <t>Local Revenue Representation
due to
Iberville
Charter
Academy
Table 5C1R</t>
  </si>
  <si>
    <t>Local Revenue Representation
due to
Lake
Charles
College
Preparatory
Table 5C1S</t>
  </si>
  <si>
    <t>Local Revenue Representation
due to
Northeast Claiborne
Charter
Table 5C1T</t>
  </si>
  <si>
    <t>Local Revenue Representation
due to
Acadiana
Renaissance
Table 5C1U</t>
  </si>
  <si>
    <t>Local Revenue Representation
due to
Lafayette
Renaissance
Table 5C1V</t>
  </si>
  <si>
    <t>Local Revenue Representation
due to
Willow
Charter
Academy
Table 5C1W</t>
  </si>
  <si>
    <t>Local Revenue Representation
due to
LAVCA
Table 5C2</t>
  </si>
  <si>
    <t>Local Revenue Representation
due to
LA 
Connections
Table 5C3</t>
  </si>
  <si>
    <t>Total
Local Revenue Representation
 due to 
other
LEAs</t>
  </si>
  <si>
    <r>
      <t xml:space="preserve">Total MFP
Payment 
Amount </t>
    </r>
    <r>
      <rPr>
        <b/>
        <sz val="10"/>
        <color rgb="FFFF0000"/>
        <rFont val="Arial"/>
        <family val="2"/>
      </rPr>
      <t>minus</t>
    </r>
    <r>
      <rPr>
        <b/>
        <sz val="10"/>
        <color indexed="18"/>
        <rFont val="Arial"/>
        <family val="2"/>
      </rPr>
      <t xml:space="preserve">
Local Revenue
Representation
due to other
LEAs</t>
    </r>
  </si>
  <si>
    <t>Local Revenue Representation
due monthly
 to the
Office of
Juvenile
Justice
Table 5A3</t>
  </si>
  <si>
    <t>Local Revenue Representation
due monthly 
to RSD LA
Table 5B2
RSD_LA</t>
  </si>
  <si>
    <t>Local Revenue Representation 
due monthly
to RSD Orleans
Table 5B1</t>
  </si>
  <si>
    <t>Local Revenue Representation 
due monthly
to Madison 
Prep (CSAL)
Table 5C1A</t>
  </si>
  <si>
    <t>Local Revenue Representation 
due monthly 
to D'Arbonne
Woods
Table 5C1B</t>
  </si>
  <si>
    <t>Local Revenue Representation
due monthly to
Int'l H. S.
(VIBE)
Table 5C1C</t>
  </si>
  <si>
    <t>Local Revenue Representation 
due monthly to
N.O.
Military/
Maritime
Table 5C1D</t>
  </si>
  <si>
    <t>Local Revenue Representation
due monthly to
Lycee
Francais
Table 5C1E</t>
  </si>
  <si>
    <t>Local Revenue Representation
due monthly to
Lake Charles Academy
Table 5C1F</t>
  </si>
  <si>
    <t>Local Revenue Representation
due monthly to
J. S. Clark
Leadership
Academy
Table 5C1G</t>
  </si>
  <si>
    <t>Local Revenue Representation
due monthly to
Southwest
LA
Charter
Table 5C1H</t>
  </si>
  <si>
    <t>Local Revenue Representation
due monthly to
LA Key Academy
Table 5C1I</t>
  </si>
  <si>
    <t>Local Revenue Representation
due monthly to
Jefferson Chamber Fdtn
Table 5C1J</t>
  </si>
  <si>
    <t>Local Revenue Representation
due monthly to
Tallulah Charter
Table 5C1K</t>
  </si>
  <si>
    <t>Local Revenue Representation
due monthly to
Northshore Charter
Table 5C1L</t>
  </si>
  <si>
    <t>Local Revenue Representation
due monthly to
Baton Rouge Charter Admy
Table 5C1M</t>
  </si>
  <si>
    <t>Local Revenue Representation
due monthly to
Delta Charter
Table 5C1N</t>
  </si>
  <si>
    <t>Local Revenue Representation
due monthly to
Impact
Charter
Table 5C1O</t>
  </si>
  <si>
    <t>Local Revenue Representation
due monthly to
Vision
Academy
Table 5C1P</t>
  </si>
  <si>
    <t>Local Revenue Representation
due monthly to
Advantage
Charter
Academy
Table 5C1Q</t>
  </si>
  <si>
    <t>Local Revenue Representation
due monthly to
Iberville
Charter
Academy
Table 5C1R</t>
  </si>
  <si>
    <t>Local Revenue Representation
due monthly to
Lake
Charles
College
Preparatory
Table 5C1S</t>
  </si>
  <si>
    <t>Local Revenue Representation
due monthly to
Northeast Claiborne
Charter
Table 5C1T</t>
  </si>
  <si>
    <t>Local Revenue Representation
due monthly to
Acadiana
Renaissance
Table 5C1U</t>
  </si>
  <si>
    <t>Local Revenue Representation
due monthly to
Lafayette
Renaissance
Table 5C1V</t>
  </si>
  <si>
    <t>Local Revenue Representation
due monthly to
Willow
Charter
Academy
Table 5C1W</t>
  </si>
  <si>
    <t>Local Revenue Representation
due monthly to
LAVCA
Table 5C-2</t>
  </si>
  <si>
    <t>Local Revenue Representation
due monthly to
LA 
Connections
Table 5C-3</t>
  </si>
  <si>
    <t>Total MFP
Payment
Amount minus
Local Revenue Representation 
to RSD and 
Type 2 Charters</t>
  </si>
  <si>
    <t>July ONLY:
Local
Revenue
Representation
Admin. Fee
Payable 
to RSD
(1.75%)
RSD LA</t>
  </si>
  <si>
    <t>July ONLY:
Local
Revenue
Representation
Admin. Fee
Payable 
to DOE
(.25%)
RSD LA</t>
  </si>
  <si>
    <t>July ONLY:
Local
Revenue
Representation
Admin. Fee
Payable 
to DOE
(.25%)
RSD Orleans</t>
  </si>
  <si>
    <t>July ONLY:
Local
Revenue
Representation
Admin. Fee
Payable 
to DOE
(.25%)
Madison 
Prep</t>
  </si>
  <si>
    <t>July ONLY:
Local
Revenue
Representation
Admin. Fee
Payable 
to DOE
(.25%)
D'Arbonne
Woods</t>
  </si>
  <si>
    <t>July ONLY:
Local
Revenue
Representation
Admin. Fee
Payable 
to DOE
(.25%)
Int'l H. S.</t>
  </si>
  <si>
    <t>July ONLY:
Local
Revenue
Representation
Admin. Fee
Payable 
to DOE
(.25%)
N.O.
Military</t>
  </si>
  <si>
    <t>July ONLY:
Local
Revenue
Representation
Admin. Fee
Payable 
to DOE
(.25%)
Lycee Francais</t>
  </si>
  <si>
    <t>July ONLY:
Local
Revenue
Representation
Admin. Fee
Payable 
to DOE
(.25%)
Lake Charles
Academy</t>
  </si>
  <si>
    <t>July ONLY:
Local
Revenue
Representation
Admin. Fee
Payable 
to DOE
(.25%)
Clark
Leadership</t>
  </si>
  <si>
    <t>July ONLY:
Local
Revenue
Representation
Admin. Fee
Payable 
to DOE
(.25%)
Southwest
LA Charter</t>
  </si>
  <si>
    <t>July ONLY:
Local
Revenue
Representation
Admin. Fee
Payable 
to DOE
(.25%)
LA Key Admy</t>
  </si>
  <si>
    <t>July ONLY:
Local
Revenue
Representation
Admin. Fee
Payable 
to DOE
(.25%)
Jefferson Chamber Fdtn</t>
  </si>
  <si>
    <t>July ONLY:
Local
Revenue
Representation
Admin. Fee
Payable 
to DOE
(.25%)
Tallulah Charter</t>
  </si>
  <si>
    <t>July ONLY:
Local
Revenue
Representation
Admin. Fee
Payable 
to DOE
(.25%)
Northshore Charter</t>
  </si>
  <si>
    <t>July ONLY:
Local
Revenue
Representation
Admin. Fee
Payable 
to DOE
(.25%)
B.R. Charter</t>
  </si>
  <si>
    <t>July ONLY:
Local
Revenue
Representation
Admin. Fee
Payable 
to DOE
(.25%)
Delta Charter</t>
  </si>
  <si>
    <t>July ONLY:
Local
Revenue
Representation
Admin. Fee
Payable 
to DOE
(.25%)
Impact</t>
  </si>
  <si>
    <t>July ONLY:
Local
Revenue
Representation
Admin. Fee
Payable 
to DOE
(.25%)
Vision</t>
  </si>
  <si>
    <t>July ONLY:
Local
Revenue
Representation
Admin. Fee
Payable 
to DOE
(.25%)
Advantage</t>
  </si>
  <si>
    <t>July ONLY:
Local
Revenue
Representation
Admin. Fee
Payable 
to DOE
(.25%)
Iberville</t>
  </si>
  <si>
    <t>July ONLY:
Local
Revenue
Representation
Admin. Fee
Payable 
to DOE
(.25%)
L.C. College Prep</t>
  </si>
  <si>
    <t>July ONLY:
Local
Revenue
Representation
Admin. Fee
Payable 
to DOE
(.25%)
Northeast</t>
  </si>
  <si>
    <t>July ONLY:
Local
Revenue
Representation
Admin. Fee
Payable 
to DOE
(.25%)
Acadiana Renaissance</t>
  </si>
  <si>
    <t>July ONLY:
Local
Revenue
Representation
Admin. Fee
Payable 
to DOE
(.25%)
Lafayette Renaissance</t>
  </si>
  <si>
    <t>July ONLY:
Local
Revenue
Representation
Admin. Fee
Payable 
to DOE
(.25%)
Willow Charter</t>
  </si>
  <si>
    <t>July ONLY:
Local
Revenue
Representation
Admin. Fee
Payable 
to DOE
(.25%
LAVCA</t>
  </si>
  <si>
    <t>July ONLY:
Local
Revenue
Representation
Admin. Fee
Payable 
to DOE
(.25%)
LA Conn.</t>
  </si>
  <si>
    <r>
      <t xml:space="preserve">State
Allocation
Per Pupil 
</t>
    </r>
    <r>
      <rPr>
        <sz val="10"/>
        <color indexed="18"/>
        <rFont val="Arial"/>
        <family val="2"/>
      </rPr>
      <t xml:space="preserve">
</t>
    </r>
    <r>
      <rPr>
        <sz val="10"/>
        <color rgb="FFFF0000"/>
        <rFont val="Arial"/>
        <family val="2"/>
      </rPr>
      <t>(Initial
per pupil
for 14/15)</t>
    </r>
  </si>
  <si>
    <t>MFP Local Revenue Representation 
for Youth in Secure Care</t>
  </si>
  <si>
    <r>
      <t xml:space="preserve">Levels 1
and 2
Local 
Revenue
Representation
</t>
    </r>
    <r>
      <rPr>
        <sz val="10"/>
        <color indexed="18"/>
        <rFont val="Arial"/>
        <family val="2"/>
      </rPr>
      <t>(Table 3,
Col 36)</t>
    </r>
  </si>
  <si>
    <t>Adjusted
Local
Revenue
Representation
Per Pupil
including
OJJ</t>
  </si>
  <si>
    <t>Local
Revenue
Representation
 for OJJ 
Secure Care
Students</t>
  </si>
  <si>
    <t>Total 
Local
Revenue
Representation
+/- Mid-Year Adjustment
for Students
+/- Audit
Adjustments</t>
  </si>
  <si>
    <t xml:space="preserve">Local 
Revenue
Representation
Monthly
Payment
</t>
  </si>
  <si>
    <t>Total
State
Cost
Allocation
and
Local
Revenue
Representation
Payment</t>
  </si>
  <si>
    <t xml:space="preserve">State
Cost
Allocation
and 
Local
Revenue
Representation
Monthly
Payment
</t>
  </si>
  <si>
    <t>State Cost
Allocation
Per Pupil 
without
Pay Raise</t>
  </si>
  <si>
    <t>State Cost
Allocation</t>
  </si>
  <si>
    <t>MFP Local Revenue Representation</t>
  </si>
  <si>
    <t>Initial
Local
Revenue
Representation
Per Pupil
Amount
(In a
District
Building)</t>
  </si>
  <si>
    <t>Initial
Local
Revenue
Representation
Per Pupil
Amount
(Not In a
District
Building)</t>
  </si>
  <si>
    <t>Total
Local 
Revenue
Representation</t>
  </si>
  <si>
    <t>October
2014
Mid-Year
Adjustment
for
Students</t>
  </si>
  <si>
    <r>
      <t xml:space="preserve">February
2015
Mid-Year
Adjustment
for
Students
</t>
    </r>
    <r>
      <rPr>
        <sz val="10"/>
        <color indexed="18"/>
        <rFont val="Arial"/>
        <family val="2"/>
      </rPr>
      <t>(one-half the per-pupil amount)</t>
    </r>
  </si>
  <si>
    <r>
      <t xml:space="preserve">Change in
Funded
Student
Count Per
October
2014
Mid-Year
Adjustment
</t>
    </r>
    <r>
      <rPr>
        <sz val="10"/>
        <color indexed="18"/>
        <rFont val="Arial"/>
        <family val="2"/>
      </rPr>
      <t>(See Col. 3
of Oct.
Midyear Adj)</t>
    </r>
  </si>
  <si>
    <r>
      <t xml:space="preserve">Change in
Funded
Student
Count Per
February
2015
Mid-Year
Adjustment
</t>
    </r>
    <r>
      <rPr>
        <sz val="10"/>
        <color indexed="18"/>
        <rFont val="Arial"/>
        <family val="2"/>
      </rPr>
      <t>(See Col. 3
of Feb.
Midyear Adj)</t>
    </r>
  </si>
  <si>
    <t>Total
Local
Revenue
Representation
+/- Mid-Year Adjustment
for Students</t>
  </si>
  <si>
    <t>Total
Local
Revenue
Representation
+/- Mid-Year Adjustment
for Students
- Admin Fee</t>
  </si>
  <si>
    <t>Total
Local
Revenue
Representation
+/- Mid-Year
Adjustment
for Students
- Admin Fee
+/- Building
&amp; Audit
Adjustments</t>
  </si>
  <si>
    <t xml:space="preserve">Local
Revenue
Representation
Monthly
Payment
</t>
  </si>
  <si>
    <r>
      <t xml:space="preserve">February
2015
Mid-Year
Adjustment
for
Students
</t>
    </r>
    <r>
      <rPr>
        <sz val="10"/>
        <color indexed="18"/>
        <rFont val="Arial"/>
        <family val="2"/>
      </rPr>
      <t>(one-half the
per-pupil
amount)</t>
    </r>
  </si>
  <si>
    <t>Initial
FY14-15
Local
Revenue
Representation
Per Pupil
(per charter law)</t>
  </si>
  <si>
    <t>Total
Local
Revenue
Representation</t>
  </si>
  <si>
    <r>
      <t xml:space="preserve">February 2015
Mid-Year
Adjustment
for
Students
</t>
    </r>
    <r>
      <rPr>
        <sz val="10"/>
        <color indexed="18"/>
        <rFont val="Arial"/>
        <family val="2"/>
      </rPr>
      <t>(one-half the per-pupil amount)</t>
    </r>
  </si>
  <si>
    <t>Local
Revenue
Representation
Monthly
Payment</t>
  </si>
  <si>
    <t xml:space="preserve">Total
State Cost
Allocation
and
Local
Revenue
Representation
Monthly 
Payment
</t>
  </si>
  <si>
    <t xml:space="preserve">Total
State Cost
Allocation
and
Local
Revenue
Representation
Payment
</t>
  </si>
  <si>
    <r>
      <t xml:space="preserve">Change in
Funded
Student
Count Per
October 2014
Mid-Year
Adjustment
</t>
    </r>
    <r>
      <rPr>
        <sz val="10"/>
        <color indexed="18"/>
        <rFont val="Arial"/>
        <family val="2"/>
      </rPr>
      <t>(See Col. 3 of Oct. Midyear Adj)</t>
    </r>
  </si>
  <si>
    <r>
      <t xml:space="preserve">Initial
FY14-15
Local
Revenue
Representation
Per Pupil
</t>
    </r>
    <r>
      <rPr>
        <sz val="10"/>
        <color indexed="18"/>
        <rFont val="Arial"/>
        <family val="2"/>
      </rPr>
      <t>(per charter law)</t>
    </r>
  </si>
  <si>
    <t>Local 
Revenue
Representation</t>
  </si>
  <si>
    <t>Total
Local Revenue
Representation
+/- Mid-Year Adjustment
for Students</t>
  </si>
  <si>
    <t>Total
Local Revenue
Representation
+/- Mid-Year Adjustment
for Students
- Admin Fee</t>
  </si>
  <si>
    <t>Total
Local
Revenue
Representation
+/- Mid-Year Adjustment
for Students
- Admin Fee
+/- Audit
Adjustments</t>
  </si>
  <si>
    <t xml:space="preserve">Total 
State Cost Allocation
and 
Local
Revenue
Representation
Payment
</t>
  </si>
  <si>
    <t xml:space="preserve">State Cost Allocation
and 
Local
Revenue
Representation
Monthly
Payment
</t>
  </si>
  <si>
    <r>
      <t xml:space="preserve">Initial
FY14-15
Local
Revenue
Representation
Per Pupil
</t>
    </r>
    <r>
      <rPr>
        <sz val="10"/>
        <color indexed="18"/>
        <rFont val="Arial"/>
        <family val="2"/>
      </rPr>
      <t>(90%)</t>
    </r>
    <r>
      <rPr>
        <b/>
        <sz val="10"/>
        <color indexed="18"/>
        <rFont val="Arial"/>
        <family val="2"/>
      </rPr>
      <t xml:space="preserve">
</t>
    </r>
    <r>
      <rPr>
        <sz val="10"/>
        <color indexed="18"/>
        <rFont val="Arial"/>
        <family val="2"/>
      </rPr>
      <t xml:space="preserve">
(per
Calculation)</t>
    </r>
  </si>
  <si>
    <t>Local
Revenue
Representation</t>
  </si>
  <si>
    <t>Baton Rouge University Prep
(Baton Rouge University Prep)</t>
  </si>
  <si>
    <t>weighted add on special ed students 2/1/09</t>
  </si>
  <si>
    <t>14.1% of L1 &amp; L2 dollars x 354%</t>
  </si>
  <si>
    <t>Local Cost Allocation
of Level 1
with 75% max Local Cost Allocation
(Deduction for Property &amp; Sales and Other Revenues)</t>
  </si>
  <si>
    <t>Total
Local Revenue Representation
due monthly
to Other
Entities</t>
  </si>
  <si>
    <r>
      <t xml:space="preserve">Shreveport Charter, Inc.
</t>
    </r>
    <r>
      <rPr>
        <sz val="11"/>
        <rFont val="Arial"/>
        <family val="2"/>
      </rPr>
      <t>(Linwood Middle)</t>
    </r>
  </si>
  <si>
    <t xml:space="preserve">High Cost Services Assistance Allocation </t>
  </si>
  <si>
    <t>New Type 2 Charters (First Year) (PROJECTED)</t>
  </si>
  <si>
    <t>Projected Funding</t>
  </si>
  <si>
    <r>
      <rPr>
        <b/>
        <sz val="10"/>
        <color rgb="FF000066"/>
        <rFont val="Arial"/>
        <family val="2"/>
      </rPr>
      <t xml:space="preserve">MFP 
Membership
</t>
    </r>
    <r>
      <rPr>
        <sz val="10"/>
        <color rgb="FF000066"/>
        <rFont val="Arial"/>
        <family val="2"/>
      </rPr>
      <t>(Projected)</t>
    </r>
    <r>
      <rPr>
        <b/>
        <sz val="10"/>
        <color indexed="18"/>
        <rFont val="Arial"/>
        <family val="2"/>
      </rPr>
      <t xml:space="preserve">
</t>
    </r>
  </si>
  <si>
    <r>
      <t xml:space="preserve">MFP 
Membership
</t>
    </r>
    <r>
      <rPr>
        <sz val="10"/>
        <color rgb="FF000066"/>
        <rFont val="Arial"/>
        <family val="2"/>
      </rPr>
      <t>(Projected)</t>
    </r>
    <r>
      <rPr>
        <b/>
        <sz val="10"/>
        <color indexed="18"/>
        <rFont val="Arial"/>
        <family val="2"/>
      </rPr>
      <t xml:space="preserve">
</t>
    </r>
  </si>
  <si>
    <t xml:space="preserve">Local Revenue 
Under
Level 1 </t>
  </si>
  <si>
    <t xml:space="preserve">Local
Revenue
 Limit on 
Level 2
State
Support </t>
  </si>
  <si>
    <t>ELIGIBLE
 LOCAL
REVENUE
 LEVEL 2</t>
  </si>
  <si>
    <r>
      <t xml:space="preserve">Level 3 
State 
Funding
</t>
    </r>
    <r>
      <rPr>
        <b/>
        <sz val="10"/>
        <color indexed="10"/>
        <rFont val="Arial"/>
        <family val="2"/>
      </rPr>
      <t xml:space="preserve">with 
Continuation
of Prior Year
Pay Raises </t>
    </r>
  </si>
  <si>
    <r>
      <t xml:space="preserve">Levels 1, 2 &amp; 3
State Cost Allocation
</t>
    </r>
    <r>
      <rPr>
        <b/>
        <sz val="10"/>
        <color rgb="FFFF0000"/>
        <rFont val="Arial"/>
        <family val="2"/>
      </rPr>
      <t>with 
Continuation
of Prior Year
Pay Raises</t>
    </r>
  </si>
  <si>
    <r>
      <t xml:space="preserve">Level 3 State 
Funding 
</t>
    </r>
    <r>
      <rPr>
        <b/>
        <sz val="10"/>
        <color indexed="10"/>
        <rFont val="Arial"/>
        <family val="2"/>
      </rPr>
      <t xml:space="preserve">without
</t>
    </r>
    <r>
      <rPr>
        <b/>
        <sz val="10"/>
        <color rgb="FFFF0000"/>
        <rFont val="Arial"/>
        <family val="2"/>
      </rPr>
      <t>Continuation 
of Prior Year
Pay Raises</t>
    </r>
  </si>
  <si>
    <r>
      <t xml:space="preserve">Levels 1, 2 &amp; 3
State Cost
Allocation
</t>
    </r>
    <r>
      <rPr>
        <b/>
        <sz val="10"/>
        <color rgb="FFFF0000"/>
        <rFont val="Arial"/>
        <family val="2"/>
      </rPr>
      <t>without
Continuation
of Prior Year
Pay Raises</t>
    </r>
  </si>
  <si>
    <t>Levels 1 and 2
Local Cost
Allocation</t>
  </si>
  <si>
    <r>
      <rPr>
        <b/>
        <sz val="10"/>
        <color indexed="10"/>
        <rFont val="Arial Narrow"/>
        <family val="2"/>
      </rPr>
      <t xml:space="preserve">Total State </t>
    </r>
    <r>
      <rPr>
        <b/>
        <sz val="10"/>
        <color indexed="18"/>
        <rFont val="Arial Narrow"/>
        <family val="2"/>
      </rPr>
      <t xml:space="preserve">
(with
Continuation
of Prior Year
Pay Raises)
and
</t>
    </r>
    <r>
      <rPr>
        <b/>
        <sz val="10"/>
        <color indexed="10"/>
        <rFont val="Arial Narrow"/>
        <family val="2"/>
      </rPr>
      <t>Local</t>
    </r>
    <r>
      <rPr>
        <b/>
        <sz val="10"/>
        <color indexed="18"/>
        <rFont val="Arial Narrow"/>
        <family val="2"/>
      </rPr>
      <t xml:space="preserve"> Cost
Allocation   
Levels 1 and 2</t>
    </r>
  </si>
  <si>
    <r>
      <t xml:space="preserve">MFP
State
Average
 Per Pupil
(L1,L2+L3)
</t>
    </r>
    <r>
      <rPr>
        <sz val="10"/>
        <color indexed="18"/>
        <rFont val="Arial"/>
        <family val="2"/>
      </rPr>
      <t>(Table 3,
col.29)</t>
    </r>
  </si>
  <si>
    <t>Total
State Cost
Allocation
+ Pay Raises
+/- Mid-Year
Adjustment
for Students
- Admin Fee
 +/- Audit
Adjustments</t>
  </si>
  <si>
    <t>State Cost
Allocation
Monthly
Payment</t>
  </si>
  <si>
    <t>Total
Local
Revenue
Representation
+/- Mid-Year Adjustment
for Students
- Admin Fee
 +/- Audit
Adjustments</t>
  </si>
  <si>
    <r>
      <t xml:space="preserve">Change in
Funded
Student
Count Per
Feb. 2015
Mid-Year
Adjustment
</t>
    </r>
    <r>
      <rPr>
        <sz val="10"/>
        <color indexed="18"/>
        <rFont val="Arial"/>
        <family val="2"/>
      </rPr>
      <t>(See Col. 3 of Feb. Midyear Adj)</t>
    </r>
  </si>
  <si>
    <t>T5C1O-T5C1W</t>
  </si>
  <si>
    <t xml:space="preserve">Reserve* </t>
  </si>
  <si>
    <t>* LDE will work with applicable LEAs to identify additional Supplemental Course Allocation amounts associated with students from closed schools in the Recovery School District in Caddo, Pt. Coupee, St. Helena and Orleans Parish.</t>
  </si>
  <si>
    <t>Career
Development
Fund
Allocation</t>
  </si>
  <si>
    <t>High Cost
Services
Allocation</t>
  </si>
  <si>
    <t>3AP003</t>
  </si>
  <si>
    <t>Celerity Dalton Charter School (Celerity)</t>
  </si>
  <si>
    <t>Celerity
(Celerity Dalton Charter School)</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</si>
</sst>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quot;$&quot;#,##0"/>
    <numFmt numFmtId="166" formatCode="0.0000000"/>
    <numFmt numFmtId="167" formatCode="&quot;$&quot;#,##0;[Red]&quot;$&quot;#,##0"/>
    <numFmt numFmtId="168" formatCode="0.000%"/>
    <numFmt numFmtId="169" formatCode="0_);[Red]\(0\)"/>
    <numFmt numFmtId="170" formatCode="#,##0.0"/>
  </numFmts>
  <fonts count="12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6"/>
      <name val="Arial"/>
      <family val="2"/>
    </font>
    <font>
      <sz val="10"/>
      <name val="Arial"/>
      <family val="2"/>
    </font>
    <font>
      <sz val="10"/>
      <name val="Arial Narrow"/>
      <family val="2"/>
    </font>
    <font>
      <b/>
      <sz val="10"/>
      <name val="Arial"/>
      <family val="2"/>
    </font>
    <font>
      <b/>
      <sz val="12"/>
      <name val="Arial Narrow"/>
      <family val="2"/>
    </font>
    <font>
      <sz val="8"/>
      <name val="Arial Narrow"/>
      <family val="2"/>
    </font>
    <font>
      <sz val="12"/>
      <name val="Arial Narrow"/>
      <family val="2"/>
    </font>
    <font>
      <b/>
      <sz val="18"/>
      <name val="Arial Narrow"/>
      <family val="2"/>
    </font>
    <font>
      <sz val="8"/>
      <name val="Arial"/>
      <family val="2"/>
    </font>
    <font>
      <b/>
      <sz val="12"/>
      <color indexed="62"/>
      <name val="Arial Narrow"/>
      <family val="2"/>
    </font>
    <font>
      <b/>
      <sz val="10"/>
      <color indexed="20"/>
      <name val="Arial"/>
      <family val="2"/>
    </font>
    <font>
      <b/>
      <sz val="10"/>
      <color indexed="20"/>
      <name val="Arial Narrow"/>
      <family val="2"/>
    </font>
    <font>
      <b/>
      <sz val="12"/>
      <color indexed="18"/>
      <name val="Arial Narrow"/>
      <family val="2"/>
    </font>
    <font>
      <sz val="10"/>
      <color indexed="18"/>
      <name val="Arial"/>
      <family val="2"/>
    </font>
    <font>
      <b/>
      <i/>
      <sz val="10"/>
      <color indexed="18"/>
      <name val="Arial Narrow"/>
      <family val="2"/>
    </font>
    <font>
      <b/>
      <sz val="18"/>
      <color indexed="20"/>
      <name val="Arial Narrow"/>
      <family val="2"/>
    </font>
    <font>
      <b/>
      <sz val="10"/>
      <color indexed="18"/>
      <name val="Arial"/>
      <family val="2"/>
    </font>
    <font>
      <b/>
      <sz val="16"/>
      <color indexed="20"/>
      <name val="Arial Narrow"/>
      <family val="2"/>
    </font>
    <font>
      <b/>
      <i/>
      <sz val="16"/>
      <name val="Arial"/>
      <family val="2"/>
    </font>
    <font>
      <b/>
      <sz val="10"/>
      <color indexed="20"/>
      <name val="Arial"/>
      <family val="2"/>
    </font>
    <font>
      <sz val="9"/>
      <name val="Arial Narrow"/>
      <family val="2"/>
    </font>
    <font>
      <sz val="9"/>
      <name val="Arial"/>
      <family val="2"/>
    </font>
    <font>
      <sz val="9"/>
      <color indexed="8"/>
      <name val="Arial Narrow"/>
      <family val="2"/>
    </font>
    <font>
      <sz val="12"/>
      <color indexed="18"/>
      <name val="Arial Narrow"/>
      <family val="2"/>
    </font>
    <font>
      <b/>
      <sz val="16"/>
      <color indexed="10"/>
      <name val="Arial"/>
      <family val="2"/>
    </font>
    <font>
      <b/>
      <sz val="10"/>
      <name val="Arial Narrow"/>
      <family val="2"/>
    </font>
    <font>
      <b/>
      <sz val="10"/>
      <color indexed="62"/>
      <name val="Arial"/>
      <family val="2"/>
    </font>
    <font>
      <sz val="10"/>
      <name val="CG Times"/>
      <family val="1"/>
    </font>
    <font>
      <sz val="10"/>
      <color indexed="8"/>
      <name val="Arial"/>
      <family val="2"/>
    </font>
    <font>
      <b/>
      <sz val="10"/>
      <color indexed="10"/>
      <name val="Arial"/>
      <family val="2"/>
    </font>
    <font>
      <b/>
      <sz val="12"/>
      <color indexed="20"/>
      <name val="Arial Narrow"/>
      <family val="2"/>
    </font>
    <font>
      <b/>
      <sz val="12"/>
      <name val="Arial"/>
      <family val="2"/>
    </font>
    <font>
      <sz val="10"/>
      <color indexed="10"/>
      <name val="Arial"/>
      <family val="2"/>
    </font>
    <font>
      <sz val="8"/>
      <name val="Arial"/>
      <family val="2"/>
    </font>
    <font>
      <b/>
      <sz val="11"/>
      <name val="Arial Narrow"/>
      <family val="2"/>
    </font>
    <font>
      <b/>
      <sz val="10"/>
      <color indexed="18"/>
      <name val="Arial Narrow"/>
      <family val="2"/>
    </font>
    <font>
      <b/>
      <sz val="14"/>
      <color indexed="18"/>
      <name val="Arial Narrow"/>
      <family val="2"/>
    </font>
    <font>
      <sz val="12"/>
      <name val="Arial"/>
      <family val="2"/>
    </font>
    <font>
      <b/>
      <sz val="10"/>
      <name val="Arial"/>
      <family val="2"/>
    </font>
    <font>
      <b/>
      <sz val="12"/>
      <color indexed="18"/>
      <name val="Arial"/>
      <family val="2"/>
    </font>
    <font>
      <sz val="12"/>
      <color indexed="18"/>
      <name val="Arial"/>
      <family val="2"/>
    </font>
    <font>
      <b/>
      <sz val="12"/>
      <color indexed="20"/>
      <name val="Arial"/>
      <family val="2"/>
    </font>
    <font>
      <sz val="11"/>
      <name val="Arial"/>
      <family val="2"/>
    </font>
    <font>
      <b/>
      <sz val="14"/>
      <name val="Futura Lt BT"/>
      <family val="2"/>
    </font>
    <font>
      <sz val="12"/>
      <name val="Arial"/>
      <family val="2"/>
    </font>
    <font>
      <sz val="12"/>
      <name val="Futura Lt BT"/>
      <family val="2"/>
    </font>
    <font>
      <b/>
      <sz val="11"/>
      <name val="Arial"/>
      <family val="2"/>
    </font>
    <font>
      <b/>
      <sz val="10"/>
      <color indexed="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9"/>
      <color indexed="18"/>
      <name val="Arial"/>
      <family val="2"/>
    </font>
    <font>
      <sz val="10"/>
      <name val="Arial"/>
      <family val="2"/>
    </font>
    <font>
      <sz val="10"/>
      <name val="Futura Lt BT"/>
      <family val="2"/>
    </font>
    <font>
      <b/>
      <sz val="11"/>
      <color indexed="18"/>
      <name val="Arial"/>
      <family val="2"/>
    </font>
    <font>
      <b/>
      <sz val="12"/>
      <name val="Futura Lt BT"/>
      <family val="2"/>
    </font>
    <font>
      <b/>
      <sz val="9"/>
      <name val="Futura Lt BT"/>
      <family val="2"/>
    </font>
    <font>
      <b/>
      <sz val="10"/>
      <name val="Futura Lt BT"/>
      <family val="2"/>
    </font>
    <font>
      <sz val="10"/>
      <name val="Albertus Xb (W1)"/>
      <family val="2"/>
    </font>
    <font>
      <b/>
      <sz val="10"/>
      <color indexed="56"/>
      <name val="Arial"/>
      <family val="2"/>
    </font>
    <font>
      <sz val="10"/>
      <name val="Arial"/>
      <family val="2"/>
    </font>
    <font>
      <sz val="10"/>
      <name val="Arial"/>
      <family val="2"/>
    </font>
    <font>
      <b/>
      <sz val="9"/>
      <name val="Arial"/>
      <family val="2"/>
    </font>
    <font>
      <b/>
      <sz val="10"/>
      <color rgb="FF000082"/>
      <name val="Arial"/>
      <family val="2"/>
    </font>
    <font>
      <sz val="11"/>
      <color indexed="18"/>
      <name val="Arial"/>
      <family val="2"/>
    </font>
    <font>
      <sz val="10"/>
      <color rgb="FFFF0000"/>
      <name val="Arial"/>
      <family val="2"/>
    </font>
    <font>
      <sz val="8"/>
      <color indexed="18"/>
      <name val="Arial"/>
      <family val="2"/>
    </font>
    <font>
      <sz val="9"/>
      <color indexed="18"/>
      <name val="Arial"/>
      <family val="2"/>
    </font>
    <font>
      <b/>
      <sz val="10"/>
      <color rgb="FF000066"/>
      <name val="Arial"/>
      <family val="2"/>
    </font>
    <font>
      <b/>
      <sz val="10"/>
      <color rgb="FFFF0000"/>
      <name val="Arial"/>
      <family val="2"/>
    </font>
    <font>
      <sz val="22"/>
      <name val="Arial Narrow"/>
      <family val="2"/>
    </font>
    <font>
      <sz val="24"/>
      <name val="Arial Narrow"/>
      <family val="2"/>
    </font>
    <font>
      <i/>
      <sz val="11"/>
      <color theme="1"/>
      <name val="Calibri"/>
      <family val="2"/>
      <scheme val="minor"/>
    </font>
    <font>
      <b/>
      <sz val="11"/>
      <color rgb="FF000080"/>
      <name val="Calibri"/>
      <family val="2"/>
    </font>
    <font>
      <b/>
      <i/>
      <sz val="11"/>
      <color indexed="8"/>
      <name val="Calibri"/>
      <family val="2"/>
    </font>
    <font>
      <b/>
      <sz val="11"/>
      <color theme="1"/>
      <name val="Calibri"/>
      <family val="2"/>
      <scheme val="minor"/>
    </font>
    <font>
      <i/>
      <sz val="11"/>
      <color indexed="8"/>
      <name val="Calibri"/>
      <family val="2"/>
    </font>
    <font>
      <sz val="11"/>
      <color rgb="FF000000"/>
      <name val="Calibri"/>
      <family val="2"/>
      <charset val="204"/>
    </font>
    <font>
      <b/>
      <sz val="11.5"/>
      <name val="Arial Narrow"/>
      <family val="2"/>
    </font>
    <font>
      <sz val="10"/>
      <name val="Arial"/>
      <family val="2"/>
    </font>
    <font>
      <sz val="22"/>
      <color rgb="FFFF0000"/>
      <name val="Arial Narrow"/>
      <family val="2"/>
    </font>
    <font>
      <b/>
      <sz val="14"/>
      <color rgb="FFFF0000"/>
      <name val="Arial Narrow"/>
      <family val="2"/>
    </font>
    <font>
      <sz val="14"/>
      <color indexed="18"/>
      <name val="Arial Narrow"/>
      <family val="2"/>
    </font>
    <font>
      <b/>
      <sz val="12"/>
      <color rgb="FFFF0000"/>
      <name val="Arial Narrow"/>
      <family val="2"/>
    </font>
    <font>
      <sz val="12"/>
      <color indexed="62"/>
      <name val="Arial Narrow"/>
      <family val="2"/>
    </font>
    <font>
      <b/>
      <sz val="11.9"/>
      <name val="Arial Narrow"/>
      <family val="2"/>
    </font>
    <font>
      <i/>
      <sz val="14"/>
      <name val="Arial"/>
      <family val="2"/>
    </font>
    <font>
      <b/>
      <sz val="12"/>
      <color rgb="FFC00000"/>
      <name val="Arial"/>
      <family val="2"/>
    </font>
    <font>
      <b/>
      <sz val="10"/>
      <color indexed="22"/>
      <name val="Arial"/>
      <family val="2"/>
    </font>
    <font>
      <sz val="10"/>
      <color theme="1"/>
      <name val="Arial"/>
      <family val="2"/>
    </font>
    <font>
      <b/>
      <sz val="10"/>
      <color rgb="FF000080"/>
      <name val="Arial"/>
      <family val="2"/>
    </font>
    <font>
      <b/>
      <sz val="11"/>
      <color rgb="FF000080"/>
      <name val="Arial Narrow"/>
      <family val="2"/>
    </font>
    <font>
      <sz val="10"/>
      <color rgb="FF000080"/>
      <name val="Arial"/>
      <family val="2"/>
    </font>
    <font>
      <b/>
      <sz val="11"/>
      <color rgb="FF000080"/>
      <name val="Arial"/>
      <family val="2"/>
    </font>
    <font>
      <b/>
      <sz val="12"/>
      <color rgb="FF000080"/>
      <name val="Arial"/>
      <family val="2"/>
    </font>
    <font>
      <sz val="10"/>
      <color rgb="FF000066"/>
      <name val="Arial"/>
      <family val="2"/>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65"/>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indexed="22"/>
        <bgColor indexed="64"/>
      </patternFill>
    </fill>
    <fill>
      <patternFill patternType="solid">
        <fgColor indexed="41"/>
        <bgColor indexed="64"/>
      </patternFill>
    </fill>
    <fill>
      <patternFill patternType="solid">
        <fgColor indexed="47"/>
        <bgColor indexed="64"/>
      </patternFill>
    </fill>
    <fill>
      <patternFill patternType="solid">
        <fgColor indexed="9"/>
        <bgColor indexed="64"/>
      </patternFill>
    </fill>
    <fill>
      <patternFill patternType="solid">
        <fgColor indexed="46"/>
        <bgColor indexed="64"/>
      </patternFill>
    </fill>
    <fill>
      <patternFill patternType="solid">
        <fgColor rgb="FFFFFF99"/>
        <bgColor indexed="64"/>
      </patternFill>
    </fill>
    <fill>
      <patternFill patternType="solid">
        <fgColor rgb="FFFFCC99"/>
        <bgColor indexed="64"/>
      </patternFill>
    </fill>
    <fill>
      <patternFill patternType="solid">
        <fgColor theme="0"/>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FFCC"/>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theme="6" tint="0.59999389629810485"/>
        <bgColor indexed="64"/>
      </patternFill>
    </fill>
    <fill>
      <patternFill patternType="solid">
        <fgColor rgb="FFCCFFCC"/>
        <bgColor indexed="64"/>
      </patternFill>
    </fill>
    <fill>
      <patternFill patternType="solid">
        <fgColor theme="7" tint="0.59999389629810485"/>
        <bgColor indexed="64"/>
      </patternFill>
    </fill>
    <fill>
      <patternFill patternType="solid">
        <fgColor rgb="FFCCFFFF"/>
        <bgColor indexed="64"/>
      </patternFill>
    </fill>
    <fill>
      <patternFill patternType="solid">
        <fgColor theme="9" tint="0.59999389629810485"/>
        <bgColor indexed="9"/>
      </patternFill>
    </fill>
    <fill>
      <patternFill patternType="solid">
        <fgColor rgb="FFB7DEE8"/>
        <bgColor indexed="64"/>
      </patternFill>
    </fill>
    <fill>
      <patternFill patternType="solid">
        <fgColor theme="5" tint="0.79998168889431442"/>
        <bgColor indexed="64"/>
      </patternFill>
    </fill>
    <fill>
      <patternFill patternType="solid">
        <fgColor rgb="FFFFFF99"/>
        <bgColor indexed="0"/>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rgb="FFFFCC66"/>
        <bgColor indexed="64"/>
      </patternFill>
    </fill>
    <fill>
      <patternFill patternType="solid">
        <fgColor rgb="FFFF000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rgb="FFFFFF66"/>
        <bgColor indexed="64"/>
      </patternFill>
    </fill>
  </fills>
  <borders count="60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top/>
      <bottom style="thin">
        <color indexed="64"/>
      </bottom>
      <diagonal/>
    </border>
    <border>
      <left style="double">
        <color indexed="8"/>
      </left>
      <right/>
      <top style="double">
        <color indexed="8"/>
      </top>
      <bottom/>
      <diagonal/>
    </border>
    <border>
      <left/>
      <right/>
      <top style="double">
        <color indexed="8"/>
      </top>
      <bottom/>
      <diagonal/>
    </border>
    <border>
      <left/>
      <right/>
      <top/>
      <bottom style="double">
        <color indexed="8"/>
      </bottom>
      <diagonal/>
    </border>
    <border>
      <left/>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double">
        <color indexed="8"/>
      </bottom>
      <diagonal/>
    </border>
    <border>
      <left/>
      <right style="thin">
        <color indexed="8"/>
      </right>
      <top style="double">
        <color indexed="8"/>
      </top>
      <bottom/>
      <diagonal/>
    </border>
    <border>
      <left/>
      <right style="thin">
        <color indexed="8"/>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medium">
        <color indexed="8"/>
      </top>
      <bottom style="thin">
        <color indexed="8"/>
      </bottom>
      <diagonal/>
    </border>
    <border>
      <left/>
      <right/>
      <top/>
      <bottom style="medium">
        <color indexed="64"/>
      </bottom>
      <diagonal/>
    </border>
    <border>
      <left/>
      <right style="thin">
        <color indexed="8"/>
      </right>
      <top/>
      <bottom style="medium">
        <color indexed="64"/>
      </bottom>
      <diagonal/>
    </border>
    <border>
      <left style="thin">
        <color indexed="8"/>
      </left>
      <right style="thin">
        <color indexed="8"/>
      </right>
      <top/>
      <bottom style="medium">
        <color indexed="64"/>
      </bottom>
      <diagonal/>
    </border>
    <border>
      <left/>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63"/>
      </left>
      <right style="thin">
        <color indexed="63"/>
      </right>
      <top/>
      <bottom/>
      <diagonal/>
    </border>
    <border>
      <left style="thin">
        <color indexed="63"/>
      </left>
      <right style="thin">
        <color indexed="63"/>
      </right>
      <top/>
      <bottom style="thin">
        <color indexed="63"/>
      </bottom>
      <diagonal/>
    </border>
    <border>
      <left/>
      <right style="thin">
        <color indexed="8"/>
      </right>
      <top/>
      <bottom style="double">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thin">
        <color indexed="64"/>
      </right>
      <top style="thin">
        <color indexed="64"/>
      </top>
      <bottom/>
      <diagonal/>
    </border>
    <border>
      <left/>
      <right style="thin">
        <color indexed="64"/>
      </right>
      <top/>
      <bottom/>
      <diagonal/>
    </border>
    <border>
      <left style="medium">
        <color indexed="64"/>
      </left>
      <right style="medium">
        <color indexed="64"/>
      </right>
      <top style="thin">
        <color indexed="64"/>
      </top>
      <bottom/>
      <diagonal/>
    </border>
    <border>
      <left/>
      <right style="thin">
        <color indexed="8"/>
      </right>
      <top style="thin">
        <color indexed="8"/>
      </top>
      <bottom style="thin">
        <color indexed="64"/>
      </bottom>
      <diagonal/>
    </border>
    <border>
      <left/>
      <right style="thin">
        <color indexed="8"/>
      </right>
      <top style="thin">
        <color indexed="64"/>
      </top>
      <bottom style="thin">
        <color indexed="64"/>
      </bottom>
      <diagonal/>
    </border>
    <border>
      <left style="thin">
        <color indexed="8"/>
      </left>
      <right style="thin">
        <color indexed="8"/>
      </right>
      <top/>
      <bottom/>
      <diagonal/>
    </border>
    <border>
      <left/>
      <right/>
      <top style="thin">
        <color indexed="64"/>
      </top>
      <bottom style="thin">
        <color indexed="64"/>
      </bottom>
      <diagonal/>
    </border>
    <border>
      <left style="double">
        <color indexed="8"/>
      </left>
      <right/>
      <top/>
      <bottom/>
      <diagonal/>
    </border>
    <border>
      <left style="double">
        <color indexed="8"/>
      </left>
      <right/>
      <top/>
      <bottom style="double">
        <color indexed="8"/>
      </bottom>
      <diagonal/>
    </border>
    <border>
      <left style="double">
        <color indexed="8"/>
      </left>
      <right/>
      <top/>
      <bottom style="medium">
        <color indexed="64"/>
      </bottom>
      <diagonal/>
    </border>
    <border>
      <left style="double">
        <color indexed="8"/>
      </left>
      <right/>
      <top style="medium">
        <color indexed="64"/>
      </top>
      <bottom/>
      <diagonal/>
    </border>
    <border>
      <left style="double">
        <color indexed="8"/>
      </left>
      <right/>
      <top/>
      <bottom style="thin">
        <color indexed="8"/>
      </bottom>
      <diagonal/>
    </border>
    <border>
      <left style="double">
        <color indexed="8"/>
      </left>
      <right/>
      <top style="medium">
        <color indexed="64"/>
      </top>
      <bottom style="medium">
        <color indexed="64"/>
      </bottom>
      <diagonal/>
    </border>
    <border>
      <left style="thin">
        <color indexed="8"/>
      </left>
      <right style="thin">
        <color indexed="8"/>
      </right>
      <top style="thin">
        <color indexed="8"/>
      </top>
      <bottom style="thin">
        <color indexed="64"/>
      </bottom>
      <diagonal/>
    </border>
    <border>
      <left style="thin">
        <color indexed="8"/>
      </left>
      <right style="thin">
        <color indexed="8"/>
      </right>
      <top/>
      <bottom style="thin">
        <color indexed="64"/>
      </bottom>
      <diagonal/>
    </border>
    <border>
      <left style="thin">
        <color indexed="64"/>
      </left>
      <right style="thin">
        <color indexed="63"/>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style="double">
        <color indexed="64"/>
      </bottom>
      <diagonal/>
    </border>
    <border>
      <left style="thin">
        <color indexed="63"/>
      </left>
      <right/>
      <top/>
      <bottom style="thin">
        <color indexed="64"/>
      </bottom>
      <diagonal/>
    </border>
    <border>
      <left style="thin">
        <color indexed="63"/>
      </left>
      <right/>
      <top/>
      <bottom/>
      <diagonal/>
    </border>
    <border>
      <left style="thin">
        <color indexed="63"/>
      </left>
      <right/>
      <top/>
      <bottom style="thin">
        <color indexed="63"/>
      </bottom>
      <diagonal/>
    </border>
    <border>
      <left style="thin">
        <color indexed="64"/>
      </left>
      <right style="thin">
        <color indexed="64"/>
      </right>
      <top/>
      <bottom style="thin">
        <color indexed="63"/>
      </bottom>
      <diagonal/>
    </border>
    <border>
      <left style="thin">
        <color indexed="64"/>
      </left>
      <right style="thin">
        <color indexed="64"/>
      </right>
      <top style="thin">
        <color indexed="64"/>
      </top>
      <bottom style="thin">
        <color indexed="63"/>
      </bottom>
      <diagonal/>
    </border>
    <border>
      <left/>
      <right/>
      <top style="medium">
        <color indexed="8"/>
      </top>
      <bottom/>
      <diagonal/>
    </border>
    <border>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right style="thin">
        <color indexed="64"/>
      </right>
      <top/>
      <bottom style="thin">
        <color indexed="64"/>
      </bottom>
      <diagonal/>
    </border>
    <border>
      <left style="thin">
        <color indexed="63"/>
      </left>
      <right style="thin">
        <color indexed="63"/>
      </right>
      <top style="thin">
        <color indexed="63"/>
      </top>
      <bottom style="double">
        <color indexed="64"/>
      </bottom>
      <diagonal/>
    </border>
    <border>
      <left style="thin">
        <color indexed="63"/>
      </left>
      <right style="thin">
        <color indexed="64"/>
      </right>
      <top style="thin">
        <color indexed="63"/>
      </top>
      <bottom style="double">
        <color indexed="64"/>
      </bottom>
      <diagonal/>
    </border>
    <border>
      <left/>
      <right/>
      <top style="thin">
        <color indexed="22"/>
      </top>
      <bottom style="thin">
        <color indexed="22"/>
      </bottom>
      <diagonal/>
    </border>
    <border>
      <left style="medium">
        <color indexed="64"/>
      </left>
      <right/>
      <top style="medium">
        <color indexed="64"/>
      </top>
      <bottom style="medium">
        <color indexed="64"/>
      </bottom>
      <diagonal/>
    </border>
    <border>
      <left style="double">
        <color indexed="8"/>
      </left>
      <right/>
      <top style="medium">
        <color indexed="8"/>
      </top>
      <bottom/>
      <diagonal/>
    </border>
    <border>
      <left style="thin">
        <color indexed="8"/>
      </left>
      <right style="thin">
        <color indexed="8"/>
      </right>
      <top style="medium">
        <color indexed="8"/>
      </top>
      <bottom/>
      <diagonal/>
    </border>
    <border>
      <left/>
      <right/>
      <top/>
      <bottom style="thin">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medium">
        <color indexed="64"/>
      </top>
      <bottom style="thin">
        <color indexed="8"/>
      </bottom>
      <diagonal/>
    </border>
    <border>
      <left/>
      <right style="double">
        <color indexed="8"/>
      </right>
      <top/>
      <bottom/>
      <diagonal/>
    </border>
    <border>
      <left/>
      <right style="double">
        <color indexed="8"/>
      </right>
      <top style="medium">
        <color indexed="8"/>
      </top>
      <bottom style="thin">
        <color indexed="8"/>
      </bottom>
      <diagonal/>
    </border>
    <border>
      <left/>
      <right style="double">
        <color indexed="8"/>
      </right>
      <top/>
      <bottom style="thin">
        <color indexed="8"/>
      </bottom>
      <diagonal/>
    </border>
    <border>
      <left/>
      <right style="double">
        <color indexed="8"/>
      </right>
      <top/>
      <bottom style="medium">
        <color indexed="64"/>
      </bottom>
      <diagonal/>
    </border>
    <border>
      <left/>
      <right style="double">
        <color indexed="8"/>
      </right>
      <top style="thin">
        <color indexed="8"/>
      </top>
      <bottom style="medium">
        <color indexed="64"/>
      </bottom>
      <diagonal/>
    </border>
    <border>
      <left style="thin">
        <color indexed="8"/>
      </left>
      <right style="double">
        <color indexed="8"/>
      </right>
      <top/>
      <bottom style="medium">
        <color indexed="64"/>
      </bottom>
      <diagonal/>
    </border>
    <border>
      <left style="thin">
        <color indexed="8"/>
      </left>
      <right style="double">
        <color indexed="8"/>
      </right>
      <top style="medium">
        <color indexed="64"/>
      </top>
      <bottom style="thin">
        <color indexed="8"/>
      </bottom>
      <diagonal/>
    </border>
    <border>
      <left style="thin">
        <color indexed="8"/>
      </left>
      <right style="double">
        <color indexed="8"/>
      </right>
      <top/>
      <bottom style="thin">
        <color indexed="8"/>
      </bottom>
      <diagonal/>
    </border>
    <border>
      <left style="thin">
        <color indexed="64"/>
      </left>
      <right style="double">
        <color indexed="8"/>
      </right>
      <top/>
      <bottom/>
      <diagonal/>
    </border>
    <border>
      <left/>
      <right style="double">
        <color indexed="8"/>
      </right>
      <top/>
      <bottom style="thin">
        <color indexed="22"/>
      </bottom>
      <diagonal/>
    </border>
    <border>
      <left/>
      <right style="double">
        <color indexed="8"/>
      </right>
      <top/>
      <bottom style="thin">
        <color indexed="64"/>
      </bottom>
      <diagonal/>
    </border>
    <border>
      <left/>
      <right style="double">
        <color indexed="8"/>
      </right>
      <top style="thin">
        <color indexed="22"/>
      </top>
      <bottom style="thin">
        <color indexed="22"/>
      </bottom>
      <diagonal/>
    </border>
    <border>
      <left/>
      <right style="double">
        <color indexed="8"/>
      </right>
      <top style="medium">
        <color indexed="64"/>
      </top>
      <bottom style="medium">
        <color indexed="64"/>
      </bottom>
      <diagonal/>
    </border>
    <border>
      <left style="thin">
        <color indexed="8"/>
      </left>
      <right style="double">
        <color indexed="8"/>
      </right>
      <top/>
      <bottom style="double">
        <color indexed="8"/>
      </bottom>
      <diagonal/>
    </border>
    <border>
      <left/>
      <right/>
      <top style="thin">
        <color indexed="22"/>
      </top>
      <bottom/>
      <diagonal/>
    </border>
    <border>
      <left style="thin">
        <color indexed="8"/>
      </left>
      <right style="thin">
        <color indexed="8"/>
      </right>
      <top style="thin">
        <color indexed="22"/>
      </top>
      <bottom/>
      <diagonal/>
    </border>
    <border>
      <left style="thin">
        <color indexed="8"/>
      </left>
      <right style="double">
        <color indexed="8"/>
      </right>
      <top style="thin">
        <color indexed="22"/>
      </top>
      <bottom/>
      <diagonal/>
    </border>
    <border>
      <left style="double">
        <color indexed="8"/>
      </left>
      <right/>
      <top style="medium">
        <color indexed="8"/>
      </top>
      <bottom style="medium">
        <color indexed="8"/>
      </bottom>
      <diagonal/>
    </border>
    <border>
      <left/>
      <right style="thin">
        <color indexed="8"/>
      </right>
      <top style="medium">
        <color indexed="8"/>
      </top>
      <bottom style="medium">
        <color indexed="8"/>
      </bottom>
      <diagonal/>
    </border>
    <border>
      <left style="thin">
        <color indexed="8"/>
      </left>
      <right style="double">
        <color indexed="8"/>
      </right>
      <top style="thin">
        <color indexed="22"/>
      </top>
      <bottom style="thin">
        <color indexed="22"/>
      </bottom>
      <diagonal/>
    </border>
    <border>
      <left style="thin">
        <color indexed="63"/>
      </left>
      <right style="thin">
        <color indexed="63"/>
      </right>
      <top/>
      <bottom style="thin">
        <color indexed="22"/>
      </bottom>
      <diagonal/>
    </border>
    <border>
      <left style="thin">
        <color indexed="63"/>
      </left>
      <right style="thin">
        <color indexed="64"/>
      </right>
      <top/>
      <bottom style="thin">
        <color indexed="22"/>
      </bottom>
      <diagonal/>
    </border>
    <border>
      <left/>
      <right style="thin">
        <color indexed="63"/>
      </right>
      <top/>
      <bottom style="thin">
        <color indexed="22"/>
      </bottom>
      <diagonal/>
    </border>
    <border>
      <left style="thin">
        <color indexed="63"/>
      </left>
      <right style="thin">
        <color indexed="63"/>
      </right>
      <top style="thin">
        <color indexed="22"/>
      </top>
      <bottom style="thin">
        <color indexed="22"/>
      </bottom>
      <diagonal/>
    </border>
    <border>
      <left style="thin">
        <color indexed="63"/>
      </left>
      <right style="thin">
        <color indexed="64"/>
      </right>
      <top style="thin">
        <color indexed="22"/>
      </top>
      <bottom style="thin">
        <color indexed="22"/>
      </bottom>
      <diagonal/>
    </border>
    <border>
      <left style="thin">
        <color indexed="63"/>
      </left>
      <right style="thin">
        <color indexed="63"/>
      </right>
      <top style="thin">
        <color indexed="22"/>
      </top>
      <bottom style="thin">
        <color indexed="63"/>
      </bottom>
      <diagonal/>
    </border>
    <border>
      <left style="thin">
        <color indexed="63"/>
      </left>
      <right style="thin">
        <color indexed="64"/>
      </right>
      <top style="thin">
        <color indexed="22"/>
      </top>
      <bottom style="thin">
        <color indexed="63"/>
      </bottom>
      <diagonal/>
    </border>
    <border>
      <left style="thin">
        <color indexed="64"/>
      </left>
      <right style="thin">
        <color indexed="63"/>
      </right>
      <top style="thin">
        <color indexed="63"/>
      </top>
      <bottom style="double">
        <color indexed="64"/>
      </bottom>
      <diagonal/>
    </border>
    <border>
      <left/>
      <right style="thin">
        <color indexed="63"/>
      </right>
      <top style="thin">
        <color indexed="63"/>
      </top>
      <bottom style="double">
        <color indexed="64"/>
      </bottom>
      <diagonal/>
    </border>
    <border>
      <left style="thin">
        <color indexed="8"/>
      </left>
      <right style="thin">
        <color indexed="8"/>
      </right>
      <top style="thin">
        <color indexed="22"/>
      </top>
      <bottom style="thin">
        <color indexed="64"/>
      </bottom>
      <diagonal/>
    </border>
    <border>
      <left/>
      <right style="double">
        <color indexed="8"/>
      </right>
      <top style="thin">
        <color indexed="22"/>
      </top>
      <bottom style="thin">
        <color indexed="64"/>
      </bottom>
      <diagonal/>
    </border>
    <border>
      <left style="thin">
        <color indexed="8"/>
      </left>
      <right style="double">
        <color indexed="8"/>
      </right>
      <top style="medium">
        <color indexed="8"/>
      </top>
      <bottom/>
      <diagonal/>
    </border>
    <border>
      <left/>
      <right/>
      <top style="double">
        <color indexed="64"/>
      </top>
      <bottom/>
      <diagonal/>
    </border>
    <border>
      <left style="thin">
        <color indexed="8"/>
      </left>
      <right style="thin">
        <color indexed="8"/>
      </right>
      <top style="double">
        <color indexed="8"/>
      </top>
      <bottom/>
      <diagonal/>
    </border>
    <border>
      <left/>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style="double">
        <color indexed="8"/>
      </right>
      <top style="double">
        <color indexed="8"/>
      </top>
      <bottom/>
      <diagonal/>
    </border>
    <border>
      <left style="thin">
        <color indexed="8"/>
      </left>
      <right style="double">
        <color indexed="8"/>
      </right>
      <top/>
      <bottom/>
      <diagonal/>
    </border>
    <border>
      <left/>
      <right style="thin">
        <color indexed="8"/>
      </right>
      <top style="medium">
        <color indexed="64"/>
      </top>
      <bottom/>
      <diagonal/>
    </border>
    <border>
      <left/>
      <right/>
      <top style="medium">
        <color indexed="8"/>
      </top>
      <bottom style="medium">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top style="double">
        <color indexed="8"/>
      </top>
      <bottom/>
      <diagonal/>
    </border>
    <border>
      <left style="thin">
        <color indexed="8"/>
      </left>
      <right/>
      <top/>
      <bottom/>
      <diagonal/>
    </border>
    <border>
      <left style="thin">
        <color indexed="8"/>
      </left>
      <right/>
      <top/>
      <bottom style="double">
        <color indexed="8"/>
      </bottom>
      <diagonal/>
    </border>
    <border>
      <left/>
      <right style="thin">
        <color indexed="8"/>
      </right>
      <top/>
      <bottom style="double">
        <color indexed="8"/>
      </bottom>
      <diagonal/>
    </border>
    <border>
      <left style="thin">
        <color indexed="8"/>
      </left>
      <right/>
      <top style="double">
        <color indexed="8"/>
      </top>
      <bottom style="medium">
        <color indexed="8"/>
      </bottom>
      <diagonal/>
    </border>
    <border>
      <left/>
      <right style="thin">
        <color indexed="8"/>
      </right>
      <top style="double">
        <color indexed="8"/>
      </top>
      <bottom style="medium">
        <color indexed="8"/>
      </bottom>
      <diagonal/>
    </border>
    <border>
      <left style="thin">
        <color indexed="8"/>
      </left>
      <right/>
      <top style="medium">
        <color indexed="8"/>
      </top>
      <bottom style="thin">
        <color indexed="8"/>
      </bottom>
      <diagonal/>
    </border>
    <border>
      <left style="thin">
        <color indexed="8"/>
      </left>
      <right/>
      <top style="thin">
        <color indexed="8"/>
      </top>
      <bottom style="thin">
        <color indexed="8"/>
      </bottom>
      <diagonal/>
    </border>
    <border>
      <left style="thin">
        <color indexed="8"/>
      </left>
      <right/>
      <top style="medium">
        <color indexed="64"/>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style="thin">
        <color indexed="8"/>
      </left>
      <right/>
      <top style="medium">
        <color indexed="64"/>
      </top>
      <bottom style="medium">
        <color indexed="64"/>
      </bottom>
      <diagonal/>
    </border>
    <border>
      <left/>
      <right style="thin">
        <color indexed="8"/>
      </right>
      <top style="medium">
        <color indexed="64"/>
      </top>
      <bottom style="medium">
        <color indexed="64"/>
      </bottom>
      <diagonal/>
    </border>
    <border>
      <left style="thin">
        <color indexed="8"/>
      </left>
      <right/>
      <top style="thin">
        <color indexed="8"/>
      </top>
      <bottom style="thin">
        <color indexed="64"/>
      </bottom>
      <diagonal/>
    </border>
    <border>
      <left style="thin">
        <color indexed="8"/>
      </left>
      <right/>
      <top style="thin">
        <color indexed="64"/>
      </top>
      <bottom style="thin">
        <color indexed="64"/>
      </bottom>
      <diagonal/>
    </border>
    <border>
      <left style="thin">
        <color indexed="8"/>
      </left>
      <right/>
      <top style="thin">
        <color indexed="64"/>
      </top>
      <bottom style="thin">
        <color indexed="22"/>
      </bottom>
      <diagonal/>
    </border>
    <border>
      <left/>
      <right style="thin">
        <color indexed="8"/>
      </right>
      <top style="thin">
        <color indexed="64"/>
      </top>
      <bottom style="thin">
        <color indexed="22"/>
      </bottom>
      <diagonal/>
    </border>
    <border>
      <left style="thin">
        <color indexed="8"/>
      </left>
      <right/>
      <top style="thin">
        <color indexed="22"/>
      </top>
      <bottom style="thin">
        <color indexed="22"/>
      </bottom>
      <diagonal/>
    </border>
    <border>
      <left/>
      <right style="thin">
        <color indexed="8"/>
      </right>
      <top style="thin">
        <color indexed="22"/>
      </top>
      <bottom style="thin">
        <color indexed="22"/>
      </bottom>
      <diagonal/>
    </border>
    <border>
      <left style="thin">
        <color indexed="8"/>
      </left>
      <right/>
      <top style="medium">
        <color indexed="8"/>
      </top>
      <bottom/>
      <diagonal/>
    </border>
    <border>
      <left/>
      <right style="thin">
        <color indexed="8"/>
      </right>
      <top style="medium">
        <color indexed="8"/>
      </top>
      <bottom/>
      <diagonal/>
    </border>
    <border>
      <left style="thin">
        <color indexed="8"/>
      </left>
      <right/>
      <top/>
      <bottom style="medium">
        <color indexed="64"/>
      </bottom>
      <diagonal/>
    </border>
    <border>
      <left style="thin">
        <color indexed="8"/>
      </left>
      <right/>
      <top style="thin">
        <color indexed="8"/>
      </top>
      <bottom style="thin">
        <color indexed="22"/>
      </bottom>
      <diagonal/>
    </border>
    <border>
      <left/>
      <right style="thin">
        <color indexed="8"/>
      </right>
      <top style="thin">
        <color indexed="8"/>
      </top>
      <bottom style="thin">
        <color indexed="22"/>
      </bottom>
      <diagonal/>
    </border>
    <border>
      <left style="thin">
        <color indexed="8"/>
      </left>
      <right/>
      <top/>
      <bottom style="thin">
        <color indexed="22"/>
      </bottom>
      <diagonal/>
    </border>
    <border>
      <left/>
      <right style="thin">
        <color indexed="8"/>
      </right>
      <top/>
      <bottom style="thin">
        <color indexed="22"/>
      </bottom>
      <diagonal/>
    </border>
    <border>
      <left/>
      <right style="thin">
        <color indexed="8"/>
      </right>
      <top/>
      <bottom style="thin">
        <color indexed="64"/>
      </bottom>
      <diagonal/>
    </border>
    <border>
      <left/>
      <right style="thin">
        <color indexed="8"/>
      </right>
      <top style="thin">
        <color indexed="22"/>
      </top>
      <bottom style="thin">
        <color indexed="64"/>
      </bottom>
      <diagonal/>
    </border>
    <border>
      <left style="thin">
        <color indexed="8"/>
      </left>
      <right/>
      <top/>
      <bottom style="thin">
        <color indexed="64"/>
      </bottom>
      <diagonal/>
    </border>
    <border>
      <left style="thin">
        <color indexed="8"/>
      </left>
      <right/>
      <top style="thin">
        <color indexed="22"/>
      </top>
      <bottom style="thin">
        <color indexed="64"/>
      </bottom>
      <diagonal/>
    </border>
    <border>
      <left/>
      <right style="thin">
        <color indexed="64"/>
      </right>
      <top style="thin">
        <color indexed="22"/>
      </top>
      <bottom style="thin">
        <color indexed="64"/>
      </bottom>
      <diagonal/>
    </border>
    <border>
      <left/>
      <right style="thin">
        <color indexed="64"/>
      </right>
      <top/>
      <bottom style="thin">
        <color indexed="8"/>
      </bottom>
      <diagonal/>
    </border>
    <border>
      <left/>
      <right style="thin">
        <color indexed="64"/>
      </right>
      <top/>
      <bottom style="thin">
        <color indexed="22"/>
      </bottom>
      <diagonal/>
    </border>
    <border>
      <left/>
      <right style="thin">
        <color indexed="64"/>
      </right>
      <top style="thin">
        <color indexed="22"/>
      </top>
      <bottom style="thin">
        <color indexed="22"/>
      </bottom>
      <diagonal/>
    </border>
    <border>
      <left/>
      <right style="thin">
        <color indexed="64"/>
      </right>
      <top style="medium">
        <color indexed="64"/>
      </top>
      <bottom style="medium">
        <color indexed="64"/>
      </bottom>
      <diagonal/>
    </border>
    <border>
      <left/>
      <right style="thin">
        <color indexed="64"/>
      </right>
      <top style="thin">
        <color indexed="8"/>
      </top>
      <bottom/>
      <diagonal/>
    </border>
    <border>
      <left/>
      <right style="thin">
        <color indexed="64"/>
      </right>
      <top style="medium">
        <color indexed="8"/>
      </top>
      <bottom style="medium">
        <color indexed="8"/>
      </bottom>
      <diagonal/>
    </border>
    <border>
      <left/>
      <right style="thin">
        <color indexed="64"/>
      </right>
      <top/>
      <bottom style="double">
        <color indexed="8"/>
      </bottom>
      <diagonal/>
    </border>
    <border>
      <left style="thin">
        <color indexed="64"/>
      </left>
      <right style="thin">
        <color indexed="8"/>
      </right>
      <top style="medium">
        <color indexed="8"/>
      </top>
      <bottom style="medium">
        <color indexed="64"/>
      </bottom>
      <diagonal/>
    </border>
    <border>
      <left style="thin">
        <color indexed="8"/>
      </left>
      <right style="double">
        <color indexed="8"/>
      </right>
      <top style="medium">
        <color indexed="8"/>
      </top>
      <bottom style="medium">
        <color indexed="64"/>
      </bottom>
      <diagonal/>
    </border>
    <border>
      <left/>
      <right/>
      <top style="thin">
        <color indexed="8"/>
      </top>
      <bottom style="thin">
        <color indexed="64"/>
      </bottom>
      <diagonal/>
    </border>
    <border>
      <left/>
      <right/>
      <top style="thin">
        <color indexed="8"/>
      </top>
      <bottom/>
      <diagonal/>
    </border>
    <border>
      <left style="thin">
        <color indexed="64"/>
      </left>
      <right style="thin">
        <color indexed="8"/>
      </right>
      <top style="medium">
        <color indexed="64"/>
      </top>
      <bottom style="thin">
        <color indexed="8"/>
      </bottom>
      <diagonal/>
    </border>
    <border>
      <left style="thin">
        <color indexed="64"/>
      </left>
      <right style="thin">
        <color indexed="8"/>
      </right>
      <top/>
      <bottom style="thin">
        <color indexed="8"/>
      </bottom>
      <diagonal/>
    </border>
    <border>
      <left style="thin">
        <color indexed="64"/>
      </left>
      <right style="thin">
        <color indexed="8"/>
      </right>
      <top/>
      <bottom/>
      <diagonal/>
    </border>
    <border>
      <left style="thin">
        <color indexed="64"/>
      </left>
      <right style="thin">
        <color indexed="8"/>
      </right>
      <top style="thin">
        <color indexed="64"/>
      </top>
      <bottom style="thin">
        <color indexed="64"/>
      </bottom>
      <diagonal/>
    </border>
    <border>
      <left style="thin">
        <color indexed="64"/>
      </left>
      <right style="thin">
        <color indexed="8"/>
      </right>
      <top style="thin">
        <color indexed="8"/>
      </top>
      <bottom style="thin">
        <color indexed="64"/>
      </bottom>
      <diagonal/>
    </border>
    <border>
      <left/>
      <right/>
      <top style="thin">
        <color indexed="8"/>
      </top>
      <bottom style="thin">
        <color theme="0" tint="-0.24994659260841701"/>
      </bottom>
      <diagonal/>
    </border>
    <border>
      <left style="thin">
        <color indexed="64"/>
      </left>
      <right style="thin">
        <color indexed="8"/>
      </right>
      <top style="thin">
        <color indexed="8"/>
      </top>
      <bottom style="thin">
        <color theme="0" tint="-0.24994659260841701"/>
      </bottom>
      <diagonal/>
    </border>
    <border>
      <left style="thin">
        <color indexed="8"/>
      </left>
      <right/>
      <top style="thin">
        <color indexed="8"/>
      </top>
      <bottom style="thin">
        <color theme="0" tint="-0.24994659260841701"/>
      </bottom>
      <diagonal/>
    </border>
    <border>
      <left/>
      <right style="thin">
        <color indexed="64"/>
      </right>
      <top style="thin">
        <color indexed="8"/>
      </top>
      <bottom style="thin">
        <color theme="0" tint="-0.24994659260841701"/>
      </bottom>
      <diagonal/>
    </border>
    <border>
      <left/>
      <right style="thin">
        <color indexed="8"/>
      </right>
      <top style="thin">
        <color indexed="8"/>
      </top>
      <bottom style="thin">
        <color theme="0" tint="-0.24994659260841701"/>
      </bottom>
      <diagonal/>
    </border>
    <border>
      <left style="thin">
        <color indexed="8"/>
      </left>
      <right style="double">
        <color indexed="8"/>
      </right>
      <top style="thin">
        <color indexed="8"/>
      </top>
      <bottom style="thin">
        <color theme="0" tint="-0.24994659260841701"/>
      </bottom>
      <diagonal/>
    </border>
    <border>
      <left/>
      <right/>
      <top style="thin">
        <color theme="0" tint="-0.24994659260841701"/>
      </top>
      <bottom style="thin">
        <color theme="0" tint="-0.24994659260841701"/>
      </bottom>
      <diagonal/>
    </border>
    <border>
      <left style="thin">
        <color indexed="64"/>
      </left>
      <right style="thin">
        <color indexed="8"/>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right style="thin">
        <color indexed="8"/>
      </right>
      <top style="thin">
        <color theme="0" tint="-0.24994659260841701"/>
      </top>
      <bottom style="thin">
        <color theme="0" tint="-0.24994659260841701"/>
      </bottom>
      <diagonal/>
    </border>
    <border>
      <left style="thin">
        <color indexed="8"/>
      </left>
      <right style="double">
        <color indexed="8"/>
      </right>
      <top style="thin">
        <color theme="0" tint="-0.24994659260841701"/>
      </top>
      <bottom style="thin">
        <color theme="0" tint="-0.24994659260841701"/>
      </bottom>
      <diagonal/>
    </border>
    <border>
      <left style="thin">
        <color indexed="64"/>
      </left>
      <right style="thin">
        <color indexed="8"/>
      </right>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8"/>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indexed="64"/>
      </top>
      <bottom/>
      <diagonal/>
    </border>
    <border>
      <left style="thin">
        <color indexed="64"/>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right style="thin">
        <color indexed="64"/>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double">
        <color indexed="8"/>
      </right>
      <top style="thin">
        <color theme="0" tint="-0.2499465926084170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3"/>
      </left>
      <right style="thin">
        <color indexed="64"/>
      </right>
      <top style="thin">
        <color indexed="22"/>
      </top>
      <bottom style="thin">
        <color indexed="22"/>
      </bottom>
      <diagonal/>
    </border>
    <border>
      <left style="thin">
        <color indexed="63"/>
      </left>
      <right style="thin">
        <color indexed="64"/>
      </right>
      <top style="thin">
        <color indexed="22"/>
      </top>
      <bottom style="thin">
        <color indexed="63"/>
      </bottom>
      <diagonal/>
    </border>
    <border>
      <left style="thin">
        <color indexed="63"/>
      </left>
      <right style="thin">
        <color indexed="64"/>
      </right>
      <top style="thin">
        <color indexed="63"/>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4"/>
      </right>
      <top style="thin">
        <color indexed="63"/>
      </top>
      <bottom style="double">
        <color indexed="64"/>
      </bottom>
      <diagonal/>
    </border>
    <border>
      <left style="thin">
        <color indexed="63"/>
      </left>
      <right style="thin">
        <color indexed="64"/>
      </right>
      <top style="thin">
        <color indexed="22"/>
      </top>
      <bottom style="thin">
        <color indexed="22"/>
      </bottom>
      <diagonal/>
    </border>
    <border>
      <left style="thin">
        <color indexed="63"/>
      </left>
      <right style="thin">
        <color indexed="64"/>
      </right>
      <top style="thin">
        <color indexed="22"/>
      </top>
      <bottom style="thin">
        <color indexed="63"/>
      </bottom>
      <diagonal/>
    </border>
    <border>
      <left style="thin">
        <color indexed="63"/>
      </left>
      <right style="thin">
        <color indexed="63"/>
      </right>
      <top style="thin">
        <color indexed="63"/>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4"/>
      </right>
      <top style="thin">
        <color indexed="63"/>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double">
        <color indexed="64"/>
      </bottom>
      <diagonal/>
    </border>
    <border>
      <left style="thin">
        <color indexed="64"/>
      </left>
      <right style="thin">
        <color indexed="64"/>
      </right>
      <top style="thin">
        <color indexed="64"/>
      </top>
      <bottom style="thin">
        <color indexed="64"/>
      </bottom>
      <diagonal/>
    </border>
    <border>
      <left style="thin">
        <color indexed="63"/>
      </left>
      <right style="thin">
        <color indexed="64"/>
      </right>
      <top style="thin">
        <color indexed="63"/>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3"/>
      </left>
      <right style="thin">
        <color indexed="64"/>
      </right>
      <top style="thin">
        <color indexed="63"/>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4"/>
      </right>
      <top style="thin">
        <color indexed="63"/>
      </top>
      <bottom style="double">
        <color indexed="64"/>
      </bottom>
      <diagonal/>
    </border>
    <border>
      <left style="thin">
        <color indexed="63"/>
      </left>
      <right style="thin">
        <color indexed="64"/>
      </right>
      <top style="thin">
        <color indexed="22"/>
      </top>
      <bottom style="thin">
        <color indexed="22"/>
      </bottom>
      <diagonal/>
    </border>
    <border>
      <left style="thin">
        <color indexed="63"/>
      </left>
      <right style="thin">
        <color indexed="64"/>
      </right>
      <top style="thin">
        <color indexed="22"/>
      </top>
      <bottom style="thin">
        <color indexed="63"/>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bottom style="thin">
        <color theme="0" tint="-0.1499679555650502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style="thin">
        <color indexed="63"/>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8"/>
      </bottom>
      <diagonal/>
    </border>
    <border>
      <left/>
      <right/>
      <top style="thin">
        <color indexed="8"/>
      </top>
      <bottom style="thin">
        <color indexed="64"/>
      </bottom>
      <diagonal/>
    </border>
    <border>
      <left style="thin">
        <color indexed="64"/>
      </left>
      <right style="thin">
        <color indexed="64"/>
      </right>
      <top style="thin">
        <color indexed="8"/>
      </top>
      <bottom style="thin">
        <color theme="0" tint="-0.24994659260841701"/>
      </bottom>
      <diagonal/>
    </border>
    <border>
      <left style="thin">
        <color indexed="64"/>
      </left>
      <right style="double">
        <color auto="1"/>
      </right>
      <top/>
      <bottom style="thin">
        <color theme="0" tint="-0.24994659260841701"/>
      </bottom>
      <diagonal/>
    </border>
    <border>
      <left style="thin">
        <color indexed="64"/>
      </left>
      <right style="double">
        <color auto="1"/>
      </right>
      <top style="thin">
        <color theme="0" tint="-0.24994659260841701"/>
      </top>
      <bottom style="thin">
        <color theme="0" tint="-0.24994659260841701"/>
      </bottom>
      <diagonal/>
    </border>
    <border>
      <left style="thin">
        <color indexed="64"/>
      </left>
      <right style="double">
        <color auto="1"/>
      </right>
      <top style="thin">
        <color theme="0" tint="-0.24994659260841701"/>
      </top>
      <bottom style="thin">
        <color indexed="64"/>
      </bottom>
      <diagonal/>
    </border>
    <border>
      <left/>
      <right/>
      <top style="thin">
        <color indexed="8"/>
      </top>
      <bottom style="medium">
        <color indexed="64"/>
      </bottom>
      <diagonal/>
    </border>
    <border>
      <left/>
      <right/>
      <top style="thin">
        <color indexed="64"/>
      </top>
      <bottom style="thin">
        <color theme="0" tint="-0.24994659260841701"/>
      </bottom>
      <diagonal/>
    </border>
    <border>
      <left/>
      <right/>
      <top style="thin">
        <color theme="0" tint="-0.24994659260841701"/>
      </top>
      <bottom style="thin">
        <color indexed="64"/>
      </bottom>
      <diagonal/>
    </border>
    <border>
      <left/>
      <right/>
      <top style="thin">
        <color indexed="8"/>
      </top>
      <bottom/>
      <diagonal/>
    </border>
    <border>
      <left style="thin">
        <color indexed="64"/>
      </left>
      <right/>
      <top/>
      <bottom style="thin">
        <color indexed="8"/>
      </bottom>
      <diagonal/>
    </border>
    <border>
      <left style="thin">
        <color indexed="64"/>
      </left>
      <right/>
      <top/>
      <bottom style="thin">
        <color indexed="64"/>
      </bottom>
      <diagonal/>
    </border>
    <border>
      <left style="thin">
        <color indexed="64"/>
      </left>
      <right style="thin">
        <color indexed="64"/>
      </right>
      <top style="double">
        <color indexed="8"/>
      </top>
      <bottom style="medium">
        <color indexed="8"/>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8"/>
      </top>
      <bottom style="medium">
        <color indexed="8"/>
      </bottom>
      <diagonal/>
    </border>
    <border>
      <left style="thin">
        <color indexed="64"/>
      </left>
      <right style="thin">
        <color indexed="64"/>
      </right>
      <top style="double">
        <color indexed="8"/>
      </top>
      <bottom/>
      <diagonal/>
    </border>
    <border>
      <left style="thin">
        <color indexed="64"/>
      </left>
      <right style="thin">
        <color indexed="64"/>
      </right>
      <top/>
      <bottom style="thin">
        <color indexed="22"/>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8"/>
      </bottom>
      <diagonal/>
    </border>
    <border>
      <left/>
      <right style="thin">
        <color indexed="64"/>
      </right>
      <top style="thin">
        <color indexed="8"/>
      </top>
      <bottom style="thin">
        <color indexed="64"/>
      </bottom>
      <diagonal/>
    </border>
    <border>
      <left style="thin">
        <color indexed="64"/>
      </left>
      <right/>
      <top style="thin">
        <color indexed="8"/>
      </top>
      <bottom style="medium">
        <color indexed="64"/>
      </bottom>
      <diagonal/>
    </border>
    <border>
      <left style="thin">
        <color indexed="64"/>
      </left>
      <right/>
      <top style="thin">
        <color indexed="8"/>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8"/>
      </top>
      <bottom style="medium">
        <color indexed="8"/>
      </bottom>
      <diagonal/>
    </border>
    <border>
      <left style="thin">
        <color indexed="64"/>
      </left>
      <right style="thin">
        <color indexed="64"/>
      </right>
      <top/>
      <bottom style="double">
        <color indexed="8"/>
      </bottom>
      <diagonal/>
    </border>
    <border>
      <left style="thin">
        <color indexed="64"/>
      </left>
      <right style="thin">
        <color indexed="64"/>
      </right>
      <top style="medium">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medium">
        <color indexed="64"/>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style="medium">
        <color indexed="8"/>
      </top>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8"/>
      </top>
      <bottom style="thin">
        <color indexed="22"/>
      </bottom>
      <diagonal/>
    </border>
    <border>
      <left style="thin">
        <color indexed="64"/>
      </left>
      <right style="thin">
        <color indexed="64"/>
      </right>
      <top style="medium">
        <color indexed="8"/>
      </top>
      <bottom style="medium">
        <color indexed="64"/>
      </bottom>
      <diagonal/>
    </border>
    <border>
      <left style="thin">
        <color indexed="64"/>
      </left>
      <right style="double">
        <color indexed="8"/>
      </right>
      <top style="double">
        <color indexed="8"/>
      </top>
      <bottom/>
      <diagonal/>
    </border>
    <border>
      <left style="thin">
        <color indexed="64"/>
      </left>
      <right style="double">
        <color indexed="8"/>
      </right>
      <top/>
      <bottom style="double">
        <color indexed="8"/>
      </bottom>
      <diagonal/>
    </border>
    <border>
      <left style="thin">
        <color indexed="64"/>
      </left>
      <right style="double">
        <color indexed="8"/>
      </right>
      <top style="medium">
        <color indexed="8"/>
      </top>
      <bottom style="thin">
        <color indexed="8"/>
      </bottom>
      <diagonal/>
    </border>
    <border>
      <left style="thin">
        <color indexed="64"/>
      </left>
      <right style="double">
        <color indexed="8"/>
      </right>
      <top/>
      <bottom style="thin">
        <color indexed="8"/>
      </bottom>
      <diagonal/>
    </border>
    <border>
      <left style="thin">
        <color indexed="64"/>
      </left>
      <right style="double">
        <color indexed="8"/>
      </right>
      <top style="thin">
        <color indexed="8"/>
      </top>
      <bottom style="medium">
        <color indexed="64"/>
      </bottom>
      <diagonal/>
    </border>
    <border>
      <left style="thin">
        <color indexed="64"/>
      </left>
      <right style="double">
        <color indexed="8"/>
      </right>
      <top/>
      <bottom style="medium">
        <color indexed="64"/>
      </bottom>
      <diagonal/>
    </border>
    <border>
      <left style="thin">
        <color indexed="64"/>
      </left>
      <right style="double">
        <color indexed="8"/>
      </right>
      <top style="medium">
        <color indexed="64"/>
      </top>
      <bottom style="thin">
        <color indexed="8"/>
      </bottom>
      <diagonal/>
    </border>
    <border>
      <left style="thin">
        <color indexed="64"/>
      </left>
      <right style="double">
        <color indexed="8"/>
      </right>
      <top style="medium">
        <color indexed="8"/>
      </top>
      <bottom/>
      <diagonal/>
    </border>
    <border>
      <left style="thin">
        <color indexed="64"/>
      </left>
      <right style="double">
        <color indexed="8"/>
      </right>
      <top/>
      <bottom style="thin">
        <color indexed="22"/>
      </bottom>
      <diagonal/>
    </border>
    <border>
      <left style="thin">
        <color indexed="64"/>
      </left>
      <right style="double">
        <color indexed="8"/>
      </right>
      <top style="medium">
        <color indexed="64"/>
      </top>
      <bottom style="medium">
        <color indexed="64"/>
      </bottom>
      <diagonal/>
    </border>
    <border>
      <left style="thin">
        <color indexed="64"/>
      </left>
      <right style="double">
        <color indexed="8"/>
      </right>
      <top style="medium">
        <color indexed="8"/>
      </top>
      <bottom style="medium">
        <color indexed="64"/>
      </bottom>
      <diagonal/>
    </border>
    <border>
      <left/>
      <right style="thin">
        <color indexed="64"/>
      </right>
      <top style="medium">
        <color indexed="64"/>
      </top>
      <bottom style="thin">
        <color indexed="64"/>
      </bottom>
      <diagonal/>
    </border>
    <border>
      <left/>
      <right/>
      <top/>
      <bottom style="thin">
        <color theme="0" tint="-0.24994659260841701"/>
      </bottom>
      <diagonal/>
    </border>
    <border>
      <left/>
      <right/>
      <top style="medium">
        <color indexed="64"/>
      </top>
      <bottom style="thin">
        <color indexed="64"/>
      </bottom>
      <diagonal/>
    </border>
    <border>
      <left style="double">
        <color auto="1"/>
      </left>
      <right/>
      <top/>
      <bottom/>
      <diagonal/>
    </border>
    <border>
      <left style="double">
        <color indexed="64"/>
      </left>
      <right/>
      <top/>
      <bottom style="medium">
        <color indexed="64"/>
      </bottom>
      <diagonal/>
    </border>
    <border>
      <left style="thin">
        <color indexed="64"/>
      </left>
      <right style="double">
        <color indexed="8"/>
      </right>
      <top style="thin">
        <color indexed="8"/>
      </top>
      <bottom style="thin">
        <color indexed="64"/>
      </bottom>
      <diagonal/>
    </border>
    <border>
      <left style="thin">
        <color indexed="64"/>
      </left>
      <right style="double">
        <color indexed="8"/>
      </right>
      <top style="thin">
        <color indexed="64"/>
      </top>
      <bottom style="thin">
        <color indexed="64"/>
      </bottom>
      <diagonal/>
    </border>
    <border>
      <left/>
      <right style="thin">
        <color indexed="64"/>
      </right>
      <top style="medium">
        <color indexed="8"/>
      </top>
      <bottom/>
      <diagonal/>
    </border>
    <border>
      <left/>
      <right style="thin">
        <color indexed="64"/>
      </right>
      <top/>
      <bottom style="medium">
        <color indexed="64"/>
      </bottom>
      <diagonal/>
    </border>
    <border>
      <left style="thin">
        <color indexed="63"/>
      </left>
      <right style="thin">
        <color indexed="64"/>
      </right>
      <top/>
      <bottom style="thin">
        <color indexed="64"/>
      </bottom>
      <diagonal/>
    </border>
    <border>
      <left style="thin">
        <color indexed="64"/>
      </left>
      <right/>
      <top style="double">
        <color indexed="63"/>
      </top>
      <bottom style="thin">
        <color indexed="64"/>
      </bottom>
      <diagonal/>
    </border>
    <border>
      <left/>
      <right style="thin">
        <color indexed="64"/>
      </right>
      <top style="double">
        <color indexed="63"/>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3"/>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3"/>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style="medium">
        <color indexed="64"/>
      </bottom>
      <diagonal/>
    </border>
    <border>
      <left style="thin">
        <color indexed="64"/>
      </left>
      <right/>
      <top style="thin">
        <color indexed="8"/>
      </top>
      <bottom style="medium">
        <color indexed="64"/>
      </bottom>
      <diagonal/>
    </border>
    <border>
      <left style="thin">
        <color indexed="64"/>
      </left>
      <right style="thin">
        <color indexed="64"/>
      </right>
      <top style="thin">
        <color indexed="8"/>
      </top>
      <bottom style="medium">
        <color indexed="64"/>
      </bottom>
      <diagonal/>
    </border>
    <border>
      <left style="thin">
        <color indexed="64"/>
      </left>
      <right style="double">
        <color indexed="8"/>
      </right>
      <top style="thin">
        <color indexed="8"/>
      </top>
      <bottom style="medium">
        <color indexed="64"/>
      </bottom>
      <diagonal/>
    </border>
    <border>
      <left/>
      <right/>
      <top style="thin">
        <color indexed="64"/>
      </top>
      <bottom style="thin">
        <color indexed="8"/>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double">
        <color indexed="8"/>
      </right>
      <top/>
      <bottom style="thin">
        <color indexed="64"/>
      </bottom>
      <diagonal/>
    </border>
    <border>
      <left style="double">
        <color indexed="64"/>
      </left>
      <right/>
      <top style="medium">
        <color indexed="64"/>
      </top>
      <bottom style="medium">
        <color indexed="64"/>
      </bottom>
      <diagonal/>
    </border>
    <border>
      <left/>
      <right/>
      <top style="thin">
        <color indexed="8"/>
      </top>
      <bottom style="thin">
        <color indexed="8"/>
      </bottom>
      <diagonal/>
    </border>
    <border>
      <left/>
      <right style="thin">
        <color indexed="64"/>
      </right>
      <top/>
      <bottom style="thin">
        <color indexed="63"/>
      </bottom>
      <diagonal/>
    </border>
    <border>
      <left/>
      <right style="thin">
        <color indexed="64"/>
      </right>
      <top style="thin">
        <color indexed="63"/>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3"/>
      </left>
      <right/>
      <top style="thin">
        <color indexed="64"/>
      </top>
      <bottom style="double">
        <color indexed="64"/>
      </bottom>
      <diagonal/>
    </border>
    <border>
      <left/>
      <right style="thin">
        <color indexed="63"/>
      </right>
      <top style="thin">
        <color indexed="64"/>
      </top>
      <bottom style="double">
        <color indexed="64"/>
      </bottom>
      <diagonal/>
    </border>
    <border>
      <left/>
      <right/>
      <top style="thin">
        <color indexed="63"/>
      </top>
      <bottom style="double">
        <color indexed="64"/>
      </bottom>
      <diagonal/>
    </border>
    <border>
      <left/>
      <right style="thin">
        <color indexed="63"/>
      </right>
      <top style="double">
        <color indexed="64"/>
      </top>
      <bottom/>
      <diagonal/>
    </border>
    <border>
      <left/>
      <right style="thin">
        <color indexed="63"/>
      </right>
      <top/>
      <bottom style="thin">
        <color indexed="64"/>
      </bottom>
      <diagonal/>
    </border>
    <border>
      <left/>
      <right style="thin">
        <color indexed="64"/>
      </right>
      <top style="thin">
        <color indexed="22"/>
      </top>
      <bottom style="thin">
        <color indexed="63"/>
      </bottom>
      <diagonal/>
    </border>
    <border>
      <left style="thin">
        <color indexed="63"/>
      </left>
      <right style="thin">
        <color indexed="63"/>
      </right>
      <top style="thin">
        <color indexed="64"/>
      </top>
      <bottom style="double">
        <color indexed="64"/>
      </bottom>
      <diagonal/>
    </border>
    <border>
      <left style="thin">
        <color indexed="63"/>
      </left>
      <right style="thin">
        <color indexed="64"/>
      </right>
      <top style="thin">
        <color indexed="64"/>
      </top>
      <bottom style="double">
        <color indexed="64"/>
      </bottom>
      <diagonal/>
    </border>
    <border>
      <left/>
      <right/>
      <top style="thin">
        <color indexed="64"/>
      </top>
      <bottom style="double">
        <color indexed="64"/>
      </bottom>
      <diagonal/>
    </border>
    <border>
      <left style="thin">
        <color auto="1"/>
      </left>
      <right style="thin">
        <color auto="1"/>
      </right>
      <top style="thin">
        <color auto="1"/>
      </top>
      <bottom style="double">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3"/>
      </right>
      <top/>
      <bottom/>
      <diagonal/>
    </border>
    <border>
      <left style="thin">
        <color indexed="63"/>
      </left>
      <right style="thin">
        <color indexed="64"/>
      </right>
      <top style="thin">
        <color indexed="22"/>
      </top>
      <bottom style="thin">
        <color indexed="22"/>
      </bottom>
      <diagonal/>
    </border>
    <border>
      <left style="thin">
        <color indexed="63"/>
      </left>
      <right style="thin">
        <color indexed="63"/>
      </right>
      <top/>
      <bottom style="thin">
        <color indexed="64"/>
      </bottom>
      <diagonal/>
    </border>
    <border>
      <left/>
      <right style="thin">
        <color indexed="63"/>
      </right>
      <top style="thin">
        <color indexed="64"/>
      </top>
      <bottom style="thin">
        <color theme="0" tint="-0.24994659260841701"/>
      </bottom>
      <diagonal/>
    </border>
    <border>
      <left style="thin">
        <color indexed="63"/>
      </left>
      <right style="thin">
        <color indexed="63"/>
      </right>
      <top style="thin">
        <color indexed="64"/>
      </top>
      <bottom style="thin">
        <color theme="0" tint="-0.24994659260841701"/>
      </bottom>
      <diagonal/>
    </border>
    <border>
      <left style="thin">
        <color indexed="63"/>
      </left>
      <right style="thin">
        <color indexed="64"/>
      </right>
      <top style="thin">
        <color indexed="64"/>
      </top>
      <bottom style="thin">
        <color theme="0" tint="-0.24994659260841701"/>
      </bottom>
      <diagonal/>
    </border>
    <border>
      <left/>
      <right style="thin">
        <color indexed="63"/>
      </right>
      <top/>
      <bottom style="thin">
        <color theme="0" tint="-0.24994659260841701"/>
      </bottom>
      <diagonal/>
    </border>
    <border>
      <left style="thin">
        <color indexed="63"/>
      </left>
      <right style="thin">
        <color indexed="63"/>
      </right>
      <top/>
      <bottom style="thin">
        <color theme="0" tint="-0.24994659260841701"/>
      </bottom>
      <diagonal/>
    </border>
    <border>
      <left style="thin">
        <color indexed="63"/>
      </left>
      <right style="thin">
        <color indexed="64"/>
      </right>
      <top/>
      <bottom style="thin">
        <color theme="0" tint="-0.24994659260841701"/>
      </bottom>
      <diagonal/>
    </border>
    <border>
      <left style="thin">
        <color indexed="64"/>
      </left>
      <right style="thin">
        <color indexed="63"/>
      </right>
      <top style="thin">
        <color indexed="64"/>
      </top>
      <bottom style="thin">
        <color theme="0" tint="-0.24994659260841701"/>
      </bottom>
      <diagonal/>
    </border>
    <border>
      <left style="thin">
        <color indexed="64"/>
      </left>
      <right style="thin">
        <color indexed="63"/>
      </right>
      <top/>
      <bottom style="thin">
        <color theme="0" tint="-0.24994659260841701"/>
      </bottom>
      <diagonal/>
    </border>
    <border>
      <left/>
      <right style="thin">
        <color indexed="64"/>
      </right>
      <top style="thin">
        <color indexed="64"/>
      </top>
      <bottom style="double">
        <color indexed="64"/>
      </bottom>
      <diagonal/>
    </border>
    <border>
      <left style="thin">
        <color indexed="63"/>
      </left>
      <right style="thin">
        <color indexed="64"/>
      </right>
      <top style="thin">
        <color indexed="63"/>
      </top>
      <bottom style="double">
        <color indexed="64"/>
      </bottom>
      <diagonal/>
    </border>
    <border>
      <left style="thin">
        <color indexed="63"/>
      </left>
      <right style="thin">
        <color indexed="64"/>
      </right>
      <top style="thin">
        <color indexed="22"/>
      </top>
      <bottom style="thin">
        <color indexed="63"/>
      </bottom>
      <diagonal/>
    </border>
    <border>
      <left style="thin">
        <color indexed="64"/>
      </left>
      <right/>
      <top style="thin">
        <color theme="0" tint="-0.249977111117893"/>
      </top>
      <bottom/>
      <diagonal/>
    </border>
    <border>
      <left/>
      <right style="thin">
        <color indexed="63"/>
      </right>
      <top style="thin">
        <color theme="0" tint="-0.249977111117893"/>
      </top>
      <bottom/>
      <diagonal/>
    </border>
    <border>
      <left style="thin">
        <color indexed="64"/>
      </left>
      <right/>
      <top style="thin">
        <color theme="0" tint="-0.249977111117893"/>
      </top>
      <bottom style="thin">
        <color indexed="64"/>
      </bottom>
      <diagonal/>
    </border>
    <border>
      <left/>
      <right style="thin">
        <color indexed="63"/>
      </right>
      <top style="thin">
        <color theme="0" tint="-0.249977111117893"/>
      </top>
      <bottom style="thin">
        <color indexed="64"/>
      </bottom>
      <diagonal/>
    </border>
    <border>
      <left/>
      <right style="thin">
        <color indexed="63"/>
      </right>
      <top style="thin">
        <color indexed="22"/>
      </top>
      <bottom style="thin">
        <color indexed="22"/>
      </bottom>
      <diagonal/>
    </border>
    <border>
      <left style="thin">
        <color indexed="64"/>
      </left>
      <right/>
      <top style="thin">
        <color theme="0" tint="-0.249977111117893"/>
      </top>
      <bottom style="thin">
        <color theme="0" tint="-0.249977111117893"/>
      </bottom>
      <diagonal/>
    </border>
    <border>
      <left style="thin">
        <color indexed="63"/>
      </left>
      <right style="thin">
        <color indexed="63"/>
      </right>
      <top style="thin">
        <color theme="0" tint="-0.24994659260841701"/>
      </top>
      <bottom style="thin">
        <color theme="0" tint="-0.249977111117893"/>
      </bottom>
      <diagonal/>
    </border>
    <border>
      <left style="thin">
        <color indexed="64"/>
      </left>
      <right style="thin">
        <color indexed="64"/>
      </right>
      <top style="thin">
        <color indexed="64"/>
      </top>
      <bottom style="thin">
        <color theme="0" tint="-0.249977111117893"/>
      </bottom>
      <diagonal/>
    </border>
    <border>
      <left style="thin">
        <color indexed="64"/>
      </left>
      <right style="thin">
        <color indexed="64"/>
      </right>
      <top/>
      <bottom style="thin">
        <color theme="0" tint="-0.249977111117893"/>
      </bottom>
      <diagonal/>
    </border>
    <border>
      <left style="thin">
        <color indexed="64"/>
      </left>
      <right style="thin">
        <color indexed="63"/>
      </right>
      <top/>
      <bottom style="thin">
        <color theme="0" tint="-0.249977111117893"/>
      </bottom>
      <diagonal/>
    </border>
    <border>
      <left style="thin">
        <color indexed="63"/>
      </left>
      <right style="thin">
        <color indexed="63"/>
      </right>
      <top/>
      <bottom style="thin">
        <color theme="0" tint="-0.249977111117893"/>
      </bottom>
      <diagonal/>
    </border>
    <border>
      <left style="thin">
        <color indexed="63"/>
      </left>
      <right style="thin">
        <color indexed="64"/>
      </right>
      <top/>
      <bottom style="thin">
        <color theme="0" tint="-0.249977111117893"/>
      </bottom>
      <diagonal/>
    </border>
    <border>
      <left style="thin">
        <color indexed="64"/>
      </left>
      <right style="thin">
        <color indexed="63"/>
      </right>
      <top style="thin">
        <color indexed="64"/>
      </top>
      <bottom style="thin">
        <color theme="0" tint="-0.249977111117893"/>
      </bottom>
      <diagonal/>
    </border>
    <border>
      <left style="thin">
        <color indexed="63"/>
      </left>
      <right style="thin">
        <color indexed="63"/>
      </right>
      <top style="thin">
        <color indexed="64"/>
      </top>
      <bottom style="thin">
        <color theme="0" tint="-0.249977111117893"/>
      </bottom>
      <diagonal/>
    </border>
    <border>
      <left style="thin">
        <color indexed="63"/>
      </left>
      <right style="thin">
        <color indexed="64"/>
      </right>
      <top style="thin">
        <color indexed="64"/>
      </top>
      <bottom style="thin">
        <color theme="0" tint="-0.249977111117893"/>
      </bottom>
      <diagonal/>
    </border>
    <border>
      <left style="thin">
        <color indexed="64"/>
      </left>
      <right/>
      <top style="double">
        <color indexed="64"/>
      </top>
      <bottom style="thin">
        <color theme="0" tint="-0.249977111117893"/>
      </bottom>
      <diagonal/>
    </border>
    <border>
      <left/>
      <right style="thin">
        <color indexed="63"/>
      </right>
      <top style="double">
        <color indexed="64"/>
      </top>
      <bottom style="thin">
        <color theme="0" tint="-0.249977111117893"/>
      </bottom>
      <diagonal/>
    </border>
    <border>
      <left/>
      <right style="thin">
        <color indexed="63"/>
      </right>
      <top style="thin">
        <color theme="0" tint="-0.249977111117893"/>
      </top>
      <bottom style="thin">
        <color theme="0" tint="-0.249977111117893"/>
      </bottom>
      <diagonal/>
    </border>
    <border>
      <left/>
      <right style="thin">
        <color indexed="64"/>
      </right>
      <top style="thin">
        <color indexed="64"/>
      </top>
      <bottom style="thin">
        <color theme="0" tint="-0.249977111117893"/>
      </bottom>
      <diagonal/>
    </border>
    <border>
      <left/>
      <right style="thin">
        <color indexed="64"/>
      </right>
      <top/>
      <bottom style="thin">
        <color theme="0" tint="-0.249977111117893"/>
      </bottom>
      <diagonal/>
    </border>
    <border>
      <left style="thin">
        <color indexed="63"/>
      </left>
      <right/>
      <top/>
      <bottom style="thin">
        <color theme="0" tint="-0.249977111117893"/>
      </bottom>
      <diagonal/>
    </border>
    <border>
      <left style="thin">
        <color indexed="63"/>
      </left>
      <right style="thin">
        <color indexed="63"/>
      </right>
      <top style="thin">
        <color theme="0" tint="-0.249977111117893"/>
      </top>
      <bottom style="thin">
        <color theme="0" tint="-0.249977111117893"/>
      </bottom>
      <diagonal/>
    </border>
    <border>
      <left style="thin">
        <color indexed="63"/>
      </left>
      <right/>
      <top style="thin">
        <color theme="0" tint="-0.249977111117893"/>
      </top>
      <bottom style="thin">
        <color theme="0" tint="-0.249977111117893"/>
      </bottom>
      <diagonal/>
    </border>
    <border>
      <left style="thin">
        <color indexed="64"/>
      </left>
      <right style="thin">
        <color indexed="64"/>
      </right>
      <top style="thin">
        <color theme="0" tint="-0.249977111117893"/>
      </top>
      <bottom style="thin">
        <color theme="0" tint="-0.249977111117893"/>
      </bottom>
      <diagonal/>
    </border>
    <border>
      <left style="thin">
        <color indexed="63"/>
      </left>
      <right style="thin">
        <color indexed="63"/>
      </right>
      <top style="thin">
        <color theme="0" tint="-0.249977111117893"/>
      </top>
      <bottom/>
      <diagonal/>
    </border>
    <border>
      <left style="thin">
        <color indexed="63"/>
      </left>
      <right/>
      <top style="thin">
        <color theme="0" tint="-0.249977111117893"/>
      </top>
      <bottom/>
      <diagonal/>
    </border>
    <border>
      <left style="thin">
        <color indexed="64"/>
      </left>
      <right style="thin">
        <color indexed="64"/>
      </right>
      <top style="thin">
        <color theme="0" tint="-0.249977111117893"/>
      </top>
      <bottom/>
      <diagonal/>
    </border>
    <border>
      <left style="thin">
        <color indexed="63"/>
      </left>
      <right/>
      <top style="thin">
        <color indexed="64"/>
      </top>
      <bottom style="thin">
        <color theme="0" tint="-0.249977111117893"/>
      </bottom>
      <diagonal/>
    </border>
    <border>
      <left style="thin">
        <color indexed="64"/>
      </left>
      <right style="thin">
        <color indexed="64"/>
      </right>
      <top style="thin">
        <color indexed="63"/>
      </top>
      <bottom style="thin">
        <color theme="0" tint="-0.249977111117893"/>
      </bottom>
      <diagonal/>
    </border>
    <border>
      <left style="thin">
        <color indexed="64"/>
      </left>
      <right style="thin">
        <color indexed="64"/>
      </right>
      <top style="thin">
        <color theme="0" tint="-0.249977111117893"/>
      </top>
      <bottom style="thin">
        <color indexed="64"/>
      </bottom>
      <diagonal/>
    </border>
    <border>
      <left/>
      <right/>
      <top/>
      <bottom style="thin">
        <color theme="0" tint="-0.249977111117893"/>
      </bottom>
      <diagonal/>
    </border>
    <border>
      <left style="thin">
        <color indexed="64"/>
      </left>
      <right/>
      <top/>
      <bottom style="thin">
        <color theme="0" tint="-0.249977111117893"/>
      </bottom>
      <diagonal/>
    </border>
    <border>
      <left style="thin">
        <color indexed="64"/>
      </left>
      <right/>
      <top style="thin">
        <color indexed="64"/>
      </top>
      <bottom style="thin">
        <color theme="0" tint="-0.249977111117893"/>
      </bottom>
      <diagonal/>
    </border>
    <border>
      <left/>
      <right style="thin">
        <color indexed="63"/>
      </right>
      <top style="thin">
        <color indexed="64"/>
      </top>
      <bottom style="thin">
        <color theme="0" tint="-0.249977111117893"/>
      </bottom>
      <diagonal/>
    </border>
    <border>
      <left style="thin">
        <color indexed="63"/>
      </left>
      <right style="thin">
        <color indexed="64"/>
      </right>
      <top/>
      <bottom style="thin">
        <color indexed="63"/>
      </bottom>
      <diagonal/>
    </border>
    <border>
      <left/>
      <right style="thin">
        <color indexed="63"/>
      </right>
      <top/>
      <bottom style="thin">
        <color theme="0" tint="-0.249977111117893"/>
      </bottom>
      <diagonal/>
    </border>
    <border>
      <left style="thin">
        <color indexed="64"/>
      </left>
      <right style="thin">
        <color indexed="63"/>
      </right>
      <top style="thin">
        <color indexed="63"/>
      </top>
      <bottom style="double">
        <color indexed="64"/>
      </bottom>
      <diagonal/>
    </border>
    <border>
      <left/>
      <right style="thin">
        <color indexed="64"/>
      </right>
      <top style="thin">
        <color theme="0" tint="-0.249977111117893"/>
      </top>
      <bottom style="thin">
        <color theme="0" tint="-0.249977111117893"/>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8"/>
      </top>
      <bottom style="thin">
        <color theme="0" tint="-0.34998626667073579"/>
      </bottom>
      <diagonal/>
    </border>
    <border>
      <left style="thin">
        <color indexed="64"/>
      </left>
      <right/>
      <top style="thin">
        <color indexed="8"/>
      </top>
      <bottom style="thin">
        <color theme="0" tint="-0.34998626667073579"/>
      </bottom>
      <diagonal/>
    </border>
    <border>
      <left style="thin">
        <color indexed="64"/>
      </left>
      <right style="thin">
        <color indexed="64"/>
      </right>
      <top style="thin">
        <color indexed="8"/>
      </top>
      <bottom style="thin">
        <color theme="0" tint="-0.34998626667073579"/>
      </bottom>
      <diagonal/>
    </border>
    <border>
      <left/>
      <right/>
      <top style="thin">
        <color theme="0" tint="-0.34998626667073579"/>
      </top>
      <bottom style="thin">
        <color theme="0" tint="-0.34998626667073579"/>
      </bottom>
      <diagonal/>
    </border>
    <border>
      <left style="thin">
        <color indexed="64"/>
      </left>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double">
        <color indexed="8"/>
      </top>
      <bottom/>
      <diagonal/>
    </border>
    <border>
      <left/>
      <right style="thin">
        <color indexed="64"/>
      </right>
      <top style="medium">
        <color indexed="8"/>
      </top>
      <bottom style="thin">
        <color indexed="8"/>
      </bottom>
      <diagonal/>
    </border>
    <border>
      <left/>
      <right style="thin">
        <color indexed="64"/>
      </right>
      <top style="thin">
        <color indexed="8"/>
      </top>
      <bottom style="thin">
        <color indexed="8"/>
      </bottom>
      <diagonal/>
    </border>
    <border>
      <left/>
      <right style="thin">
        <color indexed="64"/>
      </right>
      <top style="thin">
        <color indexed="8"/>
      </top>
      <bottom style="medium">
        <color indexed="64"/>
      </bottom>
      <diagonal/>
    </border>
    <border>
      <left/>
      <right style="thin">
        <color indexed="64"/>
      </right>
      <top style="medium">
        <color indexed="64"/>
      </top>
      <bottom style="thin">
        <color indexed="8"/>
      </bottom>
      <diagonal/>
    </border>
    <border>
      <left style="thin">
        <color indexed="64"/>
      </left>
      <right style="double">
        <color indexed="8"/>
      </right>
      <top style="thin">
        <color indexed="8"/>
      </top>
      <bottom style="thin">
        <color theme="0" tint="-0.34998626667073579"/>
      </bottom>
      <diagonal/>
    </border>
    <border>
      <left style="thin">
        <color indexed="64"/>
      </left>
      <right style="double">
        <color indexed="8"/>
      </right>
      <top style="thin">
        <color theme="0" tint="-0.34998626667073579"/>
      </top>
      <bottom style="thin">
        <color theme="0" tint="-0.34998626667073579"/>
      </bottom>
      <diagonal/>
    </border>
    <border>
      <left style="thin">
        <color indexed="64"/>
      </left>
      <right style="double">
        <color indexed="8"/>
      </right>
      <top style="medium">
        <color indexed="64"/>
      </top>
      <bottom/>
      <diagonal/>
    </border>
    <border>
      <left style="thin">
        <color indexed="64"/>
      </left>
      <right/>
      <top/>
      <bottom style="double">
        <color indexed="8"/>
      </bottom>
      <diagonal/>
    </border>
    <border>
      <left style="double">
        <color auto="1"/>
      </left>
      <right/>
      <top style="double">
        <color auto="1"/>
      </top>
      <bottom/>
      <diagonal/>
    </border>
    <border>
      <left/>
      <right/>
      <top style="double">
        <color auto="1"/>
      </top>
      <bottom/>
      <diagonal/>
    </border>
    <border>
      <left style="thin">
        <color indexed="64"/>
      </left>
      <right/>
      <top style="double">
        <color auto="1"/>
      </top>
      <bottom/>
      <diagonal/>
    </border>
    <border>
      <left style="thin">
        <color indexed="64"/>
      </left>
      <right style="thin">
        <color indexed="64"/>
      </right>
      <top style="double">
        <color auto="1"/>
      </top>
      <bottom/>
      <diagonal/>
    </border>
    <border>
      <left style="thin">
        <color indexed="64"/>
      </left>
      <right style="double">
        <color auto="1"/>
      </right>
      <top style="double">
        <color auto="1"/>
      </top>
      <bottom/>
      <diagonal/>
    </border>
    <border>
      <left style="thin">
        <color indexed="64"/>
      </left>
      <right style="double">
        <color auto="1"/>
      </right>
      <top style="thin">
        <color theme="0" tint="-0.34998626667073579"/>
      </top>
      <bottom style="thin">
        <color theme="0" tint="-0.34998626667073579"/>
      </bottom>
      <diagonal/>
    </border>
    <border>
      <left style="double">
        <color auto="1"/>
      </left>
      <right/>
      <top/>
      <bottom style="medium">
        <color indexed="64"/>
      </bottom>
      <diagonal/>
    </border>
    <border>
      <left style="thin">
        <color indexed="64"/>
      </left>
      <right style="double">
        <color auto="1"/>
      </right>
      <top/>
      <bottom style="medium">
        <color indexed="64"/>
      </bottom>
      <diagonal/>
    </border>
    <border>
      <left style="thin">
        <color indexed="64"/>
      </left>
      <right style="double">
        <color auto="1"/>
      </right>
      <top/>
      <bottom/>
      <diagonal/>
    </border>
    <border>
      <left style="thin">
        <color indexed="64"/>
      </left>
      <right style="double">
        <color auto="1"/>
      </right>
      <top style="medium">
        <color indexed="64"/>
      </top>
      <bottom style="medium">
        <color indexed="64"/>
      </bottom>
      <diagonal/>
    </border>
    <border>
      <left style="thin">
        <color indexed="64"/>
      </left>
      <right style="double">
        <color auto="1"/>
      </right>
      <top style="medium">
        <color indexed="64"/>
      </top>
      <bottom/>
      <diagonal/>
    </border>
    <border>
      <left style="double">
        <color auto="1"/>
      </left>
      <right/>
      <top style="medium">
        <color indexed="64"/>
      </top>
      <bottom style="double">
        <color auto="1"/>
      </bottom>
      <diagonal/>
    </border>
    <border>
      <left/>
      <right/>
      <top style="medium">
        <color indexed="64"/>
      </top>
      <bottom style="double">
        <color auto="1"/>
      </bottom>
      <diagonal/>
    </border>
    <border>
      <left/>
      <right style="thin">
        <color indexed="64"/>
      </right>
      <top style="medium">
        <color indexed="64"/>
      </top>
      <bottom style="double">
        <color auto="1"/>
      </bottom>
      <diagonal/>
    </border>
    <border>
      <left style="thin">
        <color indexed="64"/>
      </left>
      <right/>
      <top style="medium">
        <color indexed="64"/>
      </top>
      <bottom style="double">
        <color auto="1"/>
      </bottom>
      <diagonal/>
    </border>
    <border>
      <left style="thin">
        <color indexed="64"/>
      </left>
      <right style="thin">
        <color indexed="64"/>
      </right>
      <top style="medium">
        <color indexed="64"/>
      </top>
      <bottom style="double">
        <color auto="1"/>
      </bottom>
      <diagonal/>
    </border>
    <border>
      <left style="thin">
        <color indexed="64"/>
      </left>
      <right style="double">
        <color auto="1"/>
      </right>
      <top style="medium">
        <color indexed="64"/>
      </top>
      <bottom style="double">
        <color auto="1"/>
      </bottom>
      <diagonal/>
    </border>
    <border>
      <left/>
      <right style="double">
        <color indexed="8"/>
      </right>
      <top style="double">
        <color indexed="8"/>
      </top>
      <bottom/>
      <diagonal/>
    </border>
    <border>
      <left/>
      <right style="double">
        <color indexed="8"/>
      </right>
      <top/>
      <bottom style="double">
        <color indexed="8"/>
      </bottom>
      <diagonal/>
    </border>
    <border>
      <left/>
      <right style="thin">
        <color indexed="64"/>
      </right>
      <top style="double">
        <color indexed="64"/>
      </top>
      <bottom style="thin">
        <color theme="0" tint="-0.249977111117893"/>
      </bottom>
      <diagonal/>
    </border>
  </borders>
  <cellStyleXfs count="47824">
    <xf numFmtId="0" fontId="0" fillId="0" borderId="0"/>
    <xf numFmtId="0" fontId="65" fillId="2" borderId="0" applyNumberFormat="0" applyBorder="0" applyAlignment="0" applyProtection="0"/>
    <xf numFmtId="0" fontId="65" fillId="3" borderId="0" applyNumberFormat="0" applyBorder="0" applyAlignment="0" applyProtection="0"/>
    <xf numFmtId="0" fontId="65" fillId="4" borderId="0" applyNumberFormat="0" applyBorder="0" applyAlignment="0" applyProtection="0"/>
    <xf numFmtId="0" fontId="65" fillId="5" borderId="0" applyNumberFormat="0" applyBorder="0" applyAlignment="0" applyProtection="0"/>
    <xf numFmtId="0" fontId="65" fillId="6" borderId="0" applyNumberFormat="0" applyBorder="0" applyAlignment="0" applyProtection="0"/>
    <xf numFmtId="0" fontId="65" fillId="7" borderId="0" applyNumberFormat="0" applyBorder="0" applyAlignment="0" applyProtection="0"/>
    <xf numFmtId="0" fontId="65" fillId="8"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5" borderId="0" applyNumberFormat="0" applyBorder="0" applyAlignment="0" applyProtection="0"/>
    <xf numFmtId="0" fontId="65" fillId="8" borderId="0" applyNumberFormat="0" applyBorder="0" applyAlignment="0" applyProtection="0"/>
    <xf numFmtId="0" fontId="65" fillId="11" borderId="0" applyNumberFormat="0" applyBorder="0" applyAlignment="0" applyProtection="0"/>
    <xf numFmtId="0" fontId="66" fillId="12" borderId="0" applyNumberFormat="0" applyBorder="0" applyAlignment="0" applyProtection="0"/>
    <xf numFmtId="0" fontId="66" fillId="9" borderId="0" applyNumberFormat="0" applyBorder="0" applyAlignment="0" applyProtection="0"/>
    <xf numFmtId="0" fontId="66" fillId="10"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15"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19" borderId="0" applyNumberFormat="0" applyBorder="0" applyAlignment="0" applyProtection="0"/>
    <xf numFmtId="0" fontId="67" fillId="3" borderId="0" applyNumberFormat="0" applyBorder="0" applyAlignment="0" applyProtection="0"/>
    <xf numFmtId="0" fontId="68" fillId="20" borderId="1" applyNumberFormat="0" applyAlignment="0" applyProtection="0"/>
    <xf numFmtId="0" fontId="69" fillId="21" borderId="2" applyNumberFormat="0" applyAlignment="0" applyProtection="0"/>
    <xf numFmtId="43" fontId="16" fillId="0" borderId="0" applyFont="0" applyFill="0" applyBorder="0" applyAlignment="0" applyProtection="0"/>
    <xf numFmtId="43" fontId="83" fillId="0" borderId="0" applyFont="0" applyFill="0" applyBorder="0" applyAlignment="0" applyProtection="0"/>
    <xf numFmtId="43" fontId="91" fillId="0" borderId="0" applyFont="0" applyFill="0" applyBorder="0" applyAlignment="0" applyProtection="0"/>
    <xf numFmtId="43" fontId="92" fillId="0" borderId="0" applyFont="0" applyFill="0" applyBorder="0" applyAlignment="0" applyProtection="0"/>
    <xf numFmtId="44" fontId="16" fillId="0" borderId="0" applyFont="0" applyFill="0" applyBorder="0" applyAlignment="0" applyProtection="0"/>
    <xf numFmtId="44" fontId="83" fillId="0" borderId="0" applyFont="0" applyFill="0" applyBorder="0" applyAlignment="0" applyProtection="0"/>
    <xf numFmtId="44" fontId="91" fillId="0" borderId="0" applyFont="0" applyFill="0" applyBorder="0" applyAlignment="0" applyProtection="0"/>
    <xf numFmtId="0" fontId="70" fillId="0" borderId="0" applyNumberFormat="0" applyFill="0" applyBorder="0" applyAlignment="0" applyProtection="0"/>
    <xf numFmtId="0" fontId="71" fillId="4" borderId="0" applyNumberFormat="0" applyBorder="0" applyAlignment="0" applyProtection="0"/>
    <xf numFmtId="0" fontId="72" fillId="0" borderId="3" applyNumberFormat="0" applyFill="0" applyAlignment="0" applyProtection="0"/>
    <xf numFmtId="0" fontId="73" fillId="0" borderId="4" applyNumberFormat="0" applyFill="0" applyAlignment="0" applyProtection="0"/>
    <xf numFmtId="0" fontId="74" fillId="0" borderId="5" applyNumberFormat="0" applyFill="0" applyAlignment="0" applyProtection="0"/>
    <xf numFmtId="0" fontId="74" fillId="0" borderId="0" applyNumberFormat="0" applyFill="0" applyBorder="0" applyAlignment="0" applyProtection="0"/>
    <xf numFmtId="0" fontId="75" fillId="7" borderId="1" applyNumberFormat="0" applyAlignment="0" applyProtection="0"/>
    <xf numFmtId="0" fontId="76" fillId="0" borderId="6" applyNumberFormat="0" applyFill="0" applyAlignment="0" applyProtection="0"/>
    <xf numFmtId="0" fontId="77" fillId="22" borderId="0" applyNumberFormat="0" applyBorder="0" applyAlignment="0" applyProtection="0"/>
    <xf numFmtId="0" fontId="18" fillId="0" borderId="0"/>
    <xf numFmtId="0" fontId="45" fillId="0" borderId="0"/>
    <xf numFmtId="0" fontId="18" fillId="23" borderId="7" applyNumberFormat="0" applyFont="0" applyAlignment="0" applyProtection="0"/>
    <xf numFmtId="0" fontId="78" fillId="20" borderId="8" applyNumberFormat="0" applyAlignment="0" applyProtection="0"/>
    <xf numFmtId="9" fontId="16" fillId="0" borderId="0" applyFont="0" applyFill="0" applyBorder="0" applyAlignment="0" applyProtection="0"/>
    <xf numFmtId="9" fontId="91" fillId="0" borderId="0" applyFont="0" applyFill="0" applyBorder="0" applyAlignment="0" applyProtection="0"/>
    <xf numFmtId="0" fontId="79" fillId="0" borderId="0" applyNumberFormat="0" applyFill="0" applyBorder="0" applyAlignment="0" applyProtection="0"/>
    <xf numFmtId="0" fontId="80" fillId="0" borderId="9" applyNumberFormat="0" applyFill="0" applyAlignment="0" applyProtection="0"/>
    <xf numFmtId="0" fontId="81" fillId="0" borderId="0" applyNumberForma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43" fontId="15" fillId="0" borderId="0" applyFont="0" applyFill="0" applyBorder="0" applyAlignment="0" applyProtection="0"/>
    <xf numFmtId="0" fontId="16" fillId="0" borderId="0"/>
    <xf numFmtId="0" fontId="15" fillId="0" borderId="0"/>
    <xf numFmtId="0" fontId="14" fillId="0" borderId="0"/>
    <xf numFmtId="0" fontId="13" fillId="0" borderId="0"/>
    <xf numFmtId="0" fontId="12" fillId="0" borderId="0"/>
    <xf numFmtId="43" fontId="12" fillId="0" borderId="0" applyFont="0" applyFill="0" applyBorder="0" applyAlignment="0" applyProtection="0"/>
    <xf numFmtId="0" fontId="16" fillId="0" borderId="0"/>
    <xf numFmtId="43" fontId="16" fillId="0" borderId="0" applyFont="0" applyFill="0" applyBorder="0" applyAlignment="0" applyProtection="0"/>
    <xf numFmtId="9" fontId="12"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0" fontId="11" fillId="0" borderId="0"/>
    <xf numFmtId="0" fontId="45" fillId="0" borderId="0"/>
    <xf numFmtId="0" fontId="45" fillId="0" borderId="0"/>
    <xf numFmtId="43" fontId="11" fillId="0" borderId="0" applyFont="0" applyFill="0" applyBorder="0" applyAlignment="0" applyProtection="0"/>
    <xf numFmtId="0" fontId="10" fillId="0" borderId="0"/>
    <xf numFmtId="0" fontId="10" fillId="0" borderId="0"/>
    <xf numFmtId="0" fontId="10" fillId="0" borderId="0"/>
    <xf numFmtId="0" fontId="16" fillId="0" borderId="0"/>
    <xf numFmtId="0" fontId="108" fillId="0" borderId="0"/>
    <xf numFmtId="43" fontId="9" fillId="0" borderId="0" applyFont="0" applyFill="0" applyBorder="0" applyAlignment="0" applyProtection="0"/>
    <xf numFmtId="0" fontId="75" fillId="7" borderId="233" applyNumberFormat="0" applyAlignment="0" applyProtection="0"/>
    <xf numFmtId="0" fontId="16" fillId="23" borderId="247" applyNumberFormat="0" applyFont="0" applyAlignment="0" applyProtection="0"/>
    <xf numFmtId="0" fontId="16" fillId="23" borderId="224" applyNumberFormat="0" applyFont="0" applyAlignment="0" applyProtection="0"/>
    <xf numFmtId="0" fontId="68" fillId="20" borderId="212" applyNumberFormat="0" applyAlignment="0" applyProtection="0"/>
    <xf numFmtId="0" fontId="80" fillId="0" borderId="226" applyNumberFormat="0" applyFill="0" applyAlignment="0" applyProtection="0"/>
    <xf numFmtId="0" fontId="68" fillId="20" borderId="233" applyNumberFormat="0" applyAlignment="0" applyProtection="0"/>
    <xf numFmtId="0" fontId="78" fillId="20" borderId="268" applyNumberFormat="0" applyAlignment="0" applyProtection="0"/>
    <xf numFmtId="0" fontId="78" fillId="20" borderId="258" applyNumberFormat="0" applyAlignment="0" applyProtection="0"/>
    <xf numFmtId="0" fontId="68" fillId="20" borderId="242" applyNumberFormat="0" applyAlignment="0" applyProtection="0"/>
    <xf numFmtId="0" fontId="75" fillId="7" borderId="217" applyNumberFormat="0" applyAlignment="0" applyProtection="0"/>
    <xf numFmtId="0" fontId="16" fillId="23" borderId="234" applyNumberFormat="0" applyFont="0" applyAlignment="0" applyProtection="0"/>
    <xf numFmtId="0" fontId="78" fillId="20" borderId="244" applyNumberFormat="0" applyAlignment="0" applyProtection="0"/>
    <xf numFmtId="0" fontId="16" fillId="23" borderId="218" applyNumberFormat="0" applyFont="0" applyAlignment="0" applyProtection="0"/>
    <xf numFmtId="0" fontId="78" fillId="20" borderId="219" applyNumberFormat="0" applyAlignment="0" applyProtection="0"/>
    <xf numFmtId="0" fontId="68" fillId="20" borderId="204" applyNumberFormat="0" applyAlignment="0" applyProtection="0"/>
    <xf numFmtId="0" fontId="80" fillId="0" borderId="220" applyNumberFormat="0" applyFill="0" applyAlignment="0" applyProtection="0"/>
    <xf numFmtId="0" fontId="68" fillId="20" borderId="246" applyNumberFormat="0" applyAlignment="0" applyProtection="0"/>
    <xf numFmtId="0" fontId="80" fillId="0" borderId="236" applyNumberFormat="0" applyFill="0" applyAlignment="0" applyProtection="0"/>
    <xf numFmtId="43" fontId="16" fillId="0" borderId="0" applyFont="0" applyFill="0" applyBorder="0" applyAlignment="0" applyProtection="0"/>
    <xf numFmtId="0" fontId="78" fillId="20" borderId="225" applyNumberFormat="0" applyAlignment="0" applyProtection="0"/>
    <xf numFmtId="0" fontId="75" fillId="7" borderId="204" applyNumberFormat="0" applyAlignment="0" applyProtection="0"/>
    <xf numFmtId="0" fontId="16" fillId="23" borderId="205" applyNumberFormat="0" applyFont="0" applyAlignment="0" applyProtection="0"/>
    <xf numFmtId="0" fontId="78" fillId="20" borderId="206" applyNumberFormat="0" applyAlignment="0" applyProtection="0"/>
    <xf numFmtId="0" fontId="80" fillId="0" borderId="207" applyNumberFormat="0" applyFill="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16" fillId="23" borderId="239" applyNumberFormat="0" applyFont="0" applyAlignment="0" applyProtection="0"/>
    <xf numFmtId="0" fontId="75" fillId="7" borderId="212" applyNumberFormat="0" applyAlignment="0" applyProtection="0"/>
    <xf numFmtId="0" fontId="68" fillId="20" borderId="223" applyNumberFormat="0" applyAlignment="0" applyProtection="0"/>
    <xf numFmtId="0" fontId="78" fillId="20" borderId="240" applyNumberFormat="0" applyAlignment="0" applyProtection="0"/>
    <xf numFmtId="0" fontId="75" fillId="7" borderId="246" applyNumberFormat="0" applyAlignment="0" applyProtection="0"/>
    <xf numFmtId="0" fontId="16" fillId="23" borderId="213" applyNumberFormat="0" applyFont="0" applyAlignment="0" applyProtection="0"/>
    <xf numFmtId="0" fontId="78" fillId="20" borderId="214" applyNumberFormat="0" applyAlignment="0" applyProtection="0"/>
    <xf numFmtId="0" fontId="80" fillId="0" borderId="215" applyNumberFormat="0" applyFill="0" applyAlignment="0" applyProtection="0"/>
    <xf numFmtId="0" fontId="80" fillId="0" borderId="241" applyNumberFormat="0" applyFill="0" applyAlignment="0" applyProtection="0"/>
    <xf numFmtId="0" fontId="78" fillId="20" borderId="235" applyNumberFormat="0" applyAlignment="0" applyProtection="0"/>
    <xf numFmtId="0" fontId="68" fillId="20" borderId="266" applyNumberFormat="0" applyAlignment="0" applyProtection="0"/>
    <xf numFmtId="0" fontId="75" fillId="7" borderId="223" applyNumberFormat="0" applyAlignment="0" applyProtection="0"/>
    <xf numFmtId="0" fontId="80" fillId="0" borderId="249" applyNumberFormat="0" applyFill="0" applyAlignment="0" applyProtection="0"/>
    <xf numFmtId="0" fontId="68" fillId="20" borderId="217" applyNumberFormat="0" applyAlignment="0" applyProtection="0"/>
    <xf numFmtId="0" fontId="75" fillId="7" borderId="242" applyNumberFormat="0" applyAlignment="0" applyProtection="0"/>
    <xf numFmtId="0" fontId="78" fillId="20" borderId="248" applyNumberFormat="0" applyAlignment="0" applyProtection="0"/>
    <xf numFmtId="0" fontId="68" fillId="20" borderId="251" applyNumberFormat="0" applyAlignment="0" applyProtection="0"/>
    <xf numFmtId="0" fontId="68" fillId="20" borderId="238" applyNumberFormat="0" applyAlignment="0" applyProtection="0"/>
    <xf numFmtId="0" fontId="75" fillId="7" borderId="256" applyNumberFormat="0" applyAlignment="0" applyProtection="0"/>
    <xf numFmtId="0" fontId="75" fillId="7" borderId="238" applyNumberFormat="0" applyAlignment="0" applyProtection="0"/>
    <xf numFmtId="0" fontId="80" fillId="0" borderId="281" applyNumberFormat="0" applyFill="0" applyAlignment="0" applyProtection="0"/>
    <xf numFmtId="0" fontId="80" fillId="0" borderId="259" applyNumberFormat="0" applyFill="0" applyAlignment="0" applyProtection="0"/>
    <xf numFmtId="0" fontId="16" fillId="23" borderId="243" applyNumberFormat="0" applyFont="0" applyAlignment="0" applyProtection="0"/>
    <xf numFmtId="0" fontId="80" fillId="0" borderId="245" applyNumberFormat="0" applyFill="0" applyAlignment="0" applyProtection="0"/>
    <xf numFmtId="0" fontId="68" fillId="20" borderId="274" applyNumberFormat="0" applyAlignment="0" applyProtection="0"/>
    <xf numFmtId="0" fontId="16" fillId="23" borderId="279" applyNumberFormat="0" applyFont="0" applyAlignment="0" applyProtection="0"/>
    <xf numFmtId="0" fontId="75" fillId="7" borderId="251" applyNumberFormat="0" applyAlignment="0" applyProtection="0"/>
    <xf numFmtId="0" fontId="16" fillId="23" borderId="257" applyNumberFormat="0" applyFont="0" applyAlignment="0" applyProtection="0"/>
    <xf numFmtId="0" fontId="16" fillId="23" borderId="252" applyNumberFormat="0" applyFont="0" applyAlignment="0" applyProtection="0"/>
    <xf numFmtId="0" fontId="78" fillId="20" borderId="253" applyNumberFormat="0" applyAlignment="0" applyProtection="0"/>
    <xf numFmtId="0" fontId="80" fillId="0" borderId="254" applyNumberFormat="0" applyFill="0" applyAlignment="0" applyProtection="0"/>
    <xf numFmtId="0" fontId="75" fillId="7" borderId="293" applyNumberFormat="0" applyAlignment="0" applyProtection="0"/>
    <xf numFmtId="0" fontId="75" fillId="7" borderId="266" applyNumberFormat="0" applyAlignment="0" applyProtection="0"/>
    <xf numFmtId="0" fontId="80" fillId="0" borderId="285" applyNumberFormat="0" applyFill="0" applyAlignment="0" applyProtection="0"/>
    <xf numFmtId="0" fontId="68" fillId="20" borderId="256" applyNumberFormat="0" applyAlignment="0" applyProtection="0"/>
    <xf numFmtId="0" fontId="16" fillId="23" borderId="267" applyNumberFormat="0" applyFont="0" applyAlignment="0" applyProtection="0"/>
    <xf numFmtId="0" fontId="80" fillId="0" borderId="269" applyNumberFormat="0" applyFill="0" applyAlignment="0" applyProtection="0"/>
    <xf numFmtId="0" fontId="78" fillId="20" borderId="280" applyNumberFormat="0" applyAlignment="0" applyProtection="0"/>
    <xf numFmtId="0" fontId="16" fillId="23" borderId="283" applyNumberFormat="0" applyFont="0" applyAlignment="0" applyProtection="0"/>
    <xf numFmtId="0" fontId="68" fillId="20" borderId="282" applyNumberFormat="0" applyAlignment="0" applyProtection="0"/>
    <xf numFmtId="0" fontId="75" fillId="7" borderId="274" applyNumberFormat="0" applyAlignment="0" applyProtection="0"/>
    <xf numFmtId="0" fontId="75" fillId="7" borderId="286" applyNumberFormat="0" applyAlignment="0" applyProtection="0"/>
    <xf numFmtId="0" fontId="16" fillId="23" borderId="275" applyNumberFormat="0" applyFont="0" applyAlignment="0" applyProtection="0"/>
    <xf numFmtId="0" fontId="78" fillId="20" borderId="276" applyNumberFormat="0" applyAlignment="0" applyProtection="0"/>
    <xf numFmtId="0" fontId="80" fillId="0" borderId="277" applyNumberFormat="0" applyFill="0" applyAlignment="0" applyProtection="0"/>
    <xf numFmtId="0" fontId="78" fillId="20" borderId="284" applyNumberFormat="0" applyAlignment="0" applyProtection="0"/>
    <xf numFmtId="0" fontId="68" fillId="20" borderId="278" applyNumberFormat="0" applyAlignment="0" applyProtection="0"/>
    <xf numFmtId="0" fontId="16" fillId="23" borderId="294" applyNumberFormat="0" applyFont="0" applyAlignment="0" applyProtection="0"/>
    <xf numFmtId="0" fontId="68" fillId="20" borderId="286" applyNumberFormat="0" applyAlignment="0" applyProtection="0"/>
    <xf numFmtId="0" fontId="80" fillId="0" borderId="296" applyNumberFormat="0" applyFill="0" applyAlignment="0" applyProtection="0"/>
    <xf numFmtId="0" fontId="78" fillId="20" borderId="295" applyNumberFormat="0" applyAlignment="0" applyProtection="0"/>
    <xf numFmtId="0" fontId="75" fillId="7" borderId="278" applyNumberFormat="0" applyAlignment="0" applyProtection="0"/>
    <xf numFmtId="0" fontId="80" fillId="0" borderId="289" applyNumberFormat="0" applyFill="0" applyAlignment="0" applyProtection="0"/>
    <xf numFmtId="0" fontId="75" fillId="7" borderId="282" applyNumberFormat="0" applyAlignment="0" applyProtection="0"/>
    <xf numFmtId="0" fontId="16" fillId="23" borderId="287" applyNumberFormat="0" applyFont="0" applyAlignment="0" applyProtection="0"/>
    <xf numFmtId="0" fontId="78" fillId="20" borderId="288" applyNumberFormat="0" applyAlignment="0" applyProtection="0"/>
    <xf numFmtId="0" fontId="68" fillId="20" borderId="293" applyNumberFormat="0" applyAlignment="0" applyProtection="0"/>
    <xf numFmtId="0" fontId="75" fillId="7" borderId="313" applyNumberFormat="0" applyAlignment="0" applyProtection="0"/>
    <xf numFmtId="0" fontId="78" fillId="20" borderId="308" applyNumberFormat="0" applyAlignment="0" applyProtection="0"/>
    <xf numFmtId="0" fontId="75" fillId="7" borderId="305" applyNumberFormat="0" applyAlignment="0" applyProtection="0"/>
    <xf numFmtId="0" fontId="68" fillId="20" borderId="301" applyNumberFormat="0" applyAlignment="0" applyProtection="0"/>
    <xf numFmtId="0" fontId="75" fillId="7" borderId="306" applyNumberFormat="0" applyAlignment="0" applyProtection="0"/>
    <xf numFmtId="0" fontId="75" fillId="7" borderId="301" applyNumberFormat="0" applyAlignment="0" applyProtection="0"/>
    <xf numFmtId="0" fontId="16" fillId="23" borderId="307" applyNumberFormat="0" applyFont="0" applyAlignment="0" applyProtection="0"/>
    <xf numFmtId="0" fontId="16" fillId="23" borderId="302" applyNumberFormat="0" applyFont="0" applyAlignment="0" applyProtection="0"/>
    <xf numFmtId="0" fontId="78" fillId="20" borderId="303" applyNumberFormat="0" applyAlignment="0" applyProtection="0"/>
    <xf numFmtId="0" fontId="80" fillId="0" borderId="304" applyNumberFormat="0" applyFill="0" applyAlignment="0" applyProtection="0"/>
    <xf numFmtId="0" fontId="80" fillId="0" borderId="309" applyNumberFormat="0" applyFill="0" applyAlignment="0" applyProtection="0"/>
    <xf numFmtId="0" fontId="68" fillId="20" borderId="313" applyNumberFormat="0" applyAlignment="0" applyProtection="0"/>
    <xf numFmtId="0" fontId="68" fillId="20" borderId="305" applyNumberFormat="0" applyAlignment="0" applyProtection="0"/>
    <xf numFmtId="0" fontId="68" fillId="20" borderId="306" applyNumberFormat="0" applyAlignment="0" applyProtection="0"/>
    <xf numFmtId="0" fontId="16" fillId="23" borderId="314" applyNumberFormat="0" applyFont="0" applyAlignment="0" applyProtection="0"/>
    <xf numFmtId="0" fontId="78" fillId="20" borderId="315" applyNumberFormat="0" applyAlignment="0" applyProtection="0"/>
    <xf numFmtId="0" fontId="80" fillId="0" borderId="316" applyNumberFormat="0" applyFill="0" applyAlignment="0" applyProtection="0"/>
    <xf numFmtId="0" fontId="75" fillId="7" borderId="357" applyNumberFormat="0" applyAlignment="0" applyProtection="0"/>
    <xf numFmtId="0" fontId="78" fillId="20" borderId="331" applyNumberFormat="0" applyAlignment="0" applyProtection="0"/>
    <xf numFmtId="0" fontId="75" fillId="7" borderId="353" applyNumberFormat="0" applyAlignment="0" applyProtection="0"/>
    <xf numFmtId="0" fontId="16" fillId="23" borderId="330" applyNumberFormat="0" applyFont="0" applyAlignment="0" applyProtection="0"/>
    <xf numFmtId="0" fontId="80" fillId="0" borderId="367" applyNumberFormat="0" applyFill="0" applyAlignment="0" applyProtection="0"/>
    <xf numFmtId="0" fontId="16" fillId="23" borderId="322" applyNumberFormat="0" applyFont="0" applyAlignment="0" applyProtection="0"/>
    <xf numFmtId="0" fontId="80" fillId="0" borderId="348" applyNumberFormat="0" applyFill="0" applyAlignment="0" applyProtection="0"/>
    <xf numFmtId="0" fontId="75" fillId="7" borderId="321" applyNumberFormat="0" applyAlignment="0" applyProtection="0"/>
    <xf numFmtId="0" fontId="78" fillId="20" borderId="355" applyNumberFormat="0" applyAlignment="0" applyProtection="0"/>
    <xf numFmtId="0" fontId="68" fillId="20" borderId="353" applyNumberFormat="0" applyAlignment="0" applyProtection="0"/>
    <xf numFmtId="0" fontId="80" fillId="0" borderId="356" applyNumberFormat="0" applyFill="0" applyAlignment="0" applyProtection="0"/>
    <xf numFmtId="0" fontId="75" fillId="7" borderId="364" applyNumberFormat="0" applyAlignment="0" applyProtection="0"/>
    <xf numFmtId="0" fontId="75" fillId="7" borderId="341" applyNumberFormat="0" applyAlignment="0" applyProtection="0"/>
    <xf numFmtId="0" fontId="68" fillId="20" borderId="325" applyNumberFormat="0" applyAlignment="0" applyProtection="0"/>
    <xf numFmtId="0" fontId="78" fillId="20" borderId="339" applyNumberFormat="0" applyAlignment="0" applyProtection="0"/>
    <xf numFmtId="0" fontId="16" fillId="23" borderId="342" applyNumberFormat="0" applyFont="0" applyAlignment="0" applyProtection="0"/>
    <xf numFmtId="0" fontId="80" fillId="0" borderId="332" applyNumberFormat="0" applyFill="0" applyAlignment="0" applyProtection="0"/>
    <xf numFmtId="0" fontId="80" fillId="0" borderId="320" applyNumberFormat="0" applyFill="0" applyAlignment="0" applyProtection="0"/>
    <xf numFmtId="0" fontId="16" fillId="23" borderId="350" applyNumberFormat="0" applyFont="0" applyAlignment="0" applyProtection="0"/>
    <xf numFmtId="0" fontId="78" fillId="20" borderId="319" applyNumberFormat="0" applyAlignment="0" applyProtection="0"/>
    <xf numFmtId="0" fontId="16" fillId="23" borderId="318" applyNumberFormat="0" applyFont="0" applyAlignment="0" applyProtection="0"/>
    <xf numFmtId="0" fontId="75" fillId="7" borderId="329" applyNumberFormat="0" applyAlignment="0" applyProtection="0"/>
    <xf numFmtId="0" fontId="75" fillId="7" borderId="317" applyNumberFormat="0" applyAlignment="0" applyProtection="0"/>
    <xf numFmtId="0" fontId="16" fillId="23" borderId="365" applyNumberFormat="0" applyFont="0" applyAlignment="0" applyProtection="0"/>
    <xf numFmtId="0" fontId="80" fillId="0" borderId="340" applyNumberFormat="0" applyFill="0" applyAlignment="0" applyProtection="0"/>
    <xf numFmtId="0" fontId="16" fillId="23" borderId="338" applyNumberFormat="0" applyFont="0" applyAlignment="0" applyProtection="0"/>
    <xf numFmtId="0" fontId="78" fillId="20" borderId="347" applyNumberFormat="0" applyAlignment="0" applyProtection="0"/>
    <xf numFmtId="0" fontId="78" fillId="20" borderId="323" applyNumberFormat="0" applyAlignment="0" applyProtection="0"/>
    <xf numFmtId="0" fontId="68" fillId="20" borderId="317" applyNumberFormat="0" applyAlignment="0" applyProtection="0"/>
    <xf numFmtId="0" fontId="80" fillId="0" borderId="324" applyNumberFormat="0" applyFill="0" applyAlignment="0" applyProtection="0"/>
    <xf numFmtId="0" fontId="16" fillId="23" borderId="346" applyNumberFormat="0" applyFont="0" applyAlignment="0" applyProtection="0"/>
    <xf numFmtId="0" fontId="16" fillId="23" borderId="326" applyNumberFormat="0" applyFont="0" applyAlignment="0" applyProtection="0"/>
    <xf numFmtId="0" fontId="80" fillId="0" borderId="352" applyNumberFormat="0" applyFill="0" applyAlignment="0" applyProtection="0"/>
    <xf numFmtId="0" fontId="80" fillId="0" borderId="328" applyNumberFormat="0" applyFill="0" applyAlignment="0" applyProtection="0"/>
    <xf numFmtId="0" fontId="68" fillId="20" borderId="321" applyNumberFormat="0" applyAlignment="0" applyProtection="0"/>
    <xf numFmtId="0" fontId="68" fillId="20" borderId="341" applyNumberFormat="0" applyAlignment="0" applyProtection="0"/>
    <xf numFmtId="0" fontId="78" fillId="20" borderId="351" applyNumberFormat="0" applyAlignment="0" applyProtection="0"/>
    <xf numFmtId="0" fontId="75" fillId="7" borderId="333" applyNumberFormat="0" applyAlignment="0" applyProtection="0"/>
    <xf numFmtId="0" fontId="78" fillId="20" borderId="366" applyNumberFormat="0" applyAlignment="0" applyProtection="0"/>
    <xf numFmtId="0" fontId="75" fillId="7" borderId="325" applyNumberFormat="0" applyAlignment="0" applyProtection="0"/>
    <xf numFmtId="0" fontId="68" fillId="20" borderId="337" applyNumberFormat="0" applyAlignment="0" applyProtection="0"/>
    <xf numFmtId="9" fontId="9" fillId="0" borderId="0" applyFont="0" applyFill="0" applyBorder="0" applyAlignment="0" applyProtection="0"/>
    <xf numFmtId="0" fontId="9" fillId="0" borderId="0"/>
    <xf numFmtId="0" fontId="68" fillId="20" borderId="360" applyNumberFormat="0" applyAlignment="0" applyProtection="0"/>
    <xf numFmtId="0" fontId="68" fillId="20" borderId="333" applyNumberFormat="0" applyAlignment="0" applyProtection="0"/>
    <xf numFmtId="43" fontId="9" fillId="0" borderId="0" applyFont="0" applyFill="0" applyBorder="0" applyAlignment="0" applyProtection="0"/>
    <xf numFmtId="0" fontId="9" fillId="0" borderId="0"/>
    <xf numFmtId="0" fontId="9" fillId="0" borderId="0"/>
    <xf numFmtId="0" fontId="9" fillId="0" borderId="0"/>
    <xf numFmtId="0" fontId="68" fillId="20" borderId="329" applyNumberFormat="0" applyAlignment="0" applyProtection="0"/>
    <xf numFmtId="0" fontId="78" fillId="20" borderId="327" applyNumberFormat="0" applyAlignment="0" applyProtection="0"/>
    <xf numFmtId="0" fontId="68" fillId="20" borderId="364" applyNumberFormat="0" applyAlignment="0" applyProtection="0"/>
    <xf numFmtId="0" fontId="16" fillId="23" borderId="361" applyNumberFormat="0" applyFont="0" applyAlignment="0" applyProtection="0"/>
    <xf numFmtId="0" fontId="78" fillId="20" borderId="343" applyNumberFormat="0" applyAlignment="0" applyProtection="0"/>
    <xf numFmtId="0" fontId="75" fillId="7" borderId="349" applyNumberFormat="0" applyAlignment="0" applyProtection="0"/>
    <xf numFmtId="0" fontId="75" fillId="7" borderId="337" applyNumberFormat="0" applyAlignment="0" applyProtection="0"/>
    <xf numFmtId="0" fontId="75" fillId="7" borderId="345" applyNumberFormat="0" applyAlignment="0" applyProtection="0"/>
    <xf numFmtId="0" fontId="16" fillId="23" borderId="334" applyNumberFormat="0" applyFont="0" applyAlignment="0" applyProtection="0"/>
    <xf numFmtId="0" fontId="78" fillId="20" borderId="335" applyNumberFormat="0" applyAlignment="0" applyProtection="0"/>
    <xf numFmtId="0" fontId="80" fillId="0" borderId="336" applyNumberFormat="0" applyFill="0" applyAlignment="0" applyProtection="0"/>
    <xf numFmtId="0" fontId="16" fillId="23" borderId="354" applyNumberFormat="0" applyFont="0" applyAlignment="0" applyProtection="0"/>
    <xf numFmtId="0" fontId="68" fillId="20" borderId="349" applyNumberFormat="0" applyAlignment="0" applyProtection="0"/>
    <xf numFmtId="0" fontId="75" fillId="7" borderId="360" applyNumberFormat="0" applyAlignment="0" applyProtection="0"/>
    <xf numFmtId="0" fontId="80" fillId="0" borderId="359" applyNumberFormat="0" applyFill="0" applyAlignment="0" applyProtection="0"/>
    <xf numFmtId="0" fontId="68" fillId="20" borderId="345" applyNumberFormat="0" applyAlignment="0" applyProtection="0"/>
    <xf numFmtId="0" fontId="68" fillId="20" borderId="357" applyNumberFormat="0" applyAlignment="0" applyProtection="0"/>
    <xf numFmtId="0" fontId="80" fillId="0" borderId="344" applyNumberFormat="0" applyFill="0" applyAlignment="0" applyProtection="0"/>
    <xf numFmtId="0" fontId="78" fillId="20" borderId="362" applyNumberFormat="0" applyAlignment="0" applyProtection="0"/>
    <xf numFmtId="0" fontId="16" fillId="23" borderId="358" applyNumberFormat="0" applyFont="0" applyAlignment="0" applyProtection="0"/>
    <xf numFmtId="0" fontId="80" fillId="0" borderId="363" applyNumberFormat="0" applyFill="0" applyAlignment="0" applyProtection="0"/>
    <xf numFmtId="0" fontId="8" fillId="0" borderId="0"/>
    <xf numFmtId="0" fontId="16" fillId="0" borderId="0"/>
    <xf numFmtId="0" fontId="65" fillId="2" borderId="0" applyNumberFormat="0" applyBorder="0" applyAlignment="0" applyProtection="0"/>
    <xf numFmtId="0" fontId="65" fillId="3" borderId="0" applyNumberFormat="0" applyBorder="0" applyAlignment="0" applyProtection="0"/>
    <xf numFmtId="0" fontId="65" fillId="4" borderId="0" applyNumberFormat="0" applyBorder="0" applyAlignment="0" applyProtection="0"/>
    <xf numFmtId="0" fontId="65" fillId="5" borderId="0" applyNumberFormat="0" applyBorder="0" applyAlignment="0" applyProtection="0"/>
    <xf numFmtId="0" fontId="65" fillId="6" borderId="0" applyNumberFormat="0" applyBorder="0" applyAlignment="0" applyProtection="0"/>
    <xf numFmtId="0" fontId="65" fillId="7" borderId="0" applyNumberFormat="0" applyBorder="0" applyAlignment="0" applyProtection="0"/>
    <xf numFmtId="0" fontId="65" fillId="8"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5" borderId="0" applyNumberFormat="0" applyBorder="0" applyAlignment="0" applyProtection="0"/>
    <xf numFmtId="0" fontId="65" fillId="8" borderId="0" applyNumberFormat="0" applyBorder="0" applyAlignment="0" applyProtection="0"/>
    <xf numFmtId="0" fontId="65" fillId="11" borderId="0" applyNumberFormat="0" applyBorder="0" applyAlignment="0" applyProtection="0"/>
    <xf numFmtId="0" fontId="66" fillId="12" borderId="0" applyNumberFormat="0" applyBorder="0" applyAlignment="0" applyProtection="0"/>
    <xf numFmtId="0" fontId="66" fillId="9" borderId="0" applyNumberFormat="0" applyBorder="0" applyAlignment="0" applyProtection="0"/>
    <xf numFmtId="0" fontId="66" fillId="10"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15"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19" borderId="0" applyNumberFormat="0" applyBorder="0" applyAlignment="0" applyProtection="0"/>
    <xf numFmtId="0" fontId="67" fillId="3" borderId="0" applyNumberFormat="0" applyBorder="0" applyAlignment="0" applyProtection="0"/>
    <xf numFmtId="0" fontId="68" fillId="20" borderId="364" applyNumberFormat="0" applyAlignment="0" applyProtection="0"/>
    <xf numFmtId="0" fontId="69" fillId="21" borderId="2" applyNumberFormat="0" applyAlignment="0" applyProtection="0"/>
    <xf numFmtId="43" fontId="16" fillId="0" borderId="0" applyFont="0" applyFill="0" applyBorder="0" applyAlignment="0" applyProtection="0"/>
    <xf numFmtId="44" fontId="16" fillId="0" borderId="0" applyFont="0" applyFill="0" applyBorder="0" applyAlignment="0" applyProtection="0"/>
    <xf numFmtId="0" fontId="70" fillId="0" borderId="0" applyNumberFormat="0" applyFill="0" applyBorder="0" applyAlignment="0" applyProtection="0"/>
    <xf numFmtId="0" fontId="71" fillId="4" borderId="0" applyNumberFormat="0" applyBorder="0" applyAlignment="0" applyProtection="0"/>
    <xf numFmtId="0" fontId="72" fillId="0" borderId="3" applyNumberFormat="0" applyFill="0" applyAlignment="0" applyProtection="0"/>
    <xf numFmtId="0" fontId="73" fillId="0" borderId="4" applyNumberFormat="0" applyFill="0" applyAlignment="0" applyProtection="0"/>
    <xf numFmtId="0" fontId="74" fillId="0" borderId="5" applyNumberFormat="0" applyFill="0" applyAlignment="0" applyProtection="0"/>
    <xf numFmtId="0" fontId="74" fillId="0" borderId="0" applyNumberFormat="0" applyFill="0" applyBorder="0" applyAlignment="0" applyProtection="0"/>
    <xf numFmtId="0" fontId="75" fillId="7" borderId="364" applyNumberFormat="0" applyAlignment="0" applyProtection="0"/>
    <xf numFmtId="0" fontId="76" fillId="0" borderId="6" applyNumberFormat="0" applyFill="0" applyAlignment="0" applyProtection="0"/>
    <xf numFmtId="0" fontId="77" fillId="22" borderId="0" applyNumberFormat="0" applyBorder="0" applyAlignment="0" applyProtection="0"/>
    <xf numFmtId="0" fontId="16" fillId="23" borderId="365" applyNumberFormat="0" applyFont="0" applyAlignment="0" applyProtection="0"/>
    <xf numFmtId="0" fontId="78" fillId="20" borderId="366" applyNumberFormat="0" applyAlignment="0" applyProtection="0"/>
    <xf numFmtId="9" fontId="16" fillId="0" borderId="0" applyFont="0" applyFill="0" applyBorder="0" applyAlignment="0" applyProtection="0"/>
    <xf numFmtId="0" fontId="79" fillId="0" borderId="0" applyNumberFormat="0" applyFill="0" applyBorder="0" applyAlignment="0" applyProtection="0"/>
    <xf numFmtId="0" fontId="80" fillId="0" borderId="367" applyNumberFormat="0" applyFill="0" applyAlignment="0" applyProtection="0"/>
    <xf numFmtId="0" fontId="81" fillId="0" borderId="0" applyNumberForma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75" fillId="7" borderId="364" applyNumberFormat="0" applyAlignment="0" applyProtection="0"/>
    <xf numFmtId="0" fontId="16" fillId="23" borderId="365" applyNumberFormat="0" applyFont="0" applyAlignment="0" applyProtection="0"/>
    <xf numFmtId="0" fontId="16" fillId="23" borderId="365" applyNumberFormat="0" applyFont="0" applyAlignment="0" applyProtection="0"/>
    <xf numFmtId="0" fontId="68" fillId="20" borderId="364" applyNumberFormat="0" applyAlignment="0" applyProtection="0"/>
    <xf numFmtId="0" fontId="80" fillId="0" borderId="367" applyNumberFormat="0" applyFill="0" applyAlignment="0" applyProtection="0"/>
    <xf numFmtId="0" fontId="68" fillId="20" borderId="364" applyNumberFormat="0" applyAlignment="0" applyProtection="0"/>
    <xf numFmtId="0" fontId="78" fillId="20" borderId="366" applyNumberFormat="0" applyAlignment="0" applyProtection="0"/>
    <xf numFmtId="0" fontId="78" fillId="20" borderId="366" applyNumberFormat="0" applyAlignment="0" applyProtection="0"/>
    <xf numFmtId="0" fontId="68" fillId="20" borderId="364" applyNumberFormat="0" applyAlignment="0" applyProtection="0"/>
    <xf numFmtId="0" fontId="75" fillId="7" borderId="364" applyNumberFormat="0" applyAlignment="0" applyProtection="0"/>
    <xf numFmtId="0" fontId="16" fillId="23" borderId="365" applyNumberFormat="0" applyFont="0" applyAlignment="0" applyProtection="0"/>
    <xf numFmtId="0" fontId="78" fillId="20" borderId="366" applyNumberFormat="0" applyAlignment="0" applyProtection="0"/>
    <xf numFmtId="0" fontId="16" fillId="23" borderId="365" applyNumberFormat="0" applyFont="0" applyAlignment="0" applyProtection="0"/>
    <xf numFmtId="0" fontId="78" fillId="20" borderId="366" applyNumberFormat="0" applyAlignment="0" applyProtection="0"/>
    <xf numFmtId="0" fontId="68" fillId="20" borderId="364" applyNumberFormat="0" applyAlignment="0" applyProtection="0"/>
    <xf numFmtId="0" fontId="80" fillId="0" borderId="367" applyNumberFormat="0" applyFill="0" applyAlignment="0" applyProtection="0"/>
    <xf numFmtId="0" fontId="68" fillId="20" borderId="364" applyNumberFormat="0" applyAlignment="0" applyProtection="0"/>
    <xf numFmtId="0" fontId="80" fillId="0" borderId="367" applyNumberFormat="0" applyFill="0" applyAlignment="0" applyProtection="0"/>
    <xf numFmtId="0" fontId="78" fillId="20" borderId="366" applyNumberFormat="0" applyAlignment="0" applyProtection="0"/>
    <xf numFmtId="0" fontId="75" fillId="7" borderId="364" applyNumberFormat="0" applyAlignment="0" applyProtection="0"/>
    <xf numFmtId="0" fontId="16" fillId="23" borderId="365" applyNumberFormat="0" applyFont="0" applyAlignment="0" applyProtection="0"/>
    <xf numFmtId="0" fontId="78" fillId="20" borderId="366" applyNumberFormat="0" applyAlignment="0" applyProtection="0"/>
    <xf numFmtId="0" fontId="80" fillId="0" borderId="367" applyNumberFormat="0" applyFill="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16" fillId="23" borderId="365" applyNumberFormat="0" applyFont="0" applyAlignment="0" applyProtection="0"/>
    <xf numFmtId="0" fontId="75" fillId="7" borderId="364" applyNumberFormat="0" applyAlignment="0" applyProtection="0"/>
    <xf numFmtId="0" fontId="68" fillId="20" borderId="364" applyNumberFormat="0" applyAlignment="0" applyProtection="0"/>
    <xf numFmtId="0" fontId="78" fillId="20" borderId="366" applyNumberFormat="0" applyAlignment="0" applyProtection="0"/>
    <xf numFmtId="0" fontId="75" fillId="7" borderId="364" applyNumberFormat="0" applyAlignment="0" applyProtection="0"/>
    <xf numFmtId="0" fontId="16" fillId="23" borderId="365" applyNumberFormat="0" applyFont="0" applyAlignment="0" applyProtection="0"/>
    <xf numFmtId="0" fontId="78" fillId="20" borderId="366" applyNumberFormat="0" applyAlignment="0" applyProtection="0"/>
    <xf numFmtId="0" fontId="80" fillId="0" borderId="367" applyNumberFormat="0" applyFill="0" applyAlignment="0" applyProtection="0"/>
    <xf numFmtId="0" fontId="80" fillId="0" borderId="367" applyNumberFormat="0" applyFill="0" applyAlignment="0" applyProtection="0"/>
    <xf numFmtId="0" fontId="78" fillId="20" borderId="366" applyNumberFormat="0" applyAlignment="0" applyProtection="0"/>
    <xf numFmtId="0" fontId="68" fillId="20" borderId="364" applyNumberFormat="0" applyAlignment="0" applyProtection="0"/>
    <xf numFmtId="0" fontId="75" fillId="7" borderId="364" applyNumberFormat="0" applyAlignment="0" applyProtection="0"/>
    <xf numFmtId="0" fontId="80" fillId="0" borderId="367" applyNumberFormat="0" applyFill="0" applyAlignment="0" applyProtection="0"/>
    <xf numFmtId="0" fontId="68" fillId="20" borderId="364" applyNumberFormat="0" applyAlignment="0" applyProtection="0"/>
    <xf numFmtId="0" fontId="75" fillId="7" borderId="364" applyNumberFormat="0" applyAlignment="0" applyProtection="0"/>
    <xf numFmtId="0" fontId="78" fillId="20" borderId="366" applyNumberFormat="0" applyAlignment="0" applyProtection="0"/>
    <xf numFmtId="0" fontId="68" fillId="20" borderId="364" applyNumberFormat="0" applyAlignment="0" applyProtection="0"/>
    <xf numFmtId="0" fontId="68" fillId="20" borderId="364" applyNumberFormat="0" applyAlignment="0" applyProtection="0"/>
    <xf numFmtId="0" fontId="75" fillId="7" borderId="364" applyNumberFormat="0" applyAlignment="0" applyProtection="0"/>
    <xf numFmtId="0" fontId="75" fillId="7" borderId="364" applyNumberFormat="0" applyAlignment="0" applyProtection="0"/>
    <xf numFmtId="0" fontId="80" fillId="0" borderId="367" applyNumberFormat="0" applyFill="0" applyAlignment="0" applyProtection="0"/>
    <xf numFmtId="0" fontId="80" fillId="0" borderId="367" applyNumberFormat="0" applyFill="0" applyAlignment="0" applyProtection="0"/>
    <xf numFmtId="0" fontId="16" fillId="23" borderId="365" applyNumberFormat="0" applyFont="0" applyAlignment="0" applyProtection="0"/>
    <xf numFmtId="0" fontId="80" fillId="0" borderId="367" applyNumberFormat="0" applyFill="0" applyAlignment="0" applyProtection="0"/>
    <xf numFmtId="0" fontId="68" fillId="20" borderId="364" applyNumberFormat="0" applyAlignment="0" applyProtection="0"/>
    <xf numFmtId="0" fontId="16" fillId="23" borderId="365" applyNumberFormat="0" applyFont="0" applyAlignment="0" applyProtection="0"/>
    <xf numFmtId="0" fontId="75" fillId="7" borderId="364" applyNumberFormat="0" applyAlignment="0" applyProtection="0"/>
    <xf numFmtId="0" fontId="16" fillId="23" borderId="365" applyNumberFormat="0" applyFont="0" applyAlignment="0" applyProtection="0"/>
    <xf numFmtId="0" fontId="16" fillId="23" borderId="365" applyNumberFormat="0" applyFont="0" applyAlignment="0" applyProtection="0"/>
    <xf numFmtId="0" fontId="78" fillId="20" borderId="366" applyNumberFormat="0" applyAlignment="0" applyProtection="0"/>
    <xf numFmtId="0" fontId="80" fillId="0" borderId="367" applyNumberFormat="0" applyFill="0" applyAlignment="0" applyProtection="0"/>
    <xf numFmtId="0" fontId="75" fillId="7" borderId="364" applyNumberFormat="0" applyAlignment="0" applyProtection="0"/>
    <xf numFmtId="0" fontId="75" fillId="7" borderId="364" applyNumberFormat="0" applyAlignment="0" applyProtection="0"/>
    <xf numFmtId="0" fontId="80" fillId="0" borderId="367" applyNumberFormat="0" applyFill="0" applyAlignment="0" applyProtection="0"/>
    <xf numFmtId="0" fontId="68" fillId="20" borderId="364" applyNumberFormat="0" applyAlignment="0" applyProtection="0"/>
    <xf numFmtId="0" fontId="16" fillId="23" borderId="365" applyNumberFormat="0" applyFont="0" applyAlignment="0" applyProtection="0"/>
    <xf numFmtId="0" fontId="80" fillId="0" borderId="367" applyNumberFormat="0" applyFill="0" applyAlignment="0" applyProtection="0"/>
    <xf numFmtId="0" fontId="78" fillId="20" borderId="366" applyNumberFormat="0" applyAlignment="0" applyProtection="0"/>
    <xf numFmtId="0" fontId="16" fillId="23" borderId="365" applyNumberFormat="0" applyFont="0" applyAlignment="0" applyProtection="0"/>
    <xf numFmtId="0" fontId="68" fillId="20" borderId="364" applyNumberFormat="0" applyAlignment="0" applyProtection="0"/>
    <xf numFmtId="0" fontId="75" fillId="7" borderId="364" applyNumberFormat="0" applyAlignment="0" applyProtection="0"/>
    <xf numFmtId="0" fontId="75" fillId="7" borderId="364" applyNumberFormat="0" applyAlignment="0" applyProtection="0"/>
    <xf numFmtId="0" fontId="16" fillId="23" borderId="365" applyNumberFormat="0" applyFont="0" applyAlignment="0" applyProtection="0"/>
    <xf numFmtId="0" fontId="78" fillId="20" borderId="366" applyNumberFormat="0" applyAlignment="0" applyProtection="0"/>
    <xf numFmtId="0" fontId="80" fillId="0" borderId="367" applyNumberFormat="0" applyFill="0" applyAlignment="0" applyProtection="0"/>
    <xf numFmtId="0" fontId="78" fillId="20" borderId="366" applyNumberFormat="0" applyAlignment="0" applyProtection="0"/>
    <xf numFmtId="0" fontId="68" fillId="20" borderId="364" applyNumberFormat="0" applyAlignment="0" applyProtection="0"/>
    <xf numFmtId="0" fontId="16" fillId="23" borderId="365" applyNumberFormat="0" applyFont="0" applyAlignment="0" applyProtection="0"/>
    <xf numFmtId="0" fontId="68" fillId="20" borderId="364" applyNumberFormat="0" applyAlignment="0" applyProtection="0"/>
    <xf numFmtId="0" fontId="80" fillId="0" borderId="367" applyNumberFormat="0" applyFill="0" applyAlignment="0" applyProtection="0"/>
    <xf numFmtId="0" fontId="78" fillId="20" borderId="366" applyNumberFormat="0" applyAlignment="0" applyProtection="0"/>
    <xf numFmtId="0" fontId="75" fillId="7" borderId="364" applyNumberFormat="0" applyAlignment="0" applyProtection="0"/>
    <xf numFmtId="0" fontId="80" fillId="0" borderId="367" applyNumberFormat="0" applyFill="0" applyAlignment="0" applyProtection="0"/>
    <xf numFmtId="0" fontId="75" fillId="7" borderId="364" applyNumberFormat="0" applyAlignment="0" applyProtection="0"/>
    <xf numFmtId="0" fontId="16" fillId="23" borderId="365" applyNumberFormat="0" applyFont="0" applyAlignment="0" applyProtection="0"/>
    <xf numFmtId="0" fontId="78" fillId="20" borderId="366" applyNumberFormat="0" applyAlignment="0" applyProtection="0"/>
    <xf numFmtId="0" fontId="68" fillId="20" borderId="364" applyNumberFormat="0" applyAlignment="0" applyProtection="0"/>
    <xf numFmtId="0" fontId="75" fillId="7" borderId="364" applyNumberFormat="0" applyAlignment="0" applyProtection="0"/>
    <xf numFmtId="0" fontId="78" fillId="20" borderId="366" applyNumberFormat="0" applyAlignment="0" applyProtection="0"/>
    <xf numFmtId="0" fontId="75" fillId="7" borderId="364" applyNumberFormat="0" applyAlignment="0" applyProtection="0"/>
    <xf numFmtId="0" fontId="68" fillId="20" borderId="364" applyNumberFormat="0" applyAlignment="0" applyProtection="0"/>
    <xf numFmtId="0" fontId="75" fillId="7" borderId="364" applyNumberFormat="0" applyAlignment="0" applyProtection="0"/>
    <xf numFmtId="0" fontId="75" fillId="7" borderId="364" applyNumberFormat="0" applyAlignment="0" applyProtection="0"/>
    <xf numFmtId="0" fontId="16" fillId="23" borderId="365" applyNumberFormat="0" applyFont="0" applyAlignment="0" applyProtection="0"/>
    <xf numFmtId="0" fontId="16" fillId="23" borderId="365" applyNumberFormat="0" applyFont="0" applyAlignment="0" applyProtection="0"/>
    <xf numFmtId="0" fontId="78" fillId="20" borderId="366" applyNumberFormat="0" applyAlignment="0" applyProtection="0"/>
    <xf numFmtId="0" fontId="80" fillId="0" borderId="367" applyNumberFormat="0" applyFill="0" applyAlignment="0" applyProtection="0"/>
    <xf numFmtId="0" fontId="80" fillId="0" borderId="367" applyNumberFormat="0" applyFill="0" applyAlignment="0" applyProtection="0"/>
    <xf numFmtId="0" fontId="68" fillId="20" borderId="364" applyNumberFormat="0" applyAlignment="0" applyProtection="0"/>
    <xf numFmtId="0" fontId="68" fillId="20" borderId="364" applyNumberFormat="0" applyAlignment="0" applyProtection="0"/>
    <xf numFmtId="0" fontId="68" fillId="20" borderId="364" applyNumberFormat="0" applyAlignment="0" applyProtection="0"/>
    <xf numFmtId="0" fontId="16" fillId="23" borderId="365" applyNumberFormat="0" applyFont="0" applyAlignment="0" applyProtection="0"/>
    <xf numFmtId="0" fontId="78" fillId="20" borderId="366" applyNumberFormat="0" applyAlignment="0" applyProtection="0"/>
    <xf numFmtId="0" fontId="80" fillId="0" borderId="367" applyNumberFormat="0" applyFill="0" applyAlignment="0" applyProtection="0"/>
    <xf numFmtId="0" fontId="75" fillId="7" borderId="364" applyNumberFormat="0" applyAlignment="0" applyProtection="0"/>
    <xf numFmtId="0" fontId="78" fillId="20" borderId="366" applyNumberFormat="0" applyAlignment="0" applyProtection="0"/>
    <xf numFmtId="0" fontId="75" fillId="7" borderId="364" applyNumberFormat="0" applyAlignment="0" applyProtection="0"/>
    <xf numFmtId="0" fontId="16" fillId="23" borderId="365" applyNumberFormat="0" applyFont="0" applyAlignment="0" applyProtection="0"/>
    <xf numFmtId="0" fontId="16" fillId="23" borderId="365" applyNumberFormat="0" applyFont="0" applyAlignment="0" applyProtection="0"/>
    <xf numFmtId="0" fontId="80" fillId="0" borderId="367" applyNumberFormat="0" applyFill="0" applyAlignment="0" applyProtection="0"/>
    <xf numFmtId="0" fontId="75" fillId="7" borderId="364" applyNumberFormat="0" applyAlignment="0" applyProtection="0"/>
    <xf numFmtId="0" fontId="78" fillId="20" borderId="366" applyNumberFormat="0" applyAlignment="0" applyProtection="0"/>
    <xf numFmtId="0" fontId="68" fillId="20" borderId="364" applyNumberFormat="0" applyAlignment="0" applyProtection="0"/>
    <xf numFmtId="0" fontId="80" fillId="0" borderId="367" applyNumberFormat="0" applyFill="0" applyAlignment="0" applyProtection="0"/>
    <xf numFmtId="0" fontId="75" fillId="7" borderId="364" applyNumberFormat="0" applyAlignment="0" applyProtection="0"/>
    <xf numFmtId="0" fontId="68" fillId="20" borderId="364" applyNumberFormat="0" applyAlignment="0" applyProtection="0"/>
    <xf numFmtId="0" fontId="78" fillId="20" borderId="366" applyNumberFormat="0" applyAlignment="0" applyProtection="0"/>
    <xf numFmtId="0" fontId="16" fillId="23" borderId="365" applyNumberFormat="0" applyFont="0" applyAlignment="0" applyProtection="0"/>
    <xf numFmtId="0" fontId="80" fillId="0" borderId="367" applyNumberFormat="0" applyFill="0" applyAlignment="0" applyProtection="0"/>
    <xf numFmtId="0" fontId="80" fillId="0" borderId="367" applyNumberFormat="0" applyFill="0" applyAlignment="0" applyProtection="0"/>
    <xf numFmtId="0" fontId="16" fillId="23" borderId="365" applyNumberFormat="0" applyFont="0" applyAlignment="0" applyProtection="0"/>
    <xf numFmtId="0" fontId="78" fillId="20" borderId="366" applyNumberFormat="0" applyAlignment="0" applyProtection="0"/>
    <xf numFmtId="0" fontId="16" fillId="23" borderId="365" applyNumberFormat="0" applyFont="0" applyAlignment="0" applyProtection="0"/>
    <xf numFmtId="0" fontId="75" fillId="7" borderId="364" applyNumberFormat="0" applyAlignment="0" applyProtection="0"/>
    <xf numFmtId="0" fontId="75" fillId="7" borderId="364" applyNumberFormat="0" applyAlignment="0" applyProtection="0"/>
    <xf numFmtId="0" fontId="80" fillId="0" borderId="367" applyNumberFormat="0" applyFill="0" applyAlignment="0" applyProtection="0"/>
    <xf numFmtId="0" fontId="16" fillId="23" borderId="365" applyNumberFormat="0" applyFont="0" applyAlignment="0" applyProtection="0"/>
    <xf numFmtId="0" fontId="78" fillId="20" borderId="366" applyNumberFormat="0" applyAlignment="0" applyProtection="0"/>
    <xf numFmtId="0" fontId="78" fillId="20" borderId="366" applyNumberFormat="0" applyAlignment="0" applyProtection="0"/>
    <xf numFmtId="0" fontId="68" fillId="20" borderId="364" applyNumberFormat="0" applyAlignment="0" applyProtection="0"/>
    <xf numFmtId="0" fontId="80" fillId="0" borderId="367" applyNumberFormat="0" applyFill="0" applyAlignment="0" applyProtection="0"/>
    <xf numFmtId="0" fontId="16" fillId="23" borderId="365" applyNumberFormat="0" applyFont="0" applyAlignment="0" applyProtection="0"/>
    <xf numFmtId="0" fontId="16" fillId="23" borderId="365" applyNumberFormat="0" applyFont="0" applyAlignment="0" applyProtection="0"/>
    <xf numFmtId="0" fontId="80" fillId="0" borderId="367" applyNumberFormat="0" applyFill="0" applyAlignment="0" applyProtection="0"/>
    <xf numFmtId="0" fontId="80" fillId="0" borderId="367" applyNumberFormat="0" applyFill="0" applyAlignment="0" applyProtection="0"/>
    <xf numFmtId="0" fontId="68" fillId="20" borderId="364" applyNumberFormat="0" applyAlignment="0" applyProtection="0"/>
    <xf numFmtId="0" fontId="68" fillId="20" borderId="364" applyNumberFormat="0" applyAlignment="0" applyProtection="0"/>
    <xf numFmtId="0" fontId="78" fillId="20" borderId="366" applyNumberFormat="0" applyAlignment="0" applyProtection="0"/>
    <xf numFmtId="0" fontId="75" fillId="7" borderId="364" applyNumberFormat="0" applyAlignment="0" applyProtection="0"/>
    <xf numFmtId="0" fontId="75" fillId="7" borderId="364" applyNumberFormat="0" applyAlignment="0" applyProtection="0"/>
    <xf numFmtId="0" fontId="68" fillId="20" borderId="364" applyNumberFormat="0" applyAlignment="0" applyProtection="0"/>
    <xf numFmtId="9" fontId="8" fillId="0" borderId="0" applyFont="0" applyFill="0" applyBorder="0" applyAlignment="0" applyProtection="0"/>
    <xf numFmtId="0" fontId="8" fillId="0" borderId="0"/>
    <xf numFmtId="0" fontId="68" fillId="20" borderId="364" applyNumberFormat="0" applyAlignment="0" applyProtection="0"/>
    <xf numFmtId="0" fontId="68" fillId="20" borderId="364" applyNumberFormat="0" applyAlignment="0" applyProtection="0"/>
    <xf numFmtId="43" fontId="8" fillId="0" borderId="0" applyFont="0" applyFill="0" applyBorder="0" applyAlignment="0" applyProtection="0"/>
    <xf numFmtId="0" fontId="8" fillId="0" borderId="0"/>
    <xf numFmtId="0" fontId="8" fillId="0" borderId="0"/>
    <xf numFmtId="0" fontId="8" fillId="0" borderId="0"/>
    <xf numFmtId="0" fontId="68" fillId="20" borderId="364" applyNumberFormat="0" applyAlignment="0" applyProtection="0"/>
    <xf numFmtId="0" fontId="78" fillId="20" borderId="366" applyNumberFormat="0" applyAlignment="0" applyProtection="0"/>
    <xf numFmtId="0" fontId="16" fillId="23" borderId="365" applyNumberFormat="0" applyFont="0" applyAlignment="0" applyProtection="0"/>
    <xf numFmtId="0" fontId="78" fillId="20" borderId="366" applyNumberFormat="0" applyAlignment="0" applyProtection="0"/>
    <xf numFmtId="0" fontId="75" fillId="7" borderId="364" applyNumberFormat="0" applyAlignment="0" applyProtection="0"/>
    <xf numFmtId="0" fontId="75" fillId="7" borderId="364" applyNumberFormat="0" applyAlignment="0" applyProtection="0"/>
    <xf numFmtId="0" fontId="75" fillId="7" borderId="364" applyNumberFormat="0" applyAlignment="0" applyProtection="0"/>
    <xf numFmtId="0" fontId="16" fillId="23" borderId="365" applyNumberFormat="0" applyFont="0" applyAlignment="0" applyProtection="0"/>
    <xf numFmtId="0" fontId="78" fillId="20" borderId="366" applyNumberFormat="0" applyAlignment="0" applyProtection="0"/>
    <xf numFmtId="0" fontId="80" fillId="0" borderId="367" applyNumberFormat="0" applyFill="0" applyAlignment="0" applyProtection="0"/>
    <xf numFmtId="0" fontId="16" fillId="23" borderId="365" applyNumberFormat="0" applyFont="0" applyAlignment="0" applyProtection="0"/>
    <xf numFmtId="0" fontId="68" fillId="20" borderId="364" applyNumberFormat="0" applyAlignment="0" applyProtection="0"/>
    <xf numFmtId="0" fontId="75" fillId="7" borderId="364" applyNumberFormat="0" applyAlignment="0" applyProtection="0"/>
    <xf numFmtId="0" fontId="80" fillId="0" borderId="367" applyNumberFormat="0" applyFill="0" applyAlignment="0" applyProtection="0"/>
    <xf numFmtId="0" fontId="68" fillId="20" borderId="364" applyNumberFormat="0" applyAlignment="0" applyProtection="0"/>
    <xf numFmtId="0" fontId="68" fillId="20" borderId="364" applyNumberFormat="0" applyAlignment="0" applyProtection="0"/>
    <xf numFmtId="0" fontId="80" fillId="0" borderId="367" applyNumberFormat="0" applyFill="0" applyAlignment="0" applyProtection="0"/>
    <xf numFmtId="0" fontId="78" fillId="20" borderId="366" applyNumberFormat="0" applyAlignment="0" applyProtection="0"/>
    <xf numFmtId="0" fontId="16" fillId="23" borderId="365" applyNumberFormat="0" applyFont="0" applyAlignment="0" applyProtection="0"/>
    <xf numFmtId="0" fontId="80" fillId="0" borderId="367" applyNumberFormat="0" applyFill="0" applyAlignment="0" applyProtection="0"/>
    <xf numFmtId="0" fontId="75" fillId="7" borderId="364" applyNumberFormat="0" applyAlignment="0" applyProtection="0"/>
    <xf numFmtId="0" fontId="16" fillId="23" borderId="365" applyNumberFormat="0" applyFont="0" applyAlignment="0" applyProtection="0"/>
    <xf numFmtId="0" fontId="16" fillId="23" borderId="365" applyNumberFormat="0" applyFont="0" applyAlignment="0" applyProtection="0"/>
    <xf numFmtId="0" fontId="68" fillId="20" borderId="364" applyNumberFormat="0" applyAlignment="0" applyProtection="0"/>
    <xf numFmtId="0" fontId="80" fillId="0" borderId="367" applyNumberFormat="0" applyFill="0" applyAlignment="0" applyProtection="0"/>
    <xf numFmtId="0" fontId="68" fillId="20" borderId="364" applyNumberFormat="0" applyAlignment="0" applyProtection="0"/>
    <xf numFmtId="0" fontId="78" fillId="20" borderId="366" applyNumberFormat="0" applyAlignment="0" applyProtection="0"/>
    <xf numFmtId="0" fontId="78" fillId="20" borderId="366" applyNumberFormat="0" applyAlignment="0" applyProtection="0"/>
    <xf numFmtId="0" fontId="68" fillId="20" borderId="364" applyNumberFormat="0" applyAlignment="0" applyProtection="0"/>
    <xf numFmtId="0" fontId="75" fillId="7" borderId="364" applyNumberFormat="0" applyAlignment="0" applyProtection="0"/>
    <xf numFmtId="0" fontId="16" fillId="23" borderId="365" applyNumberFormat="0" applyFont="0" applyAlignment="0" applyProtection="0"/>
    <xf numFmtId="0" fontId="78" fillId="20" borderId="366" applyNumberFormat="0" applyAlignment="0" applyProtection="0"/>
    <xf numFmtId="0" fontId="16" fillId="23" borderId="365" applyNumberFormat="0" applyFont="0" applyAlignment="0" applyProtection="0"/>
    <xf numFmtId="0" fontId="78" fillId="20" borderId="366" applyNumberFormat="0" applyAlignment="0" applyProtection="0"/>
    <xf numFmtId="0" fontId="68" fillId="20" borderId="364" applyNumberFormat="0" applyAlignment="0" applyProtection="0"/>
    <xf numFmtId="0" fontId="80" fillId="0" borderId="367" applyNumberFormat="0" applyFill="0" applyAlignment="0" applyProtection="0"/>
    <xf numFmtId="0" fontId="68" fillId="20" borderId="364" applyNumberFormat="0" applyAlignment="0" applyProtection="0"/>
    <xf numFmtId="0" fontId="80" fillId="0" borderId="367" applyNumberFormat="0" applyFill="0" applyAlignment="0" applyProtection="0"/>
    <xf numFmtId="0" fontId="78" fillId="20" borderId="366" applyNumberFormat="0" applyAlignment="0" applyProtection="0"/>
    <xf numFmtId="0" fontId="75" fillId="7" borderId="364" applyNumberFormat="0" applyAlignment="0" applyProtection="0"/>
    <xf numFmtId="0" fontId="16" fillId="23" borderId="365" applyNumberFormat="0" applyFont="0" applyAlignment="0" applyProtection="0"/>
    <xf numFmtId="0" fontId="78" fillId="20" borderId="366" applyNumberFormat="0" applyAlignment="0" applyProtection="0"/>
    <xf numFmtId="0" fontId="80" fillId="0" borderId="367" applyNumberFormat="0" applyFill="0" applyAlignment="0" applyProtection="0"/>
    <xf numFmtId="0" fontId="16" fillId="23" borderId="365" applyNumberFormat="0" applyFont="0" applyAlignment="0" applyProtection="0"/>
    <xf numFmtId="0" fontId="75" fillId="7" borderId="364" applyNumberFormat="0" applyAlignment="0" applyProtection="0"/>
    <xf numFmtId="0" fontId="68" fillId="20" borderId="364" applyNumberFormat="0" applyAlignment="0" applyProtection="0"/>
    <xf numFmtId="0" fontId="78" fillId="20" borderId="366" applyNumberFormat="0" applyAlignment="0" applyProtection="0"/>
    <xf numFmtId="0" fontId="75" fillId="7" borderId="364" applyNumberFormat="0" applyAlignment="0" applyProtection="0"/>
    <xf numFmtId="0" fontId="16" fillId="23" borderId="365" applyNumberFormat="0" applyFont="0" applyAlignment="0" applyProtection="0"/>
    <xf numFmtId="0" fontId="78" fillId="20" borderId="366" applyNumberFormat="0" applyAlignment="0" applyProtection="0"/>
    <xf numFmtId="0" fontId="80" fillId="0" borderId="367" applyNumberFormat="0" applyFill="0" applyAlignment="0" applyProtection="0"/>
    <xf numFmtId="0" fontId="80" fillId="0" borderId="367" applyNumberFormat="0" applyFill="0" applyAlignment="0" applyProtection="0"/>
    <xf numFmtId="0" fontId="78" fillId="20" borderId="366" applyNumberFormat="0" applyAlignment="0" applyProtection="0"/>
    <xf numFmtId="0" fontId="68" fillId="20" borderId="364" applyNumberFormat="0" applyAlignment="0" applyProtection="0"/>
    <xf numFmtId="0" fontId="75" fillId="7" borderId="364" applyNumberFormat="0" applyAlignment="0" applyProtection="0"/>
    <xf numFmtId="0" fontId="80" fillId="0" borderId="367" applyNumberFormat="0" applyFill="0" applyAlignment="0" applyProtection="0"/>
    <xf numFmtId="0" fontId="68" fillId="20" borderId="364" applyNumberFormat="0" applyAlignment="0" applyProtection="0"/>
    <xf numFmtId="0" fontId="75" fillId="7" borderId="364" applyNumberFormat="0" applyAlignment="0" applyProtection="0"/>
    <xf numFmtId="0" fontId="78" fillId="20" borderId="366" applyNumberFormat="0" applyAlignment="0" applyProtection="0"/>
    <xf numFmtId="0" fontId="68" fillId="20" borderId="364" applyNumberFormat="0" applyAlignment="0" applyProtection="0"/>
    <xf numFmtId="0" fontId="68" fillId="20" borderId="364" applyNumberFormat="0" applyAlignment="0" applyProtection="0"/>
    <xf numFmtId="0" fontId="75" fillId="7" borderId="364" applyNumberFormat="0" applyAlignment="0" applyProtection="0"/>
    <xf numFmtId="0" fontId="75" fillId="7" borderId="364" applyNumberFormat="0" applyAlignment="0" applyProtection="0"/>
    <xf numFmtId="0" fontId="80" fillId="0" borderId="367" applyNumberFormat="0" applyFill="0" applyAlignment="0" applyProtection="0"/>
    <xf numFmtId="0" fontId="80" fillId="0" borderId="367" applyNumberFormat="0" applyFill="0" applyAlignment="0" applyProtection="0"/>
    <xf numFmtId="0" fontId="16" fillId="23" borderId="365" applyNumberFormat="0" applyFont="0" applyAlignment="0" applyProtection="0"/>
    <xf numFmtId="0" fontId="80" fillId="0" borderId="367" applyNumberFormat="0" applyFill="0" applyAlignment="0" applyProtection="0"/>
    <xf numFmtId="0" fontId="68" fillId="20" borderId="364" applyNumberFormat="0" applyAlignment="0" applyProtection="0"/>
    <xf numFmtId="0" fontId="16" fillId="23" borderId="365" applyNumberFormat="0" applyFont="0" applyAlignment="0" applyProtection="0"/>
    <xf numFmtId="0" fontId="75" fillId="7" borderId="364" applyNumberFormat="0" applyAlignment="0" applyProtection="0"/>
    <xf numFmtId="0" fontId="16" fillId="23" borderId="365" applyNumberFormat="0" applyFont="0" applyAlignment="0" applyProtection="0"/>
    <xf numFmtId="0" fontId="16" fillId="23" borderId="365" applyNumberFormat="0" applyFont="0" applyAlignment="0" applyProtection="0"/>
    <xf numFmtId="0" fontId="78" fillId="20" borderId="366" applyNumberFormat="0" applyAlignment="0" applyProtection="0"/>
    <xf numFmtId="0" fontId="80" fillId="0" borderId="367" applyNumberFormat="0" applyFill="0" applyAlignment="0" applyProtection="0"/>
    <xf numFmtId="0" fontId="75" fillId="7" borderId="364" applyNumberFormat="0" applyAlignment="0" applyProtection="0"/>
    <xf numFmtId="0" fontId="75" fillId="7" borderId="364" applyNumberFormat="0" applyAlignment="0" applyProtection="0"/>
    <xf numFmtId="0" fontId="80" fillId="0" borderId="367" applyNumberFormat="0" applyFill="0" applyAlignment="0" applyProtection="0"/>
    <xf numFmtId="0" fontId="68" fillId="20" borderId="364" applyNumberFormat="0" applyAlignment="0" applyProtection="0"/>
    <xf numFmtId="0" fontId="16" fillId="23" borderId="365" applyNumberFormat="0" applyFont="0" applyAlignment="0" applyProtection="0"/>
    <xf numFmtId="0" fontId="80" fillId="0" borderId="367" applyNumberFormat="0" applyFill="0" applyAlignment="0" applyProtection="0"/>
    <xf numFmtId="0" fontId="78" fillId="20" borderId="366" applyNumberFormat="0" applyAlignment="0" applyProtection="0"/>
    <xf numFmtId="0" fontId="16" fillId="23" borderId="365" applyNumberFormat="0" applyFont="0" applyAlignment="0" applyProtection="0"/>
    <xf numFmtId="0" fontId="68" fillId="20" borderId="364" applyNumberFormat="0" applyAlignment="0" applyProtection="0"/>
    <xf numFmtId="0" fontId="75" fillId="7" borderId="364" applyNumberFormat="0" applyAlignment="0" applyProtection="0"/>
    <xf numFmtId="0" fontId="75" fillId="7" borderId="364" applyNumberFormat="0" applyAlignment="0" applyProtection="0"/>
    <xf numFmtId="0" fontId="16" fillId="23" borderId="365" applyNumberFormat="0" applyFont="0" applyAlignment="0" applyProtection="0"/>
    <xf numFmtId="0" fontId="78" fillId="20" borderId="366" applyNumberFormat="0" applyAlignment="0" applyProtection="0"/>
    <xf numFmtId="0" fontId="80" fillId="0" borderId="367" applyNumberFormat="0" applyFill="0" applyAlignment="0" applyProtection="0"/>
    <xf numFmtId="0" fontId="78" fillId="20" borderId="366" applyNumberFormat="0" applyAlignment="0" applyProtection="0"/>
    <xf numFmtId="0" fontId="68" fillId="20" borderId="364" applyNumberFormat="0" applyAlignment="0" applyProtection="0"/>
    <xf numFmtId="0" fontId="16" fillId="23" borderId="365" applyNumberFormat="0" applyFont="0" applyAlignment="0" applyProtection="0"/>
    <xf numFmtId="0" fontId="68" fillId="20" borderId="364" applyNumberFormat="0" applyAlignment="0" applyProtection="0"/>
    <xf numFmtId="0" fontId="80" fillId="0" borderId="367" applyNumberFormat="0" applyFill="0" applyAlignment="0" applyProtection="0"/>
    <xf numFmtId="0" fontId="78" fillId="20" borderId="366" applyNumberFormat="0" applyAlignment="0" applyProtection="0"/>
    <xf numFmtId="0" fontId="75" fillId="7" borderId="364" applyNumberFormat="0" applyAlignment="0" applyProtection="0"/>
    <xf numFmtId="0" fontId="80" fillId="0" borderId="367" applyNumberFormat="0" applyFill="0" applyAlignment="0" applyProtection="0"/>
    <xf numFmtId="0" fontId="75" fillId="7" borderId="364" applyNumberFormat="0" applyAlignment="0" applyProtection="0"/>
    <xf numFmtId="0" fontId="16" fillId="23" borderId="365" applyNumberFormat="0" applyFont="0" applyAlignment="0" applyProtection="0"/>
    <xf numFmtId="0" fontId="78" fillId="20" borderId="366" applyNumberFormat="0" applyAlignment="0" applyProtection="0"/>
    <xf numFmtId="0" fontId="68" fillId="20" borderId="364" applyNumberFormat="0" applyAlignment="0" applyProtection="0"/>
    <xf numFmtId="0" fontId="75" fillId="7" borderId="364" applyNumberFormat="0" applyAlignment="0" applyProtection="0"/>
    <xf numFmtId="0" fontId="78" fillId="20" borderId="366" applyNumberFormat="0" applyAlignment="0" applyProtection="0"/>
    <xf numFmtId="0" fontId="75" fillId="7" borderId="364" applyNumberFormat="0" applyAlignment="0" applyProtection="0"/>
    <xf numFmtId="0" fontId="68" fillId="20" borderId="364" applyNumberFormat="0" applyAlignment="0" applyProtection="0"/>
    <xf numFmtId="0" fontId="75" fillId="7" borderId="364" applyNumberFormat="0" applyAlignment="0" applyProtection="0"/>
    <xf numFmtId="0" fontId="75" fillId="7" borderId="364" applyNumberFormat="0" applyAlignment="0" applyProtection="0"/>
    <xf numFmtId="0" fontId="16" fillId="23" borderId="365" applyNumberFormat="0" applyFont="0" applyAlignment="0" applyProtection="0"/>
    <xf numFmtId="0" fontId="16" fillId="23" borderId="365" applyNumberFormat="0" applyFont="0" applyAlignment="0" applyProtection="0"/>
    <xf numFmtId="0" fontId="78" fillId="20" borderId="366" applyNumberFormat="0" applyAlignment="0" applyProtection="0"/>
    <xf numFmtId="0" fontId="80" fillId="0" borderId="367" applyNumberFormat="0" applyFill="0" applyAlignment="0" applyProtection="0"/>
    <xf numFmtId="0" fontId="80" fillId="0" borderId="367" applyNumberFormat="0" applyFill="0" applyAlignment="0" applyProtection="0"/>
    <xf numFmtId="0" fontId="68" fillId="20" borderId="364" applyNumberFormat="0" applyAlignment="0" applyProtection="0"/>
    <xf numFmtId="0" fontId="68" fillId="20" borderId="364" applyNumberFormat="0" applyAlignment="0" applyProtection="0"/>
    <xf numFmtId="0" fontId="68" fillId="20" borderId="364" applyNumberFormat="0" applyAlignment="0" applyProtection="0"/>
    <xf numFmtId="0" fontId="16" fillId="23" borderId="365" applyNumberFormat="0" applyFont="0" applyAlignment="0" applyProtection="0"/>
    <xf numFmtId="0" fontId="78" fillId="20" borderId="366" applyNumberFormat="0" applyAlignment="0" applyProtection="0"/>
    <xf numFmtId="0" fontId="80" fillId="0" borderId="367" applyNumberFormat="0" applyFill="0" applyAlignment="0" applyProtection="0"/>
    <xf numFmtId="0" fontId="75" fillId="7" borderId="364" applyNumberFormat="0" applyAlignment="0" applyProtection="0"/>
    <xf numFmtId="0" fontId="78" fillId="20" borderId="366" applyNumberFormat="0" applyAlignment="0" applyProtection="0"/>
    <xf numFmtId="0" fontId="75" fillId="7" borderId="364" applyNumberFormat="0" applyAlignment="0" applyProtection="0"/>
    <xf numFmtId="0" fontId="16" fillId="23" borderId="365" applyNumberFormat="0" applyFont="0" applyAlignment="0" applyProtection="0"/>
    <xf numFmtId="0" fontId="80" fillId="0" borderId="367" applyNumberFormat="0" applyFill="0" applyAlignment="0" applyProtection="0"/>
    <xf numFmtId="0" fontId="16" fillId="23" borderId="365" applyNumberFormat="0" applyFont="0" applyAlignment="0" applyProtection="0"/>
    <xf numFmtId="0" fontId="80" fillId="0" borderId="367" applyNumberFormat="0" applyFill="0" applyAlignment="0" applyProtection="0"/>
    <xf numFmtId="0" fontId="75" fillId="7" borderId="364" applyNumberFormat="0" applyAlignment="0" applyProtection="0"/>
    <xf numFmtId="0" fontId="78" fillId="20" borderId="366" applyNumberFormat="0" applyAlignment="0" applyProtection="0"/>
    <xf numFmtId="0" fontId="68" fillId="20" borderId="364" applyNumberFormat="0" applyAlignment="0" applyProtection="0"/>
    <xf numFmtId="0" fontId="80" fillId="0" borderId="367" applyNumberFormat="0" applyFill="0" applyAlignment="0" applyProtection="0"/>
    <xf numFmtId="0" fontId="75" fillId="7" borderId="364" applyNumberFormat="0" applyAlignment="0" applyProtection="0"/>
    <xf numFmtId="0" fontId="75" fillId="7" borderId="364" applyNumberFormat="0" applyAlignment="0" applyProtection="0"/>
    <xf numFmtId="0" fontId="68" fillId="20" borderId="364" applyNumberFormat="0" applyAlignment="0" applyProtection="0"/>
    <xf numFmtId="0" fontId="78" fillId="20" borderId="366" applyNumberFormat="0" applyAlignment="0" applyProtection="0"/>
    <xf numFmtId="0" fontId="16" fillId="23" borderId="365" applyNumberFormat="0" applyFont="0" applyAlignment="0" applyProtection="0"/>
    <xf numFmtId="0" fontId="80" fillId="0" borderId="367" applyNumberFormat="0" applyFill="0" applyAlignment="0" applyProtection="0"/>
    <xf numFmtId="0" fontId="80" fillId="0" borderId="367" applyNumberFormat="0" applyFill="0" applyAlignment="0" applyProtection="0"/>
    <xf numFmtId="0" fontId="16" fillId="23" borderId="365" applyNumberFormat="0" applyFont="0" applyAlignment="0" applyProtection="0"/>
    <xf numFmtId="0" fontId="78" fillId="20" borderId="366" applyNumberFormat="0" applyAlignment="0" applyProtection="0"/>
    <xf numFmtId="0" fontId="16" fillId="23" borderId="365" applyNumberFormat="0" applyFont="0" applyAlignment="0" applyProtection="0"/>
    <xf numFmtId="0" fontId="75" fillId="7" borderId="364" applyNumberFormat="0" applyAlignment="0" applyProtection="0"/>
    <xf numFmtId="0" fontId="75" fillId="7" borderId="364" applyNumberFormat="0" applyAlignment="0" applyProtection="0"/>
    <xf numFmtId="0" fontId="16" fillId="23" borderId="365" applyNumberFormat="0" applyFont="0" applyAlignment="0" applyProtection="0"/>
    <xf numFmtId="0" fontId="80" fillId="0" borderId="367" applyNumberFormat="0" applyFill="0" applyAlignment="0" applyProtection="0"/>
    <xf numFmtId="0" fontId="16" fillId="23" borderId="365" applyNumberFormat="0" applyFont="0" applyAlignment="0" applyProtection="0"/>
    <xf numFmtId="0" fontId="78" fillId="20" borderId="366" applyNumberFormat="0" applyAlignment="0" applyProtection="0"/>
    <xf numFmtId="0" fontId="78" fillId="20" borderId="366" applyNumberFormat="0" applyAlignment="0" applyProtection="0"/>
    <xf numFmtId="0" fontId="68" fillId="20" borderId="364" applyNumberFormat="0" applyAlignment="0" applyProtection="0"/>
    <xf numFmtId="0" fontId="80" fillId="0" borderId="367" applyNumberFormat="0" applyFill="0" applyAlignment="0" applyProtection="0"/>
    <xf numFmtId="0" fontId="16" fillId="23" borderId="365" applyNumberFormat="0" applyFont="0" applyAlignment="0" applyProtection="0"/>
    <xf numFmtId="0" fontId="16" fillId="23" borderId="365" applyNumberFormat="0" applyFont="0" applyAlignment="0" applyProtection="0"/>
    <xf numFmtId="0" fontId="80" fillId="0" borderId="367" applyNumberFormat="0" applyFill="0" applyAlignment="0" applyProtection="0"/>
    <xf numFmtId="0" fontId="80" fillId="0" borderId="367" applyNumberFormat="0" applyFill="0" applyAlignment="0" applyProtection="0"/>
    <xf numFmtId="0" fontId="68" fillId="20" borderId="364" applyNumberFormat="0" applyAlignment="0" applyProtection="0"/>
    <xf numFmtId="0" fontId="68" fillId="20" borderId="364" applyNumberFormat="0" applyAlignment="0" applyProtection="0"/>
    <xf numFmtId="0" fontId="78" fillId="20" borderId="366" applyNumberFormat="0" applyAlignment="0" applyProtection="0"/>
    <xf numFmtId="0" fontId="75" fillId="7" borderId="364" applyNumberFormat="0" applyAlignment="0" applyProtection="0"/>
    <xf numFmtId="0" fontId="78" fillId="20" borderId="366" applyNumberFormat="0" applyAlignment="0" applyProtection="0"/>
    <xf numFmtId="0" fontId="75" fillId="7" borderId="364" applyNumberFormat="0" applyAlignment="0" applyProtection="0"/>
    <xf numFmtId="0" fontId="68" fillId="20" borderId="364" applyNumberFormat="0" applyAlignment="0" applyProtection="0"/>
    <xf numFmtId="0" fontId="68" fillId="20" borderId="364" applyNumberFormat="0" applyAlignment="0" applyProtection="0"/>
    <xf numFmtId="0" fontId="68" fillId="20" borderId="364" applyNumberFormat="0" applyAlignment="0" applyProtection="0"/>
    <xf numFmtId="0" fontId="68" fillId="20" borderId="364" applyNumberFormat="0" applyAlignment="0" applyProtection="0"/>
    <xf numFmtId="0" fontId="78" fillId="20" borderId="366" applyNumberFormat="0" applyAlignment="0" applyProtection="0"/>
    <xf numFmtId="0" fontId="68" fillId="20" borderId="364" applyNumberFormat="0" applyAlignment="0" applyProtection="0"/>
    <xf numFmtId="0" fontId="16" fillId="23" borderId="365" applyNumberFormat="0" applyFont="0" applyAlignment="0" applyProtection="0"/>
    <xf numFmtId="0" fontId="78" fillId="20" borderId="366" applyNumberFormat="0" applyAlignment="0" applyProtection="0"/>
    <xf numFmtId="0" fontId="75" fillId="7" borderId="364" applyNumberFormat="0" applyAlignment="0" applyProtection="0"/>
    <xf numFmtId="0" fontId="75" fillId="7" borderId="364" applyNumberFormat="0" applyAlignment="0" applyProtection="0"/>
    <xf numFmtId="0" fontId="75" fillId="7" borderId="364" applyNumberFormat="0" applyAlignment="0" applyProtection="0"/>
    <xf numFmtId="0" fontId="16" fillId="23" borderId="365" applyNumberFormat="0" applyFont="0" applyAlignment="0" applyProtection="0"/>
    <xf numFmtId="0" fontId="78" fillId="20" borderId="366" applyNumberFormat="0" applyAlignment="0" applyProtection="0"/>
    <xf numFmtId="0" fontId="80" fillId="0" borderId="367" applyNumberFormat="0" applyFill="0" applyAlignment="0" applyProtection="0"/>
    <xf numFmtId="0" fontId="16" fillId="23" borderId="365" applyNumberFormat="0" applyFont="0" applyAlignment="0" applyProtection="0"/>
    <xf numFmtId="0" fontId="68" fillId="20" borderId="364" applyNumberFormat="0" applyAlignment="0" applyProtection="0"/>
    <xf numFmtId="0" fontId="75" fillId="7" borderId="364" applyNumberFormat="0" applyAlignment="0" applyProtection="0"/>
    <xf numFmtId="0" fontId="80" fillId="0" borderId="367" applyNumberFormat="0" applyFill="0" applyAlignment="0" applyProtection="0"/>
    <xf numFmtId="0" fontId="68" fillId="20" borderId="364" applyNumberFormat="0" applyAlignment="0" applyProtection="0"/>
    <xf numFmtId="0" fontId="68" fillId="20" borderId="364" applyNumberFormat="0" applyAlignment="0" applyProtection="0"/>
    <xf numFmtId="0" fontId="80" fillId="0" borderId="367" applyNumberFormat="0" applyFill="0" applyAlignment="0" applyProtection="0"/>
    <xf numFmtId="0" fontId="78" fillId="20" borderId="366" applyNumberFormat="0" applyAlignment="0" applyProtection="0"/>
    <xf numFmtId="0" fontId="16" fillId="23" borderId="365" applyNumberFormat="0" applyFont="0" applyAlignment="0" applyProtection="0"/>
    <xf numFmtId="0" fontId="80" fillId="0" borderId="367" applyNumberFormat="0" applyFill="0" applyAlignment="0" applyProtection="0"/>
    <xf numFmtId="0" fontId="80" fillId="0" borderId="374" applyNumberFormat="0" applyFill="0" applyAlignment="0" applyProtection="0"/>
    <xf numFmtId="0" fontId="78" fillId="20" borderId="373" applyNumberFormat="0" applyAlignment="0" applyProtection="0"/>
    <xf numFmtId="0" fontId="16" fillId="23" borderId="372" applyNumberFormat="0" applyFont="0" applyAlignment="0" applyProtection="0"/>
    <xf numFmtId="0" fontId="75" fillId="7" borderId="371" applyNumberFormat="0" applyAlignment="0" applyProtection="0"/>
    <xf numFmtId="0" fontId="68" fillId="20" borderId="371" applyNumberFormat="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16" fillId="0" borderId="0"/>
    <xf numFmtId="0" fontId="65" fillId="2" borderId="0" applyNumberFormat="0" applyBorder="0" applyAlignment="0" applyProtection="0"/>
    <xf numFmtId="0" fontId="65" fillId="3" borderId="0" applyNumberFormat="0" applyBorder="0" applyAlignment="0" applyProtection="0"/>
    <xf numFmtId="0" fontId="65" fillId="4" borderId="0" applyNumberFormat="0" applyBorder="0" applyAlignment="0" applyProtection="0"/>
    <xf numFmtId="0" fontId="65" fillId="5" borderId="0" applyNumberFormat="0" applyBorder="0" applyAlignment="0" applyProtection="0"/>
    <xf numFmtId="0" fontId="65" fillId="6" borderId="0" applyNumberFormat="0" applyBorder="0" applyAlignment="0" applyProtection="0"/>
    <xf numFmtId="0" fontId="65" fillId="7" borderId="0" applyNumberFormat="0" applyBorder="0" applyAlignment="0" applyProtection="0"/>
    <xf numFmtId="0" fontId="65" fillId="8"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5" borderId="0" applyNumberFormat="0" applyBorder="0" applyAlignment="0" applyProtection="0"/>
    <xf numFmtId="0" fontId="65" fillId="8" borderId="0" applyNumberFormat="0" applyBorder="0" applyAlignment="0" applyProtection="0"/>
    <xf numFmtId="0" fontId="65" fillId="11" borderId="0" applyNumberFormat="0" applyBorder="0" applyAlignment="0" applyProtection="0"/>
    <xf numFmtId="0" fontId="66" fillId="12" borderId="0" applyNumberFormat="0" applyBorder="0" applyAlignment="0" applyProtection="0"/>
    <xf numFmtId="0" fontId="66" fillId="9" borderId="0" applyNumberFormat="0" applyBorder="0" applyAlignment="0" applyProtection="0"/>
    <xf numFmtId="0" fontId="66" fillId="10"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15"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19" borderId="0" applyNumberFormat="0" applyBorder="0" applyAlignment="0" applyProtection="0"/>
    <xf numFmtId="0" fontId="67" fillId="3" borderId="0" applyNumberFormat="0" applyBorder="0" applyAlignment="0" applyProtection="0"/>
    <xf numFmtId="0" fontId="68" fillId="20" borderId="375" applyNumberFormat="0" applyAlignment="0" applyProtection="0"/>
    <xf numFmtId="0" fontId="69" fillId="21" borderId="2" applyNumberFormat="0" applyAlignment="0" applyProtection="0"/>
    <xf numFmtId="43" fontId="16" fillId="0" borderId="0" applyFont="0" applyFill="0" applyBorder="0" applyAlignment="0" applyProtection="0"/>
    <xf numFmtId="44" fontId="16" fillId="0" borderId="0" applyFont="0" applyFill="0" applyBorder="0" applyAlignment="0" applyProtection="0"/>
    <xf numFmtId="0" fontId="70" fillId="0" borderId="0" applyNumberFormat="0" applyFill="0" applyBorder="0" applyAlignment="0" applyProtection="0"/>
    <xf numFmtId="0" fontId="71" fillId="4" borderId="0" applyNumberFormat="0" applyBorder="0" applyAlignment="0" applyProtection="0"/>
    <xf numFmtId="0" fontId="72" fillId="0" borderId="3" applyNumberFormat="0" applyFill="0" applyAlignment="0" applyProtection="0"/>
    <xf numFmtId="0" fontId="73" fillId="0" borderId="4" applyNumberFormat="0" applyFill="0" applyAlignment="0" applyProtection="0"/>
    <xf numFmtId="0" fontId="74" fillId="0" borderId="5" applyNumberFormat="0" applyFill="0" applyAlignment="0" applyProtection="0"/>
    <xf numFmtId="0" fontId="74" fillId="0" borderId="0" applyNumberFormat="0" applyFill="0" applyBorder="0" applyAlignment="0" applyProtection="0"/>
    <xf numFmtId="0" fontId="75" fillId="7" borderId="375" applyNumberFormat="0" applyAlignment="0" applyProtection="0"/>
    <xf numFmtId="0" fontId="76" fillId="0" borderId="6" applyNumberFormat="0" applyFill="0" applyAlignment="0" applyProtection="0"/>
    <xf numFmtId="0" fontId="77" fillId="22" borderId="0" applyNumberFormat="0" applyBorder="0" applyAlignment="0" applyProtection="0"/>
    <xf numFmtId="0" fontId="16" fillId="23" borderId="376" applyNumberFormat="0" applyFont="0" applyAlignment="0" applyProtection="0"/>
    <xf numFmtId="0" fontId="78" fillId="20" borderId="366" applyNumberFormat="0" applyAlignment="0" applyProtection="0"/>
    <xf numFmtId="9" fontId="16" fillId="0" borderId="0" applyFont="0" applyFill="0" applyBorder="0" applyAlignment="0" applyProtection="0"/>
    <xf numFmtId="0" fontId="79" fillId="0" borderId="0" applyNumberFormat="0" applyFill="0" applyBorder="0" applyAlignment="0" applyProtection="0"/>
    <xf numFmtId="0" fontId="80" fillId="0" borderId="377" applyNumberFormat="0" applyFill="0" applyAlignment="0" applyProtection="0"/>
    <xf numFmtId="0" fontId="81" fillId="0" borderId="0" applyNumberFormat="0" applyFill="0" applyBorder="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68" fillId="20"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68" fillId="20"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80" fillId="0" borderId="377" applyNumberFormat="0" applyFill="0" applyAlignment="0" applyProtection="0"/>
    <xf numFmtId="0" fontId="75" fillId="7"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16" fillId="23" borderId="376" applyNumberFormat="0" applyFont="0" applyAlignment="0" applyProtection="0"/>
    <xf numFmtId="0" fontId="75" fillId="7" borderId="375" applyNumberFormat="0" applyAlignment="0" applyProtection="0"/>
    <xf numFmtId="0" fontId="68" fillId="20"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68" fillId="20"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75" fillId="7" borderId="375" applyNumberFormat="0" applyAlignment="0" applyProtection="0"/>
    <xf numFmtId="0" fontId="68" fillId="20" borderId="375" applyNumberForma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80" fillId="0" borderId="377" applyNumberFormat="0" applyFill="0" applyAlignment="0" applyProtection="0"/>
    <xf numFmtId="0" fontId="16" fillId="23" borderId="376" applyNumberFormat="0" applyFont="0" applyAlignment="0" applyProtection="0"/>
    <xf numFmtId="0" fontId="80" fillId="0" borderId="377" applyNumberFormat="0" applyFill="0" applyAlignment="0" applyProtection="0"/>
    <xf numFmtId="0" fontId="68" fillId="20" borderId="375" applyNumberFormat="0" applyAlignment="0" applyProtection="0"/>
    <xf numFmtId="0" fontId="16" fillId="23" borderId="376" applyNumberFormat="0" applyFont="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80" fillId="0" borderId="377" applyNumberFormat="0" applyFill="0" applyAlignment="0" applyProtection="0"/>
    <xf numFmtId="0" fontId="75" fillId="7"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16" fillId="23" borderId="376" applyNumberFormat="0" applyFon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68" fillId="20" borderId="375" applyNumberFormat="0" applyAlignment="0" applyProtection="0"/>
    <xf numFmtId="0" fontId="16" fillId="23" borderId="376" applyNumberFormat="0" applyFont="0" applyAlignment="0" applyProtection="0"/>
    <xf numFmtId="0" fontId="68" fillId="20" borderId="375" applyNumberFormat="0" applyAlignment="0" applyProtection="0"/>
    <xf numFmtId="0" fontId="80" fillId="0" borderId="377" applyNumberFormat="0" applyFill="0" applyAlignment="0" applyProtection="0"/>
    <xf numFmtId="0" fontId="75" fillId="7" borderId="375" applyNumberFormat="0" applyAlignment="0" applyProtection="0"/>
    <xf numFmtId="0" fontId="80" fillId="0" borderId="377" applyNumberFormat="0" applyFill="0" applyAlignment="0" applyProtection="0"/>
    <xf numFmtId="0" fontId="75" fillId="7" borderId="375" applyNumberFormat="0" applyAlignment="0" applyProtection="0"/>
    <xf numFmtId="0" fontId="16" fillId="23" borderId="376" applyNumberFormat="0" applyFon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16" fillId="23" borderId="376" applyNumberFormat="0" applyFont="0" applyAlignment="0" applyProtection="0"/>
    <xf numFmtId="0" fontId="80" fillId="0" borderId="377" applyNumberFormat="0" applyFill="0" applyAlignment="0" applyProtection="0"/>
    <xf numFmtId="0" fontId="75" fillId="7" borderId="375" applyNumberFormat="0" applyAlignment="0" applyProtection="0"/>
    <xf numFmtId="0" fontId="68" fillId="20" borderId="375" applyNumberFormat="0" applyAlignment="0" applyProtection="0"/>
    <xf numFmtId="0" fontId="80" fillId="0" borderId="377" applyNumberFormat="0" applyFill="0" applyAlignment="0" applyProtection="0"/>
    <xf numFmtId="0" fontId="75" fillId="7" borderId="375" applyNumberFormat="0" applyAlignment="0" applyProtection="0"/>
    <xf numFmtId="0" fontId="75" fillId="7" borderId="375" applyNumberFormat="0" applyAlignment="0" applyProtection="0"/>
    <xf numFmtId="0" fontId="68" fillId="20"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16" fillId="23" borderId="376" applyNumberFormat="0" applyFont="0" applyAlignment="0" applyProtection="0"/>
    <xf numFmtId="0" fontId="16" fillId="23" borderId="376" applyNumberFormat="0" applyFon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16" fillId="23" borderId="376" applyNumberFormat="0" applyFont="0" applyAlignment="0" applyProtection="0"/>
    <xf numFmtId="0" fontId="68" fillId="20" borderId="375"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68" fillId="20" borderId="375" applyNumberFormat="0" applyAlignment="0" applyProtection="0"/>
    <xf numFmtId="9" fontId="7" fillId="0" borderId="0" applyFont="0" applyFill="0" applyBorder="0" applyAlignment="0" applyProtection="0"/>
    <xf numFmtId="0" fontId="7" fillId="0" borderId="0"/>
    <xf numFmtId="0" fontId="68" fillId="20" borderId="375" applyNumberFormat="0" applyAlignment="0" applyProtection="0"/>
    <xf numFmtId="0" fontId="68" fillId="20" borderId="375" applyNumberFormat="0" applyAlignment="0" applyProtection="0"/>
    <xf numFmtId="43" fontId="7" fillId="0" borderId="0" applyFont="0" applyFill="0" applyBorder="0" applyAlignment="0" applyProtection="0"/>
    <xf numFmtId="0" fontId="7" fillId="0" borderId="0"/>
    <xf numFmtId="0" fontId="7" fillId="0" borderId="0"/>
    <xf numFmtId="0" fontId="7" fillId="0" borderId="0"/>
    <xf numFmtId="0" fontId="68" fillId="20" borderId="375" applyNumberFormat="0" applyAlignment="0" applyProtection="0"/>
    <xf numFmtId="0" fontId="68" fillId="20" borderId="375" applyNumberFormat="0" applyAlignment="0" applyProtection="0"/>
    <xf numFmtId="0" fontId="16" fillId="23" borderId="376" applyNumberFormat="0" applyFon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16" fillId="23" borderId="376" applyNumberFormat="0" applyFont="0" applyAlignment="0" applyProtection="0"/>
    <xf numFmtId="0" fontId="68" fillId="20"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80" fillId="0" borderId="377" applyNumberFormat="0" applyFill="0" applyAlignment="0" applyProtection="0"/>
    <xf numFmtId="0" fontId="7" fillId="0" borderId="0"/>
    <xf numFmtId="0" fontId="68" fillId="20"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68" fillId="20"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68" fillId="20"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80" fillId="0" borderId="377" applyNumberFormat="0" applyFill="0" applyAlignment="0" applyProtection="0"/>
    <xf numFmtId="0" fontId="75" fillId="7"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16" fillId="23" borderId="376" applyNumberFormat="0" applyFont="0" applyAlignment="0" applyProtection="0"/>
    <xf numFmtId="0" fontId="75" fillId="7" borderId="375" applyNumberFormat="0" applyAlignment="0" applyProtection="0"/>
    <xf numFmtId="0" fontId="68" fillId="20"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68" fillId="20"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75" fillId="7" borderId="375" applyNumberFormat="0" applyAlignment="0" applyProtection="0"/>
    <xf numFmtId="0" fontId="68" fillId="20" borderId="375" applyNumberForma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80" fillId="0" borderId="377" applyNumberFormat="0" applyFill="0" applyAlignment="0" applyProtection="0"/>
    <xf numFmtId="0" fontId="16" fillId="23" borderId="376" applyNumberFormat="0" applyFont="0" applyAlignment="0" applyProtection="0"/>
    <xf numFmtId="0" fontId="80" fillId="0" borderId="377" applyNumberFormat="0" applyFill="0" applyAlignment="0" applyProtection="0"/>
    <xf numFmtId="0" fontId="68" fillId="20" borderId="375" applyNumberFormat="0" applyAlignment="0" applyProtection="0"/>
    <xf numFmtId="0" fontId="16" fillId="23" borderId="376" applyNumberFormat="0" applyFont="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80" fillId="0" borderId="377" applyNumberFormat="0" applyFill="0" applyAlignment="0" applyProtection="0"/>
    <xf numFmtId="0" fontId="75" fillId="7"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16" fillId="23" borderId="376" applyNumberFormat="0" applyFon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68" fillId="20" borderId="375" applyNumberFormat="0" applyAlignment="0" applyProtection="0"/>
    <xf numFmtId="0" fontId="16" fillId="23" borderId="376" applyNumberFormat="0" applyFont="0" applyAlignment="0" applyProtection="0"/>
    <xf numFmtId="0" fontId="68" fillId="20" borderId="375" applyNumberFormat="0" applyAlignment="0" applyProtection="0"/>
    <xf numFmtId="0" fontId="80" fillId="0" borderId="377" applyNumberFormat="0" applyFill="0" applyAlignment="0" applyProtection="0"/>
    <xf numFmtId="0" fontId="75" fillId="7" borderId="375" applyNumberFormat="0" applyAlignment="0" applyProtection="0"/>
    <xf numFmtId="0" fontId="80" fillId="0" borderId="377" applyNumberFormat="0" applyFill="0" applyAlignment="0" applyProtection="0"/>
    <xf numFmtId="0" fontId="75" fillId="7" borderId="375" applyNumberFormat="0" applyAlignment="0" applyProtection="0"/>
    <xf numFmtId="0" fontId="16" fillId="23" borderId="376" applyNumberFormat="0" applyFon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80" fillId="0" borderId="377" applyNumberFormat="0" applyFill="0" applyAlignment="0" applyProtection="0"/>
    <xf numFmtId="0" fontId="75" fillId="7" borderId="375" applyNumberFormat="0" applyAlignment="0" applyProtection="0"/>
    <xf numFmtId="0" fontId="68" fillId="20" borderId="375" applyNumberFormat="0" applyAlignment="0" applyProtection="0"/>
    <xf numFmtId="0" fontId="80" fillId="0" borderId="377" applyNumberFormat="0" applyFill="0" applyAlignment="0" applyProtection="0"/>
    <xf numFmtId="0" fontId="75" fillId="7" borderId="375" applyNumberFormat="0" applyAlignment="0" applyProtection="0"/>
    <xf numFmtId="0" fontId="68" fillId="20"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16" fillId="23" borderId="376" applyNumberFormat="0" applyFont="0" applyAlignment="0" applyProtection="0"/>
    <xf numFmtId="0" fontId="16" fillId="23" borderId="376" applyNumberFormat="0" applyFont="0" applyAlignment="0" applyProtection="0"/>
    <xf numFmtId="0" fontId="75" fillId="7"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68" fillId="20" borderId="375"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68" fillId="20" borderId="375" applyNumberFormat="0" applyAlignment="0" applyProtection="0"/>
    <xf numFmtId="9" fontId="7" fillId="0" borderId="0" applyFont="0" applyFill="0" applyBorder="0" applyAlignment="0" applyProtection="0"/>
    <xf numFmtId="0" fontId="7" fillId="0" borderId="0"/>
    <xf numFmtId="0" fontId="68" fillId="20" borderId="375" applyNumberFormat="0" applyAlignment="0" applyProtection="0"/>
    <xf numFmtId="0" fontId="68" fillId="20" borderId="375" applyNumberFormat="0" applyAlignment="0" applyProtection="0"/>
    <xf numFmtId="43" fontId="7" fillId="0" borderId="0" applyFont="0" applyFill="0" applyBorder="0" applyAlignment="0" applyProtection="0"/>
    <xf numFmtId="0" fontId="7" fillId="0" borderId="0"/>
    <xf numFmtId="0" fontId="7" fillId="0" borderId="0"/>
    <xf numFmtId="0" fontId="7" fillId="0" borderId="0"/>
    <xf numFmtId="0" fontId="68" fillId="20" borderId="375" applyNumberFormat="0" applyAlignment="0" applyProtection="0"/>
    <xf numFmtId="0" fontId="16" fillId="23" borderId="376" applyNumberFormat="0" applyFon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16" fillId="23" borderId="376" applyNumberFormat="0" applyFont="0" applyAlignment="0" applyProtection="0"/>
    <xf numFmtId="0" fontId="68" fillId="20"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80" fillId="0" borderId="377" applyNumberFormat="0" applyFill="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68" fillId="20"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68" fillId="20"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80" fillId="0" borderId="377" applyNumberFormat="0" applyFill="0" applyAlignment="0" applyProtection="0"/>
    <xf numFmtId="0" fontId="75" fillId="7"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16" fillId="23" borderId="376" applyNumberFormat="0" applyFont="0" applyAlignment="0" applyProtection="0"/>
    <xf numFmtId="0" fontId="75" fillId="7" borderId="375" applyNumberFormat="0" applyAlignment="0" applyProtection="0"/>
    <xf numFmtId="0" fontId="68" fillId="20"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68" fillId="20"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75" fillId="7" borderId="375" applyNumberFormat="0" applyAlignment="0" applyProtection="0"/>
    <xf numFmtId="0" fontId="68" fillId="20" borderId="375" applyNumberForma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80" fillId="0" borderId="377" applyNumberFormat="0" applyFill="0" applyAlignment="0" applyProtection="0"/>
    <xf numFmtId="0" fontId="16" fillId="23" borderId="376" applyNumberFormat="0" applyFont="0" applyAlignment="0" applyProtection="0"/>
    <xf numFmtId="0" fontId="80" fillId="0" borderId="377" applyNumberFormat="0" applyFill="0" applyAlignment="0" applyProtection="0"/>
    <xf numFmtId="0" fontId="68" fillId="20" borderId="375" applyNumberFormat="0" applyAlignment="0" applyProtection="0"/>
    <xf numFmtId="0" fontId="16" fillId="23" borderId="376" applyNumberFormat="0" applyFont="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80" fillId="0" borderId="377" applyNumberFormat="0" applyFill="0" applyAlignment="0" applyProtection="0"/>
    <xf numFmtId="0" fontId="75" fillId="7"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16" fillId="23" borderId="376" applyNumberFormat="0" applyFon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68" fillId="20" borderId="375" applyNumberFormat="0" applyAlignment="0" applyProtection="0"/>
    <xf numFmtId="0" fontId="16" fillId="23" borderId="376" applyNumberFormat="0" applyFont="0" applyAlignment="0" applyProtection="0"/>
    <xf numFmtId="0" fontId="68" fillId="20" borderId="375" applyNumberFormat="0" applyAlignment="0" applyProtection="0"/>
    <xf numFmtId="0" fontId="80" fillId="0" borderId="377" applyNumberFormat="0" applyFill="0" applyAlignment="0" applyProtection="0"/>
    <xf numFmtId="0" fontId="75" fillId="7" borderId="375" applyNumberFormat="0" applyAlignment="0" applyProtection="0"/>
    <xf numFmtId="0" fontId="80" fillId="0" borderId="377" applyNumberFormat="0" applyFill="0" applyAlignment="0" applyProtection="0"/>
    <xf numFmtId="0" fontId="75" fillId="7" borderId="375" applyNumberFormat="0" applyAlignment="0" applyProtection="0"/>
    <xf numFmtId="0" fontId="16" fillId="23" borderId="376" applyNumberFormat="0" applyFon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16" fillId="23" borderId="376" applyNumberFormat="0" applyFont="0" applyAlignment="0" applyProtection="0"/>
    <xf numFmtId="0" fontId="80" fillId="0" borderId="377" applyNumberFormat="0" applyFill="0" applyAlignment="0" applyProtection="0"/>
    <xf numFmtId="0" fontId="75" fillId="7" borderId="375" applyNumberFormat="0" applyAlignment="0" applyProtection="0"/>
    <xf numFmtId="0" fontId="68" fillId="20" borderId="375" applyNumberFormat="0" applyAlignment="0" applyProtection="0"/>
    <xf numFmtId="0" fontId="80" fillId="0" borderId="377" applyNumberFormat="0" applyFill="0" applyAlignment="0" applyProtection="0"/>
    <xf numFmtId="0" fontId="75" fillId="7" borderId="375" applyNumberFormat="0" applyAlignment="0" applyProtection="0"/>
    <xf numFmtId="0" fontId="75" fillId="7" borderId="375" applyNumberFormat="0" applyAlignment="0" applyProtection="0"/>
    <xf numFmtId="0" fontId="68" fillId="20"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16" fillId="23" borderId="376" applyNumberFormat="0" applyFont="0" applyAlignment="0" applyProtection="0"/>
    <xf numFmtId="0" fontId="16" fillId="23" borderId="376" applyNumberFormat="0" applyFon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16" fillId="23" borderId="376" applyNumberFormat="0" applyFont="0" applyAlignment="0" applyProtection="0"/>
    <xf numFmtId="0" fontId="68" fillId="20" borderId="375"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16" fillId="23" borderId="376" applyNumberFormat="0" applyFon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16" fillId="23" borderId="376" applyNumberFormat="0" applyFont="0" applyAlignment="0" applyProtection="0"/>
    <xf numFmtId="0" fontId="68" fillId="20"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78" fillId="20" borderId="366" applyNumberFormat="0" applyAlignment="0" applyProtection="0"/>
    <xf numFmtId="0" fontId="16" fillId="23" borderId="376" applyNumberFormat="0" applyFont="0" applyAlignment="0" applyProtection="0"/>
    <xf numFmtId="0" fontId="75" fillId="7" borderId="375" applyNumberFormat="0" applyAlignment="0" applyProtection="0"/>
    <xf numFmtId="0" fontId="68" fillId="20"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68" fillId="20"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78" fillId="20" borderId="366" applyNumberFormat="0" applyAlignment="0" applyProtection="0"/>
    <xf numFmtId="0" fontId="78" fillId="20" borderId="366" applyNumberFormat="0" applyAlignment="0" applyProtection="0"/>
    <xf numFmtId="0" fontId="68" fillId="20"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66" applyNumberFormat="0" applyAlignment="0" applyProtection="0"/>
    <xf numFmtId="0" fontId="16" fillId="23" borderId="376" applyNumberFormat="0" applyFont="0" applyAlignment="0" applyProtection="0"/>
    <xf numFmtId="0" fontId="78" fillId="20" borderId="366" applyNumberFormat="0" applyAlignment="0" applyProtection="0"/>
    <xf numFmtId="0" fontId="68" fillId="20"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80" fillId="0" borderId="377" applyNumberFormat="0" applyFill="0" applyAlignment="0" applyProtection="0"/>
    <xf numFmtId="0" fontId="78" fillId="20" borderId="366"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66"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75" fillId="7" borderId="375" applyNumberFormat="0" applyAlignment="0" applyProtection="0"/>
    <xf numFmtId="0" fontId="68" fillId="20" borderId="375" applyNumberFormat="0" applyAlignment="0" applyProtection="0"/>
    <xf numFmtId="0" fontId="78" fillId="20" borderId="366"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66" applyNumberFormat="0" applyAlignment="0" applyProtection="0"/>
    <xf numFmtId="0" fontId="80" fillId="0" borderId="377" applyNumberFormat="0" applyFill="0" applyAlignment="0" applyProtection="0"/>
    <xf numFmtId="0" fontId="80" fillId="0" borderId="377" applyNumberFormat="0" applyFill="0" applyAlignment="0" applyProtection="0"/>
    <xf numFmtId="0" fontId="78" fillId="20" borderId="366" applyNumberFormat="0" applyAlignment="0" applyProtection="0"/>
    <xf numFmtId="0" fontId="68" fillId="20"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75" fillId="7" borderId="375" applyNumberFormat="0" applyAlignment="0" applyProtection="0"/>
    <xf numFmtId="0" fontId="78" fillId="20" borderId="366" applyNumberFormat="0" applyAlignment="0" applyProtection="0"/>
    <xf numFmtId="0" fontId="68" fillId="20" borderId="375" applyNumberForma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80" fillId="0" borderId="377" applyNumberFormat="0" applyFill="0" applyAlignment="0" applyProtection="0"/>
    <xf numFmtId="0" fontId="16" fillId="23" borderId="376" applyNumberFormat="0" applyFont="0" applyAlignment="0" applyProtection="0"/>
    <xf numFmtId="0" fontId="80" fillId="0" borderId="377" applyNumberFormat="0" applyFill="0" applyAlignment="0" applyProtection="0"/>
    <xf numFmtId="0" fontId="68" fillId="20" borderId="375" applyNumberFormat="0" applyAlignment="0" applyProtection="0"/>
    <xf numFmtId="0" fontId="16" fillId="23" borderId="376" applyNumberFormat="0" applyFont="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78" fillId="20" borderId="366" applyNumberFormat="0" applyAlignment="0" applyProtection="0"/>
    <xf numFmtId="0" fontId="80" fillId="0" borderId="377" applyNumberFormat="0" applyFill="0" applyAlignment="0" applyProtection="0"/>
    <xf numFmtId="0" fontId="75" fillId="7"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78" fillId="20" borderId="366" applyNumberFormat="0" applyAlignment="0" applyProtection="0"/>
    <xf numFmtId="0" fontId="16" fillId="23" borderId="376" applyNumberFormat="0" applyFon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66" applyNumberFormat="0" applyAlignment="0" applyProtection="0"/>
    <xf numFmtId="0" fontId="80" fillId="0" borderId="377" applyNumberFormat="0" applyFill="0" applyAlignment="0" applyProtection="0"/>
    <xf numFmtId="0" fontId="78" fillId="20" borderId="366" applyNumberFormat="0" applyAlignment="0" applyProtection="0"/>
    <xf numFmtId="0" fontId="68" fillId="20" borderId="375" applyNumberFormat="0" applyAlignment="0" applyProtection="0"/>
    <xf numFmtId="0" fontId="16" fillId="23" borderId="376" applyNumberFormat="0" applyFont="0" applyAlignment="0" applyProtection="0"/>
    <xf numFmtId="0" fontId="68" fillId="20" borderId="375" applyNumberFormat="0" applyAlignment="0" applyProtection="0"/>
    <xf numFmtId="0" fontId="80" fillId="0" borderId="377" applyNumberFormat="0" applyFill="0" applyAlignment="0" applyProtection="0"/>
    <xf numFmtId="0" fontId="78" fillId="20" borderId="366" applyNumberFormat="0" applyAlignment="0" applyProtection="0"/>
    <xf numFmtId="0" fontId="75" fillId="7" borderId="375" applyNumberFormat="0" applyAlignment="0" applyProtection="0"/>
    <xf numFmtId="0" fontId="80" fillId="0" borderId="377" applyNumberFormat="0" applyFill="0" applyAlignment="0" applyProtection="0"/>
    <xf numFmtId="0" fontId="75" fillId="7" borderId="375" applyNumberFormat="0" applyAlignment="0" applyProtection="0"/>
    <xf numFmtId="0" fontId="16" fillId="23" borderId="376" applyNumberFormat="0" applyFont="0" applyAlignment="0" applyProtection="0"/>
    <xf numFmtId="0" fontId="78" fillId="20" borderId="366" applyNumberFormat="0" applyAlignment="0" applyProtection="0"/>
    <xf numFmtId="0" fontId="68" fillId="20" borderId="375" applyNumberFormat="0" applyAlignment="0" applyProtection="0"/>
    <xf numFmtId="0" fontId="75" fillId="7" borderId="375" applyNumberFormat="0" applyAlignment="0" applyProtection="0"/>
    <xf numFmtId="0" fontId="78" fillId="20" borderId="366" applyNumberFormat="0" applyAlignment="0" applyProtection="0"/>
    <xf numFmtId="0" fontId="75" fillId="7" borderId="375" applyNumberForma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78" fillId="20" borderId="366" applyNumberFormat="0" applyAlignment="0" applyProtection="0"/>
    <xf numFmtId="0" fontId="80" fillId="0" borderId="377" applyNumberFormat="0" applyFill="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16" fillId="23" borderId="376" applyNumberFormat="0" applyFont="0" applyAlignment="0" applyProtection="0"/>
    <xf numFmtId="0" fontId="78" fillId="20" borderId="366" applyNumberFormat="0" applyAlignment="0" applyProtection="0"/>
    <xf numFmtId="0" fontId="80" fillId="0" borderId="377" applyNumberFormat="0" applyFill="0" applyAlignment="0" applyProtection="0"/>
    <xf numFmtId="0" fontId="75" fillId="7" borderId="375" applyNumberFormat="0" applyAlignment="0" applyProtection="0"/>
    <xf numFmtId="0" fontId="78" fillId="20" borderId="366" applyNumberFormat="0" applyAlignment="0" applyProtection="0"/>
    <xf numFmtId="0" fontId="75" fillId="7"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16" fillId="23" borderId="376" applyNumberFormat="0" applyFont="0" applyAlignment="0" applyProtection="0"/>
    <xf numFmtId="0" fontId="80" fillId="0" borderId="377" applyNumberFormat="0" applyFill="0" applyAlignment="0" applyProtection="0"/>
    <xf numFmtId="0" fontId="75" fillId="7" borderId="375" applyNumberFormat="0" applyAlignment="0" applyProtection="0"/>
    <xf numFmtId="0" fontId="78" fillId="20" borderId="366" applyNumberFormat="0" applyAlignment="0" applyProtection="0"/>
    <xf numFmtId="0" fontId="68" fillId="20" borderId="375" applyNumberFormat="0" applyAlignment="0" applyProtection="0"/>
    <xf numFmtId="0" fontId="80" fillId="0" borderId="377" applyNumberFormat="0" applyFill="0" applyAlignment="0" applyProtection="0"/>
    <xf numFmtId="0" fontId="75" fillId="7" borderId="375" applyNumberFormat="0" applyAlignment="0" applyProtection="0"/>
    <xf numFmtId="0" fontId="75" fillId="7" borderId="375" applyNumberFormat="0" applyAlignment="0" applyProtection="0"/>
    <xf numFmtId="0" fontId="68" fillId="20" borderId="375" applyNumberFormat="0" applyAlignment="0" applyProtection="0"/>
    <xf numFmtId="0" fontId="78" fillId="20" borderId="366"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16" fillId="23" borderId="376" applyNumberFormat="0" applyFont="0" applyAlignment="0" applyProtection="0"/>
    <xf numFmtId="0" fontId="78" fillId="20" borderId="366" applyNumberFormat="0" applyAlignment="0" applyProtection="0"/>
    <xf numFmtId="0" fontId="16" fillId="23" borderId="376" applyNumberFormat="0" applyFon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16" fillId="23" borderId="376" applyNumberFormat="0" applyFont="0" applyAlignment="0" applyProtection="0"/>
    <xf numFmtId="0" fontId="78" fillId="20" borderId="366" applyNumberFormat="0" applyAlignment="0" applyProtection="0"/>
    <xf numFmtId="0" fontId="78" fillId="20" borderId="366" applyNumberFormat="0" applyAlignment="0" applyProtection="0"/>
    <xf numFmtId="0" fontId="68" fillId="20" borderId="375"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78" fillId="20" borderId="366" applyNumberFormat="0" applyAlignment="0" applyProtection="0"/>
    <xf numFmtId="0" fontId="75" fillId="7" borderId="375" applyNumberFormat="0" applyAlignment="0" applyProtection="0"/>
    <xf numFmtId="0" fontId="78" fillId="20" borderId="366" applyNumberFormat="0" applyAlignment="0" applyProtection="0"/>
    <xf numFmtId="0" fontId="75" fillId="7"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78" fillId="20" borderId="366" applyNumberFormat="0" applyAlignment="0" applyProtection="0"/>
    <xf numFmtId="0" fontId="68" fillId="20" borderId="375" applyNumberFormat="0" applyAlignment="0" applyProtection="0"/>
    <xf numFmtId="0" fontId="16" fillId="23" borderId="376" applyNumberFormat="0" applyFont="0" applyAlignment="0" applyProtection="0"/>
    <xf numFmtId="0" fontId="78" fillId="20" borderId="366"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66"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68" fillId="20"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80" fillId="0" borderId="377" applyNumberFormat="0" applyFill="0" applyAlignment="0" applyProtection="0"/>
    <xf numFmtId="0" fontId="78" fillId="20" borderId="366"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68" fillId="20"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66" applyNumberFormat="0" applyAlignment="0" applyProtection="0"/>
    <xf numFmtId="0" fontId="80" fillId="0" borderId="377" applyNumberFormat="0" applyFill="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68" fillId="20"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78" fillId="20" borderId="366" applyNumberFormat="0" applyAlignment="0" applyProtection="0"/>
    <xf numFmtId="0" fontId="78" fillId="20" borderId="366" applyNumberFormat="0" applyAlignment="0" applyProtection="0"/>
    <xf numFmtId="0" fontId="68" fillId="20"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66" applyNumberFormat="0" applyAlignment="0" applyProtection="0"/>
    <xf numFmtId="0" fontId="16" fillId="23" borderId="376" applyNumberFormat="0" applyFont="0" applyAlignment="0" applyProtection="0"/>
    <xf numFmtId="0" fontId="78" fillId="20" borderId="366" applyNumberFormat="0" applyAlignment="0" applyProtection="0"/>
    <xf numFmtId="0" fontId="68" fillId="20"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80" fillId="0" borderId="377" applyNumberFormat="0" applyFill="0" applyAlignment="0" applyProtection="0"/>
    <xf numFmtId="0" fontId="78" fillId="20" borderId="366"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66"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75" fillId="7" borderId="375" applyNumberFormat="0" applyAlignment="0" applyProtection="0"/>
    <xf numFmtId="0" fontId="68" fillId="20" borderId="375" applyNumberFormat="0" applyAlignment="0" applyProtection="0"/>
    <xf numFmtId="0" fontId="78" fillId="20" borderId="366"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66" applyNumberFormat="0" applyAlignment="0" applyProtection="0"/>
    <xf numFmtId="0" fontId="80" fillId="0" borderId="377" applyNumberFormat="0" applyFill="0" applyAlignment="0" applyProtection="0"/>
    <xf numFmtId="0" fontId="80" fillId="0" borderId="377" applyNumberFormat="0" applyFill="0" applyAlignment="0" applyProtection="0"/>
    <xf numFmtId="0" fontId="78" fillId="20" borderId="366" applyNumberFormat="0" applyAlignment="0" applyProtection="0"/>
    <xf numFmtId="0" fontId="68" fillId="20"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75" fillId="7" borderId="375" applyNumberFormat="0" applyAlignment="0" applyProtection="0"/>
    <xf numFmtId="0" fontId="78" fillId="20" borderId="366" applyNumberFormat="0" applyAlignment="0" applyProtection="0"/>
    <xf numFmtId="0" fontId="68" fillId="20" borderId="375" applyNumberForma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80" fillId="0" borderId="377" applyNumberFormat="0" applyFill="0" applyAlignment="0" applyProtection="0"/>
    <xf numFmtId="0" fontId="16" fillId="23" borderId="376" applyNumberFormat="0" applyFont="0" applyAlignment="0" applyProtection="0"/>
    <xf numFmtId="0" fontId="80" fillId="0" borderId="377" applyNumberFormat="0" applyFill="0" applyAlignment="0" applyProtection="0"/>
    <xf numFmtId="0" fontId="68" fillId="20" borderId="375" applyNumberFormat="0" applyAlignment="0" applyProtection="0"/>
    <xf numFmtId="0" fontId="16" fillId="23" borderId="376" applyNumberFormat="0" applyFont="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78" fillId="20" borderId="366" applyNumberFormat="0" applyAlignment="0" applyProtection="0"/>
    <xf numFmtId="0" fontId="80" fillId="0" borderId="377" applyNumberFormat="0" applyFill="0" applyAlignment="0" applyProtection="0"/>
    <xf numFmtId="0" fontId="75" fillId="7"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78" fillId="20" borderId="366" applyNumberFormat="0" applyAlignment="0" applyProtection="0"/>
    <xf numFmtId="0" fontId="16" fillId="23" borderId="376" applyNumberFormat="0" applyFon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66" applyNumberFormat="0" applyAlignment="0" applyProtection="0"/>
    <xf numFmtId="0" fontId="80" fillId="0" borderId="377" applyNumberFormat="0" applyFill="0" applyAlignment="0" applyProtection="0"/>
    <xf numFmtId="0" fontId="78" fillId="20" borderId="366" applyNumberFormat="0" applyAlignment="0" applyProtection="0"/>
    <xf numFmtId="0" fontId="68" fillId="20" borderId="375" applyNumberFormat="0" applyAlignment="0" applyProtection="0"/>
    <xf numFmtId="0" fontId="16" fillId="23" borderId="376" applyNumberFormat="0" applyFont="0" applyAlignment="0" applyProtection="0"/>
    <xf numFmtId="0" fontId="68" fillId="20" borderId="375" applyNumberFormat="0" applyAlignment="0" applyProtection="0"/>
    <xf numFmtId="0" fontId="80" fillId="0" borderId="377" applyNumberFormat="0" applyFill="0" applyAlignment="0" applyProtection="0"/>
    <xf numFmtId="0" fontId="78" fillId="20" borderId="366" applyNumberFormat="0" applyAlignment="0" applyProtection="0"/>
    <xf numFmtId="0" fontId="75" fillId="7" borderId="375" applyNumberFormat="0" applyAlignment="0" applyProtection="0"/>
    <xf numFmtId="0" fontId="80" fillId="0" borderId="377" applyNumberFormat="0" applyFill="0" applyAlignment="0" applyProtection="0"/>
    <xf numFmtId="0" fontId="75" fillId="7" borderId="375" applyNumberFormat="0" applyAlignment="0" applyProtection="0"/>
    <xf numFmtId="0" fontId="16" fillId="23" borderId="376" applyNumberFormat="0" applyFont="0" applyAlignment="0" applyProtection="0"/>
    <xf numFmtId="0" fontId="78" fillId="20" borderId="366" applyNumberFormat="0" applyAlignment="0" applyProtection="0"/>
    <xf numFmtId="0" fontId="68" fillId="20" borderId="375" applyNumberFormat="0" applyAlignment="0" applyProtection="0"/>
    <xf numFmtId="0" fontId="75" fillId="7" borderId="375" applyNumberFormat="0" applyAlignment="0" applyProtection="0"/>
    <xf numFmtId="0" fontId="78" fillId="20" borderId="366" applyNumberFormat="0" applyAlignment="0" applyProtection="0"/>
    <xf numFmtId="0" fontId="75" fillId="7" borderId="375" applyNumberForma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78" fillId="20" borderId="366" applyNumberFormat="0" applyAlignment="0" applyProtection="0"/>
    <xf numFmtId="0" fontId="80" fillId="0" borderId="377" applyNumberFormat="0" applyFill="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16" fillId="23" borderId="376" applyNumberFormat="0" applyFont="0" applyAlignment="0" applyProtection="0"/>
    <xf numFmtId="0" fontId="78" fillId="20" borderId="366" applyNumberFormat="0" applyAlignment="0" applyProtection="0"/>
    <xf numFmtId="0" fontId="80" fillId="0" borderId="377" applyNumberFormat="0" applyFill="0" applyAlignment="0" applyProtection="0"/>
    <xf numFmtId="0" fontId="75" fillId="7" borderId="375" applyNumberFormat="0" applyAlignment="0" applyProtection="0"/>
    <xf numFmtId="0" fontId="78" fillId="20" borderId="366" applyNumberFormat="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80" fillId="0" borderId="377" applyNumberFormat="0" applyFill="0" applyAlignment="0" applyProtection="0"/>
    <xf numFmtId="0" fontId="75" fillId="7" borderId="375" applyNumberFormat="0" applyAlignment="0" applyProtection="0"/>
    <xf numFmtId="0" fontId="78" fillId="20" borderId="366" applyNumberFormat="0" applyAlignment="0" applyProtection="0"/>
    <xf numFmtId="0" fontId="68" fillId="20" borderId="375" applyNumberFormat="0" applyAlignment="0" applyProtection="0"/>
    <xf numFmtId="0" fontId="80" fillId="0" borderId="377" applyNumberFormat="0" applyFill="0" applyAlignment="0" applyProtection="0"/>
    <xf numFmtId="0" fontId="75" fillId="7" borderId="375" applyNumberFormat="0" applyAlignment="0" applyProtection="0"/>
    <xf numFmtId="0" fontId="68" fillId="20" borderId="375" applyNumberFormat="0" applyAlignment="0" applyProtection="0"/>
    <xf numFmtId="0" fontId="78" fillId="20" borderId="366"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16" fillId="23" borderId="376" applyNumberFormat="0" applyFont="0" applyAlignment="0" applyProtection="0"/>
    <xf numFmtId="0" fontId="78" fillId="20" borderId="366" applyNumberFormat="0" applyAlignment="0" applyProtection="0"/>
    <xf numFmtId="0" fontId="16" fillId="23" borderId="376" applyNumberFormat="0" applyFont="0" applyAlignment="0" applyProtection="0"/>
    <xf numFmtId="0" fontId="75" fillId="7"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78" fillId="20" borderId="366" applyNumberFormat="0" applyAlignment="0" applyProtection="0"/>
    <xf numFmtId="0" fontId="78" fillId="20" borderId="366" applyNumberFormat="0" applyAlignment="0" applyProtection="0"/>
    <xf numFmtId="0" fontId="68" fillId="20" borderId="375"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78" fillId="20" borderId="366" applyNumberFormat="0" applyAlignment="0" applyProtection="0"/>
    <xf numFmtId="0" fontId="75" fillId="7" borderId="375" applyNumberFormat="0" applyAlignment="0" applyProtection="0"/>
    <xf numFmtId="0" fontId="75" fillId="7"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78" fillId="20" borderId="366" applyNumberFormat="0" applyAlignment="0" applyProtection="0"/>
    <xf numFmtId="0" fontId="16" fillId="23" borderId="376" applyNumberFormat="0" applyFont="0" applyAlignment="0" applyProtection="0"/>
    <xf numFmtId="0" fontId="78" fillId="20" borderId="366"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66"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68" fillId="20"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80" fillId="0" borderId="377" applyNumberFormat="0" applyFill="0" applyAlignment="0" applyProtection="0"/>
    <xf numFmtId="0" fontId="78" fillId="20" borderId="366"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68" fillId="20"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78" fillId="20" borderId="366" applyNumberFormat="0" applyAlignment="0" applyProtection="0"/>
    <xf numFmtId="0" fontId="78" fillId="20" borderId="366" applyNumberFormat="0" applyAlignment="0" applyProtection="0"/>
    <xf numFmtId="0" fontId="68" fillId="20"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66" applyNumberFormat="0" applyAlignment="0" applyProtection="0"/>
    <xf numFmtId="0" fontId="16" fillId="23" borderId="376" applyNumberFormat="0" applyFont="0" applyAlignment="0" applyProtection="0"/>
    <xf numFmtId="0" fontId="78" fillId="20" borderId="366" applyNumberFormat="0" applyAlignment="0" applyProtection="0"/>
    <xf numFmtId="0" fontId="68" fillId="20"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80" fillId="0" borderId="377" applyNumberFormat="0" applyFill="0" applyAlignment="0" applyProtection="0"/>
    <xf numFmtId="0" fontId="78" fillId="20" borderId="366"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66"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75" fillId="7" borderId="375" applyNumberFormat="0" applyAlignment="0" applyProtection="0"/>
    <xf numFmtId="0" fontId="68" fillId="20" borderId="375" applyNumberFormat="0" applyAlignment="0" applyProtection="0"/>
    <xf numFmtId="0" fontId="78" fillId="20" borderId="366"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66" applyNumberFormat="0" applyAlignment="0" applyProtection="0"/>
    <xf numFmtId="0" fontId="80" fillId="0" borderId="377" applyNumberFormat="0" applyFill="0" applyAlignment="0" applyProtection="0"/>
    <xf numFmtId="0" fontId="80" fillId="0" borderId="377" applyNumberFormat="0" applyFill="0" applyAlignment="0" applyProtection="0"/>
    <xf numFmtId="0" fontId="78" fillId="20" borderId="366" applyNumberFormat="0" applyAlignment="0" applyProtection="0"/>
    <xf numFmtId="0" fontId="68" fillId="20"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75" fillId="7" borderId="375" applyNumberFormat="0" applyAlignment="0" applyProtection="0"/>
    <xf numFmtId="0" fontId="78" fillId="20" borderId="366" applyNumberFormat="0" applyAlignment="0" applyProtection="0"/>
    <xf numFmtId="0" fontId="68" fillId="20" borderId="375" applyNumberForma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80" fillId="0" borderId="377" applyNumberFormat="0" applyFill="0" applyAlignment="0" applyProtection="0"/>
    <xf numFmtId="0" fontId="16" fillId="23" borderId="376" applyNumberFormat="0" applyFont="0" applyAlignment="0" applyProtection="0"/>
    <xf numFmtId="0" fontId="80" fillId="0" borderId="377" applyNumberFormat="0" applyFill="0" applyAlignment="0" applyProtection="0"/>
    <xf numFmtId="0" fontId="68" fillId="20" borderId="375" applyNumberFormat="0" applyAlignment="0" applyProtection="0"/>
    <xf numFmtId="0" fontId="16" fillId="23" borderId="376" applyNumberFormat="0" applyFont="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78" fillId="20" borderId="366" applyNumberFormat="0" applyAlignment="0" applyProtection="0"/>
    <xf numFmtId="0" fontId="80" fillId="0" borderId="377" applyNumberFormat="0" applyFill="0" applyAlignment="0" applyProtection="0"/>
    <xf numFmtId="0" fontId="75" fillId="7"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78" fillId="20" borderId="366" applyNumberFormat="0" applyAlignment="0" applyProtection="0"/>
    <xf numFmtId="0" fontId="16" fillId="23" borderId="376" applyNumberFormat="0" applyFon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66" applyNumberFormat="0" applyAlignment="0" applyProtection="0"/>
    <xf numFmtId="0" fontId="80" fillId="0" borderId="377" applyNumberFormat="0" applyFill="0" applyAlignment="0" applyProtection="0"/>
    <xf numFmtId="0" fontId="78" fillId="20" borderId="366" applyNumberFormat="0" applyAlignment="0" applyProtection="0"/>
    <xf numFmtId="0" fontId="68" fillId="20" borderId="375" applyNumberFormat="0" applyAlignment="0" applyProtection="0"/>
    <xf numFmtId="0" fontId="16" fillId="23" borderId="376" applyNumberFormat="0" applyFont="0" applyAlignment="0" applyProtection="0"/>
    <xf numFmtId="0" fontId="68" fillId="20" borderId="375" applyNumberFormat="0" applyAlignment="0" applyProtection="0"/>
    <xf numFmtId="0" fontId="80" fillId="0" borderId="377" applyNumberFormat="0" applyFill="0" applyAlignment="0" applyProtection="0"/>
    <xf numFmtId="0" fontId="78" fillId="20" borderId="366" applyNumberFormat="0" applyAlignment="0" applyProtection="0"/>
    <xf numFmtId="0" fontId="75" fillId="7" borderId="375" applyNumberFormat="0" applyAlignment="0" applyProtection="0"/>
    <xf numFmtId="0" fontId="80" fillId="0" borderId="377" applyNumberFormat="0" applyFill="0" applyAlignment="0" applyProtection="0"/>
    <xf numFmtId="0" fontId="75" fillId="7" borderId="375" applyNumberFormat="0" applyAlignment="0" applyProtection="0"/>
    <xf numFmtId="0" fontId="16" fillId="23" borderId="376" applyNumberFormat="0" applyFont="0" applyAlignment="0" applyProtection="0"/>
    <xf numFmtId="0" fontId="78" fillId="20" borderId="366" applyNumberFormat="0" applyAlignment="0" applyProtection="0"/>
    <xf numFmtId="0" fontId="68" fillId="20" borderId="375" applyNumberFormat="0" applyAlignment="0" applyProtection="0"/>
    <xf numFmtId="0" fontId="75" fillId="7" borderId="375" applyNumberFormat="0" applyAlignment="0" applyProtection="0"/>
    <xf numFmtId="0" fontId="78" fillId="20" borderId="366" applyNumberFormat="0" applyAlignment="0" applyProtection="0"/>
    <xf numFmtId="0" fontId="75" fillId="7" borderId="375" applyNumberForma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78" fillId="20" borderId="366" applyNumberFormat="0" applyAlignment="0" applyProtection="0"/>
    <xf numFmtId="0" fontId="80" fillId="0" borderId="377" applyNumberFormat="0" applyFill="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16" fillId="23" borderId="376" applyNumberFormat="0" applyFont="0" applyAlignment="0" applyProtection="0"/>
    <xf numFmtId="0" fontId="78" fillId="20" borderId="366" applyNumberFormat="0" applyAlignment="0" applyProtection="0"/>
    <xf numFmtId="0" fontId="80" fillId="0" borderId="377" applyNumberFormat="0" applyFill="0" applyAlignment="0" applyProtection="0"/>
    <xf numFmtId="0" fontId="75" fillId="7" borderId="375" applyNumberFormat="0" applyAlignment="0" applyProtection="0"/>
    <xf numFmtId="0" fontId="78" fillId="20" borderId="366" applyNumberFormat="0" applyAlignment="0" applyProtection="0"/>
    <xf numFmtId="0" fontId="75" fillId="7"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16" fillId="23" borderId="376" applyNumberFormat="0" applyFont="0" applyAlignment="0" applyProtection="0"/>
    <xf numFmtId="0" fontId="80" fillId="0" borderId="377" applyNumberFormat="0" applyFill="0" applyAlignment="0" applyProtection="0"/>
    <xf numFmtId="0" fontId="75" fillId="7" borderId="375" applyNumberFormat="0" applyAlignment="0" applyProtection="0"/>
    <xf numFmtId="0" fontId="78" fillId="20" borderId="366" applyNumberFormat="0" applyAlignment="0" applyProtection="0"/>
    <xf numFmtId="0" fontId="68" fillId="20" borderId="375" applyNumberFormat="0" applyAlignment="0" applyProtection="0"/>
    <xf numFmtId="0" fontId="80" fillId="0" borderId="377" applyNumberFormat="0" applyFill="0" applyAlignment="0" applyProtection="0"/>
    <xf numFmtId="0" fontId="75" fillId="7" borderId="375" applyNumberFormat="0" applyAlignment="0" applyProtection="0"/>
    <xf numFmtId="0" fontId="75" fillId="7" borderId="375" applyNumberFormat="0" applyAlignment="0" applyProtection="0"/>
    <xf numFmtId="0" fontId="68" fillId="20" borderId="375" applyNumberFormat="0" applyAlignment="0" applyProtection="0"/>
    <xf numFmtId="0" fontId="78" fillId="20" borderId="366"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16" fillId="23" borderId="376" applyNumberFormat="0" applyFont="0" applyAlignment="0" applyProtection="0"/>
    <xf numFmtId="0" fontId="78" fillId="20" borderId="366" applyNumberFormat="0" applyAlignment="0" applyProtection="0"/>
    <xf numFmtId="0" fontId="16" fillId="23" borderId="376" applyNumberFormat="0" applyFon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16" fillId="23" borderId="376" applyNumberFormat="0" applyFont="0" applyAlignment="0" applyProtection="0"/>
    <xf numFmtId="0" fontId="78" fillId="20" borderId="366" applyNumberFormat="0" applyAlignment="0" applyProtection="0"/>
    <xf numFmtId="0" fontId="78" fillId="20" borderId="366" applyNumberFormat="0" applyAlignment="0" applyProtection="0"/>
    <xf numFmtId="0" fontId="68" fillId="20" borderId="375"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78" fillId="20" borderId="366" applyNumberFormat="0" applyAlignment="0" applyProtection="0"/>
    <xf numFmtId="0" fontId="75" fillId="7" borderId="375" applyNumberFormat="0" applyAlignment="0" applyProtection="0"/>
    <xf numFmtId="0" fontId="78" fillId="20" borderId="366" applyNumberFormat="0" applyAlignment="0" applyProtection="0"/>
    <xf numFmtId="0" fontId="75" fillId="7"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78" fillId="20" borderId="366" applyNumberFormat="0" applyAlignment="0" applyProtection="0"/>
    <xf numFmtId="0" fontId="68" fillId="20" borderId="375" applyNumberFormat="0" applyAlignment="0" applyProtection="0"/>
    <xf numFmtId="0" fontId="16" fillId="23" borderId="376" applyNumberFormat="0" applyFont="0" applyAlignment="0" applyProtection="0"/>
    <xf numFmtId="0" fontId="78" fillId="20" borderId="366"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66"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68" fillId="20"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80" fillId="0" borderId="377" applyNumberFormat="0" applyFill="0" applyAlignment="0" applyProtection="0"/>
    <xf numFmtId="0" fontId="78" fillId="20" borderId="366"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78" fillId="20" borderId="366" applyNumberFormat="0" applyAlignment="0" applyProtection="0"/>
    <xf numFmtId="0" fontId="16" fillId="23" borderId="376" applyNumberFormat="0" applyFont="0" applyAlignment="0" applyProtection="0"/>
    <xf numFmtId="0" fontId="75" fillId="7" borderId="375" applyNumberFormat="0" applyAlignment="0" applyProtection="0"/>
    <xf numFmtId="0" fontId="68" fillId="20" borderId="375" applyNumberFormat="0" applyAlignment="0" applyProtection="0"/>
    <xf numFmtId="0" fontId="6" fillId="0" borderId="0"/>
    <xf numFmtId="0" fontId="78" fillId="20" borderId="373" applyNumberForma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6" fillId="0" borderId="0"/>
    <xf numFmtId="0" fontId="78" fillId="20" borderId="373" applyNumberForma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80" fillId="0" borderId="377" applyNumberFormat="0" applyFill="0" applyAlignment="0" applyProtection="0"/>
    <xf numFmtId="0" fontId="16" fillId="23" borderId="376" applyNumberFormat="0" applyFont="0" applyAlignment="0" applyProtection="0"/>
    <xf numFmtId="0" fontId="78" fillId="20" borderId="373" applyNumberFormat="0" applyAlignment="0" applyProtection="0"/>
    <xf numFmtId="0" fontId="78" fillId="20" borderId="373" applyNumberFormat="0" applyAlignment="0" applyProtection="0"/>
    <xf numFmtId="0" fontId="75" fillId="7" borderId="375" applyNumberFormat="0" applyAlignment="0" applyProtection="0"/>
    <xf numFmtId="0" fontId="68" fillId="20" borderId="375" applyNumberFormat="0" applyAlignment="0" applyProtection="0"/>
    <xf numFmtId="0" fontId="78" fillId="20" borderId="373"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75" fillId="7" borderId="375" applyNumberFormat="0" applyAlignment="0" applyProtection="0"/>
    <xf numFmtId="0" fontId="78" fillId="20" borderId="373"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75" fillId="7" borderId="375" applyNumberFormat="0" applyAlignment="0" applyProtection="0"/>
    <xf numFmtId="0" fontId="68" fillId="20" borderId="375" applyNumberFormat="0" applyAlignment="0" applyProtection="0"/>
    <xf numFmtId="0" fontId="78" fillId="20" borderId="373" applyNumberFormat="0" applyAlignment="0" applyProtection="0"/>
    <xf numFmtId="0" fontId="68" fillId="20" borderId="375" applyNumberFormat="0" applyAlignment="0" applyProtection="0"/>
    <xf numFmtId="0" fontId="75" fillId="7" borderId="375" applyNumberFormat="0" applyAlignment="0" applyProtection="0"/>
    <xf numFmtId="0" fontId="78" fillId="20" borderId="373"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78" fillId="20" borderId="373" applyNumberFormat="0" applyAlignment="0" applyProtection="0"/>
    <xf numFmtId="0" fontId="75" fillId="7" borderId="375" applyNumberFormat="0" applyAlignment="0" applyProtection="0"/>
    <xf numFmtId="0" fontId="78" fillId="20" borderId="373"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80" fillId="0" borderId="377" applyNumberFormat="0" applyFill="0" applyAlignment="0" applyProtection="0"/>
    <xf numFmtId="0" fontId="78" fillId="20" borderId="373" applyNumberFormat="0" applyAlignment="0" applyProtection="0"/>
    <xf numFmtId="0" fontId="68" fillId="20" borderId="375"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16" fillId="23" borderId="376" applyNumberFormat="0" applyFon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68" fillId="20" borderId="375"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68" fillId="20" borderId="375" applyNumberFormat="0" applyAlignment="0" applyProtection="0"/>
    <xf numFmtId="0" fontId="68" fillId="20" borderId="375"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75" fillId="7"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68" fillId="20"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75" fillId="7" borderId="375" applyNumberFormat="0" applyAlignment="0" applyProtection="0"/>
    <xf numFmtId="0" fontId="68" fillId="20"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75" fillId="7" borderId="375" applyNumberFormat="0" applyAlignment="0" applyProtection="0"/>
    <xf numFmtId="0" fontId="68" fillId="20"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80" fillId="0" borderId="377" applyNumberFormat="0" applyFill="0" applyAlignment="0" applyProtection="0"/>
    <xf numFmtId="0" fontId="78" fillId="20" borderId="373" applyNumberFormat="0" applyAlignment="0" applyProtection="0"/>
    <xf numFmtId="0" fontId="75" fillId="7" borderId="375" applyNumberFormat="0" applyAlignment="0" applyProtection="0"/>
    <xf numFmtId="0" fontId="68" fillId="20"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78" fillId="20" borderId="373" applyNumberFormat="0" applyAlignment="0" applyProtection="0"/>
    <xf numFmtId="0" fontId="78" fillId="20" borderId="373" applyNumberFormat="0" applyAlignment="0" applyProtection="0"/>
    <xf numFmtId="0" fontId="68" fillId="20" borderId="375" applyNumberFormat="0" applyAlignment="0" applyProtection="0"/>
    <xf numFmtId="0" fontId="68" fillId="20" borderId="375" applyNumberFormat="0" applyAlignment="0" applyProtection="0"/>
    <xf numFmtId="0" fontId="80" fillId="0" borderId="377" applyNumberFormat="0" applyFill="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5" fillId="7" borderId="375"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80" fillId="0" borderId="377" applyNumberFormat="0" applyFill="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16" fillId="23" borderId="376" applyNumberFormat="0" applyFont="0" applyAlignment="0" applyProtection="0"/>
    <xf numFmtId="0" fontId="78" fillId="20" borderId="373" applyNumberFormat="0" applyAlignment="0" applyProtection="0"/>
    <xf numFmtId="0" fontId="16" fillId="23" borderId="376" applyNumberFormat="0" applyFont="0" applyAlignment="0" applyProtection="0"/>
    <xf numFmtId="0" fontId="68" fillId="20" borderId="375" applyNumberFormat="0" applyAlignment="0" applyProtection="0"/>
    <xf numFmtId="0" fontId="78" fillId="20" borderId="373" applyNumberFormat="0" applyAlignment="0" applyProtection="0"/>
    <xf numFmtId="0" fontId="75" fillId="7" borderId="375" applyNumberFormat="0" applyAlignment="0" applyProtection="0"/>
    <xf numFmtId="0" fontId="80" fillId="0" borderId="377" applyNumberFormat="0" applyFill="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68" fillId="20" borderId="375" applyNumberFormat="0" applyAlignment="0" applyProtection="0"/>
    <xf numFmtId="0" fontId="75" fillId="7" borderId="375" applyNumberFormat="0" applyAlignment="0" applyProtection="0"/>
    <xf numFmtId="0" fontId="78" fillId="20" borderId="373" applyNumberFormat="0" applyAlignment="0" applyProtection="0"/>
    <xf numFmtId="0" fontId="75" fillId="7" borderId="375" applyNumberForma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75" fillId="7" borderId="375" applyNumberFormat="0" applyAlignment="0" applyProtection="0"/>
    <xf numFmtId="0" fontId="78" fillId="20" borderId="373" applyNumberFormat="0" applyAlignment="0" applyProtection="0"/>
    <xf numFmtId="0" fontId="75" fillId="7"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16" fillId="23" borderId="376" applyNumberFormat="0" applyFont="0" applyAlignment="0" applyProtection="0"/>
    <xf numFmtId="0" fontId="80" fillId="0" borderId="377" applyNumberFormat="0" applyFill="0" applyAlignment="0" applyProtection="0"/>
    <xf numFmtId="0" fontId="75" fillId="7" borderId="375" applyNumberFormat="0" applyAlignment="0" applyProtection="0"/>
    <xf numFmtId="0" fontId="78" fillId="20" borderId="373" applyNumberFormat="0" applyAlignment="0" applyProtection="0"/>
    <xf numFmtId="0" fontId="68" fillId="20" borderId="375" applyNumberFormat="0" applyAlignment="0" applyProtection="0"/>
    <xf numFmtId="0" fontId="80" fillId="0" borderId="377" applyNumberFormat="0" applyFill="0" applyAlignment="0" applyProtection="0"/>
    <xf numFmtId="0" fontId="75" fillId="7" borderId="375" applyNumberFormat="0" applyAlignment="0" applyProtection="0"/>
    <xf numFmtId="0" fontId="75" fillId="7" borderId="375" applyNumberFormat="0" applyAlignment="0" applyProtection="0"/>
    <xf numFmtId="0" fontId="68" fillId="20" borderId="375" applyNumberFormat="0" applyAlignment="0" applyProtection="0"/>
    <xf numFmtId="0" fontId="78" fillId="20" borderId="373"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16" fillId="23" borderId="376" applyNumberFormat="0" applyFont="0" applyAlignment="0" applyProtection="0"/>
    <xf numFmtId="0" fontId="78" fillId="20" borderId="373" applyNumberFormat="0" applyAlignment="0" applyProtection="0"/>
    <xf numFmtId="0" fontId="16" fillId="23" borderId="376" applyNumberFormat="0" applyFon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16" fillId="23" borderId="376" applyNumberFormat="0" applyFont="0" applyAlignment="0" applyProtection="0"/>
    <xf numFmtId="0" fontId="78" fillId="20" borderId="373" applyNumberFormat="0" applyAlignment="0" applyProtection="0"/>
    <xf numFmtId="0" fontId="78" fillId="20" borderId="373" applyNumberFormat="0" applyAlignment="0" applyProtection="0"/>
    <xf numFmtId="0" fontId="68" fillId="20" borderId="375"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78" fillId="20" borderId="373" applyNumberFormat="0" applyAlignment="0" applyProtection="0"/>
    <xf numFmtId="0" fontId="75" fillId="7" borderId="375" applyNumberFormat="0" applyAlignment="0" applyProtection="0"/>
    <xf numFmtId="0" fontId="78" fillId="20" borderId="373" applyNumberFormat="0" applyAlignment="0" applyProtection="0"/>
    <xf numFmtId="0" fontId="75" fillId="7"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78" fillId="20" borderId="373" applyNumberFormat="0" applyAlignment="0" applyProtection="0"/>
    <xf numFmtId="0" fontId="68" fillId="20"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68" fillId="20"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80" fillId="0" borderId="377" applyNumberFormat="0" applyFill="0" applyAlignment="0" applyProtection="0"/>
    <xf numFmtId="0" fontId="78" fillId="20" borderId="373"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68" fillId="20"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68" fillId="20"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78" fillId="20" borderId="373" applyNumberFormat="0" applyAlignment="0" applyProtection="0"/>
    <xf numFmtId="0" fontId="78" fillId="20" borderId="373" applyNumberFormat="0" applyAlignment="0" applyProtection="0"/>
    <xf numFmtId="0" fontId="68" fillId="20"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16" fillId="23" borderId="376" applyNumberFormat="0" applyFont="0" applyAlignment="0" applyProtection="0"/>
    <xf numFmtId="0" fontId="78" fillId="20" borderId="373" applyNumberFormat="0" applyAlignment="0" applyProtection="0"/>
    <xf numFmtId="0" fontId="68" fillId="20"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80" fillId="0" borderId="377" applyNumberFormat="0" applyFill="0" applyAlignment="0" applyProtection="0"/>
    <xf numFmtId="0" fontId="78" fillId="20" borderId="373"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75" fillId="7" borderId="375" applyNumberFormat="0" applyAlignment="0" applyProtection="0"/>
    <xf numFmtId="0" fontId="68" fillId="20" borderId="375" applyNumberFormat="0" applyAlignment="0" applyProtection="0"/>
    <xf numFmtId="0" fontId="78" fillId="20" borderId="373"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80" fillId="0" borderId="377" applyNumberFormat="0" applyFill="0" applyAlignment="0" applyProtection="0"/>
    <xf numFmtId="0" fontId="78" fillId="20" borderId="373" applyNumberFormat="0" applyAlignment="0" applyProtection="0"/>
    <xf numFmtId="0" fontId="68" fillId="20"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75" fillId="7" borderId="375" applyNumberFormat="0" applyAlignment="0" applyProtection="0"/>
    <xf numFmtId="0" fontId="78" fillId="20" borderId="373" applyNumberFormat="0" applyAlignment="0" applyProtection="0"/>
    <xf numFmtId="0" fontId="68" fillId="20" borderId="375" applyNumberForma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80" fillId="0" borderId="377" applyNumberFormat="0" applyFill="0" applyAlignment="0" applyProtection="0"/>
    <xf numFmtId="0" fontId="16" fillId="23" borderId="376" applyNumberFormat="0" applyFont="0" applyAlignment="0" applyProtection="0"/>
    <xf numFmtId="0" fontId="80" fillId="0" borderId="377" applyNumberFormat="0" applyFill="0" applyAlignment="0" applyProtection="0"/>
    <xf numFmtId="0" fontId="68" fillId="20" borderId="375" applyNumberFormat="0" applyAlignment="0" applyProtection="0"/>
    <xf numFmtId="0" fontId="16" fillId="23" borderId="376" applyNumberFormat="0" applyFont="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75" fillId="7"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78" fillId="20" borderId="373" applyNumberFormat="0" applyAlignment="0" applyProtection="0"/>
    <xf numFmtId="0" fontId="16" fillId="23" borderId="376" applyNumberFormat="0" applyFon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78" fillId="20" borderId="373" applyNumberFormat="0" applyAlignment="0" applyProtection="0"/>
    <xf numFmtId="0" fontId="68" fillId="20" borderId="375" applyNumberFormat="0" applyAlignment="0" applyProtection="0"/>
    <xf numFmtId="0" fontId="16" fillId="23" borderId="376" applyNumberFormat="0" applyFont="0" applyAlignment="0" applyProtection="0"/>
    <xf numFmtId="0" fontId="68" fillId="20" borderId="375" applyNumberFormat="0" applyAlignment="0" applyProtection="0"/>
    <xf numFmtId="0" fontId="80" fillId="0" borderId="377" applyNumberFormat="0" applyFill="0" applyAlignment="0" applyProtection="0"/>
    <xf numFmtId="0" fontId="78" fillId="20" borderId="373" applyNumberFormat="0" applyAlignment="0" applyProtection="0"/>
    <xf numFmtId="0" fontId="75" fillId="7" borderId="375" applyNumberFormat="0" applyAlignment="0" applyProtection="0"/>
    <xf numFmtId="0" fontId="80" fillId="0" borderId="377" applyNumberFormat="0" applyFill="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68" fillId="20" borderId="375" applyNumberFormat="0" applyAlignment="0" applyProtection="0"/>
    <xf numFmtId="0" fontId="75" fillId="7" borderId="375" applyNumberFormat="0" applyAlignment="0" applyProtection="0"/>
    <xf numFmtId="0" fontId="78" fillId="20" borderId="373" applyNumberFormat="0" applyAlignment="0" applyProtection="0"/>
    <xf numFmtId="0" fontId="75" fillId="7" borderId="375" applyNumberForma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75" fillId="7" borderId="375" applyNumberFormat="0" applyAlignment="0" applyProtection="0"/>
    <xf numFmtId="0" fontId="78" fillId="20" borderId="373" applyNumberFormat="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80" fillId="0" borderId="377" applyNumberFormat="0" applyFill="0" applyAlignment="0" applyProtection="0"/>
    <xf numFmtId="0" fontId="75" fillId="7" borderId="375" applyNumberFormat="0" applyAlignment="0" applyProtection="0"/>
    <xf numFmtId="0" fontId="78" fillId="20" borderId="373" applyNumberFormat="0" applyAlignment="0" applyProtection="0"/>
    <xf numFmtId="0" fontId="68" fillId="20" borderId="375" applyNumberFormat="0" applyAlignment="0" applyProtection="0"/>
    <xf numFmtId="0" fontId="80" fillId="0" borderId="377" applyNumberFormat="0" applyFill="0" applyAlignment="0" applyProtection="0"/>
    <xf numFmtId="0" fontId="75" fillId="7" borderId="375" applyNumberFormat="0" applyAlignment="0" applyProtection="0"/>
    <xf numFmtId="0" fontId="68" fillId="20" borderId="375" applyNumberFormat="0" applyAlignment="0" applyProtection="0"/>
    <xf numFmtId="0" fontId="78" fillId="20" borderId="373"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16" fillId="23" borderId="376" applyNumberFormat="0" applyFont="0" applyAlignment="0" applyProtection="0"/>
    <xf numFmtId="0" fontId="78" fillId="20" borderId="373" applyNumberFormat="0" applyAlignment="0" applyProtection="0"/>
    <xf numFmtId="0" fontId="16" fillId="23" borderId="376" applyNumberFormat="0" applyFont="0" applyAlignment="0" applyProtection="0"/>
    <xf numFmtId="0" fontId="75" fillId="7"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78" fillId="20" borderId="373" applyNumberFormat="0" applyAlignment="0" applyProtection="0"/>
    <xf numFmtId="0" fontId="78" fillId="20" borderId="373" applyNumberFormat="0" applyAlignment="0" applyProtection="0"/>
    <xf numFmtId="0" fontId="68" fillId="20" borderId="375"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78" fillId="20" borderId="373" applyNumberFormat="0" applyAlignment="0" applyProtection="0"/>
    <xf numFmtId="0" fontId="75" fillId="7" borderId="375" applyNumberFormat="0" applyAlignment="0" applyProtection="0"/>
    <xf numFmtId="0" fontId="75" fillId="7"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78" fillId="20" borderId="373" applyNumberFormat="0" applyAlignment="0" applyProtection="0"/>
    <xf numFmtId="0" fontId="16" fillId="23" borderId="376" applyNumberFormat="0" applyFont="0" applyAlignment="0" applyProtection="0"/>
    <xf numFmtId="0" fontId="78" fillId="20" borderId="373"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68" fillId="20"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80" fillId="0" borderId="377" applyNumberFormat="0" applyFill="0" applyAlignment="0" applyProtection="0"/>
    <xf numFmtId="0" fontId="78" fillId="20" borderId="373"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68" fillId="20"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78" fillId="20" borderId="373" applyNumberFormat="0" applyAlignment="0" applyProtection="0"/>
    <xf numFmtId="0" fontId="78" fillId="20" borderId="373" applyNumberFormat="0" applyAlignment="0" applyProtection="0"/>
    <xf numFmtId="0" fontId="68" fillId="20"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16" fillId="23" borderId="376" applyNumberFormat="0" applyFont="0" applyAlignment="0" applyProtection="0"/>
    <xf numFmtId="0" fontId="78" fillId="20" borderId="373" applyNumberFormat="0" applyAlignment="0" applyProtection="0"/>
    <xf numFmtId="0" fontId="68" fillId="20"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80" fillId="0" borderId="377" applyNumberFormat="0" applyFill="0" applyAlignment="0" applyProtection="0"/>
    <xf numFmtId="0" fontId="78" fillId="20" borderId="373"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75" fillId="7" borderId="375" applyNumberFormat="0" applyAlignment="0" applyProtection="0"/>
    <xf numFmtId="0" fontId="68" fillId="20" borderId="375" applyNumberFormat="0" applyAlignment="0" applyProtection="0"/>
    <xf numFmtId="0" fontId="78" fillId="20" borderId="373"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80" fillId="0" borderId="377" applyNumberFormat="0" applyFill="0" applyAlignment="0" applyProtection="0"/>
    <xf numFmtId="0" fontId="78" fillId="20" borderId="373" applyNumberFormat="0" applyAlignment="0" applyProtection="0"/>
    <xf numFmtId="0" fontId="68" fillId="20"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75" fillId="7" borderId="375" applyNumberFormat="0" applyAlignment="0" applyProtection="0"/>
    <xf numFmtId="0" fontId="78" fillId="20" borderId="373" applyNumberFormat="0" applyAlignment="0" applyProtection="0"/>
    <xf numFmtId="0" fontId="68" fillId="20" borderId="375" applyNumberForma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80" fillId="0" borderId="377" applyNumberFormat="0" applyFill="0" applyAlignment="0" applyProtection="0"/>
    <xf numFmtId="0" fontId="16" fillId="23" borderId="376" applyNumberFormat="0" applyFont="0" applyAlignment="0" applyProtection="0"/>
    <xf numFmtId="0" fontId="80" fillId="0" borderId="377" applyNumberFormat="0" applyFill="0" applyAlignment="0" applyProtection="0"/>
    <xf numFmtId="0" fontId="68" fillId="20" borderId="375" applyNumberFormat="0" applyAlignment="0" applyProtection="0"/>
    <xf numFmtId="0" fontId="16" fillId="23" borderId="376" applyNumberFormat="0" applyFont="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75" fillId="7"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78" fillId="20" borderId="373" applyNumberFormat="0" applyAlignment="0" applyProtection="0"/>
    <xf numFmtId="0" fontId="16" fillId="23" borderId="376" applyNumberFormat="0" applyFon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78" fillId="20" borderId="373" applyNumberFormat="0" applyAlignment="0" applyProtection="0"/>
    <xf numFmtId="0" fontId="68" fillId="20" borderId="375" applyNumberFormat="0" applyAlignment="0" applyProtection="0"/>
    <xf numFmtId="0" fontId="16" fillId="23" borderId="376" applyNumberFormat="0" applyFont="0" applyAlignment="0" applyProtection="0"/>
    <xf numFmtId="0" fontId="68" fillId="20" borderId="375" applyNumberFormat="0" applyAlignment="0" applyProtection="0"/>
    <xf numFmtId="0" fontId="80" fillId="0" borderId="377" applyNumberFormat="0" applyFill="0" applyAlignment="0" applyProtection="0"/>
    <xf numFmtId="0" fontId="78" fillId="20" borderId="373" applyNumberFormat="0" applyAlignment="0" applyProtection="0"/>
    <xf numFmtId="0" fontId="75" fillId="7" borderId="375" applyNumberFormat="0" applyAlignment="0" applyProtection="0"/>
    <xf numFmtId="0" fontId="80" fillId="0" borderId="377" applyNumberFormat="0" applyFill="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68" fillId="20" borderId="375" applyNumberFormat="0" applyAlignment="0" applyProtection="0"/>
    <xf numFmtId="0" fontId="75" fillId="7" borderId="375" applyNumberFormat="0" applyAlignment="0" applyProtection="0"/>
    <xf numFmtId="0" fontId="78" fillId="20" borderId="373" applyNumberFormat="0" applyAlignment="0" applyProtection="0"/>
    <xf numFmtId="0" fontId="75" fillId="7" borderId="375" applyNumberForma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75" fillId="7" borderId="375" applyNumberFormat="0" applyAlignment="0" applyProtection="0"/>
    <xf numFmtId="0" fontId="78" fillId="20" borderId="373" applyNumberFormat="0" applyAlignment="0" applyProtection="0"/>
    <xf numFmtId="0" fontId="75" fillId="7"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16" fillId="23" borderId="376" applyNumberFormat="0" applyFont="0" applyAlignment="0" applyProtection="0"/>
    <xf numFmtId="0" fontId="80" fillId="0" borderId="377" applyNumberFormat="0" applyFill="0" applyAlignment="0" applyProtection="0"/>
    <xf numFmtId="0" fontId="75" fillId="7" borderId="375" applyNumberFormat="0" applyAlignment="0" applyProtection="0"/>
    <xf numFmtId="0" fontId="78" fillId="20" borderId="373" applyNumberFormat="0" applyAlignment="0" applyProtection="0"/>
    <xf numFmtId="0" fontId="68" fillId="20" borderId="375" applyNumberFormat="0" applyAlignment="0" applyProtection="0"/>
    <xf numFmtId="0" fontId="80" fillId="0" borderId="377" applyNumberFormat="0" applyFill="0" applyAlignment="0" applyProtection="0"/>
    <xf numFmtId="0" fontId="75" fillId="7" borderId="375" applyNumberFormat="0" applyAlignment="0" applyProtection="0"/>
    <xf numFmtId="0" fontId="75" fillId="7" borderId="375" applyNumberFormat="0" applyAlignment="0" applyProtection="0"/>
    <xf numFmtId="0" fontId="68" fillId="20" borderId="375" applyNumberFormat="0" applyAlignment="0" applyProtection="0"/>
    <xf numFmtId="0" fontId="78" fillId="20" borderId="373"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16" fillId="23" borderId="376" applyNumberFormat="0" applyFont="0" applyAlignment="0" applyProtection="0"/>
    <xf numFmtId="0" fontId="78" fillId="20" borderId="373" applyNumberFormat="0" applyAlignment="0" applyProtection="0"/>
    <xf numFmtId="0" fontId="16" fillId="23" borderId="376" applyNumberFormat="0" applyFon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16" fillId="23" borderId="376" applyNumberFormat="0" applyFont="0" applyAlignment="0" applyProtection="0"/>
    <xf numFmtId="0" fontId="78" fillId="20" borderId="373" applyNumberFormat="0" applyAlignment="0" applyProtection="0"/>
    <xf numFmtId="0" fontId="78" fillId="20" borderId="373" applyNumberFormat="0" applyAlignment="0" applyProtection="0"/>
    <xf numFmtId="0" fontId="68" fillId="20" borderId="375"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78" fillId="20" borderId="373" applyNumberFormat="0" applyAlignment="0" applyProtection="0"/>
    <xf numFmtId="0" fontId="75" fillId="7" borderId="375" applyNumberFormat="0" applyAlignment="0" applyProtection="0"/>
    <xf numFmtId="0" fontId="78" fillId="20" borderId="373" applyNumberFormat="0" applyAlignment="0" applyProtection="0"/>
    <xf numFmtId="0" fontId="75" fillId="7"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78" fillId="20" borderId="373" applyNumberFormat="0" applyAlignment="0" applyProtection="0"/>
    <xf numFmtId="0" fontId="68" fillId="20"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68" fillId="20"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80" fillId="0" borderId="377" applyNumberFormat="0" applyFill="0" applyAlignment="0" applyProtection="0"/>
    <xf numFmtId="0" fontId="78" fillId="20" borderId="373"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78" fillId="20" borderId="373" applyNumberFormat="0" applyAlignment="0" applyProtection="0"/>
    <xf numFmtId="0" fontId="16" fillId="23" borderId="376" applyNumberFormat="0" applyFont="0" applyAlignment="0" applyProtection="0"/>
    <xf numFmtId="0" fontId="75" fillId="7" borderId="375" applyNumberFormat="0" applyAlignment="0" applyProtection="0"/>
    <xf numFmtId="0" fontId="68" fillId="20" borderId="375" applyNumberFormat="0" applyAlignment="0" applyProtection="0"/>
    <xf numFmtId="0" fontId="16" fillId="0" borderId="0"/>
    <xf numFmtId="0" fontId="68" fillId="20"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78" fillId="20" borderId="373" applyNumberFormat="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68" fillId="20"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78" fillId="20" borderId="373" applyNumberFormat="0" applyAlignment="0" applyProtection="0"/>
    <xf numFmtId="0" fontId="78" fillId="20" borderId="373" applyNumberFormat="0" applyAlignment="0" applyProtection="0"/>
    <xf numFmtId="0" fontId="68" fillId="20"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16" fillId="23" borderId="376" applyNumberFormat="0" applyFont="0" applyAlignment="0" applyProtection="0"/>
    <xf numFmtId="0" fontId="78" fillId="20" borderId="373" applyNumberFormat="0" applyAlignment="0" applyProtection="0"/>
    <xf numFmtId="0" fontId="68" fillId="20"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80" fillId="0" borderId="377" applyNumberFormat="0" applyFill="0" applyAlignment="0" applyProtection="0"/>
    <xf numFmtId="0" fontId="78" fillId="20" borderId="373"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75" fillId="7" borderId="375" applyNumberFormat="0" applyAlignment="0" applyProtection="0"/>
    <xf numFmtId="0" fontId="68" fillId="20" borderId="375" applyNumberFormat="0" applyAlignment="0" applyProtection="0"/>
    <xf numFmtId="0" fontId="78" fillId="20" borderId="373"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80" fillId="0" borderId="377" applyNumberFormat="0" applyFill="0" applyAlignment="0" applyProtection="0"/>
    <xf numFmtId="0" fontId="78" fillId="20" borderId="373" applyNumberFormat="0" applyAlignment="0" applyProtection="0"/>
    <xf numFmtId="0" fontId="68" fillId="20"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75" fillId="7" borderId="375" applyNumberFormat="0" applyAlignment="0" applyProtection="0"/>
    <xf numFmtId="0" fontId="78" fillId="20" borderId="373" applyNumberFormat="0" applyAlignment="0" applyProtection="0"/>
    <xf numFmtId="0" fontId="68" fillId="20" borderId="375" applyNumberForma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80" fillId="0" borderId="377" applyNumberFormat="0" applyFill="0" applyAlignment="0" applyProtection="0"/>
    <xf numFmtId="0" fontId="16" fillId="23" borderId="376" applyNumberFormat="0" applyFont="0" applyAlignment="0" applyProtection="0"/>
    <xf numFmtId="0" fontId="80" fillId="0" borderId="377" applyNumberFormat="0" applyFill="0" applyAlignment="0" applyProtection="0"/>
    <xf numFmtId="0" fontId="68" fillId="20" borderId="375" applyNumberFormat="0" applyAlignment="0" applyProtection="0"/>
    <xf numFmtId="0" fontId="16" fillId="23" borderId="376" applyNumberFormat="0" applyFont="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75" fillId="7"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78" fillId="20" borderId="373" applyNumberFormat="0" applyAlignment="0" applyProtection="0"/>
    <xf numFmtId="0" fontId="16" fillId="23" borderId="376" applyNumberFormat="0" applyFon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78" fillId="20" borderId="373" applyNumberFormat="0" applyAlignment="0" applyProtection="0"/>
    <xf numFmtId="0" fontId="68" fillId="20" borderId="375" applyNumberFormat="0" applyAlignment="0" applyProtection="0"/>
    <xf numFmtId="0" fontId="16" fillId="23" borderId="376" applyNumberFormat="0" applyFont="0" applyAlignment="0" applyProtection="0"/>
    <xf numFmtId="0" fontId="68" fillId="20" borderId="375" applyNumberFormat="0" applyAlignment="0" applyProtection="0"/>
    <xf numFmtId="0" fontId="80" fillId="0" borderId="377" applyNumberFormat="0" applyFill="0" applyAlignment="0" applyProtection="0"/>
    <xf numFmtId="0" fontId="78" fillId="20" borderId="373" applyNumberFormat="0" applyAlignment="0" applyProtection="0"/>
    <xf numFmtId="0" fontId="75" fillId="7" borderId="375" applyNumberFormat="0" applyAlignment="0" applyProtection="0"/>
    <xf numFmtId="0" fontId="80" fillId="0" borderId="377" applyNumberFormat="0" applyFill="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68" fillId="20" borderId="375" applyNumberFormat="0" applyAlignment="0" applyProtection="0"/>
    <xf numFmtId="0" fontId="75" fillId="7" borderId="375" applyNumberFormat="0" applyAlignment="0" applyProtection="0"/>
    <xf numFmtId="0" fontId="78" fillId="20" borderId="373" applyNumberFormat="0" applyAlignment="0" applyProtection="0"/>
    <xf numFmtId="0" fontId="75" fillId="7" borderId="375" applyNumberForma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75" fillId="7" borderId="375" applyNumberFormat="0" applyAlignment="0" applyProtection="0"/>
    <xf numFmtId="0" fontId="78" fillId="20" borderId="373" applyNumberFormat="0" applyAlignment="0" applyProtection="0"/>
    <xf numFmtId="0" fontId="75" fillId="7"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16" fillId="23" borderId="376" applyNumberFormat="0" applyFont="0" applyAlignment="0" applyProtection="0"/>
    <xf numFmtId="0" fontId="80" fillId="0" borderId="377" applyNumberFormat="0" applyFill="0" applyAlignment="0" applyProtection="0"/>
    <xf numFmtId="0" fontId="75" fillId="7" borderId="375" applyNumberFormat="0" applyAlignment="0" applyProtection="0"/>
    <xf numFmtId="0" fontId="78" fillId="20" borderId="373" applyNumberFormat="0" applyAlignment="0" applyProtection="0"/>
    <xf numFmtId="0" fontId="68" fillId="20" borderId="375" applyNumberFormat="0" applyAlignment="0" applyProtection="0"/>
    <xf numFmtId="0" fontId="80" fillId="0" borderId="377" applyNumberFormat="0" applyFill="0" applyAlignment="0" applyProtection="0"/>
    <xf numFmtId="0" fontId="75" fillId="7" borderId="375" applyNumberFormat="0" applyAlignment="0" applyProtection="0"/>
    <xf numFmtId="0" fontId="75" fillId="7" borderId="375" applyNumberFormat="0" applyAlignment="0" applyProtection="0"/>
    <xf numFmtId="0" fontId="68" fillId="20" borderId="375" applyNumberFormat="0" applyAlignment="0" applyProtection="0"/>
    <xf numFmtId="0" fontId="78" fillId="20" borderId="373"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16" fillId="23" borderId="376" applyNumberFormat="0" applyFont="0" applyAlignment="0" applyProtection="0"/>
    <xf numFmtId="0" fontId="78" fillId="20" borderId="373" applyNumberFormat="0" applyAlignment="0" applyProtection="0"/>
    <xf numFmtId="0" fontId="16" fillId="23" borderId="376" applyNumberFormat="0" applyFon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16" fillId="23" borderId="376" applyNumberFormat="0" applyFont="0" applyAlignment="0" applyProtection="0"/>
    <xf numFmtId="0" fontId="78" fillId="20" borderId="373" applyNumberFormat="0" applyAlignment="0" applyProtection="0"/>
    <xf numFmtId="0" fontId="78" fillId="20" borderId="373" applyNumberFormat="0" applyAlignment="0" applyProtection="0"/>
    <xf numFmtId="0" fontId="68" fillId="20" borderId="375"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78" fillId="20" borderId="373" applyNumberFormat="0" applyAlignment="0" applyProtection="0"/>
    <xf numFmtId="0" fontId="75" fillId="7" borderId="375" applyNumberFormat="0" applyAlignment="0" applyProtection="0"/>
    <xf numFmtId="0" fontId="78" fillId="20" borderId="373" applyNumberFormat="0" applyAlignment="0" applyProtection="0"/>
    <xf numFmtId="0" fontId="75" fillId="7"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78" fillId="20" borderId="373" applyNumberFormat="0" applyAlignment="0" applyProtection="0"/>
    <xf numFmtId="0" fontId="68" fillId="20"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68" fillId="20"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80" fillId="0" borderId="377" applyNumberFormat="0" applyFill="0" applyAlignment="0" applyProtection="0"/>
    <xf numFmtId="0" fontId="78" fillId="20" borderId="373"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68" fillId="20"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68" fillId="20"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78" fillId="20" borderId="373" applyNumberFormat="0" applyAlignment="0" applyProtection="0"/>
    <xf numFmtId="0" fontId="78" fillId="20" borderId="373" applyNumberFormat="0" applyAlignment="0" applyProtection="0"/>
    <xf numFmtId="0" fontId="68" fillId="20"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16" fillId="23" borderId="376" applyNumberFormat="0" applyFont="0" applyAlignment="0" applyProtection="0"/>
    <xf numFmtId="0" fontId="78" fillId="20" borderId="373" applyNumberFormat="0" applyAlignment="0" applyProtection="0"/>
    <xf numFmtId="0" fontId="68" fillId="20"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80" fillId="0" borderId="377" applyNumberFormat="0" applyFill="0" applyAlignment="0" applyProtection="0"/>
    <xf numFmtId="0" fontId="78" fillId="20" borderId="373"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75" fillId="7" borderId="375" applyNumberFormat="0" applyAlignment="0" applyProtection="0"/>
    <xf numFmtId="0" fontId="68" fillId="20" borderId="375" applyNumberFormat="0" applyAlignment="0" applyProtection="0"/>
    <xf numFmtId="0" fontId="78" fillId="20" borderId="373"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80" fillId="0" borderId="377" applyNumberFormat="0" applyFill="0" applyAlignment="0" applyProtection="0"/>
    <xf numFmtId="0" fontId="78" fillId="20" borderId="373" applyNumberFormat="0" applyAlignment="0" applyProtection="0"/>
    <xf numFmtId="0" fontId="68" fillId="20"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75" fillId="7" borderId="375" applyNumberFormat="0" applyAlignment="0" applyProtection="0"/>
    <xf numFmtId="0" fontId="78" fillId="20" borderId="373" applyNumberFormat="0" applyAlignment="0" applyProtection="0"/>
    <xf numFmtId="0" fontId="68" fillId="20" borderId="375" applyNumberForma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80" fillId="0" borderId="377" applyNumberFormat="0" applyFill="0" applyAlignment="0" applyProtection="0"/>
    <xf numFmtId="0" fontId="16" fillId="23" borderId="376" applyNumberFormat="0" applyFont="0" applyAlignment="0" applyProtection="0"/>
    <xf numFmtId="0" fontId="80" fillId="0" borderId="377" applyNumberFormat="0" applyFill="0" applyAlignment="0" applyProtection="0"/>
    <xf numFmtId="0" fontId="68" fillId="20" borderId="375" applyNumberFormat="0" applyAlignment="0" applyProtection="0"/>
    <xf numFmtId="0" fontId="16" fillId="23" borderId="376" applyNumberFormat="0" applyFont="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75" fillId="7"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78" fillId="20" borderId="373" applyNumberFormat="0" applyAlignment="0" applyProtection="0"/>
    <xf numFmtId="0" fontId="16" fillId="23" borderId="376" applyNumberFormat="0" applyFon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78" fillId="20" borderId="373" applyNumberFormat="0" applyAlignment="0" applyProtection="0"/>
    <xf numFmtId="0" fontId="68" fillId="20" borderId="375" applyNumberFormat="0" applyAlignment="0" applyProtection="0"/>
    <xf numFmtId="0" fontId="16" fillId="23" borderId="376" applyNumberFormat="0" applyFont="0" applyAlignment="0" applyProtection="0"/>
    <xf numFmtId="0" fontId="68" fillId="20" borderId="375" applyNumberFormat="0" applyAlignment="0" applyProtection="0"/>
    <xf numFmtId="0" fontId="80" fillId="0" borderId="377" applyNumberFormat="0" applyFill="0" applyAlignment="0" applyProtection="0"/>
    <xf numFmtId="0" fontId="78" fillId="20" borderId="373" applyNumberFormat="0" applyAlignment="0" applyProtection="0"/>
    <xf numFmtId="0" fontId="75" fillId="7" borderId="375" applyNumberFormat="0" applyAlignment="0" applyProtection="0"/>
    <xf numFmtId="0" fontId="80" fillId="0" borderId="377" applyNumberFormat="0" applyFill="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68" fillId="20" borderId="375" applyNumberFormat="0" applyAlignment="0" applyProtection="0"/>
    <xf numFmtId="0" fontId="75" fillId="7" borderId="375" applyNumberFormat="0" applyAlignment="0" applyProtection="0"/>
    <xf numFmtId="0" fontId="78" fillId="20" borderId="373" applyNumberFormat="0" applyAlignment="0" applyProtection="0"/>
    <xf numFmtId="0" fontId="75" fillId="7" borderId="375" applyNumberForma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75" fillId="7" borderId="375" applyNumberFormat="0" applyAlignment="0" applyProtection="0"/>
    <xf numFmtId="0" fontId="78" fillId="20" borderId="373" applyNumberFormat="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80" fillId="0" borderId="377" applyNumberFormat="0" applyFill="0" applyAlignment="0" applyProtection="0"/>
    <xf numFmtId="0" fontId="75" fillId="7" borderId="375" applyNumberFormat="0" applyAlignment="0" applyProtection="0"/>
    <xf numFmtId="0" fontId="78" fillId="20" borderId="373" applyNumberFormat="0" applyAlignment="0" applyProtection="0"/>
    <xf numFmtId="0" fontId="68" fillId="20" borderId="375" applyNumberFormat="0" applyAlignment="0" applyProtection="0"/>
    <xf numFmtId="0" fontId="80" fillId="0" borderId="377" applyNumberFormat="0" applyFill="0" applyAlignment="0" applyProtection="0"/>
    <xf numFmtId="0" fontId="75" fillId="7" borderId="375" applyNumberFormat="0" applyAlignment="0" applyProtection="0"/>
    <xf numFmtId="0" fontId="68" fillId="20" borderId="375" applyNumberFormat="0" applyAlignment="0" applyProtection="0"/>
    <xf numFmtId="0" fontId="78" fillId="20" borderId="373"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16" fillId="23" borderId="376" applyNumberFormat="0" applyFont="0" applyAlignment="0" applyProtection="0"/>
    <xf numFmtId="0" fontId="78" fillId="20" borderId="373" applyNumberFormat="0" applyAlignment="0" applyProtection="0"/>
    <xf numFmtId="0" fontId="16" fillId="23" borderId="376" applyNumberFormat="0" applyFont="0" applyAlignment="0" applyProtection="0"/>
    <xf numFmtId="0" fontId="75" fillId="7"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78" fillId="20" borderId="373" applyNumberFormat="0" applyAlignment="0" applyProtection="0"/>
    <xf numFmtId="0" fontId="78" fillId="20" borderId="373" applyNumberFormat="0" applyAlignment="0" applyProtection="0"/>
    <xf numFmtId="0" fontId="68" fillId="20" borderId="375"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78" fillId="20" borderId="373" applyNumberFormat="0" applyAlignment="0" applyProtection="0"/>
    <xf numFmtId="0" fontId="75" fillId="7" borderId="375" applyNumberFormat="0" applyAlignment="0" applyProtection="0"/>
    <xf numFmtId="0" fontId="75" fillId="7"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78" fillId="20" borderId="373" applyNumberFormat="0" applyAlignment="0" applyProtection="0"/>
    <xf numFmtId="0" fontId="16" fillId="23" borderId="376" applyNumberFormat="0" applyFont="0" applyAlignment="0" applyProtection="0"/>
    <xf numFmtId="0" fontId="78" fillId="20" borderId="373"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68" fillId="20"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80" fillId="0" borderId="377" applyNumberFormat="0" applyFill="0" applyAlignment="0" applyProtection="0"/>
    <xf numFmtId="0" fontId="78" fillId="20" borderId="373"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68" fillId="20"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78" fillId="20" borderId="373" applyNumberFormat="0" applyAlignment="0" applyProtection="0"/>
    <xf numFmtId="0" fontId="78" fillId="20" borderId="373" applyNumberFormat="0" applyAlignment="0" applyProtection="0"/>
    <xf numFmtId="0" fontId="68" fillId="20"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16" fillId="23" borderId="376" applyNumberFormat="0" applyFont="0" applyAlignment="0" applyProtection="0"/>
    <xf numFmtId="0" fontId="78" fillId="20" borderId="373" applyNumberFormat="0" applyAlignment="0" applyProtection="0"/>
    <xf numFmtId="0" fontId="68" fillId="20"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80" fillId="0" borderId="377" applyNumberFormat="0" applyFill="0" applyAlignment="0" applyProtection="0"/>
    <xf numFmtId="0" fontId="78" fillId="20" borderId="373"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75" fillId="7" borderId="375" applyNumberFormat="0" applyAlignment="0" applyProtection="0"/>
    <xf numFmtId="0" fontId="68" fillId="20" borderId="375" applyNumberFormat="0" applyAlignment="0" applyProtection="0"/>
    <xf numFmtId="0" fontId="78" fillId="20" borderId="373"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80" fillId="0" borderId="377" applyNumberFormat="0" applyFill="0" applyAlignment="0" applyProtection="0"/>
    <xf numFmtId="0" fontId="78" fillId="20" borderId="373" applyNumberFormat="0" applyAlignment="0" applyProtection="0"/>
    <xf numFmtId="0" fontId="68" fillId="20"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75" fillId="7" borderId="375" applyNumberFormat="0" applyAlignment="0" applyProtection="0"/>
    <xf numFmtId="0" fontId="78" fillId="20" borderId="373" applyNumberFormat="0" applyAlignment="0" applyProtection="0"/>
    <xf numFmtId="0" fontId="68" fillId="20" borderId="375" applyNumberForma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80" fillId="0" borderId="377" applyNumberFormat="0" applyFill="0" applyAlignment="0" applyProtection="0"/>
    <xf numFmtId="0" fontId="16" fillId="23" borderId="376" applyNumberFormat="0" applyFont="0" applyAlignment="0" applyProtection="0"/>
    <xf numFmtId="0" fontId="80" fillId="0" borderId="377" applyNumberFormat="0" applyFill="0" applyAlignment="0" applyProtection="0"/>
    <xf numFmtId="0" fontId="68" fillId="20" borderId="375" applyNumberFormat="0" applyAlignment="0" applyProtection="0"/>
    <xf numFmtId="0" fontId="16" fillId="23" borderId="376" applyNumberFormat="0" applyFont="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75" fillId="7"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78" fillId="20" borderId="373" applyNumberFormat="0" applyAlignment="0" applyProtection="0"/>
    <xf numFmtId="0" fontId="16" fillId="23" borderId="376" applyNumberFormat="0" applyFon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78" fillId="20" borderId="373" applyNumberFormat="0" applyAlignment="0" applyProtection="0"/>
    <xf numFmtId="0" fontId="68" fillId="20" borderId="375" applyNumberFormat="0" applyAlignment="0" applyProtection="0"/>
    <xf numFmtId="0" fontId="16" fillId="23" borderId="376" applyNumberFormat="0" applyFont="0" applyAlignment="0" applyProtection="0"/>
    <xf numFmtId="0" fontId="68" fillId="20" borderId="375" applyNumberFormat="0" applyAlignment="0" applyProtection="0"/>
    <xf numFmtId="0" fontId="80" fillId="0" borderId="377" applyNumberFormat="0" applyFill="0" applyAlignment="0" applyProtection="0"/>
    <xf numFmtId="0" fontId="78" fillId="20" borderId="373" applyNumberFormat="0" applyAlignment="0" applyProtection="0"/>
    <xf numFmtId="0" fontId="75" fillId="7" borderId="375" applyNumberFormat="0" applyAlignment="0" applyProtection="0"/>
    <xf numFmtId="0" fontId="80" fillId="0" borderId="377" applyNumberFormat="0" applyFill="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68" fillId="20" borderId="375" applyNumberFormat="0" applyAlignment="0" applyProtection="0"/>
    <xf numFmtId="0" fontId="75" fillId="7" borderId="375" applyNumberFormat="0" applyAlignment="0" applyProtection="0"/>
    <xf numFmtId="0" fontId="78" fillId="20" borderId="373" applyNumberFormat="0" applyAlignment="0" applyProtection="0"/>
    <xf numFmtId="0" fontId="75" fillId="7" borderId="375" applyNumberForma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75" fillId="7" borderId="375" applyNumberFormat="0" applyAlignment="0" applyProtection="0"/>
    <xf numFmtId="0" fontId="78" fillId="20" borderId="373" applyNumberFormat="0" applyAlignment="0" applyProtection="0"/>
    <xf numFmtId="0" fontId="75" fillId="7"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16" fillId="23" borderId="376" applyNumberFormat="0" applyFont="0" applyAlignment="0" applyProtection="0"/>
    <xf numFmtId="0" fontId="80" fillId="0" borderId="377" applyNumberFormat="0" applyFill="0" applyAlignment="0" applyProtection="0"/>
    <xf numFmtId="0" fontId="75" fillId="7" borderId="375" applyNumberFormat="0" applyAlignment="0" applyProtection="0"/>
    <xf numFmtId="0" fontId="78" fillId="20" borderId="373" applyNumberFormat="0" applyAlignment="0" applyProtection="0"/>
    <xf numFmtId="0" fontId="68" fillId="20" borderId="375" applyNumberFormat="0" applyAlignment="0" applyProtection="0"/>
    <xf numFmtId="0" fontId="80" fillId="0" borderId="377" applyNumberFormat="0" applyFill="0" applyAlignment="0" applyProtection="0"/>
    <xf numFmtId="0" fontId="75" fillId="7" borderId="375" applyNumberFormat="0" applyAlignment="0" applyProtection="0"/>
    <xf numFmtId="0" fontId="75" fillId="7" borderId="375" applyNumberFormat="0" applyAlignment="0" applyProtection="0"/>
    <xf numFmtId="0" fontId="68" fillId="20" borderId="375" applyNumberFormat="0" applyAlignment="0" applyProtection="0"/>
    <xf numFmtId="0" fontId="78" fillId="20" borderId="373"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16" fillId="23" borderId="376" applyNumberFormat="0" applyFont="0" applyAlignment="0" applyProtection="0"/>
    <xf numFmtId="0" fontId="78" fillId="20" borderId="373" applyNumberFormat="0" applyAlignment="0" applyProtection="0"/>
    <xf numFmtId="0" fontId="16" fillId="23" borderId="376" applyNumberFormat="0" applyFon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16" fillId="23" borderId="376" applyNumberFormat="0" applyFont="0" applyAlignment="0" applyProtection="0"/>
    <xf numFmtId="0" fontId="78" fillId="20" borderId="373" applyNumberFormat="0" applyAlignment="0" applyProtection="0"/>
    <xf numFmtId="0" fontId="78" fillId="20" borderId="373" applyNumberFormat="0" applyAlignment="0" applyProtection="0"/>
    <xf numFmtId="0" fontId="68" fillId="20" borderId="375"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78" fillId="20" borderId="373" applyNumberFormat="0" applyAlignment="0" applyProtection="0"/>
    <xf numFmtId="0" fontId="75" fillId="7" borderId="375" applyNumberFormat="0" applyAlignment="0" applyProtection="0"/>
    <xf numFmtId="0" fontId="78" fillId="20" borderId="373" applyNumberFormat="0" applyAlignment="0" applyProtection="0"/>
    <xf numFmtId="0" fontId="75" fillId="7"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78" fillId="20" borderId="373" applyNumberFormat="0" applyAlignment="0" applyProtection="0"/>
    <xf numFmtId="0" fontId="68" fillId="20"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16" fillId="23" borderId="376" applyNumberFormat="0" applyFont="0" applyAlignment="0" applyProtection="0"/>
    <xf numFmtId="0" fontId="78" fillId="20" borderId="373" applyNumberFormat="0" applyAlignment="0" applyProtection="0"/>
    <xf numFmtId="0" fontId="80" fillId="0" borderId="377" applyNumberFormat="0" applyFill="0" applyAlignment="0" applyProtection="0"/>
    <xf numFmtId="0" fontId="16" fillId="23" borderId="376" applyNumberFormat="0" applyFont="0" applyAlignment="0" applyProtection="0"/>
    <xf numFmtId="0" fontId="68" fillId="20" borderId="375" applyNumberFormat="0" applyAlignment="0" applyProtection="0"/>
    <xf numFmtId="0" fontId="75" fillId="7" borderId="375" applyNumberFormat="0" applyAlignment="0" applyProtection="0"/>
    <xf numFmtId="0" fontId="80" fillId="0" borderId="377" applyNumberFormat="0" applyFill="0" applyAlignment="0" applyProtection="0"/>
    <xf numFmtId="0" fontId="68" fillId="20" borderId="375" applyNumberFormat="0" applyAlignment="0" applyProtection="0"/>
    <xf numFmtId="0" fontId="68" fillId="20" borderId="375" applyNumberFormat="0" applyAlignment="0" applyProtection="0"/>
    <xf numFmtId="0" fontId="80" fillId="0" borderId="377" applyNumberFormat="0" applyFill="0" applyAlignment="0" applyProtection="0"/>
    <xf numFmtId="0" fontId="78" fillId="20" borderId="373" applyNumberFormat="0" applyAlignment="0" applyProtection="0"/>
    <xf numFmtId="0" fontId="16" fillId="23" borderId="376" applyNumberFormat="0" applyFont="0" applyAlignment="0" applyProtection="0"/>
    <xf numFmtId="0" fontId="80" fillId="0" borderId="377" applyNumberFormat="0" applyFill="0" applyAlignment="0" applyProtection="0"/>
    <xf numFmtId="0" fontId="80" fillId="0" borderId="377" applyNumberFormat="0" applyFill="0" applyAlignment="0" applyProtection="0"/>
    <xf numFmtId="0" fontId="78" fillId="20" borderId="373" applyNumberFormat="0" applyAlignment="0" applyProtection="0"/>
    <xf numFmtId="0" fontId="16" fillId="23" borderId="376" applyNumberFormat="0" applyFont="0" applyAlignment="0" applyProtection="0"/>
    <xf numFmtId="0" fontId="75" fillId="7"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68" fillId="20"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75" fillId="7" borderId="375" applyNumberFormat="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16" fillId="23" borderId="376" applyNumberFormat="0" applyFon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78" fillId="20" borderId="373" applyNumberFormat="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80" fillId="0" borderId="377" applyNumberFormat="0" applyFill="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9" fontId="5" fillId="0" borderId="0" applyFont="0" applyFill="0" applyBorder="0" applyAlignment="0" applyProtection="0"/>
    <xf numFmtId="0" fontId="68" fillId="20" borderId="383" applyNumberFormat="0" applyAlignment="0" applyProtection="0"/>
    <xf numFmtId="0" fontId="5" fillId="0" borderId="0"/>
    <xf numFmtId="0" fontId="68" fillId="20" borderId="383" applyNumberFormat="0" applyAlignment="0" applyProtection="0"/>
    <xf numFmtId="0" fontId="68" fillId="20" borderId="383" applyNumberFormat="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78" fillId="20" borderId="385" applyNumberFormat="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16" fillId="23" borderId="384" applyNumberFormat="0" applyFon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16" fillId="23" borderId="384" applyNumberFormat="0" applyFont="0" applyAlignment="0" applyProtection="0"/>
    <xf numFmtId="0" fontId="75" fillId="7" borderId="383" applyNumberFormat="0" applyAlignment="0" applyProtection="0"/>
    <xf numFmtId="0" fontId="68" fillId="20" borderId="383" applyNumberFormat="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75" fillId="7" borderId="383" applyNumberFormat="0" applyAlignment="0" applyProtection="0"/>
    <xf numFmtId="0" fontId="78" fillId="20" borderId="385" applyNumberFormat="0" applyAlignment="0" applyProtection="0"/>
    <xf numFmtId="0" fontId="68" fillId="20"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16" fillId="23" borderId="384" applyNumberFormat="0" applyFont="0" applyAlignment="0" applyProtection="0"/>
    <xf numFmtId="0" fontId="80" fillId="0" borderId="386" applyNumberFormat="0" applyFill="0" applyAlignment="0" applyProtection="0"/>
    <xf numFmtId="0" fontId="68" fillId="20" borderId="383" applyNumberFormat="0" applyAlignment="0" applyProtection="0"/>
    <xf numFmtId="0" fontId="16" fillId="23" borderId="384" applyNumberFormat="0" applyFon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78" fillId="20" borderId="385" applyNumberFormat="0" applyAlignment="0" applyProtection="0"/>
    <xf numFmtId="0" fontId="16" fillId="23" borderId="384" applyNumberFormat="0" applyFon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8" fillId="20" borderId="385" applyNumberFormat="0" applyAlignment="0" applyProtection="0"/>
    <xf numFmtId="0" fontId="68" fillId="20" borderId="383" applyNumberFormat="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75" fillId="7"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16" fillId="23" borderId="384" applyNumberFormat="0" applyFont="0" applyAlignment="0" applyProtection="0"/>
    <xf numFmtId="0" fontId="80" fillId="0" borderId="386" applyNumberFormat="0" applyFill="0" applyAlignment="0" applyProtection="0"/>
    <xf numFmtId="0" fontId="75" fillId="7" borderId="383" applyNumberForma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75" fillId="7" borderId="383" applyNumberFormat="0" applyAlignment="0" applyProtection="0"/>
    <xf numFmtId="0" fontId="68" fillId="20" borderId="383" applyNumberFormat="0" applyAlignment="0" applyProtection="0"/>
    <xf numFmtId="0" fontId="78" fillId="20" borderId="385"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16" fillId="23" borderId="384" applyNumberFormat="0" applyFont="0" applyAlignment="0" applyProtection="0"/>
    <xf numFmtId="0" fontId="78" fillId="20" borderId="385" applyNumberFormat="0" applyAlignment="0" applyProtection="0"/>
    <xf numFmtId="0" fontId="16" fillId="23" borderId="384" applyNumberFormat="0" applyFon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16" fillId="23" borderId="384" applyNumberFormat="0" applyFont="0" applyAlignment="0" applyProtection="0"/>
    <xf numFmtId="0" fontId="78" fillId="20" borderId="385" applyNumberForma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78" fillId="20" borderId="385" applyNumberFormat="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68" fillId="20" borderId="383" applyNumberFormat="0" applyAlignment="0" applyProtection="0"/>
    <xf numFmtId="9" fontId="5" fillId="0" borderId="0" applyFont="0" applyFill="0" applyBorder="0" applyAlignment="0" applyProtection="0"/>
    <xf numFmtId="0" fontId="5" fillId="0" borderId="0"/>
    <xf numFmtId="0" fontId="68" fillId="20" borderId="383" applyNumberFormat="0" applyAlignment="0" applyProtection="0"/>
    <xf numFmtId="0" fontId="68" fillId="20" borderId="383" applyNumberFormat="0" applyAlignment="0" applyProtection="0"/>
    <xf numFmtId="43" fontId="5" fillId="0" borderId="0" applyFont="0" applyFill="0" applyBorder="0" applyAlignment="0" applyProtection="0"/>
    <xf numFmtId="0" fontId="5" fillId="0" borderId="0"/>
    <xf numFmtId="0" fontId="5" fillId="0" borderId="0"/>
    <xf numFmtId="0" fontId="5" fillId="0" borderId="0"/>
    <xf numFmtId="0" fontId="68" fillId="20" borderId="383" applyNumberFormat="0" applyAlignment="0" applyProtection="0"/>
    <xf numFmtId="0" fontId="78" fillId="20" borderId="385" applyNumberFormat="0" applyAlignment="0" applyProtection="0"/>
    <xf numFmtId="0" fontId="68" fillId="20"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68" fillId="20"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5" fillId="0" borderId="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75" fillId="7" borderId="383" applyNumberFormat="0" applyAlignment="0" applyProtection="0"/>
    <xf numFmtId="0" fontId="68" fillId="20" borderId="383" applyNumberFormat="0" applyAlignment="0" applyProtection="0"/>
    <xf numFmtId="0" fontId="68" fillId="20"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78" fillId="20" borderId="385" applyNumberFormat="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16" fillId="23" borderId="384" applyNumberFormat="0" applyFon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16" fillId="23" borderId="384" applyNumberFormat="0" applyFont="0" applyAlignment="0" applyProtection="0"/>
    <xf numFmtId="0" fontId="75" fillId="7" borderId="383" applyNumberFormat="0" applyAlignment="0" applyProtection="0"/>
    <xf numFmtId="0" fontId="68" fillId="20" borderId="383" applyNumberFormat="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75" fillId="7" borderId="383" applyNumberFormat="0" applyAlignment="0" applyProtection="0"/>
    <xf numFmtId="0" fontId="78" fillId="20" borderId="385" applyNumberFormat="0" applyAlignment="0" applyProtection="0"/>
    <xf numFmtId="0" fontId="68" fillId="20"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16" fillId="23" borderId="384" applyNumberFormat="0" applyFont="0" applyAlignment="0" applyProtection="0"/>
    <xf numFmtId="0" fontId="80" fillId="0" borderId="386" applyNumberFormat="0" applyFill="0" applyAlignment="0" applyProtection="0"/>
    <xf numFmtId="0" fontId="68" fillId="20" borderId="383" applyNumberFormat="0" applyAlignment="0" applyProtection="0"/>
    <xf numFmtId="0" fontId="16" fillId="23" borderId="384" applyNumberFormat="0" applyFon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78" fillId="20" borderId="385" applyNumberFormat="0" applyAlignment="0" applyProtection="0"/>
    <xf numFmtId="0" fontId="16" fillId="23" borderId="384" applyNumberFormat="0" applyFon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8" fillId="20" borderId="385" applyNumberFormat="0" applyAlignment="0" applyProtection="0"/>
    <xf numFmtId="0" fontId="68" fillId="20" borderId="383" applyNumberFormat="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75" fillId="7"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80" fillId="0" borderId="386" applyNumberFormat="0" applyFill="0" applyAlignment="0" applyProtection="0"/>
    <xf numFmtId="0" fontId="75" fillId="7" borderId="383" applyNumberForma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68" fillId="20" borderId="383" applyNumberFormat="0" applyAlignment="0" applyProtection="0"/>
    <xf numFmtId="0" fontId="78" fillId="20" borderId="385"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16" fillId="23" borderId="384" applyNumberFormat="0" applyFont="0" applyAlignment="0" applyProtection="0"/>
    <xf numFmtId="0" fontId="78" fillId="20" borderId="385" applyNumberFormat="0" applyAlignment="0" applyProtection="0"/>
    <xf numFmtId="0" fontId="16" fillId="23" borderId="384" applyNumberFormat="0" applyFont="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78" fillId="20" borderId="385" applyNumberForma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78" fillId="20" borderId="385" applyNumberFormat="0" applyAlignment="0" applyProtection="0"/>
    <xf numFmtId="0" fontId="75" fillId="7" borderId="383" applyNumberFormat="0" applyAlignment="0" applyProtection="0"/>
    <xf numFmtId="0" fontId="75" fillId="7" borderId="383" applyNumberFormat="0" applyAlignment="0" applyProtection="0"/>
    <xf numFmtId="0" fontId="68" fillId="20" borderId="383" applyNumberFormat="0" applyAlignment="0" applyProtection="0"/>
    <xf numFmtId="9" fontId="5" fillId="0" borderId="0" applyFont="0" applyFill="0" applyBorder="0" applyAlignment="0" applyProtection="0"/>
    <xf numFmtId="0" fontId="5" fillId="0" borderId="0"/>
    <xf numFmtId="0" fontId="68" fillId="20" borderId="383" applyNumberFormat="0" applyAlignment="0" applyProtection="0"/>
    <xf numFmtId="0" fontId="68" fillId="20" borderId="383" applyNumberFormat="0" applyAlignment="0" applyProtection="0"/>
    <xf numFmtId="43" fontId="5" fillId="0" borderId="0" applyFont="0" applyFill="0" applyBorder="0" applyAlignment="0" applyProtection="0"/>
    <xf numFmtId="0" fontId="5" fillId="0" borderId="0"/>
    <xf numFmtId="0" fontId="5" fillId="0" borderId="0"/>
    <xf numFmtId="0" fontId="5" fillId="0" borderId="0"/>
    <xf numFmtId="0" fontId="68" fillId="20" borderId="383" applyNumberFormat="0" applyAlignment="0" applyProtection="0"/>
    <xf numFmtId="0" fontId="78" fillId="20" borderId="385" applyNumberFormat="0" applyAlignment="0" applyProtection="0"/>
    <xf numFmtId="0" fontId="16" fillId="23" borderId="384" applyNumberFormat="0" applyFont="0" applyAlignment="0" applyProtection="0"/>
    <xf numFmtId="0" fontId="78" fillId="20" borderId="385"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68" fillId="20"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78" fillId="20" borderId="385" applyNumberFormat="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16" fillId="23" borderId="384" applyNumberFormat="0" applyFon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75" fillId="7" borderId="383" applyNumberFormat="0" applyAlignment="0" applyProtection="0"/>
    <xf numFmtId="0" fontId="68" fillId="20" borderId="383" applyNumberFormat="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75" fillId="7" borderId="383" applyNumberFormat="0" applyAlignment="0" applyProtection="0"/>
    <xf numFmtId="0" fontId="78" fillId="20" borderId="385" applyNumberFormat="0" applyAlignment="0" applyProtection="0"/>
    <xf numFmtId="0" fontId="68" fillId="20"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16" fillId="23" borderId="384" applyNumberFormat="0" applyFont="0" applyAlignment="0" applyProtection="0"/>
    <xf numFmtId="0" fontId="80" fillId="0" borderId="386" applyNumberFormat="0" applyFill="0" applyAlignment="0" applyProtection="0"/>
    <xf numFmtId="0" fontId="68" fillId="20" borderId="383" applyNumberFormat="0" applyAlignment="0" applyProtection="0"/>
    <xf numFmtId="0" fontId="16" fillId="23" borderId="384" applyNumberFormat="0" applyFon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78" fillId="20" borderId="385" applyNumberFormat="0" applyAlignment="0" applyProtection="0"/>
    <xf numFmtId="0" fontId="16" fillId="23" borderId="384" applyNumberFormat="0" applyFon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8" fillId="20" borderId="385" applyNumberFormat="0" applyAlignment="0" applyProtection="0"/>
    <xf numFmtId="0" fontId="68" fillId="20" borderId="383" applyNumberFormat="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75" fillId="7"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16" fillId="23" borderId="384" applyNumberFormat="0" applyFont="0" applyAlignment="0" applyProtection="0"/>
    <xf numFmtId="0" fontId="80" fillId="0" borderId="386" applyNumberFormat="0" applyFill="0" applyAlignment="0" applyProtection="0"/>
    <xf numFmtId="0" fontId="75" fillId="7" borderId="383" applyNumberForma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75" fillId="7" borderId="383" applyNumberFormat="0" applyAlignment="0" applyProtection="0"/>
    <xf numFmtId="0" fontId="68" fillId="20" borderId="383" applyNumberFormat="0" applyAlignment="0" applyProtection="0"/>
    <xf numFmtId="0" fontId="78" fillId="20" borderId="385"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16" fillId="23" borderId="384" applyNumberFormat="0" applyFont="0" applyAlignment="0" applyProtection="0"/>
    <xf numFmtId="0" fontId="78" fillId="20" borderId="385" applyNumberFormat="0" applyAlignment="0" applyProtection="0"/>
    <xf numFmtId="0" fontId="16" fillId="23" borderId="384" applyNumberFormat="0" applyFon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16" fillId="23" borderId="384" applyNumberFormat="0" applyFont="0" applyAlignment="0" applyProtection="0"/>
    <xf numFmtId="0" fontId="78" fillId="20" borderId="385" applyNumberForma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78" fillId="20" borderId="385" applyNumberFormat="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78" fillId="20" borderId="385" applyNumberFormat="0" applyAlignment="0" applyProtection="0"/>
    <xf numFmtId="0" fontId="68" fillId="20"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68" fillId="20"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78" fillId="20" borderId="385" applyNumberFormat="0" applyAlignment="0" applyProtection="0"/>
    <xf numFmtId="0" fontId="16" fillId="23" borderId="384" applyNumberFormat="0" applyFont="0" applyAlignment="0" applyProtection="0"/>
    <xf numFmtId="0" fontId="75" fillId="7" borderId="383" applyNumberFormat="0" applyAlignment="0" applyProtection="0"/>
    <xf numFmtId="0" fontId="68" fillId="20" borderId="383" applyNumberFormat="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75" fillId="7" borderId="383" applyNumberFormat="0" applyAlignment="0" applyProtection="0"/>
    <xf numFmtId="0" fontId="68" fillId="20"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16" fillId="23" borderId="384" applyNumberFormat="0" applyFont="0" applyAlignment="0" applyProtection="0"/>
    <xf numFmtId="0" fontId="75" fillId="7" borderId="383" applyNumberFormat="0" applyAlignment="0" applyProtection="0"/>
    <xf numFmtId="0" fontId="68" fillId="20"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75" fillId="7" borderId="383" applyNumberFormat="0" applyAlignment="0" applyProtection="0"/>
    <xf numFmtId="0" fontId="68" fillId="20"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16" fillId="23" borderId="384" applyNumberFormat="0" applyFont="0" applyAlignment="0" applyProtection="0"/>
    <xf numFmtId="0" fontId="80" fillId="0" borderId="386" applyNumberFormat="0" applyFill="0" applyAlignment="0" applyProtection="0"/>
    <xf numFmtId="0" fontId="68" fillId="20" borderId="383" applyNumberFormat="0" applyAlignment="0" applyProtection="0"/>
    <xf numFmtId="0" fontId="16" fillId="23" borderId="384" applyNumberFormat="0" applyFon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80" fillId="0" borderId="386" applyNumberFormat="0" applyFill="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16" fillId="23" borderId="384" applyNumberFormat="0" applyFon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68" fillId="20" borderId="383" applyNumberFormat="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16" fillId="23" borderId="384" applyNumberFormat="0" applyFon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16" fillId="23" borderId="384" applyNumberFormat="0" applyFont="0" applyAlignment="0" applyProtection="0"/>
    <xf numFmtId="0" fontId="80" fillId="0" borderId="386" applyNumberFormat="0" applyFill="0" applyAlignment="0" applyProtection="0"/>
    <xf numFmtId="0" fontId="75" fillId="7" borderId="383" applyNumberFormat="0" applyAlignment="0" applyProtection="0"/>
    <xf numFmtId="0" fontId="68" fillId="20"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75" fillId="7" borderId="383" applyNumberFormat="0" applyAlignment="0" applyProtection="0"/>
    <xf numFmtId="0" fontId="68" fillId="20"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16" fillId="23" borderId="384" applyNumberFormat="0" applyFont="0" applyAlignment="0" applyProtection="0"/>
    <xf numFmtId="0" fontId="16" fillId="23" borderId="384" applyNumberFormat="0" applyFon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68" fillId="20" borderId="383" applyNumberFormat="0" applyAlignment="0" applyProtection="0"/>
    <xf numFmtId="9" fontId="5" fillId="0" borderId="0" applyFont="0" applyFill="0" applyBorder="0" applyAlignment="0" applyProtection="0"/>
    <xf numFmtId="0" fontId="5" fillId="0" borderId="0"/>
    <xf numFmtId="0" fontId="68" fillId="20" borderId="383" applyNumberFormat="0" applyAlignment="0" applyProtection="0"/>
    <xf numFmtId="0" fontId="68" fillId="20" borderId="383" applyNumberFormat="0" applyAlignment="0" applyProtection="0"/>
    <xf numFmtId="43" fontId="5" fillId="0" borderId="0" applyFont="0" applyFill="0" applyBorder="0" applyAlignment="0" applyProtection="0"/>
    <xf numFmtId="0" fontId="5" fillId="0" borderId="0"/>
    <xf numFmtId="0" fontId="5" fillId="0" borderId="0"/>
    <xf numFmtId="0" fontId="5" fillId="0" borderId="0"/>
    <xf numFmtId="0" fontId="68" fillId="20" borderId="383" applyNumberFormat="0" applyAlignment="0" applyProtection="0"/>
    <xf numFmtId="0" fontId="68" fillId="20" borderId="383" applyNumberFormat="0" applyAlignment="0" applyProtection="0"/>
    <xf numFmtId="0" fontId="16" fillId="23" borderId="384" applyNumberFormat="0" applyFon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16" fillId="23" borderId="384" applyNumberFormat="0" applyFont="0" applyAlignment="0" applyProtection="0"/>
    <xf numFmtId="0" fontId="68" fillId="20"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80" fillId="0" borderId="386" applyNumberFormat="0" applyFill="0" applyAlignment="0" applyProtection="0"/>
    <xf numFmtId="0" fontId="5" fillId="0" borderId="0"/>
    <xf numFmtId="0" fontId="68" fillId="20"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16" fillId="23" borderId="384" applyNumberFormat="0" applyFont="0" applyAlignment="0" applyProtection="0"/>
    <xf numFmtId="0" fontId="75" fillId="7" borderId="383" applyNumberFormat="0" applyAlignment="0" applyProtection="0"/>
    <xf numFmtId="0" fontId="68" fillId="20"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75" fillId="7" borderId="383" applyNumberFormat="0" applyAlignment="0" applyProtection="0"/>
    <xf numFmtId="0" fontId="68" fillId="20"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16" fillId="23" borderId="384" applyNumberFormat="0" applyFont="0" applyAlignment="0" applyProtection="0"/>
    <xf numFmtId="0" fontId="80" fillId="0" borderId="386" applyNumberFormat="0" applyFill="0" applyAlignment="0" applyProtection="0"/>
    <xf numFmtId="0" fontId="68" fillId="20" borderId="383" applyNumberFormat="0" applyAlignment="0" applyProtection="0"/>
    <xf numFmtId="0" fontId="16" fillId="23" borderId="384" applyNumberFormat="0" applyFon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80" fillId="0" borderId="386" applyNumberFormat="0" applyFill="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16" fillId="23" borderId="384" applyNumberFormat="0" applyFon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68" fillId="20" borderId="383" applyNumberFormat="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16" fillId="23" borderId="384" applyNumberFormat="0" applyFon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80" fillId="0" borderId="386" applyNumberFormat="0" applyFill="0" applyAlignment="0" applyProtection="0"/>
    <xf numFmtId="0" fontId="75" fillId="7" borderId="383" applyNumberFormat="0" applyAlignment="0" applyProtection="0"/>
    <xf numFmtId="0" fontId="68" fillId="20"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68" fillId="20"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16" fillId="23" borderId="384" applyNumberFormat="0" applyFont="0" applyAlignment="0" applyProtection="0"/>
    <xf numFmtId="0" fontId="16" fillId="23" borderId="384" applyNumberFormat="0" applyFont="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68" fillId="20" borderId="383" applyNumberFormat="0" applyAlignment="0" applyProtection="0"/>
    <xf numFmtId="9" fontId="5" fillId="0" borderId="0" applyFont="0" applyFill="0" applyBorder="0" applyAlignment="0" applyProtection="0"/>
    <xf numFmtId="0" fontId="5" fillId="0" borderId="0"/>
    <xf numFmtId="0" fontId="68" fillId="20" borderId="383" applyNumberFormat="0" applyAlignment="0" applyProtection="0"/>
    <xf numFmtId="0" fontId="68" fillId="20" borderId="383" applyNumberFormat="0" applyAlignment="0" applyProtection="0"/>
    <xf numFmtId="43" fontId="5" fillId="0" borderId="0" applyFont="0" applyFill="0" applyBorder="0" applyAlignment="0" applyProtection="0"/>
    <xf numFmtId="0" fontId="5" fillId="0" borderId="0"/>
    <xf numFmtId="0" fontId="5" fillId="0" borderId="0"/>
    <xf numFmtId="0" fontId="5" fillId="0" borderId="0"/>
    <xf numFmtId="0" fontId="68" fillId="20" borderId="383" applyNumberFormat="0" applyAlignment="0" applyProtection="0"/>
    <xf numFmtId="0" fontId="16" fillId="23" borderId="384" applyNumberFormat="0" applyFon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16" fillId="23" borderId="384" applyNumberFormat="0" applyFont="0" applyAlignment="0" applyProtection="0"/>
    <xf numFmtId="0" fontId="68" fillId="20"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80" fillId="0" borderId="386" applyNumberFormat="0" applyFill="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16" fillId="23" borderId="384" applyNumberFormat="0" applyFont="0" applyAlignment="0" applyProtection="0"/>
    <xf numFmtId="0" fontId="75" fillId="7" borderId="383" applyNumberFormat="0" applyAlignment="0" applyProtection="0"/>
    <xf numFmtId="0" fontId="68" fillId="20"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75" fillId="7" borderId="383" applyNumberFormat="0" applyAlignment="0" applyProtection="0"/>
    <xf numFmtId="0" fontId="68" fillId="20"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16" fillId="23" borderId="384" applyNumberFormat="0" applyFont="0" applyAlignment="0" applyProtection="0"/>
    <xf numFmtId="0" fontId="80" fillId="0" borderId="386" applyNumberFormat="0" applyFill="0" applyAlignment="0" applyProtection="0"/>
    <xf numFmtId="0" fontId="68" fillId="20" borderId="383" applyNumberFormat="0" applyAlignment="0" applyProtection="0"/>
    <xf numFmtId="0" fontId="16" fillId="23" borderId="384" applyNumberFormat="0" applyFon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80" fillId="0" borderId="386" applyNumberFormat="0" applyFill="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16" fillId="23" borderId="384" applyNumberFormat="0" applyFon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68" fillId="20" borderId="383" applyNumberFormat="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16" fillId="23" borderId="384" applyNumberFormat="0" applyFon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16" fillId="23" borderId="384" applyNumberFormat="0" applyFont="0" applyAlignment="0" applyProtection="0"/>
    <xf numFmtId="0" fontId="80" fillId="0" borderId="386" applyNumberFormat="0" applyFill="0" applyAlignment="0" applyProtection="0"/>
    <xf numFmtId="0" fontId="75" fillId="7" borderId="383" applyNumberFormat="0" applyAlignment="0" applyProtection="0"/>
    <xf numFmtId="0" fontId="68" fillId="20"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75" fillId="7" borderId="383" applyNumberFormat="0" applyAlignment="0" applyProtection="0"/>
    <xf numFmtId="0" fontId="68" fillId="20"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16" fillId="23" borderId="384" applyNumberFormat="0" applyFont="0" applyAlignment="0" applyProtection="0"/>
    <xf numFmtId="0" fontId="16" fillId="23" borderId="384" applyNumberFormat="0" applyFon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16" fillId="23" borderId="384" applyNumberFormat="0" applyFon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16" fillId="23" borderId="384" applyNumberFormat="0" applyFont="0" applyAlignment="0" applyProtection="0"/>
    <xf numFmtId="0" fontId="68" fillId="20"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78" fillId="20" borderId="385" applyNumberFormat="0" applyAlignment="0" applyProtection="0"/>
    <xf numFmtId="0" fontId="16" fillId="23" borderId="384" applyNumberFormat="0" applyFont="0" applyAlignment="0" applyProtection="0"/>
    <xf numFmtId="0" fontId="75" fillId="7" borderId="383" applyNumberFormat="0" applyAlignment="0" applyProtection="0"/>
    <xf numFmtId="0" fontId="68" fillId="20"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78" fillId="20" borderId="385" applyNumberFormat="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16" fillId="23" borderId="384" applyNumberFormat="0" applyFon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75" fillId="7" borderId="383" applyNumberFormat="0" applyAlignment="0" applyProtection="0"/>
    <xf numFmtId="0" fontId="68" fillId="20" borderId="383" applyNumberFormat="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75" fillId="7" borderId="383" applyNumberFormat="0" applyAlignment="0" applyProtection="0"/>
    <xf numFmtId="0" fontId="78" fillId="20" borderId="385" applyNumberFormat="0" applyAlignment="0" applyProtection="0"/>
    <xf numFmtId="0" fontId="68" fillId="20"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16" fillId="23" borderId="384" applyNumberFormat="0" applyFont="0" applyAlignment="0" applyProtection="0"/>
    <xf numFmtId="0" fontId="80" fillId="0" borderId="386" applyNumberFormat="0" applyFill="0" applyAlignment="0" applyProtection="0"/>
    <xf numFmtId="0" fontId="68" fillId="20" borderId="383" applyNumberFormat="0" applyAlignment="0" applyProtection="0"/>
    <xf numFmtId="0" fontId="16" fillId="23" borderId="384" applyNumberFormat="0" applyFon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78" fillId="20" borderId="385" applyNumberFormat="0" applyAlignment="0" applyProtection="0"/>
    <xf numFmtId="0" fontId="16" fillId="23" borderId="384" applyNumberFormat="0" applyFon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8" fillId="20" borderId="385" applyNumberFormat="0" applyAlignment="0" applyProtection="0"/>
    <xf numFmtId="0" fontId="68" fillId="20" borderId="383" applyNumberFormat="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75" fillId="7"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16" fillId="23" borderId="384" applyNumberFormat="0" applyFont="0" applyAlignment="0" applyProtection="0"/>
    <xf numFmtId="0" fontId="80" fillId="0" borderId="386" applyNumberFormat="0" applyFill="0" applyAlignment="0" applyProtection="0"/>
    <xf numFmtId="0" fontId="75" fillId="7" borderId="383" applyNumberForma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75" fillId="7" borderId="383" applyNumberFormat="0" applyAlignment="0" applyProtection="0"/>
    <xf numFmtId="0" fontId="68" fillId="20" borderId="383" applyNumberFormat="0" applyAlignment="0" applyProtection="0"/>
    <xf numFmtId="0" fontId="78" fillId="20" borderId="385"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16" fillId="23" borderId="384" applyNumberFormat="0" applyFont="0" applyAlignment="0" applyProtection="0"/>
    <xf numFmtId="0" fontId="78" fillId="20" borderId="385" applyNumberFormat="0" applyAlignment="0" applyProtection="0"/>
    <xf numFmtId="0" fontId="16" fillId="23" borderId="384" applyNumberFormat="0" applyFon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16" fillId="23" borderId="384" applyNumberFormat="0" applyFont="0" applyAlignment="0" applyProtection="0"/>
    <xf numFmtId="0" fontId="78" fillId="20" borderId="385" applyNumberForma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78" fillId="20" borderId="385" applyNumberFormat="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78" fillId="20" borderId="385" applyNumberFormat="0" applyAlignment="0" applyProtection="0"/>
    <xf numFmtId="0" fontId="68" fillId="20"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68" fillId="20"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68" fillId="20"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78" fillId="20" borderId="385" applyNumberFormat="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16" fillId="23" borderId="384" applyNumberFormat="0" applyFon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75" fillId="7" borderId="383" applyNumberFormat="0" applyAlignment="0" applyProtection="0"/>
    <xf numFmtId="0" fontId="68" fillId="20" borderId="383" applyNumberFormat="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75" fillId="7" borderId="383" applyNumberFormat="0" applyAlignment="0" applyProtection="0"/>
    <xf numFmtId="0" fontId="78" fillId="20" borderId="385" applyNumberFormat="0" applyAlignment="0" applyProtection="0"/>
    <xf numFmtId="0" fontId="68" fillId="20"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16" fillId="23" borderId="384" applyNumberFormat="0" applyFont="0" applyAlignment="0" applyProtection="0"/>
    <xf numFmtId="0" fontId="80" fillId="0" borderId="386" applyNumberFormat="0" applyFill="0" applyAlignment="0" applyProtection="0"/>
    <xf numFmtId="0" fontId="68" fillId="20" borderId="383" applyNumberFormat="0" applyAlignment="0" applyProtection="0"/>
    <xf numFmtId="0" fontId="16" fillId="23" borderId="384" applyNumberFormat="0" applyFon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78" fillId="20" borderId="385" applyNumberFormat="0" applyAlignment="0" applyProtection="0"/>
    <xf numFmtId="0" fontId="16" fillId="23" borderId="384" applyNumberFormat="0" applyFon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8" fillId="20" borderId="385" applyNumberFormat="0" applyAlignment="0" applyProtection="0"/>
    <xf numFmtId="0" fontId="68" fillId="20" borderId="383" applyNumberFormat="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75" fillId="7"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80" fillId="0" borderId="386" applyNumberFormat="0" applyFill="0" applyAlignment="0" applyProtection="0"/>
    <xf numFmtId="0" fontId="75" fillId="7" borderId="383" applyNumberForma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68" fillId="20" borderId="383" applyNumberFormat="0" applyAlignment="0" applyProtection="0"/>
    <xf numFmtId="0" fontId="78" fillId="20" borderId="385"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16" fillId="23" borderId="384" applyNumberFormat="0" applyFont="0" applyAlignment="0" applyProtection="0"/>
    <xf numFmtId="0" fontId="78" fillId="20" borderId="385" applyNumberFormat="0" applyAlignment="0" applyProtection="0"/>
    <xf numFmtId="0" fontId="16" fillId="23" borderId="384" applyNumberFormat="0" applyFont="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78" fillId="20" borderId="385" applyNumberForma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78" fillId="20" borderId="385" applyNumberFormat="0" applyAlignment="0" applyProtection="0"/>
    <xf numFmtId="0" fontId="75" fillId="7" borderId="383" applyNumberFormat="0" applyAlignment="0" applyProtection="0"/>
    <xf numFmtId="0" fontId="75" fillId="7"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78" fillId="20" borderId="385" applyNumberFormat="0" applyAlignment="0" applyProtection="0"/>
    <xf numFmtId="0" fontId="16" fillId="23" borderId="384" applyNumberFormat="0" applyFont="0" applyAlignment="0" applyProtection="0"/>
    <xf numFmtId="0" fontId="78" fillId="20" borderId="385"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68" fillId="20"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78" fillId="20" borderId="385" applyNumberFormat="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16" fillId="23" borderId="384" applyNumberFormat="0" applyFon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75" fillId="7" borderId="383" applyNumberFormat="0" applyAlignment="0" applyProtection="0"/>
    <xf numFmtId="0" fontId="68" fillId="20" borderId="383" applyNumberFormat="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75" fillId="7" borderId="383" applyNumberFormat="0" applyAlignment="0" applyProtection="0"/>
    <xf numFmtId="0" fontId="78" fillId="20" borderId="385" applyNumberFormat="0" applyAlignment="0" applyProtection="0"/>
    <xf numFmtId="0" fontId="68" fillId="20"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16" fillId="23" borderId="384" applyNumberFormat="0" applyFont="0" applyAlignment="0" applyProtection="0"/>
    <xf numFmtId="0" fontId="80" fillId="0" borderId="386" applyNumberFormat="0" applyFill="0" applyAlignment="0" applyProtection="0"/>
    <xf numFmtId="0" fontId="68" fillId="20" borderId="383" applyNumberFormat="0" applyAlignment="0" applyProtection="0"/>
    <xf numFmtId="0" fontId="16" fillId="23" borderId="384" applyNumberFormat="0" applyFon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78" fillId="20" borderId="385" applyNumberFormat="0" applyAlignment="0" applyProtection="0"/>
    <xf numFmtId="0" fontId="16" fillId="23" borderId="384" applyNumberFormat="0" applyFon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8" fillId="20" borderId="385" applyNumberFormat="0" applyAlignment="0" applyProtection="0"/>
    <xf numFmtId="0" fontId="68" fillId="20" borderId="383" applyNumberFormat="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75" fillId="7"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16" fillId="23" borderId="384" applyNumberFormat="0" applyFont="0" applyAlignment="0" applyProtection="0"/>
    <xf numFmtId="0" fontId="80" fillId="0" borderId="386" applyNumberFormat="0" applyFill="0" applyAlignment="0" applyProtection="0"/>
    <xf numFmtId="0" fontId="75" fillId="7" borderId="383" applyNumberForma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75" fillId="7" borderId="383" applyNumberFormat="0" applyAlignment="0" applyProtection="0"/>
    <xf numFmtId="0" fontId="68" fillId="20" borderId="383" applyNumberFormat="0" applyAlignment="0" applyProtection="0"/>
    <xf numFmtId="0" fontId="78" fillId="20" borderId="385"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16" fillId="23" borderId="384" applyNumberFormat="0" applyFont="0" applyAlignment="0" applyProtection="0"/>
    <xf numFmtId="0" fontId="78" fillId="20" borderId="385" applyNumberFormat="0" applyAlignment="0" applyProtection="0"/>
    <xf numFmtId="0" fontId="16" fillId="23" borderId="384" applyNumberFormat="0" applyFon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16" fillId="23" borderId="384" applyNumberFormat="0" applyFont="0" applyAlignment="0" applyProtection="0"/>
    <xf numFmtId="0" fontId="78" fillId="20" borderId="385" applyNumberForma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78" fillId="20" borderId="385" applyNumberFormat="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78" fillId="20" borderId="385" applyNumberFormat="0" applyAlignment="0" applyProtection="0"/>
    <xf numFmtId="0" fontId="68" fillId="20"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68" fillId="20"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78" fillId="20" borderId="385" applyNumberFormat="0" applyAlignment="0" applyProtection="0"/>
    <xf numFmtId="0" fontId="16" fillId="23" borderId="384" applyNumberFormat="0" applyFont="0" applyAlignment="0" applyProtection="0"/>
    <xf numFmtId="0" fontId="75" fillId="7" borderId="383" applyNumberFormat="0" applyAlignment="0" applyProtection="0"/>
    <xf numFmtId="0" fontId="68" fillId="20" borderId="383" applyNumberFormat="0" applyAlignment="0" applyProtection="0"/>
    <xf numFmtId="0" fontId="5" fillId="0" borderId="0"/>
    <xf numFmtId="0" fontId="78" fillId="20" borderId="385" applyNumberFormat="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5" fillId="0" borderId="0"/>
    <xf numFmtId="0" fontId="78" fillId="20" borderId="385" applyNumberFormat="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80" fillId="0" borderId="386" applyNumberFormat="0" applyFill="0" applyAlignment="0" applyProtection="0"/>
    <xf numFmtId="0" fontId="16" fillId="23" borderId="384" applyNumberFormat="0" applyFont="0" applyAlignment="0" applyProtection="0"/>
    <xf numFmtId="0" fontId="78" fillId="20" borderId="385" applyNumberFormat="0" applyAlignment="0" applyProtection="0"/>
    <xf numFmtId="0" fontId="78" fillId="20" borderId="385" applyNumberFormat="0" applyAlignment="0" applyProtection="0"/>
    <xf numFmtId="0" fontId="75" fillId="7" borderId="383" applyNumberFormat="0" applyAlignment="0" applyProtection="0"/>
    <xf numFmtId="0" fontId="68" fillId="20" borderId="383" applyNumberFormat="0" applyAlignment="0" applyProtection="0"/>
    <xf numFmtId="0" fontId="78" fillId="20" borderId="385"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75" fillId="7" borderId="383" applyNumberFormat="0" applyAlignment="0" applyProtection="0"/>
    <xf numFmtId="0" fontId="78" fillId="20" borderId="385"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75" fillId="7" borderId="383" applyNumberFormat="0" applyAlignment="0" applyProtection="0"/>
    <xf numFmtId="0" fontId="68" fillId="20" borderId="383" applyNumberFormat="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78" fillId="20" borderId="385"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78" fillId="20" borderId="385" applyNumberFormat="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78" fillId="20" borderId="385" applyNumberFormat="0" applyAlignment="0" applyProtection="0"/>
    <xf numFmtId="0" fontId="68" fillId="20" borderId="383"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16" fillId="23" borderId="384" applyNumberFormat="0" applyFon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68" fillId="20" borderId="383"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68" fillId="20" borderId="383" applyNumberFormat="0" applyAlignment="0" applyProtection="0"/>
    <xf numFmtId="0" fontId="68" fillId="20" borderId="383"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68" fillId="20"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75" fillId="7" borderId="383" applyNumberFormat="0" applyAlignment="0" applyProtection="0"/>
    <xf numFmtId="0" fontId="68" fillId="20"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75" fillId="7" borderId="383" applyNumberFormat="0" applyAlignment="0" applyProtection="0"/>
    <xf numFmtId="0" fontId="68" fillId="20"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75" fillId="7" borderId="383" applyNumberFormat="0" applyAlignment="0" applyProtection="0"/>
    <xf numFmtId="0" fontId="68" fillId="20"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78" fillId="20" borderId="385" applyNumberFormat="0" applyAlignment="0" applyProtection="0"/>
    <xf numFmtId="0" fontId="78" fillId="20" borderId="385" applyNumberFormat="0" applyAlignment="0" applyProtection="0"/>
    <xf numFmtId="0" fontId="68" fillId="20" borderId="383" applyNumberFormat="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5" fillId="7" borderId="383"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80" fillId="0" borderId="386" applyNumberFormat="0" applyFill="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16" fillId="23" borderId="384" applyNumberFormat="0" applyFont="0" applyAlignment="0" applyProtection="0"/>
    <xf numFmtId="0" fontId="78" fillId="20" borderId="385" applyNumberFormat="0" applyAlignment="0" applyProtection="0"/>
    <xf numFmtId="0" fontId="16" fillId="23" borderId="384" applyNumberFormat="0" applyFont="0" applyAlignment="0" applyProtection="0"/>
    <xf numFmtId="0" fontId="68" fillId="20" borderId="383" applyNumberFormat="0" applyAlignment="0" applyProtection="0"/>
    <xf numFmtId="0" fontId="78" fillId="20" borderId="385" applyNumberFormat="0" applyAlignment="0" applyProtection="0"/>
    <xf numFmtId="0" fontId="75" fillId="7"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16" fillId="23" borderId="384" applyNumberFormat="0" applyFont="0" applyAlignment="0" applyProtection="0"/>
    <xf numFmtId="0" fontId="80" fillId="0" borderId="386" applyNumberFormat="0" applyFill="0" applyAlignment="0" applyProtection="0"/>
    <xf numFmtId="0" fontId="75" fillId="7" borderId="383" applyNumberForma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75" fillId="7" borderId="383" applyNumberFormat="0" applyAlignment="0" applyProtection="0"/>
    <xf numFmtId="0" fontId="68" fillId="20" borderId="383" applyNumberFormat="0" applyAlignment="0" applyProtection="0"/>
    <xf numFmtId="0" fontId="78" fillId="20" borderId="385"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16" fillId="23" borderId="384" applyNumberFormat="0" applyFont="0" applyAlignment="0" applyProtection="0"/>
    <xf numFmtId="0" fontId="78" fillId="20" borderId="385" applyNumberFormat="0" applyAlignment="0" applyProtection="0"/>
    <xf numFmtId="0" fontId="16" fillId="23" borderId="384" applyNumberFormat="0" applyFon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16" fillId="23" borderId="384" applyNumberFormat="0" applyFont="0" applyAlignment="0" applyProtection="0"/>
    <xf numFmtId="0" fontId="78" fillId="20" borderId="385" applyNumberForma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78" fillId="20" borderId="385" applyNumberFormat="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78" fillId="20" borderId="385" applyNumberFormat="0" applyAlignment="0" applyProtection="0"/>
    <xf numFmtId="0" fontId="68" fillId="20"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68" fillId="20"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68" fillId="20"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78" fillId="20" borderId="385" applyNumberFormat="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16" fillId="23" borderId="384" applyNumberFormat="0" applyFon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75" fillId="7" borderId="383" applyNumberFormat="0" applyAlignment="0" applyProtection="0"/>
    <xf numFmtId="0" fontId="68" fillId="20" borderId="383" applyNumberFormat="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75" fillId="7" borderId="383" applyNumberFormat="0" applyAlignment="0" applyProtection="0"/>
    <xf numFmtId="0" fontId="78" fillId="20" borderId="385" applyNumberFormat="0" applyAlignment="0" applyProtection="0"/>
    <xf numFmtId="0" fontId="68" fillId="20"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16" fillId="23" borderId="384" applyNumberFormat="0" applyFont="0" applyAlignment="0" applyProtection="0"/>
    <xf numFmtId="0" fontId="80" fillId="0" borderId="386" applyNumberFormat="0" applyFill="0" applyAlignment="0" applyProtection="0"/>
    <xf numFmtId="0" fontId="68" fillId="20" borderId="383" applyNumberFormat="0" applyAlignment="0" applyProtection="0"/>
    <xf numFmtId="0" fontId="16" fillId="23" borderId="384" applyNumberFormat="0" applyFon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78" fillId="20" borderId="385" applyNumberFormat="0" applyAlignment="0" applyProtection="0"/>
    <xf numFmtId="0" fontId="16" fillId="23" borderId="384" applyNumberFormat="0" applyFon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8" fillId="20" borderId="385" applyNumberFormat="0" applyAlignment="0" applyProtection="0"/>
    <xf numFmtId="0" fontId="68" fillId="20" borderId="383" applyNumberFormat="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75" fillId="7"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80" fillId="0" borderId="386" applyNumberFormat="0" applyFill="0" applyAlignment="0" applyProtection="0"/>
    <xf numFmtId="0" fontId="75" fillId="7" borderId="383" applyNumberForma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68" fillId="20" borderId="383" applyNumberFormat="0" applyAlignment="0" applyProtection="0"/>
    <xf numFmtId="0" fontId="78" fillId="20" borderId="385"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16" fillId="23" borderId="384" applyNumberFormat="0" applyFont="0" applyAlignment="0" applyProtection="0"/>
    <xf numFmtId="0" fontId="78" fillId="20" borderId="385" applyNumberFormat="0" applyAlignment="0" applyProtection="0"/>
    <xf numFmtId="0" fontId="16" fillId="23" borderId="384" applyNumberFormat="0" applyFont="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78" fillId="20" borderId="385" applyNumberForma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78" fillId="20" borderId="385" applyNumberFormat="0" applyAlignment="0" applyProtection="0"/>
    <xf numFmtId="0" fontId="75" fillId="7" borderId="383" applyNumberFormat="0" applyAlignment="0" applyProtection="0"/>
    <xf numFmtId="0" fontId="75" fillId="7"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78" fillId="20" borderId="385" applyNumberFormat="0" applyAlignment="0" applyProtection="0"/>
    <xf numFmtId="0" fontId="16" fillId="23" borderId="384" applyNumberFormat="0" applyFont="0" applyAlignment="0" applyProtection="0"/>
    <xf numFmtId="0" fontId="78" fillId="20" borderId="385"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68" fillId="20"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78" fillId="20" borderId="385" applyNumberFormat="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16" fillId="23" borderId="384" applyNumberFormat="0" applyFon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75" fillId="7" borderId="383" applyNumberFormat="0" applyAlignment="0" applyProtection="0"/>
    <xf numFmtId="0" fontId="68" fillId="20" borderId="383" applyNumberFormat="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75" fillId="7" borderId="383" applyNumberFormat="0" applyAlignment="0" applyProtection="0"/>
    <xf numFmtId="0" fontId="78" fillId="20" borderId="385" applyNumberFormat="0" applyAlignment="0" applyProtection="0"/>
    <xf numFmtId="0" fontId="68" fillId="20"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16" fillId="23" borderId="384" applyNumberFormat="0" applyFont="0" applyAlignment="0" applyProtection="0"/>
    <xf numFmtId="0" fontId="80" fillId="0" borderId="386" applyNumberFormat="0" applyFill="0" applyAlignment="0" applyProtection="0"/>
    <xf numFmtId="0" fontId="68" fillId="20" borderId="383" applyNumberFormat="0" applyAlignment="0" applyProtection="0"/>
    <xf numFmtId="0" fontId="16" fillId="23" borderId="384" applyNumberFormat="0" applyFon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78" fillId="20" borderId="385" applyNumberFormat="0" applyAlignment="0" applyProtection="0"/>
    <xf numFmtId="0" fontId="16" fillId="23" borderId="384" applyNumberFormat="0" applyFon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8" fillId="20" borderId="385" applyNumberFormat="0" applyAlignment="0" applyProtection="0"/>
    <xf numFmtId="0" fontId="68" fillId="20" borderId="383" applyNumberFormat="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75" fillId="7"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16" fillId="23" borderId="384" applyNumberFormat="0" applyFont="0" applyAlignment="0" applyProtection="0"/>
    <xf numFmtId="0" fontId="80" fillId="0" borderId="386" applyNumberFormat="0" applyFill="0" applyAlignment="0" applyProtection="0"/>
    <xf numFmtId="0" fontId="75" fillId="7" borderId="383" applyNumberForma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75" fillId="7" borderId="383" applyNumberFormat="0" applyAlignment="0" applyProtection="0"/>
    <xf numFmtId="0" fontId="68" fillId="20" borderId="383" applyNumberFormat="0" applyAlignment="0" applyProtection="0"/>
    <xf numFmtId="0" fontId="78" fillId="20" borderId="385"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16" fillId="23" borderId="384" applyNumberFormat="0" applyFont="0" applyAlignment="0" applyProtection="0"/>
    <xf numFmtId="0" fontId="78" fillId="20" borderId="385" applyNumberFormat="0" applyAlignment="0" applyProtection="0"/>
    <xf numFmtId="0" fontId="16" fillId="23" borderId="384" applyNumberFormat="0" applyFon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16" fillId="23" borderId="384" applyNumberFormat="0" applyFont="0" applyAlignment="0" applyProtection="0"/>
    <xf numFmtId="0" fontId="78" fillId="20" borderId="385" applyNumberForma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78" fillId="20" borderId="385" applyNumberFormat="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78" fillId="20" borderId="385" applyNumberFormat="0" applyAlignment="0" applyProtection="0"/>
    <xf numFmtId="0" fontId="68" fillId="20"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68" fillId="20"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78" fillId="20" borderId="385" applyNumberFormat="0" applyAlignment="0" applyProtection="0"/>
    <xf numFmtId="0" fontId="16" fillId="23" borderId="384" applyNumberFormat="0" applyFont="0" applyAlignment="0" applyProtection="0"/>
    <xf numFmtId="0" fontId="75" fillId="7"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78" fillId="20" borderId="385" applyNumberFormat="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16" fillId="23" borderId="384" applyNumberFormat="0" applyFon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75" fillId="7" borderId="383" applyNumberFormat="0" applyAlignment="0" applyProtection="0"/>
    <xf numFmtId="0" fontId="68" fillId="20" borderId="383" applyNumberFormat="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75" fillId="7" borderId="383" applyNumberFormat="0" applyAlignment="0" applyProtection="0"/>
    <xf numFmtId="0" fontId="78" fillId="20" borderId="385" applyNumberFormat="0" applyAlignment="0" applyProtection="0"/>
    <xf numFmtId="0" fontId="68" fillId="20"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16" fillId="23" borderId="384" applyNumberFormat="0" applyFont="0" applyAlignment="0" applyProtection="0"/>
    <xf numFmtId="0" fontId="80" fillId="0" borderId="386" applyNumberFormat="0" applyFill="0" applyAlignment="0" applyProtection="0"/>
    <xf numFmtId="0" fontId="68" fillId="20" borderId="383" applyNumberFormat="0" applyAlignment="0" applyProtection="0"/>
    <xf numFmtId="0" fontId="16" fillId="23" borderId="384" applyNumberFormat="0" applyFon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78" fillId="20" borderId="385" applyNumberFormat="0" applyAlignment="0" applyProtection="0"/>
    <xf numFmtId="0" fontId="16" fillId="23" borderId="384" applyNumberFormat="0" applyFon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8" fillId="20" borderId="385" applyNumberFormat="0" applyAlignment="0" applyProtection="0"/>
    <xf numFmtId="0" fontId="68" fillId="20" borderId="383" applyNumberFormat="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75" fillId="7"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16" fillId="23" borderId="384" applyNumberFormat="0" applyFont="0" applyAlignment="0" applyProtection="0"/>
    <xf numFmtId="0" fontId="80" fillId="0" borderId="386" applyNumberFormat="0" applyFill="0" applyAlignment="0" applyProtection="0"/>
    <xf numFmtId="0" fontId="75" fillId="7" borderId="383" applyNumberForma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75" fillId="7" borderId="383" applyNumberFormat="0" applyAlignment="0" applyProtection="0"/>
    <xf numFmtId="0" fontId="68" fillId="20" borderId="383" applyNumberFormat="0" applyAlignment="0" applyProtection="0"/>
    <xf numFmtId="0" fontId="78" fillId="20" borderId="385"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16" fillId="23" borderId="384" applyNumberFormat="0" applyFont="0" applyAlignment="0" applyProtection="0"/>
    <xf numFmtId="0" fontId="78" fillId="20" borderId="385" applyNumberFormat="0" applyAlignment="0" applyProtection="0"/>
    <xf numFmtId="0" fontId="16" fillId="23" borderId="384" applyNumberFormat="0" applyFon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16" fillId="23" borderId="384" applyNumberFormat="0" applyFont="0" applyAlignment="0" applyProtection="0"/>
    <xf numFmtId="0" fontId="78" fillId="20" borderId="385" applyNumberForma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78" fillId="20" borderId="385" applyNumberFormat="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78" fillId="20" borderId="385" applyNumberFormat="0" applyAlignment="0" applyProtection="0"/>
    <xf numFmtId="0" fontId="68" fillId="20"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68" fillId="20"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68" fillId="20"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78" fillId="20" borderId="385" applyNumberFormat="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16" fillId="23" borderId="384" applyNumberFormat="0" applyFon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75" fillId="7" borderId="383" applyNumberFormat="0" applyAlignment="0" applyProtection="0"/>
    <xf numFmtId="0" fontId="68" fillId="20" borderId="383" applyNumberFormat="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75" fillId="7" borderId="383" applyNumberFormat="0" applyAlignment="0" applyProtection="0"/>
    <xf numFmtId="0" fontId="78" fillId="20" borderId="385" applyNumberFormat="0" applyAlignment="0" applyProtection="0"/>
    <xf numFmtId="0" fontId="68" fillId="20"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16" fillId="23" borderId="384" applyNumberFormat="0" applyFont="0" applyAlignment="0" applyProtection="0"/>
    <xf numFmtId="0" fontId="80" fillId="0" borderId="386" applyNumberFormat="0" applyFill="0" applyAlignment="0" applyProtection="0"/>
    <xf numFmtId="0" fontId="68" fillId="20" borderId="383" applyNumberFormat="0" applyAlignment="0" applyProtection="0"/>
    <xf numFmtId="0" fontId="16" fillId="23" borderId="384" applyNumberFormat="0" applyFon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78" fillId="20" borderId="385" applyNumberFormat="0" applyAlignment="0" applyProtection="0"/>
    <xf numFmtId="0" fontId="16" fillId="23" borderId="384" applyNumberFormat="0" applyFon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8" fillId="20" borderId="385" applyNumberFormat="0" applyAlignment="0" applyProtection="0"/>
    <xf numFmtId="0" fontId="68" fillId="20" borderId="383" applyNumberFormat="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75" fillId="7"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80" fillId="0" borderId="386" applyNumberFormat="0" applyFill="0" applyAlignment="0" applyProtection="0"/>
    <xf numFmtId="0" fontId="75" fillId="7" borderId="383" applyNumberForma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68" fillId="20" borderId="383" applyNumberFormat="0" applyAlignment="0" applyProtection="0"/>
    <xf numFmtId="0" fontId="78" fillId="20" borderId="385"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16" fillId="23" borderId="384" applyNumberFormat="0" applyFont="0" applyAlignment="0" applyProtection="0"/>
    <xf numFmtId="0" fontId="78" fillId="20" borderId="385" applyNumberFormat="0" applyAlignment="0" applyProtection="0"/>
    <xf numFmtId="0" fontId="16" fillId="23" borderId="384" applyNumberFormat="0" applyFont="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78" fillId="20" borderId="385" applyNumberForma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78" fillId="20" borderId="385" applyNumberFormat="0" applyAlignment="0" applyProtection="0"/>
    <xf numFmtId="0" fontId="75" fillId="7" borderId="383" applyNumberFormat="0" applyAlignment="0" applyProtection="0"/>
    <xf numFmtId="0" fontId="75" fillId="7"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78" fillId="20" borderId="385" applyNumberFormat="0" applyAlignment="0" applyProtection="0"/>
    <xf numFmtId="0" fontId="16" fillId="23" borderId="384" applyNumberFormat="0" applyFont="0" applyAlignment="0" applyProtection="0"/>
    <xf numFmtId="0" fontId="78" fillId="20" borderId="385"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68" fillId="20"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78" fillId="20" borderId="385" applyNumberFormat="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16" fillId="23" borderId="384" applyNumberFormat="0" applyFon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75" fillId="7" borderId="383" applyNumberFormat="0" applyAlignment="0" applyProtection="0"/>
    <xf numFmtId="0" fontId="68" fillId="20" borderId="383" applyNumberFormat="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75" fillId="7" borderId="383" applyNumberFormat="0" applyAlignment="0" applyProtection="0"/>
    <xf numFmtId="0" fontId="78" fillId="20" borderId="385" applyNumberFormat="0" applyAlignment="0" applyProtection="0"/>
    <xf numFmtId="0" fontId="68" fillId="20"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16" fillId="23" borderId="384" applyNumberFormat="0" applyFont="0" applyAlignment="0" applyProtection="0"/>
    <xf numFmtId="0" fontId="80" fillId="0" borderId="386" applyNumberFormat="0" applyFill="0" applyAlignment="0" applyProtection="0"/>
    <xf numFmtId="0" fontId="68" fillId="20" borderId="383" applyNumberFormat="0" applyAlignment="0" applyProtection="0"/>
    <xf numFmtId="0" fontId="16" fillId="23" borderId="384" applyNumberFormat="0" applyFon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5" fillId="7"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78" fillId="20" borderId="385" applyNumberFormat="0" applyAlignment="0" applyProtection="0"/>
    <xf numFmtId="0" fontId="16" fillId="23" borderId="384" applyNumberFormat="0" applyFon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8" fillId="20" borderId="385" applyNumberFormat="0" applyAlignment="0" applyProtection="0"/>
    <xf numFmtId="0" fontId="68" fillId="20" borderId="383" applyNumberFormat="0" applyAlignment="0" applyProtection="0"/>
    <xf numFmtId="0" fontId="16" fillId="23" borderId="384" applyNumberFormat="0" applyFont="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75" fillId="7"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68" fillId="20" borderId="383" applyNumberFormat="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16" fillId="23" borderId="384" applyNumberFormat="0" applyFont="0" applyAlignment="0" applyProtection="0"/>
    <xf numFmtId="0" fontId="80" fillId="0" borderId="386" applyNumberFormat="0" applyFill="0" applyAlignment="0" applyProtection="0"/>
    <xf numFmtId="0" fontId="75" fillId="7" borderId="383" applyNumberForma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75" fillId="7" borderId="383" applyNumberFormat="0" applyAlignment="0" applyProtection="0"/>
    <xf numFmtId="0" fontId="75" fillId="7" borderId="383" applyNumberFormat="0" applyAlignment="0" applyProtection="0"/>
    <xf numFmtId="0" fontId="68" fillId="20" borderId="383" applyNumberFormat="0" applyAlignment="0" applyProtection="0"/>
    <xf numFmtId="0" fontId="78" fillId="20" borderId="385"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16" fillId="23" borderId="384" applyNumberFormat="0" applyFont="0" applyAlignment="0" applyProtection="0"/>
    <xf numFmtId="0" fontId="78" fillId="20" borderId="385" applyNumberFormat="0" applyAlignment="0" applyProtection="0"/>
    <xf numFmtId="0" fontId="16" fillId="23" borderId="384" applyNumberFormat="0" applyFon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16" fillId="23" borderId="384" applyNumberFormat="0" applyFont="0" applyAlignment="0" applyProtection="0"/>
    <xf numFmtId="0" fontId="78" fillId="20" borderId="385" applyNumberFormat="0" applyAlignment="0" applyProtection="0"/>
    <xf numFmtId="0" fontId="78" fillId="20" borderId="385" applyNumberFormat="0" applyAlignment="0" applyProtection="0"/>
    <xf numFmtId="0" fontId="68" fillId="20" borderId="383"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78" fillId="20" borderId="385" applyNumberFormat="0" applyAlignment="0" applyProtection="0"/>
    <xf numFmtId="0" fontId="75" fillId="7" borderId="383" applyNumberFormat="0" applyAlignment="0" applyProtection="0"/>
    <xf numFmtId="0" fontId="78" fillId="20" borderId="385" applyNumberFormat="0" applyAlignment="0" applyProtection="0"/>
    <xf numFmtId="0" fontId="75" fillId="7"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78" fillId="20" borderId="385" applyNumberFormat="0" applyAlignment="0" applyProtection="0"/>
    <xf numFmtId="0" fontId="68" fillId="20"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78" fillId="20" borderId="385" applyNumberFormat="0" applyAlignment="0" applyProtection="0"/>
    <xf numFmtId="0" fontId="80" fillId="0" borderId="386" applyNumberFormat="0" applyFill="0" applyAlignment="0" applyProtection="0"/>
    <xf numFmtId="0" fontId="16" fillId="23" borderId="384" applyNumberFormat="0" applyFont="0" applyAlignment="0" applyProtection="0"/>
    <xf numFmtId="0" fontId="68" fillId="20" borderId="383" applyNumberFormat="0" applyAlignment="0" applyProtection="0"/>
    <xf numFmtId="0" fontId="75" fillId="7" borderId="383" applyNumberFormat="0" applyAlignment="0" applyProtection="0"/>
    <xf numFmtId="0" fontId="80" fillId="0" borderId="386" applyNumberFormat="0" applyFill="0" applyAlignment="0" applyProtection="0"/>
    <xf numFmtId="0" fontId="68" fillId="20" borderId="383" applyNumberFormat="0" applyAlignment="0" applyProtection="0"/>
    <xf numFmtId="0" fontId="68" fillId="20" borderId="383" applyNumberFormat="0" applyAlignment="0" applyProtection="0"/>
    <xf numFmtId="0" fontId="80" fillId="0" borderId="386" applyNumberFormat="0" applyFill="0" applyAlignment="0" applyProtection="0"/>
    <xf numFmtId="0" fontId="78" fillId="20" borderId="385" applyNumberFormat="0" applyAlignment="0" applyProtection="0"/>
    <xf numFmtId="0" fontId="16" fillId="23" borderId="384" applyNumberFormat="0" applyFont="0" applyAlignment="0" applyProtection="0"/>
    <xf numFmtId="0" fontId="80" fillId="0" borderId="386" applyNumberFormat="0" applyFill="0" applyAlignment="0" applyProtection="0"/>
    <xf numFmtId="0" fontId="80" fillId="0" borderId="386" applyNumberFormat="0" applyFill="0" applyAlignment="0" applyProtection="0"/>
    <xf numFmtId="0" fontId="78" fillId="20" borderId="385" applyNumberFormat="0" applyAlignment="0" applyProtection="0"/>
    <xf numFmtId="0" fontId="16" fillId="23" borderId="384" applyNumberFormat="0" applyFont="0" applyAlignment="0" applyProtection="0"/>
    <xf numFmtId="0" fontId="75" fillId="7"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68" fillId="20"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75" fillId="7" borderId="383" applyNumberForma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16" fillId="23" borderId="384" applyNumberFormat="0" applyFon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78" fillId="20" borderId="385" applyNumberFormat="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4" fillId="0" borderId="0"/>
    <xf numFmtId="0" fontId="110" fillId="0" borderId="0"/>
    <xf numFmtId="0" fontId="65" fillId="2" borderId="0" applyNumberFormat="0" applyBorder="0" applyAlignment="0" applyProtection="0"/>
    <xf numFmtId="0" fontId="65" fillId="3" borderId="0" applyNumberFormat="0" applyBorder="0" applyAlignment="0" applyProtection="0"/>
    <xf numFmtId="0" fontId="65" fillId="4" borderId="0" applyNumberFormat="0" applyBorder="0" applyAlignment="0" applyProtection="0"/>
    <xf numFmtId="0" fontId="65" fillId="5" borderId="0" applyNumberFormat="0" applyBorder="0" applyAlignment="0" applyProtection="0"/>
    <xf numFmtId="0" fontId="65" fillId="6" borderId="0" applyNumberFormat="0" applyBorder="0" applyAlignment="0" applyProtection="0"/>
    <xf numFmtId="0" fontId="65" fillId="7" borderId="0" applyNumberFormat="0" applyBorder="0" applyAlignment="0" applyProtection="0"/>
    <xf numFmtId="0" fontId="65" fillId="8"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5" borderId="0" applyNumberFormat="0" applyBorder="0" applyAlignment="0" applyProtection="0"/>
    <xf numFmtId="0" fontId="65" fillId="8" borderId="0" applyNumberFormat="0" applyBorder="0" applyAlignment="0" applyProtection="0"/>
    <xf numFmtId="0" fontId="65" fillId="11" borderId="0" applyNumberFormat="0" applyBorder="0" applyAlignment="0" applyProtection="0"/>
    <xf numFmtId="0" fontId="66" fillId="12" borderId="0" applyNumberFormat="0" applyBorder="0" applyAlignment="0" applyProtection="0"/>
    <xf numFmtId="0" fontId="66" fillId="9" borderId="0" applyNumberFormat="0" applyBorder="0" applyAlignment="0" applyProtection="0"/>
    <xf numFmtId="0" fontId="66" fillId="10"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15"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19" borderId="0" applyNumberFormat="0" applyBorder="0" applyAlignment="0" applyProtection="0"/>
    <xf numFmtId="0" fontId="67" fillId="3" borderId="0" applyNumberFormat="0" applyBorder="0" applyAlignment="0" applyProtection="0"/>
    <xf numFmtId="0" fontId="68" fillId="20" borderId="387" applyNumberFormat="0" applyAlignment="0" applyProtection="0"/>
    <xf numFmtId="0" fontId="69" fillId="21" borderId="2" applyNumberFormat="0" applyAlignment="0" applyProtection="0"/>
    <xf numFmtId="43" fontId="16" fillId="0" borderId="0" applyFont="0" applyFill="0" applyBorder="0" applyAlignment="0" applyProtection="0"/>
    <xf numFmtId="44" fontId="16" fillId="0" borderId="0" applyFont="0" applyFill="0" applyBorder="0" applyAlignment="0" applyProtection="0"/>
    <xf numFmtId="0" fontId="70" fillId="0" borderId="0" applyNumberFormat="0" applyFill="0" applyBorder="0" applyAlignment="0" applyProtection="0"/>
    <xf numFmtId="0" fontId="71" fillId="4" borderId="0" applyNumberFormat="0" applyBorder="0" applyAlignment="0" applyProtection="0"/>
    <xf numFmtId="0" fontId="72" fillId="0" borderId="3" applyNumberFormat="0" applyFill="0" applyAlignment="0" applyProtection="0"/>
    <xf numFmtId="0" fontId="73" fillId="0" borderId="4" applyNumberFormat="0" applyFill="0" applyAlignment="0" applyProtection="0"/>
    <xf numFmtId="0" fontId="74" fillId="0" borderId="5" applyNumberFormat="0" applyFill="0" applyAlignment="0" applyProtection="0"/>
    <xf numFmtId="0" fontId="74" fillId="0" borderId="0" applyNumberFormat="0" applyFill="0" applyBorder="0" applyAlignment="0" applyProtection="0"/>
    <xf numFmtId="0" fontId="75" fillId="7" borderId="387" applyNumberFormat="0" applyAlignment="0" applyProtection="0"/>
    <xf numFmtId="0" fontId="76" fillId="0" borderId="6" applyNumberFormat="0" applyFill="0" applyAlignment="0" applyProtection="0"/>
    <xf numFmtId="0" fontId="77" fillId="22" borderId="0" applyNumberFormat="0" applyBorder="0" applyAlignment="0" applyProtection="0"/>
    <xf numFmtId="0" fontId="16" fillId="23" borderId="388" applyNumberFormat="0" applyFont="0" applyAlignment="0" applyProtection="0"/>
    <xf numFmtId="0" fontId="78" fillId="20" borderId="389" applyNumberFormat="0" applyAlignment="0" applyProtection="0"/>
    <xf numFmtId="9" fontId="16" fillId="0" borderId="0" applyFont="0" applyFill="0" applyBorder="0" applyAlignment="0" applyProtection="0"/>
    <xf numFmtId="0" fontId="79" fillId="0" borderId="0" applyNumberFormat="0" applyFill="0" applyBorder="0" applyAlignment="0" applyProtection="0"/>
    <xf numFmtId="0" fontId="80" fillId="0" borderId="390" applyNumberFormat="0" applyFill="0" applyAlignment="0" applyProtection="0"/>
    <xf numFmtId="0" fontId="81" fillId="0" borderId="0" applyNumberForma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16"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16" fillId="0" borderId="0"/>
    <xf numFmtId="0" fontId="110" fillId="0" borderId="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10" fillId="0" borderId="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75" fillId="7"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68" fillId="20" borderId="387"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80" fillId="0" borderId="390" applyNumberFormat="0" applyFill="0" applyAlignment="0" applyProtection="0"/>
    <xf numFmtId="0" fontId="75" fillId="7" borderId="387"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75" fillId="7" borderId="387" applyNumberFormat="0" applyAlignment="0" applyProtection="0"/>
    <xf numFmtId="0" fontId="75" fillId="7" borderId="387" applyNumberFormat="0" applyAlignment="0" applyProtection="0"/>
    <xf numFmtId="0" fontId="68" fillId="20" borderId="387" applyNumberFormat="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16" fillId="23" borderId="388" applyNumberFormat="0" applyFont="0" applyAlignment="0" applyProtection="0"/>
    <xf numFmtId="0" fontId="78" fillId="20" borderId="389" applyNumberFormat="0" applyAlignment="0" applyProtection="0"/>
    <xf numFmtId="0" fontId="78" fillId="20" borderId="389" applyNumberFormat="0" applyAlignment="0" applyProtection="0"/>
    <xf numFmtId="0" fontId="68" fillId="20" borderId="387"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75" fillId="7" borderId="387" applyNumberFormat="0" applyAlignment="0" applyProtection="0"/>
    <xf numFmtId="0" fontId="78" fillId="20" borderId="389" applyNumberFormat="0" applyAlignment="0" applyProtection="0"/>
    <xf numFmtId="0" fontId="75" fillId="7"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68" fillId="20" borderId="387" applyNumberFormat="0" applyAlignment="0" applyProtection="0"/>
    <xf numFmtId="0" fontId="78" fillId="20" borderId="389" applyNumberFormat="0" applyAlignment="0" applyProtection="0"/>
    <xf numFmtId="0" fontId="68" fillId="20"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75" fillId="7" borderId="387" applyNumberFormat="0" applyAlignment="0" applyProtection="0"/>
    <xf numFmtId="0" fontId="75" fillId="7" borderId="387" applyNumberFormat="0" applyAlignment="0" applyProtection="0"/>
    <xf numFmtId="0" fontId="75" fillId="7" borderId="387" applyNumberFormat="0" applyAlignment="0" applyProtection="0"/>
    <xf numFmtId="0" fontId="16" fillId="23" borderId="388" applyNumberFormat="0" applyFont="0" applyAlignment="0" applyProtection="0"/>
    <xf numFmtId="0" fontId="78" fillId="20" borderId="389" applyNumberFormat="0" applyAlignment="0" applyProtection="0"/>
    <xf numFmtId="0" fontId="80" fillId="0" borderId="390" applyNumberFormat="0" applyFill="0" applyAlignment="0" applyProtection="0"/>
    <xf numFmtId="0" fontId="16" fillId="23" borderId="388" applyNumberFormat="0" applyFont="0" applyAlignment="0" applyProtection="0"/>
    <xf numFmtId="0" fontId="68" fillId="20" borderId="387" applyNumberFormat="0" applyAlignment="0" applyProtection="0"/>
    <xf numFmtId="0" fontId="75" fillId="7" borderId="387" applyNumberFormat="0" applyAlignment="0" applyProtection="0"/>
    <xf numFmtId="0" fontId="80" fillId="0" borderId="390" applyNumberFormat="0" applyFill="0" applyAlignment="0" applyProtection="0"/>
    <xf numFmtId="0" fontId="68" fillId="20" borderId="387" applyNumberFormat="0" applyAlignment="0" applyProtection="0"/>
    <xf numFmtId="0" fontId="68" fillId="20" borderId="387" applyNumberFormat="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80" fillId="0" borderId="390" applyNumberFormat="0" applyFill="0" applyAlignment="0" applyProtection="0"/>
    <xf numFmtId="0" fontId="80" fillId="0" borderId="390" applyNumberFormat="0" applyFill="0" applyAlignment="0" applyProtection="0"/>
    <xf numFmtId="0" fontId="78" fillId="20" borderId="389" applyNumberFormat="0" applyAlignment="0" applyProtection="0"/>
    <xf numFmtId="0" fontId="16" fillId="23" borderId="388" applyNumberFormat="0" applyFont="0" applyAlignment="0" applyProtection="0"/>
    <xf numFmtId="0" fontId="75" fillId="7" borderId="387" applyNumberFormat="0" applyAlignment="0" applyProtection="0"/>
    <xf numFmtId="0" fontId="68" fillId="20" borderId="387" applyNumberFormat="0" applyAlignment="0" applyProtection="0"/>
    <xf numFmtId="0" fontId="110" fillId="0" borderId="0"/>
    <xf numFmtId="0" fontId="16" fillId="0" borderId="0"/>
    <xf numFmtId="0" fontId="16" fillId="0" borderId="0"/>
    <xf numFmtId="0" fontId="16"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9" fontId="3" fillId="0" borderId="0" applyFont="0" applyFill="0" applyBorder="0" applyAlignment="0" applyProtection="0"/>
    <xf numFmtId="0" fontId="3" fillId="0" borderId="0"/>
    <xf numFmtId="0" fontId="68" fillId="20" borderId="391" applyNumberFormat="0" applyAlignment="0" applyProtection="0"/>
    <xf numFmtId="0" fontId="68" fillId="20" borderId="391" applyNumberFormat="0" applyAlignment="0" applyProtection="0"/>
    <xf numFmtId="43" fontId="3" fillId="0" borderId="0" applyFont="0" applyFill="0" applyBorder="0" applyAlignment="0" applyProtection="0"/>
    <xf numFmtId="0" fontId="3" fillId="0" borderId="0"/>
    <xf numFmtId="0" fontId="3" fillId="0" borderId="0"/>
    <xf numFmtId="0" fontId="3" fillId="0" borderId="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3" fillId="0" borderId="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9" fontId="3" fillId="0" borderId="0" applyFont="0" applyFill="0" applyBorder="0" applyAlignment="0" applyProtection="0"/>
    <xf numFmtId="0" fontId="3" fillId="0" borderId="0"/>
    <xf numFmtId="0" fontId="68" fillId="20" borderId="391" applyNumberFormat="0" applyAlignment="0" applyProtection="0"/>
    <xf numFmtId="0" fontId="68" fillId="20" borderId="391" applyNumberFormat="0" applyAlignment="0" applyProtection="0"/>
    <xf numFmtId="43" fontId="3" fillId="0" borderId="0" applyFont="0" applyFill="0" applyBorder="0" applyAlignment="0" applyProtection="0"/>
    <xf numFmtId="0" fontId="3" fillId="0" borderId="0"/>
    <xf numFmtId="0" fontId="3" fillId="0" borderId="0"/>
    <xf numFmtId="0" fontId="3" fillId="0" borderId="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9" fontId="3" fillId="0" borderId="0" applyFont="0" applyFill="0" applyBorder="0" applyAlignment="0" applyProtection="0"/>
    <xf numFmtId="0" fontId="3" fillId="0" borderId="0"/>
    <xf numFmtId="0" fontId="68" fillId="20" borderId="391" applyNumberFormat="0" applyAlignment="0" applyProtection="0"/>
    <xf numFmtId="0" fontId="68" fillId="20" borderId="391" applyNumberFormat="0" applyAlignment="0" applyProtection="0"/>
    <xf numFmtId="43" fontId="3" fillId="0" borderId="0" applyFont="0" applyFill="0" applyBorder="0" applyAlignment="0" applyProtection="0"/>
    <xf numFmtId="0" fontId="3" fillId="0" borderId="0"/>
    <xf numFmtId="0" fontId="3" fillId="0" borderId="0"/>
    <xf numFmtId="0" fontId="3" fillId="0" borderId="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3" fillId="0" borderId="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9" fontId="3" fillId="0" borderId="0" applyFont="0" applyFill="0" applyBorder="0" applyAlignment="0" applyProtection="0"/>
    <xf numFmtId="0" fontId="3" fillId="0" borderId="0"/>
    <xf numFmtId="0" fontId="68" fillId="20" borderId="391" applyNumberFormat="0" applyAlignment="0" applyProtection="0"/>
    <xf numFmtId="0" fontId="68" fillId="20" borderId="391" applyNumberFormat="0" applyAlignment="0" applyProtection="0"/>
    <xf numFmtId="43" fontId="3" fillId="0" borderId="0" applyFont="0" applyFill="0" applyBorder="0" applyAlignment="0" applyProtection="0"/>
    <xf numFmtId="0" fontId="3" fillId="0" borderId="0"/>
    <xf numFmtId="0" fontId="3" fillId="0" borderId="0"/>
    <xf numFmtId="0" fontId="3" fillId="0" borderId="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3" fillId="0" borderId="0"/>
    <xf numFmtId="0" fontId="78" fillId="20" borderId="393" applyNumberFormat="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3" fillId="0" borderId="0"/>
    <xf numFmtId="0" fontId="78" fillId="20" borderId="393" applyNumberFormat="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9" fontId="3" fillId="0" borderId="0" applyFont="0" applyFill="0" applyBorder="0" applyAlignment="0" applyProtection="0"/>
    <xf numFmtId="0" fontId="3" fillId="0" borderId="0"/>
    <xf numFmtId="0" fontId="68" fillId="20" borderId="391" applyNumberFormat="0" applyAlignment="0" applyProtection="0"/>
    <xf numFmtId="0" fontId="68" fillId="20" borderId="391" applyNumberFormat="0" applyAlignment="0" applyProtection="0"/>
    <xf numFmtId="43" fontId="3" fillId="0" borderId="0" applyFont="0" applyFill="0" applyBorder="0" applyAlignment="0" applyProtection="0"/>
    <xf numFmtId="0" fontId="3" fillId="0" borderId="0"/>
    <xf numFmtId="0" fontId="3" fillId="0" borderId="0"/>
    <xf numFmtId="0" fontId="3" fillId="0" borderId="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3" fillId="0" borderId="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9" fontId="3" fillId="0" borderId="0" applyFont="0" applyFill="0" applyBorder="0" applyAlignment="0" applyProtection="0"/>
    <xf numFmtId="0" fontId="3" fillId="0" borderId="0"/>
    <xf numFmtId="0" fontId="68" fillId="20" borderId="391" applyNumberFormat="0" applyAlignment="0" applyProtection="0"/>
    <xf numFmtId="0" fontId="68" fillId="20" borderId="391" applyNumberFormat="0" applyAlignment="0" applyProtection="0"/>
    <xf numFmtId="43" fontId="3" fillId="0" borderId="0" applyFont="0" applyFill="0" applyBorder="0" applyAlignment="0" applyProtection="0"/>
    <xf numFmtId="0" fontId="3" fillId="0" borderId="0"/>
    <xf numFmtId="0" fontId="3" fillId="0" borderId="0"/>
    <xf numFmtId="0" fontId="3" fillId="0" borderId="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9" fontId="3" fillId="0" borderId="0" applyFont="0" applyFill="0" applyBorder="0" applyAlignment="0" applyProtection="0"/>
    <xf numFmtId="0" fontId="3" fillId="0" borderId="0"/>
    <xf numFmtId="0" fontId="68" fillId="20" borderId="391" applyNumberFormat="0" applyAlignment="0" applyProtection="0"/>
    <xf numFmtId="0" fontId="68" fillId="20" borderId="391" applyNumberFormat="0" applyAlignment="0" applyProtection="0"/>
    <xf numFmtId="43" fontId="3" fillId="0" borderId="0" applyFont="0" applyFill="0" applyBorder="0" applyAlignment="0" applyProtection="0"/>
    <xf numFmtId="0" fontId="3" fillId="0" borderId="0"/>
    <xf numFmtId="0" fontId="3" fillId="0" borderId="0"/>
    <xf numFmtId="0" fontId="3" fillId="0" borderId="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3" fillId="0" borderId="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9" fontId="3" fillId="0" borderId="0" applyFont="0" applyFill="0" applyBorder="0" applyAlignment="0" applyProtection="0"/>
    <xf numFmtId="0" fontId="3" fillId="0" borderId="0"/>
    <xf numFmtId="0" fontId="68" fillId="20" borderId="391" applyNumberFormat="0" applyAlignment="0" applyProtection="0"/>
    <xf numFmtId="0" fontId="68" fillId="20" borderId="391" applyNumberFormat="0" applyAlignment="0" applyProtection="0"/>
    <xf numFmtId="43" fontId="3" fillId="0" borderId="0" applyFont="0" applyFill="0" applyBorder="0" applyAlignment="0" applyProtection="0"/>
    <xf numFmtId="0" fontId="3" fillId="0" borderId="0"/>
    <xf numFmtId="0" fontId="3" fillId="0" borderId="0"/>
    <xf numFmtId="0" fontId="3" fillId="0" borderId="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3" fillId="0" borderId="0"/>
    <xf numFmtId="0" fontId="78" fillId="20" borderId="393" applyNumberFormat="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3" fillId="0" borderId="0"/>
    <xf numFmtId="0" fontId="78" fillId="20" borderId="393" applyNumberFormat="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3" fillId="0" borderId="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75" fillId="7"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68" fillId="20" borderId="391"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80" fillId="0" borderId="394" applyNumberFormat="0" applyFill="0" applyAlignment="0" applyProtection="0"/>
    <xf numFmtId="0" fontId="75" fillId="7" borderId="391"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75" fillId="7" borderId="391" applyNumberFormat="0" applyAlignment="0" applyProtection="0"/>
    <xf numFmtId="0" fontId="75" fillId="7" borderId="391" applyNumberFormat="0" applyAlignment="0" applyProtection="0"/>
    <xf numFmtId="0" fontId="68" fillId="20" borderId="391" applyNumberFormat="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16" fillId="23" borderId="392" applyNumberFormat="0" applyFont="0" applyAlignment="0" applyProtection="0"/>
    <xf numFmtId="0" fontId="78" fillId="20" borderId="393" applyNumberFormat="0" applyAlignment="0" applyProtection="0"/>
    <xf numFmtId="0" fontId="78" fillId="20" borderId="393" applyNumberFormat="0" applyAlignment="0" applyProtection="0"/>
    <xf numFmtId="0" fontId="68" fillId="20" borderId="391"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75" fillId="7" borderId="391" applyNumberFormat="0" applyAlignment="0" applyProtection="0"/>
    <xf numFmtId="0" fontId="78" fillId="20" borderId="393" applyNumberFormat="0" applyAlignment="0" applyProtection="0"/>
    <xf numFmtId="0" fontId="75" fillId="7"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68" fillId="20" borderId="391" applyNumberFormat="0" applyAlignment="0" applyProtection="0"/>
    <xf numFmtId="0" fontId="78" fillId="20" borderId="393" applyNumberFormat="0" applyAlignment="0" applyProtection="0"/>
    <xf numFmtId="0" fontId="68" fillId="20"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75" fillId="7" borderId="391" applyNumberFormat="0" applyAlignment="0" applyProtection="0"/>
    <xf numFmtId="0" fontId="75" fillId="7" borderId="391" applyNumberFormat="0" applyAlignment="0" applyProtection="0"/>
    <xf numFmtId="0" fontId="75" fillId="7" borderId="391" applyNumberFormat="0" applyAlignment="0" applyProtection="0"/>
    <xf numFmtId="0" fontId="16" fillId="23" borderId="392" applyNumberFormat="0" applyFont="0" applyAlignment="0" applyProtection="0"/>
    <xf numFmtId="0" fontId="78" fillId="20" borderId="393" applyNumberFormat="0" applyAlignment="0" applyProtection="0"/>
    <xf numFmtId="0" fontId="80" fillId="0" borderId="394" applyNumberFormat="0" applyFill="0" applyAlignment="0" applyProtection="0"/>
    <xf numFmtId="0" fontId="16" fillId="23" borderId="392" applyNumberFormat="0" applyFont="0" applyAlignment="0" applyProtection="0"/>
    <xf numFmtId="0" fontId="68" fillId="20" borderId="391" applyNumberFormat="0" applyAlignment="0" applyProtection="0"/>
    <xf numFmtId="0" fontId="75" fillId="7" borderId="391" applyNumberFormat="0" applyAlignment="0" applyProtection="0"/>
    <xf numFmtId="0" fontId="80" fillId="0" borderId="394" applyNumberFormat="0" applyFill="0" applyAlignment="0" applyProtection="0"/>
    <xf numFmtId="0" fontId="68" fillId="20" borderId="391" applyNumberFormat="0" applyAlignment="0" applyProtection="0"/>
    <xf numFmtId="0" fontId="68" fillId="20" borderId="391" applyNumberFormat="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80" fillId="0" borderId="394" applyNumberFormat="0" applyFill="0" applyAlignment="0" applyProtection="0"/>
    <xf numFmtId="0" fontId="80" fillId="0" borderId="394" applyNumberFormat="0" applyFill="0" applyAlignment="0" applyProtection="0"/>
    <xf numFmtId="0" fontId="78" fillId="20" borderId="393" applyNumberFormat="0" applyAlignment="0" applyProtection="0"/>
    <xf numFmtId="0" fontId="16" fillId="23" borderId="392" applyNumberFormat="0" applyFont="0" applyAlignment="0" applyProtection="0"/>
    <xf numFmtId="0" fontId="75" fillId="7" borderId="391" applyNumberFormat="0" applyAlignment="0" applyProtection="0"/>
    <xf numFmtId="0" fontId="68" fillId="20" borderId="391" applyNumberFormat="0" applyAlignment="0" applyProtection="0"/>
    <xf numFmtId="0" fontId="16" fillId="0" borderId="0"/>
    <xf numFmtId="0" fontId="68" fillId="20" borderId="483" applyNumberFormat="0" applyAlignment="0" applyProtection="0"/>
    <xf numFmtId="0" fontId="75" fillId="7" borderId="483" applyNumberFormat="0" applyAlignment="0" applyProtection="0"/>
    <xf numFmtId="0" fontId="16" fillId="23" borderId="484" applyNumberFormat="0" applyFont="0" applyAlignment="0" applyProtection="0"/>
    <xf numFmtId="0" fontId="78" fillId="20" borderId="485" applyNumberFormat="0" applyAlignment="0" applyProtection="0"/>
    <xf numFmtId="0" fontId="80" fillId="0" borderId="486" applyNumberFormat="0" applyFill="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1" fillId="0" borderId="0"/>
  </cellStyleXfs>
  <cellXfs count="2439">
    <xf numFmtId="0" fontId="0" fillId="0" borderId="0" xfId="0"/>
    <xf numFmtId="0" fontId="18" fillId="0" borderId="0" xfId="0" applyFont="1" applyAlignment="1">
      <alignment horizontal="center"/>
    </xf>
    <xf numFmtId="0" fontId="18" fillId="0" borderId="0" xfId="0" applyFont="1"/>
    <xf numFmtId="164" fontId="18" fillId="0" borderId="0" xfId="28" applyNumberFormat="1" applyFont="1"/>
    <xf numFmtId="166" fontId="18" fillId="0" borderId="0" xfId="0" applyNumberFormat="1" applyFont="1"/>
    <xf numFmtId="3" fontId="18" fillId="0" borderId="0" xfId="0" applyNumberFormat="1" applyFont="1"/>
    <xf numFmtId="6" fontId="18" fillId="0" borderId="0" xfId="0" applyNumberFormat="1" applyFont="1"/>
    <xf numFmtId="0" fontId="19" fillId="0" borderId="0" xfId="0" applyFont="1" applyAlignment="1">
      <alignment horizontal="center"/>
    </xf>
    <xf numFmtId="0" fontId="20" fillId="0" borderId="0" xfId="0" applyFont="1"/>
    <xf numFmtId="0" fontId="18" fillId="0" borderId="10" xfId="0" applyFont="1" applyBorder="1" applyAlignment="1">
      <alignment horizontal="center"/>
    </xf>
    <xf numFmtId="0" fontId="18" fillId="0" borderId="10" xfId="0" applyFont="1" applyBorder="1"/>
    <xf numFmtId="0" fontId="18" fillId="0" borderId="11" xfId="0" applyFont="1" applyBorder="1"/>
    <xf numFmtId="165" fontId="18" fillId="0" borderId="11" xfId="0" applyNumberFormat="1" applyFont="1" applyBorder="1"/>
    <xf numFmtId="0" fontId="18" fillId="0" borderId="12" xfId="0" applyFont="1" applyBorder="1" applyAlignment="1">
      <alignment horizontal="center"/>
    </xf>
    <xf numFmtId="3" fontId="18" fillId="0" borderId="13" xfId="0" applyNumberFormat="1" applyFont="1" applyBorder="1" applyAlignment="1">
      <alignment horizontal="center"/>
    </xf>
    <xf numFmtId="3" fontId="18" fillId="0" borderId="13" xfId="0" applyNumberFormat="1" applyFont="1" applyBorder="1"/>
    <xf numFmtId="165" fontId="18" fillId="0" borderId="13" xfId="0" applyNumberFormat="1" applyFont="1" applyBorder="1"/>
    <xf numFmtId="3" fontId="18" fillId="0" borderId="14" xfId="0" applyNumberFormat="1" applyFont="1" applyBorder="1"/>
    <xf numFmtId="0" fontId="19" fillId="0" borderId="0" xfId="0" applyFont="1"/>
    <xf numFmtId="0" fontId="21" fillId="0" borderId="15" xfId="0" applyFont="1" applyFill="1" applyBorder="1"/>
    <xf numFmtId="0" fontId="21" fillId="0" borderId="16" xfId="0" applyFont="1" applyFill="1" applyBorder="1"/>
    <xf numFmtId="0" fontId="22" fillId="0" borderId="17" xfId="0" applyFont="1" applyFill="1" applyBorder="1"/>
    <xf numFmtId="0" fontId="21" fillId="0" borderId="18" xfId="0" applyFont="1" applyFill="1" applyBorder="1" applyAlignment="1">
      <alignment horizontal="left"/>
    </xf>
    <xf numFmtId="5" fontId="23" fillId="0" borderId="19" xfId="0" applyNumberFormat="1" applyFont="1" applyFill="1" applyBorder="1" applyProtection="1"/>
    <xf numFmtId="0" fontId="21" fillId="0" borderId="20" xfId="0" applyFont="1" applyFill="1" applyBorder="1" applyAlignment="1">
      <alignment horizontal="left"/>
    </xf>
    <xf numFmtId="0" fontId="21" fillId="0" borderId="21" xfId="0" applyFont="1" applyFill="1" applyBorder="1" applyAlignment="1">
      <alignment horizontal="center"/>
    </xf>
    <xf numFmtId="0" fontId="21" fillId="0" borderId="18" xfId="0" applyFont="1" applyFill="1" applyBorder="1"/>
    <xf numFmtId="0" fontId="23" fillId="0" borderId="18" xfId="0" applyFont="1" applyFill="1" applyBorder="1"/>
    <xf numFmtId="0" fontId="21" fillId="0" borderId="18" xfId="0" applyFont="1" applyFill="1" applyBorder="1" applyAlignment="1">
      <alignment horizontal="center"/>
    </xf>
    <xf numFmtId="0" fontId="0" fillId="0" borderId="0" xfId="0" applyBorder="1"/>
    <xf numFmtId="0" fontId="26" fillId="0" borderId="17" xfId="0" applyFont="1" applyFill="1" applyBorder="1" applyAlignment="1">
      <alignment horizontal="left"/>
    </xf>
    <xf numFmtId="5" fontId="26" fillId="0" borderId="23" xfId="0" applyNumberFormat="1" applyFont="1" applyFill="1" applyBorder="1" applyProtection="1"/>
    <xf numFmtId="0" fontId="29" fillId="0" borderId="24" xfId="0" applyFont="1" applyFill="1" applyBorder="1" applyAlignment="1">
      <alignment horizontal="center"/>
    </xf>
    <xf numFmtId="0" fontId="31" fillId="0" borderId="25" xfId="0" applyFont="1" applyFill="1" applyBorder="1" applyAlignment="1">
      <alignment horizontal="center"/>
    </xf>
    <xf numFmtId="0" fontId="33" fillId="0" borderId="12" xfId="0" applyFont="1" applyBorder="1"/>
    <xf numFmtId="6" fontId="33" fillId="0" borderId="12" xfId="0" applyNumberFormat="1" applyFont="1" applyBorder="1"/>
    <xf numFmtId="8" fontId="33" fillId="0" borderId="12" xfId="0" applyNumberFormat="1" applyFont="1" applyBorder="1"/>
    <xf numFmtId="0" fontId="33" fillId="25" borderId="26" xfId="0" applyFont="1" applyFill="1" applyBorder="1" applyAlignment="1">
      <alignment horizontal="center" vertical="center" wrapText="1"/>
    </xf>
    <xf numFmtId="0" fontId="0" fillId="0" borderId="0" xfId="0" applyAlignment="1">
      <alignment horizontal="center"/>
    </xf>
    <xf numFmtId="0" fontId="35" fillId="0" borderId="0" xfId="0" applyFont="1" applyBorder="1" applyAlignment="1">
      <alignment horizontal="center" vertical="center"/>
    </xf>
    <xf numFmtId="6" fontId="0" fillId="0" borderId="0" xfId="0" applyNumberFormat="1"/>
    <xf numFmtId="0" fontId="21" fillId="0" borderId="0" xfId="0" applyFont="1" applyFill="1" applyBorder="1" applyAlignment="1">
      <alignment horizontal="left" vertical="top"/>
    </xf>
    <xf numFmtId="0" fontId="21" fillId="0" borderId="25" xfId="0" applyFont="1" applyFill="1" applyBorder="1" applyAlignment="1">
      <alignment horizontal="left" vertical="top"/>
    </xf>
    <xf numFmtId="0" fontId="21" fillId="0" borderId="28" xfId="0" applyFont="1" applyFill="1" applyBorder="1" applyAlignment="1">
      <alignment horizontal="center"/>
    </xf>
    <xf numFmtId="0" fontId="21" fillId="0" borderId="28" xfId="0" applyFont="1" applyFill="1" applyBorder="1" applyAlignment="1">
      <alignment horizontal="left"/>
    </xf>
    <xf numFmtId="5" fontId="23" fillId="0" borderId="30" xfId="0" applyNumberFormat="1" applyFont="1" applyFill="1" applyBorder="1" applyProtection="1"/>
    <xf numFmtId="0" fontId="21" fillId="0" borderId="31" xfId="0" applyFont="1" applyFill="1" applyBorder="1" applyAlignment="1">
      <alignment horizontal="center"/>
    </xf>
    <xf numFmtId="0" fontId="21" fillId="0" borderId="31" xfId="0" applyFont="1" applyFill="1" applyBorder="1" applyAlignment="1">
      <alignment horizontal="left"/>
    </xf>
    <xf numFmtId="5" fontId="23" fillId="0" borderId="32" xfId="0" applyNumberFormat="1" applyFont="1" applyFill="1" applyBorder="1" applyProtection="1"/>
    <xf numFmtId="6" fontId="0" fillId="0" borderId="13" xfId="0" applyNumberFormat="1" applyBorder="1"/>
    <xf numFmtId="5" fontId="0" fillId="0" borderId="0" xfId="0" applyNumberFormat="1"/>
    <xf numFmtId="0" fontId="0" fillId="0" borderId="0" xfId="0" applyAlignment="1">
      <alignment horizontal="right"/>
    </xf>
    <xf numFmtId="164" fontId="18" fillId="26" borderId="26" xfId="28" applyNumberFormat="1" applyFont="1" applyFill="1" applyBorder="1" applyAlignment="1">
      <alignment horizontal="center"/>
    </xf>
    <xf numFmtId="0" fontId="18" fillId="0" borderId="0" xfId="0" applyFont="1" applyBorder="1"/>
    <xf numFmtId="168" fontId="18" fillId="0" borderId="13" xfId="48" applyNumberFormat="1" applyFont="1" applyBorder="1"/>
    <xf numFmtId="0" fontId="33" fillId="25" borderId="10" xfId="0" applyFont="1" applyFill="1" applyBorder="1" applyAlignment="1">
      <alignment horizontal="center" vertical="center" wrapText="1"/>
    </xf>
    <xf numFmtId="0" fontId="18" fillId="0" borderId="33" xfId="0" applyFont="1" applyBorder="1"/>
    <xf numFmtId="3" fontId="18" fillId="0" borderId="35" xfId="0" applyNumberFormat="1" applyFont="1" applyBorder="1"/>
    <xf numFmtId="164" fontId="18" fillId="26" borderId="36" xfId="28" applyNumberFormat="1" applyFont="1" applyFill="1" applyBorder="1" applyAlignment="1">
      <alignment horizontal="center"/>
    </xf>
    <xf numFmtId="0" fontId="23" fillId="0" borderId="18" xfId="0" applyFont="1" applyFill="1" applyBorder="1" applyAlignment="1">
      <alignment horizontal="left"/>
    </xf>
    <xf numFmtId="0" fontId="0" fillId="0" borderId="0" xfId="0" applyFill="1"/>
    <xf numFmtId="37" fontId="33" fillId="0" borderId="12" xfId="28" applyNumberFormat="1" applyFont="1" applyBorder="1"/>
    <xf numFmtId="165" fontId="18" fillId="0" borderId="11" xfId="0" applyNumberFormat="1" applyFont="1" applyFill="1" applyBorder="1"/>
    <xf numFmtId="165" fontId="18" fillId="0" borderId="13" xfId="0" applyNumberFormat="1" applyFont="1" applyFill="1" applyBorder="1"/>
    <xf numFmtId="5" fontId="23" fillId="0" borderId="22" xfId="0" applyNumberFormat="1" applyFont="1" applyFill="1" applyBorder="1" applyAlignment="1" applyProtection="1">
      <alignment vertical="center"/>
    </xf>
    <xf numFmtId="0" fontId="18" fillId="0" borderId="0" xfId="0" applyFont="1" applyBorder="1" applyAlignment="1" applyProtection="1">
      <alignment horizontal="center"/>
    </xf>
    <xf numFmtId="3" fontId="18" fillId="0" borderId="11" xfId="0" applyNumberFormat="1" applyFont="1" applyFill="1" applyBorder="1"/>
    <xf numFmtId="3" fontId="18" fillId="0" borderId="13" xfId="0" applyNumberFormat="1" applyFont="1" applyFill="1" applyBorder="1"/>
    <xf numFmtId="0" fontId="29" fillId="0" borderId="18" xfId="0" applyFont="1" applyFill="1" applyBorder="1" applyAlignment="1">
      <alignment horizontal="center"/>
    </xf>
    <xf numFmtId="0" fontId="29" fillId="0" borderId="18" xfId="0" applyFont="1" applyFill="1" applyBorder="1" applyAlignment="1">
      <alignment horizontal="left"/>
    </xf>
    <xf numFmtId="5" fontId="29" fillId="0" borderId="19" xfId="0" applyNumberFormat="1" applyFont="1" applyFill="1" applyBorder="1" applyProtection="1"/>
    <xf numFmtId="0" fontId="29" fillId="0" borderId="18" xfId="0" applyFont="1" applyFill="1" applyBorder="1"/>
    <xf numFmtId="0" fontId="29" fillId="0" borderId="37" xfId="0" quotePrefix="1" applyFont="1" applyFill="1" applyBorder="1" applyAlignment="1">
      <alignment horizontal="left" vertical="center"/>
    </xf>
    <xf numFmtId="0" fontId="29" fillId="0" borderId="37" xfId="0" applyFont="1" applyFill="1" applyBorder="1" applyAlignment="1">
      <alignment horizontal="left" vertical="center"/>
    </xf>
    <xf numFmtId="5" fontId="29" fillId="0" borderId="38" xfId="0" applyNumberFormat="1" applyFont="1" applyFill="1" applyBorder="1" applyAlignment="1" applyProtection="1">
      <alignment vertical="center"/>
    </xf>
    <xf numFmtId="0" fontId="29" fillId="27" borderId="28" xfId="0" applyFont="1" applyFill="1" applyBorder="1" applyAlignment="1">
      <alignment horizontal="left"/>
    </xf>
    <xf numFmtId="0" fontId="40" fillId="27" borderId="28" xfId="0" applyFont="1" applyFill="1" applyBorder="1"/>
    <xf numFmtId="5" fontId="29" fillId="27" borderId="38" xfId="0" applyNumberFormat="1" applyFont="1" applyFill="1" applyBorder="1" applyAlignment="1" applyProtection="1">
      <alignment vertical="center"/>
    </xf>
    <xf numFmtId="0" fontId="29" fillId="27" borderId="37" xfId="0" applyFont="1" applyFill="1" applyBorder="1" applyAlignment="1">
      <alignment horizontal="left" vertical="center"/>
    </xf>
    <xf numFmtId="0" fontId="33" fillId="0" borderId="0" xfId="0" applyFont="1" applyBorder="1"/>
    <xf numFmtId="37" fontId="33" fillId="0" borderId="0" xfId="28" applyNumberFormat="1" applyFont="1" applyBorder="1"/>
    <xf numFmtId="8" fontId="33" fillId="0" borderId="0" xfId="0" applyNumberFormat="1" applyFont="1" applyBorder="1"/>
    <xf numFmtId="6" fontId="33" fillId="0" borderId="0" xfId="0" applyNumberFormat="1" applyFont="1" applyBorder="1"/>
    <xf numFmtId="0" fontId="29" fillId="27" borderId="37" xfId="0" quotePrefix="1" applyFont="1" applyFill="1" applyBorder="1" applyAlignment="1">
      <alignment horizontal="left" vertical="center"/>
    </xf>
    <xf numFmtId="0" fontId="18" fillId="0" borderId="39" xfId="0" applyFont="1" applyFill="1" applyBorder="1" applyProtection="1"/>
    <xf numFmtId="0" fontId="18" fillId="0" borderId="40" xfId="0" applyFont="1" applyFill="1" applyBorder="1" applyProtection="1"/>
    <xf numFmtId="3" fontId="18" fillId="0" borderId="11" xfId="0" applyNumberFormat="1" applyFont="1" applyFill="1" applyBorder="1" applyAlignment="1">
      <alignment horizontal="center"/>
    </xf>
    <xf numFmtId="3" fontId="18" fillId="0" borderId="13" xfId="0" applyNumberFormat="1" applyFont="1" applyFill="1" applyBorder="1" applyAlignment="1">
      <alignment horizontal="center"/>
    </xf>
    <xf numFmtId="0" fontId="18" fillId="0" borderId="12" xfId="0" applyFont="1" applyFill="1" applyBorder="1" applyAlignment="1">
      <alignment horizontal="center"/>
    </xf>
    <xf numFmtId="0" fontId="33" fillId="0" borderId="12" xfId="0" applyFont="1" applyFill="1" applyBorder="1"/>
    <xf numFmtId="3" fontId="33" fillId="0" borderId="12" xfId="0" applyNumberFormat="1" applyFont="1" applyFill="1" applyBorder="1"/>
    <xf numFmtId="0" fontId="18" fillId="0" borderId="0" xfId="0" applyFont="1" applyFill="1" applyAlignment="1">
      <alignment horizontal="center"/>
    </xf>
    <xf numFmtId="0" fontId="18" fillId="0" borderId="0" xfId="0" applyFont="1" applyFill="1"/>
    <xf numFmtId="164" fontId="18" fillId="0" borderId="0" xfId="28" applyNumberFormat="1" applyFont="1" applyFill="1"/>
    <xf numFmtId="0" fontId="29" fillId="0" borderId="41" xfId="0" applyFont="1" applyFill="1" applyBorder="1" applyAlignment="1">
      <alignment horizontal="center"/>
    </xf>
    <xf numFmtId="0" fontId="0" fillId="26" borderId="26" xfId="0" applyFill="1" applyBorder="1"/>
    <xf numFmtId="0" fontId="0" fillId="0" borderId="11" xfId="0" applyBorder="1"/>
    <xf numFmtId="0" fontId="20" fillId="0" borderId="0" xfId="0" applyFont="1" applyBorder="1"/>
    <xf numFmtId="0" fontId="37" fillId="0" borderId="10" xfId="0" quotePrefix="1" applyFont="1" applyBorder="1" applyAlignment="1">
      <alignment horizontal="center" vertical="center" wrapText="1"/>
    </xf>
    <xf numFmtId="0" fontId="37" fillId="0" borderId="44" xfId="0" quotePrefix="1" applyFont="1" applyBorder="1" applyAlignment="1">
      <alignment horizontal="center" vertical="center" wrapText="1"/>
    </xf>
    <xf numFmtId="0" fontId="22" fillId="0" borderId="26" xfId="0" applyFont="1" applyBorder="1" applyAlignment="1">
      <alignment horizontal="center"/>
    </xf>
    <xf numFmtId="38" fontId="18" fillId="0" borderId="11" xfId="0" applyNumberFormat="1" applyFont="1" applyBorder="1"/>
    <xf numFmtId="0" fontId="39" fillId="0" borderId="10" xfId="0" quotePrefix="1" applyFont="1" applyBorder="1" applyAlignment="1">
      <alignment horizontal="center" vertical="center" wrapText="1"/>
    </xf>
    <xf numFmtId="0" fontId="20" fillId="0" borderId="45" xfId="0" applyFont="1" applyBorder="1" applyAlignment="1" applyProtection="1">
      <alignment horizontal="center"/>
    </xf>
    <xf numFmtId="0" fontId="37" fillId="0" borderId="0" xfId="0" applyFont="1" applyBorder="1" applyAlignment="1">
      <alignment horizontal="center" vertical="center" wrapText="1"/>
    </xf>
    <xf numFmtId="40" fontId="18" fillId="0" borderId="13" xfId="0" applyNumberFormat="1" applyFont="1" applyFill="1" applyBorder="1"/>
    <xf numFmtId="10" fontId="18" fillId="0" borderId="11" xfId="48" applyNumberFormat="1" applyFont="1" applyFill="1" applyBorder="1"/>
    <xf numFmtId="10" fontId="18" fillId="0" borderId="13" xfId="48" applyNumberFormat="1" applyFont="1" applyFill="1" applyBorder="1"/>
    <xf numFmtId="0" fontId="22" fillId="0" borderId="26" xfId="0" applyFont="1" applyBorder="1" applyAlignment="1">
      <alignment horizontal="center" wrapText="1"/>
    </xf>
    <xf numFmtId="0" fontId="18" fillId="0" borderId="10" xfId="0" applyFont="1" applyFill="1" applyBorder="1"/>
    <xf numFmtId="0" fontId="18" fillId="0" borderId="46" xfId="0" applyFont="1" applyBorder="1"/>
    <xf numFmtId="10" fontId="23" fillId="0" borderId="19" xfId="48" applyNumberFormat="1" applyFont="1" applyFill="1" applyBorder="1" applyProtection="1"/>
    <xf numFmtId="43" fontId="23" fillId="0" borderId="19" xfId="28" applyFont="1" applyFill="1" applyBorder="1" applyProtection="1"/>
    <xf numFmtId="0" fontId="18" fillId="0" borderId="0" xfId="0" applyFont="1" applyFill="1" applyBorder="1"/>
    <xf numFmtId="164" fontId="23" fillId="0" borderId="19" xfId="28" applyNumberFormat="1" applyFont="1" applyFill="1" applyBorder="1" applyProtection="1"/>
    <xf numFmtId="0" fontId="20" fillId="0" borderId="0" xfId="0" applyFont="1" applyFill="1" applyBorder="1" applyAlignment="1">
      <alignment horizontal="center"/>
    </xf>
    <xf numFmtId="0" fontId="18" fillId="0" borderId="0" xfId="0" quotePrefix="1" applyFont="1" applyBorder="1"/>
    <xf numFmtId="0" fontId="44" fillId="0" borderId="0" xfId="0" quotePrefix="1" applyFont="1" applyBorder="1" applyAlignment="1">
      <alignment horizontal="left"/>
    </xf>
    <xf numFmtId="2" fontId="18" fillId="0" borderId="13" xfId="0" applyNumberFormat="1" applyFont="1" applyBorder="1"/>
    <xf numFmtId="4" fontId="18" fillId="0" borderId="13" xfId="28" applyNumberFormat="1" applyFont="1" applyBorder="1"/>
    <xf numFmtId="4" fontId="18" fillId="0" borderId="35" xfId="28" applyNumberFormat="1" applyFont="1" applyBorder="1"/>
    <xf numFmtId="0" fontId="37" fillId="0" borderId="0" xfId="0" quotePrefix="1" applyFont="1" applyBorder="1" applyAlignment="1">
      <alignment horizontal="center" vertical="center" wrapText="1"/>
    </xf>
    <xf numFmtId="0" fontId="20" fillId="0" borderId="0" xfId="0" applyFont="1" applyAlignment="1">
      <alignment horizontal="center"/>
    </xf>
    <xf numFmtId="0" fontId="20" fillId="0" borderId="0" xfId="0" applyFont="1" applyBorder="1" applyAlignment="1">
      <alignment horizontal="center"/>
    </xf>
    <xf numFmtId="0" fontId="18" fillId="0" borderId="11" xfId="0" applyFont="1" applyBorder="1" applyAlignment="1">
      <alignment horizontal="center"/>
    </xf>
    <xf numFmtId="10" fontId="18" fillId="0" borderId="11" xfId="0" applyNumberFormat="1" applyFont="1" applyFill="1" applyBorder="1"/>
    <xf numFmtId="10" fontId="18" fillId="0" borderId="13" xfId="0" applyNumberFormat="1" applyFont="1" applyFill="1" applyBorder="1"/>
    <xf numFmtId="5" fontId="33" fillId="0" borderId="12" xfId="32" applyNumberFormat="1" applyFont="1" applyBorder="1" applyAlignment="1">
      <alignment horizontal="right"/>
    </xf>
    <xf numFmtId="3" fontId="18" fillId="0" borderId="34" xfId="0" applyNumberFormat="1" applyFont="1" applyFill="1" applyBorder="1"/>
    <xf numFmtId="2" fontId="18" fillId="0" borderId="11" xfId="0" applyNumberFormat="1" applyFont="1" applyFill="1" applyBorder="1"/>
    <xf numFmtId="165" fontId="18" fillId="0" borderId="34" xfId="0" applyNumberFormat="1" applyFont="1" applyFill="1" applyBorder="1"/>
    <xf numFmtId="0" fontId="22" fillId="0" borderId="26" xfId="0" applyFont="1" applyBorder="1"/>
    <xf numFmtId="0" fontId="21" fillId="0" borderId="47" xfId="0" applyFont="1" applyFill="1" applyBorder="1" applyAlignment="1">
      <alignment horizontal="left" vertical="center" wrapText="1"/>
    </xf>
    <xf numFmtId="3" fontId="18" fillId="0" borderId="0" xfId="0" applyNumberFormat="1" applyFont="1" applyFill="1"/>
    <xf numFmtId="0" fontId="21" fillId="0" borderId="0" xfId="0" applyFont="1" applyFill="1" applyBorder="1" applyAlignment="1">
      <alignment horizontal="left"/>
    </xf>
    <xf numFmtId="0" fontId="29" fillId="0" borderId="14" xfId="0" applyFont="1" applyFill="1" applyBorder="1" applyAlignment="1">
      <alignment horizontal="left"/>
    </xf>
    <xf numFmtId="5" fontId="29" fillId="0" borderId="0" xfId="0" applyNumberFormat="1" applyFont="1" applyFill="1" applyBorder="1" applyProtection="1"/>
    <xf numFmtId="0" fontId="21" fillId="0" borderId="50" xfId="0" applyFont="1" applyFill="1" applyBorder="1" applyAlignment="1">
      <alignment horizontal="left"/>
    </xf>
    <xf numFmtId="0" fontId="21" fillId="0" borderId="0" xfId="0" applyFont="1" applyFill="1" applyBorder="1"/>
    <xf numFmtId="0" fontId="41" fillId="0" borderId="0" xfId="0" applyFont="1" applyBorder="1"/>
    <xf numFmtId="0" fontId="0" fillId="0" borderId="0" xfId="0" applyFill="1" applyBorder="1"/>
    <xf numFmtId="0" fontId="21" fillId="0" borderId="0" xfId="0" quotePrefix="1" applyFont="1" applyFill="1" applyBorder="1" applyAlignment="1">
      <alignment horizontal="center"/>
    </xf>
    <xf numFmtId="0" fontId="29" fillId="0" borderId="50" xfId="0" applyFont="1" applyFill="1" applyBorder="1" applyAlignment="1">
      <alignment horizontal="left"/>
    </xf>
    <xf numFmtId="0" fontId="22" fillId="0" borderId="0" xfId="0" applyFont="1" applyBorder="1" applyAlignment="1">
      <alignment horizontal="center"/>
    </xf>
    <xf numFmtId="0" fontId="21" fillId="0" borderId="51" xfId="0" applyFont="1" applyFill="1" applyBorder="1"/>
    <xf numFmtId="0" fontId="22" fillId="0" borderId="52" xfId="0" applyFont="1" applyFill="1" applyBorder="1"/>
    <xf numFmtId="0" fontId="21" fillId="0" borderId="51" xfId="0" applyFont="1" applyFill="1" applyBorder="1" applyAlignment="1">
      <alignment horizontal="center" vertical="top"/>
    </xf>
    <xf numFmtId="0" fontId="21" fillId="0" borderId="51" xfId="0" applyFont="1" applyFill="1" applyBorder="1" applyAlignment="1">
      <alignment horizontal="center"/>
    </xf>
    <xf numFmtId="0" fontId="21" fillId="0" borderId="53" xfId="0" applyFont="1" applyFill="1" applyBorder="1" applyAlignment="1">
      <alignment horizontal="center"/>
    </xf>
    <xf numFmtId="0" fontId="21" fillId="0" borderId="54" xfId="0" applyFont="1" applyFill="1" applyBorder="1" applyAlignment="1">
      <alignment horizontal="center"/>
    </xf>
    <xf numFmtId="0" fontId="21" fillId="0" borderId="55" xfId="0" applyFont="1" applyFill="1" applyBorder="1" applyAlignment="1">
      <alignment horizontal="center"/>
    </xf>
    <xf numFmtId="0" fontId="29" fillId="0" borderId="56" xfId="0" applyFont="1" applyFill="1" applyBorder="1" applyAlignment="1">
      <alignment horizontal="center" vertical="center"/>
    </xf>
    <xf numFmtId="0" fontId="29" fillId="0" borderId="54" xfId="0" applyFont="1" applyFill="1" applyBorder="1" applyAlignment="1">
      <alignment horizontal="center" vertical="center"/>
    </xf>
    <xf numFmtId="0" fontId="21" fillId="0" borderId="51" xfId="0" applyFont="1" applyFill="1" applyBorder="1" applyAlignment="1">
      <alignment horizontal="center" vertical="center"/>
    </xf>
    <xf numFmtId="0" fontId="40" fillId="27" borderId="53" xfId="0" applyFont="1" applyFill="1" applyBorder="1"/>
    <xf numFmtId="0" fontId="0" fillId="0" borderId="51" xfId="0" applyBorder="1"/>
    <xf numFmtId="0" fontId="23" fillId="0" borderId="51" xfId="0" applyFont="1" applyFill="1" applyBorder="1"/>
    <xf numFmtId="0" fontId="29" fillId="27" borderId="56" xfId="0" applyFont="1" applyFill="1" applyBorder="1" applyAlignment="1">
      <alignment horizontal="center" vertical="center"/>
    </xf>
    <xf numFmtId="0" fontId="29" fillId="0" borderId="51" xfId="0" applyFont="1" applyFill="1" applyBorder="1" applyAlignment="1">
      <alignment horizontal="center"/>
    </xf>
    <xf numFmtId="0" fontId="18" fillId="0" borderId="0" xfId="0" applyFont="1" applyFill="1" applyAlignment="1">
      <alignment wrapText="1"/>
    </xf>
    <xf numFmtId="0" fontId="21" fillId="0" borderId="18" xfId="0" quotePrefix="1" applyFont="1" applyFill="1" applyBorder="1" applyAlignment="1">
      <alignment horizontal="center"/>
    </xf>
    <xf numFmtId="0" fontId="21" fillId="0" borderId="14" xfId="0" applyFont="1" applyFill="1" applyBorder="1" applyAlignment="1">
      <alignment horizontal="left" vertical="center" wrapText="1"/>
    </xf>
    <xf numFmtId="5" fontId="23" fillId="0" borderId="58" xfId="0" applyNumberFormat="1" applyFont="1" applyFill="1" applyBorder="1" applyAlignment="1" applyProtection="1">
      <alignment vertical="center"/>
    </xf>
    <xf numFmtId="5" fontId="23" fillId="0" borderId="57" xfId="0" applyNumberFormat="1" applyFont="1" applyFill="1" applyBorder="1" applyAlignment="1" applyProtection="1">
      <alignment vertical="center"/>
    </xf>
    <xf numFmtId="164" fontId="21" fillId="0" borderId="19" xfId="28" applyNumberFormat="1" applyFont="1" applyFill="1" applyBorder="1" applyProtection="1"/>
    <xf numFmtId="0" fontId="27" fillId="0" borderId="0" xfId="0" applyFont="1" applyAlignment="1">
      <alignment horizontal="right"/>
    </xf>
    <xf numFmtId="10" fontId="20" fillId="0" borderId="12" xfId="48" applyNumberFormat="1" applyFont="1" applyBorder="1"/>
    <xf numFmtId="164" fontId="0" fillId="0" borderId="0" xfId="0" applyNumberFormat="1"/>
    <xf numFmtId="0" fontId="21" fillId="0" borderId="21" xfId="0" quotePrefix="1" applyFont="1" applyFill="1" applyBorder="1" applyAlignment="1">
      <alignment horizontal="center"/>
    </xf>
    <xf numFmtId="0" fontId="36" fillId="0" borderId="0" xfId="0" applyFont="1" applyAlignment="1">
      <alignment horizontal="right"/>
    </xf>
    <xf numFmtId="1" fontId="18" fillId="0" borderId="0" xfId="0" applyNumberFormat="1" applyFont="1"/>
    <xf numFmtId="1" fontId="18" fillId="26" borderId="26" xfId="28" applyNumberFormat="1" applyFont="1" applyFill="1" applyBorder="1" applyAlignment="1">
      <alignment horizontal="center"/>
    </xf>
    <xf numFmtId="1" fontId="27" fillId="26" borderId="26" xfId="28" quotePrefix="1" applyNumberFormat="1" applyFont="1" applyFill="1" applyBorder="1" applyAlignment="1">
      <alignment horizontal="center"/>
    </xf>
    <xf numFmtId="1" fontId="27" fillId="26" borderId="26" xfId="28" applyNumberFormat="1" applyFont="1" applyFill="1" applyBorder="1" applyAlignment="1">
      <alignment horizontal="center"/>
    </xf>
    <xf numFmtId="1" fontId="18" fillId="0" borderId="0" xfId="28" applyNumberFormat="1" applyFont="1" applyAlignment="1">
      <alignment horizontal="center"/>
    </xf>
    <xf numFmtId="0" fontId="19" fillId="0" borderId="0" xfId="0" applyFont="1" applyFill="1" applyAlignment="1">
      <alignment horizontal="center"/>
    </xf>
    <xf numFmtId="5" fontId="23" fillId="0" borderId="49" xfId="0" applyNumberFormat="1" applyFont="1" applyFill="1" applyBorder="1" applyAlignment="1" applyProtection="1">
      <alignment vertical="top"/>
    </xf>
    <xf numFmtId="1" fontId="27" fillId="26" borderId="26" xfId="0" quotePrefix="1" applyNumberFormat="1" applyFont="1" applyFill="1" applyBorder="1" applyAlignment="1">
      <alignment horizontal="center"/>
    </xf>
    <xf numFmtId="3" fontId="0" fillId="0" borderId="13" xfId="0" applyNumberFormat="1" applyFill="1" applyBorder="1"/>
    <xf numFmtId="0" fontId="20" fillId="0" borderId="13" xfId="0" applyFont="1" applyBorder="1" applyAlignment="1">
      <alignment wrapText="1"/>
    </xf>
    <xf numFmtId="0" fontId="20" fillId="0" borderId="11" xfId="0" applyFont="1" applyBorder="1" applyAlignment="1">
      <alignment horizontal="left" wrapText="1"/>
    </xf>
    <xf numFmtId="1" fontId="27" fillId="26" borderId="36" xfId="28" quotePrefix="1" applyNumberFormat="1" applyFont="1" applyFill="1" applyBorder="1" applyAlignment="1">
      <alignment horizontal="center"/>
    </xf>
    <xf numFmtId="0" fontId="27" fillId="26" borderId="26" xfId="28" quotePrefix="1" applyNumberFormat="1" applyFont="1" applyFill="1" applyBorder="1" applyAlignment="1">
      <alignment horizontal="center"/>
    </xf>
    <xf numFmtId="165" fontId="18" fillId="0" borderId="34" xfId="0" applyNumberFormat="1" applyFont="1" applyBorder="1"/>
    <xf numFmtId="165" fontId="18" fillId="0" borderId="35" xfId="0" applyNumberFormat="1" applyFont="1" applyBorder="1"/>
    <xf numFmtId="0" fontId="21" fillId="0" borderId="0" xfId="0" applyFont="1" applyFill="1" applyBorder="1" applyAlignment="1">
      <alignment horizontal="center" vertical="center" wrapText="1"/>
    </xf>
    <xf numFmtId="9" fontId="51" fillId="0" borderId="0" xfId="0" applyNumberFormat="1" applyFont="1" applyFill="1" applyBorder="1" applyAlignment="1">
      <alignment horizontal="center"/>
    </xf>
    <xf numFmtId="0" fontId="51" fillId="0" borderId="0" xfId="0" applyFont="1" applyFill="1" applyBorder="1" applyAlignment="1"/>
    <xf numFmtId="5" fontId="33" fillId="0" borderId="0" xfId="0" applyNumberFormat="1" applyFont="1" applyFill="1" applyBorder="1" applyProtection="1"/>
    <xf numFmtId="1" fontId="27" fillId="26" borderId="36" xfId="28" applyNumberFormat="1" applyFont="1" applyFill="1" applyBorder="1" applyAlignment="1">
      <alignment horizontal="center"/>
    </xf>
    <xf numFmtId="6" fontId="33" fillId="0" borderId="63" xfId="0" applyNumberFormat="1" applyFont="1" applyBorder="1"/>
    <xf numFmtId="0" fontId="18" fillId="0" borderId="33" xfId="0" applyFont="1" applyFill="1" applyBorder="1"/>
    <xf numFmtId="10" fontId="18" fillId="0" borderId="13" xfId="48" applyNumberFormat="1" applyFont="1" applyBorder="1"/>
    <xf numFmtId="0" fontId="18" fillId="0" borderId="11" xfId="0" applyFont="1" applyFill="1" applyBorder="1"/>
    <xf numFmtId="0" fontId="18" fillId="0" borderId="34" xfId="0" applyFont="1" applyFill="1" applyBorder="1"/>
    <xf numFmtId="9" fontId="25" fillId="0" borderId="11" xfId="0" applyNumberFormat="1" applyFont="1" applyFill="1" applyBorder="1"/>
    <xf numFmtId="9" fontId="18" fillId="0" borderId="34" xfId="0" applyNumberFormat="1" applyFont="1" applyFill="1" applyBorder="1"/>
    <xf numFmtId="9" fontId="18" fillId="0" borderId="11" xfId="0" applyNumberFormat="1" applyFont="1" applyFill="1" applyBorder="1"/>
    <xf numFmtId="6" fontId="18" fillId="0" borderId="11" xfId="0" applyNumberFormat="1" applyFont="1" applyBorder="1"/>
    <xf numFmtId="6" fontId="18" fillId="0" borderId="13" xfId="0" applyNumberFormat="1" applyFont="1" applyBorder="1"/>
    <xf numFmtId="6" fontId="18" fillId="0" borderId="11" xfId="0" applyNumberFormat="1" applyFont="1" applyFill="1" applyBorder="1"/>
    <xf numFmtId="6" fontId="18" fillId="0" borderId="13" xfId="0" applyNumberFormat="1" applyFont="1" applyFill="1" applyBorder="1"/>
    <xf numFmtId="9" fontId="19" fillId="0" borderId="11" xfId="0" applyNumberFormat="1" applyFont="1" applyFill="1" applyBorder="1" applyAlignment="1">
      <alignment horizontal="center"/>
    </xf>
    <xf numFmtId="0" fontId="21" fillId="0" borderId="21" xfId="0" quotePrefix="1" applyFont="1" applyFill="1" applyBorder="1" applyAlignment="1">
      <alignment horizontal="center" vertical="center" wrapText="1"/>
    </xf>
    <xf numFmtId="0" fontId="22" fillId="0" borderId="44" xfId="0" applyFont="1" applyBorder="1" applyAlignment="1">
      <alignment horizontal="center"/>
    </xf>
    <xf numFmtId="0" fontId="49" fillId="0" borderId="34" xfId="0" applyFont="1" applyFill="1" applyBorder="1"/>
    <xf numFmtId="0" fontId="18" fillId="0" borderId="65" xfId="0" applyFont="1" applyFill="1" applyBorder="1" applyProtection="1"/>
    <xf numFmtId="0" fontId="18" fillId="0" borderId="66" xfId="0" applyFont="1" applyFill="1" applyBorder="1" applyProtection="1"/>
    <xf numFmtId="1" fontId="27" fillId="26" borderId="68" xfId="0" quotePrefix="1" applyNumberFormat="1" applyFont="1" applyFill="1" applyBorder="1" applyAlignment="1" applyProtection="1">
      <alignment horizontal="center"/>
    </xf>
    <xf numFmtId="5" fontId="18" fillId="0" borderId="67" xfId="0" applyNumberFormat="1" applyFont="1" applyFill="1" applyBorder="1" applyProtection="1"/>
    <xf numFmtId="38" fontId="18" fillId="0" borderId="67" xfId="0" applyNumberFormat="1" applyFont="1" applyFill="1" applyBorder="1" applyProtection="1"/>
    <xf numFmtId="5" fontId="29" fillId="27" borderId="30" xfId="0" applyNumberFormat="1" applyFont="1" applyFill="1" applyBorder="1" applyProtection="1"/>
    <xf numFmtId="0" fontId="18" fillId="0" borderId="14" xfId="0" applyFont="1" applyBorder="1"/>
    <xf numFmtId="10" fontId="18" fillId="0" borderId="10" xfId="0" applyNumberFormat="1" applyFont="1" applyFill="1" applyBorder="1"/>
    <xf numFmtId="0" fontId="29" fillId="27" borderId="69" xfId="0" applyFont="1" applyFill="1" applyBorder="1" applyAlignment="1">
      <alignment horizontal="left"/>
    </xf>
    <xf numFmtId="0" fontId="40" fillId="27" borderId="69" xfId="0" applyFont="1" applyFill="1" applyBorder="1"/>
    <xf numFmtId="0" fontId="0" fillId="0" borderId="10" xfId="0" applyBorder="1"/>
    <xf numFmtId="38" fontId="18" fillId="0" borderId="10" xfId="0" applyNumberFormat="1" applyFont="1" applyBorder="1"/>
    <xf numFmtId="0" fontId="18" fillId="0" borderId="44" xfId="0" applyFont="1" applyFill="1" applyBorder="1"/>
    <xf numFmtId="6" fontId="18" fillId="0" borderId="67" xfId="0" applyNumberFormat="1" applyFont="1" applyFill="1" applyBorder="1" applyProtection="1"/>
    <xf numFmtId="0" fontId="21" fillId="0" borderId="0" xfId="0" applyFont="1" applyFill="1" applyBorder="1" applyAlignment="1">
      <alignment horizontal="left" wrapText="1"/>
    </xf>
    <xf numFmtId="0" fontId="43" fillId="25" borderId="10" xfId="0" applyFont="1" applyFill="1" applyBorder="1" applyAlignment="1">
      <alignment horizontal="center" vertical="center" wrapText="1"/>
    </xf>
    <xf numFmtId="0" fontId="18" fillId="0" borderId="12" xfId="0" applyFont="1" applyBorder="1" applyAlignment="1">
      <alignment horizontal="right"/>
    </xf>
    <xf numFmtId="0" fontId="33" fillId="0" borderId="63" xfId="0" applyFont="1" applyBorder="1" applyAlignment="1">
      <alignment horizontal="right"/>
    </xf>
    <xf numFmtId="5" fontId="33" fillId="0" borderId="71" xfId="32" applyNumberFormat="1" applyFont="1" applyBorder="1" applyAlignment="1">
      <alignment horizontal="right"/>
    </xf>
    <xf numFmtId="2" fontId="33" fillId="0" borderId="71" xfId="0" applyNumberFormat="1" applyFont="1" applyBorder="1" applyAlignment="1">
      <alignment horizontal="right"/>
    </xf>
    <xf numFmtId="0" fontId="33" fillId="0" borderId="12" xfId="0" applyFont="1" applyBorder="1" applyAlignment="1">
      <alignment horizontal="right"/>
    </xf>
    <xf numFmtId="43" fontId="33" fillId="0" borderId="12" xfId="28" applyNumberFormat="1" applyFont="1" applyBorder="1" applyAlignment="1">
      <alignment horizontal="right"/>
    </xf>
    <xf numFmtId="43" fontId="33" fillId="0" borderId="12" xfId="28" applyFont="1" applyBorder="1" applyAlignment="1">
      <alignment horizontal="right"/>
    </xf>
    <xf numFmtId="10" fontId="33" fillId="0" borderId="12" xfId="0" applyNumberFormat="1" applyFont="1" applyBorder="1" applyAlignment="1">
      <alignment horizontal="right"/>
    </xf>
    <xf numFmtId="165" fontId="18" fillId="0" borderId="72" xfId="0" applyNumberFormat="1" applyFont="1" applyBorder="1"/>
    <xf numFmtId="165" fontId="18" fillId="27" borderId="72" xfId="0" applyNumberFormat="1" applyFont="1" applyFill="1" applyBorder="1"/>
    <xf numFmtId="10" fontId="18" fillId="0" borderId="13" xfId="0" applyNumberFormat="1" applyFont="1" applyBorder="1"/>
    <xf numFmtId="10" fontId="18" fillId="0" borderId="72" xfId="0" applyNumberFormat="1" applyFont="1" applyBorder="1"/>
    <xf numFmtId="6" fontId="18" fillId="0" borderId="72" xfId="32" applyNumberFormat="1" applyFont="1" applyBorder="1"/>
    <xf numFmtId="165" fontId="18" fillId="27" borderId="13" xfId="0" applyNumberFormat="1" applyFont="1" applyFill="1" applyBorder="1"/>
    <xf numFmtId="164" fontId="18" fillId="0" borderId="13" xfId="28" applyNumberFormat="1" applyFont="1" applyBorder="1"/>
    <xf numFmtId="6" fontId="18" fillId="0" borderId="13" xfId="28" applyNumberFormat="1" applyFont="1" applyBorder="1"/>
    <xf numFmtId="6" fontId="20" fillId="0" borderId="12" xfId="0" applyNumberFormat="1" applyFont="1" applyBorder="1"/>
    <xf numFmtId="6" fontId="20" fillId="27" borderId="12" xfId="0" applyNumberFormat="1" applyFont="1" applyFill="1" applyBorder="1"/>
    <xf numFmtId="10" fontId="20" fillId="27" borderId="12" xfId="0" applyNumberFormat="1" applyFont="1" applyFill="1" applyBorder="1"/>
    <xf numFmtId="6" fontId="20" fillId="0" borderId="12" xfId="32" applyNumberFormat="1" applyFont="1" applyBorder="1"/>
    <xf numFmtId="38" fontId="20" fillId="0" borderId="12" xfId="0" applyNumberFormat="1" applyFont="1" applyBorder="1"/>
    <xf numFmtId="38" fontId="20" fillId="27" borderId="12" xfId="0" applyNumberFormat="1" applyFont="1" applyFill="1" applyBorder="1"/>
    <xf numFmtId="165" fontId="20" fillId="0" borderId="12" xfId="0" applyNumberFormat="1" applyFont="1" applyBorder="1"/>
    <xf numFmtId="165" fontId="20" fillId="27" borderId="12" xfId="0" applyNumberFormat="1" applyFont="1" applyFill="1" applyBorder="1"/>
    <xf numFmtId="165" fontId="18" fillId="0" borderId="0" xfId="0" applyNumberFormat="1" applyFont="1"/>
    <xf numFmtId="5" fontId="33" fillId="0" borderId="12" xfId="32" applyNumberFormat="1" applyFont="1" applyFill="1" applyBorder="1" applyAlignment="1">
      <alignment horizontal="right"/>
    </xf>
    <xf numFmtId="0" fontId="20" fillId="0" borderId="0" xfId="0" applyFont="1" applyFill="1" applyBorder="1" applyProtection="1"/>
    <xf numFmtId="0" fontId="33" fillId="0" borderId="0" xfId="0" applyFont="1" applyFill="1" applyBorder="1" applyAlignment="1" applyProtection="1">
      <alignment horizontal="center"/>
    </xf>
    <xf numFmtId="0" fontId="0" fillId="0" borderId="0" xfId="0" applyAlignment="1">
      <alignment vertical="center"/>
    </xf>
    <xf numFmtId="0" fontId="20" fillId="0" borderId="0" xfId="0" applyFont="1" applyAlignment="1">
      <alignment horizontal="right" vertical="center"/>
    </xf>
    <xf numFmtId="0" fontId="0" fillId="0" borderId="0" xfId="0" applyBorder="1" applyAlignment="1">
      <alignment vertical="center"/>
    </xf>
    <xf numFmtId="10" fontId="0" fillId="0" borderId="0" xfId="0" applyNumberFormat="1"/>
    <xf numFmtId="6" fontId="27" fillId="0" borderId="0" xfId="0" applyNumberFormat="1" applyFont="1" applyAlignment="1">
      <alignment horizontal="right"/>
    </xf>
    <xf numFmtId="0" fontId="26" fillId="27" borderId="77" xfId="0" applyFont="1" applyFill="1" applyBorder="1" applyAlignment="1">
      <alignment horizontal="center" vertical="center" wrapText="1"/>
    </xf>
    <xf numFmtId="0" fontId="48" fillId="0" borderId="35" xfId="0" applyFont="1" applyBorder="1" applyAlignment="1">
      <alignment horizontal="right" wrapText="1"/>
    </xf>
    <xf numFmtId="6" fontId="54" fillId="0" borderId="13" xfId="0" applyNumberFormat="1" applyFont="1" applyBorder="1" applyAlignment="1">
      <alignment horizontal="right"/>
    </xf>
    <xf numFmtId="0" fontId="21" fillId="0" borderId="79" xfId="0" quotePrefix="1" applyFont="1" applyFill="1" applyBorder="1" applyAlignment="1">
      <alignment horizontal="center"/>
    </xf>
    <xf numFmtId="0" fontId="21" fillId="0" borderId="79" xfId="0" applyFont="1" applyFill="1" applyBorder="1" applyAlignment="1">
      <alignment horizontal="left"/>
    </xf>
    <xf numFmtId="5" fontId="23" fillId="0" borderId="80" xfId="0" applyNumberFormat="1" applyFont="1" applyFill="1" applyBorder="1" applyProtection="1"/>
    <xf numFmtId="5" fontId="23" fillId="0" borderId="58" xfId="0" applyNumberFormat="1" applyFont="1" applyFill="1" applyBorder="1" applyProtection="1"/>
    <xf numFmtId="0" fontId="21" fillId="0" borderId="75" xfId="0" quotePrefix="1" applyFont="1" applyFill="1" applyBorder="1" applyAlignment="1">
      <alignment horizontal="center"/>
    </xf>
    <xf numFmtId="0" fontId="21" fillId="0" borderId="75" xfId="0" applyFont="1" applyFill="1" applyBorder="1" applyAlignment="1">
      <alignment horizontal="left"/>
    </xf>
    <xf numFmtId="5" fontId="23" fillId="0" borderId="81" xfId="0" applyNumberFormat="1" applyFont="1" applyFill="1" applyBorder="1" applyProtection="1"/>
    <xf numFmtId="0" fontId="21" fillId="0" borderId="18"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6" fontId="54" fillId="0" borderId="35" xfId="0" applyNumberFormat="1" applyFont="1" applyBorder="1" applyAlignment="1">
      <alignment horizontal="right"/>
    </xf>
    <xf numFmtId="5" fontId="29" fillId="0" borderId="82" xfId="0" applyNumberFormat="1" applyFont="1" applyFill="1" applyBorder="1" applyAlignment="1" applyProtection="1">
      <alignment vertical="center"/>
    </xf>
    <xf numFmtId="0" fontId="18" fillId="0" borderId="0" xfId="0" applyFont="1" applyBorder="1" applyAlignment="1">
      <alignment horizontal="center"/>
    </xf>
    <xf numFmtId="0" fontId="39" fillId="0" borderId="0" xfId="0" quotePrefix="1" applyFont="1" applyBorder="1" applyAlignment="1">
      <alignment horizontal="center" vertical="center" wrapText="1"/>
    </xf>
    <xf numFmtId="10" fontId="33" fillId="0" borderId="71" xfId="32" applyNumberFormat="1" applyFont="1" applyFill="1" applyBorder="1" applyAlignment="1">
      <alignment horizontal="right"/>
    </xf>
    <xf numFmtId="0" fontId="45" fillId="0" borderId="13" xfId="45" applyFont="1" applyFill="1" applyBorder="1" applyAlignment="1">
      <alignment horizontal="right" wrapText="1"/>
    </xf>
    <xf numFmtId="165" fontId="45" fillId="0" borderId="13" xfId="45" applyNumberFormat="1" applyFont="1" applyFill="1" applyBorder="1" applyAlignment="1">
      <alignment horizontal="right" wrapText="1"/>
    </xf>
    <xf numFmtId="1" fontId="18" fillId="0" borderId="11" xfId="0" applyNumberFormat="1" applyFont="1" applyFill="1" applyBorder="1"/>
    <xf numFmtId="165" fontId="18" fillId="31" borderId="11" xfId="0" applyNumberFormat="1" applyFont="1" applyFill="1" applyBorder="1"/>
    <xf numFmtId="4" fontId="18" fillId="31" borderId="11" xfId="28" applyNumberFormat="1" applyFont="1" applyFill="1" applyBorder="1"/>
    <xf numFmtId="4" fontId="18" fillId="31" borderId="34" xfId="28" applyNumberFormat="1" applyFont="1" applyFill="1" applyBorder="1"/>
    <xf numFmtId="40" fontId="18" fillId="31" borderId="11" xfId="0" applyNumberFormat="1" applyFont="1" applyFill="1" applyBorder="1"/>
    <xf numFmtId="167" fontId="18" fillId="0" borderId="11" xfId="48" applyNumberFormat="1" applyFont="1" applyFill="1" applyBorder="1"/>
    <xf numFmtId="167" fontId="18" fillId="0" borderId="13" xfId="48" applyNumberFormat="1" applyFont="1" applyFill="1" applyBorder="1"/>
    <xf numFmtId="0" fontId="33" fillId="0" borderId="12" xfId="0" applyFont="1" applyFill="1" applyBorder="1" applyAlignment="1">
      <alignment horizontal="right"/>
    </xf>
    <xf numFmtId="2" fontId="45" fillId="0" borderId="13" xfId="45" applyNumberFormat="1" applyFont="1" applyFill="1" applyBorder="1" applyAlignment="1">
      <alignment horizontal="right" wrapText="1"/>
    </xf>
    <xf numFmtId="3" fontId="48" fillId="0" borderId="35" xfId="0" applyNumberFormat="1" applyFont="1" applyFill="1" applyBorder="1" applyAlignment="1">
      <alignment horizontal="right"/>
    </xf>
    <xf numFmtId="6" fontId="48" fillId="0" borderId="35" xfId="0" applyNumberFormat="1" applyFont="1" applyBorder="1" applyAlignment="1">
      <alignment horizontal="right"/>
    </xf>
    <xf numFmtId="6" fontId="48" fillId="0" borderId="13" xfId="0" applyNumberFormat="1" applyFont="1" applyBorder="1" applyAlignment="1">
      <alignment horizontal="right"/>
    </xf>
    <xf numFmtId="3" fontId="48" fillId="0" borderId="26" xfId="0" applyNumberFormat="1" applyFont="1" applyFill="1" applyBorder="1" applyAlignment="1">
      <alignment horizontal="right"/>
    </xf>
    <xf numFmtId="165" fontId="18" fillId="27" borderId="13" xfId="28" applyNumberFormat="1" applyFont="1" applyFill="1" applyBorder="1"/>
    <xf numFmtId="165" fontId="18" fillId="0" borderId="13" xfId="28" applyNumberFormat="1" applyFont="1" applyBorder="1"/>
    <xf numFmtId="10" fontId="23" fillId="0" borderId="83" xfId="0" applyNumberFormat="1" applyFont="1" applyFill="1" applyBorder="1" applyAlignment="1" applyProtection="1">
      <alignment vertical="top"/>
    </xf>
    <xf numFmtId="10" fontId="23" fillId="0" borderId="84" xfId="0" applyNumberFormat="1" applyFont="1" applyFill="1" applyBorder="1" applyProtection="1"/>
    <xf numFmtId="10" fontId="23" fillId="0" borderId="85" xfId="0" applyNumberFormat="1" applyFont="1" applyFill="1" applyBorder="1" applyProtection="1"/>
    <xf numFmtId="10" fontId="21" fillId="0" borderId="85" xfId="0" applyNumberFormat="1" applyFont="1" applyFill="1" applyBorder="1" applyProtection="1"/>
    <xf numFmtId="10" fontId="23" fillId="0" borderId="86" xfId="0" applyNumberFormat="1" applyFont="1" applyFill="1" applyBorder="1" applyProtection="1"/>
    <xf numFmtId="10" fontId="29" fillId="0" borderId="85" xfId="0" applyNumberFormat="1" applyFont="1" applyFill="1" applyBorder="1" applyProtection="1"/>
    <xf numFmtId="10" fontId="23" fillId="0" borderId="87" xfId="0" applyNumberFormat="1" applyFont="1" applyFill="1" applyBorder="1" applyProtection="1"/>
    <xf numFmtId="10" fontId="29" fillId="0" borderId="88" xfId="0" applyNumberFormat="1" applyFont="1" applyFill="1" applyBorder="1" applyProtection="1"/>
    <xf numFmtId="10" fontId="29" fillId="0" borderId="89" xfId="0" applyNumberFormat="1" applyFont="1" applyFill="1" applyBorder="1" applyProtection="1"/>
    <xf numFmtId="10" fontId="23" fillId="0" borderId="90" xfId="0" applyNumberFormat="1" applyFont="1" applyFill="1" applyBorder="1" applyProtection="1"/>
    <xf numFmtId="10" fontId="40" fillId="27" borderId="88" xfId="0" applyNumberFormat="1" applyFont="1" applyFill="1" applyBorder="1" applyProtection="1"/>
    <xf numFmtId="10" fontId="40" fillId="0" borderId="91" xfId="0" applyNumberFormat="1" applyFont="1" applyFill="1" applyBorder="1" applyProtection="1"/>
    <xf numFmtId="10" fontId="23" fillId="0" borderId="92" xfId="0" applyNumberFormat="1" applyFont="1" applyFill="1" applyBorder="1" applyProtection="1"/>
    <xf numFmtId="10" fontId="23" fillId="0" borderId="93" xfId="0" applyNumberFormat="1" applyFont="1" applyFill="1" applyBorder="1" applyProtection="1"/>
    <xf numFmtId="10" fontId="23" fillId="0" borderId="94" xfId="0" applyNumberFormat="1" applyFont="1" applyFill="1" applyBorder="1" applyProtection="1"/>
    <xf numFmtId="10" fontId="29" fillId="27" borderId="95" xfId="0" applyNumberFormat="1" applyFont="1" applyFill="1" applyBorder="1" applyAlignment="1" applyProtection="1">
      <alignment vertical="center"/>
    </xf>
    <xf numFmtId="10" fontId="40" fillId="0" borderId="85" xfId="0" applyNumberFormat="1" applyFont="1" applyFill="1" applyBorder="1" applyProtection="1"/>
    <xf numFmtId="10" fontId="23" fillId="0" borderId="96" xfId="0" applyNumberFormat="1" applyFont="1" applyFill="1" applyBorder="1" applyProtection="1"/>
    <xf numFmtId="0" fontId="21" fillId="0" borderId="97" xfId="0" applyFont="1" applyFill="1" applyBorder="1" applyAlignment="1">
      <alignment horizontal="left" vertical="center" wrapText="1"/>
    </xf>
    <xf numFmtId="5" fontId="23" fillId="0" borderId="98" xfId="0" applyNumberFormat="1" applyFont="1" applyFill="1" applyBorder="1" applyAlignment="1" applyProtection="1">
      <alignment vertical="center"/>
    </xf>
    <xf numFmtId="10" fontId="23" fillId="0" borderId="99" xfId="0" applyNumberFormat="1" applyFont="1" applyFill="1" applyBorder="1" applyProtection="1"/>
    <xf numFmtId="0" fontId="29" fillId="27" borderId="100" xfId="0" applyFont="1" applyFill="1" applyBorder="1" applyAlignment="1">
      <alignment horizontal="center" vertical="center"/>
    </xf>
    <xf numFmtId="5" fontId="29" fillId="27" borderId="101" xfId="0" applyNumberFormat="1" applyFont="1" applyFill="1" applyBorder="1" applyAlignment="1" applyProtection="1">
      <alignment vertical="center"/>
    </xf>
    <xf numFmtId="0" fontId="21" fillId="0" borderId="75" xfId="0" applyFont="1" applyFill="1" applyBorder="1" applyAlignment="1">
      <alignment horizontal="left" vertical="center" wrapText="1"/>
    </xf>
    <xf numFmtId="5" fontId="23" fillId="0" borderId="81" xfId="0" applyNumberFormat="1" applyFont="1" applyFill="1" applyBorder="1" applyAlignment="1" applyProtection="1">
      <alignment vertical="center"/>
    </xf>
    <xf numFmtId="10" fontId="23" fillId="0" borderId="102" xfId="0" applyNumberFormat="1" applyFont="1" applyFill="1" applyBorder="1" applyProtection="1"/>
    <xf numFmtId="0" fontId="84" fillId="0" borderId="0" xfId="0" applyFont="1" applyBorder="1"/>
    <xf numFmtId="0" fontId="84" fillId="0" borderId="0" xfId="0" applyFont="1" applyBorder="1" applyAlignment="1">
      <alignment horizontal="center" vertical="center"/>
    </xf>
    <xf numFmtId="0" fontId="62" fillId="0" borderId="0" xfId="0" applyFont="1" applyBorder="1"/>
    <xf numFmtId="0" fontId="87" fillId="0" borderId="0" xfId="0" quotePrefix="1" applyFont="1" applyFill="1" applyBorder="1" applyAlignment="1">
      <alignment horizontal="left" wrapText="1"/>
    </xf>
    <xf numFmtId="6" fontId="88" fillId="0" borderId="0" xfId="0" applyNumberFormat="1" applyFont="1" applyBorder="1" applyAlignment="1">
      <alignment horizontal="right"/>
    </xf>
    <xf numFmtId="38" fontId="88" fillId="0" borderId="0" xfId="0" applyNumberFormat="1" applyFont="1" applyBorder="1" applyAlignment="1">
      <alignment horizontal="right"/>
    </xf>
    <xf numFmtId="6" fontId="84" fillId="0" borderId="0" xfId="0" applyNumberFormat="1" applyFont="1" applyBorder="1"/>
    <xf numFmtId="5" fontId="18" fillId="27" borderId="67" xfId="0" applyNumberFormat="1" applyFont="1" applyFill="1" applyBorder="1" applyProtection="1"/>
    <xf numFmtId="38" fontId="48" fillId="0" borderId="26" xfId="0" applyNumberFormat="1" applyFont="1" applyBorder="1" applyAlignment="1">
      <alignment horizontal="left"/>
    </xf>
    <xf numFmtId="6" fontId="48" fillId="0" borderId="26" xfId="0" applyNumberFormat="1" applyFont="1" applyFill="1" applyBorder="1" applyAlignment="1">
      <alignment horizontal="right"/>
    </xf>
    <xf numFmtId="0" fontId="60" fillId="0" borderId="0" xfId="0" applyFont="1" applyFill="1" applyBorder="1" applyAlignment="1">
      <alignment horizontal="left" vertical="center" wrapText="1"/>
    </xf>
    <xf numFmtId="0" fontId="0" fillId="0" borderId="0" xfId="0" applyAlignment="1"/>
    <xf numFmtId="0" fontId="18" fillId="0" borderId="0" xfId="0" applyFont="1" applyAlignment="1"/>
    <xf numFmtId="5" fontId="0" fillId="0" borderId="14" xfId="0" applyNumberFormat="1" applyBorder="1"/>
    <xf numFmtId="5" fontId="0" fillId="0" borderId="0" xfId="0" applyNumberFormat="1" applyAlignment="1">
      <alignment vertical="center"/>
    </xf>
    <xf numFmtId="9" fontId="27" fillId="27" borderId="26" xfId="0" applyNumberFormat="1" applyFont="1" applyFill="1" applyBorder="1" applyAlignment="1">
      <alignment horizontal="center" vertical="center" wrapText="1"/>
    </xf>
    <xf numFmtId="0" fontId="54" fillId="0" borderId="35" xfId="0" applyFont="1" applyBorder="1" applyAlignment="1">
      <alignment horizontal="left" wrapText="1"/>
    </xf>
    <xf numFmtId="0" fontId="54" fillId="0" borderId="35" xfId="0" applyFont="1" applyFill="1" applyBorder="1" applyAlignment="1">
      <alignment horizontal="left" wrapText="1"/>
    </xf>
    <xf numFmtId="0" fontId="25" fillId="0" borderId="0" xfId="0" applyFont="1" applyAlignment="1">
      <alignment horizontal="center"/>
    </xf>
    <xf numFmtId="1" fontId="18" fillId="0" borderId="0" xfId="0" applyNumberFormat="1" applyFont="1" applyAlignment="1">
      <alignment horizontal="center"/>
    </xf>
    <xf numFmtId="1" fontId="18" fillId="0" borderId="26" xfId="0" applyNumberFormat="1" applyFont="1" applyBorder="1" applyAlignment="1">
      <alignment horizontal="center"/>
    </xf>
    <xf numFmtId="0" fontId="18" fillId="35" borderId="0" xfId="0" applyFont="1" applyFill="1" applyBorder="1" applyAlignment="1">
      <alignment horizontal="center"/>
    </xf>
    <xf numFmtId="0" fontId="17" fillId="0" borderId="0" xfId="0" applyFont="1" applyFill="1" applyBorder="1" applyAlignment="1" applyProtection="1">
      <alignment horizontal="right" vertical="center"/>
    </xf>
    <xf numFmtId="0" fontId="18" fillId="0" borderId="0" xfId="0" applyFont="1" applyFill="1" applyBorder="1" applyAlignment="1" applyProtection="1"/>
    <xf numFmtId="0" fontId="18" fillId="0" borderId="0" xfId="0" quotePrefix="1" applyFont="1" applyAlignment="1">
      <alignment horizontal="center"/>
    </xf>
    <xf numFmtId="0" fontId="18" fillId="35" borderId="0" xfId="0" quotePrefix="1" applyFont="1" applyFill="1" applyBorder="1" applyAlignment="1">
      <alignment horizontal="center"/>
    </xf>
    <xf numFmtId="164" fontId="18" fillId="0" borderId="0" xfId="30" applyNumberFormat="1" applyFont="1" applyAlignment="1"/>
    <xf numFmtId="0" fontId="18" fillId="0" borderId="0" xfId="0" applyFont="1" applyAlignment="1">
      <alignment horizontal="left"/>
    </xf>
    <xf numFmtId="10" fontId="18" fillId="0" borderId="0" xfId="49" applyNumberFormat="1" applyFont="1" applyAlignment="1"/>
    <xf numFmtId="5" fontId="18" fillId="0" borderId="0" xfId="34" applyNumberFormat="1" applyFont="1" applyAlignment="1">
      <alignment horizontal="right"/>
    </xf>
    <xf numFmtId="10" fontId="18" fillId="0" borderId="14" xfId="0" applyNumberFormat="1" applyFont="1" applyBorder="1" applyAlignment="1">
      <alignment horizontal="right"/>
    </xf>
    <xf numFmtId="165" fontId="18" fillId="0" borderId="0" xfId="0" applyNumberFormat="1" applyFont="1" applyAlignment="1">
      <alignment horizontal="right"/>
    </xf>
    <xf numFmtId="168" fontId="18" fillId="0" borderId="14" xfId="0" applyNumberFormat="1" applyFont="1" applyBorder="1" applyAlignment="1">
      <alignment horizontal="right"/>
    </xf>
    <xf numFmtId="164" fontId="18" fillId="0" borderId="14" xfId="0" applyNumberFormat="1" applyFont="1" applyBorder="1" applyAlignment="1">
      <alignment horizontal="right"/>
    </xf>
    <xf numFmtId="6" fontId="18" fillId="0" borderId="14" xfId="0" applyNumberFormat="1" applyFont="1" applyBorder="1" applyAlignment="1">
      <alignment horizontal="right"/>
    </xf>
    <xf numFmtId="6" fontId="18" fillId="0" borderId="0" xfId="0" applyNumberFormat="1" applyFont="1" applyAlignment="1">
      <alignment horizontal="right"/>
    </xf>
    <xf numFmtId="5" fontId="34" fillId="35" borderId="0" xfId="0" applyNumberFormat="1" applyFont="1" applyFill="1" applyBorder="1" applyAlignment="1" applyProtection="1"/>
    <xf numFmtId="5" fontId="0" fillId="0" borderId="0" xfId="0" applyNumberFormat="1" applyBorder="1"/>
    <xf numFmtId="0" fontId="0" fillId="0" borderId="0" xfId="0" applyBorder="1" applyAlignment="1"/>
    <xf numFmtId="5" fontId="61" fillId="35" borderId="13" xfId="0" applyNumberFormat="1" applyFont="1" applyFill="1" applyBorder="1" applyAlignment="1">
      <alignment horizontal="right" wrapText="1"/>
    </xf>
    <xf numFmtId="6" fontId="48" fillId="35" borderId="13" xfId="0" applyNumberFormat="1" applyFont="1" applyFill="1" applyBorder="1" applyAlignment="1">
      <alignment horizontal="right"/>
    </xf>
    <xf numFmtId="5" fontId="23" fillId="0" borderId="112" xfId="0" applyNumberFormat="1" applyFont="1" applyFill="1" applyBorder="1" applyProtection="1"/>
    <xf numFmtId="10" fontId="23" fillId="0" borderId="113" xfId="0" applyNumberFormat="1" applyFont="1" applyFill="1" applyBorder="1" applyProtection="1"/>
    <xf numFmtId="5" fontId="29" fillId="27" borderId="78" xfId="0" applyNumberFormat="1" applyFont="1" applyFill="1" applyBorder="1" applyProtection="1"/>
    <xf numFmtId="10" fontId="40" fillId="27" borderId="114" xfId="0" applyNumberFormat="1" applyFont="1" applyFill="1" applyBorder="1" applyProtection="1"/>
    <xf numFmtId="0" fontId="29" fillId="27" borderId="77" xfId="0" applyFont="1" applyFill="1" applyBorder="1" applyAlignment="1">
      <alignment horizontal="center"/>
    </xf>
    <xf numFmtId="0" fontId="0" fillId="0" borderId="0" xfId="0" applyBorder="1" applyAlignment="1">
      <alignment horizontal="left" wrapText="1"/>
    </xf>
    <xf numFmtId="1" fontId="27" fillId="26" borderId="67" xfId="0" applyNumberFormat="1" applyFont="1" applyFill="1" applyBorder="1" applyAlignment="1" applyProtection="1">
      <alignment horizontal="center" vertical="center"/>
    </xf>
    <xf numFmtId="0" fontId="0" fillId="0" borderId="0" xfId="0" applyAlignment="1">
      <alignment horizontal="center" vertical="center"/>
    </xf>
    <xf numFmtId="6" fontId="18" fillId="37" borderId="67" xfId="0" applyNumberFormat="1" applyFont="1" applyFill="1" applyBorder="1" applyProtection="1"/>
    <xf numFmtId="0" fontId="0" fillId="0" borderId="0" xfId="0" applyBorder="1" applyAlignment="1">
      <alignment horizontal="center" wrapText="1"/>
    </xf>
    <xf numFmtId="6" fontId="33" fillId="0" borderId="71" xfId="32" applyNumberFormat="1" applyFont="1" applyBorder="1" applyAlignment="1">
      <alignment horizontal="right"/>
    </xf>
    <xf numFmtId="43" fontId="33" fillId="0" borderId="63" xfId="28" applyNumberFormat="1" applyFont="1" applyBorder="1" applyAlignment="1">
      <alignment horizontal="right"/>
    </xf>
    <xf numFmtId="0" fontId="86" fillId="35" borderId="0" xfId="0" applyFont="1" applyFill="1" applyBorder="1" applyAlignment="1">
      <alignment horizontal="left" wrapText="1"/>
    </xf>
    <xf numFmtId="6" fontId="86" fillId="35" borderId="0" xfId="0" applyNumberFormat="1" applyFont="1" applyFill="1" applyBorder="1" applyAlignment="1">
      <alignment horizontal="center" wrapText="1"/>
    </xf>
    <xf numFmtId="0" fontId="84" fillId="35" borderId="0" xfId="0" applyFont="1" applyFill="1" applyBorder="1"/>
    <xf numFmtId="6" fontId="54" fillId="35" borderId="13" xfId="0" applyNumberFormat="1" applyFont="1" applyFill="1" applyBorder="1" applyAlignment="1">
      <alignment horizontal="right"/>
    </xf>
    <xf numFmtId="6" fontId="48" fillId="35" borderId="26" xfId="0" applyNumberFormat="1" applyFont="1" applyFill="1" applyBorder="1" applyAlignment="1">
      <alignment horizontal="right"/>
    </xf>
    <xf numFmtId="5" fontId="82" fillId="0" borderId="0" xfId="0" applyNumberFormat="1" applyFont="1" applyFill="1" applyBorder="1" applyProtection="1"/>
    <xf numFmtId="6" fontId="82" fillId="0" borderId="0" xfId="0" applyNumberFormat="1" applyFont="1" applyFill="1" applyBorder="1" applyProtection="1"/>
    <xf numFmtId="164" fontId="82" fillId="0" borderId="0" xfId="28" applyNumberFormat="1" applyFont="1" applyFill="1" applyBorder="1" applyProtection="1"/>
    <xf numFmtId="164" fontId="33" fillId="0" borderId="0" xfId="28" applyNumberFormat="1" applyFont="1" applyFill="1" applyBorder="1" applyProtection="1"/>
    <xf numFmtId="0" fontId="0" fillId="35" borderId="0" xfId="0" applyFill="1" applyBorder="1"/>
    <xf numFmtId="0" fontId="21" fillId="0" borderId="77" xfId="0" applyFont="1" applyFill="1" applyBorder="1" applyAlignment="1">
      <alignment horizontal="center" vertical="top"/>
    </xf>
    <xf numFmtId="0" fontId="16" fillId="0" borderId="0" xfId="0" applyFont="1"/>
    <xf numFmtId="0" fontId="86" fillId="0" borderId="0" xfId="0" applyFont="1" applyBorder="1"/>
    <xf numFmtId="0" fontId="26" fillId="0" borderId="52" xfId="0" applyFont="1" applyFill="1" applyBorder="1" applyAlignment="1">
      <alignment horizontal="center"/>
    </xf>
    <xf numFmtId="0" fontId="59" fillId="0" borderId="0" xfId="0" applyFont="1"/>
    <xf numFmtId="5" fontId="23" fillId="0" borderId="129" xfId="0" applyNumberFormat="1" applyFont="1" applyFill="1" applyBorder="1" applyAlignment="1" applyProtection="1">
      <alignment vertical="top"/>
    </xf>
    <xf numFmtId="5" fontId="23" fillId="0" borderId="130" xfId="0" applyNumberFormat="1" applyFont="1" applyFill="1" applyBorder="1" applyAlignment="1" applyProtection="1">
      <alignment vertical="top"/>
    </xf>
    <xf numFmtId="164" fontId="23" fillId="0" borderId="132" xfId="28" applyNumberFormat="1" applyFont="1" applyFill="1" applyBorder="1" applyAlignment="1" applyProtection="1"/>
    <xf numFmtId="164" fontId="23" fillId="0" borderId="20" xfId="28" applyNumberFormat="1" applyFont="1" applyFill="1" applyBorder="1" applyAlignment="1" applyProtection="1"/>
    <xf numFmtId="0" fontId="21" fillId="0" borderId="136" xfId="0" applyFont="1" applyFill="1" applyBorder="1" applyAlignment="1">
      <alignment horizontal="left"/>
    </xf>
    <xf numFmtId="164" fontId="23" fillId="0" borderId="137" xfId="28" applyNumberFormat="1" applyFont="1" applyFill="1" applyBorder="1" applyAlignment="1" applyProtection="1"/>
    <xf numFmtId="164" fontId="23" fillId="0" borderId="136" xfId="28" applyNumberFormat="1" applyFont="1" applyFill="1" applyBorder="1" applyAlignment="1" applyProtection="1"/>
    <xf numFmtId="164" fontId="23" fillId="0" borderId="32" xfId="28" applyNumberFormat="1" applyFont="1" applyFill="1" applyBorder="1" applyProtection="1"/>
    <xf numFmtId="43" fontId="23" fillId="0" borderId="132" xfId="28" applyFont="1" applyFill="1" applyBorder="1" applyAlignment="1" applyProtection="1">
      <alignment horizontal="right"/>
    </xf>
    <xf numFmtId="10" fontId="23" fillId="0" borderId="132" xfId="48" applyNumberFormat="1" applyFont="1" applyFill="1" applyBorder="1" applyAlignment="1" applyProtection="1">
      <alignment horizontal="right"/>
    </xf>
    <xf numFmtId="5" fontId="23" fillId="0" borderId="151" xfId="0" applyNumberFormat="1" applyFont="1" applyFill="1" applyBorder="1" applyProtection="1"/>
    <xf numFmtId="5" fontId="23" fillId="0" borderId="152" xfId="0" applyNumberFormat="1" applyFont="1" applyFill="1" applyBorder="1" applyProtection="1"/>
    <xf numFmtId="5" fontId="29" fillId="0" borderId="134" xfId="0" applyNumberFormat="1" applyFont="1" applyFill="1" applyBorder="1" applyAlignment="1" applyProtection="1"/>
    <xf numFmtId="5" fontId="29" fillId="0" borderId="135" xfId="0" applyNumberFormat="1" applyFont="1" applyFill="1" applyBorder="1" applyAlignment="1" applyProtection="1"/>
    <xf numFmtId="5" fontId="29" fillId="27" borderId="148" xfId="0" applyNumberFormat="1" applyFont="1" applyFill="1" applyBorder="1" applyAlignment="1" applyProtection="1"/>
    <xf numFmtId="5" fontId="29" fillId="27" borderId="29" xfId="0" applyNumberFormat="1" applyFont="1" applyFill="1" applyBorder="1" applyAlignment="1" applyProtection="1"/>
    <xf numFmtId="5" fontId="23" fillId="0" borderId="149" xfId="0" applyNumberFormat="1" applyFont="1" applyFill="1" applyBorder="1" applyAlignment="1" applyProtection="1"/>
    <xf numFmtId="5" fontId="23" fillId="0" borderId="150" xfId="0" applyNumberFormat="1" applyFont="1" applyFill="1" applyBorder="1" applyAlignment="1" applyProtection="1"/>
    <xf numFmtId="5" fontId="23" fillId="0" borderId="153" xfId="0" applyNumberFormat="1" applyFont="1" applyFill="1" applyBorder="1" applyProtection="1"/>
    <xf numFmtId="5" fontId="29" fillId="0" borderId="135" xfId="0" applyNumberFormat="1" applyFont="1" applyFill="1" applyBorder="1" applyProtection="1"/>
    <xf numFmtId="5" fontId="23" fillId="0" borderId="145" xfId="0" applyNumberFormat="1" applyFont="1" applyFill="1" applyBorder="1" applyProtection="1"/>
    <xf numFmtId="5" fontId="23" fillId="0" borderId="154" xfId="0" applyNumberFormat="1" applyFont="1" applyFill="1" applyBorder="1" applyProtection="1"/>
    <xf numFmtId="5" fontId="29" fillId="27" borderId="139" xfId="0" applyNumberFormat="1" applyFont="1" applyFill="1" applyBorder="1" applyAlignment="1" applyProtection="1">
      <alignment vertical="center"/>
    </xf>
    <xf numFmtId="5" fontId="23" fillId="0" borderId="135" xfId="0" applyNumberFormat="1" applyFont="1" applyFill="1" applyBorder="1" applyProtection="1"/>
    <xf numFmtId="5" fontId="23" fillId="0" borderId="20" xfId="0" applyNumberFormat="1" applyFont="1" applyFill="1" applyBorder="1" applyProtection="1"/>
    <xf numFmtId="5" fontId="26" fillId="0" borderId="128" xfId="0" applyNumberFormat="1" applyFont="1" applyFill="1" applyBorder="1" applyProtection="1"/>
    <xf numFmtId="5" fontId="23" fillId="0" borderId="133" xfId="0" applyNumberFormat="1" applyFont="1" applyFill="1" applyBorder="1" applyAlignment="1" applyProtection="1"/>
    <xf numFmtId="5" fontId="23" fillId="0" borderId="118" xfId="0" applyNumberFormat="1" applyFont="1" applyFill="1" applyBorder="1" applyAlignment="1" applyProtection="1"/>
    <xf numFmtId="5" fontId="29" fillId="0" borderId="132" xfId="0" applyNumberFormat="1" applyFont="1" applyFill="1" applyBorder="1" applyAlignment="1" applyProtection="1"/>
    <xf numFmtId="5" fontId="29" fillId="0" borderId="20" xfId="0" applyNumberFormat="1" applyFont="1" applyFill="1" applyBorder="1" applyAlignment="1" applyProtection="1"/>
    <xf numFmtId="5" fontId="23" fillId="0" borderId="137" xfId="0" applyNumberFormat="1" applyFont="1" applyFill="1" applyBorder="1" applyAlignment="1" applyProtection="1"/>
    <xf numFmtId="5" fontId="23" fillId="0" borderId="136" xfId="0" applyNumberFormat="1" applyFont="1" applyFill="1" applyBorder="1" applyAlignment="1" applyProtection="1"/>
    <xf numFmtId="5" fontId="23" fillId="0" borderId="132" xfId="0" applyNumberFormat="1" applyFont="1" applyFill="1" applyBorder="1" applyAlignment="1" applyProtection="1"/>
    <xf numFmtId="5" fontId="23" fillId="0" borderId="20" xfId="0" applyNumberFormat="1" applyFont="1" applyFill="1" applyBorder="1" applyAlignment="1" applyProtection="1"/>
    <xf numFmtId="43" fontId="23" fillId="0" borderId="20" xfId="28" applyFont="1" applyFill="1" applyBorder="1" applyAlignment="1" applyProtection="1"/>
    <xf numFmtId="10" fontId="23" fillId="0" borderId="20" xfId="48" applyNumberFormat="1" applyFont="1" applyFill="1" applyBorder="1" applyAlignment="1" applyProtection="1"/>
    <xf numFmtId="5" fontId="29" fillId="0" borderId="137" xfId="0" applyNumberFormat="1" applyFont="1" applyFill="1" applyBorder="1" applyAlignment="1" applyProtection="1"/>
    <xf numFmtId="5" fontId="29" fillId="0" borderId="136" xfId="0" applyNumberFormat="1" applyFont="1" applyFill="1" applyBorder="1" applyAlignment="1" applyProtection="1"/>
    <xf numFmtId="5" fontId="29" fillId="0" borderId="138" xfId="0" applyNumberFormat="1" applyFont="1" applyFill="1" applyBorder="1" applyAlignment="1" applyProtection="1">
      <alignment vertical="center"/>
    </xf>
    <xf numFmtId="5" fontId="29" fillId="0" borderId="139" xfId="0" applyNumberFormat="1" applyFont="1" applyFill="1" applyBorder="1" applyAlignment="1" applyProtection="1">
      <alignment vertical="center"/>
    </xf>
    <xf numFmtId="5" fontId="29" fillId="0" borderId="133" xfId="0" applyNumberFormat="1" applyFont="1" applyFill="1" applyBorder="1" applyAlignment="1" applyProtection="1">
      <alignment vertical="center"/>
    </xf>
    <xf numFmtId="5" fontId="29" fillId="0" borderId="118" xfId="0" applyNumberFormat="1" applyFont="1" applyFill="1" applyBorder="1" applyAlignment="1" applyProtection="1">
      <alignment vertical="center"/>
    </xf>
    <xf numFmtId="5" fontId="23" fillId="0" borderId="132" xfId="0" applyNumberFormat="1" applyFont="1" applyFill="1" applyBorder="1" applyAlignment="1" applyProtection="1">
      <alignment vertical="center"/>
    </xf>
    <xf numFmtId="5" fontId="23" fillId="0" borderId="20" xfId="0" applyNumberFormat="1" applyFont="1" applyFill="1" applyBorder="1" applyAlignment="1" applyProtection="1">
      <alignment vertical="center"/>
    </xf>
    <xf numFmtId="5" fontId="23" fillId="0" borderId="140" xfId="0" applyNumberFormat="1" applyFont="1" applyFill="1" applyBorder="1" applyAlignment="1" applyProtection="1">
      <alignment vertical="center"/>
    </xf>
    <xf numFmtId="5" fontId="23" fillId="0" borderId="47" xfId="0" applyNumberFormat="1" applyFont="1" applyFill="1" applyBorder="1" applyAlignment="1" applyProtection="1">
      <alignment vertical="center"/>
    </xf>
    <xf numFmtId="5" fontId="23" fillId="0" borderId="141" xfId="0" applyNumberFormat="1" applyFont="1" applyFill="1" applyBorder="1" applyAlignment="1" applyProtection="1">
      <alignment vertical="center"/>
    </xf>
    <xf numFmtId="5" fontId="23" fillId="0" borderId="48" xfId="0" applyNumberFormat="1" applyFont="1" applyFill="1" applyBorder="1" applyAlignment="1" applyProtection="1">
      <alignment vertical="center"/>
    </xf>
    <xf numFmtId="5" fontId="23" fillId="0" borderId="142" xfId="0" applyNumberFormat="1" applyFont="1" applyFill="1" applyBorder="1" applyAlignment="1" applyProtection="1">
      <alignment vertical="center"/>
    </xf>
    <xf numFmtId="5" fontId="23" fillId="0" borderId="143" xfId="0" applyNumberFormat="1" applyFont="1" applyFill="1" applyBorder="1" applyAlignment="1" applyProtection="1">
      <alignment vertical="center"/>
    </xf>
    <xf numFmtId="5" fontId="23" fillId="0" borderId="144" xfId="0" applyNumberFormat="1" applyFont="1" applyFill="1" applyBorder="1" applyAlignment="1" applyProtection="1">
      <alignment vertical="center"/>
    </xf>
    <xf numFmtId="5" fontId="23" fillId="0" borderId="145" xfId="0" applyNumberFormat="1" applyFont="1" applyFill="1" applyBorder="1" applyAlignment="1" applyProtection="1">
      <alignment vertical="center"/>
    </xf>
    <xf numFmtId="5" fontId="29" fillId="27" borderId="146" xfId="0" applyNumberFormat="1" applyFont="1" applyFill="1" applyBorder="1" applyAlignment="1" applyProtection="1"/>
    <xf numFmtId="5" fontId="29" fillId="27" borderId="147" xfId="0" applyNumberFormat="1" applyFont="1" applyFill="1" applyBorder="1" applyAlignment="1" applyProtection="1"/>
    <xf numFmtId="5" fontId="23" fillId="0" borderId="155" xfId="0" applyNumberFormat="1" applyFont="1" applyFill="1" applyBorder="1" applyProtection="1"/>
    <xf numFmtId="5" fontId="29" fillId="0" borderId="134" xfId="0" applyNumberFormat="1" applyFont="1" applyFill="1" applyBorder="1" applyProtection="1"/>
    <xf numFmtId="5" fontId="23" fillId="0" borderId="144" xfId="0" applyNumberFormat="1" applyFont="1" applyFill="1" applyBorder="1" applyProtection="1"/>
    <xf numFmtId="5" fontId="23" fillId="0" borderId="156" xfId="0" applyNumberFormat="1" applyFont="1" applyFill="1" applyBorder="1" applyProtection="1"/>
    <xf numFmtId="5" fontId="29" fillId="0" borderId="155" xfId="0" applyNumberFormat="1" applyFont="1" applyFill="1" applyBorder="1" applyProtection="1"/>
    <xf numFmtId="5" fontId="29" fillId="0" borderId="141" xfId="0" applyNumberFormat="1" applyFont="1" applyFill="1" applyBorder="1" applyProtection="1"/>
    <xf numFmtId="5" fontId="29" fillId="27" borderId="138" xfId="0" applyNumberFormat="1" applyFont="1" applyFill="1" applyBorder="1" applyAlignment="1" applyProtection="1">
      <alignment vertical="center"/>
    </xf>
    <xf numFmtId="5" fontId="23" fillId="0" borderId="134" xfId="0" applyNumberFormat="1" applyFont="1" applyFill="1" applyBorder="1" applyProtection="1"/>
    <xf numFmtId="5" fontId="23" fillId="0" borderId="140" xfId="0" applyNumberFormat="1" applyFont="1" applyFill="1" applyBorder="1" applyAlignment="1" applyProtection="1"/>
    <xf numFmtId="5" fontId="23" fillId="0" borderId="157" xfId="0" applyNumberFormat="1" applyFont="1" applyFill="1" applyBorder="1" applyProtection="1"/>
    <xf numFmtId="5" fontId="29" fillId="0" borderId="158" xfId="0" applyNumberFormat="1" applyFont="1" applyFill="1" applyBorder="1" applyProtection="1"/>
    <xf numFmtId="5" fontId="23" fillId="0" borderId="159" xfId="0" applyNumberFormat="1" applyFont="1" applyFill="1" applyBorder="1" applyProtection="1"/>
    <xf numFmtId="5" fontId="23" fillId="0" borderId="160" xfId="0" applyNumberFormat="1" applyFont="1" applyFill="1" applyBorder="1" applyProtection="1"/>
    <xf numFmtId="5" fontId="29" fillId="27" borderId="161" xfId="0" applyNumberFormat="1" applyFont="1" applyFill="1" applyBorder="1" applyAlignment="1" applyProtection="1">
      <alignment vertical="center"/>
    </xf>
    <xf numFmtId="5" fontId="23" fillId="0" borderId="158" xfId="0" applyNumberFormat="1" applyFont="1" applyFill="1" applyBorder="1" applyProtection="1"/>
    <xf numFmtId="5" fontId="23" fillId="0" borderId="45" xfId="0" applyNumberFormat="1" applyFont="1" applyFill="1" applyBorder="1" applyProtection="1"/>
    <xf numFmtId="5" fontId="23" fillId="0" borderId="162" xfId="0" applyNumberFormat="1" applyFont="1" applyFill="1" applyBorder="1" applyAlignment="1" applyProtection="1"/>
    <xf numFmtId="164" fontId="47" fillId="27" borderId="163" xfId="0" applyNumberFormat="1" applyFont="1" applyFill="1" applyBorder="1" applyAlignment="1" applyProtection="1">
      <alignment vertical="center"/>
    </xf>
    <xf numFmtId="5" fontId="29" fillId="0" borderId="42" xfId="0" applyNumberFormat="1" applyFont="1" applyFill="1" applyBorder="1" applyProtection="1"/>
    <xf numFmtId="5" fontId="26" fillId="0" borderId="164" xfId="0" applyNumberFormat="1" applyFont="1" applyFill="1" applyBorder="1" applyAlignment="1" applyProtection="1">
      <alignment horizontal="left"/>
    </xf>
    <xf numFmtId="5" fontId="26" fillId="0" borderId="127" xfId="0" applyNumberFormat="1" applyFont="1" applyFill="1" applyBorder="1" applyAlignment="1" applyProtection="1"/>
    <xf numFmtId="10" fontId="33" fillId="35" borderId="71" xfId="48" applyNumberFormat="1" applyFont="1" applyFill="1" applyBorder="1" applyAlignment="1">
      <alignment horizontal="right"/>
    </xf>
    <xf numFmtId="6" fontId="33" fillId="35" borderId="12" xfId="32" applyNumberFormat="1" applyFont="1" applyFill="1" applyBorder="1" applyAlignment="1">
      <alignment horizontal="right"/>
    </xf>
    <xf numFmtId="0" fontId="59" fillId="0" borderId="0" xfId="0" applyFont="1" applyAlignment="1">
      <alignment horizontal="right" vertical="top"/>
    </xf>
    <xf numFmtId="43" fontId="18" fillId="0" borderId="0" xfId="0" applyNumberFormat="1" applyFont="1"/>
    <xf numFmtId="10" fontId="18" fillId="0" borderId="0" xfId="0" applyNumberFormat="1" applyFont="1"/>
    <xf numFmtId="1" fontId="16" fillId="26" borderId="11" xfId="53" applyNumberFormat="1" applyFont="1" applyFill="1" applyBorder="1" applyAlignment="1" applyProtection="1">
      <alignment horizontal="center"/>
    </xf>
    <xf numFmtId="1" fontId="20" fillId="26" borderId="11" xfId="53" applyNumberFormat="1" applyFont="1" applyFill="1" applyBorder="1" applyAlignment="1" applyProtection="1">
      <alignment horizontal="center"/>
    </xf>
    <xf numFmtId="1" fontId="27" fillId="26" borderId="10" xfId="53" quotePrefix="1" applyNumberFormat="1" applyFont="1" applyFill="1" applyBorder="1" applyAlignment="1" applyProtection="1">
      <alignment horizontal="center"/>
    </xf>
    <xf numFmtId="165" fontId="16" fillId="0" borderId="104" xfId="54" applyNumberFormat="1" applyFont="1" applyFill="1" applyBorder="1" applyAlignment="1" applyProtection="1">
      <alignment horizontal="right"/>
    </xf>
    <xf numFmtId="165" fontId="16" fillId="0" borderId="107" xfId="53" applyNumberFormat="1" applyFont="1" applyFill="1" applyBorder="1" applyAlignment="1" applyProtection="1">
      <alignment horizontal="right"/>
    </xf>
    <xf numFmtId="165" fontId="16" fillId="0" borderId="109" xfId="53" applyNumberFormat="1" applyFont="1" applyFill="1" applyBorder="1" applyAlignment="1" applyProtection="1">
      <alignment horizontal="right"/>
    </xf>
    <xf numFmtId="165" fontId="16" fillId="0" borderId="104" xfId="53" applyNumberFormat="1" applyFont="1" applyFill="1" applyBorder="1" applyAlignment="1" applyProtection="1">
      <alignment horizontal="right"/>
    </xf>
    <xf numFmtId="170" fontId="33" fillId="35" borderId="73" xfId="54" applyNumberFormat="1" applyFont="1" applyFill="1" applyBorder="1" applyAlignment="1" applyProtection="1">
      <alignment horizontal="right"/>
    </xf>
    <xf numFmtId="165" fontId="33" fillId="0" borderId="74" xfId="54" applyNumberFormat="1" applyFont="1" applyFill="1" applyBorder="1" applyAlignment="1" applyProtection="1">
      <alignment horizontal="right"/>
    </xf>
    <xf numFmtId="1" fontId="38" fillId="26" borderId="26" xfId="53" applyNumberFormat="1" applyFont="1" applyFill="1" applyBorder="1" applyAlignment="1" applyProtection="1">
      <alignment horizontal="center"/>
    </xf>
    <xf numFmtId="1" fontId="93" fillId="26" borderId="26" xfId="53" applyNumberFormat="1" applyFont="1" applyFill="1" applyBorder="1" applyAlignment="1" applyProtection="1">
      <alignment horizontal="center"/>
    </xf>
    <xf numFmtId="165" fontId="16" fillId="0" borderId="105" xfId="53" applyNumberFormat="1" applyFont="1" applyFill="1" applyBorder="1" applyAlignment="1" applyProtection="1">
      <alignment horizontal="right"/>
    </xf>
    <xf numFmtId="165" fontId="20" fillId="0" borderId="111" xfId="53" applyNumberFormat="1" applyFont="1" applyFill="1" applyBorder="1" applyAlignment="1" applyProtection="1">
      <alignment horizontal="right"/>
    </xf>
    <xf numFmtId="5" fontId="26" fillId="27" borderId="45" xfId="0" applyNumberFormat="1" applyFont="1" applyFill="1" applyBorder="1" applyAlignment="1" applyProtection="1">
      <alignment vertical="center"/>
    </xf>
    <xf numFmtId="165" fontId="16" fillId="35" borderId="107" xfId="53" applyNumberFormat="1" applyFont="1" applyFill="1" applyBorder="1" applyAlignment="1" applyProtection="1">
      <alignment horizontal="right"/>
    </xf>
    <xf numFmtId="165" fontId="16" fillId="35" borderId="109" xfId="53" applyNumberFormat="1" applyFont="1" applyFill="1" applyBorder="1" applyAlignment="1" applyProtection="1">
      <alignment horizontal="right"/>
    </xf>
    <xf numFmtId="165" fontId="16" fillId="35" borderId="104" xfId="53" applyNumberFormat="1" applyFont="1" applyFill="1" applyBorder="1" applyAlignment="1" applyProtection="1">
      <alignment horizontal="right"/>
    </xf>
    <xf numFmtId="165" fontId="33" fillId="35" borderId="74" xfId="54" applyNumberFormat="1" applyFont="1" applyFill="1" applyBorder="1" applyAlignment="1" applyProtection="1">
      <alignment horizontal="right"/>
    </xf>
    <xf numFmtId="6" fontId="33" fillId="35" borderId="74" xfId="54" applyNumberFormat="1" applyFont="1" applyFill="1" applyBorder="1" applyAlignment="1" applyProtection="1">
      <alignment horizontal="right"/>
    </xf>
    <xf numFmtId="6" fontId="33" fillId="35" borderId="73" xfId="54" applyNumberFormat="1" applyFont="1" applyFill="1" applyBorder="1" applyAlignment="1" applyProtection="1">
      <alignment horizontal="right"/>
    </xf>
    <xf numFmtId="5" fontId="26" fillId="27" borderId="165" xfId="0" applyNumberFormat="1" applyFont="1" applyFill="1" applyBorder="1" applyAlignment="1" applyProtection="1">
      <alignment vertical="center"/>
    </xf>
    <xf numFmtId="10" fontId="23" fillId="27" borderId="166" xfId="0" applyNumberFormat="1" applyFont="1" applyFill="1" applyBorder="1" applyAlignment="1" applyProtection="1">
      <alignment vertical="center"/>
    </xf>
    <xf numFmtId="0" fontId="21" fillId="0" borderId="167" xfId="0" quotePrefix="1" applyFont="1" applyFill="1" applyBorder="1" applyAlignment="1">
      <alignment horizontal="center"/>
    </xf>
    <xf numFmtId="0" fontId="29" fillId="35" borderId="51" xfId="0" applyFont="1" applyFill="1" applyBorder="1" applyAlignment="1">
      <alignment horizontal="center"/>
    </xf>
    <xf numFmtId="0" fontId="29" fillId="35" borderId="50" xfId="0" applyFont="1" applyFill="1" applyBorder="1" applyAlignment="1">
      <alignment horizontal="left"/>
    </xf>
    <xf numFmtId="0" fontId="21" fillId="35" borderId="50" xfId="0" applyFont="1" applyFill="1" applyBorder="1" applyAlignment="1">
      <alignment horizontal="left"/>
    </xf>
    <xf numFmtId="5" fontId="29" fillId="35" borderId="19" xfId="0" applyNumberFormat="1" applyFont="1" applyFill="1" applyBorder="1" applyProtection="1"/>
    <xf numFmtId="5" fontId="29" fillId="35" borderId="134" xfId="0" applyNumberFormat="1" applyFont="1" applyFill="1" applyBorder="1" applyProtection="1"/>
    <xf numFmtId="5" fontId="29" fillId="35" borderId="158" xfId="0" applyNumberFormat="1" applyFont="1" applyFill="1" applyBorder="1" applyProtection="1"/>
    <xf numFmtId="5" fontId="29" fillId="35" borderId="135" xfId="0" applyNumberFormat="1" applyFont="1" applyFill="1" applyBorder="1" applyProtection="1"/>
    <xf numFmtId="10" fontId="29" fillId="35" borderId="85" xfId="0" applyNumberFormat="1" applyFont="1" applyFill="1" applyBorder="1" applyProtection="1"/>
    <xf numFmtId="0" fontId="21" fillId="0" borderId="50" xfId="0" applyFont="1" applyFill="1" applyBorder="1" applyAlignment="1">
      <alignment horizontal="left" wrapText="1"/>
    </xf>
    <xf numFmtId="0" fontId="21" fillId="0" borderId="168" xfId="0" applyFont="1" applyFill="1" applyBorder="1" applyAlignment="1">
      <alignment horizontal="left"/>
    </xf>
    <xf numFmtId="5" fontId="29" fillId="0" borderId="169" xfId="0" applyNumberFormat="1" applyFont="1" applyFill="1" applyBorder="1" applyProtection="1"/>
    <xf numFmtId="5" fontId="23" fillId="0" borderId="170" xfId="0" applyNumberFormat="1" applyFont="1" applyFill="1" applyBorder="1" applyProtection="1"/>
    <xf numFmtId="5" fontId="23" fillId="0" borderId="171" xfId="0" applyNumberFormat="1" applyFont="1" applyFill="1" applyBorder="1" applyProtection="1"/>
    <xf numFmtId="5" fontId="23" fillId="0" borderId="172" xfId="0" applyNumberFormat="1" applyFont="1" applyFill="1" applyBorder="1" applyProtection="1"/>
    <xf numFmtId="5" fontId="23" fillId="0" borderId="173" xfId="0" applyNumberFormat="1" applyFont="1" applyFill="1" applyBorder="1" applyAlignment="1" applyProtection="1"/>
    <xf numFmtId="0" fontId="21" fillId="0" borderId="174" xfId="0" applyFont="1" applyFill="1" applyBorder="1" applyAlignment="1">
      <alignment horizontal="left"/>
    </xf>
    <xf numFmtId="5" fontId="23" fillId="0" borderId="175" xfId="0" applyNumberFormat="1" applyFont="1" applyFill="1" applyBorder="1" applyAlignment="1" applyProtection="1"/>
    <xf numFmtId="5" fontId="23" fillId="0" borderId="176" xfId="0" applyNumberFormat="1" applyFont="1" applyFill="1" applyBorder="1" applyAlignment="1" applyProtection="1"/>
    <xf numFmtId="5" fontId="23" fillId="0" borderId="177" xfId="0" applyNumberFormat="1" applyFont="1" applyFill="1" applyBorder="1" applyAlignment="1" applyProtection="1"/>
    <xf numFmtId="5" fontId="23" fillId="0" borderId="178" xfId="0" applyNumberFormat="1" applyFont="1" applyFill="1" applyBorder="1" applyProtection="1"/>
    <xf numFmtId="10" fontId="23" fillId="0" borderId="179" xfId="0" applyNumberFormat="1" applyFont="1" applyFill="1" applyBorder="1" applyProtection="1"/>
    <xf numFmtId="0" fontId="21" fillId="0" borderId="180" xfId="0" applyFont="1" applyFill="1" applyBorder="1" applyAlignment="1">
      <alignment horizontal="left"/>
    </xf>
    <xf numFmtId="5" fontId="23" fillId="0" borderId="181" xfId="0" applyNumberFormat="1" applyFont="1" applyFill="1" applyBorder="1" applyProtection="1"/>
    <xf numFmtId="5" fontId="23" fillId="0" borderId="182" xfId="0" applyNumberFormat="1" applyFont="1" applyFill="1" applyBorder="1" applyProtection="1"/>
    <xf numFmtId="5" fontId="23" fillId="0" borderId="183" xfId="0" applyNumberFormat="1" applyFont="1" applyFill="1" applyBorder="1" applyProtection="1"/>
    <xf numFmtId="10" fontId="23" fillId="0" borderId="184" xfId="0" applyNumberFormat="1" applyFont="1" applyFill="1" applyBorder="1" applyProtection="1"/>
    <xf numFmtId="0" fontId="21" fillId="0" borderId="21" xfId="0" applyFont="1" applyFill="1" applyBorder="1" applyAlignment="1">
      <alignment horizontal="right"/>
    </xf>
    <xf numFmtId="164" fontId="21" fillId="0" borderId="132" xfId="28" applyNumberFormat="1" applyFont="1" applyFill="1" applyBorder="1" applyAlignment="1" applyProtection="1"/>
    <xf numFmtId="164" fontId="21" fillId="0" borderId="20" xfId="28" applyNumberFormat="1" applyFont="1" applyFill="1" applyBorder="1" applyAlignment="1" applyProtection="1"/>
    <xf numFmtId="164" fontId="21" fillId="0" borderId="131" xfId="28" applyNumberFormat="1" applyFont="1" applyFill="1" applyBorder="1" applyAlignment="1" applyProtection="1"/>
    <xf numFmtId="164" fontId="21" fillId="0" borderId="124" xfId="28" applyNumberFormat="1" applyFont="1" applyFill="1" applyBorder="1" applyAlignment="1" applyProtection="1"/>
    <xf numFmtId="164" fontId="21" fillId="0" borderId="27" xfId="28" applyNumberFormat="1" applyFont="1" applyFill="1" applyBorder="1" applyProtection="1"/>
    <xf numFmtId="0" fontId="21" fillId="0" borderId="21" xfId="0" applyFont="1" applyFill="1" applyBorder="1" applyAlignment="1">
      <alignment horizontal="right" vertical="top"/>
    </xf>
    <xf numFmtId="0" fontId="21" fillId="0" borderId="20" xfId="0" applyFont="1" applyFill="1" applyBorder="1" applyAlignment="1">
      <alignment horizontal="left" vertical="top" wrapText="1"/>
    </xf>
    <xf numFmtId="0" fontId="16" fillId="0" borderId="0" xfId="53"/>
    <xf numFmtId="3" fontId="16" fillId="35" borderId="106" xfId="53" applyNumberFormat="1" applyFont="1" applyFill="1" applyBorder="1" applyAlignment="1" applyProtection="1">
      <alignment horizontal="right"/>
    </xf>
    <xf numFmtId="3" fontId="16" fillId="35" borderId="108" xfId="53" applyNumberFormat="1" applyFont="1" applyFill="1" applyBorder="1" applyAlignment="1" applyProtection="1">
      <alignment horizontal="right"/>
    </xf>
    <xf numFmtId="3" fontId="16" fillId="35" borderId="103" xfId="53" applyNumberFormat="1" applyFont="1" applyFill="1" applyBorder="1" applyAlignment="1" applyProtection="1">
      <alignment horizontal="right"/>
    </xf>
    <xf numFmtId="0" fontId="18" fillId="0" borderId="0" xfId="0" applyFont="1" applyAlignment="1">
      <alignment horizontal="center"/>
    </xf>
    <xf numFmtId="5" fontId="23" fillId="0" borderId="185" xfId="0" applyNumberFormat="1" applyFont="1" applyFill="1" applyBorder="1" applyProtection="1"/>
    <xf numFmtId="5" fontId="23" fillId="0" borderId="72" xfId="0" applyNumberFormat="1" applyFont="1" applyFill="1" applyBorder="1" applyProtection="1"/>
    <xf numFmtId="5" fontId="23" fillId="35" borderId="180" xfId="0" applyNumberFormat="1" applyFont="1" applyFill="1" applyBorder="1" applyProtection="1"/>
    <xf numFmtId="6" fontId="54" fillId="0" borderId="13" xfId="0" applyNumberFormat="1" applyFont="1" applyFill="1" applyBorder="1" applyAlignment="1">
      <alignment horizontal="right"/>
    </xf>
    <xf numFmtId="6" fontId="34" fillId="35" borderId="0" xfId="0" applyNumberFormat="1" applyFont="1" applyFill="1" applyBorder="1" applyAlignment="1" applyProtection="1"/>
    <xf numFmtId="6" fontId="36" fillId="0" borderId="0" xfId="0" applyNumberFormat="1" applyFont="1" applyAlignment="1">
      <alignment horizontal="right"/>
    </xf>
    <xf numFmtId="6" fontId="36" fillId="0" borderId="0" xfId="0" applyNumberFormat="1" applyFont="1"/>
    <xf numFmtId="6" fontId="0" fillId="0" borderId="14" xfId="0" applyNumberFormat="1" applyBorder="1"/>
    <xf numFmtId="0" fontId="89" fillId="0" borderId="0" xfId="0" applyFont="1" applyAlignment="1">
      <alignment wrapText="1"/>
    </xf>
    <xf numFmtId="3" fontId="18" fillId="35" borderId="0" xfId="0" applyNumberFormat="1" applyFont="1" applyFill="1"/>
    <xf numFmtId="0" fontId="33" fillId="25" borderId="10" xfId="0" applyFont="1" applyFill="1" applyBorder="1" applyAlignment="1">
      <alignment horizontal="center" vertical="center" wrapText="1"/>
    </xf>
    <xf numFmtId="3" fontId="54" fillId="0" borderId="35" xfId="0" applyNumberFormat="1" applyFont="1" applyFill="1" applyBorder="1" applyAlignment="1">
      <alignment horizontal="right"/>
    </xf>
    <xf numFmtId="5" fontId="23" fillId="0" borderId="14" xfId="0" applyNumberFormat="1" applyFont="1" applyFill="1" applyBorder="1" applyProtection="1"/>
    <xf numFmtId="5" fontId="29" fillId="0" borderId="189" xfId="0" applyNumberFormat="1" applyFont="1" applyFill="1" applyBorder="1" applyAlignment="1" applyProtection="1">
      <alignment horizontal="center"/>
    </xf>
    <xf numFmtId="5" fontId="29" fillId="0" borderId="189" xfId="0" applyNumberFormat="1" applyFont="1" applyFill="1" applyBorder="1" applyAlignment="1" applyProtection="1"/>
    <xf numFmtId="5" fontId="29" fillId="0" borderId="45" xfId="0" applyNumberFormat="1" applyFont="1" applyFill="1" applyBorder="1" applyAlignment="1" applyProtection="1"/>
    <xf numFmtId="0" fontId="21" fillId="0" borderId="14" xfId="0" quotePrefix="1" applyFont="1" applyFill="1" applyBorder="1" applyAlignment="1">
      <alignment horizontal="center"/>
    </xf>
    <xf numFmtId="0" fontId="21" fillId="0" borderId="72" xfId="0" applyFont="1" applyFill="1" applyBorder="1" applyAlignment="1">
      <alignment horizontal="left"/>
    </xf>
    <xf numFmtId="0" fontId="21" fillId="0" borderId="31" xfId="0" quotePrefix="1" applyFont="1" applyFill="1" applyBorder="1" applyAlignment="1">
      <alignment horizontal="center"/>
    </xf>
    <xf numFmtId="5" fontId="23" fillId="0" borderId="156" xfId="0" applyNumberFormat="1" applyFont="1" applyFill="1" applyBorder="1" applyAlignment="1" applyProtection="1">
      <alignment vertical="center"/>
    </xf>
    <xf numFmtId="5" fontId="23" fillId="0" borderId="154" xfId="0" applyNumberFormat="1" applyFont="1" applyFill="1" applyBorder="1" applyAlignment="1" applyProtection="1">
      <alignment vertical="center"/>
    </xf>
    <xf numFmtId="1" fontId="27" fillId="26" borderId="187" xfId="28" quotePrefix="1" applyNumberFormat="1" applyFont="1" applyFill="1" applyBorder="1" applyAlignment="1">
      <alignment horizontal="center"/>
    </xf>
    <xf numFmtId="1" fontId="27" fillId="26" borderId="187" xfId="28" applyNumberFormat="1" applyFont="1" applyFill="1" applyBorder="1" applyAlignment="1">
      <alignment horizontal="center"/>
    </xf>
    <xf numFmtId="0" fontId="105" fillId="0" borderId="0" xfId="71" applyFont="1" applyFill="1" applyBorder="1" applyAlignment="1">
      <alignment horizontal="center" wrapText="1"/>
    </xf>
    <xf numFmtId="0" fontId="107" fillId="0" borderId="0" xfId="71" applyFont="1" applyFill="1" applyBorder="1" applyAlignment="1">
      <alignment horizontal="center" wrapText="1"/>
    </xf>
    <xf numFmtId="6" fontId="20" fillId="0" borderId="0" xfId="53" applyNumberFormat="1" applyFont="1" applyBorder="1" applyAlignment="1">
      <alignment horizontal="right"/>
    </xf>
    <xf numFmtId="38" fontId="20" fillId="0" borderId="0" xfId="53" applyNumberFormat="1" applyFont="1" applyBorder="1" applyAlignment="1">
      <alignment horizontal="right"/>
    </xf>
    <xf numFmtId="6" fontId="16" fillId="0" borderId="0" xfId="53" applyNumberFormat="1" applyFont="1" applyFill="1" applyBorder="1" applyAlignment="1">
      <alignment horizontal="center"/>
    </xf>
    <xf numFmtId="5" fontId="23" fillId="0" borderId="191" xfId="0" applyNumberFormat="1" applyFont="1" applyFill="1" applyBorder="1" applyAlignment="1" applyProtection="1">
      <alignment vertical="center"/>
    </xf>
    <xf numFmtId="5" fontId="23" fillId="0" borderId="192" xfId="0" applyNumberFormat="1" applyFont="1" applyFill="1" applyBorder="1" applyAlignment="1" applyProtection="1">
      <alignment vertical="center"/>
    </xf>
    <xf numFmtId="0" fontId="0" fillId="0" borderId="14" xfId="0" applyBorder="1" applyAlignment="1">
      <alignment horizontal="center"/>
    </xf>
    <xf numFmtId="0" fontId="16" fillId="0" borderId="0" xfId="64"/>
    <xf numFmtId="0" fontId="16" fillId="0" borderId="0" xfId="64" applyBorder="1"/>
    <xf numFmtId="0" fontId="16" fillId="0" borderId="0" xfId="64" applyFont="1"/>
    <xf numFmtId="164" fontId="23" fillId="0" borderId="195" xfId="28" applyNumberFormat="1" applyFont="1" applyFill="1" applyBorder="1" applyAlignment="1" applyProtection="1"/>
    <xf numFmtId="164" fontId="23" fillId="0" borderId="194" xfId="28" applyNumberFormat="1" applyFont="1" applyFill="1" applyBorder="1" applyAlignment="1" applyProtection="1"/>
    <xf numFmtId="0" fontId="21" fillId="0" borderId="193" xfId="0" quotePrefix="1" applyFont="1" applyFill="1" applyBorder="1" applyAlignment="1">
      <alignment horizontal="right"/>
    </xf>
    <xf numFmtId="0" fontId="21" fillId="0" borderId="194" xfId="0" applyFont="1" applyFill="1" applyBorder="1" applyAlignment="1">
      <alignment horizontal="left" indent="1"/>
    </xf>
    <xf numFmtId="0" fontId="21" fillId="35" borderId="168" xfId="0" applyFont="1" applyFill="1" applyBorder="1" applyAlignment="1">
      <alignment horizontal="left"/>
    </xf>
    <xf numFmtId="5" fontId="23" fillId="35" borderId="173" xfId="0" applyNumberFormat="1" applyFont="1" applyFill="1" applyBorder="1" applyAlignment="1" applyProtection="1"/>
    <xf numFmtId="5" fontId="23" fillId="35" borderId="140" xfId="0" applyNumberFormat="1" applyFont="1" applyFill="1" applyBorder="1" applyAlignment="1" applyProtection="1"/>
    <xf numFmtId="6" fontId="18" fillId="0" borderId="190" xfId="0" applyNumberFormat="1" applyFont="1" applyFill="1" applyBorder="1" applyProtection="1"/>
    <xf numFmtId="0" fontId="109" fillId="0" borderId="168" xfId="0" applyFont="1" applyFill="1" applyBorder="1" applyAlignment="1">
      <alignment horizontal="left"/>
    </xf>
    <xf numFmtId="5" fontId="26" fillId="27" borderId="49" xfId="0" applyNumberFormat="1" applyFont="1" applyFill="1" applyBorder="1" applyAlignment="1" applyProtection="1">
      <alignment vertical="center"/>
    </xf>
    <xf numFmtId="5" fontId="26" fillId="27" borderId="126" xfId="0" applyNumberFormat="1" applyFont="1" applyFill="1" applyBorder="1" applyAlignment="1" applyProtection="1">
      <alignment vertical="center"/>
    </xf>
    <xf numFmtId="5" fontId="26" fillId="27" borderId="25" xfId="0" applyNumberFormat="1" applyFont="1" applyFill="1" applyBorder="1" applyAlignment="1" applyProtection="1">
      <alignment vertical="center"/>
    </xf>
    <xf numFmtId="10" fontId="23" fillId="27" borderId="83" xfId="0" applyNumberFormat="1" applyFont="1" applyFill="1" applyBorder="1" applyAlignment="1" applyProtection="1">
      <alignment vertical="center"/>
    </xf>
    <xf numFmtId="5" fontId="23" fillId="0" borderId="199" xfId="0" applyNumberFormat="1" applyFont="1" applyFill="1" applyBorder="1" applyAlignment="1" applyProtection="1"/>
    <xf numFmtId="5" fontId="23" fillId="0" borderId="200" xfId="0" applyNumberFormat="1" applyFont="1" applyFill="1" applyBorder="1" applyAlignment="1" applyProtection="1"/>
    <xf numFmtId="5" fontId="23" fillId="0" borderId="201" xfId="0" applyNumberFormat="1" applyFont="1" applyFill="1" applyBorder="1" applyAlignment="1" applyProtection="1"/>
    <xf numFmtId="5" fontId="23" fillId="0" borderId="202" xfId="0" applyNumberFormat="1" applyFont="1" applyFill="1" applyBorder="1" applyProtection="1"/>
    <xf numFmtId="10" fontId="23" fillId="0" borderId="203" xfId="0" applyNumberFormat="1" applyFont="1" applyFill="1" applyBorder="1" applyProtection="1"/>
    <xf numFmtId="1" fontId="93" fillId="26" borderId="262" xfId="53" applyNumberFormat="1" applyFont="1" applyFill="1" applyBorder="1" applyAlignment="1" applyProtection="1">
      <alignment horizontal="center"/>
    </xf>
    <xf numFmtId="1" fontId="93" fillId="26" borderId="208" xfId="53" applyNumberFormat="1" applyFont="1" applyFill="1" applyBorder="1" applyAlignment="1" applyProtection="1">
      <alignment horizontal="center"/>
    </xf>
    <xf numFmtId="1" fontId="93" fillId="26" borderId="232" xfId="53" applyNumberFormat="1" applyFont="1" applyFill="1" applyBorder="1" applyAlignment="1" applyProtection="1">
      <alignment horizontal="center"/>
    </xf>
    <xf numFmtId="1" fontId="93" fillId="26" borderId="250" xfId="53" applyNumberFormat="1" applyFont="1" applyFill="1" applyBorder="1" applyAlignment="1" applyProtection="1">
      <alignment horizontal="center"/>
    </xf>
    <xf numFmtId="1" fontId="93" fillId="26" borderId="222" xfId="53" applyNumberFormat="1" applyFont="1" applyFill="1" applyBorder="1" applyAlignment="1" applyProtection="1">
      <alignment horizontal="center"/>
    </xf>
    <xf numFmtId="0" fontId="0" fillId="0" borderId="0" xfId="0"/>
    <xf numFmtId="1" fontId="93" fillId="26" borderId="232" xfId="53" applyNumberFormat="1" applyFont="1" applyFill="1" applyBorder="1" applyAlignment="1" applyProtection="1">
      <alignment horizontal="center"/>
    </xf>
    <xf numFmtId="0" fontId="0" fillId="0" borderId="0" xfId="0"/>
    <xf numFmtId="1" fontId="93" fillId="26" borderId="232" xfId="53" applyNumberFormat="1" applyFont="1" applyFill="1" applyBorder="1" applyAlignment="1" applyProtection="1">
      <alignment horizontal="center"/>
    </xf>
    <xf numFmtId="0" fontId="0" fillId="0" borderId="0" xfId="0"/>
    <xf numFmtId="0" fontId="0" fillId="0" borderId="0" xfId="0"/>
    <xf numFmtId="1" fontId="93" fillId="26" borderId="264" xfId="53" applyNumberFormat="1" applyFont="1" applyFill="1" applyBorder="1" applyAlignment="1" applyProtection="1">
      <alignment horizontal="center"/>
    </xf>
    <xf numFmtId="0" fontId="0" fillId="0" borderId="0" xfId="0"/>
    <xf numFmtId="0" fontId="0" fillId="0" borderId="0" xfId="0"/>
    <xf numFmtId="1" fontId="93" fillId="26" borderId="264" xfId="53" applyNumberFormat="1" applyFont="1" applyFill="1" applyBorder="1" applyAlignment="1" applyProtection="1">
      <alignment horizontal="center"/>
    </xf>
    <xf numFmtId="1" fontId="93" fillId="26" borderId="272" xfId="53" applyNumberFormat="1" applyFont="1" applyFill="1" applyBorder="1" applyAlignment="1" applyProtection="1">
      <alignment horizontal="center"/>
    </xf>
    <xf numFmtId="0" fontId="0" fillId="0" borderId="0" xfId="0"/>
    <xf numFmtId="0" fontId="0" fillId="0" borderId="0" xfId="0"/>
    <xf numFmtId="0" fontId="0" fillId="0" borderId="14" xfId="0" applyBorder="1"/>
    <xf numFmtId="1" fontId="93" fillId="26" borderId="272" xfId="53" applyNumberFormat="1" applyFont="1" applyFill="1" applyBorder="1" applyAlignment="1" applyProtection="1">
      <alignment horizontal="center"/>
    </xf>
    <xf numFmtId="1" fontId="93" fillId="26" borderId="292" xfId="53" applyNumberFormat="1" applyFont="1" applyFill="1" applyBorder="1" applyAlignment="1" applyProtection="1">
      <alignment horizontal="center"/>
    </xf>
    <xf numFmtId="0" fontId="16" fillId="0" borderId="0" xfId="53"/>
    <xf numFmtId="0" fontId="84" fillId="0" borderId="0" xfId="0" applyFont="1" applyBorder="1"/>
    <xf numFmtId="6" fontId="84" fillId="0" borderId="0" xfId="0" applyNumberFormat="1" applyFont="1" applyBorder="1"/>
    <xf numFmtId="0" fontId="84" fillId="35" borderId="0" xfId="0" applyFont="1" applyFill="1" applyBorder="1"/>
    <xf numFmtId="0" fontId="84" fillId="0" borderId="0" xfId="0" applyFont="1" applyBorder="1"/>
    <xf numFmtId="0" fontId="84" fillId="35" borderId="0" xfId="0" applyFont="1" applyFill="1" applyBorder="1"/>
    <xf numFmtId="0" fontId="84" fillId="0" borderId="0" xfId="0" applyFont="1" applyBorder="1"/>
    <xf numFmtId="0" fontId="84" fillId="35" borderId="0" xfId="0" applyFont="1" applyFill="1" applyBorder="1"/>
    <xf numFmtId="6" fontId="16" fillId="0" borderId="0" xfId="53" applyNumberFormat="1" applyFont="1" applyBorder="1" applyAlignment="1">
      <alignment horizontal="right"/>
    </xf>
    <xf numFmtId="0" fontId="16" fillId="0" borderId="0" xfId="53"/>
    <xf numFmtId="0" fontId="16" fillId="0" borderId="0" xfId="53"/>
    <xf numFmtId="0" fontId="84" fillId="0" borderId="0" xfId="0" applyFont="1" applyBorder="1"/>
    <xf numFmtId="6" fontId="48" fillId="0" borderId="312" xfId="0" applyNumberFormat="1" applyFont="1" applyFill="1" applyBorder="1" applyAlignment="1">
      <alignment horizontal="right"/>
    </xf>
    <xf numFmtId="6" fontId="48" fillId="35" borderId="312" xfId="0" applyNumberFormat="1" applyFont="1" applyFill="1" applyBorder="1" applyAlignment="1">
      <alignment horizontal="right"/>
    </xf>
    <xf numFmtId="38" fontId="54" fillId="0" borderId="13" xfId="0" applyNumberFormat="1" applyFont="1" applyBorder="1" applyAlignment="1">
      <alignment horizontal="right"/>
    </xf>
    <xf numFmtId="169" fontId="48" fillId="0" borderId="13" xfId="0" applyNumberFormat="1" applyFont="1" applyBorder="1" applyAlignment="1">
      <alignment horizontal="right"/>
    </xf>
    <xf numFmtId="5" fontId="18" fillId="0" borderId="190" xfId="0" applyNumberFormat="1" applyFont="1" applyFill="1" applyBorder="1" applyProtection="1"/>
    <xf numFmtId="1" fontId="93" fillId="26" borderId="312" xfId="53" applyNumberFormat="1" applyFont="1" applyFill="1" applyBorder="1" applyAlignment="1" applyProtection="1">
      <alignment horizontal="center"/>
    </xf>
    <xf numFmtId="6" fontId="33" fillId="37" borderId="297" xfId="54" applyNumberFormat="1" applyFont="1" applyFill="1" applyBorder="1" applyAlignment="1" applyProtection="1">
      <alignment horizontal="right"/>
    </xf>
    <xf numFmtId="38" fontId="48" fillId="0" borderId="13" xfId="0" applyNumberFormat="1" applyFont="1" applyBorder="1" applyAlignment="1">
      <alignment horizontal="right"/>
    </xf>
    <xf numFmtId="0" fontId="18" fillId="0" borderId="0" xfId="0" applyFont="1" applyAlignment="1">
      <alignment horizontal="center"/>
    </xf>
    <xf numFmtId="0" fontId="84" fillId="33" borderId="14" xfId="0" applyFont="1" applyFill="1" applyBorder="1"/>
    <xf numFmtId="0" fontId="84" fillId="33" borderId="72" xfId="0" applyFont="1" applyFill="1" applyBorder="1"/>
    <xf numFmtId="6" fontId="84" fillId="33" borderId="14" xfId="0" applyNumberFormat="1" applyFont="1" applyFill="1" applyBorder="1"/>
    <xf numFmtId="1" fontId="18" fillId="26" borderId="378" xfId="0" applyNumberFormat="1" applyFont="1" applyFill="1" applyBorder="1" applyAlignment="1" applyProtection="1">
      <alignment horizontal="center" vertical="center"/>
    </xf>
    <xf numFmtId="1" fontId="27" fillId="26" borderId="0" xfId="0" applyNumberFormat="1" applyFont="1" applyFill="1" applyBorder="1" applyAlignment="1" applyProtection="1">
      <alignment horizontal="center" vertical="center"/>
    </xf>
    <xf numFmtId="0" fontId="0" fillId="0" borderId="0" xfId="0" applyBorder="1"/>
    <xf numFmtId="0" fontId="0" fillId="0" borderId="0" xfId="0" applyAlignment="1">
      <alignment horizontal="center" vertical="center"/>
    </xf>
    <xf numFmtId="1" fontId="20" fillId="26" borderId="65" xfId="0" applyNumberFormat="1" applyFont="1" applyFill="1" applyBorder="1" applyAlignment="1" applyProtection="1">
      <alignment horizontal="center" vertical="center"/>
    </xf>
    <xf numFmtId="1" fontId="27" fillId="26" borderId="190" xfId="0" applyNumberFormat="1" applyFont="1" applyFill="1" applyBorder="1" applyAlignment="1" applyProtection="1">
      <alignment horizontal="center" vertical="center"/>
    </xf>
    <xf numFmtId="0" fontId="18" fillId="0" borderId="0" xfId="0" applyFont="1" applyAlignment="1">
      <alignment horizontal="center"/>
    </xf>
    <xf numFmtId="169" fontId="48" fillId="0" borderId="312" xfId="0" applyNumberFormat="1" applyFont="1" applyFill="1" applyBorder="1" applyAlignment="1">
      <alignment horizontal="right"/>
    </xf>
    <xf numFmtId="6" fontId="33" fillId="37" borderId="273" xfId="54" applyNumberFormat="1" applyFont="1" applyFill="1" applyBorder="1" applyAlignment="1" applyProtection="1">
      <alignment horizontal="right"/>
    </xf>
    <xf numFmtId="6" fontId="33" fillId="37" borderId="260" xfId="54" applyNumberFormat="1" applyFont="1" applyFill="1" applyBorder="1" applyAlignment="1" applyProtection="1">
      <alignment horizontal="right"/>
    </xf>
    <xf numFmtId="6" fontId="33" fillId="37" borderId="211" xfId="54" applyNumberFormat="1" applyFont="1" applyFill="1" applyBorder="1" applyAlignment="1" applyProtection="1">
      <alignment horizontal="right"/>
    </xf>
    <xf numFmtId="6" fontId="33" fillId="37" borderId="290" xfId="54" applyNumberFormat="1" applyFont="1" applyFill="1" applyBorder="1" applyAlignment="1" applyProtection="1">
      <alignment horizontal="right"/>
    </xf>
    <xf numFmtId="6" fontId="16" fillId="0" borderId="104" xfId="54" applyNumberFormat="1" applyFont="1" applyFill="1" applyBorder="1" applyAlignment="1" applyProtection="1">
      <alignment horizontal="right"/>
    </xf>
    <xf numFmtId="6" fontId="16" fillId="0" borderId="104" xfId="53" applyNumberFormat="1" applyFont="1" applyFill="1" applyBorder="1" applyAlignment="1" applyProtection="1">
      <alignment horizontal="right"/>
    </xf>
    <xf numFmtId="6" fontId="33" fillId="0" borderId="74" xfId="54" applyNumberFormat="1" applyFont="1" applyFill="1" applyBorder="1" applyAlignment="1" applyProtection="1">
      <alignment horizontal="right"/>
    </xf>
    <xf numFmtId="6" fontId="16" fillId="0" borderId="209" xfId="53" applyNumberFormat="1" applyFont="1" applyFill="1" applyBorder="1" applyAlignment="1" applyProtection="1">
      <alignment horizontal="right"/>
    </xf>
    <xf numFmtId="6" fontId="16" fillId="0" borderId="210" xfId="53" applyNumberFormat="1" applyFont="1" applyFill="1" applyBorder="1" applyAlignment="1" applyProtection="1">
      <alignment horizontal="right"/>
    </xf>
    <xf numFmtId="6" fontId="33" fillId="0" borderId="211" xfId="54" applyNumberFormat="1" applyFont="1" applyFill="1" applyBorder="1" applyAlignment="1" applyProtection="1">
      <alignment horizontal="right"/>
    </xf>
    <xf numFmtId="6" fontId="33" fillId="0" borderId="297" xfId="54" applyNumberFormat="1" applyFont="1" applyFill="1" applyBorder="1" applyAlignment="1" applyProtection="1">
      <alignment horizontal="right"/>
    </xf>
    <xf numFmtId="6" fontId="33" fillId="0" borderId="273" xfId="54" applyNumberFormat="1" applyFont="1" applyFill="1" applyBorder="1" applyAlignment="1" applyProtection="1">
      <alignment horizontal="right"/>
    </xf>
    <xf numFmtId="6" fontId="33" fillId="0" borderId="260" xfId="54" applyNumberFormat="1" applyFont="1" applyFill="1" applyBorder="1" applyAlignment="1" applyProtection="1">
      <alignment horizontal="right"/>
    </xf>
    <xf numFmtId="6" fontId="16" fillId="0" borderId="103" xfId="53" applyNumberFormat="1" applyFont="1" applyFill="1" applyBorder="1" applyAlignment="1" applyProtection="1">
      <alignment horizontal="right"/>
    </xf>
    <xf numFmtId="38" fontId="33" fillId="0" borderId="230" xfId="54" applyNumberFormat="1" applyFont="1" applyFill="1" applyBorder="1" applyAlignment="1" applyProtection="1">
      <alignment horizontal="right"/>
    </xf>
    <xf numFmtId="6" fontId="33" fillId="0" borderId="230" xfId="54" applyNumberFormat="1" applyFont="1" applyFill="1" applyBorder="1" applyAlignment="1" applyProtection="1">
      <alignment horizontal="right"/>
    </xf>
    <xf numFmtId="38" fontId="33" fillId="0" borderId="290" xfId="54" applyNumberFormat="1" applyFont="1" applyFill="1" applyBorder="1" applyAlignment="1" applyProtection="1">
      <alignment horizontal="right"/>
    </xf>
    <xf numFmtId="6" fontId="33" fillId="0" borderId="290" xfId="54" applyNumberFormat="1" applyFont="1" applyFill="1" applyBorder="1" applyAlignment="1" applyProtection="1">
      <alignment horizontal="right"/>
    </xf>
    <xf numFmtId="38" fontId="33" fillId="0" borderId="290" xfId="28" applyNumberFormat="1" applyFont="1" applyFill="1" applyBorder="1" applyAlignment="1" applyProtection="1">
      <alignment horizontal="right"/>
    </xf>
    <xf numFmtId="38" fontId="33" fillId="0" borderId="270" xfId="54" applyNumberFormat="1" applyFont="1" applyFill="1" applyBorder="1" applyAlignment="1" applyProtection="1">
      <alignment horizontal="right"/>
    </xf>
    <xf numFmtId="6" fontId="33" fillId="0" borderId="270" xfId="54" applyNumberFormat="1" applyFont="1" applyFill="1" applyBorder="1" applyAlignment="1" applyProtection="1">
      <alignment horizontal="right"/>
    </xf>
    <xf numFmtId="38" fontId="33" fillId="0" borderId="263" xfId="54" applyNumberFormat="1" applyFont="1" applyFill="1" applyBorder="1" applyAlignment="1" applyProtection="1">
      <alignment horizontal="right"/>
    </xf>
    <xf numFmtId="6" fontId="33" fillId="0" borderId="263" xfId="54" applyNumberFormat="1" applyFont="1" applyFill="1" applyBorder="1" applyAlignment="1" applyProtection="1">
      <alignment horizontal="right"/>
    </xf>
    <xf numFmtId="6" fontId="16" fillId="0" borderId="105" xfId="53" applyNumberFormat="1" applyFont="1" applyFill="1" applyBorder="1" applyAlignment="1" applyProtection="1">
      <alignment horizontal="right"/>
    </xf>
    <xf numFmtId="6" fontId="16" fillId="0" borderId="368" xfId="54" applyNumberFormat="1" applyFont="1" applyFill="1" applyBorder="1" applyAlignment="1" applyProtection="1">
      <alignment horizontal="right"/>
    </xf>
    <xf numFmtId="6" fontId="16" fillId="0" borderId="228" xfId="53" applyNumberFormat="1" applyFont="1" applyFill="1" applyBorder="1" applyAlignment="1" applyProtection="1">
      <alignment horizontal="right"/>
    </xf>
    <xf numFmtId="6" fontId="16" fillId="0" borderId="229" xfId="53" applyNumberFormat="1" applyFont="1" applyFill="1" applyBorder="1" applyAlignment="1" applyProtection="1">
      <alignment horizontal="right"/>
    </xf>
    <xf numFmtId="6" fontId="33" fillId="0" borderId="227" xfId="54" applyNumberFormat="1" applyFont="1" applyFill="1" applyBorder="1" applyAlignment="1" applyProtection="1">
      <alignment horizontal="right"/>
    </xf>
    <xf numFmtId="6" fontId="20" fillId="0" borderId="111" xfId="53" applyNumberFormat="1" applyFont="1" applyFill="1" applyBorder="1" applyAlignment="1" applyProtection="1">
      <alignment horizontal="right"/>
    </xf>
    <xf numFmtId="6" fontId="33" fillId="0" borderId="265" xfId="54" applyNumberFormat="1" applyFont="1" applyFill="1" applyBorder="1" applyAlignment="1" applyProtection="1">
      <alignment horizontal="right"/>
    </xf>
    <xf numFmtId="6" fontId="33" fillId="0" borderId="73" xfId="54" applyNumberFormat="1" applyFont="1" applyFill="1" applyBorder="1" applyAlignment="1" applyProtection="1">
      <alignment horizontal="right"/>
    </xf>
    <xf numFmtId="165" fontId="16" fillId="0" borderId="103" xfId="53" applyNumberFormat="1" applyFont="1" applyFill="1" applyBorder="1" applyAlignment="1" applyProtection="1">
      <alignment horizontal="right"/>
    </xf>
    <xf numFmtId="6" fontId="33" fillId="0" borderId="255" xfId="54" applyNumberFormat="1" applyFont="1" applyFill="1" applyBorder="1" applyAlignment="1" applyProtection="1">
      <alignment horizontal="right"/>
    </xf>
    <xf numFmtId="165" fontId="33" fillId="0" borderId="297" xfId="54" applyNumberFormat="1" applyFont="1" applyFill="1" applyBorder="1" applyAlignment="1" applyProtection="1">
      <alignment horizontal="right"/>
    </xf>
    <xf numFmtId="165" fontId="33" fillId="0" borderId="73" xfId="54" applyNumberFormat="1" applyFont="1" applyFill="1" applyBorder="1" applyAlignment="1" applyProtection="1">
      <alignment horizontal="right"/>
    </xf>
    <xf numFmtId="6" fontId="0" fillId="0" borderId="13" xfId="0" applyNumberFormat="1" applyFill="1" applyBorder="1"/>
    <xf numFmtId="6" fontId="33" fillId="0" borderId="12" xfId="0" applyNumberFormat="1" applyFont="1" applyFill="1" applyBorder="1"/>
    <xf numFmtId="6" fontId="48" fillId="0" borderId="13" xfId="0" applyNumberFormat="1" applyFont="1" applyFill="1" applyBorder="1" applyAlignment="1">
      <alignment horizontal="right"/>
    </xf>
    <xf numFmtId="6" fontId="0" fillId="37" borderId="13" xfId="0" applyNumberFormat="1" applyFill="1" applyBorder="1"/>
    <xf numFmtId="6" fontId="33" fillId="37" borderId="12" xfId="0" applyNumberFormat="1" applyFont="1" applyFill="1" applyBorder="1"/>
    <xf numFmtId="6" fontId="54" fillId="37" borderId="13" xfId="0" applyNumberFormat="1" applyFont="1" applyFill="1" applyBorder="1" applyAlignment="1">
      <alignment horizontal="right"/>
    </xf>
    <xf numFmtId="6" fontId="48" fillId="37" borderId="13" xfId="0" applyNumberFormat="1" applyFont="1" applyFill="1" applyBorder="1" applyAlignment="1">
      <alignment horizontal="right"/>
    </xf>
    <xf numFmtId="6" fontId="48" fillId="37" borderId="312" xfId="0" applyNumberFormat="1" applyFont="1" applyFill="1" applyBorder="1" applyAlignment="1">
      <alignment horizontal="right"/>
    </xf>
    <xf numFmtId="10" fontId="33" fillId="0" borderId="71" xfId="32" applyNumberFormat="1" applyFont="1" applyFill="1" applyBorder="1" applyAlignment="1">
      <alignment horizontal="right"/>
    </xf>
    <xf numFmtId="164" fontId="23" fillId="0" borderId="195" xfId="28" applyNumberFormat="1" applyFont="1" applyFill="1" applyBorder="1" applyAlignment="1" applyProtection="1"/>
    <xf numFmtId="164" fontId="21" fillId="0" borderId="131" xfId="28" applyNumberFormat="1" applyFont="1" applyFill="1" applyBorder="1" applyAlignment="1" applyProtection="1"/>
    <xf numFmtId="0" fontId="29" fillId="0" borderId="0" xfId="0" applyFont="1" applyFill="1" applyBorder="1" applyAlignment="1">
      <alignment horizontal="left"/>
    </xf>
    <xf numFmtId="0" fontId="21" fillId="0" borderId="193" xfId="0" quotePrefix="1" applyFont="1" applyFill="1" applyBorder="1" applyAlignment="1">
      <alignment horizontal="center" vertical="center" wrapText="1"/>
    </xf>
    <xf numFmtId="0" fontId="29" fillId="0" borderId="198" xfId="0" applyFont="1" applyFill="1" applyBorder="1" applyAlignment="1">
      <alignment horizontal="center"/>
    </xf>
    <xf numFmtId="0" fontId="23" fillId="0" borderId="189" xfId="0" applyFont="1" applyFill="1" applyBorder="1"/>
    <xf numFmtId="0" fontId="21" fillId="0" borderId="198" xfId="0" applyFont="1" applyFill="1" applyBorder="1" applyAlignment="1">
      <alignment horizontal="center"/>
    </xf>
    <xf numFmtId="0" fontId="21" fillId="0" borderId="189" xfId="0" applyFont="1" applyFill="1" applyBorder="1" applyAlignment="1">
      <alignment horizontal="center"/>
    </xf>
    <xf numFmtId="0" fontId="29" fillId="0" borderId="0" xfId="0" applyFont="1" applyFill="1" applyBorder="1" applyAlignment="1">
      <alignment horizontal="left"/>
    </xf>
    <xf numFmtId="0" fontId="21" fillId="0" borderId="193" xfId="0" applyFont="1" applyFill="1" applyBorder="1" applyAlignment="1">
      <alignment horizontal="left"/>
    </xf>
    <xf numFmtId="5" fontId="23" fillId="0" borderId="397" xfId="0" applyNumberFormat="1" applyFont="1" applyFill="1" applyBorder="1" applyAlignment="1" applyProtection="1">
      <alignment vertical="center"/>
    </xf>
    <xf numFmtId="10" fontId="23" fillId="0" borderId="398" xfId="0" applyNumberFormat="1" applyFont="1" applyFill="1" applyBorder="1" applyProtection="1"/>
    <xf numFmtId="5" fontId="23" fillId="0" borderId="196" xfId="0" applyNumberFormat="1" applyFont="1" applyFill="1" applyBorder="1" applyAlignment="1" applyProtection="1">
      <alignment vertical="center"/>
    </xf>
    <xf numFmtId="10" fontId="23" fillId="0" borderId="399" xfId="0" applyNumberFormat="1" applyFont="1" applyFill="1" applyBorder="1" applyProtection="1"/>
    <xf numFmtId="5" fontId="23" fillId="0" borderId="197" xfId="0" applyNumberFormat="1" applyFont="1" applyFill="1" applyBorder="1" applyAlignment="1" applyProtection="1">
      <alignment vertical="center"/>
    </xf>
    <xf numFmtId="10" fontId="23" fillId="0" borderId="400" xfId="0" applyNumberFormat="1" applyFont="1" applyFill="1" applyBorder="1" applyProtection="1"/>
    <xf numFmtId="0" fontId="59" fillId="0" borderId="16" xfId="0" applyFont="1" applyBorder="1" applyAlignment="1">
      <alignment vertical="top" wrapText="1"/>
    </xf>
    <xf numFmtId="0" fontId="21" fillId="0" borderId="401" xfId="0" applyFont="1" applyFill="1" applyBorder="1" applyAlignment="1">
      <alignment horizontal="left"/>
    </xf>
    <xf numFmtId="0" fontId="21" fillId="0" borderId="396" xfId="0" applyFont="1" applyFill="1" applyBorder="1" applyAlignment="1">
      <alignment horizontal="left" vertical="center" wrapText="1"/>
    </xf>
    <xf numFmtId="0" fontId="21" fillId="0" borderId="402" xfId="0" applyFont="1" applyFill="1" applyBorder="1" applyAlignment="1">
      <alignment horizontal="left" vertical="center" wrapText="1"/>
    </xf>
    <xf numFmtId="0" fontId="21" fillId="0" borderId="180" xfId="0" applyFont="1" applyFill="1" applyBorder="1" applyAlignment="1">
      <alignment horizontal="left" vertical="center" wrapText="1"/>
    </xf>
    <xf numFmtId="0" fontId="21" fillId="0" borderId="403" xfId="0" applyFont="1" applyFill="1" applyBorder="1" applyAlignment="1">
      <alignment horizontal="left" vertical="center" wrapText="1"/>
    </xf>
    <xf numFmtId="0" fontId="21" fillId="0" borderId="379" xfId="0" applyFont="1" applyFill="1" applyBorder="1" applyAlignment="1">
      <alignment horizontal="left"/>
    </xf>
    <xf numFmtId="0" fontId="21" fillId="0" borderId="379" xfId="0" applyFont="1" applyFill="1" applyBorder="1" applyAlignment="1">
      <alignment horizontal="left" wrapText="1"/>
    </xf>
    <xf numFmtId="0" fontId="21" fillId="35" borderId="404" xfId="0" applyFont="1" applyFill="1" applyBorder="1" applyAlignment="1">
      <alignment horizontal="left"/>
    </xf>
    <xf numFmtId="0" fontId="23" fillId="0" borderId="405" xfId="0" applyFont="1" applyFill="1" applyBorder="1" applyAlignment="1">
      <alignment horizontal="center" wrapText="1"/>
    </xf>
    <xf numFmtId="0" fontId="23" fillId="0" borderId="189" xfId="0" applyFont="1" applyFill="1" applyBorder="1" applyAlignment="1">
      <alignment horizontal="center"/>
    </xf>
    <xf numFmtId="0" fontId="23" fillId="0" borderId="26" xfId="0" applyFont="1" applyFill="1" applyBorder="1" applyAlignment="1">
      <alignment horizontal="center"/>
    </xf>
    <xf numFmtId="0" fontId="23" fillId="0" borderId="405" xfId="0" applyFont="1" applyFill="1" applyBorder="1" applyAlignment="1">
      <alignment horizontal="center"/>
    </xf>
    <xf numFmtId="0" fontId="23" fillId="33" borderId="189" xfId="0" applyFont="1" applyFill="1" applyBorder="1" applyAlignment="1">
      <alignment horizontal="center"/>
    </xf>
    <xf numFmtId="0" fontId="0" fillId="0" borderId="189" xfId="0" applyBorder="1"/>
    <xf numFmtId="0" fontId="21" fillId="0" borderId="406" xfId="0" applyFont="1" applyFill="1" applyBorder="1" applyAlignment="1">
      <alignment horizontal="center"/>
    </xf>
    <xf numFmtId="0" fontId="23" fillId="0" borderId="406" xfId="0" applyFont="1" applyFill="1" applyBorder="1" applyAlignment="1">
      <alignment horizontal="center"/>
    </xf>
    <xf numFmtId="0" fontId="0" fillId="0" borderId="190" xfId="0" applyBorder="1"/>
    <xf numFmtId="5" fontId="29" fillId="27" borderId="411" xfId="0" applyNumberFormat="1" applyFont="1" applyFill="1" applyBorder="1" applyAlignment="1" applyProtection="1">
      <alignment vertical="center"/>
    </xf>
    <xf numFmtId="5" fontId="26" fillId="27" borderId="190" xfId="0" applyNumberFormat="1" applyFont="1" applyFill="1" applyBorder="1" applyAlignment="1" applyProtection="1">
      <alignment vertical="center"/>
    </xf>
    <xf numFmtId="5" fontId="29" fillId="27" borderId="412" xfId="0" applyNumberFormat="1" applyFont="1" applyFill="1" applyBorder="1" applyAlignment="1" applyProtection="1">
      <alignment vertical="center"/>
    </xf>
    <xf numFmtId="0" fontId="23" fillId="0" borderId="382" xfId="0" applyFont="1" applyFill="1" applyBorder="1" applyAlignment="1">
      <alignment horizontal="center"/>
    </xf>
    <xf numFmtId="0" fontId="23" fillId="0" borderId="418" xfId="0" applyFont="1" applyFill="1" applyBorder="1" applyAlignment="1">
      <alignment horizontal="center"/>
    </xf>
    <xf numFmtId="5" fontId="23" fillId="0" borderId="419" xfId="0" applyNumberFormat="1" applyFont="1" applyFill="1" applyBorder="1" applyAlignment="1" applyProtection="1">
      <alignment horizontal="center"/>
    </xf>
    <xf numFmtId="5" fontId="23" fillId="0" borderId="420" xfId="0" applyNumberFormat="1" applyFont="1" applyFill="1" applyBorder="1" applyAlignment="1" applyProtection="1">
      <alignment horizontal="center"/>
    </xf>
    <xf numFmtId="5" fontId="23" fillId="0" borderId="421" xfId="0" applyNumberFormat="1" applyFont="1" applyFill="1" applyBorder="1" applyAlignment="1" applyProtection="1">
      <alignment horizontal="center"/>
    </xf>
    <xf numFmtId="0" fontId="23" fillId="33" borderId="422" xfId="0" applyFont="1" applyFill="1" applyBorder="1" applyAlignment="1">
      <alignment horizontal="center"/>
    </xf>
    <xf numFmtId="5" fontId="29" fillId="27" borderId="423" xfId="0" applyNumberFormat="1" applyFont="1" applyFill="1" applyBorder="1" applyAlignment="1" applyProtection="1">
      <alignment horizontal="center"/>
    </xf>
    <xf numFmtId="5" fontId="29" fillId="27" borderId="423" xfId="0" applyNumberFormat="1" applyFont="1" applyFill="1" applyBorder="1" applyAlignment="1" applyProtection="1">
      <alignment vertical="center"/>
    </xf>
    <xf numFmtId="5" fontId="26" fillId="27" borderId="189" xfId="0" applyNumberFormat="1" applyFont="1" applyFill="1" applyBorder="1" applyAlignment="1" applyProtection="1">
      <alignment vertical="center"/>
    </xf>
    <xf numFmtId="5" fontId="29" fillId="27" borderId="424" xfId="0" applyNumberFormat="1" applyFont="1" applyFill="1" applyBorder="1" applyAlignment="1" applyProtection="1">
      <alignment vertical="center"/>
    </xf>
    <xf numFmtId="5" fontId="23" fillId="0" borderId="407" xfId="0" applyNumberFormat="1" applyFont="1" applyFill="1" applyBorder="1" applyAlignment="1" applyProtection="1">
      <alignment vertical="top"/>
    </xf>
    <xf numFmtId="164" fontId="21" fillId="0" borderId="426" xfId="28" applyNumberFormat="1" applyFont="1" applyFill="1" applyBorder="1" applyAlignment="1" applyProtection="1"/>
    <xf numFmtId="164" fontId="21" fillId="0" borderId="427" xfId="28" applyNumberFormat="1" applyFont="1" applyFill="1" applyBorder="1" applyAlignment="1" applyProtection="1"/>
    <xf numFmtId="164" fontId="23" fillId="0" borderId="408" xfId="28" applyNumberFormat="1" applyFont="1" applyFill="1" applyBorder="1" applyAlignment="1"/>
    <xf numFmtId="164" fontId="23" fillId="0" borderId="427" xfId="28" applyNumberFormat="1" applyFont="1" applyFill="1" applyBorder="1" applyAlignment="1" applyProtection="1"/>
    <xf numFmtId="164" fontId="23" fillId="0" borderId="409" xfId="28" applyNumberFormat="1" applyFont="1" applyFill="1" applyBorder="1" applyAlignment="1" applyProtection="1"/>
    <xf numFmtId="5" fontId="23" fillId="0" borderId="428" xfId="0" applyNumberFormat="1" applyFont="1" applyFill="1" applyBorder="1" applyAlignment="1" applyProtection="1"/>
    <xf numFmtId="5" fontId="23" fillId="0" borderId="409" xfId="0" applyNumberFormat="1" applyFont="1" applyFill="1" applyBorder="1" applyAlignment="1" applyProtection="1"/>
    <xf numFmtId="5" fontId="23" fillId="0" borderId="427" xfId="0" applyNumberFormat="1" applyFont="1" applyFill="1" applyBorder="1" applyAlignment="1" applyProtection="1"/>
    <xf numFmtId="43" fontId="23" fillId="0" borderId="427" xfId="28" applyFont="1" applyFill="1" applyBorder="1" applyAlignment="1" applyProtection="1">
      <alignment horizontal="right"/>
    </xf>
    <xf numFmtId="10" fontId="23" fillId="0" borderId="427" xfId="48" applyNumberFormat="1" applyFont="1" applyFill="1" applyBorder="1" applyAlignment="1" applyProtection="1">
      <alignment horizontal="right"/>
    </xf>
    <xf numFmtId="5" fontId="23" fillId="0" borderId="427" xfId="0" applyNumberFormat="1" applyFont="1" applyFill="1" applyBorder="1" applyAlignment="1" applyProtection="1">
      <alignment vertical="center"/>
    </xf>
    <xf numFmtId="5" fontId="29" fillId="27" borderId="430" xfId="0" applyNumberFormat="1" applyFont="1" applyFill="1" applyBorder="1" applyAlignment="1" applyProtection="1"/>
    <xf numFmtId="5" fontId="29" fillId="27" borderId="410" xfId="0" applyNumberFormat="1" applyFont="1" applyFill="1" applyBorder="1" applyAlignment="1" applyProtection="1"/>
    <xf numFmtId="5" fontId="23" fillId="0" borderId="408" xfId="0" applyNumberFormat="1" applyFont="1" applyFill="1" applyBorder="1" applyProtection="1"/>
    <xf numFmtId="5" fontId="29" fillId="0" borderId="408" xfId="0" applyNumberFormat="1" applyFont="1" applyFill="1" applyBorder="1" applyProtection="1"/>
    <xf numFmtId="5" fontId="23" fillId="0" borderId="414" xfId="0" applyNumberFormat="1" applyFont="1" applyFill="1" applyBorder="1" applyProtection="1"/>
    <xf numFmtId="5" fontId="23" fillId="35" borderId="408" xfId="0" applyNumberFormat="1" applyFont="1" applyFill="1" applyBorder="1" applyProtection="1"/>
    <xf numFmtId="5" fontId="29" fillId="0" borderId="428" xfId="0" applyNumberFormat="1" applyFont="1" applyFill="1" applyBorder="1" applyProtection="1"/>
    <xf numFmtId="5" fontId="23" fillId="0" borderId="190" xfId="0" applyNumberFormat="1" applyFont="1" applyFill="1" applyBorder="1" applyProtection="1"/>
    <xf numFmtId="5" fontId="23" fillId="0" borderId="26" xfId="0" applyNumberFormat="1" applyFont="1" applyFill="1" applyBorder="1" applyProtection="1"/>
    <xf numFmtId="5" fontId="23" fillId="0" borderId="415" xfId="0" applyNumberFormat="1" applyFont="1" applyFill="1" applyBorder="1" applyProtection="1"/>
    <xf numFmtId="5" fontId="23" fillId="0" borderId="431" xfId="0" applyNumberFormat="1" applyFont="1" applyFill="1" applyBorder="1" applyAlignment="1" applyProtection="1"/>
    <xf numFmtId="5" fontId="23" fillId="35" borderId="431" xfId="0" applyNumberFormat="1" applyFont="1" applyFill="1" applyBorder="1" applyAlignment="1" applyProtection="1"/>
    <xf numFmtId="5" fontId="26" fillId="0" borderId="425" xfId="0" applyNumberFormat="1" applyFont="1" applyFill="1" applyBorder="1" applyProtection="1"/>
    <xf numFmtId="164" fontId="23" fillId="0" borderId="431" xfId="28" applyNumberFormat="1" applyFont="1" applyFill="1" applyBorder="1" applyAlignment="1" applyProtection="1"/>
    <xf numFmtId="5" fontId="23" fillId="0" borderId="432" xfId="0" applyNumberFormat="1" applyFont="1" applyFill="1" applyBorder="1" applyAlignment="1" applyProtection="1"/>
    <xf numFmtId="5" fontId="26" fillId="0" borderId="425" xfId="0" applyNumberFormat="1" applyFont="1" applyFill="1" applyBorder="1" applyAlignment="1" applyProtection="1"/>
    <xf numFmtId="164" fontId="21" fillId="0" borderId="426" xfId="28" applyNumberFormat="1" applyFont="1" applyFill="1" applyBorder="1" applyProtection="1"/>
    <xf numFmtId="164" fontId="23" fillId="0" borderId="408" xfId="28" applyNumberFormat="1" applyFont="1" applyFill="1" applyBorder="1" applyProtection="1"/>
    <xf numFmtId="5" fontId="23" fillId="0" borderId="410" xfId="0" applyNumberFormat="1" applyFont="1" applyFill="1" applyBorder="1" applyProtection="1"/>
    <xf numFmtId="43" fontId="23" fillId="0" borderId="408" xfId="28" applyFont="1" applyFill="1" applyBorder="1" applyProtection="1"/>
    <xf numFmtId="10" fontId="23" fillId="0" borderId="408" xfId="48" applyNumberFormat="1" applyFont="1" applyFill="1" applyBorder="1" applyProtection="1"/>
    <xf numFmtId="5" fontId="23" fillId="0" borderId="409" xfId="0" applyNumberFormat="1" applyFont="1" applyFill="1" applyBorder="1" applyProtection="1"/>
    <xf numFmtId="5" fontId="29" fillId="27" borderId="430" xfId="0" applyNumberFormat="1" applyFont="1" applyFill="1" applyBorder="1" applyProtection="1"/>
    <xf numFmtId="5" fontId="29" fillId="27" borderId="410" xfId="0" applyNumberFormat="1" applyFont="1" applyFill="1" applyBorder="1" applyProtection="1"/>
    <xf numFmtId="5" fontId="23" fillId="0" borderId="427" xfId="0" applyNumberFormat="1" applyFont="1" applyFill="1" applyBorder="1" applyProtection="1"/>
    <xf numFmtId="5" fontId="26" fillId="27" borderId="433" xfId="0" applyNumberFormat="1" applyFont="1" applyFill="1" applyBorder="1" applyAlignment="1" applyProtection="1">
      <alignment vertical="center"/>
    </xf>
    <xf numFmtId="10" fontId="23" fillId="0" borderId="436" xfId="0" applyNumberFormat="1" applyFont="1" applyFill="1" applyBorder="1" applyProtection="1"/>
    <xf numFmtId="10" fontId="23" fillId="0" borderId="437" xfId="0" applyNumberFormat="1" applyFont="1" applyFill="1" applyBorder="1" applyProtection="1"/>
    <xf numFmtId="10" fontId="21" fillId="0" borderId="437" xfId="0" applyNumberFormat="1" applyFont="1" applyFill="1" applyBorder="1" applyProtection="1"/>
    <xf numFmtId="10" fontId="23" fillId="0" borderId="438" xfId="0" applyNumberFormat="1" applyFont="1" applyFill="1" applyBorder="1" applyProtection="1"/>
    <xf numFmtId="10" fontId="23" fillId="0" borderId="439" xfId="0" applyNumberFormat="1" applyFont="1" applyFill="1" applyBorder="1" applyProtection="1"/>
    <xf numFmtId="10" fontId="40" fillId="27" borderId="441" xfId="0" applyNumberFormat="1" applyFont="1" applyFill="1" applyBorder="1" applyProtection="1"/>
    <xf numFmtId="10" fontId="40" fillId="27" borderId="439" xfId="0" applyNumberFormat="1" applyFont="1" applyFill="1" applyBorder="1" applyProtection="1"/>
    <xf numFmtId="10" fontId="23" fillId="0" borderId="442" xfId="0" applyNumberFormat="1" applyFont="1" applyFill="1" applyBorder="1" applyProtection="1"/>
    <xf numFmtId="10" fontId="23" fillId="35" borderId="437" xfId="0" applyNumberFormat="1" applyFont="1" applyFill="1" applyBorder="1" applyProtection="1"/>
    <xf numFmtId="10" fontId="29" fillId="27" borderId="443" xfId="0" applyNumberFormat="1" applyFont="1" applyFill="1" applyBorder="1" applyAlignment="1" applyProtection="1">
      <alignment vertical="center"/>
    </xf>
    <xf numFmtId="10" fontId="40" fillId="0" borderId="437" xfId="0" applyNumberFormat="1" applyFont="1" applyFill="1" applyBorder="1" applyProtection="1"/>
    <xf numFmtId="10" fontId="23" fillId="27" borderId="91" xfId="0" applyNumberFormat="1" applyFont="1" applyFill="1" applyBorder="1" applyAlignment="1" applyProtection="1">
      <alignment vertical="center"/>
    </xf>
    <xf numFmtId="10" fontId="23" fillId="27" borderId="444" xfId="0" applyNumberFormat="1" applyFont="1" applyFill="1" applyBorder="1" applyAlignment="1" applyProtection="1">
      <alignment vertical="center"/>
    </xf>
    <xf numFmtId="10" fontId="23" fillId="0" borderId="435" xfId="0" applyNumberFormat="1" applyFont="1" applyFill="1" applyBorder="1" applyProtection="1"/>
    <xf numFmtId="10" fontId="23" fillId="0" borderId="416" xfId="0" applyNumberFormat="1" applyFont="1" applyFill="1" applyBorder="1" applyProtection="1"/>
    <xf numFmtId="10" fontId="23" fillId="0" borderId="415" xfId="0" applyNumberFormat="1" applyFont="1" applyFill="1" applyBorder="1" applyProtection="1"/>
    <xf numFmtId="0" fontId="21" fillId="0" borderId="396" xfId="0" quotePrefix="1" applyFont="1" applyFill="1" applyBorder="1" applyAlignment="1">
      <alignment horizontal="center"/>
    </xf>
    <xf numFmtId="0" fontId="21" fillId="0" borderId="379" xfId="0" quotePrefix="1" applyFont="1" applyFill="1" applyBorder="1" applyAlignment="1">
      <alignment horizontal="center"/>
    </xf>
    <xf numFmtId="0" fontId="21" fillId="0" borderId="446" xfId="0" applyFont="1" applyFill="1" applyBorder="1" applyAlignment="1">
      <alignment horizontal="left"/>
    </xf>
    <xf numFmtId="5" fontId="23" fillId="0" borderId="429" xfId="0" applyNumberFormat="1" applyFont="1" applyFill="1" applyBorder="1" applyAlignment="1" applyProtection="1"/>
    <xf numFmtId="5" fontId="23" fillId="0" borderId="26" xfId="0" applyNumberFormat="1" applyFont="1" applyFill="1" applyBorder="1" applyAlignment="1" applyProtection="1"/>
    <xf numFmtId="0" fontId="21" fillId="0" borderId="26" xfId="0" applyFont="1" applyFill="1" applyBorder="1" applyAlignment="1">
      <alignment horizontal="center"/>
    </xf>
    <xf numFmtId="5" fontId="29" fillId="0" borderId="26" xfId="0" applyNumberFormat="1" applyFont="1" applyFill="1" applyBorder="1" applyProtection="1"/>
    <xf numFmtId="10" fontId="29" fillId="0" borderId="26" xfId="0" applyNumberFormat="1" applyFont="1" applyFill="1" applyBorder="1" applyProtection="1"/>
    <xf numFmtId="10" fontId="23" fillId="0" borderId="26" xfId="0" applyNumberFormat="1" applyFont="1" applyFill="1" applyBorder="1" applyProtection="1"/>
    <xf numFmtId="0" fontId="21" fillId="0" borderId="381" xfId="0" applyFont="1" applyFill="1" applyBorder="1" applyAlignment="1">
      <alignment horizontal="left"/>
    </xf>
    <xf numFmtId="0" fontId="29" fillId="0" borderId="379" xfId="0" applyFont="1" applyFill="1" applyBorder="1" applyAlignment="1">
      <alignment horizontal="left"/>
    </xf>
    <xf numFmtId="0" fontId="60" fillId="0" borderId="14" xfId="0" applyFont="1" applyFill="1" applyBorder="1" applyAlignment="1">
      <alignment horizontal="center" vertical="center" wrapText="1"/>
    </xf>
    <xf numFmtId="0" fontId="60" fillId="0" borderId="14" xfId="0" applyFont="1" applyFill="1" applyBorder="1" applyAlignment="1">
      <alignment horizontal="left" vertical="center" wrapText="1"/>
    </xf>
    <xf numFmtId="0" fontId="27" fillId="0" borderId="0" xfId="0" applyFont="1" applyBorder="1" applyAlignment="1">
      <alignment horizontal="right"/>
    </xf>
    <xf numFmtId="0" fontId="59" fillId="0" borderId="0" xfId="0" applyFont="1" applyBorder="1" applyAlignment="1">
      <alignment horizontal="center"/>
    </xf>
    <xf numFmtId="0" fontId="59" fillId="0" borderId="0" xfId="0" applyFont="1" applyBorder="1"/>
    <xf numFmtId="6" fontId="27" fillId="0" borderId="0" xfId="0" applyNumberFormat="1" applyFont="1" applyBorder="1" applyAlignment="1">
      <alignment horizontal="right"/>
    </xf>
    <xf numFmtId="10" fontId="0" fillId="0" borderId="0" xfId="0" applyNumberFormat="1" applyBorder="1"/>
    <xf numFmtId="0" fontId="29" fillId="0" borderId="406" xfId="0" applyFont="1" applyFill="1" applyBorder="1" applyAlignment="1">
      <alignment horizontal="center"/>
    </xf>
    <xf numFmtId="0" fontId="0" fillId="0" borderId="448" xfId="0" applyBorder="1"/>
    <xf numFmtId="0" fontId="21" fillId="0" borderId="417" xfId="0" applyFont="1" applyFill="1" applyBorder="1" applyAlignment="1">
      <alignment horizontal="left"/>
    </xf>
    <xf numFmtId="0" fontId="0" fillId="0" borderId="449" xfId="0" applyBorder="1"/>
    <xf numFmtId="5" fontId="23" fillId="0" borderId="431" xfId="0" applyNumberFormat="1" applyFont="1" applyFill="1" applyBorder="1" applyProtection="1"/>
    <xf numFmtId="10" fontId="23" fillId="0" borderId="450" xfId="0" applyNumberFormat="1" applyFont="1" applyFill="1" applyBorder="1" applyProtection="1"/>
    <xf numFmtId="10" fontId="23" fillId="0" borderId="451" xfId="0" applyNumberFormat="1" applyFont="1" applyFill="1" applyBorder="1" applyProtection="1"/>
    <xf numFmtId="49" fontId="21" fillId="0" borderId="395" xfId="0" applyNumberFormat="1" applyFont="1" applyFill="1" applyBorder="1" applyAlignment="1">
      <alignment horizontal="center" vertical="top"/>
    </xf>
    <xf numFmtId="0" fontId="21" fillId="0" borderId="396" xfId="0" applyFont="1" applyFill="1" applyBorder="1" applyAlignment="1">
      <alignment horizontal="left"/>
    </xf>
    <xf numFmtId="5" fontId="114" fillId="27" borderId="411" xfId="0" applyNumberFormat="1" applyFont="1" applyFill="1" applyBorder="1" applyAlignment="1" applyProtection="1">
      <alignment vertical="center"/>
    </xf>
    <xf numFmtId="0" fontId="26" fillId="27" borderId="77" xfId="0" applyFont="1" applyFill="1" applyBorder="1" applyAlignment="1">
      <alignment horizontal="center" vertical="top" wrapText="1"/>
    </xf>
    <xf numFmtId="0" fontId="21" fillId="33" borderId="51" xfId="0" applyFont="1" applyFill="1" applyBorder="1" applyAlignment="1">
      <alignment horizontal="center"/>
    </xf>
    <xf numFmtId="0" fontId="29" fillId="33" borderId="18" xfId="0" applyFont="1" applyFill="1" applyBorder="1" applyAlignment="1">
      <alignment horizontal="center"/>
    </xf>
    <xf numFmtId="0" fontId="29" fillId="33" borderId="18" xfId="0" applyFont="1" applyFill="1" applyBorder="1" applyAlignment="1">
      <alignment horizontal="left"/>
    </xf>
    <xf numFmtId="0" fontId="23" fillId="33" borderId="405" xfId="0" applyFont="1" applyFill="1" applyBorder="1" applyAlignment="1">
      <alignment horizontal="center"/>
    </xf>
    <xf numFmtId="5" fontId="29" fillId="33" borderId="427" xfId="0" applyNumberFormat="1" applyFont="1" applyFill="1" applyBorder="1" applyAlignment="1" applyProtection="1"/>
    <xf numFmtId="5" fontId="29" fillId="33" borderId="408" xfId="0" applyNumberFormat="1" applyFont="1" applyFill="1" applyBorder="1" applyProtection="1"/>
    <xf numFmtId="10" fontId="29" fillId="33" borderId="437" xfId="0" applyNumberFormat="1" applyFont="1" applyFill="1" applyBorder="1" applyProtection="1"/>
    <xf numFmtId="0" fontId="21" fillId="33" borderId="55" xfId="0" applyFont="1" applyFill="1" applyBorder="1" applyAlignment="1">
      <alignment horizontal="center"/>
    </xf>
    <xf numFmtId="0" fontId="29" fillId="33" borderId="18" xfId="0" applyFont="1" applyFill="1" applyBorder="1"/>
    <xf numFmtId="0" fontId="23" fillId="33" borderId="418" xfId="0" applyFont="1" applyFill="1" applyBorder="1" applyAlignment="1">
      <alignment horizontal="center"/>
    </xf>
    <xf numFmtId="5" fontId="29" fillId="33" borderId="409" xfId="0" applyNumberFormat="1" applyFont="1" applyFill="1" applyBorder="1" applyAlignment="1" applyProtection="1"/>
    <xf numFmtId="0" fontId="29" fillId="33" borderId="56" xfId="0" applyFont="1" applyFill="1" applyBorder="1" applyAlignment="1">
      <alignment horizontal="center" vertical="center"/>
    </xf>
    <xf numFmtId="0" fontId="29" fillId="33" borderId="37" xfId="0" quotePrefix="1" applyFont="1" applyFill="1" applyBorder="1" applyAlignment="1">
      <alignment horizontal="left" vertical="center"/>
    </xf>
    <xf numFmtId="0" fontId="29" fillId="33" borderId="37" xfId="0" applyFont="1" applyFill="1" applyBorder="1" applyAlignment="1">
      <alignment horizontal="left" vertical="center"/>
    </xf>
    <xf numFmtId="5" fontId="29" fillId="33" borderId="411" xfId="0" applyNumberFormat="1" applyFont="1" applyFill="1" applyBorder="1" applyAlignment="1" applyProtection="1">
      <alignment vertical="center"/>
    </xf>
    <xf numFmtId="10" fontId="29" fillId="33" borderId="439" xfId="0" applyNumberFormat="1" applyFont="1" applyFill="1" applyBorder="1" applyProtection="1"/>
    <xf numFmtId="0" fontId="29" fillId="33" borderId="54" xfId="0" applyFont="1" applyFill="1" applyBorder="1" applyAlignment="1">
      <alignment horizontal="center" vertical="center"/>
    </xf>
    <xf numFmtId="0" fontId="23" fillId="33" borderId="405" xfId="0" applyFont="1" applyFill="1" applyBorder="1" applyAlignment="1">
      <alignment horizontal="center" wrapText="1"/>
    </xf>
    <xf numFmtId="5" fontId="29" fillId="33" borderId="428" xfId="0" applyNumberFormat="1" applyFont="1" applyFill="1" applyBorder="1" applyAlignment="1" applyProtection="1">
      <alignment vertical="center"/>
    </xf>
    <xf numFmtId="10" fontId="29" fillId="33" borderId="440" xfId="0" applyNumberFormat="1" applyFont="1" applyFill="1" applyBorder="1" applyProtection="1"/>
    <xf numFmtId="0" fontId="29" fillId="33" borderId="51" xfId="0" applyFont="1" applyFill="1" applyBorder="1" applyAlignment="1">
      <alignment horizontal="center"/>
    </xf>
    <xf numFmtId="0" fontId="29" fillId="0" borderId="0" xfId="0" applyFont="1" applyFill="1" applyBorder="1" applyAlignment="1">
      <alignment horizontal="center"/>
    </xf>
    <xf numFmtId="0" fontId="16" fillId="0" borderId="0" xfId="64" applyFont="1" applyAlignment="1">
      <alignment horizontal="left"/>
    </xf>
    <xf numFmtId="5" fontId="20" fillId="33" borderId="415" xfId="64" applyNumberFormat="1" applyFont="1" applyFill="1" applyBorder="1" applyProtection="1"/>
    <xf numFmtId="0" fontId="16" fillId="0" borderId="0" xfId="64" applyFont="1" applyAlignment="1">
      <alignment horizontal="center"/>
    </xf>
    <xf numFmtId="0" fontId="16" fillId="0" borderId="190" xfId="64" applyNumberFormat="1" applyFont="1" applyFill="1" applyBorder="1" applyAlignment="1">
      <alignment horizontal="center"/>
    </xf>
    <xf numFmtId="0" fontId="16" fillId="0" borderId="415" xfId="64" applyNumberFormat="1" applyFont="1" applyFill="1" applyBorder="1" applyAlignment="1">
      <alignment horizontal="center"/>
    </xf>
    <xf numFmtId="38" fontId="18" fillId="0" borderId="190" xfId="0" applyNumberFormat="1" applyFont="1" applyFill="1" applyBorder="1" applyProtection="1"/>
    <xf numFmtId="5" fontId="23" fillId="35" borderId="190" xfId="0" applyNumberFormat="1" applyFont="1" applyFill="1" applyBorder="1" applyProtection="1"/>
    <xf numFmtId="5" fontId="23" fillId="0" borderId="190" xfId="0" applyNumberFormat="1" applyFont="1" applyFill="1" applyBorder="1" applyAlignment="1" applyProtection="1"/>
    <xf numFmtId="10" fontId="23" fillId="35" borderId="91" xfId="0" applyNumberFormat="1" applyFont="1" applyFill="1" applyBorder="1" applyProtection="1"/>
    <xf numFmtId="5" fontId="23" fillId="0" borderId="408" xfId="0" applyNumberFormat="1" applyFont="1" applyFill="1" applyBorder="1" applyAlignment="1" applyProtection="1"/>
    <xf numFmtId="0" fontId="21" fillId="0" borderId="193" xfId="0" applyFont="1" applyFill="1" applyBorder="1" applyAlignment="1">
      <alignment horizontal="left" wrapText="1"/>
    </xf>
    <xf numFmtId="10" fontId="23" fillId="0" borderId="437" xfId="0" applyNumberFormat="1" applyFont="1" applyFill="1" applyBorder="1" applyAlignment="1" applyProtection="1"/>
    <xf numFmtId="0" fontId="21" fillId="0" borderId="53" xfId="0" applyFont="1" applyFill="1" applyBorder="1" applyAlignment="1">
      <alignment horizontal="center" vertical="top"/>
    </xf>
    <xf numFmtId="0" fontId="21" fillId="0" borderId="28" xfId="0" applyFont="1" applyFill="1" applyBorder="1" applyAlignment="1">
      <alignment horizontal="left" vertical="top"/>
    </xf>
    <xf numFmtId="5" fontId="23" fillId="0" borderId="410" xfId="0" applyNumberFormat="1" applyFont="1" applyFill="1" applyBorder="1" applyAlignment="1" applyProtection="1">
      <alignment vertical="top"/>
    </xf>
    <xf numFmtId="10" fontId="23" fillId="0" borderId="439" xfId="0" applyNumberFormat="1" applyFont="1" applyFill="1" applyBorder="1" applyAlignment="1" applyProtection="1">
      <alignment vertical="top"/>
    </xf>
    <xf numFmtId="5" fontId="23" fillId="0" borderId="422" xfId="0" applyNumberFormat="1" applyFont="1" applyFill="1" applyBorder="1" applyAlignment="1" applyProtection="1">
      <alignment horizontal="center"/>
    </xf>
    <xf numFmtId="0" fontId="21" fillId="0" borderId="469" xfId="0" quotePrefix="1" applyFont="1" applyFill="1" applyBorder="1" applyAlignment="1">
      <alignment horizontal="center"/>
    </xf>
    <xf numFmtId="0" fontId="21" fillId="0" borderId="469" xfId="0" applyFont="1" applyFill="1" applyBorder="1" applyAlignment="1">
      <alignment horizontal="left"/>
    </xf>
    <xf numFmtId="0" fontId="23" fillId="0" borderId="470" xfId="0" applyFont="1" applyFill="1" applyBorder="1" applyAlignment="1">
      <alignment horizontal="center"/>
    </xf>
    <xf numFmtId="164" fontId="23" fillId="0" borderId="471" xfId="28" applyNumberFormat="1" applyFont="1" applyFill="1" applyBorder="1" applyAlignment="1" applyProtection="1"/>
    <xf numFmtId="164" fontId="23" fillId="0" borderId="471" xfId="28" applyNumberFormat="1" applyFont="1" applyFill="1" applyBorder="1" applyProtection="1"/>
    <xf numFmtId="10" fontId="23" fillId="0" borderId="472" xfId="0" applyNumberFormat="1" applyFont="1" applyFill="1" applyBorder="1" applyProtection="1"/>
    <xf numFmtId="49" fontId="21" fillId="0" borderId="473" xfId="0" applyNumberFormat="1" applyFont="1" applyFill="1" applyBorder="1" applyAlignment="1">
      <alignment horizontal="center"/>
    </xf>
    <xf numFmtId="164" fontId="23" fillId="0" borderId="416" xfId="28" applyNumberFormat="1" applyFont="1" applyFill="1" applyBorder="1" applyAlignment="1" applyProtection="1"/>
    <xf numFmtId="10" fontId="23" fillId="0" borderId="408" xfId="0" applyNumberFormat="1" applyFont="1" applyFill="1" applyBorder="1" applyAlignment="1" applyProtection="1"/>
    <xf numFmtId="49" fontId="21" fillId="0" borderId="395" xfId="0" applyNumberFormat="1" applyFont="1" applyFill="1" applyBorder="1" applyAlignment="1">
      <alignment horizontal="center"/>
    </xf>
    <xf numFmtId="164" fontId="23" fillId="0" borderId="408" xfId="28" applyNumberFormat="1" applyFont="1" applyFill="1" applyBorder="1" applyAlignment="1" applyProtection="1"/>
    <xf numFmtId="0" fontId="16" fillId="0" borderId="0" xfId="0" applyFont="1" applyBorder="1"/>
    <xf numFmtId="49" fontId="21" fillId="0" borderId="18" xfId="0" applyNumberFormat="1" applyFont="1" applyFill="1" applyBorder="1" applyAlignment="1">
      <alignment horizontal="center"/>
    </xf>
    <xf numFmtId="49" fontId="21" fillId="0" borderId="469" xfId="0" applyNumberFormat="1" applyFont="1" applyFill="1" applyBorder="1" applyAlignment="1">
      <alignment horizontal="center"/>
    </xf>
    <xf numFmtId="49" fontId="21" fillId="0" borderId="28" xfId="0" applyNumberFormat="1" applyFont="1" applyFill="1" applyBorder="1" applyAlignment="1">
      <alignment horizontal="center"/>
    </xf>
    <xf numFmtId="164" fontId="21" fillId="0" borderId="410" xfId="28" applyNumberFormat="1" applyFont="1" applyFill="1" applyBorder="1" applyAlignment="1" applyProtection="1"/>
    <xf numFmtId="10" fontId="21" fillId="0" borderId="410" xfId="0" applyNumberFormat="1" applyFont="1" applyFill="1" applyBorder="1" applyAlignment="1" applyProtection="1"/>
    <xf numFmtId="10" fontId="23" fillId="0" borderId="471" xfId="0" applyNumberFormat="1" applyFont="1" applyFill="1" applyBorder="1" applyAlignment="1" applyProtection="1"/>
    <xf numFmtId="49" fontId="21" fillId="0" borderId="28" xfId="0" quotePrefix="1" applyNumberFormat="1" applyFont="1" applyFill="1" applyBorder="1" applyAlignment="1">
      <alignment horizontal="center" vertical="top"/>
    </xf>
    <xf numFmtId="0" fontId="23" fillId="0" borderId="422" xfId="0" applyFont="1" applyFill="1" applyBorder="1" applyAlignment="1">
      <alignment horizontal="center"/>
    </xf>
    <xf numFmtId="164" fontId="23" fillId="0" borderId="410" xfId="28" applyNumberFormat="1" applyFont="1" applyFill="1" applyBorder="1" applyAlignment="1" applyProtection="1"/>
    <xf numFmtId="10" fontId="23" fillId="0" borderId="410" xfId="0" applyNumberFormat="1" applyFont="1" applyFill="1" applyBorder="1" applyProtection="1"/>
    <xf numFmtId="0" fontId="29" fillId="0" borderId="464" xfId="0" applyFont="1" applyFill="1" applyBorder="1" applyAlignment="1">
      <alignment horizontal="left"/>
    </xf>
    <xf numFmtId="0" fontId="21" fillId="0" borderId="468" xfId="0" applyFont="1" applyFill="1" applyBorder="1" applyAlignment="1">
      <alignment horizontal="left"/>
    </xf>
    <xf numFmtId="0" fontId="21" fillId="0" borderId="460" xfId="0" applyFont="1" applyFill="1" applyBorder="1" applyAlignment="1">
      <alignment horizontal="center"/>
    </xf>
    <xf numFmtId="5" fontId="29" fillId="0" borderId="460" xfId="0" applyNumberFormat="1" applyFont="1" applyFill="1" applyBorder="1" applyProtection="1"/>
    <xf numFmtId="10" fontId="29" fillId="0" borderId="460" xfId="0" applyNumberFormat="1" applyFont="1" applyFill="1" applyBorder="1" applyProtection="1"/>
    <xf numFmtId="0" fontId="23" fillId="0" borderId="0" xfId="0" applyFont="1" applyFill="1" applyBorder="1" applyAlignment="1">
      <alignment horizontal="left"/>
    </xf>
    <xf numFmtId="0" fontId="0" fillId="0" borderId="28" xfId="0" applyBorder="1"/>
    <xf numFmtId="0" fontId="0" fillId="0" borderId="28" xfId="0" applyBorder="1" applyAlignment="1">
      <alignment horizontal="center"/>
    </xf>
    <xf numFmtId="0" fontId="29" fillId="0" borderId="474" xfId="0" applyFont="1" applyFill="1" applyBorder="1" applyAlignment="1">
      <alignment horizontal="left"/>
    </xf>
    <xf numFmtId="0" fontId="21" fillId="0" borderId="475" xfId="0" applyFont="1" applyFill="1" applyBorder="1" applyAlignment="1">
      <alignment horizontal="left"/>
    </xf>
    <xf numFmtId="0" fontId="21" fillId="0" borderId="476" xfId="0" applyFont="1" applyFill="1" applyBorder="1" applyAlignment="1">
      <alignment horizontal="center"/>
    </xf>
    <xf numFmtId="5" fontId="29" fillId="0" borderId="476" xfId="0" applyNumberFormat="1" applyFont="1" applyFill="1" applyBorder="1" applyProtection="1"/>
    <xf numFmtId="10" fontId="29" fillId="0" borderId="476" xfId="0" applyNumberFormat="1" applyFont="1" applyFill="1" applyBorder="1" applyProtection="1"/>
    <xf numFmtId="0" fontId="29" fillId="0" borderId="477" xfId="0" applyFont="1" applyFill="1" applyBorder="1" applyAlignment="1">
      <alignment horizontal="center"/>
    </xf>
    <xf numFmtId="0" fontId="21" fillId="0" borderId="77" xfId="0" applyFont="1" applyFill="1" applyBorder="1" applyAlignment="1">
      <alignment horizontal="center"/>
    </xf>
    <xf numFmtId="0" fontId="116" fillId="0" borderId="18" xfId="0" applyFont="1" applyFill="1" applyBorder="1" applyAlignment="1">
      <alignment horizontal="left"/>
    </xf>
    <xf numFmtId="0" fontId="109" fillId="53" borderId="404" xfId="0" applyFont="1" applyFill="1" applyBorder="1" applyAlignment="1">
      <alignment horizontal="left"/>
    </xf>
    <xf numFmtId="0" fontId="23" fillId="53" borderId="405" xfId="0" applyFont="1" applyFill="1" applyBorder="1" applyAlignment="1">
      <alignment horizontal="center"/>
    </xf>
    <xf numFmtId="5" fontId="23" fillId="53" borderId="26" xfId="0" applyNumberFormat="1" applyFont="1" applyFill="1" applyBorder="1" applyAlignment="1" applyProtection="1"/>
    <xf numFmtId="5" fontId="23" fillId="53" borderId="190" xfId="0" applyNumberFormat="1" applyFont="1" applyFill="1" applyBorder="1" applyAlignment="1" applyProtection="1"/>
    <xf numFmtId="0" fontId="23" fillId="0" borderId="14" xfId="0" applyFont="1" applyFill="1" applyBorder="1" applyAlignment="1">
      <alignment horizontal="left"/>
    </xf>
    <xf numFmtId="5" fontId="23" fillId="35" borderId="415" xfId="0" applyNumberFormat="1" applyFont="1" applyFill="1" applyBorder="1" applyProtection="1"/>
    <xf numFmtId="5" fontId="23" fillId="53" borderId="415" xfId="0" applyNumberFormat="1" applyFont="1" applyFill="1" applyBorder="1" applyAlignment="1" applyProtection="1"/>
    <xf numFmtId="10" fontId="23" fillId="35" borderId="478" xfId="0" applyNumberFormat="1" applyFont="1" applyFill="1" applyBorder="1" applyProtection="1"/>
    <xf numFmtId="5" fontId="23" fillId="0" borderId="190" xfId="0" applyNumberFormat="1" applyFont="1" applyFill="1" applyBorder="1" applyAlignment="1" applyProtection="1">
      <alignment vertical="center"/>
    </xf>
    <xf numFmtId="0" fontId="33" fillId="54" borderId="460" xfId="0" applyFont="1" applyFill="1" applyBorder="1" applyAlignment="1">
      <alignment horizontal="center" vertical="center" wrapText="1"/>
    </xf>
    <xf numFmtId="6" fontId="18" fillId="0" borderId="11" xfId="32" applyNumberFormat="1" applyFont="1" applyFill="1" applyBorder="1"/>
    <xf numFmtId="6" fontId="18" fillId="0" borderId="13" xfId="32" applyNumberFormat="1" applyFont="1" applyFill="1" applyBorder="1"/>
    <xf numFmtId="10" fontId="18" fillId="0" borderId="34" xfId="48" applyNumberFormat="1" applyFont="1" applyFill="1" applyBorder="1"/>
    <xf numFmtId="5" fontId="16" fillId="0" borderId="415" xfId="64" applyNumberFormat="1" applyFont="1" applyFill="1" applyBorder="1" applyProtection="1"/>
    <xf numFmtId="0" fontId="16" fillId="0" borderId="454" xfId="64" applyFont="1" applyFill="1" applyBorder="1" applyAlignment="1" applyProtection="1">
      <alignment horizontal="left"/>
    </xf>
    <xf numFmtId="0" fontId="16" fillId="28" borderId="406" xfId="64" applyFont="1" applyFill="1" applyBorder="1" applyAlignment="1">
      <alignment horizontal="center"/>
    </xf>
    <xf numFmtId="0" fontId="33" fillId="28" borderId="72" xfId="64" applyFont="1" applyFill="1" applyBorder="1" applyAlignment="1" applyProtection="1"/>
    <xf numFmtId="0" fontId="16" fillId="39" borderId="455" xfId="64" applyFont="1" applyFill="1" applyBorder="1" applyAlignment="1">
      <alignment horizontal="center"/>
    </xf>
    <xf numFmtId="0" fontId="33" fillId="39" borderId="456" xfId="64" applyFont="1" applyFill="1" applyBorder="1" applyAlignment="1" applyProtection="1">
      <alignment horizontal="left"/>
    </xf>
    <xf numFmtId="0" fontId="16" fillId="39" borderId="457" xfId="64" applyFont="1" applyFill="1" applyBorder="1" applyAlignment="1">
      <alignment horizontal="center"/>
    </xf>
    <xf numFmtId="0" fontId="33" fillId="39" borderId="458" xfId="64" applyFont="1" applyFill="1" applyBorder="1" applyAlignment="1" applyProtection="1">
      <alignment horizontal="left"/>
    </xf>
    <xf numFmtId="0" fontId="33" fillId="28" borderId="456" xfId="64" applyFont="1" applyFill="1" applyBorder="1" applyAlignment="1" applyProtection="1">
      <alignment horizontal="left"/>
    </xf>
    <xf numFmtId="0" fontId="16" fillId="35" borderId="415" xfId="64" applyNumberFormat="1" applyFont="1" applyFill="1" applyBorder="1" applyAlignment="1" applyProtection="1">
      <alignment horizontal="left"/>
    </xf>
    <xf numFmtId="0" fontId="16" fillId="28" borderId="189" xfId="64" applyFont="1" applyFill="1" applyBorder="1" applyAlignment="1">
      <alignment horizontal="center"/>
    </xf>
    <xf numFmtId="0" fontId="33" fillId="28" borderId="45" xfId="64" applyFont="1" applyFill="1" applyBorder="1" applyAlignment="1" applyProtection="1">
      <alignment horizontal="left"/>
    </xf>
    <xf numFmtId="6" fontId="16" fillId="0" borderId="415" xfId="0" applyNumberFormat="1" applyFont="1" applyFill="1" applyBorder="1" applyAlignment="1">
      <alignment horizontal="right"/>
    </xf>
    <xf numFmtId="6" fontId="16" fillId="0" borderId="415" xfId="0" applyNumberFormat="1" applyFont="1" applyFill="1" applyBorder="1" applyAlignment="1">
      <alignment horizontal="right" wrapText="1"/>
    </xf>
    <xf numFmtId="0" fontId="117" fillId="0" borderId="0" xfId="64" applyFont="1" applyAlignment="1">
      <alignment wrapText="1"/>
    </xf>
    <xf numFmtId="0" fontId="29" fillId="35" borderId="0" xfId="0" applyFont="1" applyFill="1" applyBorder="1" applyAlignment="1">
      <alignment horizontal="center" vertical="center"/>
    </xf>
    <xf numFmtId="0" fontId="26" fillId="35" borderId="0" xfId="0" applyFont="1" applyFill="1" applyBorder="1" applyAlignment="1">
      <alignment horizontal="left" vertical="center" wrapText="1"/>
    </xf>
    <xf numFmtId="5" fontId="29" fillId="35" borderId="0" xfId="0" applyNumberFormat="1" applyFont="1" applyFill="1" applyBorder="1" applyAlignment="1" applyProtection="1">
      <alignment vertical="center"/>
    </xf>
    <xf numFmtId="5" fontId="26" fillId="35" borderId="0" xfId="0" applyNumberFormat="1" applyFont="1" applyFill="1" applyBorder="1" applyAlignment="1" applyProtection="1">
      <alignment vertical="center"/>
    </xf>
    <xf numFmtId="10" fontId="23" fillId="35" borderId="0" xfId="0" applyNumberFormat="1" applyFont="1" applyFill="1" applyBorder="1" applyAlignment="1" applyProtection="1">
      <alignment vertical="center"/>
    </xf>
    <xf numFmtId="0" fontId="0" fillId="35" borderId="0" xfId="0" applyFill="1" applyBorder="1" applyAlignment="1">
      <alignment vertical="center"/>
    </xf>
    <xf numFmtId="0" fontId="25" fillId="0" borderId="0" xfId="0" applyFont="1" applyBorder="1"/>
    <xf numFmtId="6" fontId="82" fillId="0" borderId="0" xfId="0" applyNumberFormat="1" applyFont="1" applyFill="1" applyBorder="1" applyAlignment="1" applyProtection="1">
      <alignment vertical="top" wrapText="1"/>
    </xf>
    <xf numFmtId="5" fontId="18" fillId="27" borderId="190" xfId="0" applyNumberFormat="1" applyFont="1" applyFill="1" applyBorder="1" applyProtection="1"/>
    <xf numFmtId="1" fontId="18" fillId="26" borderId="460" xfId="0" applyNumberFormat="1" applyFont="1" applyFill="1" applyBorder="1" applyAlignment="1" applyProtection="1">
      <alignment horizontal="center"/>
    </xf>
    <xf numFmtId="1" fontId="20" fillId="26" borderId="460" xfId="0" applyNumberFormat="1" applyFont="1" applyFill="1" applyBorder="1" applyAlignment="1" applyProtection="1">
      <alignment horizontal="center"/>
    </xf>
    <xf numFmtId="1" fontId="27" fillId="26" borderId="460" xfId="0" applyNumberFormat="1" applyFont="1" applyFill="1" applyBorder="1" applyAlignment="1" applyProtection="1">
      <alignment horizontal="center"/>
    </xf>
    <xf numFmtId="0" fontId="23" fillId="0" borderId="448" xfId="0" applyFont="1" applyFill="1" applyBorder="1" applyAlignment="1">
      <alignment vertical="center"/>
    </xf>
    <xf numFmtId="0" fontId="23" fillId="0" borderId="405" xfId="0" applyFont="1" applyFill="1" applyBorder="1" applyAlignment="1">
      <alignment horizontal="center" vertical="center"/>
    </xf>
    <xf numFmtId="10" fontId="23" fillId="0" borderId="442" xfId="0" applyNumberFormat="1" applyFont="1" applyFill="1" applyBorder="1" applyAlignment="1" applyProtection="1">
      <alignment vertical="center"/>
    </xf>
    <xf numFmtId="0" fontId="21" fillId="0" borderId="0" xfId="0" applyFont="1" applyFill="1" applyBorder="1" applyAlignment="1">
      <alignment horizontal="left" vertical="center"/>
    </xf>
    <xf numFmtId="10" fontId="23" fillId="0" borderId="437" xfId="0" applyNumberFormat="1" applyFont="1" applyFill="1" applyBorder="1" applyAlignment="1" applyProtection="1">
      <alignment vertical="center"/>
    </xf>
    <xf numFmtId="0" fontId="0" fillId="0" borderId="448" xfId="0" applyBorder="1" applyAlignment="1">
      <alignment vertical="center"/>
    </xf>
    <xf numFmtId="10" fontId="23" fillId="35" borderId="437" xfId="0" applyNumberFormat="1" applyFont="1" applyFill="1" applyBorder="1" applyAlignment="1" applyProtection="1">
      <alignment vertical="center"/>
    </xf>
    <xf numFmtId="0" fontId="29" fillId="0" borderId="448" xfId="0" applyFont="1" applyFill="1" applyBorder="1" applyAlignment="1">
      <alignment horizontal="center" vertical="center"/>
    </xf>
    <xf numFmtId="0" fontId="21" fillId="0" borderId="0" xfId="0" quotePrefix="1" applyFont="1" applyFill="1" applyBorder="1" applyAlignment="1">
      <alignment horizontal="center" vertical="center"/>
    </xf>
    <xf numFmtId="0" fontId="23" fillId="0" borderId="0" xfId="0" applyFont="1" applyFill="1" applyBorder="1" applyAlignment="1">
      <alignment horizontal="left" vertical="center"/>
    </xf>
    <xf numFmtId="5" fontId="23" fillId="35" borderId="190" xfId="0" applyNumberFormat="1" applyFont="1" applyFill="1" applyBorder="1" applyAlignment="1" applyProtection="1">
      <alignment vertical="center"/>
    </xf>
    <xf numFmtId="5" fontId="29" fillId="27" borderId="423" xfId="0" applyNumberFormat="1" applyFont="1" applyFill="1" applyBorder="1" applyAlignment="1" applyProtection="1">
      <alignment horizontal="center" vertical="center"/>
    </xf>
    <xf numFmtId="0" fontId="21" fillId="0" borderId="18" xfId="0" applyFont="1" applyFill="1" applyBorder="1" applyAlignment="1">
      <alignment horizontal="left" vertical="center"/>
    </xf>
    <xf numFmtId="0" fontId="21" fillId="0" borderId="448" xfId="0" applyFont="1" applyFill="1" applyBorder="1" applyAlignment="1">
      <alignment horizontal="center" vertical="center"/>
    </xf>
    <xf numFmtId="0" fontId="23" fillId="0" borderId="422" xfId="0" applyFont="1" applyFill="1" applyBorder="1" applyAlignment="1">
      <alignment horizontal="center" vertical="center"/>
    </xf>
    <xf numFmtId="10" fontId="23" fillId="0" borderId="439" xfId="0" applyNumberFormat="1" applyFont="1" applyFill="1" applyBorder="1" applyAlignment="1" applyProtection="1">
      <alignment vertical="center"/>
    </xf>
    <xf numFmtId="0" fontId="25" fillId="0" borderId="0" xfId="0" applyFont="1" applyBorder="1" applyAlignment="1">
      <alignment horizontal="right" vertical="center"/>
    </xf>
    <xf numFmtId="0" fontId="25" fillId="0" borderId="0" xfId="0" applyFont="1" applyBorder="1" applyAlignment="1">
      <alignment vertical="center" wrapText="1"/>
    </xf>
    <xf numFmtId="10" fontId="25" fillId="0" borderId="0" xfId="0" applyNumberFormat="1" applyFont="1" applyBorder="1" applyAlignment="1">
      <alignment vertical="center"/>
    </xf>
    <xf numFmtId="0" fontId="21" fillId="0" borderId="28" xfId="0" applyFont="1" applyFill="1" applyBorder="1" applyAlignment="1">
      <alignment horizontal="left" vertical="center"/>
    </xf>
    <xf numFmtId="164" fontId="23" fillId="0" borderId="410" xfId="28" applyNumberFormat="1" applyFont="1" applyFill="1" applyBorder="1" applyAlignment="1" applyProtection="1">
      <alignment vertical="center"/>
    </xf>
    <xf numFmtId="1" fontId="20" fillId="26" borderId="460" xfId="0" applyNumberFormat="1" applyFont="1" applyFill="1" applyBorder="1" applyAlignment="1" applyProtection="1">
      <alignment horizontal="center" vertical="center"/>
    </xf>
    <xf numFmtId="1" fontId="18" fillId="26" borderId="460" xfId="0" applyNumberFormat="1" applyFont="1" applyFill="1" applyBorder="1" applyAlignment="1" applyProtection="1">
      <alignment horizontal="center" vertical="center"/>
    </xf>
    <xf numFmtId="1" fontId="27" fillId="26" borderId="460" xfId="0" applyNumberFormat="1" applyFont="1" applyFill="1" applyBorder="1" applyAlignment="1" applyProtection="1">
      <alignment horizontal="center" vertical="center"/>
    </xf>
    <xf numFmtId="6" fontId="18" fillId="37" borderId="190" xfId="0" applyNumberFormat="1" applyFont="1" applyFill="1" applyBorder="1" applyProtection="1"/>
    <xf numFmtId="1" fontId="27" fillId="26" borderId="460" xfId="0" applyNumberFormat="1" applyFont="1" applyFill="1" applyBorder="1" applyAlignment="1" applyProtection="1">
      <alignment horizontal="center" vertical="center" wrapText="1"/>
    </xf>
    <xf numFmtId="6" fontId="16" fillId="0" borderId="67" xfId="0" applyNumberFormat="1" applyFont="1" applyFill="1" applyBorder="1" applyProtection="1"/>
    <xf numFmtId="164" fontId="16" fillId="0" borderId="67" xfId="28" applyNumberFormat="1" applyFont="1" applyFill="1" applyBorder="1" applyProtection="1"/>
    <xf numFmtId="165" fontId="16" fillId="0" borderId="67" xfId="28" applyNumberFormat="1" applyFont="1" applyFill="1" applyBorder="1" applyProtection="1"/>
    <xf numFmtId="5" fontId="16" fillId="0" borderId="67" xfId="0" applyNumberFormat="1" applyFont="1" applyFill="1" applyBorder="1" applyProtection="1"/>
    <xf numFmtId="1" fontId="18" fillId="26" borderId="460" xfId="0" applyNumberFormat="1" applyFont="1" applyFill="1" applyBorder="1" applyProtection="1"/>
    <xf numFmtId="1" fontId="20" fillId="26" borderId="460" xfId="0" applyNumberFormat="1" applyFont="1" applyFill="1" applyBorder="1" applyProtection="1"/>
    <xf numFmtId="5" fontId="16" fillId="0" borderId="190" xfId="0" applyNumberFormat="1" applyFont="1" applyFill="1" applyBorder="1" applyProtection="1"/>
    <xf numFmtId="6" fontId="27" fillId="25" borderId="460" xfId="0" applyNumberFormat="1" applyFont="1" applyFill="1" applyBorder="1" applyAlignment="1">
      <alignment horizontal="center" wrapText="1"/>
    </xf>
    <xf numFmtId="8" fontId="27" fillId="25" borderId="460" xfId="0" applyNumberFormat="1" applyFont="1" applyFill="1" applyBorder="1" applyAlignment="1">
      <alignment horizontal="center" wrapText="1"/>
    </xf>
    <xf numFmtId="6" fontId="16" fillId="0" borderId="0" xfId="0" applyNumberFormat="1" applyFont="1" applyBorder="1"/>
    <xf numFmtId="0" fontId="20" fillId="0" borderId="0" xfId="0" applyFont="1" applyBorder="1" applyAlignment="1">
      <alignment wrapText="1"/>
    </xf>
    <xf numFmtId="3" fontId="16" fillId="0" borderId="0" xfId="0" applyNumberFormat="1" applyFont="1" applyFill="1" applyBorder="1"/>
    <xf numFmtId="8" fontId="16" fillId="0" borderId="0" xfId="0" applyNumberFormat="1" applyFont="1" applyBorder="1"/>
    <xf numFmtId="6" fontId="16" fillId="0" borderId="115" xfId="0" applyNumberFormat="1" applyFont="1" applyFill="1" applyBorder="1" applyAlignment="1">
      <alignment horizontal="center"/>
    </xf>
    <xf numFmtId="0" fontId="20" fillId="0" borderId="0" xfId="0" applyFont="1" applyBorder="1" applyAlignment="1">
      <alignment horizontal="left" wrapText="1"/>
    </xf>
    <xf numFmtId="0" fontId="57" fillId="0" borderId="0" xfId="0" applyFont="1" applyBorder="1" applyAlignment="1">
      <alignment wrapText="1"/>
    </xf>
    <xf numFmtId="0" fontId="57" fillId="0" borderId="0" xfId="0" applyFont="1" applyBorder="1" applyAlignment="1">
      <alignment horizontal="left" wrapText="1"/>
    </xf>
    <xf numFmtId="0" fontId="96" fillId="0" borderId="0" xfId="0" applyFont="1" applyAlignment="1">
      <alignment horizontal="left"/>
    </xf>
    <xf numFmtId="0" fontId="1" fillId="0" borderId="0" xfId="47823"/>
    <xf numFmtId="0" fontId="1" fillId="0" borderId="0" xfId="47823" applyBorder="1" applyAlignment="1">
      <alignment horizontal="center" wrapText="1"/>
    </xf>
    <xf numFmtId="3" fontId="1" fillId="0" borderId="0" xfId="47823" applyNumberFormat="1"/>
    <xf numFmtId="3" fontId="106" fillId="0" borderId="0" xfId="47823" applyNumberFormat="1" applyFont="1"/>
    <xf numFmtId="0" fontId="1" fillId="0" borderId="0" xfId="47823" applyFill="1"/>
    <xf numFmtId="1" fontId="16" fillId="0" borderId="0" xfId="0" applyNumberFormat="1" applyFont="1" applyBorder="1"/>
    <xf numFmtId="1" fontId="54" fillId="0" borderId="13" xfId="0" applyNumberFormat="1" applyFont="1" applyBorder="1"/>
    <xf numFmtId="1" fontId="16" fillId="0" borderId="0" xfId="0" applyNumberFormat="1" applyFont="1"/>
    <xf numFmtId="0" fontId="84" fillId="33" borderId="406" xfId="0" applyFont="1" applyFill="1" applyBorder="1"/>
    <xf numFmtId="0" fontId="48" fillId="56" borderId="35" xfId="0" applyFont="1" applyFill="1" applyBorder="1" applyAlignment="1">
      <alignment horizontal="right" wrapText="1"/>
    </xf>
    <xf numFmtId="3" fontId="61" fillId="56" borderId="14" xfId="0" applyNumberFormat="1" applyFont="1" applyFill="1" applyBorder="1" applyAlignment="1">
      <alignment horizontal="right"/>
    </xf>
    <xf numFmtId="6" fontId="54" fillId="56" borderId="14" xfId="0" applyNumberFormat="1" applyFont="1" applyFill="1" applyBorder="1" applyAlignment="1">
      <alignment horizontal="right"/>
    </xf>
    <xf numFmtId="38" fontId="54" fillId="56" borderId="14" xfId="0" applyNumberFormat="1" applyFont="1" applyFill="1" applyBorder="1" applyAlignment="1">
      <alignment horizontal="right"/>
    </xf>
    <xf numFmtId="10" fontId="23" fillId="0" borderId="91" xfId="0" applyNumberFormat="1" applyFont="1" applyFill="1" applyBorder="1" applyAlignment="1" applyProtection="1">
      <alignment vertical="center"/>
    </xf>
    <xf numFmtId="0" fontId="16" fillId="0" borderId="0" xfId="53" applyBorder="1" applyAlignment="1">
      <alignment horizontal="center"/>
    </xf>
    <xf numFmtId="0" fontId="16" fillId="0" borderId="0" xfId="53" applyBorder="1" applyAlignment="1"/>
    <xf numFmtId="0" fontId="1" fillId="0" borderId="0" xfId="47823" applyBorder="1" applyAlignment="1">
      <alignment horizontal="center"/>
    </xf>
    <xf numFmtId="0" fontId="1" fillId="0" borderId="0" xfId="47823" applyBorder="1"/>
    <xf numFmtId="5" fontId="114" fillId="35" borderId="0" xfId="0" applyNumberFormat="1" applyFont="1" applyFill="1" applyBorder="1" applyAlignment="1" applyProtection="1">
      <alignment vertical="center"/>
    </xf>
    <xf numFmtId="0" fontId="33" fillId="37" borderId="465" xfId="0" applyFont="1" applyFill="1" applyBorder="1" applyAlignment="1">
      <alignment horizontal="center" vertical="center" wrapText="1"/>
    </xf>
    <xf numFmtId="0" fontId="33" fillId="25" borderId="380" xfId="0" applyFont="1" applyFill="1" applyBorder="1" applyAlignment="1" applyProtection="1">
      <alignment horizontal="center" vertical="center" wrapText="1"/>
    </xf>
    <xf numFmtId="0" fontId="33" fillId="25" borderId="10" xfId="0" applyFont="1" applyFill="1" applyBorder="1" applyAlignment="1" applyProtection="1">
      <alignment horizontal="center" vertical="center" wrapText="1"/>
    </xf>
    <xf numFmtId="0" fontId="33" fillId="27" borderId="370" xfId="0" applyFont="1" applyFill="1" applyBorder="1" applyAlignment="1">
      <alignment horizontal="center" vertical="center" wrapText="1"/>
    </xf>
    <xf numFmtId="0" fontId="33" fillId="55" borderId="370" xfId="0" applyFont="1" applyFill="1" applyBorder="1" applyAlignment="1">
      <alignment horizontal="center" vertical="center" wrapText="1"/>
    </xf>
    <xf numFmtId="0" fontId="33" fillId="41" borderId="370" xfId="0" applyFont="1" applyFill="1" applyBorder="1" applyAlignment="1">
      <alignment horizontal="center" vertical="center" wrapText="1"/>
    </xf>
    <xf numFmtId="0" fontId="33" fillId="37" borderId="10" xfId="0" applyFont="1" applyFill="1" applyBorder="1" applyAlignment="1">
      <alignment horizontal="center" vertical="center" wrapText="1"/>
    </xf>
    <xf numFmtId="0" fontId="33" fillId="55" borderId="10" xfId="0" applyFont="1" applyFill="1" applyBorder="1" applyAlignment="1">
      <alignment horizontal="center" vertical="center" wrapText="1"/>
    </xf>
    <xf numFmtId="0" fontId="33" fillId="37" borderId="370" xfId="0" applyFont="1" applyFill="1" applyBorder="1" applyAlignment="1">
      <alignment horizontal="center" vertical="center" wrapText="1"/>
    </xf>
    <xf numFmtId="0" fontId="16" fillId="0" borderId="0" xfId="0" applyFont="1" applyAlignment="1">
      <alignment vertical="center"/>
    </xf>
    <xf numFmtId="0" fontId="16" fillId="26" borderId="26" xfId="0" applyFont="1" applyFill="1" applyBorder="1" applyAlignment="1">
      <alignment vertical="center"/>
    </xf>
    <xf numFmtId="0" fontId="20" fillId="0" borderId="13" xfId="0" applyFont="1" applyBorder="1" applyAlignment="1">
      <alignment vertical="center" wrapText="1"/>
    </xf>
    <xf numFmtId="1" fontId="16" fillId="0" borderId="415" xfId="0" applyNumberFormat="1" applyFont="1" applyFill="1" applyBorder="1" applyAlignment="1">
      <alignment horizontal="left" vertical="center" wrapText="1"/>
    </xf>
    <xf numFmtId="0" fontId="20" fillId="0" borderId="12" xfId="0" applyFont="1" applyBorder="1" applyAlignment="1">
      <alignment horizontal="right" vertical="center" wrapText="1"/>
    </xf>
    <xf numFmtId="0" fontId="20" fillId="0" borderId="0" xfId="0" applyFont="1" applyBorder="1" applyAlignment="1">
      <alignment vertical="center" wrapText="1"/>
    </xf>
    <xf numFmtId="6" fontId="16" fillId="51" borderId="190" xfId="0" applyNumberFormat="1" applyFont="1" applyFill="1" applyBorder="1" applyAlignment="1">
      <alignment horizontal="center" vertical="center"/>
    </xf>
    <xf numFmtId="6" fontId="16" fillId="0" borderId="190" xfId="0" applyNumberFormat="1" applyFont="1" applyFill="1" applyBorder="1" applyAlignment="1">
      <alignment vertical="center"/>
    </xf>
    <xf numFmtId="6" fontId="16" fillId="0" borderId="190" xfId="0" applyNumberFormat="1" applyFont="1" applyBorder="1" applyAlignment="1">
      <alignment vertical="center"/>
    </xf>
    <xf numFmtId="0" fontId="16" fillId="39" borderId="0" xfId="0" applyFont="1" applyFill="1" applyAlignment="1">
      <alignment vertical="center"/>
    </xf>
    <xf numFmtId="3" fontId="16" fillId="0" borderId="190" xfId="0" applyNumberFormat="1" applyFont="1" applyFill="1" applyBorder="1" applyAlignment="1">
      <alignment vertical="center"/>
    </xf>
    <xf numFmtId="6" fontId="16" fillId="37" borderId="190" xfId="0" applyNumberFormat="1" applyFont="1" applyFill="1" applyBorder="1" applyAlignment="1">
      <alignment vertical="center"/>
    </xf>
    <xf numFmtId="0" fontId="120" fillId="0" borderId="415" xfId="0" applyFont="1" applyFill="1" applyBorder="1" applyAlignment="1">
      <alignment horizontal="left" vertical="center" wrapText="1"/>
    </xf>
    <xf numFmtId="38" fontId="16" fillId="0" borderId="415" xfId="0" applyNumberFormat="1" applyFont="1" applyFill="1" applyBorder="1" applyAlignment="1">
      <alignment vertical="center" wrapText="1"/>
    </xf>
    <xf numFmtId="6" fontId="16" fillId="0" borderId="415" xfId="0" applyNumberFormat="1" applyFont="1" applyBorder="1" applyAlignment="1">
      <alignment vertical="center"/>
    </xf>
    <xf numFmtId="6" fontId="16" fillId="0" borderId="415" xfId="0" applyNumberFormat="1" applyFont="1" applyFill="1" applyBorder="1" applyAlignment="1">
      <alignment vertical="center"/>
    </xf>
    <xf numFmtId="6" fontId="16" fillId="37" borderId="415" xfId="0" applyNumberFormat="1" applyFont="1" applyFill="1" applyBorder="1" applyAlignment="1">
      <alignment vertical="center"/>
    </xf>
    <xf numFmtId="6" fontId="16" fillId="35" borderId="415" xfId="0" applyNumberFormat="1" applyFont="1" applyFill="1" applyBorder="1" applyAlignment="1">
      <alignment vertical="center"/>
    </xf>
    <xf numFmtId="38" fontId="16" fillId="0" borderId="415" xfId="0" applyNumberFormat="1" applyFont="1" applyFill="1" applyBorder="1" applyAlignment="1">
      <alignment vertical="center"/>
    </xf>
    <xf numFmtId="3" fontId="20" fillId="0" borderId="13" xfId="0" applyNumberFormat="1" applyFont="1" applyFill="1" applyBorder="1" applyAlignment="1">
      <alignment vertical="center"/>
    </xf>
    <xf numFmtId="6" fontId="20" fillId="0" borderId="13" xfId="0" applyNumberFormat="1" applyFont="1" applyBorder="1" applyAlignment="1">
      <alignment vertical="center"/>
    </xf>
    <xf numFmtId="6" fontId="20" fillId="0" borderId="13" xfId="0" applyNumberFormat="1" applyFont="1" applyFill="1" applyBorder="1" applyAlignment="1">
      <alignment vertical="center"/>
    </xf>
    <xf numFmtId="6" fontId="20" fillId="37" borderId="13" xfId="0" applyNumberFormat="1" applyFont="1" applyFill="1" applyBorder="1" applyAlignment="1">
      <alignment vertical="center"/>
    </xf>
    <xf numFmtId="38" fontId="20" fillId="0" borderId="312" xfId="0" applyNumberFormat="1" applyFont="1" applyFill="1" applyBorder="1" applyAlignment="1">
      <alignment vertical="center"/>
    </xf>
    <xf numFmtId="6" fontId="20" fillId="0" borderId="312" xfId="0" applyNumberFormat="1" applyFont="1" applyFill="1" applyBorder="1" applyAlignment="1">
      <alignment vertical="center"/>
    </xf>
    <xf numFmtId="0" fontId="20" fillId="0" borderId="0" xfId="0" applyFont="1" applyAlignment="1">
      <alignment vertical="center"/>
    </xf>
    <xf numFmtId="6" fontId="20" fillId="0" borderId="26" xfId="0" applyNumberFormat="1" applyFont="1" applyBorder="1" applyAlignment="1">
      <alignment vertical="center"/>
    </xf>
    <xf numFmtId="6" fontId="20" fillId="35" borderId="26" xfId="0" applyNumberFormat="1" applyFont="1" applyFill="1" applyBorder="1" applyAlignment="1">
      <alignment vertical="center"/>
    </xf>
    <xf numFmtId="3" fontId="20" fillId="0" borderId="12" xfId="0" applyNumberFormat="1" applyFont="1" applyFill="1" applyBorder="1" applyAlignment="1">
      <alignment vertical="center"/>
    </xf>
    <xf numFmtId="8" fontId="20" fillId="0" borderId="12" xfId="0" applyNumberFormat="1" applyFont="1" applyBorder="1" applyAlignment="1">
      <alignment vertical="center"/>
    </xf>
    <xf numFmtId="165" fontId="20" fillId="0" borderId="12" xfId="0" applyNumberFormat="1" applyFont="1" applyBorder="1" applyAlignment="1">
      <alignment vertical="center"/>
    </xf>
    <xf numFmtId="6" fontId="20" fillId="0" borderId="12" xfId="0" applyNumberFormat="1" applyFont="1" applyFill="1" applyBorder="1" applyAlignment="1">
      <alignment vertical="center"/>
    </xf>
    <xf numFmtId="6" fontId="20" fillId="37" borderId="12" xfId="0" applyNumberFormat="1" applyFont="1" applyFill="1" applyBorder="1" applyAlignment="1">
      <alignment vertical="center"/>
    </xf>
    <xf numFmtId="1" fontId="27" fillId="26" borderId="489" xfId="0" applyNumberFormat="1" applyFont="1" applyFill="1" applyBorder="1" applyAlignment="1" applyProtection="1">
      <alignment horizontal="center"/>
    </xf>
    <xf numFmtId="1" fontId="93" fillId="26" borderId="489" xfId="53" applyNumberFormat="1" applyFont="1" applyFill="1" applyBorder="1" applyAlignment="1" applyProtection="1">
      <alignment horizontal="center"/>
    </xf>
    <xf numFmtId="1" fontId="27" fillId="26" borderId="465" xfId="53" quotePrefix="1" applyNumberFormat="1" applyFont="1" applyFill="1" applyBorder="1" applyAlignment="1" applyProtection="1">
      <alignment horizontal="center"/>
    </xf>
    <xf numFmtId="165" fontId="33" fillId="0" borderId="211" xfId="54" applyNumberFormat="1" applyFont="1" applyFill="1" applyBorder="1" applyAlignment="1" applyProtection="1">
      <alignment horizontal="right"/>
    </xf>
    <xf numFmtId="6" fontId="33" fillId="0" borderId="498" xfId="54" applyNumberFormat="1" applyFont="1" applyFill="1" applyBorder="1" applyAlignment="1" applyProtection="1">
      <alignment horizontal="right"/>
    </xf>
    <xf numFmtId="6" fontId="20" fillId="0" borderId="110" xfId="53" applyNumberFormat="1" applyFont="1" applyFill="1" applyBorder="1" applyAlignment="1" applyProtection="1">
      <alignment horizontal="right"/>
    </xf>
    <xf numFmtId="1" fontId="93" fillId="26" borderId="468" xfId="53" applyNumberFormat="1" applyFont="1" applyFill="1" applyBorder="1" applyAlignment="1" applyProtection="1">
      <alignment horizontal="center"/>
    </xf>
    <xf numFmtId="6" fontId="16" fillId="0" borderId="159" xfId="53" applyNumberFormat="1" applyFont="1" applyFill="1" applyBorder="1" applyAlignment="1" applyProtection="1">
      <alignment horizontal="right"/>
    </xf>
    <xf numFmtId="6" fontId="16" fillId="0" borderId="160" xfId="53" applyNumberFormat="1" applyFont="1" applyFill="1" applyBorder="1" applyAlignment="1" applyProtection="1">
      <alignment horizontal="right"/>
    </xf>
    <xf numFmtId="6" fontId="16" fillId="0" borderId="501" xfId="53" applyNumberFormat="1" applyFont="1" applyFill="1" applyBorder="1" applyAlignment="1" applyProtection="1">
      <alignment horizontal="right"/>
    </xf>
    <xf numFmtId="6" fontId="33" fillId="35" borderId="482" xfId="54" applyNumberFormat="1" applyFont="1" applyFill="1" applyBorder="1" applyAlignment="1" applyProtection="1">
      <alignment horizontal="right"/>
    </xf>
    <xf numFmtId="6" fontId="33" fillId="0" borderId="482" xfId="54" applyNumberFormat="1" applyFont="1" applyFill="1" applyBorder="1" applyAlignment="1" applyProtection="1">
      <alignment horizontal="right"/>
    </xf>
    <xf numFmtId="0" fontId="18" fillId="0" borderId="45" xfId="0" applyFont="1" applyBorder="1" applyAlignment="1">
      <alignment horizontal="center"/>
    </xf>
    <xf numFmtId="0" fontId="18" fillId="0" borderId="45" xfId="0" quotePrefix="1" applyFont="1" applyBorder="1" applyAlignment="1">
      <alignment horizontal="center"/>
    </xf>
    <xf numFmtId="6" fontId="16" fillId="38" borderId="104" xfId="53" applyNumberFormat="1" applyFont="1" applyFill="1" applyBorder="1" applyAlignment="1" applyProtection="1">
      <alignment horizontal="right"/>
    </xf>
    <xf numFmtId="6" fontId="16" fillId="38" borderId="209" xfId="53" applyNumberFormat="1" applyFont="1" applyFill="1" applyBorder="1" applyAlignment="1" applyProtection="1">
      <alignment horizontal="right"/>
    </xf>
    <xf numFmtId="6" fontId="16" fillId="38" borderId="210" xfId="53" applyNumberFormat="1" applyFont="1" applyFill="1" applyBorder="1" applyAlignment="1" applyProtection="1">
      <alignment horizontal="right"/>
    </xf>
    <xf numFmtId="0" fontId="33" fillId="37" borderId="488" xfId="253" applyFont="1" applyFill="1" applyBorder="1" applyAlignment="1">
      <alignment horizontal="center" vertical="center" wrapText="1"/>
    </xf>
    <xf numFmtId="0" fontId="33" fillId="37" borderId="380" xfId="0" applyFont="1" applyFill="1" applyBorder="1" applyAlignment="1">
      <alignment horizontal="center" vertical="center" wrapText="1"/>
    </xf>
    <xf numFmtId="170" fontId="33" fillId="35" borderId="502" xfId="54" applyNumberFormat="1" applyFont="1" applyFill="1" applyBorder="1" applyAlignment="1" applyProtection="1">
      <alignment horizontal="right"/>
    </xf>
    <xf numFmtId="165" fontId="33" fillId="0" borderId="503" xfId="54" applyNumberFormat="1" applyFont="1" applyFill="1" applyBorder="1" applyAlignment="1" applyProtection="1">
      <alignment horizontal="right"/>
    </xf>
    <xf numFmtId="165" fontId="33" fillId="35" borderId="503" xfId="54" applyNumberFormat="1" applyFont="1" applyFill="1" applyBorder="1" applyAlignment="1" applyProtection="1">
      <alignment horizontal="right"/>
    </xf>
    <xf numFmtId="165" fontId="33" fillId="37" borderId="503" xfId="54" applyNumberFormat="1" applyFont="1" applyFill="1" applyBorder="1" applyAlignment="1" applyProtection="1">
      <alignment horizontal="right"/>
    </xf>
    <xf numFmtId="6" fontId="33" fillId="35" borderId="503" xfId="54" applyNumberFormat="1" applyFont="1" applyFill="1" applyBorder="1" applyAlignment="1" applyProtection="1">
      <alignment horizontal="right"/>
    </xf>
    <xf numFmtId="165" fontId="20" fillId="0" borderId="497" xfId="53" applyNumberFormat="1" applyFont="1" applyFill="1" applyBorder="1" applyAlignment="1" applyProtection="1">
      <alignment horizontal="right"/>
    </xf>
    <xf numFmtId="6" fontId="33" fillId="35" borderId="502" xfId="54" applyNumberFormat="1" applyFont="1" applyFill="1" applyBorder="1" applyAlignment="1" applyProtection="1">
      <alignment horizontal="right"/>
    </xf>
    <xf numFmtId="170" fontId="33" fillId="0" borderId="502" xfId="54" applyNumberFormat="1" applyFont="1" applyFill="1" applyBorder="1" applyAlignment="1" applyProtection="1">
      <alignment horizontal="right"/>
    </xf>
    <xf numFmtId="6" fontId="33" fillId="0" borderId="503" xfId="54" applyNumberFormat="1" applyFont="1" applyFill="1" applyBorder="1" applyAlignment="1" applyProtection="1">
      <alignment horizontal="right"/>
    </xf>
    <xf numFmtId="169" fontId="33" fillId="0" borderId="502" xfId="54" applyNumberFormat="1" applyFont="1" applyFill="1" applyBorder="1" applyAlignment="1" applyProtection="1">
      <alignment horizontal="right"/>
    </xf>
    <xf numFmtId="6" fontId="33" fillId="0" borderId="502" xfId="54" applyNumberFormat="1" applyFont="1" applyFill="1" applyBorder="1" applyAlignment="1" applyProtection="1">
      <alignment horizontal="right"/>
    </xf>
    <xf numFmtId="165" fontId="33" fillId="0" borderId="502" xfId="54" applyNumberFormat="1" applyFont="1" applyFill="1" applyBorder="1" applyAlignment="1" applyProtection="1">
      <alignment horizontal="right"/>
    </xf>
    <xf numFmtId="38" fontId="33" fillId="0" borderId="502" xfId="54" applyNumberFormat="1" applyFont="1" applyFill="1" applyBorder="1" applyAlignment="1" applyProtection="1">
      <alignment horizontal="right"/>
    </xf>
    <xf numFmtId="6" fontId="20" fillId="0" borderId="497" xfId="53" applyNumberFormat="1" applyFont="1" applyFill="1" applyBorder="1" applyAlignment="1" applyProtection="1">
      <alignment horizontal="right"/>
    </xf>
    <xf numFmtId="38" fontId="33" fillId="0" borderId="502" xfId="28" applyNumberFormat="1" applyFont="1" applyFill="1" applyBorder="1" applyAlignment="1" applyProtection="1">
      <alignment horizontal="right"/>
    </xf>
    <xf numFmtId="0" fontId="33" fillId="37" borderId="488" xfId="253" quotePrefix="1" applyFont="1" applyFill="1" applyBorder="1" applyAlignment="1">
      <alignment horizontal="center" vertical="center" wrapText="1"/>
    </xf>
    <xf numFmtId="0" fontId="33" fillId="37" borderId="415" xfId="253" quotePrefix="1" applyFont="1" applyFill="1" applyBorder="1" applyAlignment="1">
      <alignment vertical="center" wrapText="1"/>
    </xf>
    <xf numFmtId="8" fontId="33" fillId="52" borderId="488" xfId="64" applyNumberFormat="1" applyFont="1" applyFill="1" applyBorder="1" applyAlignment="1">
      <alignment horizontal="center" vertical="center" wrapText="1"/>
    </xf>
    <xf numFmtId="6" fontId="20" fillId="37" borderId="415" xfId="253" applyNumberFormat="1" applyFont="1" applyFill="1" applyBorder="1"/>
    <xf numFmtId="0" fontId="16" fillId="28" borderId="494" xfId="64" applyFont="1" applyFill="1" applyBorder="1" applyAlignment="1">
      <alignment horizontal="center"/>
    </xf>
    <xf numFmtId="0" fontId="16" fillId="0" borderId="415" xfId="253" applyFont="1" applyFill="1" applyBorder="1" applyAlignment="1">
      <alignment horizontal="left" wrapText="1"/>
    </xf>
    <xf numFmtId="0" fontId="16" fillId="0" borderId="415" xfId="253" applyFont="1" applyFill="1" applyBorder="1" applyAlignment="1">
      <alignment horizontal="left"/>
    </xf>
    <xf numFmtId="6" fontId="20" fillId="37" borderId="489" xfId="253" applyNumberFormat="1" applyFont="1" applyFill="1" applyBorder="1"/>
    <xf numFmtId="5" fontId="16" fillId="0" borderId="489" xfId="64" applyNumberFormat="1" applyFont="1" applyFill="1" applyBorder="1" applyProtection="1"/>
    <xf numFmtId="5" fontId="20" fillId="33" borderId="489" xfId="64" applyNumberFormat="1" applyFont="1" applyFill="1" applyBorder="1" applyProtection="1"/>
    <xf numFmtId="0" fontId="33" fillId="28" borderId="490" xfId="64" applyFont="1" applyFill="1" applyBorder="1" applyAlignment="1" applyProtection="1">
      <alignment horizontal="left"/>
    </xf>
    <xf numFmtId="0" fontId="16" fillId="26" borderId="13" xfId="0" applyFont="1" applyFill="1" applyBorder="1" applyAlignment="1">
      <alignment horizontal="center" vertical="center"/>
    </xf>
    <xf numFmtId="0" fontId="16" fillId="26" borderId="26" xfId="0" applyFont="1" applyFill="1" applyBorder="1" applyAlignment="1">
      <alignment horizontal="center" vertical="center"/>
    </xf>
    <xf numFmtId="0" fontId="16" fillId="26" borderId="26" xfId="0" applyFont="1" applyFill="1" applyBorder="1" applyAlignment="1">
      <alignment horizontal="center" vertical="center" wrapText="1"/>
    </xf>
    <xf numFmtId="6" fontId="16" fillId="0" borderId="369" xfId="0" applyNumberFormat="1" applyFont="1" applyFill="1" applyBorder="1" applyAlignment="1">
      <alignment horizontal="right"/>
    </xf>
    <xf numFmtId="6" fontId="16" fillId="0" borderId="369" xfId="0" applyNumberFormat="1" applyFont="1" applyFill="1" applyBorder="1" applyAlignment="1">
      <alignment horizontal="right" wrapText="1"/>
    </xf>
    <xf numFmtId="6" fontId="0" fillId="0" borderId="415" xfId="0" applyNumberFormat="1" applyFill="1" applyBorder="1"/>
    <xf numFmtId="6" fontId="33" fillId="0" borderId="505" xfId="0" applyNumberFormat="1" applyFont="1" applyFill="1" applyBorder="1"/>
    <xf numFmtId="38" fontId="16" fillId="35" borderId="187" xfId="53" applyNumberFormat="1" applyFont="1" applyFill="1" applyBorder="1" applyAlignment="1">
      <alignment horizontal="right"/>
    </xf>
    <xf numFmtId="6" fontId="16" fillId="35" borderId="187" xfId="53" applyNumberFormat="1" applyFont="1" applyFill="1" applyBorder="1" applyAlignment="1">
      <alignment horizontal="right"/>
    </xf>
    <xf numFmtId="6" fontId="16" fillId="0" borderId="187" xfId="53" applyNumberFormat="1" applyFont="1" applyBorder="1" applyAlignment="1">
      <alignment horizontal="right"/>
    </xf>
    <xf numFmtId="6" fontId="16" fillId="0" borderId="310" xfId="53" applyNumberFormat="1" applyFont="1" applyBorder="1" applyAlignment="1">
      <alignment horizontal="right"/>
    </xf>
    <xf numFmtId="6" fontId="16" fillId="0" borderId="187" xfId="53" applyNumberFormat="1" applyFont="1" applyBorder="1" applyAlignment="1">
      <alignment horizontal="right" wrapText="1"/>
    </xf>
    <xf numFmtId="6" fontId="16" fillId="0" borderId="187" xfId="53" applyNumberFormat="1" applyFont="1" applyFill="1" applyBorder="1" applyAlignment="1">
      <alignment horizontal="right"/>
    </xf>
    <xf numFmtId="6" fontId="16" fillId="0" borderId="312" xfId="53" applyNumberFormat="1" applyFont="1" applyFill="1" applyBorder="1" applyAlignment="1">
      <alignment horizontal="right"/>
    </xf>
    <xf numFmtId="38" fontId="16" fillId="49" borderId="187" xfId="53" applyNumberFormat="1" applyFont="1" applyFill="1" applyBorder="1" applyAlignment="1">
      <alignment horizontal="right"/>
    </xf>
    <xf numFmtId="6" fontId="16" fillId="49" borderId="187" xfId="53" applyNumberFormat="1" applyFont="1" applyFill="1" applyBorder="1" applyAlignment="1">
      <alignment horizontal="right"/>
    </xf>
    <xf numFmtId="6" fontId="16" fillId="49" borderId="310" xfId="53" applyNumberFormat="1" applyFont="1" applyFill="1" applyBorder="1" applyAlignment="1">
      <alignment horizontal="right"/>
    </xf>
    <xf numFmtId="6" fontId="16" fillId="49" borderId="187" xfId="53" applyNumberFormat="1" applyFont="1" applyFill="1" applyBorder="1" applyAlignment="1">
      <alignment horizontal="right" wrapText="1"/>
    </xf>
    <xf numFmtId="6" fontId="16" fillId="49" borderId="312" xfId="53" applyNumberFormat="1" applyFont="1" applyFill="1" applyBorder="1" applyAlignment="1">
      <alignment horizontal="right"/>
    </xf>
    <xf numFmtId="38" fontId="16" fillId="0" borderId="187" xfId="53" applyNumberFormat="1" applyFont="1" applyFill="1" applyBorder="1" applyAlignment="1">
      <alignment horizontal="right"/>
    </xf>
    <xf numFmtId="38" fontId="20" fillId="0" borderId="187" xfId="53" applyNumberFormat="1" applyFont="1" applyBorder="1" applyAlignment="1">
      <alignment horizontal="right"/>
    </xf>
    <xf numFmtId="6" fontId="20" fillId="0" borderId="187" xfId="53" applyNumberFormat="1" applyFont="1" applyBorder="1" applyAlignment="1">
      <alignment horizontal="right"/>
    </xf>
    <xf numFmtId="6" fontId="20" fillId="0" borderId="187" xfId="53" applyNumberFormat="1" applyFont="1" applyFill="1" applyBorder="1" applyAlignment="1">
      <alignment horizontal="right"/>
    </xf>
    <xf numFmtId="0" fontId="20" fillId="0" borderId="0" xfId="53" quotePrefix="1" applyFont="1" applyFill="1" applyBorder="1" applyAlignment="1">
      <alignment horizontal="left" wrapText="1"/>
    </xf>
    <xf numFmtId="6" fontId="20" fillId="0" borderId="310" xfId="53" applyNumberFormat="1" applyFont="1" applyBorder="1" applyAlignment="1">
      <alignment horizontal="right"/>
    </xf>
    <xf numFmtId="6" fontId="20" fillId="0" borderId="312" xfId="53" applyNumberFormat="1" applyFont="1" applyBorder="1" applyAlignment="1">
      <alignment horizontal="right"/>
    </xf>
    <xf numFmtId="0" fontId="16" fillId="0" borderId="0" xfId="53" applyFont="1"/>
    <xf numFmtId="6" fontId="16" fillId="0" borderId="507" xfId="53" applyNumberFormat="1" applyFont="1" applyFill="1" applyBorder="1" applyAlignment="1">
      <alignment horizontal="right"/>
    </xf>
    <xf numFmtId="6" fontId="16" fillId="49" borderId="507" xfId="53" applyNumberFormat="1" applyFont="1" applyFill="1" applyBorder="1" applyAlignment="1">
      <alignment horizontal="right"/>
    </xf>
    <xf numFmtId="6" fontId="20" fillId="0" borderId="507" xfId="53" applyNumberFormat="1" applyFont="1" applyFill="1" applyBorder="1" applyAlignment="1">
      <alignment horizontal="right"/>
    </xf>
    <xf numFmtId="6" fontId="20" fillId="0" borderId="507" xfId="53" applyNumberFormat="1" applyFont="1" applyBorder="1" applyAlignment="1">
      <alignment horizontal="right"/>
    </xf>
    <xf numFmtId="1" fontId="27" fillId="26" borderId="0" xfId="0" applyNumberFormat="1" applyFont="1" applyFill="1" applyBorder="1" applyAlignment="1" applyProtection="1">
      <alignment horizontal="center"/>
    </xf>
    <xf numFmtId="0" fontId="96" fillId="0" borderId="0" xfId="0" applyFont="1" applyAlignment="1">
      <alignment horizontal="left"/>
    </xf>
    <xf numFmtId="0" fontId="20" fillId="0" borderId="0" xfId="0" applyFont="1" applyBorder="1" applyAlignment="1">
      <alignment horizontal="left" wrapText="1"/>
    </xf>
    <xf numFmtId="6" fontId="33" fillId="36" borderId="460" xfId="0" applyNumberFormat="1" applyFont="1" applyFill="1" applyBorder="1" applyAlignment="1">
      <alignment horizontal="center" vertical="center" wrapText="1"/>
    </xf>
    <xf numFmtId="3" fontId="33" fillId="35" borderId="73" xfId="54" applyNumberFormat="1" applyFont="1" applyFill="1" applyBorder="1" applyAlignment="1" applyProtection="1">
      <alignment horizontal="right"/>
    </xf>
    <xf numFmtId="3" fontId="33" fillId="0" borderId="502" xfId="54" applyNumberFormat="1" applyFont="1" applyFill="1" applyBorder="1" applyAlignment="1" applyProtection="1">
      <alignment horizontal="right"/>
    </xf>
    <xf numFmtId="0" fontId="33" fillId="25" borderId="189" xfId="0" applyFont="1" applyFill="1" applyBorder="1" applyAlignment="1" applyProtection="1">
      <alignment horizontal="center" vertical="center" wrapText="1"/>
    </xf>
    <xf numFmtId="0" fontId="33" fillId="25" borderId="0" xfId="0" applyFont="1" applyFill="1" applyBorder="1" applyAlignment="1" applyProtection="1">
      <alignment horizontal="center" vertical="center" wrapText="1"/>
    </xf>
    <xf numFmtId="1" fontId="16" fillId="26" borderId="507" xfId="64" applyNumberFormat="1" applyFont="1" applyFill="1" applyBorder="1" applyAlignment="1" applyProtection="1">
      <alignment horizontal="center"/>
    </xf>
    <xf numFmtId="0" fontId="16" fillId="0" borderId="59" xfId="64" applyFont="1" applyFill="1" applyBorder="1" applyAlignment="1" applyProtection="1">
      <alignment horizontal="center"/>
    </xf>
    <xf numFmtId="0" fontId="16" fillId="0" borderId="64" xfId="64" applyFont="1" applyFill="1" applyBorder="1" applyProtection="1"/>
    <xf numFmtId="0" fontId="20" fillId="0" borderId="502" xfId="64" applyFont="1" applyFill="1" applyBorder="1" applyAlignment="1" applyProtection="1">
      <alignment horizontal="center"/>
    </xf>
    <xf numFmtId="0" fontId="33" fillId="24" borderId="503" xfId="64" applyFont="1" applyFill="1" applyBorder="1" applyAlignment="1" applyProtection="1">
      <alignment horizontal="left"/>
    </xf>
    <xf numFmtId="5" fontId="30" fillId="0" borderId="12" xfId="64" applyNumberFormat="1" applyFont="1" applyFill="1" applyBorder="1" applyProtection="1"/>
    <xf numFmtId="5" fontId="33" fillId="33" borderId="12" xfId="64" applyNumberFormat="1" applyFont="1" applyFill="1" applyBorder="1" applyProtection="1"/>
    <xf numFmtId="5" fontId="33" fillId="0" borderId="12" xfId="64" applyNumberFormat="1" applyFont="1" applyFill="1" applyBorder="1" applyProtection="1"/>
    <xf numFmtId="0" fontId="16" fillId="0" borderId="502" xfId="64" applyFont="1" applyFill="1" applyBorder="1" applyAlignment="1" applyProtection="1">
      <alignment horizontal="center"/>
    </xf>
    <xf numFmtId="1" fontId="20" fillId="26" borderId="507" xfId="64" applyNumberFormat="1" applyFont="1" applyFill="1" applyBorder="1" applyProtection="1"/>
    <xf numFmtId="1" fontId="27" fillId="26" borderId="507" xfId="64" quotePrefix="1" applyNumberFormat="1" applyFont="1" applyFill="1" applyBorder="1" applyAlignment="1" applyProtection="1">
      <alignment horizontal="center"/>
    </xf>
    <xf numFmtId="5" fontId="20" fillId="37" borderId="415" xfId="64" applyNumberFormat="1" applyFont="1" applyFill="1" applyBorder="1" applyProtection="1"/>
    <xf numFmtId="0" fontId="16" fillId="0" borderId="64" xfId="64" applyFont="1" applyFill="1" applyBorder="1" applyAlignment="1" applyProtection="1">
      <alignment wrapText="1"/>
    </xf>
    <xf numFmtId="0" fontId="16" fillId="26" borderId="507" xfId="53" applyFont="1" applyFill="1" applyBorder="1" applyAlignment="1">
      <alignment horizontal="center" vertical="center"/>
    </xf>
    <xf numFmtId="0" fontId="16" fillId="26" borderId="507" xfId="53" applyFont="1" applyFill="1" applyBorder="1" applyAlignment="1">
      <alignment horizontal="center" vertical="center" wrapText="1"/>
    </xf>
    <xf numFmtId="1" fontId="18" fillId="26" borderId="507" xfId="0" applyNumberFormat="1" applyFont="1" applyFill="1" applyBorder="1" applyAlignment="1" applyProtection="1">
      <alignment horizontal="center"/>
    </xf>
    <xf numFmtId="1" fontId="20" fillId="26" borderId="507" xfId="0" applyNumberFormat="1" applyFont="1" applyFill="1" applyBorder="1" applyAlignment="1" applyProtection="1">
      <alignment horizontal="center"/>
    </xf>
    <xf numFmtId="1" fontId="27" fillId="26" borderId="507" xfId="0" quotePrefix="1" applyNumberFormat="1" applyFont="1" applyFill="1" applyBorder="1" applyAlignment="1" applyProtection="1">
      <alignment horizontal="center"/>
    </xf>
    <xf numFmtId="1" fontId="18" fillId="26" borderId="190" xfId="0" applyNumberFormat="1" applyFont="1" applyFill="1" applyBorder="1" applyAlignment="1" applyProtection="1">
      <alignment horizontal="center"/>
    </xf>
    <xf numFmtId="1" fontId="20" fillId="26" borderId="190" xfId="0" applyNumberFormat="1" applyFont="1" applyFill="1" applyBorder="1" applyAlignment="1" applyProtection="1">
      <alignment horizontal="center"/>
    </xf>
    <xf numFmtId="1" fontId="27" fillId="26" borderId="190" xfId="0" applyNumberFormat="1" applyFont="1" applyFill="1" applyBorder="1" applyAlignment="1" applyProtection="1">
      <alignment horizontal="center"/>
    </xf>
    <xf numFmtId="1" fontId="27" fillId="26" borderId="190" xfId="0" applyNumberFormat="1" applyFont="1" applyFill="1" applyBorder="1" applyAlignment="1" applyProtection="1">
      <alignment horizontal="center" wrapText="1"/>
    </xf>
    <xf numFmtId="1" fontId="27" fillId="26" borderId="45" xfId="0" applyNumberFormat="1" applyFont="1" applyFill="1" applyBorder="1" applyAlignment="1" applyProtection="1">
      <alignment horizontal="center"/>
    </xf>
    <xf numFmtId="1" fontId="27" fillId="26" borderId="45" xfId="0" applyNumberFormat="1" applyFont="1" applyFill="1" applyBorder="1" applyAlignment="1" applyProtection="1">
      <alignment horizontal="center" wrapText="1"/>
    </xf>
    <xf numFmtId="0" fontId="18" fillId="0" borderId="59" xfId="0" applyFont="1" applyFill="1" applyBorder="1" applyProtection="1"/>
    <xf numFmtId="0" fontId="18" fillId="0" borderId="516" xfId="0" applyFont="1" applyFill="1" applyBorder="1" applyProtection="1"/>
    <xf numFmtId="170" fontId="18" fillId="35" borderId="516" xfId="30" applyNumberFormat="1" applyFont="1" applyFill="1" applyBorder="1" applyAlignment="1" applyProtection="1">
      <alignment horizontal="right"/>
    </xf>
    <xf numFmtId="165" fontId="18" fillId="0" borderId="454" xfId="30" applyNumberFormat="1" applyFont="1" applyFill="1" applyBorder="1" applyAlignment="1" applyProtection="1">
      <alignment horizontal="right"/>
    </xf>
    <xf numFmtId="6" fontId="18" fillId="0" borderId="454" xfId="30" applyNumberFormat="1" applyFont="1" applyFill="1" applyBorder="1" applyAlignment="1" applyProtection="1">
      <alignment horizontal="right"/>
    </xf>
    <xf numFmtId="165" fontId="18" fillId="0" borderId="500" xfId="0" applyNumberFormat="1" applyFont="1" applyFill="1" applyBorder="1" applyAlignment="1" applyProtection="1">
      <alignment horizontal="right"/>
    </xf>
    <xf numFmtId="3" fontId="18" fillId="35" borderId="516" xfId="30" applyNumberFormat="1" applyFont="1" applyFill="1" applyBorder="1" applyAlignment="1" applyProtection="1">
      <alignment horizontal="right"/>
    </xf>
    <xf numFmtId="165" fontId="18" fillId="0" borderId="516" xfId="0" applyNumberFormat="1" applyFont="1" applyFill="1" applyBorder="1" applyAlignment="1" applyProtection="1">
      <alignment horizontal="right"/>
    </xf>
    <xf numFmtId="6" fontId="18" fillId="0" borderId="516" xfId="0" applyNumberFormat="1" applyFont="1" applyFill="1" applyBorder="1" applyAlignment="1" applyProtection="1">
      <alignment horizontal="right"/>
    </xf>
    <xf numFmtId="0" fontId="18" fillId="0" borderId="518" xfId="0" applyFont="1" applyFill="1" applyBorder="1" applyProtection="1"/>
    <xf numFmtId="170" fontId="18" fillId="35" borderId="518" xfId="30" applyNumberFormat="1" applyFont="1" applyFill="1" applyBorder="1" applyAlignment="1" applyProtection="1">
      <alignment horizontal="right"/>
    </xf>
    <xf numFmtId="165" fontId="18" fillId="0" borderId="519" xfId="30" applyNumberFormat="1" applyFont="1" applyFill="1" applyBorder="1" applyAlignment="1" applyProtection="1">
      <alignment horizontal="right"/>
    </xf>
    <xf numFmtId="6" fontId="18" fillId="0" borderId="519" xfId="30" applyNumberFormat="1" applyFont="1" applyFill="1" applyBorder="1" applyAlignment="1" applyProtection="1">
      <alignment horizontal="right"/>
    </xf>
    <xf numFmtId="165" fontId="16" fillId="0" borderId="519" xfId="30" applyNumberFormat="1" applyFont="1" applyFill="1" applyBorder="1" applyAlignment="1" applyProtection="1">
      <alignment horizontal="right"/>
    </xf>
    <xf numFmtId="165" fontId="18" fillId="0" borderId="517" xfId="0" applyNumberFormat="1" applyFont="1" applyFill="1" applyBorder="1" applyAlignment="1" applyProtection="1">
      <alignment horizontal="right"/>
    </xf>
    <xf numFmtId="3" fontId="18" fillId="35" borderId="518" xfId="30" applyNumberFormat="1" applyFont="1" applyFill="1" applyBorder="1" applyAlignment="1" applyProtection="1">
      <alignment horizontal="right"/>
    </xf>
    <xf numFmtId="165" fontId="18" fillId="0" borderId="518" xfId="0" applyNumberFormat="1" applyFont="1" applyFill="1" applyBorder="1" applyAlignment="1" applyProtection="1">
      <alignment horizontal="right"/>
    </xf>
    <xf numFmtId="6" fontId="18" fillId="0" borderId="518" xfId="0" applyNumberFormat="1" applyFont="1" applyFill="1" applyBorder="1" applyAlignment="1" applyProtection="1">
      <alignment horizontal="right"/>
    </xf>
    <xf numFmtId="0" fontId="18" fillId="0" borderId="521" xfId="0" applyFont="1" applyFill="1" applyBorder="1" applyProtection="1"/>
    <xf numFmtId="170" fontId="18" fillId="35" borderId="521" xfId="30" applyNumberFormat="1" applyFont="1" applyFill="1" applyBorder="1" applyAlignment="1" applyProtection="1">
      <alignment horizontal="right"/>
    </xf>
    <xf numFmtId="165" fontId="18" fillId="0" borderId="522" xfId="30" applyNumberFormat="1" applyFont="1" applyFill="1" applyBorder="1" applyAlignment="1" applyProtection="1">
      <alignment horizontal="right"/>
    </xf>
    <xf numFmtId="6" fontId="18" fillId="0" borderId="522" xfId="30" applyNumberFormat="1" applyFont="1" applyFill="1" applyBorder="1" applyAlignment="1" applyProtection="1">
      <alignment horizontal="right"/>
    </xf>
    <xf numFmtId="165" fontId="18" fillId="0" borderId="520" xfId="0" applyNumberFormat="1" applyFont="1" applyFill="1" applyBorder="1" applyAlignment="1" applyProtection="1">
      <alignment horizontal="right"/>
    </xf>
    <xf numFmtId="3" fontId="18" fillId="35" borderId="521" xfId="30" applyNumberFormat="1" applyFont="1" applyFill="1" applyBorder="1" applyAlignment="1" applyProtection="1">
      <alignment horizontal="right"/>
    </xf>
    <xf numFmtId="165" fontId="18" fillId="0" borderId="521" xfId="0" applyNumberFormat="1" applyFont="1" applyFill="1" applyBorder="1" applyAlignment="1" applyProtection="1">
      <alignment horizontal="right"/>
    </xf>
    <xf numFmtId="6" fontId="18" fillId="0" borderId="521" xfId="0" applyNumberFormat="1" applyFont="1" applyFill="1" applyBorder="1" applyAlignment="1" applyProtection="1">
      <alignment horizontal="right"/>
    </xf>
    <xf numFmtId="1" fontId="18" fillId="0" borderId="509" xfId="0" applyNumberFormat="1" applyFont="1" applyBorder="1" applyAlignment="1">
      <alignment horizontal="center"/>
    </xf>
    <xf numFmtId="0" fontId="18" fillId="0" borderId="523" xfId="0" applyFont="1" applyFill="1" applyBorder="1" applyProtection="1"/>
    <xf numFmtId="0" fontId="18" fillId="0" borderId="524" xfId="0" applyFont="1" applyFill="1" applyBorder="1" applyProtection="1"/>
    <xf numFmtId="3" fontId="16" fillId="35" borderId="532" xfId="53" applyNumberFormat="1" applyFont="1" applyFill="1" applyBorder="1" applyAlignment="1" applyProtection="1">
      <alignment horizontal="right"/>
    </xf>
    <xf numFmtId="0" fontId="18" fillId="0" borderId="534" xfId="0" applyFont="1" applyFill="1" applyBorder="1" applyProtection="1"/>
    <xf numFmtId="1" fontId="16" fillId="26" borderId="507" xfId="53" applyNumberFormat="1" applyFont="1" applyFill="1" applyBorder="1" applyAlignment="1" applyProtection="1">
      <alignment horizontal="center"/>
    </xf>
    <xf numFmtId="1" fontId="20" fillId="26" borderId="507" xfId="53" applyNumberFormat="1" applyFont="1" applyFill="1" applyBorder="1" applyAlignment="1" applyProtection="1">
      <alignment horizontal="center"/>
    </xf>
    <xf numFmtId="1" fontId="27" fillId="26" borderId="507" xfId="53" quotePrefix="1" applyNumberFormat="1" applyFont="1" applyFill="1" applyBorder="1" applyAlignment="1" applyProtection="1">
      <alignment horizontal="center"/>
    </xf>
    <xf numFmtId="0" fontId="16" fillId="0" borderId="59" xfId="53" applyFont="1" applyFill="1" applyBorder="1" applyProtection="1"/>
    <xf numFmtId="0" fontId="16" fillId="0" borderId="516" xfId="53" applyFont="1" applyFill="1" applyBorder="1" applyProtection="1"/>
    <xf numFmtId="3" fontId="16" fillId="35" borderId="516" xfId="54" applyNumberFormat="1" applyFont="1" applyFill="1" applyBorder="1" applyAlignment="1" applyProtection="1">
      <alignment horizontal="right"/>
    </xf>
    <xf numFmtId="165" fontId="16" fillId="0" borderId="454" xfId="54" applyNumberFormat="1" applyFont="1" applyFill="1" applyBorder="1" applyAlignment="1" applyProtection="1">
      <alignment horizontal="right"/>
    </xf>
    <xf numFmtId="165" fontId="16" fillId="35" borderId="454" xfId="54" applyNumberFormat="1" applyFont="1" applyFill="1" applyBorder="1" applyAlignment="1" applyProtection="1">
      <alignment horizontal="right"/>
    </xf>
    <xf numFmtId="6" fontId="16" fillId="0" borderId="454" xfId="54" applyNumberFormat="1" applyFont="1" applyFill="1" applyBorder="1" applyAlignment="1" applyProtection="1">
      <alignment horizontal="right"/>
    </xf>
    <xf numFmtId="6" fontId="16" fillId="37" borderId="454" xfId="54" applyNumberFormat="1" applyFont="1" applyFill="1" applyBorder="1" applyAlignment="1" applyProtection="1">
      <alignment horizontal="right"/>
    </xf>
    <xf numFmtId="6" fontId="16" fillId="0" borderId="415" xfId="54" applyNumberFormat="1" applyFont="1" applyFill="1" applyBorder="1" applyAlignment="1" applyProtection="1">
      <alignment horizontal="right"/>
    </xf>
    <xf numFmtId="0" fontId="16" fillId="0" borderId="537" xfId="53" applyFont="1" applyFill="1" applyBorder="1" applyProtection="1"/>
    <xf numFmtId="0" fontId="16" fillId="0" borderId="538" xfId="53" applyFont="1" applyFill="1" applyBorder="1" applyProtection="1"/>
    <xf numFmtId="3" fontId="16" fillId="35" borderId="538" xfId="54" applyNumberFormat="1" applyFont="1" applyFill="1" applyBorder="1" applyAlignment="1" applyProtection="1">
      <alignment horizontal="right"/>
    </xf>
    <xf numFmtId="165" fontId="16" fillId="0" borderId="539" xfId="54" applyNumberFormat="1" applyFont="1" applyFill="1" applyBorder="1" applyAlignment="1" applyProtection="1">
      <alignment horizontal="right"/>
    </xf>
    <xf numFmtId="165" fontId="16" fillId="35" borderId="539" xfId="54" applyNumberFormat="1" applyFont="1" applyFill="1" applyBorder="1" applyAlignment="1" applyProtection="1">
      <alignment horizontal="right"/>
    </xf>
    <xf numFmtId="6" fontId="16" fillId="0" borderId="539" xfId="54" applyNumberFormat="1" applyFont="1" applyFill="1" applyBorder="1" applyAlignment="1" applyProtection="1">
      <alignment horizontal="right"/>
    </xf>
    <xf numFmtId="6" fontId="16" fillId="37" borderId="539" xfId="54" applyNumberFormat="1" applyFont="1" applyFill="1" applyBorder="1" applyAlignment="1" applyProtection="1">
      <alignment horizontal="right"/>
    </xf>
    <xf numFmtId="0" fontId="16" fillId="0" borderId="540" xfId="53" applyFont="1" applyFill="1" applyBorder="1" applyProtection="1"/>
    <xf numFmtId="0" fontId="16" fillId="0" borderId="541" xfId="53" applyFont="1" applyFill="1" applyBorder="1" applyProtection="1"/>
    <xf numFmtId="3" fontId="16" fillId="35" borderId="541" xfId="54" applyNumberFormat="1" applyFont="1" applyFill="1" applyBorder="1" applyAlignment="1" applyProtection="1">
      <alignment horizontal="right"/>
    </xf>
    <xf numFmtId="165" fontId="16" fillId="0" borderId="542" xfId="54" applyNumberFormat="1" applyFont="1" applyFill="1" applyBorder="1" applyAlignment="1" applyProtection="1">
      <alignment horizontal="right"/>
    </xf>
    <xf numFmtId="165" fontId="16" fillId="35" borderId="542" xfId="54" applyNumberFormat="1" applyFont="1" applyFill="1" applyBorder="1" applyAlignment="1" applyProtection="1">
      <alignment horizontal="right"/>
    </xf>
    <xf numFmtId="6" fontId="16" fillId="0" borderId="542" xfId="54" applyNumberFormat="1" applyFont="1" applyFill="1" applyBorder="1" applyAlignment="1" applyProtection="1">
      <alignment horizontal="right"/>
    </xf>
    <xf numFmtId="6" fontId="16" fillId="37" borderId="542" xfId="54" applyNumberFormat="1" applyFont="1" applyFill="1" applyBorder="1" applyAlignment="1" applyProtection="1">
      <alignment horizontal="right"/>
    </xf>
    <xf numFmtId="0" fontId="16" fillId="0" borderId="514" xfId="53" applyFont="1" applyFill="1" applyBorder="1" applyProtection="1"/>
    <xf numFmtId="0" fontId="16" fillId="0" borderId="39" xfId="53" applyFont="1" applyFill="1" applyBorder="1" applyProtection="1"/>
    <xf numFmtId="3" fontId="16" fillId="35" borderId="39" xfId="53" applyNumberFormat="1" applyFont="1" applyFill="1" applyBorder="1" applyAlignment="1" applyProtection="1">
      <alignment horizontal="right"/>
    </xf>
    <xf numFmtId="165" fontId="16" fillId="0" borderId="459" xfId="53" applyNumberFormat="1" applyFont="1" applyFill="1" applyBorder="1" applyAlignment="1" applyProtection="1">
      <alignment horizontal="right"/>
    </xf>
    <xf numFmtId="165" fontId="16" fillId="35" borderId="459" xfId="53" applyNumberFormat="1" applyFont="1" applyFill="1" applyBorder="1" applyAlignment="1" applyProtection="1">
      <alignment horizontal="right"/>
    </xf>
    <xf numFmtId="6" fontId="16" fillId="0" borderId="459" xfId="53" applyNumberFormat="1" applyFont="1" applyFill="1" applyBorder="1" applyAlignment="1" applyProtection="1">
      <alignment horizontal="right"/>
    </xf>
    <xf numFmtId="6" fontId="16" fillId="37" borderId="459" xfId="53" applyNumberFormat="1" applyFont="1" applyFill="1" applyBorder="1" applyAlignment="1" applyProtection="1">
      <alignment horizontal="right"/>
    </xf>
    <xf numFmtId="3" fontId="16" fillId="35" borderId="538" xfId="53" applyNumberFormat="1" applyFont="1" applyFill="1" applyBorder="1" applyAlignment="1" applyProtection="1">
      <alignment horizontal="right"/>
    </xf>
    <xf numFmtId="165" fontId="16" fillId="0" borderId="539" xfId="53" applyNumberFormat="1" applyFont="1" applyFill="1" applyBorder="1" applyAlignment="1" applyProtection="1">
      <alignment horizontal="right"/>
    </xf>
    <xf numFmtId="165" fontId="16" fillId="35" borderId="539" xfId="53" applyNumberFormat="1" applyFont="1" applyFill="1" applyBorder="1" applyAlignment="1" applyProtection="1">
      <alignment horizontal="right"/>
    </xf>
    <xf numFmtId="6" fontId="16" fillId="0" borderId="539" xfId="53" applyNumberFormat="1" applyFont="1" applyFill="1" applyBorder="1" applyAlignment="1" applyProtection="1">
      <alignment horizontal="right"/>
    </xf>
    <xf numFmtId="6" fontId="16" fillId="37" borderId="539" xfId="53" applyNumberFormat="1" applyFont="1" applyFill="1" applyBorder="1" applyAlignment="1" applyProtection="1">
      <alignment horizontal="right"/>
    </xf>
    <xf numFmtId="0" fontId="16" fillId="0" borderId="507" xfId="0" applyFont="1" applyBorder="1" applyAlignment="1">
      <alignment vertical="center" wrapText="1"/>
    </xf>
    <xf numFmtId="3" fontId="16" fillId="35" borderId="507" xfId="0" applyNumberFormat="1" applyFont="1" applyFill="1" applyBorder="1" applyAlignment="1">
      <alignment vertical="center"/>
    </xf>
    <xf numFmtId="6" fontId="16" fillId="0" borderId="507" xfId="0" applyNumberFormat="1" applyFont="1" applyBorder="1" applyAlignment="1">
      <alignment vertical="center"/>
    </xf>
    <xf numFmtId="6" fontId="16" fillId="0" borderId="507" xfId="0" applyNumberFormat="1" applyFont="1" applyFill="1" applyBorder="1" applyAlignment="1">
      <alignment vertical="center"/>
    </xf>
    <xf numFmtId="6" fontId="16" fillId="37" borderId="507" xfId="0" applyNumberFormat="1" applyFont="1" applyFill="1" applyBorder="1" applyAlignment="1">
      <alignment vertical="center"/>
    </xf>
    <xf numFmtId="38" fontId="16" fillId="0" borderId="507" xfId="0" applyNumberFormat="1" applyFont="1" applyFill="1" applyBorder="1" applyAlignment="1">
      <alignment vertical="center"/>
    </xf>
    <xf numFmtId="6" fontId="16" fillId="35" borderId="507" xfId="0" applyNumberFormat="1" applyFont="1" applyFill="1" applyBorder="1" applyAlignment="1">
      <alignment vertical="center"/>
    </xf>
    <xf numFmtId="0" fontId="119" fillId="28" borderId="507" xfId="0" applyFont="1" applyFill="1" applyBorder="1" applyAlignment="1">
      <alignment vertical="center" wrapText="1"/>
    </xf>
    <xf numFmtId="0" fontId="16" fillId="0" borderId="506" xfId="0" applyFont="1" applyBorder="1" applyAlignment="1">
      <alignment horizontal="left" vertical="center" wrapText="1"/>
    </xf>
    <xf numFmtId="0" fontId="20" fillId="0" borderId="506" xfId="0" applyFont="1" applyBorder="1" applyAlignment="1">
      <alignment horizontal="left" vertical="center" wrapText="1"/>
    </xf>
    <xf numFmtId="6" fontId="16" fillId="51" borderId="190" xfId="0" applyNumberFormat="1" applyFont="1" applyFill="1" applyBorder="1" applyAlignment="1">
      <alignment vertical="center"/>
    </xf>
    <xf numFmtId="6" fontId="16" fillId="51" borderId="190" xfId="0" applyNumberFormat="1" applyFont="1" applyFill="1" applyBorder="1" applyAlignment="1">
      <alignment horizontal="center" vertical="center" wrapText="1"/>
    </xf>
    <xf numFmtId="6" fontId="16" fillId="51" borderId="506" xfId="0" applyNumberFormat="1" applyFont="1" applyFill="1" applyBorder="1" applyAlignment="1">
      <alignment horizontal="center" vertical="center"/>
    </xf>
    <xf numFmtId="0" fontId="16" fillId="39" borderId="507" xfId="0" applyFont="1" applyFill="1" applyBorder="1" applyAlignment="1">
      <alignment horizontal="right" vertical="center"/>
    </xf>
    <xf numFmtId="0" fontId="119" fillId="28" borderId="507" xfId="0" applyFont="1" applyFill="1" applyBorder="1" applyAlignment="1">
      <alignment horizontal="center" vertical="center" wrapText="1"/>
    </xf>
    <xf numFmtId="0" fontId="16" fillId="39" borderId="506" xfId="0" applyFont="1" applyFill="1" applyBorder="1" applyAlignment="1">
      <alignment vertical="center"/>
    </xf>
    <xf numFmtId="0" fontId="119" fillId="28" borderId="506" xfId="0" applyFont="1" applyFill="1" applyBorder="1" applyAlignment="1">
      <alignment vertical="center" wrapText="1"/>
    </xf>
    <xf numFmtId="0" fontId="20" fillId="0" borderId="507" xfId="0" applyFont="1" applyBorder="1" applyAlignment="1">
      <alignment vertical="center" wrapText="1"/>
    </xf>
    <xf numFmtId="3" fontId="16" fillId="0" borderId="507" xfId="0" applyNumberFormat="1" applyFont="1" applyFill="1" applyBorder="1" applyAlignment="1">
      <alignment vertical="center"/>
    </xf>
    <xf numFmtId="6" fontId="16" fillId="0" borderId="72" xfId="0" applyNumberFormat="1" applyFont="1" applyFill="1" applyBorder="1" applyAlignment="1">
      <alignment vertical="center"/>
    </xf>
    <xf numFmtId="1" fontId="16" fillId="0" borderId="535" xfId="0" applyNumberFormat="1" applyFont="1" applyFill="1" applyBorder="1" applyAlignment="1">
      <alignment horizontal="left" vertical="center" wrapText="1"/>
    </xf>
    <xf numFmtId="0" fontId="120" fillId="0" borderId="535" xfId="0" applyFont="1" applyFill="1" applyBorder="1" applyAlignment="1">
      <alignment horizontal="left" vertical="center" wrapText="1"/>
    </xf>
    <xf numFmtId="38" fontId="16" fillId="35" borderId="535" xfId="0" applyNumberFormat="1" applyFont="1" applyFill="1" applyBorder="1" applyAlignment="1">
      <alignment vertical="center" wrapText="1"/>
    </xf>
    <xf numFmtId="6" fontId="16" fillId="0" borderId="535" xfId="0" applyNumberFormat="1" applyFont="1" applyBorder="1" applyAlignment="1">
      <alignment vertical="center"/>
    </xf>
    <xf numFmtId="6" fontId="16" fillId="0" borderId="546" xfId="0" applyNumberFormat="1" applyFont="1" applyFill="1" applyBorder="1" applyAlignment="1">
      <alignment vertical="center"/>
    </xf>
    <xf numFmtId="6" fontId="16" fillId="0" borderId="535" xfId="0" applyNumberFormat="1" applyFont="1" applyFill="1" applyBorder="1" applyAlignment="1">
      <alignment vertical="center"/>
    </xf>
    <xf numFmtId="6" fontId="16" fillId="37" borderId="535" xfId="0" applyNumberFormat="1" applyFont="1" applyFill="1" applyBorder="1" applyAlignment="1">
      <alignment vertical="center"/>
    </xf>
    <xf numFmtId="6" fontId="16" fillId="35" borderId="535" xfId="0" applyNumberFormat="1" applyFont="1" applyFill="1" applyBorder="1" applyAlignment="1">
      <alignment vertical="center"/>
    </xf>
    <xf numFmtId="38" fontId="16" fillId="0" borderId="535" xfId="0" applyNumberFormat="1" applyFont="1" applyFill="1" applyBorder="1" applyAlignment="1">
      <alignment vertical="center"/>
    </xf>
    <xf numFmtId="1" fontId="16" fillId="0" borderId="536" xfId="0" applyNumberFormat="1" applyFont="1" applyFill="1" applyBorder="1" applyAlignment="1">
      <alignment horizontal="left" vertical="center" wrapText="1"/>
    </xf>
    <xf numFmtId="0" fontId="120" fillId="0" borderId="536" xfId="0" applyFont="1" applyFill="1" applyBorder="1" applyAlignment="1">
      <alignment horizontal="left" vertical="center" wrapText="1"/>
    </xf>
    <xf numFmtId="38" fontId="16" fillId="35" borderId="536" xfId="0" applyNumberFormat="1" applyFont="1" applyFill="1" applyBorder="1" applyAlignment="1">
      <alignment vertical="center" wrapText="1"/>
    </xf>
    <xf numFmtId="6" fontId="16" fillId="0" borderId="536" xfId="0" applyNumberFormat="1" applyFont="1" applyBorder="1" applyAlignment="1">
      <alignment vertical="center"/>
    </xf>
    <xf numFmtId="6" fontId="16" fillId="0" borderId="547" xfId="0" applyNumberFormat="1" applyFont="1" applyFill="1" applyBorder="1" applyAlignment="1">
      <alignment vertical="center"/>
    </xf>
    <xf numFmtId="6" fontId="16" fillId="0" borderId="536" xfId="0" applyNumberFormat="1" applyFont="1" applyFill="1" applyBorder="1" applyAlignment="1">
      <alignment vertical="center"/>
    </xf>
    <xf numFmtId="6" fontId="16" fillId="37" borderId="536" xfId="0" applyNumberFormat="1" applyFont="1" applyFill="1" applyBorder="1" applyAlignment="1">
      <alignment vertical="center"/>
    </xf>
    <xf numFmtId="6" fontId="16" fillId="35" borderId="536" xfId="0" applyNumberFormat="1" applyFont="1" applyFill="1" applyBorder="1" applyAlignment="1">
      <alignment vertical="center"/>
    </xf>
    <xf numFmtId="38" fontId="16" fillId="0" borderId="536" xfId="0" applyNumberFormat="1" applyFont="1" applyFill="1" applyBorder="1" applyAlignment="1">
      <alignment vertical="center"/>
    </xf>
    <xf numFmtId="1" fontId="16" fillId="35" borderId="536" xfId="0" applyNumberFormat="1" applyFont="1" applyFill="1" applyBorder="1" applyAlignment="1">
      <alignment horizontal="left" vertical="center" wrapText="1"/>
    </xf>
    <xf numFmtId="0" fontId="120" fillId="35" borderId="536" xfId="0" applyFont="1" applyFill="1" applyBorder="1" applyAlignment="1">
      <alignment horizontal="left" vertical="center" wrapText="1"/>
    </xf>
    <xf numFmtId="1" fontId="16" fillId="39" borderId="535" xfId="0" applyNumberFormat="1" applyFont="1" applyFill="1" applyBorder="1" applyAlignment="1">
      <alignment horizontal="left" vertical="center" wrapText="1"/>
    </xf>
    <xf numFmtId="0" fontId="120" fillId="39" borderId="535" xfId="0" applyFont="1" applyFill="1" applyBorder="1" applyAlignment="1">
      <alignment horizontal="left" vertical="center" wrapText="1"/>
    </xf>
    <xf numFmtId="0" fontId="20" fillId="28" borderId="507" xfId="0" applyFont="1" applyFill="1" applyBorder="1" applyAlignment="1">
      <alignment horizontal="left" vertical="center" wrapText="1"/>
    </xf>
    <xf numFmtId="164" fontId="20" fillId="28" borderId="507" xfId="28" applyNumberFormat="1" applyFont="1" applyFill="1" applyBorder="1" applyAlignment="1">
      <alignment vertical="center"/>
    </xf>
    <xf numFmtId="6" fontId="16" fillId="28" borderId="507" xfId="0" applyNumberFormat="1" applyFont="1" applyFill="1" applyBorder="1" applyAlignment="1">
      <alignment vertical="center"/>
    </xf>
    <xf numFmtId="6" fontId="20" fillId="28" borderId="507" xfId="0" applyNumberFormat="1" applyFont="1" applyFill="1" applyBorder="1" applyAlignment="1">
      <alignment vertical="center"/>
    </xf>
    <xf numFmtId="6" fontId="20" fillId="39" borderId="507" xfId="0" applyNumberFormat="1" applyFont="1" applyFill="1" applyBorder="1" applyAlignment="1">
      <alignment vertical="center"/>
    </xf>
    <xf numFmtId="38" fontId="20" fillId="39" borderId="507" xfId="0" applyNumberFormat="1" applyFont="1" applyFill="1" applyBorder="1" applyAlignment="1">
      <alignment vertical="center"/>
    </xf>
    <xf numFmtId="0" fontId="18" fillId="0" borderId="538" xfId="0" applyFont="1" applyFill="1" applyBorder="1" applyProtection="1"/>
    <xf numFmtId="0" fontId="18" fillId="0" borderId="548" xfId="0" applyFont="1" applyFill="1" applyBorder="1" applyProtection="1"/>
    <xf numFmtId="5" fontId="18" fillId="0" borderId="536" xfId="0" applyNumberFormat="1" applyFont="1" applyFill="1" applyBorder="1" applyProtection="1"/>
    <xf numFmtId="6" fontId="18" fillId="0" borderId="536" xfId="0" applyNumberFormat="1" applyFont="1" applyFill="1" applyBorder="1" applyProtection="1"/>
    <xf numFmtId="38" fontId="18" fillId="0" borderId="536" xfId="0" applyNumberFormat="1" applyFont="1" applyFill="1" applyBorder="1" applyProtection="1"/>
    <xf numFmtId="5" fontId="18" fillId="27" borderId="536" xfId="0" applyNumberFormat="1" applyFont="1" applyFill="1" applyBorder="1" applyProtection="1"/>
    <xf numFmtId="0" fontId="18" fillId="0" borderId="549" xfId="0" applyFont="1" applyFill="1" applyBorder="1" applyProtection="1"/>
    <xf numFmtId="0" fontId="18" fillId="0" borderId="550" xfId="0" applyFont="1" applyFill="1" applyBorder="1" applyProtection="1"/>
    <xf numFmtId="5" fontId="18" fillId="0" borderId="551" xfId="0" applyNumberFormat="1" applyFont="1" applyFill="1" applyBorder="1" applyProtection="1"/>
    <xf numFmtId="6" fontId="18" fillId="0" borderId="551" xfId="0" applyNumberFormat="1" applyFont="1" applyFill="1" applyBorder="1" applyProtection="1"/>
    <xf numFmtId="38" fontId="18" fillId="0" borderId="551" xfId="0" applyNumberFormat="1" applyFont="1" applyFill="1" applyBorder="1" applyProtection="1"/>
    <xf numFmtId="5" fontId="18" fillId="27" borderId="551" xfId="0" applyNumberFormat="1" applyFont="1" applyFill="1" applyBorder="1" applyProtection="1"/>
    <xf numFmtId="0" fontId="18" fillId="0" borderId="552" xfId="0" applyFont="1" applyFill="1" applyBorder="1" applyProtection="1"/>
    <xf numFmtId="0" fontId="18" fillId="0" borderId="553" xfId="0" applyFont="1" applyFill="1" applyBorder="1" applyProtection="1"/>
    <xf numFmtId="5" fontId="18" fillId="0" borderId="554" xfId="0" applyNumberFormat="1" applyFont="1" applyFill="1" applyBorder="1" applyProtection="1"/>
    <xf numFmtId="6" fontId="18" fillId="0" borderId="554" xfId="0" applyNumberFormat="1" applyFont="1" applyFill="1" applyBorder="1" applyProtection="1"/>
    <xf numFmtId="0" fontId="20" fillId="0" borderId="502" xfId="0" applyFont="1" applyFill="1" applyBorder="1" applyProtection="1"/>
    <xf numFmtId="0" fontId="33" fillId="0" borderId="503" xfId="0" applyFont="1" applyFill="1" applyBorder="1" applyAlignment="1" applyProtection="1">
      <alignment horizontal="center"/>
    </xf>
    <xf numFmtId="6" fontId="33" fillId="0" borderId="12" xfId="28" applyNumberFormat="1" applyFont="1" applyFill="1" applyBorder="1" applyProtection="1"/>
    <xf numFmtId="6" fontId="33" fillId="27" borderId="12" xfId="28" applyNumberFormat="1" applyFont="1" applyFill="1" applyBorder="1" applyProtection="1"/>
    <xf numFmtId="6" fontId="18" fillId="50" borderId="536" xfId="0" applyNumberFormat="1" applyFont="1" applyFill="1" applyBorder="1" applyProtection="1"/>
    <xf numFmtId="6" fontId="18" fillId="50" borderId="551" xfId="0" applyNumberFormat="1" applyFont="1" applyFill="1" applyBorder="1" applyProtection="1"/>
    <xf numFmtId="0" fontId="18" fillId="0" borderId="541" xfId="0" applyFont="1" applyFill="1" applyBorder="1" applyProtection="1"/>
    <xf numFmtId="0" fontId="18" fillId="0" borderId="555" xfId="0" applyFont="1" applyFill="1" applyBorder="1" applyProtection="1"/>
    <xf numFmtId="5" fontId="18" fillId="0" borderId="535" xfId="0" applyNumberFormat="1" applyFont="1" applyFill="1" applyBorder="1" applyProtection="1"/>
    <xf numFmtId="6" fontId="18" fillId="0" borderId="535" xfId="0" applyNumberFormat="1" applyFont="1" applyFill="1" applyBorder="1" applyProtection="1"/>
    <xf numFmtId="6" fontId="18" fillId="37" borderId="535" xfId="0" applyNumberFormat="1" applyFont="1" applyFill="1" applyBorder="1" applyProtection="1"/>
    <xf numFmtId="1" fontId="18" fillId="26" borderId="507" xfId="0" applyNumberFormat="1" applyFont="1" applyFill="1" applyBorder="1" applyAlignment="1" applyProtection="1">
      <alignment horizontal="center" vertical="center"/>
    </xf>
    <xf numFmtId="1" fontId="20" fillId="26" borderId="507" xfId="0" applyNumberFormat="1" applyFont="1" applyFill="1" applyBorder="1" applyAlignment="1" applyProtection="1">
      <alignment horizontal="center" vertical="center"/>
    </xf>
    <xf numFmtId="1" fontId="27" fillId="26" borderId="507" xfId="0" applyNumberFormat="1" applyFont="1" applyFill="1" applyBorder="1" applyAlignment="1" applyProtection="1">
      <alignment horizontal="center" vertical="center"/>
    </xf>
    <xf numFmtId="6" fontId="18" fillId="37" borderId="536" xfId="0" applyNumberFormat="1" applyFont="1" applyFill="1" applyBorder="1" applyProtection="1"/>
    <xf numFmtId="6" fontId="18" fillId="37" borderId="551" xfId="0" applyNumberFormat="1" applyFont="1" applyFill="1" applyBorder="1" applyProtection="1"/>
    <xf numFmtId="6" fontId="18" fillId="37" borderId="554" xfId="0" applyNumberFormat="1" applyFont="1" applyFill="1" applyBorder="1" applyProtection="1"/>
    <xf numFmtId="6" fontId="33" fillId="0" borderId="12" xfId="31" applyNumberFormat="1" applyFont="1" applyFill="1" applyBorder="1" applyProtection="1"/>
    <xf numFmtId="6" fontId="33" fillId="37" borderId="12" xfId="31" applyNumberFormat="1" applyFont="1" applyFill="1" applyBorder="1" applyProtection="1"/>
    <xf numFmtId="3" fontId="18" fillId="0" borderId="536" xfId="0" applyNumberFormat="1" applyFont="1" applyFill="1" applyBorder="1" applyAlignment="1">
      <alignment horizontal="center"/>
    </xf>
    <xf numFmtId="3" fontId="18" fillId="0" borderId="536" xfId="0" applyNumberFormat="1" applyFont="1" applyFill="1" applyBorder="1"/>
    <xf numFmtId="3" fontId="18" fillId="0" borderId="536" xfId="0" applyNumberFormat="1" applyFont="1" applyBorder="1"/>
    <xf numFmtId="3" fontId="18" fillId="0" borderId="536" xfId="28" applyNumberFormat="1" applyFont="1" applyBorder="1"/>
    <xf numFmtId="168" fontId="18" fillId="0" borderId="536" xfId="48" applyNumberFormat="1" applyFont="1" applyBorder="1"/>
    <xf numFmtId="165" fontId="18" fillId="0" borderId="547" xfId="0" applyNumberFormat="1" applyFont="1" applyBorder="1"/>
    <xf numFmtId="165" fontId="18" fillId="27" borderId="547" xfId="0" applyNumberFormat="1" applyFont="1" applyFill="1" applyBorder="1"/>
    <xf numFmtId="10" fontId="18" fillId="0" borderId="547" xfId="0" applyNumberFormat="1" applyFont="1" applyBorder="1"/>
    <xf numFmtId="6" fontId="18" fillId="0" borderId="547" xfId="32" applyNumberFormat="1" applyFont="1" applyBorder="1"/>
    <xf numFmtId="6" fontId="18" fillId="0" borderId="536" xfId="0" applyNumberFormat="1" applyFont="1" applyBorder="1"/>
    <xf numFmtId="165" fontId="18" fillId="0" borderId="536" xfId="0" applyNumberFormat="1" applyFont="1" applyBorder="1"/>
    <xf numFmtId="165" fontId="18" fillId="27" borderId="536" xfId="0" applyNumberFormat="1" applyFont="1" applyFill="1" applyBorder="1"/>
    <xf numFmtId="10" fontId="18" fillId="0" borderId="536" xfId="48" applyNumberFormat="1" applyFont="1" applyBorder="1"/>
    <xf numFmtId="165" fontId="18" fillId="27" borderId="536" xfId="28" applyNumberFormat="1" applyFont="1" applyFill="1" applyBorder="1"/>
    <xf numFmtId="165" fontId="18" fillId="0" borderId="536" xfId="28" applyNumberFormat="1" applyFont="1" applyBorder="1"/>
    <xf numFmtId="164" fontId="18" fillId="0" borderId="536" xfId="28" applyNumberFormat="1" applyFont="1" applyBorder="1"/>
    <xf numFmtId="6" fontId="18" fillId="0" borderId="536" xfId="28" applyNumberFormat="1" applyFont="1" applyBorder="1"/>
    <xf numFmtId="3" fontId="18" fillId="0" borderId="557" xfId="0" applyNumberFormat="1" applyFont="1" applyBorder="1"/>
    <xf numFmtId="10" fontId="20" fillId="27" borderId="525" xfId="0" applyNumberFormat="1" applyFont="1" applyFill="1" applyBorder="1"/>
    <xf numFmtId="6" fontId="20" fillId="0" borderId="504" xfId="0" applyNumberFormat="1" applyFont="1" applyBorder="1"/>
    <xf numFmtId="165" fontId="20" fillId="0" borderId="525" xfId="0" applyNumberFormat="1" applyFont="1" applyBorder="1"/>
    <xf numFmtId="10" fontId="20" fillId="0" borderId="525" xfId="48" applyNumberFormat="1" applyFont="1" applyBorder="1"/>
    <xf numFmtId="165" fontId="18" fillId="42" borderId="547" xfId="0" applyNumberFormat="1" applyFont="1" applyFill="1" applyBorder="1"/>
    <xf numFmtId="5" fontId="16" fillId="0" borderId="536" xfId="0" applyNumberFormat="1" applyFont="1" applyFill="1" applyBorder="1" applyProtection="1"/>
    <xf numFmtId="6" fontId="16" fillId="0" borderId="556" xfId="0" applyNumberFormat="1" applyFont="1" applyFill="1" applyBorder="1" applyProtection="1"/>
    <xf numFmtId="165" fontId="16" fillId="0" borderId="536" xfId="28" applyNumberFormat="1" applyFont="1" applyFill="1" applyBorder="1" applyProtection="1"/>
    <xf numFmtId="6" fontId="16" fillId="0" borderId="536" xfId="0" applyNumberFormat="1" applyFont="1" applyFill="1" applyBorder="1" applyProtection="1"/>
    <xf numFmtId="164" fontId="16" fillId="0" borderId="536" xfId="28" applyNumberFormat="1" applyFont="1" applyFill="1" applyBorder="1" applyProtection="1"/>
    <xf numFmtId="6" fontId="16" fillId="47" borderId="556" xfId="0" applyNumberFormat="1" applyFont="1" applyFill="1" applyBorder="1" applyProtection="1"/>
    <xf numFmtId="165" fontId="16" fillId="0" borderId="190" xfId="28" applyNumberFormat="1" applyFont="1" applyFill="1" applyBorder="1" applyProtection="1"/>
    <xf numFmtId="6" fontId="16" fillId="0" borderId="190" xfId="0" applyNumberFormat="1" applyFont="1" applyFill="1" applyBorder="1" applyProtection="1"/>
    <xf numFmtId="164" fontId="16" fillId="0" borderId="190" xfId="28" applyNumberFormat="1" applyFont="1" applyFill="1" applyBorder="1" applyProtection="1"/>
    <xf numFmtId="5" fontId="82" fillId="0" borderId="12" xfId="0" applyNumberFormat="1" applyFont="1" applyFill="1" applyBorder="1" applyProtection="1"/>
    <xf numFmtId="6" fontId="82" fillId="0" borderId="12" xfId="0" applyNumberFormat="1" applyFont="1" applyFill="1" applyBorder="1" applyProtection="1"/>
    <xf numFmtId="164" fontId="82" fillId="0" borderId="12" xfId="28" applyNumberFormat="1" applyFont="1" applyFill="1" applyBorder="1" applyProtection="1"/>
    <xf numFmtId="164" fontId="33" fillId="0" borderId="12" xfId="28" applyNumberFormat="1" applyFont="1" applyFill="1" applyBorder="1" applyProtection="1"/>
    <xf numFmtId="5" fontId="33" fillId="0" borderId="12" xfId="0" applyNumberFormat="1" applyFont="1" applyFill="1" applyBorder="1" applyProtection="1"/>
    <xf numFmtId="0" fontId="16" fillId="0" borderId="540" xfId="64" applyFont="1" applyFill="1" applyBorder="1" applyAlignment="1" applyProtection="1">
      <alignment horizontal="center"/>
    </xf>
    <xf numFmtId="0" fontId="16" fillId="0" borderId="555" xfId="64" applyFont="1" applyFill="1" applyBorder="1" applyProtection="1"/>
    <xf numFmtId="5" fontId="20" fillId="37" borderId="535" xfId="64" applyNumberFormat="1" applyFont="1" applyFill="1" applyBorder="1" applyProtection="1"/>
    <xf numFmtId="5" fontId="16" fillId="0" borderId="535" xfId="64" applyNumberFormat="1" applyFont="1" applyFill="1" applyBorder="1" applyProtection="1"/>
    <xf numFmtId="5" fontId="20" fillId="33" borderId="535" xfId="64" applyNumberFormat="1" applyFont="1" applyFill="1" applyBorder="1" applyProtection="1"/>
    <xf numFmtId="0" fontId="16" fillId="0" borderId="537" xfId="64" applyFont="1" applyFill="1" applyBorder="1" applyAlignment="1" applyProtection="1">
      <alignment horizontal="center"/>
    </xf>
    <xf numFmtId="0" fontId="16" fillId="0" borderId="548" xfId="64" applyFont="1" applyFill="1" applyBorder="1" applyProtection="1"/>
    <xf numFmtId="5" fontId="20" fillId="37" borderId="536" xfId="64" applyNumberFormat="1" applyFont="1" applyFill="1" applyBorder="1" applyProtection="1"/>
    <xf numFmtId="5" fontId="16" fillId="0" borderId="536" xfId="64" applyNumberFormat="1" applyFont="1" applyFill="1" applyBorder="1" applyProtection="1"/>
    <xf numFmtId="5" fontId="20" fillId="33" borderId="536" xfId="64" applyNumberFormat="1" applyFont="1" applyFill="1" applyBorder="1" applyProtection="1"/>
    <xf numFmtId="0" fontId="16" fillId="0" borderId="535" xfId="64" applyNumberFormat="1" applyFont="1" applyFill="1" applyBorder="1" applyAlignment="1">
      <alignment horizontal="center"/>
    </xf>
    <xf numFmtId="0" fontId="16" fillId="0" borderId="535" xfId="253" applyFont="1" applyFill="1" applyBorder="1" applyAlignment="1">
      <alignment horizontal="left" wrapText="1"/>
    </xf>
    <xf numFmtId="6" fontId="20" fillId="37" borderId="535" xfId="253" applyNumberFormat="1" applyFont="1" applyFill="1" applyBorder="1"/>
    <xf numFmtId="6" fontId="20" fillId="37" borderId="536" xfId="253" applyNumberFormat="1" applyFont="1" applyFill="1" applyBorder="1"/>
    <xf numFmtId="0" fontId="16" fillId="0" borderId="535" xfId="64" applyFont="1" applyBorder="1" applyAlignment="1">
      <alignment horizontal="left"/>
    </xf>
    <xf numFmtId="0" fontId="16" fillId="0" borderId="551" xfId="64" applyNumberFormat="1" applyFont="1" applyFill="1" applyBorder="1" applyAlignment="1">
      <alignment horizontal="center"/>
    </xf>
    <xf numFmtId="3" fontId="16" fillId="0" borderId="533" xfId="64" applyNumberFormat="1" applyFont="1" applyFill="1" applyBorder="1" applyAlignment="1">
      <alignment horizontal="left"/>
    </xf>
    <xf numFmtId="6" fontId="20" fillId="37" borderId="551" xfId="253" applyNumberFormat="1" applyFont="1" applyFill="1" applyBorder="1"/>
    <xf numFmtId="5" fontId="16" fillId="0" borderId="551" xfId="64" applyNumberFormat="1" applyFont="1" applyFill="1" applyBorder="1" applyProtection="1"/>
    <xf numFmtId="5" fontId="20" fillId="33" borderId="551" xfId="64" applyNumberFormat="1" applyFont="1" applyFill="1" applyBorder="1" applyProtection="1"/>
    <xf numFmtId="0" fontId="16" fillId="0" borderId="558" xfId="64" applyBorder="1"/>
    <xf numFmtId="0" fontId="16" fillId="0" borderId="536" xfId="64" applyNumberFormat="1" applyFont="1" applyFill="1" applyBorder="1" applyAlignment="1">
      <alignment horizontal="center"/>
    </xf>
    <xf numFmtId="3" fontId="18" fillId="0" borderId="536" xfId="0" applyNumberFormat="1" applyFont="1" applyBorder="1" applyAlignment="1">
      <alignment horizontal="center"/>
    </xf>
    <xf numFmtId="3" fontId="18" fillId="0" borderId="559" xfId="0" applyNumberFormat="1" applyFont="1" applyBorder="1"/>
    <xf numFmtId="10" fontId="18" fillId="0" borderId="536" xfId="48" applyNumberFormat="1" applyFont="1" applyFill="1" applyBorder="1"/>
    <xf numFmtId="6" fontId="18" fillId="0" borderId="536" xfId="32" applyNumberFormat="1" applyFont="1" applyFill="1" applyBorder="1"/>
    <xf numFmtId="2" fontId="45" fillId="0" borderId="536" xfId="45" applyNumberFormat="1" applyFont="1" applyFill="1" applyBorder="1" applyAlignment="1">
      <alignment horizontal="right" wrapText="1"/>
    </xf>
    <xf numFmtId="165" fontId="45" fillId="0" borderId="536" xfId="45" applyNumberFormat="1" applyFont="1" applyFill="1" applyBorder="1" applyAlignment="1">
      <alignment horizontal="right" wrapText="1"/>
    </xf>
    <xf numFmtId="0" fontId="45" fillId="0" borderId="536" xfId="45" applyFont="1" applyFill="1" applyBorder="1" applyAlignment="1">
      <alignment horizontal="right" wrapText="1"/>
    </xf>
    <xf numFmtId="2" fontId="18" fillId="0" borderId="536" xfId="0" applyNumberFormat="1" applyFont="1" applyBorder="1"/>
    <xf numFmtId="4" fontId="18" fillId="0" borderId="536" xfId="28" applyNumberFormat="1" applyFont="1" applyBorder="1"/>
    <xf numFmtId="4" fontId="18" fillId="0" borderId="559" xfId="28" applyNumberFormat="1" applyFont="1" applyBorder="1"/>
    <xf numFmtId="40" fontId="18" fillId="0" borderId="536" xfId="0" applyNumberFormat="1" applyFont="1" applyFill="1" applyBorder="1"/>
    <xf numFmtId="165" fontId="18" fillId="0" borderId="536" xfId="0" applyNumberFormat="1" applyFont="1" applyFill="1" applyBorder="1"/>
    <xf numFmtId="10" fontId="18" fillId="0" borderId="536" xfId="0" applyNumberFormat="1" applyFont="1" applyFill="1" applyBorder="1"/>
    <xf numFmtId="6" fontId="18" fillId="0" borderId="536" xfId="0" applyNumberFormat="1" applyFont="1" applyFill="1" applyBorder="1"/>
    <xf numFmtId="167" fontId="18" fillId="0" borderId="536" xfId="48" applyNumberFormat="1" applyFont="1" applyFill="1" applyBorder="1"/>
    <xf numFmtId="10" fontId="18" fillId="35" borderId="536" xfId="0" applyNumberFormat="1" applyFont="1" applyFill="1" applyBorder="1"/>
    <xf numFmtId="165" fontId="18" fillId="35" borderId="536" xfId="0" applyNumberFormat="1" applyFont="1" applyFill="1" applyBorder="1"/>
    <xf numFmtId="1" fontId="45" fillId="0" borderId="536" xfId="45" applyNumberFormat="1" applyFont="1" applyFill="1" applyBorder="1" applyAlignment="1">
      <alignment horizontal="right" wrapText="1"/>
    </xf>
    <xf numFmtId="167" fontId="18" fillId="42" borderId="536" xfId="48" applyNumberFormat="1" applyFont="1" applyFill="1" applyBorder="1"/>
    <xf numFmtId="165" fontId="18" fillId="44" borderId="536" xfId="0" applyNumberFormat="1" applyFont="1" applyFill="1" applyBorder="1"/>
    <xf numFmtId="165" fontId="18" fillId="0" borderId="559" xfId="0" applyNumberFormat="1" applyFont="1" applyBorder="1"/>
    <xf numFmtId="3" fontId="18" fillId="0" borderId="535" xfId="0" applyNumberFormat="1" applyFont="1" applyBorder="1" applyAlignment="1">
      <alignment horizontal="center"/>
    </xf>
    <xf numFmtId="3" fontId="18" fillId="0" borderId="535" xfId="0" applyNumberFormat="1" applyFont="1" applyBorder="1"/>
    <xf numFmtId="165" fontId="18" fillId="0" borderId="535" xfId="0" applyNumberFormat="1" applyFont="1" applyBorder="1"/>
    <xf numFmtId="6" fontId="18" fillId="0" borderId="535" xfId="0" applyNumberFormat="1" applyFont="1" applyBorder="1"/>
    <xf numFmtId="165" fontId="18" fillId="0" borderId="560" xfId="0" applyNumberFormat="1" applyFont="1" applyBorder="1"/>
    <xf numFmtId="0" fontId="16" fillId="0" borderId="548" xfId="64" applyFont="1" applyFill="1" applyBorder="1" applyAlignment="1" applyProtection="1">
      <alignment wrapText="1"/>
    </xf>
    <xf numFmtId="0" fontId="16" fillId="0" borderId="555" xfId="64" applyFont="1" applyFill="1" applyBorder="1" applyAlignment="1" applyProtection="1">
      <alignment wrapText="1"/>
    </xf>
    <xf numFmtId="6" fontId="16" fillId="35" borderId="542" xfId="54" applyNumberFormat="1" applyFont="1" applyFill="1" applyBorder="1" applyAlignment="1" applyProtection="1">
      <alignment horizontal="right"/>
    </xf>
    <xf numFmtId="6" fontId="16" fillId="0" borderId="561" xfId="53" applyNumberFormat="1" applyFont="1" applyFill="1" applyBorder="1" applyAlignment="1" applyProtection="1">
      <alignment horizontal="right"/>
    </xf>
    <xf numFmtId="6" fontId="16" fillId="37" borderId="541" xfId="53" applyNumberFormat="1" applyFont="1" applyFill="1" applyBorder="1" applyAlignment="1" applyProtection="1">
      <alignment horizontal="right"/>
    </xf>
    <xf numFmtId="38" fontId="16" fillId="0" borderId="541" xfId="53" applyNumberFormat="1" applyFont="1" applyFill="1" applyBorder="1" applyAlignment="1" applyProtection="1">
      <alignment horizontal="right"/>
    </xf>
    <xf numFmtId="6" fontId="16" fillId="0" borderId="541" xfId="53" applyNumberFormat="1" applyFont="1" applyFill="1" applyBorder="1" applyAlignment="1" applyProtection="1">
      <alignment horizontal="right"/>
    </xf>
    <xf numFmtId="6" fontId="16" fillId="42" borderId="541" xfId="53" applyNumberFormat="1" applyFont="1" applyFill="1" applyBorder="1" applyAlignment="1" applyProtection="1">
      <alignment horizontal="right"/>
    </xf>
    <xf numFmtId="6" fontId="16" fillId="35" borderId="541" xfId="53" applyNumberFormat="1" applyFont="1" applyFill="1" applyBorder="1" applyAlignment="1" applyProtection="1">
      <alignment horizontal="right"/>
    </xf>
    <xf numFmtId="165" fontId="16" fillId="0" borderId="541" xfId="53" applyNumberFormat="1" applyFont="1" applyFill="1" applyBorder="1" applyAlignment="1" applyProtection="1">
      <alignment horizontal="right"/>
    </xf>
    <xf numFmtId="38" fontId="16" fillId="0" borderId="541" xfId="28" applyNumberFormat="1" applyFont="1" applyFill="1" applyBorder="1" applyAlignment="1" applyProtection="1">
      <alignment horizontal="right"/>
    </xf>
    <xf numFmtId="165" fontId="16" fillId="0" borderId="561" xfId="53" applyNumberFormat="1" applyFont="1" applyFill="1" applyBorder="1" applyAlignment="1" applyProtection="1">
      <alignment horizontal="right"/>
    </xf>
    <xf numFmtId="6" fontId="16" fillId="0" borderId="500" xfId="53" applyNumberFormat="1" applyFont="1" applyFill="1" applyBorder="1" applyAlignment="1" applyProtection="1">
      <alignment horizontal="right"/>
    </xf>
    <xf numFmtId="6" fontId="16" fillId="0" borderId="516" xfId="53" applyNumberFormat="1" applyFont="1" applyFill="1" applyBorder="1" applyAlignment="1" applyProtection="1">
      <alignment horizontal="right"/>
    </xf>
    <xf numFmtId="6" fontId="16" fillId="37" borderId="516" xfId="53" applyNumberFormat="1" applyFont="1" applyFill="1" applyBorder="1" applyAlignment="1" applyProtection="1">
      <alignment horizontal="right"/>
    </xf>
    <xf numFmtId="165" fontId="16" fillId="0" borderId="516" xfId="53" applyNumberFormat="1" applyFont="1" applyFill="1" applyBorder="1" applyAlignment="1" applyProtection="1">
      <alignment horizontal="right"/>
    </xf>
    <xf numFmtId="165" fontId="16" fillId="0" borderId="415" xfId="54" applyNumberFormat="1" applyFont="1" applyFill="1" applyBorder="1" applyAlignment="1" applyProtection="1">
      <alignment horizontal="right"/>
    </xf>
    <xf numFmtId="165" fontId="16" fillId="0" borderId="500" xfId="53" applyNumberFormat="1" applyFont="1" applyFill="1" applyBorder="1" applyAlignment="1" applyProtection="1">
      <alignment horizontal="right"/>
    </xf>
    <xf numFmtId="6" fontId="16" fillId="35" borderId="539" xfId="54" applyNumberFormat="1" applyFont="1" applyFill="1" applyBorder="1" applyAlignment="1" applyProtection="1">
      <alignment horizontal="right"/>
    </xf>
    <xf numFmtId="6" fontId="16" fillId="0" borderId="563" xfId="53" applyNumberFormat="1" applyFont="1" applyFill="1" applyBorder="1" applyAlignment="1" applyProtection="1">
      <alignment horizontal="right"/>
    </xf>
    <xf numFmtId="6" fontId="16" fillId="37" borderId="538" xfId="53" applyNumberFormat="1" applyFont="1" applyFill="1" applyBorder="1" applyAlignment="1" applyProtection="1">
      <alignment horizontal="right"/>
    </xf>
    <xf numFmtId="38" fontId="16" fillId="0" borderId="538" xfId="53" applyNumberFormat="1" applyFont="1" applyFill="1" applyBorder="1" applyAlignment="1" applyProtection="1">
      <alignment horizontal="right"/>
    </xf>
    <xf numFmtId="6" fontId="16" fillId="0" borderId="538" xfId="53" applyNumberFormat="1" applyFont="1" applyFill="1" applyBorder="1" applyAlignment="1" applyProtection="1">
      <alignment horizontal="right"/>
    </xf>
    <xf numFmtId="6" fontId="16" fillId="42" borderId="538" xfId="53" applyNumberFormat="1" applyFont="1" applyFill="1" applyBorder="1" applyAlignment="1" applyProtection="1">
      <alignment horizontal="right"/>
    </xf>
    <xf numFmtId="6" fontId="16" fillId="35" borderId="538" xfId="53" applyNumberFormat="1" applyFont="1" applyFill="1" applyBorder="1" applyAlignment="1" applyProtection="1">
      <alignment horizontal="right"/>
    </xf>
    <xf numFmtId="165" fontId="16" fillId="0" borderId="538" xfId="53" applyNumberFormat="1" applyFont="1" applyFill="1" applyBorder="1" applyAlignment="1" applyProtection="1">
      <alignment horizontal="right"/>
    </xf>
    <xf numFmtId="38" fontId="16" fillId="0" borderId="538" xfId="28" applyNumberFormat="1" applyFont="1" applyFill="1" applyBorder="1" applyAlignment="1" applyProtection="1">
      <alignment horizontal="right"/>
    </xf>
    <xf numFmtId="165" fontId="16" fillId="0" borderId="563" xfId="53" applyNumberFormat="1" applyFont="1" applyFill="1" applyBorder="1" applyAlignment="1" applyProtection="1">
      <alignment horizontal="right"/>
    </xf>
    <xf numFmtId="6" fontId="16" fillId="38" borderId="539" xfId="53" applyNumberFormat="1" applyFont="1" applyFill="1" applyBorder="1" applyAlignment="1" applyProtection="1">
      <alignment horizontal="right"/>
    </xf>
    <xf numFmtId="6" fontId="16" fillId="35" borderId="454" xfId="54" applyNumberFormat="1" applyFont="1" applyFill="1" applyBorder="1" applyAlignment="1" applyProtection="1">
      <alignment horizontal="right"/>
    </xf>
    <xf numFmtId="38" fontId="16" fillId="0" borderId="516" xfId="53" applyNumberFormat="1" applyFont="1" applyFill="1" applyBorder="1" applyAlignment="1" applyProtection="1">
      <alignment horizontal="right"/>
    </xf>
    <xf numFmtId="6" fontId="16" fillId="42" borderId="516" xfId="53" applyNumberFormat="1" applyFont="1" applyFill="1" applyBorder="1" applyAlignment="1" applyProtection="1">
      <alignment horizontal="right"/>
    </xf>
    <xf numFmtId="6" fontId="16" fillId="35" borderId="516" xfId="53" applyNumberFormat="1" applyFont="1" applyFill="1" applyBorder="1" applyAlignment="1" applyProtection="1">
      <alignment horizontal="right"/>
    </xf>
    <xf numFmtId="165" fontId="16" fillId="38" borderId="539" xfId="53" applyNumberFormat="1" applyFont="1" applyFill="1" applyBorder="1" applyAlignment="1" applyProtection="1">
      <alignment horizontal="right"/>
    </xf>
    <xf numFmtId="38" fontId="16" fillId="0" borderId="516" xfId="28" applyNumberFormat="1" applyFont="1" applyFill="1" applyBorder="1" applyAlignment="1" applyProtection="1">
      <alignment horizontal="right"/>
    </xf>
    <xf numFmtId="6" fontId="16" fillId="35" borderId="459" xfId="53" applyNumberFormat="1" applyFont="1" applyFill="1" applyBorder="1" applyAlignment="1" applyProtection="1">
      <alignment horizontal="right"/>
    </xf>
    <xf numFmtId="6" fontId="16" fillId="37" borderId="39" xfId="53" applyNumberFormat="1" applyFont="1" applyFill="1" applyBorder="1" applyAlignment="1" applyProtection="1">
      <alignment horizontal="right"/>
    </xf>
    <xf numFmtId="38" fontId="16" fillId="0" borderId="39" xfId="53" applyNumberFormat="1" applyFont="1" applyFill="1" applyBorder="1" applyAlignment="1" applyProtection="1">
      <alignment horizontal="right"/>
    </xf>
    <xf numFmtId="6" fontId="16" fillId="0" borderId="39" xfId="53" applyNumberFormat="1" applyFont="1" applyFill="1" applyBorder="1" applyAlignment="1" applyProtection="1">
      <alignment horizontal="right"/>
    </xf>
    <xf numFmtId="6" fontId="16" fillId="42" borderId="39" xfId="53" applyNumberFormat="1" applyFont="1" applyFill="1" applyBorder="1" applyAlignment="1" applyProtection="1">
      <alignment horizontal="right"/>
    </xf>
    <xf numFmtId="6" fontId="16" fillId="35" borderId="39" xfId="53" applyNumberFormat="1" applyFont="1" applyFill="1" applyBorder="1" applyAlignment="1" applyProtection="1">
      <alignment horizontal="right"/>
    </xf>
    <xf numFmtId="3" fontId="16" fillId="35" borderId="40" xfId="53" applyNumberFormat="1" applyFont="1" applyFill="1" applyBorder="1" applyAlignment="1" applyProtection="1">
      <alignment horizontal="right"/>
    </xf>
    <xf numFmtId="165" fontId="16" fillId="0" borderId="562" xfId="53" applyNumberFormat="1" applyFont="1" applyFill="1" applyBorder="1" applyAlignment="1" applyProtection="1">
      <alignment horizontal="right"/>
    </xf>
    <xf numFmtId="165" fontId="16" fillId="35" borderId="562" xfId="53" applyNumberFormat="1" applyFont="1" applyFill="1" applyBorder="1" applyAlignment="1" applyProtection="1">
      <alignment horizontal="right"/>
    </xf>
    <xf numFmtId="6" fontId="16" fillId="0" borderId="562" xfId="53" applyNumberFormat="1" applyFont="1" applyFill="1" applyBorder="1" applyAlignment="1" applyProtection="1">
      <alignment horizontal="right"/>
    </xf>
    <xf numFmtId="6" fontId="16" fillId="0" borderId="481" xfId="53" applyNumberFormat="1" applyFont="1" applyFill="1" applyBorder="1" applyAlignment="1" applyProtection="1">
      <alignment horizontal="right"/>
    </xf>
    <xf numFmtId="165" fontId="16" fillId="0" borderId="39" xfId="53" applyNumberFormat="1" applyFont="1" applyFill="1" applyBorder="1" applyAlignment="1" applyProtection="1">
      <alignment horizontal="right"/>
    </xf>
    <xf numFmtId="3" fontId="16" fillId="0" borderId="39" xfId="53" applyNumberFormat="1" applyFont="1" applyFill="1" applyBorder="1" applyAlignment="1" applyProtection="1">
      <alignment horizontal="right"/>
    </xf>
    <xf numFmtId="6" fontId="16" fillId="0" borderId="378" xfId="53" applyNumberFormat="1" applyFont="1" applyFill="1" applyBorder="1" applyAlignment="1" applyProtection="1">
      <alignment horizontal="right"/>
    </xf>
    <xf numFmtId="38" fontId="16" fillId="0" borderId="39" xfId="28" applyNumberFormat="1" applyFont="1" applyFill="1" applyBorder="1" applyAlignment="1" applyProtection="1">
      <alignment horizontal="right"/>
    </xf>
    <xf numFmtId="6" fontId="16" fillId="0" borderId="190" xfId="54" applyNumberFormat="1" applyFont="1" applyFill="1" applyBorder="1" applyAlignment="1" applyProtection="1">
      <alignment horizontal="right"/>
    </xf>
    <xf numFmtId="165" fontId="16" fillId="0" borderId="190" xfId="54" applyNumberFormat="1" applyFont="1" applyFill="1" applyBorder="1" applyAlignment="1" applyProtection="1">
      <alignment horizontal="right"/>
    </xf>
    <xf numFmtId="165" fontId="16" fillId="0" borderId="378" xfId="53" applyNumberFormat="1" applyFont="1" applyFill="1" applyBorder="1" applyAlignment="1" applyProtection="1">
      <alignment horizontal="right"/>
    </xf>
    <xf numFmtId="6" fontId="16" fillId="35" borderId="539" xfId="53" applyNumberFormat="1" applyFont="1" applyFill="1" applyBorder="1" applyAlignment="1" applyProtection="1">
      <alignment horizontal="right"/>
    </xf>
    <xf numFmtId="6" fontId="16" fillId="0" borderId="547" xfId="53" applyNumberFormat="1" applyFont="1" applyFill="1" applyBorder="1" applyAlignment="1" applyProtection="1">
      <alignment horizontal="right"/>
    </xf>
    <xf numFmtId="3" fontId="16" fillId="0" borderId="538" xfId="53" applyNumberFormat="1" applyFont="1" applyFill="1" applyBorder="1" applyAlignment="1" applyProtection="1">
      <alignment horizontal="right"/>
    </xf>
    <xf numFmtId="165" fontId="16" fillId="0" borderId="536" xfId="53" applyNumberFormat="1" applyFont="1" applyFill="1" applyBorder="1" applyAlignment="1" applyProtection="1">
      <alignment horizontal="right"/>
    </xf>
    <xf numFmtId="165" fontId="16" fillId="0" borderId="547" xfId="53" applyNumberFormat="1" applyFont="1" applyFill="1" applyBorder="1" applyAlignment="1" applyProtection="1">
      <alignment horizontal="right"/>
    </xf>
    <xf numFmtId="6" fontId="16" fillId="35" borderId="536" xfId="53" applyNumberFormat="1" applyFont="1" applyFill="1" applyBorder="1" applyAlignment="1" applyProtection="1">
      <alignment horizontal="right"/>
    </xf>
    <xf numFmtId="0" fontId="16" fillId="26" borderId="507" xfId="0" applyFont="1" applyFill="1" applyBorder="1" applyAlignment="1">
      <alignment horizontal="center" vertical="center"/>
    </xf>
    <xf numFmtId="0" fontId="16" fillId="26" borderId="507" xfId="0" applyFont="1" applyFill="1" applyBorder="1" applyAlignment="1">
      <alignment horizontal="center" vertical="center" wrapText="1"/>
    </xf>
    <xf numFmtId="3" fontId="16" fillId="0" borderId="190" xfId="0" applyNumberFormat="1" applyFont="1" applyFill="1" applyBorder="1" applyAlignment="1">
      <alignment horizontal="center"/>
    </xf>
    <xf numFmtId="3" fontId="16" fillId="0" borderId="190" xfId="0" applyNumberFormat="1" applyFont="1" applyFill="1" applyBorder="1"/>
    <xf numFmtId="3" fontId="16" fillId="0" borderId="415" xfId="0" applyNumberFormat="1" applyFont="1" applyFill="1" applyBorder="1" applyAlignment="1">
      <alignment horizontal="center"/>
    </xf>
    <xf numFmtId="3" fontId="16" fillId="0" borderId="415" xfId="0" applyNumberFormat="1" applyFont="1" applyFill="1" applyBorder="1"/>
    <xf numFmtId="38" fontId="16" fillId="0" borderId="369" xfId="0" applyNumberFormat="1" applyFont="1" applyFill="1" applyBorder="1" applyAlignment="1">
      <alignment horizontal="right"/>
    </xf>
    <xf numFmtId="6" fontId="16" fillId="0" borderId="369" xfId="0" applyNumberFormat="1" applyFont="1" applyBorder="1" applyAlignment="1">
      <alignment horizontal="right"/>
    </xf>
    <xf numFmtId="6" fontId="16" fillId="35" borderId="369" xfId="0" applyNumberFormat="1" applyFont="1" applyFill="1" applyBorder="1" applyAlignment="1">
      <alignment horizontal="right"/>
    </xf>
    <xf numFmtId="6" fontId="16" fillId="35" borderId="369" xfId="0" applyNumberFormat="1" applyFont="1" applyFill="1" applyBorder="1" applyAlignment="1">
      <alignment horizontal="right" wrapText="1"/>
    </xf>
    <xf numFmtId="1" fontId="16" fillId="0" borderId="369" xfId="0" applyNumberFormat="1" applyFont="1" applyFill="1" applyBorder="1" applyAlignment="1">
      <alignment horizontal="right"/>
    </xf>
    <xf numFmtId="38" fontId="16" fillId="0" borderId="415" xfId="0" applyNumberFormat="1" applyFont="1" applyFill="1" applyBorder="1" applyAlignment="1">
      <alignment horizontal="right"/>
    </xf>
    <xf numFmtId="6" fontId="16" fillId="0" borderId="415" xfId="0" applyNumberFormat="1" applyFont="1" applyBorder="1" applyAlignment="1">
      <alignment horizontal="right"/>
    </xf>
    <xf numFmtId="6" fontId="16" fillId="35" borderId="415" xfId="0" applyNumberFormat="1" applyFont="1" applyFill="1" applyBorder="1" applyAlignment="1">
      <alignment horizontal="right"/>
    </xf>
    <xf numFmtId="6" fontId="16" fillId="35" borderId="415" xfId="0" applyNumberFormat="1" applyFont="1" applyFill="1" applyBorder="1" applyAlignment="1">
      <alignment horizontal="right" wrapText="1"/>
    </xf>
    <xf numFmtId="1" fontId="16" fillId="0" borderId="415" xfId="0" applyNumberFormat="1" applyFont="1" applyFill="1" applyBorder="1" applyAlignment="1">
      <alignment horizontal="right"/>
    </xf>
    <xf numFmtId="3" fontId="16" fillId="0" borderId="535" xfId="0" applyNumberFormat="1" applyFont="1" applyFill="1" applyBorder="1" applyAlignment="1">
      <alignment horizontal="center"/>
    </xf>
    <xf numFmtId="3" fontId="16" fillId="0" borderId="535" xfId="0" applyNumberFormat="1" applyFont="1" applyFill="1" applyBorder="1"/>
    <xf numFmtId="38" fontId="16" fillId="0" borderId="535" xfId="0" applyNumberFormat="1" applyFont="1" applyFill="1" applyBorder="1" applyAlignment="1">
      <alignment horizontal="right"/>
    </xf>
    <xf numFmtId="6" fontId="16" fillId="0" borderId="535" xfId="0" applyNumberFormat="1" applyFont="1" applyBorder="1" applyAlignment="1">
      <alignment horizontal="right"/>
    </xf>
    <xf numFmtId="6" fontId="16" fillId="0" borderId="535" xfId="0" applyNumberFormat="1" applyFont="1" applyFill="1" applyBorder="1" applyAlignment="1">
      <alignment horizontal="right"/>
    </xf>
    <xf numFmtId="6" fontId="16" fillId="35" borderId="535" xfId="0" applyNumberFormat="1" applyFont="1" applyFill="1" applyBorder="1" applyAlignment="1">
      <alignment horizontal="right"/>
    </xf>
    <xf numFmtId="6" fontId="16" fillId="35" borderId="535" xfId="0" applyNumberFormat="1" applyFont="1" applyFill="1" applyBorder="1" applyAlignment="1">
      <alignment horizontal="right" wrapText="1"/>
    </xf>
    <xf numFmtId="6" fontId="16" fillId="0" borderId="535" xfId="0" applyNumberFormat="1" applyFont="1" applyFill="1" applyBorder="1" applyAlignment="1">
      <alignment horizontal="right" wrapText="1"/>
    </xf>
    <xf numFmtId="1" fontId="16" fillId="0" borderId="535" xfId="0" applyNumberFormat="1" applyFont="1" applyFill="1" applyBorder="1" applyAlignment="1">
      <alignment horizontal="right"/>
    </xf>
    <xf numFmtId="3" fontId="16" fillId="0" borderId="536" xfId="0" applyNumberFormat="1" applyFont="1" applyFill="1" applyBorder="1" applyAlignment="1">
      <alignment horizontal="center"/>
    </xf>
    <xf numFmtId="3" fontId="16" fillId="0" borderId="536" xfId="0" applyNumberFormat="1" applyFont="1" applyFill="1" applyBorder="1"/>
    <xf numFmtId="38" fontId="16" fillId="0" borderId="536" xfId="0" applyNumberFormat="1" applyFont="1" applyFill="1" applyBorder="1" applyAlignment="1">
      <alignment horizontal="right"/>
    </xf>
    <xf numFmtId="6" fontId="16" fillId="0" borderId="536" xfId="0" applyNumberFormat="1" applyFont="1" applyBorder="1" applyAlignment="1">
      <alignment horizontal="right"/>
    </xf>
    <xf numFmtId="6" fontId="16" fillId="0" borderId="536" xfId="0" applyNumberFormat="1" applyFont="1" applyFill="1" applyBorder="1" applyAlignment="1">
      <alignment horizontal="right"/>
    </xf>
    <xf numFmtId="6" fontId="16" fillId="35" borderId="536" xfId="0" applyNumberFormat="1" applyFont="1" applyFill="1" applyBorder="1" applyAlignment="1">
      <alignment horizontal="right"/>
    </xf>
    <xf numFmtId="6" fontId="16" fillId="35" borderId="536" xfId="0" applyNumberFormat="1" applyFont="1" applyFill="1" applyBorder="1" applyAlignment="1">
      <alignment horizontal="right" wrapText="1"/>
    </xf>
    <xf numFmtId="6" fontId="16" fillId="0" borderId="536" xfId="0" applyNumberFormat="1" applyFont="1" applyFill="1" applyBorder="1" applyAlignment="1">
      <alignment horizontal="right" wrapText="1"/>
    </xf>
    <xf numFmtId="1" fontId="16" fillId="0" borderId="536" xfId="0" applyNumberFormat="1" applyFont="1" applyFill="1" applyBorder="1" applyAlignment="1">
      <alignment horizontal="right"/>
    </xf>
    <xf numFmtId="38" fontId="16" fillId="0" borderId="369" xfId="0" applyNumberFormat="1" applyFont="1" applyFill="1" applyBorder="1" applyAlignment="1">
      <alignment horizontal="right" wrapText="1"/>
    </xf>
    <xf numFmtId="38" fontId="16" fillId="0" borderId="535" xfId="0" applyNumberFormat="1" applyFont="1" applyFill="1" applyBorder="1" applyAlignment="1">
      <alignment horizontal="right" wrapText="1"/>
    </xf>
    <xf numFmtId="38" fontId="16" fillId="0" borderId="536" xfId="0" applyNumberFormat="1" applyFont="1" applyFill="1" applyBorder="1" applyAlignment="1">
      <alignment horizontal="right" wrapText="1"/>
    </xf>
    <xf numFmtId="0" fontId="33" fillId="25" borderId="506" xfId="53" applyFont="1" applyFill="1" applyBorder="1" applyAlignment="1">
      <alignment horizontal="center" vertical="center" wrapText="1"/>
    </xf>
    <xf numFmtId="0" fontId="33" fillId="29" borderId="506" xfId="53" applyFont="1" applyFill="1" applyBorder="1" applyAlignment="1">
      <alignment horizontal="center" vertical="center" wrapText="1"/>
    </xf>
    <xf numFmtId="0" fontId="104" fillId="48" borderId="506" xfId="70" applyFont="1" applyFill="1" applyBorder="1" applyAlignment="1">
      <alignment horizontal="center" wrapText="1"/>
    </xf>
    <xf numFmtId="0" fontId="104" fillId="0" borderId="506" xfId="71" applyFont="1" applyFill="1" applyBorder="1" applyAlignment="1">
      <alignment horizontal="center" wrapText="1"/>
    </xf>
    <xf numFmtId="0" fontId="104" fillId="0" borderId="506" xfId="70" applyFont="1" applyFill="1" applyBorder="1" applyAlignment="1">
      <alignment horizontal="center" wrapText="1"/>
    </xf>
    <xf numFmtId="0" fontId="104" fillId="0" borderId="511" xfId="70" applyFont="1" applyFill="1" applyBorder="1" applyAlignment="1">
      <alignment horizontal="center" wrapText="1"/>
    </xf>
    <xf numFmtId="0" fontId="1" fillId="0" borderId="190" xfId="47823" applyBorder="1"/>
    <xf numFmtId="0" fontId="45" fillId="0" borderId="415" xfId="45" applyBorder="1" applyAlignment="1">
      <alignment horizontal="left"/>
    </xf>
    <xf numFmtId="0" fontId="45" fillId="0" borderId="415" xfId="45" applyBorder="1"/>
    <xf numFmtId="0" fontId="45" fillId="0" borderId="536" xfId="45" applyBorder="1" applyAlignment="1">
      <alignment horizontal="left"/>
    </xf>
    <xf numFmtId="0" fontId="45" fillId="0" borderId="536" xfId="45" applyBorder="1"/>
    <xf numFmtId="0" fontId="45" fillId="0" borderId="535" xfId="45" applyBorder="1" applyAlignment="1">
      <alignment horizontal="left"/>
    </xf>
    <xf numFmtId="0" fontId="45" fillId="0" borderId="535" xfId="45" applyBorder="1"/>
    <xf numFmtId="3" fontId="106" fillId="0" borderId="12" xfId="47823" applyNumberFormat="1" applyFont="1" applyBorder="1"/>
    <xf numFmtId="0" fontId="45" fillId="0" borderId="415" xfId="45" applyBorder="1" applyAlignment="1">
      <alignment horizontal="left" wrapText="1"/>
    </xf>
    <xf numFmtId="6" fontId="20" fillId="0" borderId="564" xfId="53" applyNumberFormat="1" applyFont="1" applyFill="1" applyBorder="1" applyAlignment="1" applyProtection="1">
      <alignment horizontal="right"/>
    </xf>
    <xf numFmtId="6" fontId="33" fillId="0" borderId="526" xfId="54" applyNumberFormat="1" applyFont="1" applyFill="1" applyBorder="1" applyAlignment="1" applyProtection="1">
      <alignment horizontal="right"/>
    </xf>
    <xf numFmtId="0" fontId="57" fillId="0" borderId="0" xfId="0" applyFont="1" applyBorder="1" applyAlignment="1"/>
    <xf numFmtId="0" fontId="16" fillId="26" borderId="507" xfId="0" applyFont="1" applyFill="1" applyBorder="1"/>
    <xf numFmtId="0" fontId="20" fillId="0" borderId="415" xfId="0" applyFont="1" applyBorder="1" applyAlignment="1">
      <alignment vertical="center" wrapText="1"/>
    </xf>
    <xf numFmtId="1" fontId="27" fillId="26" borderId="507" xfId="0" quotePrefix="1" applyNumberFormat="1" applyFont="1" applyFill="1" applyBorder="1" applyAlignment="1">
      <alignment horizontal="center"/>
    </xf>
    <xf numFmtId="6" fontId="20" fillId="0" borderId="415" xfId="0" applyNumberFormat="1" applyFont="1" applyFill="1" applyBorder="1" applyAlignment="1">
      <alignment vertical="center"/>
    </xf>
    <xf numFmtId="6" fontId="20" fillId="0" borderId="507" xfId="0" applyNumberFormat="1" applyFont="1" applyBorder="1" applyAlignment="1">
      <alignment vertical="center"/>
    </xf>
    <xf numFmtId="0" fontId="33" fillId="37" borderId="190" xfId="0" applyFont="1" applyFill="1" applyBorder="1" applyAlignment="1">
      <alignment horizontal="center" vertical="center" wrapText="1"/>
    </xf>
    <xf numFmtId="0" fontId="33" fillId="43" borderId="190" xfId="0" applyFont="1" applyFill="1" applyBorder="1" applyAlignment="1">
      <alignment horizontal="center" vertical="center" wrapText="1"/>
    </xf>
    <xf numFmtId="0" fontId="33" fillId="27" borderId="507" xfId="0" applyFont="1" applyFill="1" applyBorder="1" applyAlignment="1">
      <alignment horizontal="center" vertical="center" wrapText="1"/>
    </xf>
    <xf numFmtId="49" fontId="33" fillId="38" borderId="507" xfId="0" applyNumberFormat="1" applyFont="1" applyFill="1" applyBorder="1" applyAlignment="1">
      <alignment horizontal="center" vertical="center" wrapText="1"/>
    </xf>
    <xf numFmtId="49" fontId="33" fillId="37" borderId="380" xfId="53" applyNumberFormat="1" applyFont="1" applyFill="1" applyBorder="1" applyAlignment="1">
      <alignment horizontal="center" vertical="center" wrapText="1"/>
    </xf>
    <xf numFmtId="49" fontId="33" fillId="37" borderId="13" xfId="53" applyNumberFormat="1" applyFont="1" applyFill="1" applyBorder="1" applyAlignment="1">
      <alignment horizontal="center" vertical="center" wrapText="1"/>
    </xf>
    <xf numFmtId="0" fontId="33" fillId="27" borderId="506" xfId="0" applyFont="1" applyFill="1" applyBorder="1" applyAlignment="1">
      <alignment horizontal="center" vertical="center" wrapText="1"/>
    </xf>
    <xf numFmtId="49" fontId="33" fillId="38" borderId="10" xfId="53" applyNumberFormat="1" applyFont="1" applyFill="1" applyBorder="1" applyAlignment="1">
      <alignment horizontal="center" vertical="center" wrapText="1"/>
    </xf>
    <xf numFmtId="49" fontId="33" fillId="38" borderId="13" xfId="53" applyNumberFormat="1" applyFont="1" applyFill="1" applyBorder="1" applyAlignment="1">
      <alignment horizontal="center" vertical="center" wrapText="1"/>
    </xf>
    <xf numFmtId="49" fontId="33" fillId="37" borderId="311" xfId="53" applyNumberFormat="1" applyFont="1" applyFill="1" applyBorder="1" applyAlignment="1">
      <alignment horizontal="center" vertical="center" wrapText="1"/>
    </xf>
    <xf numFmtId="49" fontId="33" fillId="37" borderId="190" xfId="53" applyNumberFormat="1" applyFont="1" applyFill="1" applyBorder="1" applyAlignment="1">
      <alignment horizontal="center" vertical="center" wrapText="1"/>
    </xf>
    <xf numFmtId="6" fontId="33" fillId="37" borderId="502" xfId="54" applyNumberFormat="1" applyFont="1" applyFill="1" applyBorder="1" applyAlignment="1" applyProtection="1">
      <alignment horizontal="right"/>
    </xf>
    <xf numFmtId="6" fontId="16" fillId="42" borderId="542" xfId="53" applyNumberFormat="1" applyFont="1" applyFill="1" applyBorder="1" applyAlignment="1" applyProtection="1">
      <alignment horizontal="right"/>
    </xf>
    <xf numFmtId="6" fontId="16" fillId="42" borderId="539" xfId="53" applyNumberFormat="1" applyFont="1" applyFill="1" applyBorder="1" applyAlignment="1" applyProtection="1">
      <alignment horizontal="right"/>
    </xf>
    <xf numFmtId="6" fontId="16" fillId="42" borderId="454" xfId="53" applyNumberFormat="1" applyFont="1" applyFill="1" applyBorder="1" applyAlignment="1" applyProtection="1">
      <alignment horizontal="right"/>
    </xf>
    <xf numFmtId="165" fontId="33" fillId="42" borderId="502" xfId="54" applyNumberFormat="1" applyFont="1" applyFill="1" applyBorder="1" applyAlignment="1" applyProtection="1">
      <alignment horizontal="right"/>
    </xf>
    <xf numFmtId="165" fontId="16" fillId="42" borderId="538" xfId="53" applyNumberFormat="1" applyFont="1" applyFill="1" applyBorder="1" applyAlignment="1" applyProtection="1">
      <alignment horizontal="right"/>
    </xf>
    <xf numFmtId="165" fontId="16" fillId="42" borderId="39" xfId="53" applyNumberFormat="1" applyFont="1" applyFill="1" applyBorder="1" applyAlignment="1" applyProtection="1">
      <alignment horizontal="right"/>
    </xf>
    <xf numFmtId="49" fontId="33" fillId="54" borderId="10" xfId="53" applyNumberFormat="1" applyFont="1" applyFill="1" applyBorder="1" applyAlignment="1">
      <alignment horizontal="center" vertical="center" wrapText="1"/>
    </xf>
    <xf numFmtId="49" fontId="33" fillId="54" borderId="13" xfId="53" applyNumberFormat="1" applyFont="1" applyFill="1" applyBorder="1" applyAlignment="1">
      <alignment horizontal="center" vertical="center" wrapText="1"/>
    </xf>
    <xf numFmtId="165" fontId="16" fillId="54" borderId="541" xfId="53" applyNumberFormat="1" applyFont="1" applyFill="1" applyBorder="1" applyAlignment="1" applyProtection="1">
      <alignment horizontal="right"/>
    </xf>
    <xf numFmtId="165" fontId="16" fillId="54" borderId="538" xfId="53" applyNumberFormat="1" applyFont="1" applyFill="1" applyBorder="1" applyAlignment="1" applyProtection="1">
      <alignment horizontal="right"/>
    </xf>
    <xf numFmtId="165" fontId="16" fillId="54" borderId="516" xfId="53" applyNumberFormat="1" applyFont="1" applyFill="1" applyBorder="1" applyAlignment="1" applyProtection="1">
      <alignment horizontal="right"/>
    </xf>
    <xf numFmtId="165" fontId="16" fillId="54" borderId="39" xfId="53" applyNumberFormat="1" applyFont="1" applyFill="1" applyBorder="1" applyAlignment="1" applyProtection="1">
      <alignment horizontal="right"/>
    </xf>
    <xf numFmtId="165" fontId="33" fillId="54" borderId="73" xfId="54" applyNumberFormat="1" applyFont="1" applyFill="1" applyBorder="1" applyAlignment="1" applyProtection="1">
      <alignment horizontal="right"/>
    </xf>
    <xf numFmtId="6" fontId="16" fillId="54" borderId="541" xfId="53" applyNumberFormat="1" applyFont="1" applyFill="1" applyBorder="1" applyAlignment="1" applyProtection="1">
      <alignment horizontal="right"/>
    </xf>
    <xf numFmtId="6" fontId="16" fillId="54" borderId="538" xfId="53" applyNumberFormat="1" applyFont="1" applyFill="1" applyBorder="1" applyAlignment="1" applyProtection="1">
      <alignment horizontal="right"/>
    </xf>
    <xf numFmtId="6" fontId="16" fillId="54" borderId="516" xfId="53" applyNumberFormat="1" applyFont="1" applyFill="1" applyBorder="1" applyAlignment="1" applyProtection="1">
      <alignment horizontal="right"/>
    </xf>
    <xf numFmtId="6" fontId="16" fillId="54" borderId="39" xfId="53" applyNumberFormat="1" applyFont="1" applyFill="1" applyBorder="1" applyAlignment="1" applyProtection="1">
      <alignment horizontal="right"/>
    </xf>
    <xf numFmtId="6" fontId="33" fillId="54" borderId="73" xfId="54" applyNumberFormat="1" applyFont="1" applyFill="1" applyBorder="1" applyAlignment="1" applyProtection="1">
      <alignment horizontal="right"/>
    </xf>
    <xf numFmtId="165" fontId="33" fillId="54" borderId="290" xfId="54" applyNumberFormat="1" applyFont="1" applyFill="1" applyBorder="1" applyAlignment="1" applyProtection="1">
      <alignment horizontal="right"/>
    </xf>
    <xf numFmtId="6" fontId="33" fillId="54" borderId="290" xfId="54" applyNumberFormat="1" applyFont="1" applyFill="1" applyBorder="1" applyAlignment="1" applyProtection="1">
      <alignment horizontal="right"/>
    </xf>
    <xf numFmtId="6" fontId="33" fillId="54" borderId="270" xfId="54" applyNumberFormat="1" applyFont="1" applyFill="1" applyBorder="1" applyAlignment="1" applyProtection="1">
      <alignment horizontal="right"/>
    </xf>
    <xf numFmtId="165" fontId="33" fillId="54" borderId="270" xfId="54" applyNumberFormat="1" applyFont="1" applyFill="1" applyBorder="1" applyAlignment="1" applyProtection="1">
      <alignment horizontal="right"/>
    </xf>
    <xf numFmtId="6" fontId="33" fillId="54" borderId="263" xfId="54" applyNumberFormat="1" applyFont="1" applyFill="1" applyBorder="1" applyAlignment="1" applyProtection="1">
      <alignment horizontal="right"/>
    </xf>
    <xf numFmtId="6" fontId="33" fillId="54" borderId="230" xfId="54" applyNumberFormat="1" applyFont="1" applyFill="1" applyBorder="1" applyAlignment="1" applyProtection="1">
      <alignment horizontal="right"/>
    </xf>
    <xf numFmtId="49" fontId="56" fillId="36" borderId="406" xfId="53" applyNumberFormat="1" applyFont="1" applyFill="1" applyBorder="1" applyAlignment="1">
      <alignment horizontal="center" vertical="center" wrapText="1"/>
    </xf>
    <xf numFmtId="49" fontId="56" fillId="36" borderId="14" xfId="53" applyNumberFormat="1" applyFont="1" applyFill="1" applyBorder="1" applyAlignment="1">
      <alignment horizontal="center" vertical="center" wrapText="1"/>
    </xf>
    <xf numFmtId="49" fontId="56" fillId="36" borderId="72" xfId="53" applyNumberFormat="1" applyFont="1" applyFill="1" applyBorder="1" applyAlignment="1">
      <alignment horizontal="center" vertical="center" wrapText="1"/>
    </xf>
    <xf numFmtId="6" fontId="16" fillId="54" borderId="103" xfId="53" applyNumberFormat="1" applyFont="1" applyFill="1" applyBorder="1" applyAlignment="1" applyProtection="1">
      <alignment horizontal="right"/>
    </xf>
    <xf numFmtId="165" fontId="16" fillId="54" borderId="103" xfId="53" applyNumberFormat="1" applyFont="1" applyFill="1" applyBorder="1" applyAlignment="1" applyProtection="1">
      <alignment horizontal="right"/>
    </xf>
    <xf numFmtId="165" fontId="16" fillId="42" borderId="541" xfId="53" applyNumberFormat="1" applyFont="1" applyFill="1" applyBorder="1" applyAlignment="1" applyProtection="1">
      <alignment horizontal="right"/>
    </xf>
    <xf numFmtId="165" fontId="16" fillId="42" borderId="516" xfId="53" applyNumberFormat="1" applyFont="1" applyFill="1" applyBorder="1" applyAlignment="1" applyProtection="1">
      <alignment horizontal="right"/>
    </xf>
    <xf numFmtId="165" fontId="33" fillId="42" borderId="73" xfId="54" applyNumberFormat="1" applyFont="1" applyFill="1" applyBorder="1" applyAlignment="1" applyProtection="1">
      <alignment horizontal="right"/>
    </xf>
    <xf numFmtId="6" fontId="16" fillId="42" borderId="40" xfId="53" applyNumberFormat="1" applyFont="1" applyFill="1" applyBorder="1" applyAlignment="1" applyProtection="1">
      <alignment horizontal="right"/>
    </xf>
    <xf numFmtId="165" fontId="16" fillId="42" borderId="542" xfId="53" applyNumberFormat="1" applyFont="1" applyFill="1" applyBorder="1" applyAlignment="1" applyProtection="1">
      <alignment horizontal="right"/>
    </xf>
    <xf numFmtId="165" fontId="16" fillId="42" borderId="539" xfId="53" applyNumberFormat="1" applyFont="1" applyFill="1" applyBorder="1" applyAlignment="1" applyProtection="1">
      <alignment horizontal="right"/>
    </xf>
    <xf numFmtId="165" fontId="16" fillId="42" borderId="454" xfId="53" applyNumberFormat="1" applyFont="1" applyFill="1" applyBorder="1" applyAlignment="1" applyProtection="1">
      <alignment horizontal="right"/>
    </xf>
    <xf numFmtId="49" fontId="33" fillId="38" borderId="221" xfId="53" applyNumberFormat="1" applyFont="1" applyFill="1" applyBorder="1" applyAlignment="1">
      <alignment horizontal="center" vertical="center" wrapText="1"/>
    </xf>
    <xf numFmtId="165" fontId="16" fillId="38" borderId="542" xfId="54" applyNumberFormat="1" applyFont="1" applyFill="1" applyBorder="1" applyAlignment="1" applyProtection="1">
      <alignment horizontal="right"/>
    </xf>
    <xf numFmtId="165" fontId="16" fillId="38" borderId="539" xfId="54" applyNumberFormat="1" applyFont="1" applyFill="1" applyBorder="1" applyAlignment="1" applyProtection="1">
      <alignment horizontal="right"/>
    </xf>
    <xf numFmtId="165" fontId="16" fillId="38" borderId="454" xfId="54" applyNumberFormat="1" applyFont="1" applyFill="1" applyBorder="1" applyAlignment="1" applyProtection="1">
      <alignment horizontal="right"/>
    </xf>
    <xf numFmtId="165" fontId="16" fillId="38" borderId="459" xfId="53" applyNumberFormat="1" applyFont="1" applyFill="1" applyBorder="1" applyAlignment="1" applyProtection="1">
      <alignment horizontal="right"/>
    </xf>
    <xf numFmtId="165" fontId="33" fillId="38" borderId="74" xfId="54" applyNumberFormat="1" applyFont="1" applyFill="1" applyBorder="1" applyAlignment="1" applyProtection="1">
      <alignment horizontal="right"/>
    </xf>
    <xf numFmtId="165" fontId="33" fillId="38" borderId="503" xfId="54" applyNumberFormat="1" applyFont="1" applyFill="1" applyBorder="1" applyAlignment="1" applyProtection="1">
      <alignment horizontal="right"/>
    </xf>
    <xf numFmtId="6" fontId="16" fillId="38" borderId="542" xfId="54" applyNumberFormat="1" applyFont="1" applyFill="1" applyBorder="1" applyAlignment="1" applyProtection="1">
      <alignment horizontal="right"/>
    </xf>
    <xf numFmtId="6" fontId="16" fillId="38" borderId="539" xfId="54" applyNumberFormat="1" applyFont="1" applyFill="1" applyBorder="1" applyAlignment="1" applyProtection="1">
      <alignment horizontal="right"/>
    </xf>
    <xf numFmtId="6" fontId="16" fillId="38" borderId="454" xfId="54" applyNumberFormat="1" applyFont="1" applyFill="1" applyBorder="1" applyAlignment="1" applyProtection="1">
      <alignment horizontal="right"/>
    </xf>
    <xf numFmtId="6" fontId="16" fillId="38" borderId="459" xfId="53" applyNumberFormat="1" applyFont="1" applyFill="1" applyBorder="1" applyAlignment="1" applyProtection="1">
      <alignment horizontal="right"/>
    </xf>
    <xf numFmtId="6" fontId="33" fillId="38" borderId="74" xfId="54" applyNumberFormat="1" applyFont="1" applyFill="1" applyBorder="1" applyAlignment="1" applyProtection="1">
      <alignment horizontal="right"/>
    </xf>
    <xf numFmtId="6" fontId="33" fillId="38" borderId="503" xfId="54" applyNumberFormat="1" applyFont="1" applyFill="1" applyBorder="1" applyAlignment="1" applyProtection="1">
      <alignment horizontal="right"/>
    </xf>
    <xf numFmtId="6" fontId="16" fillId="38" borderId="415" xfId="54" applyNumberFormat="1" applyFont="1" applyFill="1" applyBorder="1" applyAlignment="1" applyProtection="1">
      <alignment horizontal="right"/>
    </xf>
    <xf numFmtId="6" fontId="16" fillId="38" borderId="104" xfId="54" applyNumberFormat="1" applyFont="1" applyFill="1" applyBorder="1" applyAlignment="1" applyProtection="1">
      <alignment horizontal="right"/>
    </xf>
    <xf numFmtId="6" fontId="16" fillId="38" borderId="190" xfId="54" applyNumberFormat="1" applyFont="1" applyFill="1" applyBorder="1" applyAlignment="1" applyProtection="1">
      <alignment horizontal="right"/>
    </xf>
    <xf numFmtId="165" fontId="16" fillId="38" borderId="415" xfId="54" applyNumberFormat="1" applyFont="1" applyFill="1" applyBorder="1" applyAlignment="1" applyProtection="1">
      <alignment horizontal="right"/>
    </xf>
    <xf numFmtId="165" fontId="16" fillId="38" borderId="104" xfId="54" applyNumberFormat="1" applyFont="1" applyFill="1" applyBorder="1" applyAlignment="1" applyProtection="1">
      <alignment horizontal="right"/>
    </xf>
    <xf numFmtId="165" fontId="16" fillId="38" borderId="190" xfId="54" applyNumberFormat="1" applyFont="1" applyFill="1" applyBorder="1" applyAlignment="1" applyProtection="1">
      <alignment horizontal="right"/>
    </xf>
    <xf numFmtId="6" fontId="16" fillId="38" borderId="535" xfId="54" applyNumberFormat="1" applyFont="1" applyFill="1" applyBorder="1" applyAlignment="1" applyProtection="1">
      <alignment horizontal="right"/>
    </xf>
    <xf numFmtId="6" fontId="16" fillId="38" borderId="536" xfId="54" applyNumberFormat="1" applyFont="1" applyFill="1" applyBorder="1" applyAlignment="1" applyProtection="1">
      <alignment horizontal="right"/>
    </xf>
    <xf numFmtId="6" fontId="16" fillId="38" borderId="414" xfId="54" applyNumberFormat="1" applyFont="1" applyFill="1" applyBorder="1" applyAlignment="1" applyProtection="1">
      <alignment horizontal="right"/>
    </xf>
    <xf numFmtId="6" fontId="33" fillId="38" borderId="466" xfId="54" applyNumberFormat="1" applyFont="1" applyFill="1" applyBorder="1" applyAlignment="1" applyProtection="1">
      <alignment horizontal="right"/>
    </xf>
    <xf numFmtId="165" fontId="33" fillId="38" borderId="297" xfId="54" applyNumberFormat="1" applyFont="1" applyFill="1" applyBorder="1" applyAlignment="1" applyProtection="1">
      <alignment horizontal="right"/>
    </xf>
    <xf numFmtId="6" fontId="33" fillId="38" borderId="297" xfId="54" applyNumberFormat="1" applyFont="1" applyFill="1" applyBorder="1" applyAlignment="1" applyProtection="1">
      <alignment horizontal="right"/>
    </xf>
    <xf numFmtId="165" fontId="33" fillId="38" borderId="273" xfId="54" applyNumberFormat="1" applyFont="1" applyFill="1" applyBorder="1" applyAlignment="1" applyProtection="1">
      <alignment horizontal="right"/>
    </xf>
    <xf numFmtId="165" fontId="33" fillId="38" borderId="260" xfId="54" applyNumberFormat="1" applyFont="1" applyFill="1" applyBorder="1" applyAlignment="1" applyProtection="1">
      <alignment horizontal="right"/>
    </xf>
    <xf numFmtId="165" fontId="33" fillId="38" borderId="211" xfId="54" applyNumberFormat="1" applyFont="1" applyFill="1" applyBorder="1" applyAlignment="1" applyProtection="1">
      <alignment horizontal="right"/>
    </xf>
    <xf numFmtId="49" fontId="56" fillId="33" borderId="406" xfId="53" applyNumberFormat="1" applyFont="1" applyFill="1" applyBorder="1" applyAlignment="1">
      <alignment horizontal="center" vertical="center" wrapText="1"/>
    </xf>
    <xf numFmtId="49" fontId="56" fillId="33" borderId="14" xfId="53" applyNumberFormat="1" applyFont="1" applyFill="1" applyBorder="1" applyAlignment="1">
      <alignment horizontal="center" vertical="center" wrapText="1"/>
    </xf>
    <xf numFmtId="49" fontId="56" fillId="33" borderId="72" xfId="53" applyNumberFormat="1" applyFont="1" applyFill="1" applyBorder="1" applyAlignment="1">
      <alignment horizontal="center" vertical="center" wrapText="1"/>
    </xf>
    <xf numFmtId="10" fontId="33" fillId="33" borderId="507" xfId="48" applyNumberFormat="1" applyFont="1" applyFill="1" applyBorder="1" applyAlignment="1">
      <alignment horizontal="center" vertical="center" wrapText="1"/>
    </xf>
    <xf numFmtId="165" fontId="33" fillId="54" borderId="502" xfId="54" applyNumberFormat="1" applyFont="1" applyFill="1" applyBorder="1" applyAlignment="1" applyProtection="1">
      <alignment horizontal="right"/>
    </xf>
    <xf numFmtId="10" fontId="33" fillId="36" borderId="507" xfId="48" applyNumberFormat="1" applyFont="1" applyFill="1" applyBorder="1" applyAlignment="1">
      <alignment horizontal="center" vertical="center" wrapText="1"/>
    </xf>
    <xf numFmtId="6" fontId="16" fillId="38" borderId="535" xfId="0" applyNumberFormat="1" applyFont="1" applyFill="1" applyBorder="1" applyAlignment="1">
      <alignment horizontal="right"/>
    </xf>
    <xf numFmtId="6" fontId="16" fillId="38" borderId="536" xfId="0" applyNumberFormat="1" applyFont="1" applyFill="1" applyBorder="1" applyAlignment="1">
      <alignment horizontal="right"/>
    </xf>
    <xf numFmtId="6" fontId="16" fillId="38" borderId="415" xfId="0" applyNumberFormat="1" applyFont="1" applyFill="1" applyBorder="1" applyAlignment="1">
      <alignment horizontal="right"/>
    </xf>
    <xf numFmtId="6" fontId="16" fillId="38" borderId="369" xfId="0" applyNumberFormat="1" applyFont="1" applyFill="1" applyBorder="1" applyAlignment="1">
      <alignment horizontal="right"/>
    </xf>
    <xf numFmtId="6" fontId="16" fillId="37" borderId="535" xfId="0" applyNumberFormat="1" applyFont="1" applyFill="1" applyBorder="1" applyAlignment="1">
      <alignment horizontal="right"/>
    </xf>
    <xf numFmtId="6" fontId="16" fillId="37" borderId="536" xfId="0" applyNumberFormat="1" applyFont="1" applyFill="1" applyBorder="1" applyAlignment="1">
      <alignment horizontal="right"/>
    </xf>
    <xf numFmtId="6" fontId="16" fillId="37" borderId="415" xfId="0" applyNumberFormat="1" applyFont="1" applyFill="1" applyBorder="1" applyAlignment="1">
      <alignment horizontal="right"/>
    </xf>
    <xf numFmtId="6" fontId="16" fillId="37" borderId="369" xfId="0" applyNumberFormat="1" applyFont="1" applyFill="1" applyBorder="1" applyAlignment="1">
      <alignment horizontal="right"/>
    </xf>
    <xf numFmtId="165" fontId="33" fillId="37" borderId="297" xfId="54" applyNumberFormat="1" applyFont="1" applyFill="1" applyBorder="1" applyAlignment="1" applyProtection="1">
      <alignment horizontal="right"/>
    </xf>
    <xf numFmtId="10" fontId="33" fillId="38" borderId="507" xfId="0" applyNumberFormat="1" applyFont="1" applyFill="1" applyBorder="1" applyAlignment="1">
      <alignment horizontal="center" vertical="center" wrapText="1"/>
    </xf>
    <xf numFmtId="10" fontId="33" fillId="33" borderId="507" xfId="0" applyNumberFormat="1" applyFont="1" applyFill="1" applyBorder="1" applyAlignment="1">
      <alignment horizontal="center" vertical="center" wrapText="1"/>
    </xf>
    <xf numFmtId="6" fontId="16" fillId="38" borderId="563" xfId="53" applyNumberFormat="1" applyFont="1" applyFill="1" applyBorder="1" applyAlignment="1" applyProtection="1">
      <alignment horizontal="right"/>
    </xf>
    <xf numFmtId="6" fontId="16" fillId="38" borderId="378" xfId="53" applyNumberFormat="1" applyFont="1" applyFill="1" applyBorder="1" applyAlignment="1" applyProtection="1">
      <alignment horizontal="right"/>
    </xf>
    <xf numFmtId="6" fontId="20" fillId="38" borderId="497" xfId="53" applyNumberFormat="1" applyFont="1" applyFill="1" applyBorder="1" applyAlignment="1" applyProtection="1">
      <alignment horizontal="right"/>
    </xf>
    <xf numFmtId="6" fontId="20" fillId="38" borderId="111" xfId="53" applyNumberFormat="1" applyFont="1" applyFill="1" applyBorder="1" applyAlignment="1" applyProtection="1">
      <alignment horizontal="right"/>
    </xf>
    <xf numFmtId="0" fontId="84" fillId="36" borderId="406" xfId="0" applyFont="1" applyFill="1" applyBorder="1"/>
    <xf numFmtId="0" fontId="84" fillId="36" borderId="14" xfId="0" applyFont="1" applyFill="1" applyBorder="1"/>
    <xf numFmtId="0" fontId="84" fillId="36" borderId="72" xfId="0" applyFont="1" applyFill="1" applyBorder="1"/>
    <xf numFmtId="0" fontId="33" fillId="54" borderId="190" xfId="0" applyFont="1" applyFill="1" applyBorder="1" applyAlignment="1">
      <alignment horizontal="center" vertical="center" wrapText="1"/>
    </xf>
    <xf numFmtId="10" fontId="33" fillId="36" borderId="507" xfId="0" applyNumberFormat="1" applyFont="1" applyFill="1" applyBorder="1" applyAlignment="1">
      <alignment horizontal="center" vertical="center" wrapText="1"/>
    </xf>
    <xf numFmtId="6" fontId="16" fillId="54" borderId="535" xfId="0" applyNumberFormat="1" applyFont="1" applyFill="1" applyBorder="1" applyAlignment="1">
      <alignment horizontal="right" wrapText="1"/>
    </xf>
    <xf numFmtId="6" fontId="16" fillId="54" borderId="536" xfId="0" applyNumberFormat="1" applyFont="1" applyFill="1" applyBorder="1" applyAlignment="1">
      <alignment horizontal="right" wrapText="1"/>
    </xf>
    <xf numFmtId="6" fontId="16" fillId="54" borderId="415" xfId="0" applyNumberFormat="1" applyFont="1" applyFill="1" applyBorder="1" applyAlignment="1">
      <alignment horizontal="right" wrapText="1"/>
    </xf>
    <xf numFmtId="6" fontId="16" fillId="54" borderId="369" xfId="0" applyNumberFormat="1" applyFont="1" applyFill="1" applyBorder="1" applyAlignment="1">
      <alignment horizontal="right" wrapText="1"/>
    </xf>
    <xf numFmtId="38" fontId="33" fillId="54" borderId="290" xfId="54" applyNumberFormat="1" applyFont="1" applyFill="1" applyBorder="1" applyAlignment="1" applyProtection="1">
      <alignment horizontal="right"/>
    </xf>
    <xf numFmtId="6" fontId="16" fillId="37" borderId="535" xfId="0" applyNumberFormat="1" applyFont="1" applyFill="1" applyBorder="1" applyAlignment="1">
      <alignment horizontal="right" wrapText="1"/>
    </xf>
    <xf numFmtId="6" fontId="16" fillId="37" borderId="536" xfId="0" applyNumberFormat="1" applyFont="1" applyFill="1" applyBorder="1" applyAlignment="1">
      <alignment horizontal="right" wrapText="1"/>
    </xf>
    <xf numFmtId="6" fontId="16" fillId="37" borderId="415" xfId="0" applyNumberFormat="1" applyFont="1" applyFill="1" applyBorder="1" applyAlignment="1">
      <alignment horizontal="right" wrapText="1"/>
    </xf>
    <xf numFmtId="6" fontId="16" fillId="37" borderId="369" xfId="0" applyNumberFormat="1" applyFont="1" applyFill="1" applyBorder="1" applyAlignment="1">
      <alignment horizontal="right" wrapText="1"/>
    </xf>
    <xf numFmtId="6" fontId="16" fillId="42" borderId="535" xfId="0" applyNumberFormat="1" applyFont="1" applyFill="1" applyBorder="1" applyAlignment="1">
      <alignment horizontal="right" wrapText="1"/>
    </xf>
    <xf numFmtId="6" fontId="16" fillId="42" borderId="536" xfId="0" applyNumberFormat="1" applyFont="1" applyFill="1" applyBorder="1" applyAlignment="1">
      <alignment horizontal="right" wrapText="1"/>
    </xf>
    <xf numFmtId="6" fontId="16" fillId="42" borderId="415" xfId="0" applyNumberFormat="1" applyFont="1" applyFill="1" applyBorder="1" applyAlignment="1">
      <alignment horizontal="right" wrapText="1"/>
    </xf>
    <xf numFmtId="6" fontId="16" fillId="42" borderId="369" xfId="0" applyNumberFormat="1" applyFont="1" applyFill="1" applyBorder="1" applyAlignment="1">
      <alignment horizontal="right" wrapText="1"/>
    </xf>
    <xf numFmtId="0" fontId="33" fillId="38" borderId="10" xfId="0" applyFont="1" applyFill="1" applyBorder="1" applyAlignment="1">
      <alignment horizontal="center" vertical="center" wrapText="1"/>
    </xf>
    <xf numFmtId="0" fontId="33" fillId="38" borderId="311" xfId="0" applyFont="1" applyFill="1" applyBorder="1" applyAlignment="1">
      <alignment horizontal="center" vertical="center" wrapText="1"/>
    </xf>
    <xf numFmtId="6" fontId="0" fillId="38" borderId="13" xfId="0" applyNumberFormat="1" applyFill="1" applyBorder="1"/>
    <xf numFmtId="6" fontId="33" fillId="38" borderId="12" xfId="0" applyNumberFormat="1" applyFont="1" applyFill="1" applyBorder="1"/>
    <xf numFmtId="0" fontId="33" fillId="38" borderId="506" xfId="0" applyFont="1" applyFill="1" applyBorder="1" applyAlignment="1">
      <alignment horizontal="center" vertical="center" wrapText="1"/>
    </xf>
    <xf numFmtId="0" fontId="0" fillId="26" borderId="507" xfId="0" applyFill="1" applyBorder="1"/>
    <xf numFmtId="0" fontId="16" fillId="0" borderId="415" xfId="0" applyFont="1" applyBorder="1" applyAlignment="1">
      <alignment horizontal="center" wrapText="1"/>
    </xf>
    <xf numFmtId="0" fontId="16" fillId="0" borderId="190" xfId="0" applyFont="1" applyBorder="1" applyAlignment="1">
      <alignment horizontal="center" wrapText="1"/>
    </xf>
    <xf numFmtId="6" fontId="16" fillId="38" borderId="187" xfId="53" applyNumberFormat="1" applyFont="1" applyFill="1" applyBorder="1" applyAlignment="1">
      <alignment horizontal="right"/>
    </xf>
    <xf numFmtId="6" fontId="20" fillId="38" borderId="187" xfId="53" applyNumberFormat="1" applyFont="1" applyFill="1" applyBorder="1" applyAlignment="1">
      <alignment horizontal="right"/>
    </xf>
    <xf numFmtId="6" fontId="16" fillId="37" borderId="310" xfId="53" applyNumberFormat="1" applyFont="1" applyFill="1" applyBorder="1" applyAlignment="1">
      <alignment horizontal="right"/>
    </xf>
    <xf numFmtId="6" fontId="20" fillId="37" borderId="187" xfId="53" applyNumberFormat="1" applyFont="1" applyFill="1" applyBorder="1" applyAlignment="1">
      <alignment horizontal="right"/>
    </xf>
    <xf numFmtId="6" fontId="16" fillId="38" borderId="310" xfId="53" applyNumberFormat="1" applyFont="1" applyFill="1" applyBorder="1" applyAlignment="1">
      <alignment horizontal="right"/>
    </xf>
    <xf numFmtId="6" fontId="16" fillId="38" borderId="507" xfId="53" applyNumberFormat="1" applyFont="1" applyFill="1" applyBorder="1" applyAlignment="1">
      <alignment horizontal="right"/>
    </xf>
    <xf numFmtId="6" fontId="20" fillId="38" borderId="507" xfId="53" applyNumberFormat="1" applyFont="1" applyFill="1" applyBorder="1" applyAlignment="1">
      <alignment horizontal="right"/>
    </xf>
    <xf numFmtId="10" fontId="33" fillId="33" borderId="507" xfId="49" applyNumberFormat="1" applyFont="1" applyFill="1" applyBorder="1" applyAlignment="1">
      <alignment horizontal="center" vertical="center" wrapText="1"/>
    </xf>
    <xf numFmtId="6" fontId="33" fillId="33" borderId="507" xfId="49" applyNumberFormat="1" applyFont="1" applyFill="1" applyBorder="1" applyAlignment="1">
      <alignment horizontal="center" vertical="center" wrapText="1"/>
    </xf>
    <xf numFmtId="165" fontId="18" fillId="38" borderId="519" xfId="30" applyNumberFormat="1" applyFont="1" applyFill="1" applyBorder="1" applyAlignment="1" applyProtection="1">
      <alignment horizontal="right"/>
    </xf>
    <xf numFmtId="165" fontId="18" fillId="38" borderId="522" xfId="30" applyNumberFormat="1" applyFont="1" applyFill="1" applyBorder="1" applyAlignment="1" applyProtection="1">
      <alignment horizontal="right"/>
    </xf>
    <xf numFmtId="165" fontId="18" fillId="38" borderId="454" xfId="30" applyNumberFormat="1" applyFont="1" applyFill="1" applyBorder="1" applyAlignment="1" applyProtection="1">
      <alignment horizontal="right"/>
    </xf>
    <xf numFmtId="6" fontId="33" fillId="38" borderId="211" xfId="54" applyNumberFormat="1" applyFont="1" applyFill="1" applyBorder="1" applyAlignment="1" applyProtection="1">
      <alignment horizontal="right"/>
    </xf>
    <xf numFmtId="165" fontId="16" fillId="38" borderId="519" xfId="30" applyNumberFormat="1" applyFont="1" applyFill="1" applyBorder="1" applyAlignment="1" applyProtection="1">
      <alignment horizontal="right"/>
    </xf>
    <xf numFmtId="6" fontId="16" fillId="38" borderId="298" xfId="53" applyNumberFormat="1" applyFont="1" applyFill="1" applyBorder="1" applyAlignment="1" applyProtection="1">
      <alignment horizontal="right"/>
    </xf>
    <xf numFmtId="6" fontId="16" fillId="38" borderId="299" xfId="53" applyNumberFormat="1" applyFont="1" applyFill="1" applyBorder="1" applyAlignment="1" applyProtection="1">
      <alignment horizontal="right"/>
    </xf>
    <xf numFmtId="165" fontId="18" fillId="54" borderId="518" xfId="0" applyNumberFormat="1" applyFont="1" applyFill="1" applyBorder="1" applyAlignment="1" applyProtection="1">
      <alignment horizontal="right"/>
    </xf>
    <xf numFmtId="165" fontId="18" fillId="54" borderId="521" xfId="0" applyNumberFormat="1" applyFont="1" applyFill="1" applyBorder="1" applyAlignment="1" applyProtection="1">
      <alignment horizontal="right"/>
    </xf>
    <xf numFmtId="165" fontId="18" fillId="54" borderId="516" xfId="0" applyNumberFormat="1" applyFont="1" applyFill="1" applyBorder="1" applyAlignment="1" applyProtection="1">
      <alignment horizontal="right"/>
    </xf>
    <xf numFmtId="6" fontId="16" fillId="0" borderId="515" xfId="53" applyNumberFormat="1" applyFont="1" applyFill="1" applyBorder="1" applyAlignment="1" applyProtection="1">
      <alignment horizontal="right"/>
    </xf>
    <xf numFmtId="6" fontId="16" fillId="42" borderId="210" xfId="53" applyNumberFormat="1" applyFont="1" applyFill="1" applyBorder="1" applyAlignment="1" applyProtection="1">
      <alignment horizontal="right"/>
    </xf>
    <xf numFmtId="6" fontId="16" fillId="42" borderId="527" xfId="53" applyNumberFormat="1" applyFont="1" applyFill="1" applyBorder="1" applyAlignment="1" applyProtection="1">
      <alignment horizontal="right"/>
    </xf>
    <xf numFmtId="38" fontId="33" fillId="42" borderId="230" xfId="54" applyNumberFormat="1" applyFont="1" applyFill="1" applyBorder="1" applyAlignment="1" applyProtection="1">
      <alignment horizontal="right"/>
    </xf>
    <xf numFmtId="6" fontId="33" fillId="42" borderId="526" xfId="54" applyNumberFormat="1" applyFont="1" applyFill="1" applyBorder="1" applyAlignment="1" applyProtection="1">
      <alignment horizontal="right"/>
    </xf>
    <xf numFmtId="6" fontId="16" fillId="42" borderId="104" xfId="53" applyNumberFormat="1" applyFont="1" applyFill="1" applyBorder="1" applyAlignment="1" applyProtection="1">
      <alignment horizontal="right"/>
    </xf>
    <xf numFmtId="6" fontId="16" fillId="42" borderId="209" xfId="53" applyNumberFormat="1" applyFont="1" applyFill="1" applyBorder="1" applyAlignment="1" applyProtection="1">
      <alignment horizontal="right"/>
    </xf>
    <xf numFmtId="165" fontId="18" fillId="42" borderId="518" xfId="0" applyNumberFormat="1" applyFont="1" applyFill="1" applyBorder="1" applyAlignment="1" applyProtection="1">
      <alignment horizontal="right"/>
    </xf>
    <xf numFmtId="165" fontId="18" fillId="42" borderId="519" xfId="0" applyNumberFormat="1" applyFont="1" applyFill="1" applyBorder="1" applyAlignment="1" applyProtection="1">
      <alignment horizontal="right"/>
    </xf>
    <xf numFmtId="165" fontId="18" fillId="42" borderId="521" xfId="0" applyNumberFormat="1" applyFont="1" applyFill="1" applyBorder="1" applyAlignment="1" applyProtection="1">
      <alignment horizontal="right"/>
    </xf>
    <xf numFmtId="165" fontId="18" fillId="42" borderId="522" xfId="0" applyNumberFormat="1" applyFont="1" applyFill="1" applyBorder="1" applyAlignment="1" applyProtection="1">
      <alignment horizontal="right"/>
    </xf>
    <xf numFmtId="165" fontId="18" fillId="42" borderId="516" xfId="0" applyNumberFormat="1" applyFont="1" applyFill="1" applyBorder="1" applyAlignment="1" applyProtection="1">
      <alignment horizontal="right"/>
    </xf>
    <xf numFmtId="165" fontId="18" fillId="42" borderId="454" xfId="0" applyNumberFormat="1" applyFont="1" applyFill="1" applyBorder="1" applyAlignment="1" applyProtection="1">
      <alignment horizontal="right"/>
    </xf>
    <xf numFmtId="0" fontId="33" fillId="38" borderId="513" xfId="0" applyFont="1" applyFill="1" applyBorder="1" applyAlignment="1">
      <alignment horizontal="center" vertical="center" wrapText="1"/>
    </xf>
    <xf numFmtId="0" fontId="37" fillId="33" borderId="406" xfId="0" applyFont="1" applyFill="1" applyBorder="1" applyAlignment="1">
      <alignment horizontal="center" wrapText="1"/>
    </xf>
    <xf numFmtId="0" fontId="37" fillId="33" borderId="14" xfId="0" applyFont="1" applyFill="1" applyBorder="1" applyAlignment="1">
      <alignment horizontal="center" wrapText="1"/>
    </xf>
    <xf numFmtId="0" fontId="37" fillId="33" borderId="14" xfId="0" quotePrefix="1" applyFont="1" applyFill="1" applyBorder="1" applyAlignment="1">
      <alignment horizontal="center" wrapText="1"/>
    </xf>
    <xf numFmtId="0" fontId="56" fillId="33" borderId="14" xfId="0" applyFont="1" applyFill="1" applyBorder="1" applyAlignment="1" applyProtection="1">
      <alignment wrapText="1"/>
    </xf>
    <xf numFmtId="0" fontId="0" fillId="33" borderId="14" xfId="0" applyFill="1" applyBorder="1" applyAlignment="1"/>
    <xf numFmtId="0" fontId="0" fillId="33" borderId="72" xfId="0" applyFill="1" applyBorder="1" applyAlignment="1"/>
    <xf numFmtId="0" fontId="33" fillId="38" borderId="190" xfId="0" applyFont="1" applyFill="1" applyBorder="1" applyAlignment="1">
      <alignment horizontal="center" vertical="center" wrapText="1"/>
    </xf>
    <xf numFmtId="0" fontId="33" fillId="38" borderId="506" xfId="53" applyFont="1" applyFill="1" applyBorder="1" applyAlignment="1">
      <alignment horizontal="center" vertical="center" wrapText="1"/>
    </xf>
    <xf numFmtId="0" fontId="16" fillId="33" borderId="14" xfId="53" applyFill="1" applyBorder="1"/>
    <xf numFmtId="0" fontId="16" fillId="33" borderId="72" xfId="53" applyFill="1" applyBorder="1"/>
    <xf numFmtId="0" fontId="16" fillId="33" borderId="406" xfId="53" applyFill="1" applyBorder="1"/>
    <xf numFmtId="6" fontId="16" fillId="38" borderId="190" xfId="0" applyNumberFormat="1" applyFont="1" applyFill="1" applyBorder="1" applyAlignment="1">
      <alignment vertical="center"/>
    </xf>
    <xf numFmtId="6" fontId="16" fillId="38" borderId="507" xfId="0" applyNumberFormat="1" applyFont="1" applyFill="1" applyBorder="1" applyAlignment="1">
      <alignment vertical="center"/>
    </xf>
    <xf numFmtId="6" fontId="16" fillId="38" borderId="535" xfId="0" applyNumberFormat="1" applyFont="1" applyFill="1" applyBorder="1" applyAlignment="1">
      <alignment vertical="center"/>
    </xf>
    <xf numFmtId="6" fontId="16" fillId="38" borderId="536" xfId="0" applyNumberFormat="1" applyFont="1" applyFill="1" applyBorder="1" applyAlignment="1">
      <alignment vertical="center"/>
    </xf>
    <xf numFmtId="6" fontId="16" fillId="38" borderId="415" xfId="0" applyNumberFormat="1" applyFont="1" applyFill="1" applyBorder="1" applyAlignment="1">
      <alignment vertical="center"/>
    </xf>
    <xf numFmtId="6" fontId="20" fillId="38" borderId="13" xfId="0" applyNumberFormat="1" applyFont="1" applyFill="1" applyBorder="1" applyAlignment="1">
      <alignment vertical="center"/>
    </xf>
    <xf numFmtId="6" fontId="20" fillId="38" borderId="12" xfId="0" applyNumberFormat="1" applyFont="1" applyFill="1" applyBorder="1" applyAlignment="1">
      <alignment vertical="center"/>
    </xf>
    <xf numFmtId="1" fontId="27" fillId="26" borderId="415" xfId="0" quotePrefix="1" applyNumberFormat="1" applyFont="1" applyFill="1" applyBorder="1" applyAlignment="1">
      <alignment horizontal="center"/>
    </xf>
    <xf numFmtId="165" fontId="27" fillId="33" borderId="507" xfId="28" applyNumberFormat="1" applyFont="1" applyFill="1" applyBorder="1" applyAlignment="1">
      <alignment horizontal="center"/>
    </xf>
    <xf numFmtId="6" fontId="20" fillId="38" borderId="26" xfId="0" applyNumberFormat="1" applyFont="1" applyFill="1" applyBorder="1" applyAlignment="1">
      <alignment vertical="center"/>
    </xf>
    <xf numFmtId="10" fontId="33" fillId="33" borderId="26" xfId="0" applyNumberFormat="1" applyFont="1" applyFill="1" applyBorder="1" applyAlignment="1">
      <alignment horizontal="center" vertical="center" wrapText="1"/>
    </xf>
    <xf numFmtId="6" fontId="20" fillId="38" borderId="415" xfId="0" applyNumberFormat="1" applyFont="1" applyFill="1" applyBorder="1" applyAlignment="1">
      <alignment vertical="center"/>
    </xf>
    <xf numFmtId="6" fontId="20" fillId="38" borderId="507" xfId="0" applyNumberFormat="1" applyFont="1" applyFill="1" applyBorder="1" applyAlignment="1">
      <alignment vertical="center"/>
    </xf>
    <xf numFmtId="6" fontId="16" fillId="54" borderId="507" xfId="0" applyNumberFormat="1" applyFont="1" applyFill="1" applyBorder="1" applyAlignment="1">
      <alignment vertical="center"/>
    </xf>
    <xf numFmtId="6" fontId="16" fillId="54" borderId="546" xfId="0" applyNumberFormat="1" applyFont="1" applyFill="1" applyBorder="1" applyAlignment="1">
      <alignment vertical="center"/>
    </xf>
    <xf numFmtId="6" fontId="16" fillId="54" borderId="547" xfId="0" applyNumberFormat="1" applyFont="1" applyFill="1" applyBorder="1" applyAlignment="1">
      <alignment vertical="center"/>
    </xf>
    <xf numFmtId="6" fontId="16" fillId="54" borderId="72" xfId="0" applyNumberFormat="1" applyFont="1" applyFill="1" applyBorder="1" applyAlignment="1">
      <alignment vertical="center"/>
    </xf>
    <xf numFmtId="6" fontId="20" fillId="54" borderId="26" xfId="0" applyNumberFormat="1" applyFont="1" applyFill="1" applyBorder="1" applyAlignment="1">
      <alignment vertical="center"/>
    </xf>
    <xf numFmtId="6" fontId="20" fillId="37" borderId="312" xfId="0" applyNumberFormat="1" applyFont="1" applyFill="1" applyBorder="1" applyAlignment="1">
      <alignment vertical="center"/>
    </xf>
    <xf numFmtId="6" fontId="20" fillId="0" borderId="26" xfId="0" applyNumberFormat="1" applyFont="1" applyFill="1" applyBorder="1" applyAlignment="1">
      <alignment vertical="center"/>
    </xf>
    <xf numFmtId="0" fontId="33" fillId="37" borderId="10" xfId="0" applyFont="1" applyFill="1" applyBorder="1" applyAlignment="1">
      <alignment horizontal="center" vertical="center" wrapText="1"/>
    </xf>
    <xf numFmtId="6" fontId="16" fillId="54" borderId="535" xfId="0" applyNumberFormat="1" applyFont="1" applyFill="1" applyBorder="1" applyAlignment="1">
      <alignment vertical="center"/>
    </xf>
    <xf numFmtId="6" fontId="16" fillId="54" borderId="536" xfId="0" applyNumberFormat="1" applyFont="1" applyFill="1" applyBorder="1" applyAlignment="1">
      <alignment vertical="center"/>
    </xf>
    <xf numFmtId="6" fontId="16" fillId="54" borderId="415" xfId="0" applyNumberFormat="1" applyFont="1" applyFill="1" applyBorder="1" applyAlignment="1">
      <alignment vertical="center"/>
    </xf>
    <xf numFmtId="6" fontId="20" fillId="54" borderId="312" xfId="0" applyNumberFormat="1" applyFont="1" applyFill="1" applyBorder="1" applyAlignment="1">
      <alignment vertical="center"/>
    </xf>
    <xf numFmtId="0" fontId="33" fillId="54" borderId="10" xfId="0" applyFont="1" applyFill="1" applyBorder="1" applyAlignment="1">
      <alignment horizontal="center" vertical="center" wrapText="1"/>
    </xf>
    <xf numFmtId="10" fontId="33" fillId="36" borderId="26" xfId="0" applyNumberFormat="1" applyFont="1" applyFill="1" applyBorder="1" applyAlignment="1">
      <alignment horizontal="center" vertical="center" wrapText="1"/>
    </xf>
    <xf numFmtId="6" fontId="20" fillId="0" borderId="507" xfId="0" applyNumberFormat="1" applyFont="1" applyFill="1" applyBorder="1" applyAlignment="1">
      <alignment vertical="center"/>
    </xf>
    <xf numFmtId="0" fontId="20" fillId="0" borderId="187" xfId="53" quotePrefix="1" applyFont="1" applyFill="1" applyBorder="1" applyAlignment="1">
      <alignment horizontal="center" vertical="center" wrapText="1"/>
    </xf>
    <xf numFmtId="0" fontId="20" fillId="0" borderId="187" xfId="53" quotePrefix="1" applyFont="1" applyFill="1" applyBorder="1" applyAlignment="1">
      <alignment horizontal="left" wrapText="1"/>
    </xf>
    <xf numFmtId="0" fontId="20" fillId="0" borderId="187" xfId="53" applyFont="1" applyFill="1" applyBorder="1" applyAlignment="1">
      <alignment wrapText="1"/>
    </xf>
    <xf numFmtId="0" fontId="20" fillId="0" borderId="187" xfId="53" applyFont="1" applyFill="1" applyBorder="1" applyAlignment="1">
      <alignment horizontal="left" wrapText="1"/>
    </xf>
    <xf numFmtId="0" fontId="20" fillId="0" borderId="187" xfId="53" applyFont="1" applyFill="1" applyBorder="1" applyAlignment="1">
      <alignment horizontal="right" wrapText="1"/>
    </xf>
    <xf numFmtId="0" fontId="20" fillId="49" borderId="187" xfId="53" quotePrefix="1" applyFont="1" applyFill="1" applyBorder="1" applyAlignment="1">
      <alignment horizontal="right" vertical="center" wrapText="1"/>
    </xf>
    <xf numFmtId="0" fontId="20" fillId="49" borderId="187" xfId="53" applyFont="1" applyFill="1" applyBorder="1" applyAlignment="1">
      <alignment wrapText="1"/>
    </xf>
    <xf numFmtId="6" fontId="16" fillId="38" borderId="368" xfId="54" applyNumberFormat="1" applyFont="1" applyFill="1" applyBorder="1" applyAlignment="1" applyProtection="1">
      <alignment horizontal="right"/>
    </xf>
    <xf numFmtId="0" fontId="16" fillId="36" borderId="14" xfId="0" quotePrefix="1" applyFont="1" applyFill="1" applyBorder="1" applyAlignment="1">
      <alignment horizontal="center" wrapText="1"/>
    </xf>
    <xf numFmtId="0" fontId="16" fillId="36" borderId="72" xfId="0" quotePrefix="1" applyFont="1" applyFill="1" applyBorder="1" applyAlignment="1">
      <alignment horizontal="center" wrapText="1"/>
    </xf>
    <xf numFmtId="0" fontId="16" fillId="36" borderId="406" xfId="0" quotePrefix="1" applyFont="1" applyFill="1" applyBorder="1" applyAlignment="1">
      <alignment horizontal="center" wrapText="1"/>
    </xf>
    <xf numFmtId="49" fontId="33" fillId="36" borderId="72" xfId="53" applyNumberFormat="1" applyFont="1" applyFill="1" applyBorder="1" applyAlignment="1">
      <alignment horizontal="center" vertical="center" wrapText="1"/>
    </xf>
    <xf numFmtId="0" fontId="16" fillId="33" borderId="14" xfId="0" applyFont="1" applyFill="1" applyBorder="1"/>
    <xf numFmtId="0" fontId="33" fillId="33" borderId="14" xfId="0" applyFont="1" applyFill="1" applyBorder="1" applyAlignment="1" applyProtection="1">
      <alignment vertical="center" wrapText="1"/>
    </xf>
    <xf numFmtId="0" fontId="33" fillId="33" borderId="14" xfId="0" quotePrefix="1" applyFont="1" applyFill="1" applyBorder="1" applyAlignment="1" applyProtection="1">
      <alignment vertical="center" wrapText="1"/>
    </xf>
    <xf numFmtId="0" fontId="16" fillId="33" borderId="72" xfId="0" applyFont="1" applyFill="1" applyBorder="1"/>
    <xf numFmtId="0" fontId="16" fillId="33" borderId="406" xfId="0" applyFont="1" applyFill="1" applyBorder="1" applyAlignment="1">
      <alignment horizontal="center" wrapText="1"/>
    </xf>
    <xf numFmtId="0" fontId="20" fillId="33" borderId="14" xfId="0" applyFont="1" applyFill="1" applyBorder="1" applyAlignment="1">
      <alignment vertical="center"/>
    </xf>
    <xf numFmtId="0" fontId="20" fillId="33" borderId="14" xfId="0" applyFont="1" applyFill="1" applyBorder="1" applyAlignment="1">
      <alignment horizontal="center" vertical="center"/>
    </xf>
    <xf numFmtId="0" fontId="16" fillId="33" borderId="14" xfId="0" quotePrefix="1" applyFont="1" applyFill="1" applyBorder="1" applyAlignment="1">
      <alignment horizontal="center" wrapText="1"/>
    </xf>
    <xf numFmtId="0" fontId="16" fillId="33" borderId="72" xfId="0" quotePrefix="1" applyFont="1" applyFill="1" applyBorder="1" applyAlignment="1">
      <alignment horizontal="center" wrapText="1"/>
    </xf>
    <xf numFmtId="0" fontId="16" fillId="33" borderId="415" xfId="0" quotePrefix="1" applyFont="1" applyFill="1" applyBorder="1" applyAlignment="1">
      <alignment horizontal="center" wrapText="1"/>
    </xf>
    <xf numFmtId="0" fontId="33" fillId="38" borderId="13" xfId="0" applyFont="1" applyFill="1" applyBorder="1" applyAlignment="1">
      <alignment horizontal="center" vertical="center" wrapText="1"/>
    </xf>
    <xf numFmtId="6" fontId="54" fillId="38" borderId="415" xfId="0" applyNumberFormat="1" applyFont="1" applyFill="1" applyBorder="1" applyAlignment="1">
      <alignment horizontal="right"/>
    </xf>
    <xf numFmtId="6" fontId="48" fillId="38" borderId="415" xfId="0" applyNumberFormat="1" applyFont="1" applyFill="1" applyBorder="1" applyAlignment="1">
      <alignment horizontal="right"/>
    </xf>
    <xf numFmtId="6" fontId="54" fillId="38" borderId="13" xfId="0" applyNumberFormat="1" applyFont="1" applyFill="1" applyBorder="1" applyAlignment="1">
      <alignment horizontal="right"/>
    </xf>
    <xf numFmtId="6" fontId="48" fillId="38" borderId="13" xfId="0" applyNumberFormat="1" applyFont="1" applyFill="1" applyBorder="1" applyAlignment="1">
      <alignment horizontal="right"/>
    </xf>
    <xf numFmtId="6" fontId="48" fillId="38" borderId="26" xfId="0" applyNumberFormat="1" applyFont="1" applyFill="1" applyBorder="1" applyAlignment="1">
      <alignment horizontal="right"/>
    </xf>
    <xf numFmtId="6" fontId="48" fillId="38" borderId="507" xfId="0" applyNumberFormat="1" applyFont="1" applyFill="1" applyBorder="1" applyAlignment="1">
      <alignment horizontal="right"/>
    </xf>
    <xf numFmtId="165" fontId="28" fillId="33" borderId="14" xfId="28" applyNumberFormat="1" applyFont="1" applyFill="1" applyBorder="1" applyAlignment="1">
      <alignment horizontal="center"/>
    </xf>
    <xf numFmtId="0" fontId="56" fillId="33" borderId="14" xfId="0" applyFont="1" applyFill="1" applyBorder="1" applyAlignment="1" applyProtection="1">
      <alignment vertical="center" wrapText="1"/>
    </xf>
    <xf numFmtId="0" fontId="56" fillId="33" borderId="14" xfId="0" quotePrefix="1" applyFont="1" applyFill="1" applyBorder="1" applyAlignment="1" applyProtection="1">
      <alignment vertical="center" wrapText="1"/>
    </xf>
    <xf numFmtId="0" fontId="0" fillId="33" borderId="72" xfId="0" applyFill="1" applyBorder="1"/>
    <xf numFmtId="0" fontId="0" fillId="33" borderId="14" xfId="0" applyFill="1" applyBorder="1" applyAlignment="1">
      <alignment horizontal="center"/>
    </xf>
    <xf numFmtId="0" fontId="0" fillId="33" borderId="14" xfId="0" applyFill="1" applyBorder="1"/>
    <xf numFmtId="0" fontId="48" fillId="33" borderId="14" xfId="0" applyFont="1" applyFill="1" applyBorder="1" applyAlignment="1">
      <alignment vertical="center"/>
    </xf>
    <xf numFmtId="0" fontId="48" fillId="33" borderId="14" xfId="0" applyFont="1" applyFill="1" applyBorder="1" applyAlignment="1">
      <alignment horizontal="center" vertical="center"/>
    </xf>
    <xf numFmtId="38" fontId="48" fillId="0" borderId="312" xfId="0" applyNumberFormat="1" applyFont="1" applyFill="1" applyBorder="1" applyAlignment="1">
      <alignment horizontal="right"/>
    </xf>
    <xf numFmtId="0" fontId="0" fillId="36" borderId="406" xfId="0" applyFill="1" applyBorder="1"/>
    <xf numFmtId="0" fontId="0" fillId="36" borderId="14" xfId="0" applyFill="1" applyBorder="1"/>
    <xf numFmtId="0" fontId="48" fillId="36" borderId="14" xfId="0" applyFont="1" applyFill="1" applyBorder="1" applyAlignment="1">
      <alignment vertical="center"/>
    </xf>
    <xf numFmtId="0" fontId="0" fillId="36" borderId="72" xfId="0" applyFill="1" applyBorder="1"/>
    <xf numFmtId="0" fontId="33" fillId="54" borderId="506" xfId="0" applyFont="1" applyFill="1" applyBorder="1" applyAlignment="1">
      <alignment horizontal="center" vertical="center" wrapText="1"/>
    </xf>
    <xf numFmtId="0" fontId="33" fillId="54" borderId="13" xfId="0" applyFont="1" applyFill="1" applyBorder="1" applyAlignment="1">
      <alignment horizontal="center" vertical="center" wrapText="1"/>
    </xf>
    <xf numFmtId="6" fontId="54" fillId="54" borderId="13" xfId="0" applyNumberFormat="1" applyFont="1" applyFill="1" applyBorder="1" applyAlignment="1">
      <alignment horizontal="right"/>
    </xf>
    <xf numFmtId="6" fontId="48" fillId="54" borderId="13" xfId="0" applyNumberFormat="1" applyFont="1" applyFill="1" applyBorder="1" applyAlignment="1">
      <alignment horizontal="right"/>
    </xf>
    <xf numFmtId="6" fontId="48" fillId="54" borderId="26" xfId="0" applyNumberFormat="1" applyFont="1" applyFill="1" applyBorder="1" applyAlignment="1">
      <alignment horizontal="right"/>
    </xf>
    <xf numFmtId="6" fontId="48" fillId="42" borderId="26" xfId="0" applyNumberFormat="1" applyFont="1" applyFill="1" applyBorder="1" applyAlignment="1">
      <alignment horizontal="right"/>
    </xf>
    <xf numFmtId="6" fontId="54" fillId="42" borderId="13" xfId="0" applyNumberFormat="1" applyFont="1" applyFill="1" applyBorder="1" applyAlignment="1">
      <alignment horizontal="right"/>
    </xf>
    <xf numFmtId="6" fontId="48" fillId="42" borderId="13" xfId="0" applyNumberFormat="1" applyFont="1" applyFill="1" applyBorder="1" applyAlignment="1">
      <alignment horizontal="right"/>
    </xf>
    <xf numFmtId="0" fontId="33" fillId="37" borderId="13" xfId="0" applyFont="1" applyFill="1" applyBorder="1" applyAlignment="1">
      <alignment horizontal="center" vertical="center" wrapText="1"/>
    </xf>
    <xf numFmtId="0" fontId="33" fillId="25" borderId="507" xfId="0" applyFont="1" applyFill="1" applyBorder="1" applyAlignment="1">
      <alignment horizontal="center" vertical="center" wrapText="1"/>
    </xf>
    <xf numFmtId="164" fontId="28" fillId="27" borderId="186" xfId="28" applyNumberFormat="1" applyFont="1" applyFill="1" applyBorder="1" applyAlignment="1">
      <alignment horizontal="right"/>
    </xf>
    <xf numFmtId="164" fontId="28" fillId="27" borderId="62" xfId="28" applyNumberFormat="1" applyFont="1" applyFill="1" applyBorder="1" applyAlignment="1">
      <alignment horizontal="right"/>
    </xf>
    <xf numFmtId="165" fontId="28" fillId="27" borderId="186" xfId="28" applyNumberFormat="1" applyFont="1" applyFill="1" applyBorder="1" applyAlignment="1">
      <alignment horizontal="right"/>
    </xf>
    <xf numFmtId="9" fontId="28" fillId="27" borderId="186" xfId="28" applyNumberFormat="1" applyFont="1" applyFill="1" applyBorder="1" applyAlignment="1">
      <alignment horizontal="right"/>
    </xf>
    <xf numFmtId="9" fontId="28" fillId="27" borderId="186" xfId="0" applyNumberFormat="1" applyFont="1" applyFill="1" applyBorder="1" applyAlignment="1">
      <alignment horizontal="center"/>
    </xf>
    <xf numFmtId="39" fontId="28" fillId="27" borderId="186" xfId="28" applyNumberFormat="1" applyFont="1" applyFill="1" applyBorder="1" applyAlignment="1">
      <alignment horizontal="center"/>
    </xf>
    <xf numFmtId="9" fontId="28" fillId="0" borderId="43" xfId="0" applyNumberFormat="1" applyFont="1" applyFill="1" applyBorder="1" applyAlignment="1">
      <alignment horizontal="center"/>
    </xf>
    <xf numFmtId="166" fontId="33" fillId="25" borderId="507" xfId="0" applyNumberFormat="1" applyFont="1" applyFill="1" applyBorder="1" applyAlignment="1">
      <alignment horizontal="center" vertical="center" wrapText="1"/>
    </xf>
    <xf numFmtId="0" fontId="42" fillId="25" borderId="507" xfId="0" applyFont="1" applyFill="1" applyBorder="1" applyAlignment="1">
      <alignment horizontal="center" vertical="center" wrapText="1"/>
    </xf>
    <xf numFmtId="0" fontId="42" fillId="29" borderId="507" xfId="0" applyFont="1" applyFill="1" applyBorder="1" applyAlignment="1">
      <alignment horizontal="center" vertical="center" wrapText="1"/>
    </xf>
    <xf numFmtId="0" fontId="42" fillId="27" borderId="507" xfId="0" applyFont="1" applyFill="1" applyBorder="1" applyAlignment="1">
      <alignment horizontal="center" vertical="center" wrapText="1"/>
    </xf>
    <xf numFmtId="0" fontId="52" fillId="25" borderId="507" xfId="0" applyFont="1" applyFill="1" applyBorder="1" applyAlignment="1">
      <alignment horizontal="center" vertical="center" wrapText="1"/>
    </xf>
    <xf numFmtId="0" fontId="52" fillId="42" borderId="507" xfId="0" applyFont="1" applyFill="1" applyBorder="1" applyAlignment="1">
      <alignment horizontal="center" vertical="center" wrapText="1"/>
    </xf>
    <xf numFmtId="0" fontId="52" fillId="29" borderId="507" xfId="0" applyFont="1" applyFill="1" applyBorder="1" applyAlignment="1">
      <alignment horizontal="center" vertical="center" wrapText="1"/>
    </xf>
    <xf numFmtId="0" fontId="52" fillId="27" borderId="507" xfId="0" applyFont="1" applyFill="1" applyBorder="1" applyAlignment="1">
      <alignment horizontal="center" vertical="center" wrapText="1"/>
    </xf>
    <xf numFmtId="38" fontId="16" fillId="0" borderId="535" xfId="253" applyNumberFormat="1" applyFont="1" applyBorder="1"/>
    <xf numFmtId="38" fontId="16" fillId="0" borderId="536" xfId="253" applyNumberFormat="1" applyFont="1" applyBorder="1"/>
    <xf numFmtId="38" fontId="16" fillId="0" borderId="415" xfId="253" applyNumberFormat="1" applyFont="1" applyBorder="1"/>
    <xf numFmtId="38" fontId="16" fillId="0" borderId="551" xfId="253" applyNumberFormat="1" applyFont="1" applyBorder="1"/>
    <xf numFmtId="38" fontId="33" fillId="0" borderId="12" xfId="28" applyNumberFormat="1" applyFont="1" applyFill="1" applyBorder="1" applyProtection="1"/>
    <xf numFmtId="5" fontId="33" fillId="37" borderId="12" xfId="253" applyNumberFormat="1" applyFont="1" applyFill="1" applyBorder="1" applyProtection="1"/>
    <xf numFmtId="38" fontId="33" fillId="28" borderId="72" xfId="64" applyNumberFormat="1" applyFont="1" applyFill="1" applyBorder="1" applyAlignment="1" applyProtection="1">
      <alignment horizontal="left"/>
    </xf>
    <xf numFmtId="0" fontId="33" fillId="28" borderId="72" xfId="64" applyFont="1" applyFill="1" applyBorder="1" applyAlignment="1" applyProtection="1">
      <alignment horizontal="left"/>
    </xf>
    <xf numFmtId="0" fontId="30" fillId="28" borderId="72" xfId="64" applyFont="1" applyFill="1" applyBorder="1" applyAlignment="1" applyProtection="1">
      <alignment horizontal="left"/>
    </xf>
    <xf numFmtId="38" fontId="16" fillId="0" borderId="489" xfId="253" applyNumberFormat="1" applyFont="1" applyBorder="1"/>
    <xf numFmtId="0" fontId="33" fillId="25" borderId="506" xfId="0" applyFont="1" applyFill="1" applyBorder="1" applyAlignment="1" applyProtection="1">
      <alignment horizontal="center" vertical="center" wrapText="1"/>
    </xf>
    <xf numFmtId="0" fontId="33" fillId="41" borderId="506" xfId="0" applyFont="1" applyFill="1" applyBorder="1" applyAlignment="1">
      <alignment horizontal="center" vertical="center" wrapText="1"/>
    </xf>
    <xf numFmtId="0" fontId="33" fillId="55" borderId="506" xfId="0" applyFont="1" applyFill="1" applyBorder="1" applyAlignment="1">
      <alignment horizontal="center" vertical="center" wrapText="1"/>
    </xf>
    <xf numFmtId="0" fontId="33" fillId="37" borderId="506" xfId="0" applyFont="1" applyFill="1" applyBorder="1" applyAlignment="1">
      <alignment horizontal="center" vertical="center" wrapText="1"/>
    </xf>
    <xf numFmtId="0" fontId="33" fillId="37" borderId="507" xfId="0" applyFont="1" applyFill="1" applyBorder="1" applyAlignment="1">
      <alignment horizontal="center" vertical="center" wrapText="1"/>
    </xf>
    <xf numFmtId="0" fontId="16" fillId="0" borderId="115" xfId="64" applyFont="1" applyBorder="1" applyAlignment="1"/>
    <xf numFmtId="0" fontId="16" fillId="0" borderId="0" xfId="64" applyFont="1" applyAlignment="1"/>
    <xf numFmtId="165" fontId="16" fillId="37" borderId="561" xfId="53" applyNumberFormat="1" applyFont="1" applyFill="1" applyBorder="1" applyAlignment="1" applyProtection="1">
      <alignment horizontal="right"/>
    </xf>
    <xf numFmtId="38" fontId="16" fillId="0" borderId="542" xfId="54" applyNumberFormat="1" applyFont="1" applyFill="1" applyBorder="1" applyAlignment="1" applyProtection="1">
      <alignment horizontal="right"/>
    </xf>
    <xf numFmtId="38" fontId="16" fillId="0" borderId="539" xfId="54" applyNumberFormat="1" applyFont="1" applyFill="1" applyBorder="1" applyAlignment="1" applyProtection="1">
      <alignment horizontal="right"/>
    </xf>
    <xf numFmtId="38" fontId="16" fillId="0" borderId="454" xfId="54" applyNumberFormat="1" applyFont="1" applyFill="1" applyBorder="1" applyAlignment="1" applyProtection="1">
      <alignment horizontal="right"/>
    </xf>
    <xf numFmtId="38" fontId="16" fillId="0" borderId="539" xfId="53" applyNumberFormat="1" applyFont="1" applyFill="1" applyBorder="1" applyAlignment="1" applyProtection="1">
      <alignment horizontal="right"/>
    </xf>
    <xf numFmtId="38" fontId="16" fillId="0" borderId="459" xfId="53" applyNumberFormat="1" applyFont="1" applyFill="1" applyBorder="1" applyAlignment="1" applyProtection="1">
      <alignment horizontal="right"/>
    </xf>
    <xf numFmtId="38" fontId="33" fillId="35" borderId="74" xfId="54" applyNumberFormat="1" applyFont="1" applyFill="1" applyBorder="1" applyAlignment="1" applyProtection="1">
      <alignment horizontal="right"/>
    </xf>
    <xf numFmtId="38" fontId="16" fillId="0" borderId="562" xfId="53" applyNumberFormat="1" applyFont="1" applyFill="1" applyBorder="1" applyAlignment="1" applyProtection="1">
      <alignment horizontal="right"/>
    </xf>
    <xf numFmtId="0" fontId="33" fillId="54" borderId="506" xfId="0" applyFont="1" applyFill="1" applyBorder="1" applyAlignment="1">
      <alignment horizontal="center" vertical="center" wrapText="1"/>
    </xf>
    <xf numFmtId="1" fontId="16" fillId="49" borderId="190" xfId="0" applyNumberFormat="1" applyFont="1" applyFill="1" applyBorder="1" applyAlignment="1">
      <alignment horizontal="right" vertical="center" wrapText="1"/>
    </xf>
    <xf numFmtId="0" fontId="120" fillId="49" borderId="190" xfId="0" applyFont="1" applyFill="1" applyBorder="1" applyAlignment="1">
      <alignment horizontal="left" vertical="center" wrapText="1"/>
    </xf>
    <xf numFmtId="38" fontId="16" fillId="49" borderId="190" xfId="0" applyNumberFormat="1" applyFont="1" applyFill="1" applyBorder="1" applyAlignment="1">
      <alignment vertical="center" wrapText="1"/>
    </xf>
    <xf numFmtId="6" fontId="16" fillId="49" borderId="190" xfId="0" applyNumberFormat="1" applyFont="1" applyFill="1" applyBorder="1" applyAlignment="1">
      <alignment vertical="center"/>
    </xf>
    <xf numFmtId="6" fontId="16" fillId="49" borderId="45" xfId="0" applyNumberFormat="1" applyFont="1" applyFill="1" applyBorder="1" applyAlignment="1">
      <alignment vertical="center"/>
    </xf>
    <xf numFmtId="38" fontId="16" fillId="49" borderId="190" xfId="0" applyNumberFormat="1" applyFont="1" applyFill="1" applyBorder="1" applyAlignment="1">
      <alignment vertical="center"/>
    </xf>
    <xf numFmtId="1" fontId="16" fillId="39" borderId="566" xfId="0" applyNumberFormat="1" applyFont="1" applyFill="1" applyBorder="1" applyAlignment="1">
      <alignment horizontal="left" vertical="center" wrapText="1"/>
    </xf>
    <xf numFmtId="0" fontId="120" fillId="39" borderId="411" xfId="0" applyFont="1" applyFill="1" applyBorder="1" applyAlignment="1">
      <alignment horizontal="left" vertical="center" wrapText="1"/>
    </xf>
    <xf numFmtId="38" fontId="16" fillId="39" borderId="411" xfId="0" applyNumberFormat="1" applyFont="1" applyFill="1" applyBorder="1" applyAlignment="1">
      <alignment vertical="center" wrapText="1"/>
    </xf>
    <xf numFmtId="6" fontId="16" fillId="39" borderId="411" xfId="0" applyNumberFormat="1" applyFont="1" applyFill="1" applyBorder="1" applyAlignment="1">
      <alignment vertical="center"/>
    </xf>
    <xf numFmtId="6" fontId="16" fillId="39" borderId="161" xfId="0" applyNumberFormat="1" applyFont="1" applyFill="1" applyBorder="1" applyAlignment="1">
      <alignment vertical="center"/>
    </xf>
    <xf numFmtId="38" fontId="16" fillId="39" borderId="411" xfId="0" applyNumberFormat="1" applyFont="1" applyFill="1" applyBorder="1" applyAlignment="1">
      <alignment vertical="center"/>
    </xf>
    <xf numFmtId="6" fontId="16" fillId="39" borderId="567" xfId="0" applyNumberFormat="1" applyFont="1" applyFill="1" applyBorder="1" applyAlignment="1">
      <alignment vertical="center"/>
    </xf>
    <xf numFmtId="0" fontId="20" fillId="49" borderId="506" xfId="53" applyFont="1" applyFill="1" applyBorder="1" applyAlignment="1">
      <alignment horizontal="right" vertical="center" wrapText="1"/>
    </xf>
    <xf numFmtId="0" fontId="20" fillId="49" borderId="506" xfId="53" applyFont="1" applyFill="1" applyBorder="1" applyAlignment="1">
      <alignment wrapText="1"/>
    </xf>
    <xf numFmtId="38" fontId="16" fillId="49" borderId="506" xfId="53" applyNumberFormat="1" applyFont="1" applyFill="1" applyBorder="1" applyAlignment="1">
      <alignment horizontal="right"/>
    </xf>
    <xf numFmtId="6" fontId="16" fillId="49" borderId="506" xfId="53" applyNumberFormat="1" applyFont="1" applyFill="1" applyBorder="1" applyAlignment="1">
      <alignment horizontal="right"/>
    </xf>
    <xf numFmtId="6" fontId="16" fillId="49" borderId="506" xfId="53" applyNumberFormat="1" applyFont="1" applyFill="1" applyBorder="1" applyAlignment="1">
      <alignment horizontal="right" wrapText="1"/>
    </xf>
    <xf numFmtId="0" fontId="20" fillId="0" borderId="415" xfId="53" quotePrefix="1" applyFont="1" applyFill="1" applyBorder="1" applyAlignment="1">
      <alignment horizontal="center" vertical="center" wrapText="1"/>
    </xf>
    <xf numFmtId="0" fontId="20" fillId="0" borderId="415" xfId="53" applyFont="1" applyFill="1" applyBorder="1" applyAlignment="1">
      <alignment wrapText="1"/>
    </xf>
    <xf numFmtId="38" fontId="16" fillId="35" borderId="415" xfId="53" applyNumberFormat="1" applyFont="1" applyFill="1" applyBorder="1" applyAlignment="1">
      <alignment horizontal="right"/>
    </xf>
    <xf numFmtId="6" fontId="16" fillId="35" borderId="415" xfId="53" applyNumberFormat="1" applyFont="1" applyFill="1" applyBorder="1" applyAlignment="1">
      <alignment horizontal="right"/>
    </xf>
    <xf numFmtId="6" fontId="16" fillId="38" borderId="415" xfId="53" applyNumberFormat="1" applyFont="1" applyFill="1" applyBorder="1" applyAlignment="1">
      <alignment horizontal="right"/>
    </xf>
    <xf numFmtId="6" fontId="16" fillId="0" borderId="415" xfId="53" applyNumberFormat="1" applyFont="1" applyBorder="1" applyAlignment="1">
      <alignment horizontal="right"/>
    </xf>
    <xf numFmtId="6" fontId="16" fillId="37" borderId="415" xfId="53" applyNumberFormat="1" applyFont="1" applyFill="1" applyBorder="1" applyAlignment="1">
      <alignment horizontal="right"/>
    </xf>
    <xf numFmtId="6" fontId="16" fillId="0" borderId="415" xfId="53" applyNumberFormat="1" applyFont="1" applyBorder="1" applyAlignment="1">
      <alignment horizontal="right" wrapText="1"/>
    </xf>
    <xf numFmtId="6" fontId="16" fillId="0" borderId="415" xfId="53" applyNumberFormat="1" applyFont="1" applyFill="1" applyBorder="1" applyAlignment="1">
      <alignment horizontal="right"/>
    </xf>
    <xf numFmtId="0" fontId="20" fillId="39" borderId="566" xfId="53" applyFont="1" applyFill="1" applyBorder="1" applyAlignment="1">
      <alignment horizontal="center" vertical="center" wrapText="1"/>
    </xf>
    <xf numFmtId="0" fontId="20" fillId="39" borderId="411" xfId="53" applyFont="1" applyFill="1" applyBorder="1" applyAlignment="1">
      <alignment wrapText="1"/>
    </xf>
    <xf numFmtId="38" fontId="16" fillId="39" borderId="411" xfId="53" applyNumberFormat="1" applyFont="1" applyFill="1" applyBorder="1" applyAlignment="1">
      <alignment horizontal="right"/>
    </xf>
    <xf numFmtId="6" fontId="16" fillId="39" borderId="411" xfId="53" applyNumberFormat="1" applyFont="1" applyFill="1" applyBorder="1" applyAlignment="1">
      <alignment horizontal="right"/>
    </xf>
    <xf numFmtId="6" fontId="16" fillId="39" borderId="411" xfId="53" applyNumberFormat="1" applyFont="1" applyFill="1" applyBorder="1" applyAlignment="1">
      <alignment horizontal="right" wrapText="1"/>
    </xf>
    <xf numFmtId="6" fontId="16" fillId="39" borderId="567" xfId="53" applyNumberFormat="1" applyFont="1" applyFill="1" applyBorder="1" applyAlignment="1">
      <alignment horizontal="right"/>
    </xf>
    <xf numFmtId="2" fontId="121" fillId="43" borderId="507" xfId="0" applyNumberFormat="1" applyFont="1" applyFill="1" applyBorder="1" applyAlignment="1">
      <alignment horizontal="center" wrapText="1"/>
    </xf>
    <xf numFmtId="10" fontId="121" fillId="36" borderId="507" xfId="0" applyNumberFormat="1" applyFont="1" applyFill="1" applyBorder="1" applyAlignment="1">
      <alignment horizontal="center" wrapText="1"/>
    </xf>
    <xf numFmtId="0" fontId="121" fillId="38" borderId="506" xfId="53" applyFont="1" applyFill="1" applyBorder="1" applyAlignment="1">
      <alignment horizontal="center" vertical="center" wrapText="1"/>
    </xf>
    <xf numFmtId="6" fontId="121" fillId="38" borderId="506" xfId="53" applyNumberFormat="1" applyFont="1" applyFill="1" applyBorder="1" applyAlignment="1">
      <alignment horizontal="center" vertical="center" wrapText="1"/>
    </xf>
    <xf numFmtId="49" fontId="121" fillId="37" borderId="507" xfId="53" applyNumberFormat="1" applyFont="1" applyFill="1" applyBorder="1" applyAlignment="1">
      <alignment horizontal="center" vertical="center" wrapText="1"/>
    </xf>
    <xf numFmtId="49" fontId="121" fillId="38" borderId="506" xfId="53" applyNumberFormat="1" applyFont="1" applyFill="1" applyBorder="1" applyAlignment="1">
      <alignment horizontal="center" vertical="center" wrapText="1"/>
    </xf>
    <xf numFmtId="0" fontId="121" fillId="37" borderId="506" xfId="53" applyFont="1" applyFill="1" applyBorder="1" applyAlignment="1">
      <alignment horizontal="center" vertical="center" wrapText="1"/>
    </xf>
    <xf numFmtId="0" fontId="121" fillId="43" borderId="507" xfId="0" applyFont="1" applyFill="1" applyBorder="1" applyAlignment="1">
      <alignment horizontal="center" vertical="center" wrapText="1"/>
    </xf>
    <xf numFmtId="0" fontId="121" fillId="38" borderId="506" xfId="0" applyFont="1" applyFill="1" applyBorder="1" applyAlignment="1">
      <alignment horizontal="center" vertical="center" wrapText="1"/>
    </xf>
    <xf numFmtId="0" fontId="123" fillId="0" borderId="0" xfId="0" applyFont="1"/>
    <xf numFmtId="0" fontId="121" fillId="25" borderId="488" xfId="0" applyFont="1" applyFill="1" applyBorder="1" applyAlignment="1">
      <alignment horizontal="center" vertical="center" wrapText="1"/>
    </xf>
    <xf numFmtId="6" fontId="20" fillId="51" borderId="12" xfId="0" applyNumberFormat="1" applyFont="1" applyFill="1" applyBorder="1" applyAlignment="1">
      <alignment vertical="center"/>
    </xf>
    <xf numFmtId="165" fontId="20" fillId="51" borderId="12" xfId="0" applyNumberFormat="1" applyFont="1" applyFill="1" applyBorder="1" applyAlignment="1">
      <alignment vertical="center"/>
    </xf>
    <xf numFmtId="38" fontId="20" fillId="51" borderId="12" xfId="0" applyNumberFormat="1" applyFont="1" applyFill="1" applyBorder="1" applyAlignment="1">
      <alignment vertical="center"/>
    </xf>
    <xf numFmtId="6" fontId="119" fillId="28" borderId="507" xfId="0" applyNumberFormat="1" applyFont="1" applyFill="1" applyBorder="1" applyAlignment="1">
      <alignment vertical="center" wrapText="1"/>
    </xf>
    <xf numFmtId="6" fontId="119" fillId="28" borderId="506" xfId="0" applyNumberFormat="1" applyFont="1" applyFill="1" applyBorder="1" applyAlignment="1">
      <alignment vertical="center" wrapText="1"/>
    </xf>
    <xf numFmtId="6" fontId="20" fillId="0" borderId="12" xfId="0" applyNumberFormat="1" applyFont="1" applyBorder="1" applyAlignment="1">
      <alignment vertical="center"/>
    </xf>
    <xf numFmtId="0" fontId="21" fillId="0" borderId="53" xfId="0" applyFont="1" applyFill="1" applyBorder="1" applyAlignment="1">
      <alignment horizontal="center" vertical="center"/>
    </xf>
    <xf numFmtId="5" fontId="23" fillId="0" borderId="422" xfId="0" applyNumberFormat="1" applyFont="1" applyFill="1" applyBorder="1" applyAlignment="1" applyProtection="1">
      <alignment horizontal="center" vertical="center"/>
    </xf>
    <xf numFmtId="5" fontId="23" fillId="0" borderId="410" xfId="0" applyNumberFormat="1" applyFont="1" applyFill="1" applyBorder="1" applyAlignment="1" applyProtection="1">
      <alignment vertical="center"/>
    </xf>
    <xf numFmtId="0" fontId="23" fillId="0" borderId="189" xfId="0" applyFont="1" applyFill="1" applyBorder="1" applyAlignment="1">
      <alignment horizontal="center" vertical="center"/>
    </xf>
    <xf numFmtId="10" fontId="23" fillId="0" borderId="472" xfId="0" applyNumberFormat="1" applyFont="1" applyFill="1" applyBorder="1" applyAlignment="1" applyProtection="1">
      <alignment vertical="center"/>
    </xf>
    <xf numFmtId="0" fontId="23" fillId="0" borderId="405" xfId="0" applyFont="1" applyFill="1" applyBorder="1" applyAlignment="1">
      <alignment horizontal="center" vertical="center" wrapText="1"/>
    </xf>
    <xf numFmtId="164" fontId="21" fillId="0" borderId="426" xfId="28" applyNumberFormat="1" applyFont="1" applyFill="1" applyBorder="1" applyAlignment="1" applyProtection="1">
      <alignment vertical="center"/>
    </xf>
    <xf numFmtId="10" fontId="23" fillId="0" borderId="436" xfId="0" applyNumberFormat="1" applyFont="1" applyFill="1" applyBorder="1" applyAlignment="1" applyProtection="1">
      <alignment vertical="center"/>
    </xf>
    <xf numFmtId="0" fontId="21" fillId="33" borderId="51" xfId="0" applyFont="1" applyFill="1" applyBorder="1" applyAlignment="1">
      <alignment horizontal="center" vertical="center"/>
    </xf>
    <xf numFmtId="0" fontId="29" fillId="33" borderId="18" xfId="0" applyFont="1" applyFill="1" applyBorder="1" applyAlignment="1">
      <alignment horizontal="center" vertical="center"/>
    </xf>
    <xf numFmtId="10" fontId="29" fillId="33" borderId="437" xfId="0" applyNumberFormat="1" applyFont="1" applyFill="1" applyBorder="1" applyAlignment="1" applyProtection="1">
      <alignment vertical="center"/>
    </xf>
    <xf numFmtId="0" fontId="21" fillId="0" borderId="28" xfId="0" applyFont="1" applyFill="1" applyBorder="1" applyAlignment="1">
      <alignment horizontal="center" vertical="center"/>
    </xf>
    <xf numFmtId="0" fontId="21" fillId="0" borderId="54" xfId="0" applyFont="1" applyFill="1" applyBorder="1" applyAlignment="1">
      <alignment horizontal="center" vertical="center"/>
    </xf>
    <xf numFmtId="5" fontId="23" fillId="0" borderId="428" xfId="0" applyNumberFormat="1" applyFont="1" applyFill="1" applyBorder="1" applyAlignment="1" applyProtection="1">
      <alignment vertical="center"/>
    </xf>
    <xf numFmtId="10" fontId="23" fillId="0" borderId="438" xfId="0" applyNumberFormat="1" applyFont="1" applyFill="1" applyBorder="1" applyAlignment="1" applyProtection="1">
      <alignment vertical="center"/>
    </xf>
    <xf numFmtId="0" fontId="21" fillId="0" borderId="18" xfId="0" applyFont="1" applyFill="1" applyBorder="1" applyAlignment="1">
      <alignment vertical="center"/>
    </xf>
    <xf numFmtId="0" fontId="21" fillId="33" borderId="55" xfId="0" applyFont="1" applyFill="1" applyBorder="1" applyAlignment="1">
      <alignment horizontal="center" vertical="center"/>
    </xf>
    <xf numFmtId="0" fontId="29" fillId="33" borderId="18" xfId="0" applyFont="1" applyFill="1" applyBorder="1" applyAlignment="1">
      <alignment vertical="center"/>
    </xf>
    <xf numFmtId="10" fontId="29" fillId="33" borderId="439" xfId="0" applyNumberFormat="1" applyFont="1" applyFill="1" applyBorder="1" applyAlignment="1" applyProtection="1">
      <alignment vertical="center"/>
    </xf>
    <xf numFmtId="10" fontId="29" fillId="33" borderId="440" xfId="0" applyNumberFormat="1" applyFont="1" applyFill="1" applyBorder="1" applyAlignment="1" applyProtection="1">
      <alignment vertical="center"/>
    </xf>
    <xf numFmtId="0" fontId="29" fillId="27" borderId="77" xfId="0" applyFont="1" applyFill="1" applyBorder="1" applyAlignment="1">
      <alignment horizontal="center" vertical="center"/>
    </xf>
    <xf numFmtId="0" fontId="23" fillId="33" borderId="189" xfId="0" applyFont="1" applyFill="1" applyBorder="1" applyAlignment="1">
      <alignment horizontal="center" vertical="center"/>
    </xf>
    <xf numFmtId="5" fontId="29" fillId="27" borderId="430" xfId="0" applyNumberFormat="1" applyFont="1" applyFill="1" applyBorder="1" applyAlignment="1" applyProtection="1">
      <alignment vertical="center"/>
    </xf>
    <xf numFmtId="10" fontId="40" fillId="27" borderId="441" xfId="0" applyNumberFormat="1" applyFont="1" applyFill="1" applyBorder="1" applyAlignment="1" applyProtection="1">
      <alignment vertical="center"/>
    </xf>
    <xf numFmtId="10" fontId="40" fillId="27" borderId="439" xfId="0" applyNumberFormat="1" applyFont="1" applyFill="1" applyBorder="1" applyAlignment="1" applyProtection="1">
      <alignment vertical="center"/>
    </xf>
    <xf numFmtId="10" fontId="40" fillId="35" borderId="0" xfId="0" applyNumberFormat="1" applyFont="1" applyFill="1" applyBorder="1" applyAlignment="1" applyProtection="1">
      <alignment vertical="center"/>
    </xf>
    <xf numFmtId="10" fontId="40" fillId="33" borderId="440" xfId="0" applyNumberFormat="1" applyFont="1" applyFill="1" applyBorder="1" applyAlignment="1" applyProtection="1">
      <alignment vertical="center"/>
    </xf>
    <xf numFmtId="0" fontId="21" fillId="0" borderId="28" xfId="0" quotePrefix="1" applyFont="1" applyFill="1" applyBorder="1" applyAlignment="1">
      <alignment horizontal="center" vertical="center"/>
    </xf>
    <xf numFmtId="0" fontId="21" fillId="0" borderId="568" xfId="0" applyFont="1" applyFill="1" applyBorder="1" applyAlignment="1">
      <alignment horizontal="center" vertical="center"/>
    </xf>
    <xf numFmtId="0" fontId="21" fillId="0" borderId="568" xfId="0" applyFont="1" applyFill="1" applyBorder="1" applyAlignment="1">
      <alignment horizontal="left" vertical="center" wrapText="1"/>
    </xf>
    <xf numFmtId="0" fontId="23" fillId="0" borderId="569" xfId="0" applyFont="1" applyFill="1" applyBorder="1" applyAlignment="1">
      <alignment horizontal="center" vertical="center"/>
    </xf>
    <xf numFmtId="164" fontId="21" fillId="0" borderId="570" xfId="28" applyNumberFormat="1" applyFont="1" applyFill="1" applyBorder="1" applyAlignment="1" applyProtection="1">
      <alignment vertical="center"/>
    </xf>
    <xf numFmtId="0" fontId="21" fillId="0" borderId="571" xfId="0" quotePrefix="1" applyFont="1" applyFill="1" applyBorder="1" applyAlignment="1">
      <alignment horizontal="center" vertical="center"/>
    </xf>
    <xf numFmtId="0" fontId="21" fillId="0" borderId="571" xfId="0" applyFont="1" applyFill="1" applyBorder="1" applyAlignment="1">
      <alignment horizontal="left" vertical="center"/>
    </xf>
    <xf numFmtId="0" fontId="23" fillId="0" borderId="572" xfId="0" applyFont="1" applyFill="1" applyBorder="1" applyAlignment="1">
      <alignment horizontal="center" vertical="center"/>
    </xf>
    <xf numFmtId="164" fontId="23" fillId="0" borderId="573" xfId="28" applyNumberFormat="1" applyFont="1" applyFill="1" applyBorder="1" applyAlignment="1">
      <alignment vertical="center"/>
    </xf>
    <xf numFmtId="164" fontId="23" fillId="0" borderId="573" xfId="28" applyNumberFormat="1" applyFont="1" applyFill="1" applyBorder="1" applyAlignment="1" applyProtection="1">
      <alignment vertical="center"/>
    </xf>
    <xf numFmtId="0" fontId="21" fillId="0" borderId="571" xfId="0" applyFont="1" applyFill="1" applyBorder="1" applyAlignment="1">
      <alignment horizontal="center" vertical="center"/>
    </xf>
    <xf numFmtId="0" fontId="29" fillId="33" borderId="480" xfId="0" applyFont="1" applyFill="1" applyBorder="1" applyAlignment="1">
      <alignment horizontal="center" vertical="center"/>
    </xf>
    <xf numFmtId="0" fontId="23" fillId="0" borderId="0" xfId="0" applyFont="1" applyFill="1" applyBorder="1" applyAlignment="1">
      <alignment vertical="center"/>
    </xf>
    <xf numFmtId="0" fontId="29" fillId="33" borderId="571" xfId="0" applyFont="1" applyFill="1" applyBorder="1" applyAlignment="1">
      <alignment horizontal="left" vertical="center"/>
    </xf>
    <xf numFmtId="0" fontId="23" fillId="33" borderId="572" xfId="0" applyFont="1" applyFill="1" applyBorder="1" applyAlignment="1">
      <alignment horizontal="center" vertical="center"/>
    </xf>
    <xf numFmtId="5" fontId="29" fillId="33" borderId="573" xfId="0" applyNumberFormat="1" applyFont="1" applyFill="1" applyBorder="1" applyAlignment="1" applyProtection="1">
      <alignment vertical="center"/>
    </xf>
    <xf numFmtId="5" fontId="23" fillId="0" borderId="575" xfId="0" applyNumberFormat="1" applyFont="1" applyFill="1" applyBorder="1" applyAlignment="1" applyProtection="1">
      <alignment vertical="center"/>
    </xf>
    <xf numFmtId="0" fontId="23" fillId="0" borderId="571" xfId="0" applyFont="1" applyFill="1" applyBorder="1" applyAlignment="1">
      <alignment horizontal="left" vertical="center"/>
    </xf>
    <xf numFmtId="5" fontId="23" fillId="0" borderId="573" xfId="0" applyNumberFormat="1" applyFont="1" applyFill="1" applyBorder="1" applyAlignment="1" applyProtection="1">
      <alignment vertical="center"/>
    </xf>
    <xf numFmtId="0" fontId="116" fillId="0" borderId="571" xfId="0" applyFont="1" applyFill="1" applyBorder="1" applyAlignment="1">
      <alignment horizontal="left" vertical="center"/>
    </xf>
    <xf numFmtId="43" fontId="23" fillId="0" borderId="573" xfId="28" applyFont="1" applyFill="1" applyBorder="1" applyAlignment="1" applyProtection="1">
      <alignment horizontal="right" vertical="center"/>
    </xf>
    <xf numFmtId="10" fontId="23" fillId="0" borderId="573" xfId="48" applyNumberFormat="1" applyFont="1" applyFill="1" applyBorder="1" applyAlignment="1" applyProtection="1">
      <alignment horizontal="right" vertical="center"/>
    </xf>
    <xf numFmtId="0" fontId="23" fillId="33" borderId="189" xfId="0" applyFont="1" applyFill="1" applyBorder="1" applyAlignment="1">
      <alignment horizontal="center" vertical="center" wrapText="1"/>
    </xf>
    <xf numFmtId="5" fontId="29" fillId="33" borderId="575" xfId="0" applyNumberFormat="1" applyFont="1" applyFill="1" applyBorder="1" applyAlignment="1" applyProtection="1">
      <alignment vertical="center"/>
    </xf>
    <xf numFmtId="0" fontId="21" fillId="0" borderId="571" xfId="0" quotePrefix="1" applyFont="1" applyFill="1" applyBorder="1" applyAlignment="1">
      <alignment horizontal="center" vertical="center" wrapText="1"/>
    </xf>
    <xf numFmtId="0" fontId="21" fillId="0" borderId="571" xfId="0" applyFont="1" applyFill="1" applyBorder="1" applyAlignment="1">
      <alignment horizontal="left" vertical="center" wrapText="1"/>
    </xf>
    <xf numFmtId="0" fontId="21" fillId="0" borderId="28" xfId="0" quotePrefix="1" applyFont="1" applyFill="1" applyBorder="1" applyAlignment="1">
      <alignment horizontal="center" vertical="center" wrapText="1"/>
    </xf>
    <xf numFmtId="5" fontId="29" fillId="33" borderId="190" xfId="0" applyNumberFormat="1" applyFont="1" applyFill="1" applyBorder="1" applyAlignment="1" applyProtection="1">
      <alignment vertical="center"/>
    </xf>
    <xf numFmtId="0" fontId="21" fillId="0" borderId="574" xfId="0" applyFont="1" applyFill="1" applyBorder="1" applyAlignment="1">
      <alignment horizontal="left" vertical="center"/>
    </xf>
    <xf numFmtId="5" fontId="23" fillId="35" borderId="573" xfId="0" applyNumberFormat="1" applyFont="1" applyFill="1" applyBorder="1" applyAlignment="1" applyProtection="1">
      <alignment vertical="center"/>
    </xf>
    <xf numFmtId="0" fontId="21" fillId="35" borderId="28" xfId="0" applyFont="1" applyFill="1" applyBorder="1" applyAlignment="1">
      <alignment horizontal="left" vertical="center"/>
    </xf>
    <xf numFmtId="5" fontId="23" fillId="35" borderId="410" xfId="0" applyNumberFormat="1" applyFont="1" applyFill="1" applyBorder="1" applyAlignment="1" applyProtection="1">
      <alignment horizontal="center" vertical="center"/>
    </xf>
    <xf numFmtId="0" fontId="21" fillId="0" borderId="61" xfId="0" applyFont="1" applyFill="1" applyBorder="1" applyAlignment="1">
      <alignment horizontal="center" vertical="center"/>
    </xf>
    <xf numFmtId="0" fontId="21" fillId="0" borderId="61" xfId="0" applyFont="1" applyFill="1" applyBorder="1" applyAlignment="1">
      <alignment horizontal="left" vertical="center"/>
    </xf>
    <xf numFmtId="0" fontId="23" fillId="0" borderId="576" xfId="0" applyFont="1" applyFill="1" applyBorder="1" applyAlignment="1">
      <alignment horizontal="center" vertical="center"/>
    </xf>
    <xf numFmtId="0" fontId="21" fillId="35" borderId="571" xfId="0" applyFont="1" applyFill="1" applyBorder="1" applyAlignment="1">
      <alignment horizontal="left" vertical="center"/>
    </xf>
    <xf numFmtId="0" fontId="0" fillId="0" borderId="571" xfId="0" applyBorder="1" applyAlignment="1">
      <alignment vertical="center"/>
    </xf>
    <xf numFmtId="5" fontId="23" fillId="35" borderId="573" xfId="0" applyNumberFormat="1" applyFont="1" applyFill="1" applyBorder="1" applyAlignment="1" applyProtection="1">
      <alignment horizontal="center" vertical="center"/>
    </xf>
    <xf numFmtId="0" fontId="29" fillId="27" borderId="479" xfId="0" applyFont="1" applyFill="1" applyBorder="1" applyAlignment="1">
      <alignment horizontal="center" vertical="center" wrapText="1"/>
    </xf>
    <xf numFmtId="0" fontId="29" fillId="33" borderId="448" xfId="0" applyFont="1" applyFill="1" applyBorder="1" applyAlignment="1">
      <alignment horizontal="center" vertical="center" wrapText="1"/>
    </xf>
    <xf numFmtId="164" fontId="21" fillId="0" borderId="578" xfId="28" applyNumberFormat="1" applyFont="1" applyFill="1" applyBorder="1" applyAlignment="1" applyProtection="1">
      <alignment vertical="center"/>
    </xf>
    <xf numFmtId="164" fontId="21" fillId="0" borderId="579" xfId="28" applyNumberFormat="1" applyFont="1" applyFill="1" applyBorder="1" applyAlignment="1" applyProtection="1">
      <alignment vertical="center"/>
    </xf>
    <xf numFmtId="164" fontId="23" fillId="0" borderId="158" xfId="28" applyNumberFormat="1" applyFont="1" applyFill="1" applyBorder="1" applyAlignment="1" applyProtection="1">
      <alignment vertical="center"/>
    </xf>
    <xf numFmtId="164" fontId="23" fillId="0" borderId="580" xfId="28" applyNumberFormat="1" applyFont="1" applyFill="1" applyBorder="1" applyAlignment="1" applyProtection="1">
      <alignment vertical="center"/>
    </xf>
    <xf numFmtId="5" fontId="23" fillId="0" borderId="453" xfId="0" applyNumberFormat="1" applyFont="1" applyFill="1" applyBorder="1" applyAlignment="1" applyProtection="1">
      <alignment vertical="center"/>
    </xf>
    <xf numFmtId="5" fontId="23" fillId="0" borderId="158" xfId="0" applyNumberFormat="1" applyFont="1" applyFill="1" applyBorder="1" applyAlignment="1" applyProtection="1">
      <alignment vertical="center"/>
    </xf>
    <xf numFmtId="5" fontId="29" fillId="33" borderId="158" xfId="0" applyNumberFormat="1" applyFont="1" applyFill="1" applyBorder="1" applyAlignment="1" applyProtection="1">
      <alignment vertical="center"/>
    </xf>
    <xf numFmtId="43" fontId="23" fillId="0" borderId="579" xfId="28" applyFont="1" applyFill="1" applyBorder="1" applyAlignment="1" applyProtection="1">
      <alignment horizontal="right" vertical="center"/>
    </xf>
    <xf numFmtId="10" fontId="23" fillId="0" borderId="158" xfId="48" applyNumberFormat="1" applyFont="1" applyFill="1" applyBorder="1" applyAlignment="1" applyProtection="1">
      <alignment vertical="center"/>
    </xf>
    <xf numFmtId="5" fontId="23" fillId="0" borderId="580" xfId="0" applyNumberFormat="1" applyFont="1" applyFill="1" applyBorder="1" applyAlignment="1" applyProtection="1">
      <alignment vertical="center"/>
    </xf>
    <xf numFmtId="5" fontId="29" fillId="33" borderId="161" xfId="0" applyNumberFormat="1" applyFont="1" applyFill="1" applyBorder="1" applyAlignment="1" applyProtection="1">
      <alignment vertical="center"/>
    </xf>
    <xf numFmtId="5" fontId="29" fillId="33" borderId="581" xfId="0" applyNumberFormat="1" applyFont="1" applyFill="1" applyBorder="1" applyAlignment="1" applyProtection="1">
      <alignment vertical="center"/>
    </xf>
    <xf numFmtId="5" fontId="23" fillId="0" borderId="579" xfId="0" applyNumberFormat="1" applyFont="1" applyFill="1" applyBorder="1" applyAlignment="1" applyProtection="1">
      <alignment vertical="center"/>
    </xf>
    <xf numFmtId="5" fontId="29" fillId="27" borderId="452" xfId="0" applyNumberFormat="1" applyFont="1" applyFill="1" applyBorder="1" applyAlignment="1" applyProtection="1">
      <alignment vertical="center"/>
    </xf>
    <xf numFmtId="5" fontId="29" fillId="27" borderId="453" xfId="0" applyNumberFormat="1" applyFont="1" applyFill="1" applyBorder="1" applyAlignment="1" applyProtection="1">
      <alignment vertical="center"/>
    </xf>
    <xf numFmtId="164" fontId="21" fillId="0" borderId="436" xfId="28" applyNumberFormat="1" applyFont="1" applyFill="1" applyBorder="1" applyAlignment="1" applyProtection="1">
      <alignment vertical="center"/>
    </xf>
    <xf numFmtId="164" fontId="21" fillId="0" borderId="582" xfId="28" applyNumberFormat="1" applyFont="1" applyFill="1" applyBorder="1" applyAlignment="1" applyProtection="1">
      <alignment vertical="center"/>
    </xf>
    <xf numFmtId="164" fontId="23" fillId="0" borderId="583" xfId="28" applyNumberFormat="1" applyFont="1" applyFill="1" applyBorder="1" applyAlignment="1" applyProtection="1">
      <alignment vertical="center"/>
    </xf>
    <xf numFmtId="164" fontId="23" fillId="0" borderId="439" xfId="28" applyNumberFormat="1" applyFont="1" applyFill="1" applyBorder="1" applyAlignment="1" applyProtection="1">
      <alignment vertical="center"/>
    </xf>
    <xf numFmtId="5" fontId="23" fillId="0" borderId="439" xfId="0" applyNumberFormat="1" applyFont="1" applyFill="1" applyBorder="1" applyAlignment="1" applyProtection="1">
      <alignment vertical="center"/>
    </xf>
    <xf numFmtId="5" fontId="23" fillId="0" borderId="91" xfId="0" applyNumberFormat="1" applyFont="1" applyFill="1" applyBorder="1" applyAlignment="1" applyProtection="1">
      <alignment vertical="center"/>
    </xf>
    <xf numFmtId="5" fontId="29" fillId="33" borderId="583" xfId="0" applyNumberFormat="1" applyFont="1" applyFill="1" applyBorder="1" applyAlignment="1" applyProtection="1">
      <alignment vertical="center"/>
    </xf>
    <xf numFmtId="5" fontId="23" fillId="0" borderId="584" xfId="0" applyNumberFormat="1" applyFont="1" applyFill="1" applyBorder="1" applyAlignment="1" applyProtection="1">
      <alignment vertical="center"/>
    </xf>
    <xf numFmtId="5" fontId="23" fillId="0" borderId="583" xfId="0" applyNumberFormat="1" applyFont="1" applyFill="1" applyBorder="1" applyAlignment="1" applyProtection="1">
      <alignment vertical="center"/>
    </xf>
    <xf numFmtId="43" fontId="23" fillId="0" borderId="583" xfId="28" applyFont="1" applyFill="1" applyBorder="1" applyAlignment="1" applyProtection="1">
      <alignment horizontal="right" vertical="center"/>
    </xf>
    <xf numFmtId="10" fontId="23" fillId="0" borderId="583" xfId="48" applyNumberFormat="1" applyFont="1" applyFill="1" applyBorder="1" applyAlignment="1" applyProtection="1">
      <alignment horizontal="right" vertical="center"/>
    </xf>
    <xf numFmtId="5" fontId="23" fillId="0" borderId="440" xfId="0" applyNumberFormat="1" applyFont="1" applyFill="1" applyBorder="1" applyAlignment="1" applyProtection="1">
      <alignment vertical="center"/>
    </xf>
    <xf numFmtId="0" fontId="23" fillId="33" borderId="470" xfId="0" applyFont="1" applyFill="1" applyBorder="1" applyAlignment="1">
      <alignment horizontal="center" vertical="center"/>
    </xf>
    <xf numFmtId="5" fontId="29" fillId="33" borderId="471" xfId="0" applyNumberFormat="1" applyFont="1" applyFill="1" applyBorder="1" applyAlignment="1" applyProtection="1">
      <alignment vertical="center"/>
    </xf>
    <xf numFmtId="5" fontId="29" fillId="33" borderId="472" xfId="0" applyNumberFormat="1" applyFont="1" applyFill="1" applyBorder="1" applyAlignment="1" applyProtection="1">
      <alignment vertical="center"/>
    </xf>
    <xf numFmtId="5" fontId="29" fillId="33" borderId="443" xfId="0" applyNumberFormat="1" applyFont="1" applyFill="1" applyBorder="1" applyAlignment="1" applyProtection="1">
      <alignment vertical="center"/>
    </xf>
    <xf numFmtId="5" fontId="29" fillId="33" borderId="584" xfId="0" applyNumberFormat="1" applyFont="1" applyFill="1" applyBorder="1" applyAlignment="1" applyProtection="1">
      <alignment vertical="center"/>
    </xf>
    <xf numFmtId="5" fontId="29" fillId="27" borderId="441" xfId="0" applyNumberFormat="1" applyFont="1" applyFill="1" applyBorder="1" applyAlignment="1" applyProtection="1">
      <alignment vertical="center"/>
    </xf>
    <xf numFmtId="0" fontId="40" fillId="27" borderId="52" xfId="0" applyFont="1" applyFill="1" applyBorder="1" applyAlignment="1">
      <alignment vertical="center"/>
    </xf>
    <xf numFmtId="0" fontId="23" fillId="33" borderId="585" xfId="0" applyFont="1" applyFill="1" applyBorder="1" applyAlignment="1">
      <alignment horizontal="center" vertical="center"/>
    </xf>
    <xf numFmtId="5" fontId="29" fillId="27" borderId="425" xfId="0" applyNumberFormat="1" applyFont="1" applyFill="1" applyBorder="1" applyAlignment="1" applyProtection="1">
      <alignment vertical="center"/>
    </xf>
    <xf numFmtId="5" fontId="29" fillId="27" borderId="435" xfId="0" applyNumberFormat="1" applyFont="1" applyFill="1" applyBorder="1" applyAlignment="1" applyProtection="1">
      <alignment vertical="center"/>
    </xf>
    <xf numFmtId="5" fontId="23" fillId="0" borderId="159" xfId="0" applyNumberFormat="1" applyFont="1" applyFill="1" applyBorder="1" applyAlignment="1" applyProtection="1">
      <alignment vertical="center"/>
    </xf>
    <xf numFmtId="5" fontId="23" fillId="0" borderId="72" xfId="0" applyNumberFormat="1" applyFont="1" applyFill="1" applyBorder="1" applyAlignment="1" applyProtection="1">
      <alignment vertical="center"/>
    </xf>
    <xf numFmtId="5" fontId="23" fillId="0" borderId="45" xfId="0" applyNumberFormat="1" applyFont="1" applyFill="1" applyBorder="1" applyAlignment="1" applyProtection="1">
      <alignment vertical="center"/>
    </xf>
    <xf numFmtId="0" fontId="40" fillId="35" borderId="0" xfId="0" applyFont="1" applyFill="1" applyBorder="1" applyAlignment="1">
      <alignment vertical="center"/>
    </xf>
    <xf numFmtId="0" fontId="29" fillId="35" borderId="0" xfId="0" applyFont="1" applyFill="1" applyBorder="1" applyAlignment="1">
      <alignment horizontal="left" vertical="center" wrapText="1"/>
    </xf>
    <xf numFmtId="0" fontId="23" fillId="35" borderId="0" xfId="0" applyFont="1" applyFill="1" applyBorder="1" applyAlignment="1">
      <alignment horizontal="center" vertical="center"/>
    </xf>
    <xf numFmtId="0" fontId="29" fillId="33" borderId="586" xfId="0" applyFont="1" applyFill="1" applyBorder="1" applyAlignment="1">
      <alignment horizontal="center" vertical="center"/>
    </xf>
    <xf numFmtId="0" fontId="23" fillId="33" borderId="588" xfId="0" applyFont="1" applyFill="1" applyBorder="1" applyAlignment="1">
      <alignment horizontal="center" vertical="center" wrapText="1"/>
    </xf>
    <xf numFmtId="5" fontId="29" fillId="33" borderId="589" xfId="0" applyNumberFormat="1" applyFont="1" applyFill="1" applyBorder="1" applyAlignment="1" applyProtection="1">
      <alignment vertical="center"/>
    </xf>
    <xf numFmtId="5" fontId="29" fillId="33" borderId="590" xfId="0" applyNumberFormat="1" applyFont="1" applyFill="1" applyBorder="1" applyAlignment="1" applyProtection="1">
      <alignment vertical="center"/>
    </xf>
    <xf numFmtId="5" fontId="23" fillId="0" borderId="591" xfId="0" applyNumberFormat="1" applyFont="1" applyFill="1" applyBorder="1" applyAlignment="1" applyProtection="1">
      <alignment vertical="center"/>
    </xf>
    <xf numFmtId="0" fontId="29" fillId="0" borderId="592" xfId="0" applyFont="1" applyFill="1" applyBorder="1" applyAlignment="1">
      <alignment horizontal="center" vertical="center"/>
    </xf>
    <xf numFmtId="5" fontId="23" fillId="0" borderId="593" xfId="0" applyNumberFormat="1" applyFont="1" applyFill="1" applyBorder="1" applyAlignment="1" applyProtection="1">
      <alignment vertical="center"/>
    </xf>
    <xf numFmtId="5" fontId="29" fillId="33" borderId="594" xfId="0" applyNumberFormat="1" applyFont="1" applyFill="1" applyBorder="1" applyAlignment="1" applyProtection="1">
      <alignment vertical="center"/>
    </xf>
    <xf numFmtId="5" fontId="23" fillId="35" borderId="591" xfId="0" applyNumberFormat="1" applyFont="1" applyFill="1" applyBorder="1" applyAlignment="1" applyProtection="1">
      <alignment vertical="center"/>
    </xf>
    <xf numFmtId="5" fontId="23" fillId="35" borderId="594" xfId="0" applyNumberFormat="1" applyFont="1" applyFill="1" applyBorder="1" applyAlignment="1" applyProtection="1">
      <alignment vertical="center"/>
    </xf>
    <xf numFmtId="5" fontId="29" fillId="27" borderId="595" xfId="0" applyNumberFormat="1" applyFont="1" applyFill="1" applyBorder="1" applyAlignment="1" applyProtection="1">
      <alignment vertical="center"/>
    </xf>
    <xf numFmtId="5" fontId="23" fillId="0" borderId="596" xfId="0" applyNumberFormat="1" applyFont="1" applyFill="1" applyBorder="1" applyAlignment="1" applyProtection="1">
      <alignment vertical="center"/>
    </xf>
    <xf numFmtId="5" fontId="23" fillId="35" borderId="591" xfId="0" applyNumberFormat="1" applyFont="1" applyFill="1" applyBorder="1" applyAlignment="1" applyProtection="1">
      <alignment horizontal="center" vertical="center"/>
    </xf>
    <xf numFmtId="0" fontId="21" fillId="0" borderId="592" xfId="0" applyFont="1" applyFill="1" applyBorder="1" applyAlignment="1">
      <alignment horizontal="center" vertical="center"/>
    </xf>
    <xf numFmtId="5" fontId="23" fillId="35" borderId="593" xfId="0" applyNumberFormat="1" applyFont="1" applyFill="1" applyBorder="1" applyAlignment="1" applyProtection="1">
      <alignment horizontal="center" vertical="center"/>
    </xf>
    <xf numFmtId="0" fontId="29" fillId="27" borderId="597" xfId="0" applyFont="1" applyFill="1" applyBorder="1" applyAlignment="1">
      <alignment horizontal="center" vertical="center" wrapText="1"/>
    </xf>
    <xf numFmtId="5" fontId="29" fillId="27" borderId="600" xfId="0" applyNumberFormat="1" applyFont="1" applyFill="1" applyBorder="1" applyAlignment="1" applyProtection="1">
      <alignment vertical="center"/>
    </xf>
    <xf numFmtId="5" fontId="29" fillId="27" borderId="601" xfId="0" applyNumberFormat="1" applyFont="1" applyFill="1" applyBorder="1" applyAlignment="1" applyProtection="1">
      <alignment vertical="center"/>
    </xf>
    <xf numFmtId="5" fontId="29" fillId="27" borderId="602" xfId="0" applyNumberFormat="1" applyFont="1" applyFill="1" applyBorder="1" applyAlignment="1" applyProtection="1">
      <alignment vertical="center"/>
    </xf>
    <xf numFmtId="165" fontId="18" fillId="42" borderId="536" xfId="0" applyNumberFormat="1" applyFont="1" applyFill="1" applyBorder="1"/>
    <xf numFmtId="165" fontId="18" fillId="42" borderId="13" xfId="0" applyNumberFormat="1" applyFont="1" applyFill="1" applyBorder="1"/>
    <xf numFmtId="165" fontId="18" fillId="42" borderId="535" xfId="0" applyNumberFormat="1" applyFont="1" applyFill="1" applyBorder="1"/>
    <xf numFmtId="165" fontId="18" fillId="42" borderId="11" xfId="0" applyNumberFormat="1" applyFont="1" applyFill="1" applyBorder="1"/>
    <xf numFmtId="6" fontId="33" fillId="42" borderId="12" xfId="0" applyNumberFormat="1" applyFont="1" applyFill="1" applyBorder="1"/>
    <xf numFmtId="165" fontId="27" fillId="57" borderId="495" xfId="253" applyNumberFormat="1" applyFont="1" applyFill="1" applyBorder="1" applyAlignment="1">
      <alignment horizontal="center" wrapText="1"/>
    </xf>
    <xf numFmtId="165" fontId="27" fillId="36" borderId="489" xfId="64" applyNumberFormat="1" applyFont="1" applyFill="1" applyBorder="1" applyAlignment="1">
      <alignment horizontal="center" wrapText="1"/>
    </xf>
    <xf numFmtId="0" fontId="33" fillId="54" borderId="488" xfId="64" applyFont="1" applyFill="1" applyBorder="1" applyAlignment="1">
      <alignment horizontal="center" vertical="center" wrapText="1"/>
    </xf>
    <xf numFmtId="5" fontId="20" fillId="54" borderId="535" xfId="64" applyNumberFormat="1" applyFont="1" applyFill="1" applyBorder="1" applyProtection="1"/>
    <xf numFmtId="5" fontId="20" fillId="54" borderId="536" xfId="64" applyNumberFormat="1" applyFont="1" applyFill="1" applyBorder="1" applyProtection="1"/>
    <xf numFmtId="5" fontId="20" fillId="54" borderId="415" xfId="64" applyNumberFormat="1" applyFont="1" applyFill="1" applyBorder="1" applyProtection="1"/>
    <xf numFmtId="5" fontId="20" fillId="54" borderId="551" xfId="64" applyNumberFormat="1" applyFont="1" applyFill="1" applyBorder="1" applyProtection="1"/>
    <xf numFmtId="5" fontId="33" fillId="54" borderId="12" xfId="64" applyNumberFormat="1" applyFont="1" applyFill="1" applyBorder="1" applyProtection="1"/>
    <xf numFmtId="5" fontId="20" fillId="54" borderId="489" xfId="64" applyNumberFormat="1" applyFont="1" applyFill="1" applyBorder="1" applyProtection="1"/>
    <xf numFmtId="3" fontId="16" fillId="0" borderId="563" xfId="53" applyNumberFormat="1" applyFont="1" applyFill="1" applyBorder="1" applyAlignment="1" applyProtection="1">
      <alignment horizontal="right"/>
    </xf>
    <xf numFmtId="3" fontId="16" fillId="0" borderId="378" xfId="53" applyNumberFormat="1" applyFont="1" applyFill="1" applyBorder="1" applyAlignment="1" applyProtection="1">
      <alignment horizontal="right"/>
    </xf>
    <xf numFmtId="6" fontId="16" fillId="38" borderId="557" xfId="54" applyNumberFormat="1" applyFont="1" applyFill="1" applyBorder="1" applyAlignment="1" applyProtection="1">
      <alignment horizontal="right"/>
    </xf>
    <xf numFmtId="165" fontId="33" fillId="38" borderId="505" xfId="54" applyNumberFormat="1" applyFont="1" applyFill="1" applyBorder="1" applyAlignment="1" applyProtection="1">
      <alignment horizontal="right"/>
    </xf>
    <xf numFmtId="0" fontId="16" fillId="0" borderId="0" xfId="0" applyFont="1" applyAlignment="1">
      <alignment horizontal="left"/>
    </xf>
    <xf numFmtId="49" fontId="33" fillId="37" borderId="311" xfId="53" applyNumberFormat="1" applyFont="1" applyFill="1" applyBorder="1" applyAlignment="1">
      <alignment horizontal="center" vertical="center" wrapText="1"/>
    </xf>
    <xf numFmtId="0" fontId="16" fillId="0" borderId="0" xfId="0" quotePrefix="1" applyFont="1" applyAlignment="1"/>
    <xf numFmtId="49" fontId="33" fillId="37" borderId="311" xfId="53" applyNumberFormat="1" applyFont="1" applyFill="1" applyBorder="1" applyAlignment="1">
      <alignment horizontal="center" vertical="center" wrapText="1"/>
    </xf>
    <xf numFmtId="5" fontId="20" fillId="43" borderId="535" xfId="64" applyNumberFormat="1" applyFont="1" applyFill="1" applyBorder="1" applyProtection="1"/>
    <xf numFmtId="5" fontId="20" fillId="43" borderId="536" xfId="64" applyNumberFormat="1" applyFont="1" applyFill="1" applyBorder="1" applyProtection="1"/>
    <xf numFmtId="5" fontId="20" fillId="43" borderId="415" xfId="64" applyNumberFormat="1" applyFont="1" applyFill="1" applyBorder="1" applyProtection="1"/>
    <xf numFmtId="5" fontId="20" fillId="43" borderId="551" xfId="64" applyNumberFormat="1" applyFont="1" applyFill="1" applyBorder="1" applyProtection="1"/>
    <xf numFmtId="5" fontId="33" fillId="43" borderId="12" xfId="64" applyNumberFormat="1" applyFont="1" applyFill="1" applyBorder="1" applyProtection="1"/>
    <xf numFmtId="5" fontId="20" fillId="43" borderId="489" xfId="64" applyNumberFormat="1" applyFont="1" applyFill="1" applyBorder="1" applyProtection="1"/>
    <xf numFmtId="0" fontId="33" fillId="34" borderId="488" xfId="64" applyFont="1" applyFill="1" applyBorder="1" applyAlignment="1">
      <alignment horizontal="center" vertical="center" wrapText="1"/>
    </xf>
    <xf numFmtId="5" fontId="20" fillId="41" borderId="535" xfId="64" applyNumberFormat="1" applyFont="1" applyFill="1" applyBorder="1" applyProtection="1"/>
    <xf numFmtId="5" fontId="20" fillId="41" borderId="536" xfId="64" applyNumberFormat="1" applyFont="1" applyFill="1" applyBorder="1" applyProtection="1"/>
    <xf numFmtId="5" fontId="20" fillId="41" borderId="415" xfId="64" applyNumberFormat="1" applyFont="1" applyFill="1" applyBorder="1" applyProtection="1"/>
    <xf numFmtId="5" fontId="20" fillId="41" borderId="551" xfId="64" applyNumberFormat="1" applyFont="1" applyFill="1" applyBorder="1" applyProtection="1"/>
    <xf numFmtId="5" fontId="33" fillId="41" borderId="12" xfId="64" applyNumberFormat="1" applyFont="1" applyFill="1" applyBorder="1" applyProtection="1"/>
    <xf numFmtId="5" fontId="20" fillId="41" borderId="489" xfId="64" applyNumberFormat="1" applyFont="1" applyFill="1" applyBorder="1" applyProtection="1"/>
    <xf numFmtId="0" fontId="33" fillId="58" borderId="507" xfId="64" applyFont="1" applyFill="1" applyBorder="1" applyAlignment="1">
      <alignment vertical="center" wrapText="1"/>
    </xf>
    <xf numFmtId="5" fontId="33" fillId="35" borderId="115" xfId="64" applyNumberFormat="1" applyFont="1" applyFill="1" applyBorder="1" applyProtection="1"/>
    <xf numFmtId="0" fontId="59" fillId="0" borderId="0" xfId="64" applyFont="1" applyAlignment="1">
      <alignment horizontal="right"/>
    </xf>
    <xf numFmtId="0" fontId="29" fillId="33" borderId="117" xfId="0" quotePrefix="1" applyFont="1" applyFill="1" applyBorder="1" applyAlignment="1">
      <alignment horizontal="left" vertical="center" wrapText="1"/>
    </xf>
    <xf numFmtId="0" fontId="29" fillId="33" borderId="117" xfId="0" applyFont="1" applyFill="1" applyBorder="1" applyAlignment="1">
      <alignment horizontal="left" vertical="center" wrapText="1"/>
    </xf>
    <xf numFmtId="0" fontId="101" fillId="0" borderId="0" xfId="0" applyFont="1" applyBorder="1" applyAlignment="1">
      <alignment horizontal="center" wrapText="1"/>
    </xf>
    <xf numFmtId="0" fontId="102" fillId="0" borderId="0" xfId="0" applyFont="1" applyBorder="1" applyAlignment="1">
      <alignment horizontal="center"/>
    </xf>
    <xf numFmtId="0" fontId="32" fillId="0" borderId="0" xfId="0" applyFont="1" applyBorder="1" applyAlignment="1">
      <alignment horizontal="center"/>
    </xf>
    <xf numFmtId="0" fontId="24" fillId="0" borderId="17" xfId="0" quotePrefix="1" applyFont="1" applyBorder="1" applyAlignment="1">
      <alignment horizontal="center" wrapText="1"/>
    </xf>
    <xf numFmtId="0" fontId="24" fillId="0" borderId="17" xfId="0" applyFont="1" applyBorder="1" applyAlignment="1">
      <alignment horizontal="center" wrapText="1"/>
    </xf>
    <xf numFmtId="0" fontId="53" fillId="27" borderId="413" xfId="0" applyFont="1" applyFill="1" applyBorder="1" applyAlignment="1">
      <alignment horizontal="center" vertical="center" wrapText="1"/>
    </xf>
    <xf numFmtId="0" fontId="30" fillId="27" borderId="190" xfId="0" applyFont="1" applyFill="1" applyBorder="1" applyAlignment="1">
      <alignment horizontal="center" vertical="center" wrapText="1"/>
    </xf>
    <xf numFmtId="0" fontId="30" fillId="27" borderId="425" xfId="0" applyFont="1" applyFill="1" applyBorder="1" applyAlignment="1">
      <alignment horizontal="center" vertical="center" wrapText="1"/>
    </xf>
    <xf numFmtId="0" fontId="53" fillId="27" borderId="190" xfId="0" applyFont="1" applyFill="1" applyBorder="1" applyAlignment="1">
      <alignment horizontal="center" vertical="center" wrapText="1"/>
    </xf>
    <xf numFmtId="0" fontId="53" fillId="27" borderId="425" xfId="0" applyFont="1" applyFill="1" applyBorder="1" applyAlignment="1">
      <alignment horizontal="center" vertical="center" wrapText="1"/>
    </xf>
    <xf numFmtId="0" fontId="29" fillId="27" borderId="413" xfId="0" quotePrefix="1" applyFont="1" applyFill="1" applyBorder="1" applyAlignment="1">
      <alignment horizontal="center" vertical="center" wrapText="1"/>
    </xf>
    <xf numFmtId="0" fontId="29" fillId="27" borderId="190" xfId="0" applyFont="1" applyFill="1" applyBorder="1" applyAlignment="1">
      <alignment horizontal="center" vertical="center" wrapText="1"/>
    </xf>
    <xf numFmtId="0" fontId="29" fillId="27" borderId="425" xfId="0" applyFont="1" applyFill="1" applyBorder="1" applyAlignment="1">
      <alignment horizontal="center" vertical="center" wrapText="1"/>
    </xf>
    <xf numFmtId="0" fontId="29" fillId="0" borderId="434" xfId="0" applyFont="1" applyFill="1" applyBorder="1" applyAlignment="1">
      <alignment horizontal="center" vertical="center" wrapText="1"/>
    </xf>
    <xf numFmtId="0" fontId="29" fillId="0" borderId="91" xfId="0" applyFont="1" applyFill="1" applyBorder="1" applyAlignment="1">
      <alignment horizontal="center" vertical="center"/>
    </xf>
    <xf numFmtId="0" fontId="29" fillId="0" borderId="435" xfId="0" applyFont="1" applyFill="1" applyBorder="1" applyAlignment="1">
      <alignment horizontal="center" vertical="center"/>
    </xf>
    <xf numFmtId="0" fontId="29" fillId="35" borderId="125" xfId="0" applyFont="1" applyFill="1" applyBorder="1" applyAlignment="1">
      <alignment horizontal="center" wrapText="1"/>
    </xf>
    <xf numFmtId="0" fontId="57" fillId="35" borderId="126" xfId="0" applyFont="1" applyFill="1" applyBorder="1" applyAlignment="1">
      <alignment horizontal="center" wrapText="1"/>
    </xf>
    <xf numFmtId="0" fontId="57" fillId="35" borderId="127" xfId="0" applyFont="1" applyFill="1" applyBorder="1" applyAlignment="1">
      <alignment horizontal="center" wrapText="1"/>
    </xf>
    <xf numFmtId="0" fontId="21" fillId="0" borderId="18" xfId="0" applyFont="1" applyFill="1" applyBorder="1" applyAlignment="1">
      <alignment horizontal="left" wrapText="1"/>
    </xf>
    <xf numFmtId="0" fontId="21" fillId="0" borderId="158" xfId="0" applyFont="1" applyFill="1" applyBorder="1" applyAlignment="1">
      <alignment horizontal="left" wrapText="1"/>
    </xf>
    <xf numFmtId="0" fontId="29" fillId="27" borderId="69" xfId="0" applyFont="1" applyFill="1" applyBorder="1" applyAlignment="1">
      <alignment horizontal="left" wrapText="1"/>
    </xf>
    <xf numFmtId="0" fontId="29" fillId="27" borderId="452" xfId="0" applyFont="1" applyFill="1" applyBorder="1" applyAlignment="1">
      <alignment horizontal="left" wrapText="1"/>
    </xf>
    <xf numFmtId="0" fontId="29" fillId="27" borderId="28" xfId="0" applyFont="1" applyFill="1" applyBorder="1" applyAlignment="1">
      <alignment horizontal="left" wrapText="1"/>
    </xf>
    <xf numFmtId="0" fontId="29" fillId="27" borderId="453" xfId="0" applyFont="1" applyFill="1" applyBorder="1" applyAlignment="1">
      <alignment horizontal="left" wrapText="1"/>
    </xf>
    <xf numFmtId="0" fontId="21" fillId="0" borderId="447" xfId="0" quotePrefix="1" applyFont="1" applyFill="1" applyBorder="1" applyAlignment="1">
      <alignment horizontal="left"/>
    </xf>
    <xf numFmtId="0" fontId="21" fillId="0" borderId="445" xfId="0" quotePrefix="1" applyFont="1" applyFill="1" applyBorder="1" applyAlignment="1">
      <alignment horizontal="left"/>
    </xf>
    <xf numFmtId="0" fontId="29" fillId="27" borderId="37" xfId="0" quotePrefix="1" applyFont="1" applyFill="1" applyBorder="1" applyAlignment="1">
      <alignment horizontal="left" vertical="center" wrapText="1"/>
    </xf>
    <xf numFmtId="0" fontId="29" fillId="27" borderId="161" xfId="0" quotePrefix="1" applyFont="1" applyFill="1" applyBorder="1" applyAlignment="1">
      <alignment horizontal="left" vertical="center" wrapText="1"/>
    </xf>
    <xf numFmtId="0" fontId="29" fillId="39" borderId="76" xfId="0" applyFont="1" applyFill="1" applyBorder="1" applyAlignment="1">
      <alignment horizontal="center"/>
    </xf>
    <xf numFmtId="0" fontId="29" fillId="39" borderId="37" xfId="0" applyFont="1" applyFill="1" applyBorder="1" applyAlignment="1">
      <alignment horizontal="center"/>
    </xf>
    <xf numFmtId="0" fontId="29" fillId="39" borderId="70" xfId="0" applyFont="1" applyFill="1" applyBorder="1" applyAlignment="1">
      <alignment horizontal="center"/>
    </xf>
    <xf numFmtId="0" fontId="21" fillId="0" borderId="462" xfId="0" applyFont="1" applyFill="1" applyBorder="1" applyAlignment="1">
      <alignment horizontal="left" wrapText="1"/>
    </xf>
    <xf numFmtId="0" fontId="26" fillId="27" borderId="61" xfId="0" applyFont="1" applyFill="1" applyBorder="1" applyAlignment="1">
      <alignment horizontal="left" vertical="center" wrapText="1"/>
    </xf>
    <xf numFmtId="0" fontId="0" fillId="0" borderId="61" xfId="0" applyBorder="1" applyAlignment="1">
      <alignment horizontal="left" vertical="center" wrapText="1"/>
    </xf>
    <xf numFmtId="0" fontId="26" fillId="27" borderId="122" xfId="0" applyFont="1" applyFill="1" applyBorder="1" applyAlignment="1">
      <alignment horizontal="left" vertical="center" wrapText="1"/>
    </xf>
    <xf numFmtId="0" fontId="53" fillId="27" borderId="116" xfId="0" applyFont="1" applyFill="1" applyBorder="1" applyAlignment="1">
      <alignment horizontal="center" vertical="center" wrapText="1"/>
    </xf>
    <xf numFmtId="0" fontId="30" fillId="27" borderId="49" xfId="0" applyFont="1" applyFill="1" applyBorder="1" applyAlignment="1">
      <alignment horizontal="center" vertical="center" wrapText="1"/>
    </xf>
    <xf numFmtId="0" fontId="30" fillId="27" borderId="23" xfId="0" applyFont="1" applyFill="1" applyBorder="1" applyAlignment="1">
      <alignment horizontal="center" vertical="center" wrapText="1"/>
    </xf>
    <xf numFmtId="0" fontId="29" fillId="27" borderId="116" xfId="0" quotePrefix="1" applyFont="1" applyFill="1" applyBorder="1" applyAlignment="1">
      <alignment horizontal="center" vertical="center" wrapText="1"/>
    </xf>
    <xf numFmtId="0" fontId="29" fillId="27" borderId="49" xfId="0" applyFont="1" applyFill="1" applyBorder="1" applyAlignment="1">
      <alignment horizontal="center" vertical="center" wrapText="1"/>
    </xf>
    <xf numFmtId="0" fontId="29" fillId="27" borderId="23" xfId="0" applyFont="1" applyFill="1" applyBorder="1" applyAlignment="1">
      <alignment horizontal="center" vertical="center" wrapText="1"/>
    </xf>
    <xf numFmtId="0" fontId="29" fillId="0" borderId="119" xfId="0" applyFont="1" applyFill="1" applyBorder="1" applyAlignment="1">
      <alignment horizontal="center" vertical="center" wrapText="1"/>
    </xf>
    <xf numFmtId="0" fontId="29" fillId="0" borderId="120" xfId="0" applyFont="1" applyFill="1" applyBorder="1" applyAlignment="1">
      <alignment horizontal="center" vertical="center"/>
    </xf>
    <xf numFmtId="0" fontId="29" fillId="0" borderId="96" xfId="0" applyFont="1" applyFill="1" applyBorder="1" applyAlignment="1">
      <alignment horizontal="center" vertical="center"/>
    </xf>
    <xf numFmtId="0" fontId="53" fillId="27" borderId="125" xfId="0" applyFont="1" applyFill="1" applyBorder="1" applyAlignment="1">
      <alignment horizontal="center" vertical="center" wrapText="1"/>
    </xf>
    <xf numFmtId="0" fontId="53" fillId="27" borderId="24" xfId="0" applyFont="1" applyFill="1" applyBorder="1" applyAlignment="1">
      <alignment horizontal="center" vertical="center" wrapText="1"/>
    </xf>
    <xf numFmtId="0" fontId="53" fillId="27" borderId="126" xfId="0" applyFont="1" applyFill="1" applyBorder="1" applyAlignment="1">
      <alignment horizontal="center" vertical="center" wrapText="1"/>
    </xf>
    <xf numFmtId="0" fontId="53" fillId="27" borderId="25" xfId="0" applyFont="1" applyFill="1" applyBorder="1" applyAlignment="1">
      <alignment horizontal="center" vertical="center" wrapText="1"/>
    </xf>
    <xf numFmtId="0" fontId="53" fillId="27" borderId="127" xfId="0" applyFont="1" applyFill="1" applyBorder="1" applyAlignment="1">
      <alignment horizontal="center" vertical="center" wrapText="1"/>
    </xf>
    <xf numFmtId="0" fontId="53" fillId="27" borderId="128" xfId="0" applyFont="1" applyFill="1" applyBorder="1" applyAlignment="1">
      <alignment horizontal="center" vertical="center" wrapText="1"/>
    </xf>
    <xf numFmtId="0" fontId="59" fillId="0" borderId="16" xfId="0" applyFont="1" applyBorder="1" applyAlignment="1">
      <alignment horizontal="left" vertical="top" wrapText="1"/>
    </xf>
    <xf numFmtId="0" fontId="21" fillId="0" borderId="123" xfId="0" applyFont="1" applyFill="1" applyBorder="1" applyAlignment="1">
      <alignment horizontal="left" vertical="top" wrapText="1"/>
    </xf>
    <xf numFmtId="0" fontId="21" fillId="0" borderId="124" xfId="0" applyFont="1" applyFill="1" applyBorder="1" applyAlignment="1">
      <alignment horizontal="left" vertical="top" wrapText="1"/>
    </xf>
    <xf numFmtId="0" fontId="29" fillId="0" borderId="117" xfId="0" quotePrefix="1" applyFont="1" applyFill="1" applyBorder="1" applyAlignment="1">
      <alignment horizontal="left" vertical="center" wrapText="1"/>
    </xf>
    <xf numFmtId="0" fontId="29" fillId="0" borderId="118" xfId="0" applyFont="1" applyFill="1" applyBorder="1" applyAlignment="1">
      <alignment horizontal="left" vertical="center" wrapText="1"/>
    </xf>
    <xf numFmtId="0" fontId="29" fillId="0" borderId="0" xfId="0" applyFont="1" applyFill="1" applyBorder="1" applyAlignment="1">
      <alignment horizontal="left"/>
    </xf>
    <xf numFmtId="0" fontId="0" fillId="0" borderId="121" xfId="0" applyBorder="1" applyAlignment="1">
      <alignment horizontal="left" vertical="center" wrapText="1"/>
    </xf>
    <xf numFmtId="0" fontId="26" fillId="27" borderId="101" xfId="0" applyFont="1" applyFill="1" applyBorder="1" applyAlignment="1">
      <alignment horizontal="left" vertical="center" wrapText="1"/>
    </xf>
    <xf numFmtId="0" fontId="29" fillId="27" borderId="598" xfId="0" quotePrefix="1" applyFont="1" applyFill="1" applyBorder="1" applyAlignment="1">
      <alignment horizontal="left" vertical="center" wrapText="1"/>
    </xf>
    <xf numFmtId="0" fontId="29" fillId="27" borderId="599" xfId="0" quotePrefix="1" applyFont="1" applyFill="1" applyBorder="1" applyAlignment="1">
      <alignment horizontal="left" vertical="center" wrapText="1"/>
    </xf>
    <xf numFmtId="0" fontId="29" fillId="42" borderId="434" xfId="0" quotePrefix="1" applyFont="1" applyFill="1" applyBorder="1" applyAlignment="1">
      <alignment horizontal="center" vertical="center" wrapText="1"/>
    </xf>
    <xf numFmtId="0" fontId="29" fillId="42" borderId="91" xfId="0" applyFont="1" applyFill="1" applyBorder="1" applyAlignment="1">
      <alignment horizontal="center" vertical="center" wrapText="1"/>
    </xf>
    <xf numFmtId="0" fontId="29" fillId="42" borderId="435" xfId="0" applyFont="1" applyFill="1" applyBorder="1" applyAlignment="1">
      <alignment horizontal="center" vertical="center" wrapText="1"/>
    </xf>
    <xf numFmtId="0" fontId="29" fillId="42" borderId="413" xfId="0" quotePrefix="1" applyFont="1" applyFill="1" applyBorder="1" applyAlignment="1">
      <alignment horizontal="center" vertical="center" wrapText="1"/>
    </xf>
    <xf numFmtId="0" fontId="29" fillId="42" borderId="190" xfId="0" applyFont="1" applyFill="1" applyBorder="1" applyAlignment="1">
      <alignment horizontal="center" vertical="center" wrapText="1"/>
    </xf>
    <xf numFmtId="0" fontId="29" fillId="42" borderId="425" xfId="0" applyFont="1" applyFill="1" applyBorder="1" applyAlignment="1">
      <alignment horizontal="center" vertical="center" wrapText="1"/>
    </xf>
    <xf numFmtId="0" fontId="29" fillId="27" borderId="577" xfId="0" quotePrefix="1" applyFont="1" applyFill="1" applyBorder="1" applyAlignment="1">
      <alignment horizontal="center" vertical="center" wrapText="1"/>
    </xf>
    <xf numFmtId="0" fontId="29" fillId="27" borderId="45" xfId="0" applyFont="1" applyFill="1" applyBorder="1" applyAlignment="1">
      <alignment horizontal="center" vertical="center" wrapText="1"/>
    </xf>
    <xf numFmtId="0" fontId="29" fillId="27" borderId="164" xfId="0" applyFont="1" applyFill="1" applyBorder="1" applyAlignment="1">
      <alignment horizontal="center" vertical="center" wrapText="1"/>
    </xf>
    <xf numFmtId="0" fontId="29" fillId="42" borderId="15" xfId="0" applyFont="1" applyFill="1" applyBorder="1" applyAlignment="1">
      <alignment horizontal="center" vertical="center"/>
    </xf>
    <xf numFmtId="0" fontId="29" fillId="42" borderId="16" xfId="0" applyFont="1" applyFill="1" applyBorder="1" applyAlignment="1">
      <alignment horizontal="center" vertical="center"/>
    </xf>
    <xf numFmtId="0" fontId="29" fillId="42" borderId="603" xfId="0" applyFont="1" applyFill="1" applyBorder="1" applyAlignment="1">
      <alignment horizontal="center" vertical="center"/>
    </xf>
    <xf numFmtId="0" fontId="29" fillId="42" borderId="51" xfId="0" applyFont="1" applyFill="1" applyBorder="1" applyAlignment="1">
      <alignment horizontal="center" vertical="center"/>
    </xf>
    <xf numFmtId="0" fontId="29" fillId="42" borderId="0" xfId="0" applyFont="1" applyFill="1" applyBorder="1" applyAlignment="1">
      <alignment horizontal="center" vertical="center"/>
    </xf>
    <xf numFmtId="0" fontId="29" fillId="42" borderId="83" xfId="0" applyFont="1" applyFill="1" applyBorder="1" applyAlignment="1">
      <alignment horizontal="center" vertical="center"/>
    </xf>
    <xf numFmtId="0" fontId="29" fillId="42" borderId="52" xfId="0" applyFont="1" applyFill="1" applyBorder="1" applyAlignment="1">
      <alignment horizontal="center" vertical="center"/>
    </xf>
    <xf numFmtId="0" fontId="29" fillId="42" borderId="17" xfId="0" applyFont="1" applyFill="1" applyBorder="1" applyAlignment="1">
      <alignment horizontal="center" vertical="center"/>
    </xf>
    <xf numFmtId="0" fontId="29" fillId="42" borderId="604" xfId="0" applyFont="1" applyFill="1" applyBorder="1" applyAlignment="1">
      <alignment horizontal="center" vertical="center"/>
    </xf>
    <xf numFmtId="0" fontId="21" fillId="0" borderId="18" xfId="0" applyFont="1" applyFill="1" applyBorder="1" applyAlignment="1">
      <alignment horizontal="left" vertical="center" wrapText="1"/>
    </xf>
    <xf numFmtId="0" fontId="21" fillId="0" borderId="158" xfId="0" applyFont="1" applyFill="1" applyBorder="1" applyAlignment="1">
      <alignment horizontal="left" vertical="center" wrapText="1"/>
    </xf>
    <xf numFmtId="0" fontId="29" fillId="33" borderId="61" xfId="0" quotePrefix="1" applyFont="1" applyFill="1" applyBorder="1" applyAlignment="1">
      <alignment horizontal="left" vertical="center" wrapText="1"/>
    </xf>
    <xf numFmtId="0" fontId="29" fillId="33" borderId="61" xfId="0" applyFont="1" applyFill="1" applyBorder="1" applyAlignment="1">
      <alignment horizontal="left" vertical="center" wrapText="1"/>
    </xf>
    <xf numFmtId="0" fontId="29" fillId="27" borderId="69" xfId="0" applyFont="1" applyFill="1" applyBorder="1" applyAlignment="1">
      <alignment horizontal="left" vertical="center" wrapText="1"/>
    </xf>
    <xf numFmtId="0" fontId="29" fillId="27" borderId="452" xfId="0" applyFont="1" applyFill="1" applyBorder="1" applyAlignment="1">
      <alignment horizontal="left" vertical="center" wrapText="1"/>
    </xf>
    <xf numFmtId="0" fontId="29" fillId="27" borderId="17" xfId="0" applyFont="1" applyFill="1" applyBorder="1" applyAlignment="1">
      <alignment horizontal="left" vertical="center" wrapText="1"/>
    </xf>
    <xf numFmtId="0" fontId="29" fillId="27" borderId="164" xfId="0" applyFont="1" applyFill="1" applyBorder="1" applyAlignment="1">
      <alignment horizontal="left" vertical="center" wrapText="1"/>
    </xf>
    <xf numFmtId="0" fontId="29" fillId="33" borderId="587" xfId="0" quotePrefix="1" applyFont="1" applyFill="1" applyBorder="1" applyAlignment="1">
      <alignment horizontal="left" vertical="center" wrapText="1"/>
    </xf>
    <xf numFmtId="0" fontId="29" fillId="33" borderId="587" xfId="0" applyFont="1" applyFill="1" applyBorder="1" applyAlignment="1">
      <alignment horizontal="left" vertical="center" wrapText="1"/>
    </xf>
    <xf numFmtId="0" fontId="29" fillId="33" borderId="0" xfId="0" quotePrefix="1" applyFont="1" applyFill="1" applyBorder="1" applyAlignment="1">
      <alignment horizontal="left" vertical="center" wrapText="1"/>
    </xf>
    <xf numFmtId="0" fontId="29" fillId="33" borderId="0" xfId="0" applyFont="1" applyFill="1" applyBorder="1" applyAlignment="1">
      <alignment horizontal="left" vertical="center" wrapText="1"/>
    </xf>
    <xf numFmtId="0" fontId="121" fillId="43" borderId="190" xfId="0" quotePrefix="1" applyFont="1" applyFill="1" applyBorder="1" applyAlignment="1">
      <alignment horizontal="center" vertical="center" wrapText="1"/>
    </xf>
    <xf numFmtId="0" fontId="121" fillId="43" borderId="415" xfId="0" applyFont="1" applyFill="1" applyBorder="1" applyAlignment="1">
      <alignment horizontal="center" vertical="center" wrapText="1"/>
    </xf>
    <xf numFmtId="0" fontId="121" fillId="43" borderId="190" xfId="0" applyFont="1" applyFill="1" applyBorder="1" applyAlignment="1">
      <alignment horizontal="center" vertical="center" wrapText="1"/>
    </xf>
    <xf numFmtId="0" fontId="121" fillId="40" borderId="508" xfId="0" applyFont="1" applyFill="1" applyBorder="1" applyAlignment="1">
      <alignment horizontal="center" vertical="center" wrapText="1"/>
    </xf>
    <xf numFmtId="0" fontId="121" fillId="40" borderId="510" xfId="0" applyFont="1" applyFill="1" applyBorder="1" applyAlignment="1">
      <alignment horizontal="center" vertical="center" wrapText="1"/>
    </xf>
    <xf numFmtId="0" fontId="121" fillId="27" borderId="460" xfId="0" applyFont="1" applyFill="1" applyBorder="1" applyAlignment="1">
      <alignment horizontal="center" vertical="center" wrapText="1"/>
    </xf>
    <xf numFmtId="0" fontId="124" fillId="25" borderId="494" xfId="0" applyFont="1" applyFill="1" applyBorder="1" applyAlignment="1">
      <alignment horizontal="center" vertical="center" wrapText="1"/>
    </xf>
    <xf numFmtId="0" fontId="124" fillId="25" borderId="495" xfId="0" applyFont="1" applyFill="1" applyBorder="1" applyAlignment="1">
      <alignment horizontal="center" vertical="center"/>
    </xf>
    <xf numFmtId="0" fontId="124" fillId="25" borderId="490" xfId="0" applyFont="1" applyFill="1" applyBorder="1" applyAlignment="1">
      <alignment horizontal="center" vertical="center"/>
    </xf>
    <xf numFmtId="0" fontId="121" fillId="37" borderId="460" xfId="0" applyFont="1" applyFill="1" applyBorder="1" applyAlignment="1">
      <alignment horizontal="center" vertical="center" wrapText="1"/>
    </xf>
    <xf numFmtId="0" fontId="121" fillId="46" borderId="465" xfId="0" applyFont="1" applyFill="1" applyBorder="1" applyAlignment="1">
      <alignment horizontal="center" vertical="center" wrapText="1"/>
    </xf>
    <xf numFmtId="0" fontId="121" fillId="46" borderId="190" xfId="0" applyFont="1" applyFill="1" applyBorder="1" applyAlignment="1">
      <alignment horizontal="center" vertical="center" wrapText="1"/>
    </xf>
    <xf numFmtId="0" fontId="124" fillId="33" borderId="467" xfId="0" applyFont="1" applyFill="1" applyBorder="1" applyAlignment="1">
      <alignment horizontal="center"/>
    </xf>
    <xf numFmtId="0" fontId="124" fillId="33" borderId="464" xfId="0" applyFont="1" applyFill="1" applyBorder="1" applyAlignment="1">
      <alignment horizontal="center"/>
    </xf>
    <xf numFmtId="0" fontId="124" fillId="33" borderId="468" xfId="0" applyFont="1" applyFill="1" applyBorder="1" applyAlignment="1">
      <alignment horizontal="center"/>
    </xf>
    <xf numFmtId="0" fontId="121" fillId="25" borderId="465" xfId="0" applyFont="1" applyFill="1" applyBorder="1" applyAlignment="1">
      <alignment horizontal="center" vertical="center" wrapText="1"/>
    </xf>
    <xf numFmtId="0" fontId="121" fillId="25" borderId="190" xfId="0" applyFont="1" applyFill="1" applyBorder="1" applyAlignment="1">
      <alignment horizontal="center" vertical="center" wrapText="1"/>
    </xf>
    <xf numFmtId="0" fontId="121" fillId="33" borderId="465" xfId="0" applyFont="1" applyFill="1" applyBorder="1" applyAlignment="1">
      <alignment horizontal="center" vertical="center" wrapText="1"/>
    </xf>
    <xf numFmtId="0" fontId="121" fillId="33" borderId="190" xfId="0" applyFont="1" applyFill="1" applyBorder="1" applyAlignment="1">
      <alignment horizontal="center" vertical="center" wrapText="1"/>
    </xf>
    <xf numFmtId="0" fontId="121" fillId="37" borderId="465" xfId="0" applyFont="1" applyFill="1" applyBorder="1" applyAlignment="1">
      <alignment horizontal="center" vertical="center" wrapText="1"/>
    </xf>
    <xf numFmtId="0" fontId="121" fillId="37" borderId="190" xfId="0" applyFont="1" applyFill="1" applyBorder="1" applyAlignment="1">
      <alignment horizontal="center" vertical="center" wrapText="1"/>
    </xf>
    <xf numFmtId="0" fontId="124" fillId="33" borderId="494" xfId="0" applyFont="1" applyFill="1" applyBorder="1" applyAlignment="1">
      <alignment horizontal="center" vertical="center"/>
    </xf>
    <xf numFmtId="0" fontId="124" fillId="33" borderId="495" xfId="0" applyFont="1" applyFill="1" applyBorder="1" applyAlignment="1">
      <alignment horizontal="center" vertical="center"/>
    </xf>
    <xf numFmtId="0" fontId="124" fillId="33" borderId="490" xfId="0" applyFont="1" applyFill="1" applyBorder="1" applyAlignment="1">
      <alignment horizontal="center" vertical="center"/>
    </xf>
    <xf numFmtId="0" fontId="121" fillId="25" borderId="465" xfId="0" applyFont="1" applyFill="1" applyBorder="1" applyAlignment="1" applyProtection="1">
      <alignment horizontal="center" vertical="center"/>
    </xf>
    <xf numFmtId="0" fontId="121" fillId="25" borderId="190" xfId="0" applyFont="1" applyFill="1" applyBorder="1" applyAlignment="1" applyProtection="1">
      <alignment horizontal="center" vertical="center"/>
    </xf>
    <xf numFmtId="0" fontId="121" fillId="25" borderId="460" xfId="0" applyFont="1" applyFill="1" applyBorder="1" applyAlignment="1">
      <alignment horizontal="center" vertical="center" wrapText="1"/>
    </xf>
    <xf numFmtId="0" fontId="121" fillId="27" borderId="465" xfId="0" applyFont="1" applyFill="1" applyBorder="1" applyAlignment="1">
      <alignment horizontal="center" vertical="center" wrapText="1"/>
    </xf>
    <xf numFmtId="0" fontId="121" fillId="27" borderId="190" xfId="0" applyFont="1" applyFill="1" applyBorder="1" applyAlignment="1">
      <alignment horizontal="center" vertical="center" wrapText="1"/>
    </xf>
    <xf numFmtId="0" fontId="121" fillId="25" borderId="465" xfId="0" applyFont="1" applyFill="1" applyBorder="1" applyAlignment="1" applyProtection="1">
      <alignment horizontal="center" vertical="center" wrapText="1"/>
    </xf>
    <xf numFmtId="0" fontId="42" fillId="32" borderId="60" xfId="0" applyFont="1" applyFill="1" applyBorder="1" applyAlignment="1">
      <alignment horizontal="center"/>
    </xf>
    <xf numFmtId="0" fontId="42" fillId="32" borderId="61" xfId="0" applyFont="1" applyFill="1" applyBorder="1" applyAlignment="1">
      <alignment horizontal="center"/>
    </xf>
    <xf numFmtId="0" fontId="42" fillId="32" borderId="62" xfId="0" applyFont="1" applyFill="1" applyBorder="1" applyAlignment="1">
      <alignment horizontal="center"/>
    </xf>
    <xf numFmtId="0" fontId="42" fillId="30" borderId="60" xfId="0" applyFont="1" applyFill="1" applyBorder="1" applyAlignment="1">
      <alignment horizontal="center"/>
    </xf>
    <xf numFmtId="0" fontId="42" fillId="30" borderId="61" xfId="0" applyFont="1" applyFill="1" applyBorder="1" applyAlignment="1">
      <alignment horizontal="center"/>
    </xf>
    <xf numFmtId="0" fontId="42" fillId="30" borderId="62" xfId="0" applyFont="1" applyFill="1" applyBorder="1" applyAlignment="1">
      <alignment horizontal="center"/>
    </xf>
    <xf numFmtId="9" fontId="28" fillId="27" borderId="511" xfId="48" applyFont="1" applyFill="1" applyBorder="1" applyAlignment="1">
      <alignment horizontal="center"/>
    </xf>
    <xf numFmtId="9" fontId="28" fillId="27" borderId="513" xfId="48" applyFont="1" applyFill="1" applyBorder="1" applyAlignment="1">
      <alignment horizontal="center"/>
    </xf>
    <xf numFmtId="9" fontId="28" fillId="27" borderId="511" xfId="0" applyNumberFormat="1" applyFont="1" applyFill="1" applyBorder="1" applyAlignment="1">
      <alignment horizontal="center"/>
    </xf>
    <xf numFmtId="9" fontId="28" fillId="27" borderId="513" xfId="0" applyNumberFormat="1" applyFont="1" applyFill="1" applyBorder="1" applyAlignment="1">
      <alignment horizontal="center"/>
    </xf>
    <xf numFmtId="0" fontId="97" fillId="0" borderId="189" xfId="0" applyFont="1" applyFill="1" applyBorder="1" applyAlignment="1" applyProtection="1">
      <alignment horizontal="center" vertical="center" wrapText="1"/>
    </xf>
    <xf numFmtId="0" fontId="97" fillId="0" borderId="0" xfId="0" applyFont="1" applyFill="1" applyBorder="1" applyAlignment="1" applyProtection="1">
      <alignment horizontal="center" vertical="center" wrapText="1"/>
    </xf>
    <xf numFmtId="0" fontId="33" fillId="27" borderId="10" xfId="0" applyFont="1" applyFill="1" applyBorder="1" applyAlignment="1">
      <alignment horizontal="center" vertical="center" wrapText="1"/>
    </xf>
    <xf numFmtId="0" fontId="33" fillId="27" borderId="11" xfId="0" applyFont="1" applyFill="1" applyBorder="1" applyAlignment="1">
      <alignment horizontal="center" vertical="center" wrapText="1"/>
    </xf>
    <xf numFmtId="0" fontId="33" fillId="27" borderId="13" xfId="0" applyFont="1" applyFill="1" applyBorder="1" applyAlignment="1">
      <alignment horizontal="center" vertical="center" wrapText="1"/>
    </xf>
    <xf numFmtId="0" fontId="33" fillId="42" borderId="10" xfId="0" applyFont="1" applyFill="1" applyBorder="1" applyAlignment="1">
      <alignment horizontal="center" vertical="center" wrapText="1"/>
    </xf>
    <xf numFmtId="0" fontId="33" fillId="42" borderId="13" xfId="0" applyFont="1" applyFill="1" applyBorder="1" applyAlignment="1">
      <alignment horizontal="center" vertical="center" wrapText="1"/>
    </xf>
    <xf numFmtId="0" fontId="56" fillId="45" borderId="467" xfId="0" applyFont="1" applyFill="1" applyBorder="1" applyAlignment="1" applyProtection="1">
      <alignment horizontal="center" vertical="center" wrapText="1"/>
    </xf>
    <xf numFmtId="0" fontId="56" fillId="45" borderId="464" xfId="0" applyFont="1" applyFill="1" applyBorder="1" applyAlignment="1" applyProtection="1">
      <alignment horizontal="center" vertical="center" wrapText="1"/>
    </xf>
    <xf numFmtId="0" fontId="56" fillId="45" borderId="468" xfId="0" applyFont="1" applyFill="1" applyBorder="1" applyAlignment="1" applyProtection="1">
      <alignment horizontal="center" vertical="center" wrapText="1"/>
    </xf>
    <xf numFmtId="0" fontId="33" fillId="25" borderId="10" xfId="0" applyFont="1" applyFill="1" applyBorder="1" applyAlignment="1">
      <alignment horizontal="center" vertical="center" wrapText="1"/>
    </xf>
    <xf numFmtId="0" fontId="33" fillId="25" borderId="13" xfId="0" applyFont="1" applyFill="1" applyBorder="1" applyAlignment="1">
      <alignment horizontal="center" vertical="center" wrapText="1"/>
    </xf>
    <xf numFmtId="0" fontId="56" fillId="27" borderId="36" xfId="0" applyFont="1" applyFill="1" applyBorder="1" applyAlignment="1">
      <alignment horizontal="center" vertical="center" wrapText="1"/>
    </xf>
    <xf numFmtId="0" fontId="56" fillId="27" borderId="42" xfId="0" applyFont="1" applyFill="1" applyBorder="1" applyAlignment="1">
      <alignment horizontal="center" vertical="center" wrapText="1"/>
    </xf>
    <xf numFmtId="0" fontId="33" fillId="25" borderId="26" xfId="0" applyFont="1" applyFill="1" applyBorder="1" applyAlignment="1" applyProtection="1">
      <alignment horizontal="center" vertical="center" wrapText="1"/>
    </xf>
    <xf numFmtId="0" fontId="33" fillId="25" borderId="26" xfId="0" applyFont="1" applyFill="1" applyBorder="1" applyAlignment="1" applyProtection="1">
      <alignment horizontal="center" vertical="center"/>
    </xf>
    <xf numFmtId="0" fontId="33" fillId="25" borderId="460" xfId="0" applyFont="1" applyFill="1" applyBorder="1" applyAlignment="1" applyProtection="1">
      <alignment horizontal="center" vertical="center" wrapText="1"/>
    </xf>
    <xf numFmtId="0" fontId="33" fillId="25" borderId="460" xfId="0" applyFont="1" applyFill="1" applyBorder="1" applyAlignment="1" applyProtection="1">
      <alignment horizontal="center" vertical="center"/>
    </xf>
    <xf numFmtId="0" fontId="46" fillId="25" borderId="465" xfId="0" applyFont="1" applyFill="1" applyBorder="1" applyAlignment="1">
      <alignment horizontal="center" vertical="center" wrapText="1"/>
    </xf>
    <xf numFmtId="0" fontId="46" fillId="25" borderId="415" xfId="0" applyFont="1" applyFill="1" applyBorder="1" applyAlignment="1">
      <alignment horizontal="center" vertical="center" wrapText="1"/>
    </xf>
    <xf numFmtId="0" fontId="33" fillId="25" borderId="465" xfId="0" applyFont="1" applyFill="1" applyBorder="1" applyAlignment="1">
      <alignment horizontal="center" vertical="center" wrapText="1"/>
    </xf>
    <xf numFmtId="0" fontId="33" fillId="25" borderId="415" xfId="0" applyFont="1" applyFill="1" applyBorder="1" applyAlignment="1">
      <alignment horizontal="center" vertical="center" wrapText="1"/>
    </xf>
    <xf numFmtId="0" fontId="48" fillId="33" borderId="467" xfId="0" applyFont="1" applyFill="1" applyBorder="1" applyAlignment="1">
      <alignment horizontal="center" vertical="center" wrapText="1"/>
    </xf>
    <xf numFmtId="0" fontId="48" fillId="33" borderId="468" xfId="0" applyFont="1" applyFill="1" applyBorder="1" applyAlignment="1">
      <alignment horizontal="center" vertical="center" wrapText="1"/>
    </xf>
    <xf numFmtId="0" fontId="33" fillId="25" borderId="506" xfId="64" applyFont="1" applyFill="1" applyBorder="1" applyAlignment="1" applyProtection="1">
      <alignment horizontal="center" vertical="center" wrapText="1"/>
    </xf>
    <xf numFmtId="0" fontId="33" fillId="25" borderId="190" xfId="64" applyFont="1" applyFill="1" applyBorder="1" applyAlignment="1" applyProtection="1">
      <alignment horizontal="center" vertical="center" wrapText="1"/>
    </xf>
    <xf numFmtId="0" fontId="33" fillId="25" borderId="415" xfId="64" applyFont="1" applyFill="1" applyBorder="1" applyAlignment="1" applyProtection="1">
      <alignment horizontal="center" vertical="center" wrapText="1"/>
    </xf>
    <xf numFmtId="0" fontId="33" fillId="57" borderId="494" xfId="253" quotePrefix="1" applyFont="1" applyFill="1" applyBorder="1" applyAlignment="1">
      <alignment horizontal="center" vertical="center" wrapText="1"/>
    </xf>
    <xf numFmtId="0" fontId="33" fillId="57" borderId="490" xfId="253" quotePrefix="1" applyFont="1" applyFill="1" applyBorder="1" applyAlignment="1">
      <alignment horizontal="center" vertical="center" wrapText="1"/>
    </xf>
    <xf numFmtId="0" fontId="63" fillId="36" borderId="494" xfId="64" applyFont="1" applyFill="1" applyBorder="1" applyAlignment="1">
      <alignment horizontal="center" vertical="center" wrapText="1"/>
    </xf>
    <xf numFmtId="0" fontId="63" fillId="36" borderId="495" xfId="64" applyFont="1" applyFill="1" applyBorder="1" applyAlignment="1">
      <alignment horizontal="center" vertical="center" wrapText="1"/>
    </xf>
    <xf numFmtId="0" fontId="63" fillId="36" borderId="490" xfId="64" applyFont="1" applyFill="1" applyBorder="1" applyAlignment="1">
      <alignment horizontal="center" vertical="center" wrapText="1"/>
    </xf>
    <xf numFmtId="0" fontId="33" fillId="41" borderId="488" xfId="64" applyFont="1" applyFill="1" applyBorder="1" applyAlignment="1">
      <alignment horizontal="center" vertical="center" wrapText="1"/>
    </xf>
    <xf numFmtId="0" fontId="33" fillId="41" borderId="190" xfId="64" applyFont="1" applyFill="1" applyBorder="1" applyAlignment="1">
      <alignment horizontal="center" vertical="center" wrapText="1"/>
    </xf>
    <xf numFmtId="0" fontId="33" fillId="41" borderId="415" xfId="64" applyFont="1" applyFill="1" applyBorder="1" applyAlignment="1">
      <alignment horizontal="center" vertical="center" wrapText="1"/>
    </xf>
    <xf numFmtId="0" fontId="59" fillId="0" borderId="0" xfId="64" applyFont="1" applyAlignment="1">
      <alignment horizontal="left" vertical="top" wrapText="1"/>
    </xf>
    <xf numFmtId="0" fontId="33" fillId="43" borderId="488" xfId="64" quotePrefix="1" applyFont="1" applyFill="1" applyBorder="1" applyAlignment="1">
      <alignment horizontal="center" vertical="center" wrapText="1"/>
    </xf>
    <xf numFmtId="0" fontId="33" fillId="43" borderId="190" xfId="64" quotePrefix="1" applyFont="1" applyFill="1" applyBorder="1" applyAlignment="1">
      <alignment horizontal="center" vertical="center" wrapText="1"/>
    </xf>
    <xf numFmtId="0" fontId="33" fillId="43" borderId="415" xfId="64" quotePrefix="1" applyFont="1" applyFill="1" applyBorder="1" applyAlignment="1">
      <alignment horizontal="center" vertical="center" wrapText="1"/>
    </xf>
    <xf numFmtId="0" fontId="33" fillId="54" borderId="488" xfId="64" quotePrefix="1" applyFont="1" applyFill="1" applyBorder="1" applyAlignment="1">
      <alignment horizontal="center" vertical="center" wrapText="1"/>
    </xf>
    <xf numFmtId="0" fontId="33" fillId="54" borderId="415" xfId="64" quotePrefix="1" applyFont="1" applyFill="1" applyBorder="1" applyAlignment="1">
      <alignment horizontal="center" vertical="center" wrapText="1"/>
    </xf>
    <xf numFmtId="0" fontId="33" fillId="34" borderId="488" xfId="64" applyFont="1" applyFill="1" applyBorder="1" applyAlignment="1">
      <alignment horizontal="center" vertical="center" wrapText="1"/>
    </xf>
    <xf numFmtId="0" fontId="33" fillId="34" borderId="415" xfId="64" applyFont="1" applyFill="1" applyBorder="1" applyAlignment="1">
      <alignment horizontal="center" vertical="center" wrapText="1"/>
    </xf>
    <xf numFmtId="0" fontId="33" fillId="52" borderId="494" xfId="64" applyFont="1" applyFill="1" applyBorder="1" applyAlignment="1">
      <alignment horizontal="center" vertical="center" wrapText="1"/>
    </xf>
    <xf numFmtId="0" fontId="33" fillId="52" borderId="490" xfId="64" applyFont="1" applyFill="1" applyBorder="1" applyAlignment="1">
      <alignment horizontal="center" vertical="center" wrapText="1"/>
    </xf>
    <xf numFmtId="0" fontId="33" fillId="33" borderId="506" xfId="64" applyFont="1" applyFill="1" applyBorder="1" applyAlignment="1">
      <alignment horizontal="center" vertical="center" wrapText="1"/>
    </xf>
    <xf numFmtId="0" fontId="33" fillId="33" borderId="415" xfId="64" applyFont="1" applyFill="1" applyBorder="1" applyAlignment="1">
      <alignment horizontal="center" vertical="center" wrapText="1"/>
    </xf>
    <xf numFmtId="0" fontId="33" fillId="43" borderId="508" xfId="0" applyFont="1" applyFill="1" applyBorder="1" applyAlignment="1">
      <alignment horizontal="center" wrapText="1"/>
    </xf>
    <xf numFmtId="0" fontId="33" fillId="43" borderId="510" xfId="0" applyFont="1" applyFill="1" applyBorder="1" applyAlignment="1">
      <alignment horizontal="center" wrapText="1"/>
    </xf>
    <xf numFmtId="0" fontId="33" fillId="43" borderId="509" xfId="0" applyFont="1" applyFill="1" applyBorder="1" applyAlignment="1">
      <alignment horizontal="center" wrapText="1"/>
    </xf>
    <xf numFmtId="0" fontId="33" fillId="37" borderId="508" xfId="0" applyFont="1" applyFill="1" applyBorder="1" applyAlignment="1">
      <alignment horizontal="center" wrapText="1"/>
    </xf>
    <xf numFmtId="0" fontId="33" fillId="37" borderId="510" xfId="0" applyFont="1" applyFill="1" applyBorder="1" applyAlignment="1">
      <alignment horizontal="center" wrapText="1"/>
    </xf>
    <xf numFmtId="0" fontId="33" fillId="37" borderId="509" xfId="0" applyFont="1" applyFill="1" applyBorder="1" applyAlignment="1">
      <alignment horizontal="center" wrapText="1"/>
    </xf>
    <xf numFmtId="0" fontId="33" fillId="25" borderId="506" xfId="0" applyFont="1" applyFill="1" applyBorder="1" applyAlignment="1">
      <alignment horizontal="center" vertical="center" wrapText="1"/>
    </xf>
    <xf numFmtId="0" fontId="33" fillId="25" borderId="190" xfId="0" applyFont="1" applyFill="1" applyBorder="1" applyAlignment="1">
      <alignment horizontal="center" vertical="center" wrapText="1"/>
    </xf>
    <xf numFmtId="49" fontId="56" fillId="33" borderId="511" xfId="53" applyNumberFormat="1" applyFont="1" applyFill="1" applyBorder="1" applyAlignment="1">
      <alignment horizontal="center" vertical="center" wrapText="1"/>
    </xf>
    <xf numFmtId="49" fontId="56" fillId="33" borderId="512" xfId="53" applyNumberFormat="1" applyFont="1" applyFill="1" applyBorder="1" applyAlignment="1">
      <alignment horizontal="center" vertical="center" wrapText="1"/>
    </xf>
    <xf numFmtId="49" fontId="56" fillId="33" borderId="513" xfId="53" applyNumberFormat="1" applyFont="1" applyFill="1" applyBorder="1" applyAlignment="1">
      <alignment horizontal="center" vertical="center" wrapText="1"/>
    </xf>
    <xf numFmtId="0" fontId="33" fillId="43" borderId="507" xfId="0" applyFont="1" applyFill="1" applyBorder="1" applyAlignment="1">
      <alignment horizontal="center" vertical="center" wrapText="1"/>
    </xf>
    <xf numFmtId="0" fontId="85" fillId="25" borderId="506" xfId="53" applyFont="1" applyFill="1" applyBorder="1" applyAlignment="1">
      <alignment horizontal="center" vertical="center" wrapText="1"/>
    </xf>
    <xf numFmtId="0" fontId="85" fillId="25" borderId="190" xfId="53" applyFont="1" applyFill="1" applyBorder="1" applyAlignment="1">
      <alignment horizontal="center" vertical="center"/>
    </xf>
    <xf numFmtId="0" fontId="85" fillId="25" borderId="415" xfId="53" applyFont="1" applyFill="1" applyBorder="1" applyAlignment="1">
      <alignment horizontal="center" vertical="center"/>
    </xf>
    <xf numFmtId="0" fontId="85" fillId="25" borderId="506" xfId="53" applyFont="1" applyFill="1" applyBorder="1" applyAlignment="1">
      <alignment horizontal="center" vertical="center"/>
    </xf>
    <xf numFmtId="49" fontId="85" fillId="37" borderId="507" xfId="53" applyNumberFormat="1" applyFont="1" applyFill="1" applyBorder="1" applyAlignment="1">
      <alignment horizontal="center" vertical="center" wrapText="1"/>
    </xf>
    <xf numFmtId="0" fontId="16" fillId="0" borderId="530" xfId="0" applyFont="1" applyBorder="1" applyAlignment="1">
      <alignment horizontal="left" indent="2"/>
    </xf>
    <xf numFmtId="0" fontId="16" fillId="0" borderId="531" xfId="0" applyFont="1" applyBorder="1" applyAlignment="1">
      <alignment horizontal="left" indent="2"/>
    </xf>
    <xf numFmtId="0" fontId="33" fillId="0" borderId="63" xfId="53" applyFont="1" applyFill="1" applyBorder="1" applyAlignment="1" applyProtection="1">
      <alignment horizontal="left"/>
    </xf>
    <xf numFmtId="0" fontId="33" fillId="0" borderId="497" xfId="53" applyFont="1" applyFill="1" applyBorder="1" applyAlignment="1" applyProtection="1">
      <alignment horizontal="left"/>
    </xf>
    <xf numFmtId="49" fontId="33" fillId="38" borderId="507" xfId="0" applyNumberFormat="1" applyFont="1" applyFill="1" applyBorder="1" applyAlignment="1">
      <alignment horizontal="center" vertical="center" wrapText="1"/>
    </xf>
    <xf numFmtId="49" fontId="56" fillId="27" borderId="507" xfId="0" applyNumberFormat="1" applyFont="1" applyFill="1" applyBorder="1" applyAlignment="1">
      <alignment horizontal="center" vertical="center" wrapText="1"/>
    </xf>
    <xf numFmtId="0" fontId="16" fillId="0" borderId="487" xfId="0" applyFont="1" applyBorder="1" applyAlignment="1">
      <alignment horizontal="left" indent="2"/>
    </xf>
    <xf numFmtId="0" fontId="16" fillId="0" borderId="499" xfId="0" applyFont="1" applyBorder="1" applyAlignment="1">
      <alignment horizontal="left" indent="2"/>
    </xf>
    <xf numFmtId="0" fontId="16" fillId="0" borderId="533" xfId="0" applyFont="1" applyBorder="1" applyAlignment="1">
      <alignment horizontal="left" indent="2"/>
    </xf>
    <xf numFmtId="0" fontId="16" fillId="0" borderId="565" xfId="0" applyFont="1" applyBorder="1" applyAlignment="1">
      <alignment horizontal="left" indent="2"/>
    </xf>
    <xf numFmtId="0" fontId="16" fillId="0" borderId="528" xfId="0" applyFont="1" applyBorder="1" applyAlignment="1">
      <alignment horizontal="left" indent="2"/>
    </xf>
    <xf numFmtId="0" fontId="16" fillId="0" borderId="529" xfId="0" applyFont="1" applyBorder="1" applyAlignment="1">
      <alignment horizontal="left" indent="2"/>
    </xf>
    <xf numFmtId="0" fontId="33" fillId="25" borderId="511" xfId="0" applyFont="1" applyFill="1" applyBorder="1" applyAlignment="1" applyProtection="1">
      <alignment horizontal="center" vertical="center" wrapText="1"/>
    </xf>
    <xf numFmtId="0" fontId="33" fillId="25" borderId="513" xfId="0" applyFont="1" applyFill="1" applyBorder="1" applyAlignment="1" applyProtection="1">
      <alignment horizontal="center" vertical="center" wrapText="1"/>
    </xf>
    <xf numFmtId="0" fontId="33" fillId="25" borderId="189" xfId="0" applyFont="1" applyFill="1" applyBorder="1" applyAlignment="1" applyProtection="1">
      <alignment horizontal="center" vertical="center" wrapText="1"/>
    </xf>
    <xf numFmtId="0" fontId="33" fillId="25" borderId="0" xfId="0" applyFont="1" applyFill="1" applyBorder="1" applyAlignment="1" applyProtection="1">
      <alignment horizontal="center" vertical="center" wrapText="1"/>
    </xf>
    <xf numFmtId="49" fontId="33" fillId="37" borderId="507" xfId="0" applyNumberFormat="1" applyFont="1" applyFill="1" applyBorder="1" applyAlignment="1">
      <alignment horizontal="center" vertical="center" wrapText="1"/>
    </xf>
    <xf numFmtId="49" fontId="33" fillId="54" borderId="507" xfId="0" applyNumberFormat="1" applyFont="1" applyFill="1" applyBorder="1" applyAlignment="1">
      <alignment horizontal="center" vertical="center" wrapText="1"/>
    </xf>
    <xf numFmtId="49" fontId="33" fillId="42" borderId="507" xfId="0" applyNumberFormat="1" applyFont="1" applyFill="1" applyBorder="1" applyAlignment="1">
      <alignment horizontal="center" vertical="center" wrapText="1"/>
    </xf>
    <xf numFmtId="49" fontId="56" fillId="36" borderId="508" xfId="0" applyNumberFormat="1" applyFont="1" applyFill="1" applyBorder="1" applyAlignment="1">
      <alignment horizontal="center" vertical="center" wrapText="1"/>
    </xf>
    <xf numFmtId="49" fontId="56" fillId="36" borderId="510" xfId="0" applyNumberFormat="1" applyFont="1" applyFill="1" applyBorder="1" applyAlignment="1">
      <alignment horizontal="center" vertical="center" wrapText="1"/>
    </xf>
    <xf numFmtId="49" fontId="56" fillId="36" borderId="509" xfId="0" applyNumberFormat="1" applyFont="1" applyFill="1" applyBorder="1" applyAlignment="1">
      <alignment horizontal="center" vertical="center" wrapText="1"/>
    </xf>
    <xf numFmtId="0" fontId="125" fillId="33" borderId="511" xfId="0" applyFont="1" applyFill="1" applyBorder="1" applyAlignment="1">
      <alignment horizontal="center"/>
    </xf>
    <xf numFmtId="0" fontId="125" fillId="33" borderId="512" xfId="0" applyFont="1" applyFill="1" applyBorder="1" applyAlignment="1">
      <alignment horizontal="center"/>
    </xf>
    <xf numFmtId="0" fontId="125" fillId="33" borderId="513" xfId="0" applyFont="1" applyFill="1" applyBorder="1" applyAlignment="1">
      <alignment horizontal="center"/>
    </xf>
    <xf numFmtId="0" fontId="16" fillId="0" borderId="545" xfId="0" applyFont="1" applyBorder="1" applyAlignment="1">
      <alignment horizontal="left" indent="2"/>
    </xf>
    <xf numFmtId="0" fontId="16" fillId="0" borderId="406" xfId="0" applyFont="1" applyBorder="1" applyAlignment="1">
      <alignment horizontal="left" indent="2"/>
    </xf>
    <xf numFmtId="0" fontId="16" fillId="0" borderId="500" xfId="0" applyFont="1" applyBorder="1" applyAlignment="1">
      <alignment horizontal="left" indent="2"/>
    </xf>
    <xf numFmtId="49" fontId="33" fillId="37" borderId="507" xfId="53" applyNumberFormat="1" applyFont="1" applyFill="1" applyBorder="1" applyAlignment="1">
      <alignment horizontal="center" vertical="center" wrapText="1"/>
    </xf>
    <xf numFmtId="49" fontId="33" fillId="38" borderId="507" xfId="53" applyNumberFormat="1" applyFont="1" applyFill="1" applyBorder="1" applyAlignment="1">
      <alignment horizontal="center" vertical="center" wrapText="1"/>
    </xf>
    <xf numFmtId="0" fontId="33" fillId="0" borderId="496" xfId="53" applyFont="1" applyFill="1" applyBorder="1" applyAlignment="1" applyProtection="1">
      <alignment horizontal="left"/>
    </xf>
    <xf numFmtId="0" fontId="16" fillId="0" borderId="543" xfId="0" applyFont="1" applyBorder="1" applyAlignment="1">
      <alignment horizontal="left" indent="2"/>
    </xf>
    <xf numFmtId="0" fontId="16" fillId="0" borderId="544" xfId="0" applyFont="1" applyBorder="1" applyAlignment="1">
      <alignment horizontal="left" indent="2"/>
    </xf>
    <xf numFmtId="49" fontId="33" fillId="38" borderId="506" xfId="53" applyNumberFormat="1" applyFont="1" applyFill="1" applyBorder="1" applyAlignment="1">
      <alignment horizontal="center" vertical="center" wrapText="1"/>
    </xf>
    <xf numFmtId="49" fontId="33" fillId="38" borderId="415" xfId="53" applyNumberFormat="1" applyFont="1" applyFill="1" applyBorder="1" applyAlignment="1">
      <alignment horizontal="center" vertical="center" wrapText="1"/>
    </xf>
    <xf numFmtId="0" fontId="85" fillId="25" borderId="507" xfId="0" applyFont="1" applyFill="1" applyBorder="1" applyAlignment="1">
      <alignment horizontal="center" vertical="center" wrapText="1"/>
    </xf>
    <xf numFmtId="49" fontId="85" fillId="37" borderId="508" xfId="53" applyNumberFormat="1" applyFont="1" applyFill="1" applyBorder="1" applyAlignment="1">
      <alignment horizontal="center" vertical="center" wrapText="1"/>
    </xf>
    <xf numFmtId="49" fontId="85" fillId="37" borderId="510" xfId="53" applyNumberFormat="1" applyFont="1" applyFill="1" applyBorder="1" applyAlignment="1">
      <alignment horizontal="center" vertical="center" wrapText="1"/>
    </xf>
    <xf numFmtId="49" fontId="85" fillId="37" borderId="509" xfId="53" applyNumberFormat="1" applyFont="1" applyFill="1" applyBorder="1" applyAlignment="1">
      <alignment horizontal="center" vertical="center" wrapText="1"/>
    </xf>
    <xf numFmtId="49" fontId="33" fillId="38" borderId="509" xfId="53" applyNumberFormat="1" applyFont="1" applyFill="1" applyBorder="1" applyAlignment="1">
      <alignment horizontal="center" vertical="center" wrapText="1"/>
    </xf>
    <xf numFmtId="0" fontId="85" fillId="25" borderId="511" xfId="0" applyFont="1" applyFill="1" applyBorder="1" applyAlignment="1">
      <alignment horizontal="center" vertical="center" wrapText="1"/>
    </xf>
    <xf numFmtId="0" fontId="85" fillId="25" borderId="513" xfId="0" applyFont="1" applyFill="1" applyBorder="1" applyAlignment="1">
      <alignment horizontal="center" vertical="center" wrapText="1"/>
    </xf>
    <xf numFmtId="0" fontId="85" fillId="25" borderId="189" xfId="0" applyFont="1" applyFill="1" applyBorder="1" applyAlignment="1">
      <alignment horizontal="center" vertical="center" wrapText="1"/>
    </xf>
    <xf numFmtId="0" fontId="85" fillId="25" borderId="45" xfId="0" applyFont="1" applyFill="1" applyBorder="1" applyAlignment="1">
      <alignment horizontal="center" vertical="center" wrapText="1"/>
    </xf>
    <xf numFmtId="0" fontId="85" fillId="25" borderId="406" xfId="0" applyFont="1" applyFill="1" applyBorder="1" applyAlignment="1">
      <alignment horizontal="center" vertical="center" wrapText="1"/>
    </xf>
    <xf numFmtId="0" fontId="85" fillId="25" borderId="72" xfId="0" applyFont="1" applyFill="1" applyBorder="1" applyAlignment="1">
      <alignment horizontal="center" vertical="center" wrapText="1"/>
    </xf>
    <xf numFmtId="0" fontId="33" fillId="54" borderId="10" xfId="0" applyFont="1" applyFill="1" applyBorder="1" applyAlignment="1">
      <alignment horizontal="center" vertical="center" wrapText="1"/>
    </xf>
    <xf numFmtId="0" fontId="33" fillId="54" borderId="13" xfId="0" applyFont="1" applyFill="1" applyBorder="1" applyAlignment="1">
      <alignment horizontal="center" vertical="center" wrapText="1"/>
    </xf>
    <xf numFmtId="0" fontId="118" fillId="33" borderId="511" xfId="0" applyFont="1" applyFill="1" applyBorder="1" applyAlignment="1">
      <alignment horizontal="center" vertical="center" wrapText="1"/>
    </xf>
    <xf numFmtId="0" fontId="118" fillId="33" borderId="512" xfId="0" applyFont="1" applyFill="1" applyBorder="1" applyAlignment="1">
      <alignment horizontal="center" vertical="center" wrapText="1"/>
    </xf>
    <xf numFmtId="0" fontId="118" fillId="33" borderId="513" xfId="0" applyFont="1" applyFill="1" applyBorder="1" applyAlignment="1">
      <alignment horizontal="center" vertical="center" wrapText="1"/>
    </xf>
    <xf numFmtId="0" fontId="57" fillId="0" borderId="0" xfId="0" applyFont="1" applyBorder="1" applyAlignment="1">
      <alignment horizontal="left" vertical="center" wrapText="1"/>
    </xf>
    <xf numFmtId="0" fontId="33" fillId="38" borderId="506" xfId="0" applyFont="1" applyFill="1" applyBorder="1" applyAlignment="1">
      <alignment horizontal="center" vertical="center" wrapText="1"/>
    </xf>
    <xf numFmtId="0" fontId="33" fillId="38" borderId="415" xfId="0" applyFont="1" applyFill="1" applyBorder="1" applyAlignment="1">
      <alignment horizontal="center" vertical="center" wrapText="1"/>
    </xf>
    <xf numFmtId="0" fontId="33" fillId="43" borderId="508" xfId="0" applyFont="1" applyFill="1" applyBorder="1" applyAlignment="1">
      <alignment horizontal="center" vertical="center" wrapText="1"/>
    </xf>
    <xf numFmtId="0" fontId="33" fillId="43" borderId="509" xfId="0" applyFont="1" applyFill="1" applyBorder="1" applyAlignment="1">
      <alignment horizontal="center" vertical="center" wrapText="1"/>
    </xf>
    <xf numFmtId="0" fontId="33" fillId="43" borderId="506" xfId="0" applyFont="1" applyFill="1" applyBorder="1" applyAlignment="1">
      <alignment horizontal="center" vertical="center" wrapText="1"/>
    </xf>
    <xf numFmtId="0" fontId="33" fillId="43" borderId="415" xfId="0" applyFont="1" applyFill="1" applyBorder="1" applyAlignment="1">
      <alignment horizontal="center" vertical="center" wrapText="1"/>
    </xf>
    <xf numFmtId="0" fontId="33" fillId="43" borderId="510" xfId="0" applyFont="1" applyFill="1" applyBorder="1" applyAlignment="1">
      <alignment horizontal="center" vertical="center" wrapText="1"/>
    </xf>
    <xf numFmtId="49" fontId="33" fillId="37" borderId="380" xfId="53" applyNumberFormat="1" applyFont="1" applyFill="1" applyBorder="1" applyAlignment="1">
      <alignment horizontal="center" vertical="center" wrapText="1"/>
    </xf>
    <xf numFmtId="49" fontId="33" fillId="37" borderId="13" xfId="53" applyNumberFormat="1" applyFont="1" applyFill="1" applyBorder="1" applyAlignment="1">
      <alignment horizontal="center" vertical="center" wrapText="1"/>
    </xf>
    <xf numFmtId="0" fontId="94" fillId="54" borderId="10" xfId="0" applyFont="1" applyFill="1" applyBorder="1" applyAlignment="1">
      <alignment horizontal="center" vertical="center" wrapText="1"/>
    </xf>
    <xf numFmtId="0" fontId="94" fillId="54" borderId="13" xfId="0" applyFont="1" applyFill="1" applyBorder="1" applyAlignment="1">
      <alignment horizontal="center" vertical="center" wrapText="1"/>
    </xf>
    <xf numFmtId="0" fontId="96" fillId="0" borderId="0" xfId="0" applyFont="1" applyAlignment="1">
      <alignment horizontal="left" wrapText="1"/>
    </xf>
    <xf numFmtId="0" fontId="96" fillId="0" borderId="0" xfId="0" applyFont="1" applyAlignment="1">
      <alignment horizontal="left"/>
    </xf>
    <xf numFmtId="0" fontId="33" fillId="38" borderId="10" xfId="0" applyFont="1" applyFill="1" applyBorder="1" applyAlignment="1">
      <alignment horizontal="center" vertical="center" wrapText="1"/>
    </xf>
    <xf numFmtId="0" fontId="33" fillId="38" borderId="13" xfId="0" applyFont="1" applyFill="1" applyBorder="1" applyAlignment="1">
      <alignment horizontal="center" vertical="center" wrapText="1"/>
    </xf>
    <xf numFmtId="0" fontId="33" fillId="38" borderId="513" xfId="0" applyFont="1" applyFill="1" applyBorder="1" applyAlignment="1">
      <alignment horizontal="center" vertical="center" wrapText="1"/>
    </xf>
    <xf numFmtId="0" fontId="33" fillId="38" borderId="14" xfId="0" applyFont="1" applyFill="1" applyBorder="1" applyAlignment="1">
      <alignment horizontal="center" vertical="center" wrapText="1"/>
    </xf>
    <xf numFmtId="0" fontId="33" fillId="38" borderId="72" xfId="0" applyFont="1" applyFill="1" applyBorder="1" applyAlignment="1">
      <alignment horizontal="center" vertical="center" wrapText="1"/>
    </xf>
    <xf numFmtId="0" fontId="33" fillId="37" borderId="10" xfId="0" applyFont="1" applyFill="1" applyBorder="1" applyAlignment="1">
      <alignment horizontal="center" vertical="center" wrapText="1"/>
    </xf>
    <xf numFmtId="0" fontId="33" fillId="37" borderId="13" xfId="0" applyFont="1" applyFill="1" applyBorder="1" applyAlignment="1">
      <alignment horizontal="center" vertical="center" wrapText="1"/>
    </xf>
    <xf numFmtId="1" fontId="33" fillId="38" borderId="506" xfId="0" applyNumberFormat="1" applyFont="1" applyFill="1" applyBorder="1" applyAlignment="1">
      <alignment horizontal="center" vertical="center" wrapText="1"/>
    </xf>
    <xf numFmtId="1" fontId="33" fillId="38" borderId="415" xfId="0" applyNumberFormat="1" applyFont="1" applyFill="1" applyBorder="1" applyAlignment="1">
      <alignment horizontal="center" vertical="center" wrapText="1"/>
    </xf>
    <xf numFmtId="0" fontId="33" fillId="38" borderId="380" xfId="0" applyFont="1" applyFill="1" applyBorder="1" applyAlignment="1">
      <alignment horizontal="center" vertical="center" wrapText="1"/>
    </xf>
    <xf numFmtId="49" fontId="56" fillId="36" borderId="512" xfId="53" applyNumberFormat="1" applyFont="1" applyFill="1" applyBorder="1" applyAlignment="1">
      <alignment horizontal="center" vertical="center" wrapText="1"/>
    </xf>
    <xf numFmtId="49" fontId="56" fillId="36" borderId="513" xfId="53" applyNumberFormat="1" applyFont="1" applyFill="1" applyBorder="1" applyAlignment="1">
      <alignment horizontal="center" vertical="center" wrapText="1"/>
    </xf>
    <xf numFmtId="49" fontId="56" fillId="36" borderId="511" xfId="53" applyNumberFormat="1" applyFont="1" applyFill="1" applyBorder="1" applyAlignment="1">
      <alignment horizontal="center" vertical="center" wrapText="1"/>
    </xf>
    <xf numFmtId="0" fontId="33" fillId="37" borderId="508" xfId="253" applyFont="1" applyFill="1" applyBorder="1" applyAlignment="1">
      <alignment horizontal="center" vertical="center" wrapText="1"/>
    </xf>
    <xf numFmtId="0" fontId="33" fillId="37" borderId="510" xfId="253" applyFont="1" applyFill="1" applyBorder="1" applyAlignment="1">
      <alignment horizontal="center" vertical="center" wrapText="1"/>
    </xf>
    <xf numFmtId="0" fontId="33" fillId="37" borderId="509" xfId="253" applyFont="1" applyFill="1" applyBorder="1" applyAlignment="1">
      <alignment horizontal="center" vertical="center" wrapText="1"/>
    </xf>
    <xf numFmtId="0" fontId="33" fillId="37" borderId="465" xfId="253" applyFont="1" applyFill="1" applyBorder="1" applyAlignment="1">
      <alignment horizontal="center" vertical="center" wrapText="1"/>
    </xf>
    <xf numFmtId="0" fontId="33" fillId="37" borderId="415" xfId="253" applyFont="1" applyFill="1" applyBorder="1" applyAlignment="1">
      <alignment horizontal="center" vertical="center" wrapText="1"/>
    </xf>
    <xf numFmtId="0" fontId="33" fillId="37" borderId="380" xfId="253" applyFont="1" applyFill="1" applyBorder="1" applyAlignment="1">
      <alignment horizontal="center" vertical="center" wrapText="1"/>
    </xf>
    <xf numFmtId="0" fontId="33" fillId="37" borderId="13" xfId="253" applyFont="1" applyFill="1" applyBorder="1" applyAlignment="1">
      <alignment horizontal="center" vertical="center" wrapText="1"/>
    </xf>
    <xf numFmtId="0" fontId="94" fillId="54" borderId="380" xfId="0" applyFont="1" applyFill="1" applyBorder="1" applyAlignment="1">
      <alignment horizontal="center" vertical="center" wrapText="1"/>
    </xf>
    <xf numFmtId="0" fontId="33" fillId="54" borderId="506" xfId="0" applyFont="1" applyFill="1" applyBorder="1" applyAlignment="1">
      <alignment horizontal="center" vertical="center" wrapText="1"/>
    </xf>
    <xf numFmtId="0" fontId="33" fillId="54" borderId="415" xfId="0" applyFont="1" applyFill="1" applyBorder="1" applyAlignment="1">
      <alignment horizontal="center" vertical="center" wrapText="1"/>
    </xf>
    <xf numFmtId="49" fontId="33" fillId="54" borderId="380" xfId="53" applyNumberFormat="1" applyFont="1" applyFill="1" applyBorder="1" applyAlignment="1">
      <alignment horizontal="center" vertical="center" wrapText="1"/>
    </xf>
    <xf numFmtId="49" fontId="33" fillId="54" borderId="13" xfId="53" applyNumberFormat="1" applyFont="1" applyFill="1" applyBorder="1" applyAlignment="1">
      <alignment horizontal="center" vertical="center" wrapText="1"/>
    </xf>
    <xf numFmtId="0" fontId="33" fillId="38" borderId="488" xfId="253" applyFont="1" applyFill="1" applyBorder="1" applyAlignment="1">
      <alignment horizontal="center" vertical="center" wrapText="1"/>
    </xf>
    <xf numFmtId="0" fontId="33" fillId="38" borderId="415" xfId="253" applyFont="1" applyFill="1" applyBorder="1" applyAlignment="1">
      <alignment horizontal="center" vertical="center" wrapText="1"/>
    </xf>
    <xf numFmtId="0" fontId="56" fillId="37" borderId="508" xfId="253" applyFont="1" applyFill="1" applyBorder="1" applyAlignment="1">
      <alignment horizontal="center" vertical="center" wrapText="1"/>
    </xf>
    <xf numFmtId="0" fontId="56" fillId="37" borderId="510" xfId="253" applyFont="1" applyFill="1" applyBorder="1" applyAlignment="1">
      <alignment horizontal="center" vertical="center" wrapText="1"/>
    </xf>
    <xf numFmtId="0" fontId="56" fillId="37" borderId="509" xfId="253" applyFont="1" applyFill="1" applyBorder="1" applyAlignment="1">
      <alignment horizontal="center" vertical="center" wrapText="1"/>
    </xf>
    <xf numFmtId="0" fontId="33" fillId="43" borderId="511" xfId="0" applyFont="1" applyFill="1" applyBorder="1" applyAlignment="1">
      <alignment horizontal="center" vertical="center" wrapText="1"/>
    </xf>
    <xf numFmtId="0" fontId="33" fillId="43" borderId="406" xfId="0" applyFont="1" applyFill="1" applyBorder="1" applyAlignment="1">
      <alignment horizontal="center" vertical="center" wrapText="1"/>
    </xf>
    <xf numFmtId="15" fontId="33" fillId="38" borderId="513" xfId="0" applyNumberFormat="1" applyFont="1" applyFill="1" applyBorder="1" applyAlignment="1">
      <alignment horizontal="center" vertical="center" wrapText="1"/>
    </xf>
    <xf numFmtId="15" fontId="33" fillId="38" borderId="72" xfId="0" applyNumberFormat="1" applyFont="1" applyFill="1" applyBorder="1" applyAlignment="1">
      <alignment horizontal="center" vertical="center" wrapText="1"/>
    </xf>
    <xf numFmtId="0" fontId="33" fillId="37" borderId="488" xfId="253" applyFont="1" applyFill="1" applyBorder="1" applyAlignment="1">
      <alignment horizontal="center" vertical="center" wrapText="1"/>
    </xf>
    <xf numFmtId="0" fontId="33" fillId="37" borderId="190" xfId="0" applyFont="1" applyFill="1" applyBorder="1" applyAlignment="1">
      <alignment horizontal="center" vertical="center" wrapText="1"/>
    </xf>
    <xf numFmtId="0" fontId="33" fillId="54" borderId="190" xfId="253" applyFont="1" applyFill="1" applyBorder="1" applyAlignment="1">
      <alignment horizontal="center" vertical="center" wrapText="1"/>
    </xf>
    <xf numFmtId="0" fontId="33" fillId="54" borderId="13" xfId="253" applyFont="1" applyFill="1" applyBorder="1" applyAlignment="1">
      <alignment horizontal="center" vertical="center" wrapText="1"/>
    </xf>
    <xf numFmtId="0" fontId="33" fillId="54" borderId="190" xfId="0" applyFont="1" applyFill="1" applyBorder="1" applyAlignment="1">
      <alignment horizontal="center" vertical="center" wrapText="1"/>
    </xf>
    <xf numFmtId="0" fontId="33" fillId="42" borderId="190" xfId="0" applyFont="1" applyFill="1" applyBorder="1" applyAlignment="1">
      <alignment horizontal="center" vertical="center" wrapText="1"/>
    </xf>
    <xf numFmtId="49" fontId="33" fillId="38" borderId="465" xfId="53" applyNumberFormat="1" applyFont="1" applyFill="1" applyBorder="1" applyAlignment="1">
      <alignment horizontal="center" vertical="center" wrapText="1"/>
    </xf>
    <xf numFmtId="0" fontId="16" fillId="0" borderId="559" xfId="0" applyFont="1" applyBorder="1" applyAlignment="1">
      <alignment horizontal="left" indent="2"/>
    </xf>
    <xf numFmtId="0" fontId="16" fillId="0" borderId="563" xfId="0" applyFont="1" applyBorder="1" applyAlignment="1">
      <alignment horizontal="left" indent="2"/>
    </xf>
    <xf numFmtId="49" fontId="33" fillId="37" borderId="216" xfId="53" applyNumberFormat="1" applyFont="1" applyFill="1" applyBorder="1" applyAlignment="1">
      <alignment horizontal="center" vertical="center" wrapText="1"/>
    </xf>
    <xf numFmtId="49" fontId="33" fillId="38" borderId="216" xfId="53" applyNumberFormat="1" applyFont="1" applyFill="1" applyBorder="1" applyAlignment="1">
      <alignment horizontal="center" vertical="center" wrapText="1"/>
    </xf>
    <xf numFmtId="49" fontId="33" fillId="38" borderId="13" xfId="53" applyNumberFormat="1" applyFont="1" applyFill="1" applyBorder="1" applyAlignment="1">
      <alignment horizontal="center" vertical="center" wrapText="1"/>
    </xf>
    <xf numFmtId="49" fontId="33" fillId="42" borderId="10" xfId="53" applyNumberFormat="1" applyFont="1" applyFill="1" applyBorder="1" applyAlignment="1">
      <alignment horizontal="center" vertical="center" wrapText="1"/>
    </xf>
    <xf numFmtId="49" fontId="33" fillId="42" borderId="190" xfId="53" applyNumberFormat="1" applyFont="1" applyFill="1" applyBorder="1" applyAlignment="1">
      <alignment horizontal="center" vertical="center" wrapText="1"/>
    </xf>
    <xf numFmtId="49" fontId="33" fillId="42" borderId="11" xfId="53" applyNumberFormat="1" applyFont="1" applyFill="1" applyBorder="1" applyAlignment="1">
      <alignment horizontal="center" vertical="center" wrapText="1"/>
    </xf>
    <xf numFmtId="49" fontId="33" fillId="42" borderId="13" xfId="53" applyNumberFormat="1" applyFont="1" applyFill="1" applyBorder="1" applyAlignment="1">
      <alignment horizontal="center" vertical="center" wrapText="1"/>
    </xf>
    <xf numFmtId="49" fontId="33" fillId="38" borderId="10" xfId="53" applyNumberFormat="1" applyFont="1" applyFill="1" applyBorder="1" applyAlignment="1">
      <alignment horizontal="center" vertical="center" wrapText="1"/>
    </xf>
    <xf numFmtId="49" fontId="33" fillId="37" borderId="10" xfId="53" applyNumberFormat="1" applyFont="1" applyFill="1" applyBorder="1" applyAlignment="1">
      <alignment horizontal="center" vertical="center" wrapText="1"/>
    </xf>
    <xf numFmtId="49" fontId="33" fillId="38" borderId="188" xfId="53" applyNumberFormat="1" applyFont="1" applyFill="1" applyBorder="1" applyAlignment="1">
      <alignment horizontal="center" vertical="center" wrapText="1"/>
    </xf>
    <xf numFmtId="49" fontId="33" fillId="54" borderId="10" xfId="53" applyNumberFormat="1" applyFont="1" applyFill="1" applyBorder="1" applyAlignment="1">
      <alignment horizontal="center" vertical="center" wrapText="1"/>
    </xf>
    <xf numFmtId="49" fontId="33" fillId="54" borderId="463" xfId="53" applyNumberFormat="1" applyFont="1" applyFill="1" applyBorder="1" applyAlignment="1">
      <alignment horizontal="center" vertical="center" wrapText="1"/>
    </xf>
    <xf numFmtId="49" fontId="33" fillId="54" borderId="72" xfId="53" applyNumberFormat="1" applyFont="1" applyFill="1" applyBorder="1" applyAlignment="1">
      <alignment horizontal="center" vertical="center" wrapText="1"/>
    </xf>
    <xf numFmtId="49" fontId="33" fillId="37" borderId="311" xfId="53" applyNumberFormat="1" applyFont="1" applyFill="1" applyBorder="1" applyAlignment="1">
      <alignment horizontal="center" vertical="center" wrapText="1"/>
    </xf>
    <xf numFmtId="49" fontId="33" fillId="54" borderId="231" xfId="53" applyNumberFormat="1" applyFont="1" applyFill="1" applyBorder="1" applyAlignment="1">
      <alignment horizontal="center" vertical="center" wrapText="1"/>
    </xf>
    <xf numFmtId="0" fontId="85" fillId="25" borderId="33" xfId="0" applyFont="1" applyFill="1" applyBorder="1" applyAlignment="1">
      <alignment horizontal="center" vertical="center" wrapText="1"/>
    </xf>
    <xf numFmtId="0" fontId="85" fillId="25" borderId="44" xfId="0" applyFont="1" applyFill="1" applyBorder="1" applyAlignment="1">
      <alignment horizontal="center" vertical="center" wrapText="1"/>
    </xf>
    <xf numFmtId="0" fontId="85" fillId="25" borderId="34" xfId="0" applyFont="1" applyFill="1" applyBorder="1" applyAlignment="1">
      <alignment horizontal="center" vertical="center" wrapText="1"/>
    </xf>
    <xf numFmtId="0" fontId="85" fillId="25" borderId="35" xfId="0" applyFont="1" applyFill="1" applyBorder="1" applyAlignment="1">
      <alignment horizontal="center" vertical="center" wrapText="1"/>
    </xf>
    <xf numFmtId="49" fontId="33" fillId="38" borderId="26" xfId="53" applyNumberFormat="1" applyFont="1" applyFill="1" applyBorder="1" applyAlignment="1">
      <alignment horizontal="center" vertical="center" wrapText="1"/>
    </xf>
    <xf numFmtId="49" fontId="56" fillId="33" borderId="461" xfId="53" applyNumberFormat="1" applyFont="1" applyFill="1" applyBorder="1" applyAlignment="1">
      <alignment horizontal="center" vertical="center" wrapText="1"/>
    </xf>
    <xf numFmtId="49" fontId="56" fillId="33" borderId="462" xfId="53" applyNumberFormat="1" applyFont="1" applyFill="1" applyBorder="1" applyAlignment="1">
      <alignment horizontal="center" vertical="center" wrapText="1"/>
    </xf>
    <xf numFmtId="49" fontId="56" fillId="33" borderId="463" xfId="53" applyNumberFormat="1" applyFont="1" applyFill="1" applyBorder="1" applyAlignment="1">
      <alignment horizontal="center" vertical="center" wrapText="1"/>
    </xf>
    <xf numFmtId="49" fontId="33" fillId="54" borderId="506" xfId="53" applyNumberFormat="1" applyFont="1" applyFill="1" applyBorder="1" applyAlignment="1">
      <alignment horizontal="center" vertical="center" wrapText="1"/>
    </xf>
    <xf numFmtId="49" fontId="33" fillId="54" borderId="415" xfId="53" applyNumberFormat="1" applyFont="1" applyFill="1" applyBorder="1" applyAlignment="1">
      <alignment horizontal="center" vertical="center" wrapText="1"/>
    </xf>
    <xf numFmtId="0" fontId="85" fillId="37" borderId="508" xfId="253" applyFont="1" applyFill="1" applyBorder="1" applyAlignment="1">
      <alignment horizontal="center" vertical="center" wrapText="1"/>
    </xf>
    <xf numFmtId="0" fontId="85" fillId="37" borderId="510" xfId="253" applyFont="1" applyFill="1" applyBorder="1" applyAlignment="1">
      <alignment horizontal="center" vertical="center" wrapText="1"/>
    </xf>
    <xf numFmtId="0" fontId="85" fillId="37" borderId="509" xfId="253" applyFont="1" applyFill="1" applyBorder="1" applyAlignment="1">
      <alignment horizontal="center" vertical="center" wrapText="1"/>
    </xf>
    <xf numFmtId="49" fontId="33" fillId="37" borderId="237" xfId="53" applyNumberFormat="1" applyFont="1" applyFill="1" applyBorder="1" applyAlignment="1">
      <alignment horizontal="center" vertical="center" wrapText="1"/>
    </xf>
    <xf numFmtId="0" fontId="16" fillId="0" borderId="406" xfId="53" applyFont="1" applyFill="1" applyBorder="1" applyAlignment="1" applyProtection="1">
      <alignment horizontal="left" indent="1"/>
    </xf>
    <xf numFmtId="0" fontId="16" fillId="0" borderId="72" xfId="53" applyFont="1" applyFill="1" applyBorder="1" applyAlignment="1" applyProtection="1">
      <alignment horizontal="left" indent="1"/>
    </xf>
    <xf numFmtId="0" fontId="16" fillId="0" borderId="543" xfId="53" applyFont="1" applyFill="1" applyBorder="1" applyAlignment="1" applyProtection="1">
      <alignment horizontal="left" indent="1"/>
    </xf>
    <xf numFmtId="0" fontId="16" fillId="0" borderId="605" xfId="53" applyFont="1" applyFill="1" applyBorder="1" applyAlignment="1" applyProtection="1">
      <alignment horizontal="left" indent="1"/>
    </xf>
    <xf numFmtId="0" fontId="16" fillId="0" borderId="559" xfId="53" applyFont="1" applyFill="1" applyBorder="1" applyAlignment="1" applyProtection="1">
      <alignment horizontal="left" indent="1"/>
    </xf>
    <xf numFmtId="0" fontId="16" fillId="0" borderId="547" xfId="53" applyFont="1" applyFill="1" applyBorder="1" applyAlignment="1" applyProtection="1">
      <alignment horizontal="left" indent="1"/>
    </xf>
    <xf numFmtId="49" fontId="85" fillId="37" borderId="467" xfId="53" applyNumberFormat="1" applyFont="1" applyFill="1" applyBorder="1" applyAlignment="1">
      <alignment horizontal="center" vertical="center" wrapText="1"/>
    </xf>
    <xf numFmtId="49" fontId="85" fillId="37" borderId="464" xfId="53" applyNumberFormat="1" applyFont="1" applyFill="1" applyBorder="1" applyAlignment="1">
      <alignment horizontal="center" vertical="center" wrapText="1"/>
    </xf>
    <xf numFmtId="49" fontId="85" fillId="37" borderId="468" xfId="53" applyNumberFormat="1" applyFont="1" applyFill="1" applyBorder="1" applyAlignment="1">
      <alignment horizontal="center" vertical="center" wrapText="1"/>
    </xf>
    <xf numFmtId="49" fontId="33" fillId="38" borderId="488" xfId="53" applyNumberFormat="1" applyFont="1" applyFill="1" applyBorder="1" applyAlignment="1">
      <alignment horizontal="center" vertical="center" wrapText="1"/>
    </xf>
    <xf numFmtId="0" fontId="16" fillId="0" borderId="544" xfId="53" applyFont="1" applyFill="1" applyBorder="1" applyAlignment="1" applyProtection="1">
      <alignment horizontal="left" indent="1"/>
    </xf>
    <xf numFmtId="0" fontId="16" fillId="0" borderId="563" xfId="53" applyFont="1" applyFill="1" applyBorder="1" applyAlignment="1" applyProtection="1">
      <alignment horizontal="left" indent="1"/>
    </xf>
    <xf numFmtId="0" fontId="16" fillId="0" borderId="189" xfId="53" applyFont="1" applyFill="1" applyBorder="1" applyAlignment="1" applyProtection="1">
      <alignment horizontal="left" indent="1"/>
    </xf>
    <xf numFmtId="0" fontId="16" fillId="0" borderId="378" xfId="53" applyFont="1" applyFill="1" applyBorder="1" applyAlignment="1" applyProtection="1">
      <alignment horizontal="left" indent="1"/>
    </xf>
    <xf numFmtId="0" fontId="85" fillId="37" borderId="33" xfId="0" applyFont="1" applyFill="1" applyBorder="1" applyAlignment="1">
      <alignment horizontal="center" vertical="center" wrapText="1"/>
    </xf>
    <xf numFmtId="0" fontId="85" fillId="37" borderId="44" xfId="0" applyFont="1" applyFill="1" applyBorder="1" applyAlignment="1">
      <alignment horizontal="center" vertical="center" wrapText="1"/>
    </xf>
    <xf numFmtId="0" fontId="85" fillId="37" borderId="189" xfId="0" applyFont="1" applyFill="1" applyBorder="1" applyAlignment="1">
      <alignment horizontal="center" vertical="center" wrapText="1"/>
    </xf>
    <xf numFmtId="0" fontId="85" fillId="37" borderId="45" xfId="0" applyFont="1" applyFill="1" applyBorder="1" applyAlignment="1">
      <alignment horizontal="center" vertical="center" wrapText="1"/>
    </xf>
    <xf numFmtId="0" fontId="85" fillId="37" borderId="34" xfId="0" applyFont="1" applyFill="1" applyBorder="1" applyAlignment="1">
      <alignment horizontal="center" vertical="center" wrapText="1"/>
    </xf>
    <xf numFmtId="0" fontId="85" fillId="37" borderId="35" xfId="0" applyFont="1" applyFill="1" applyBorder="1" applyAlignment="1">
      <alignment horizontal="center" vertical="center" wrapText="1"/>
    </xf>
    <xf numFmtId="0" fontId="85" fillId="37" borderId="72" xfId="0" applyFont="1" applyFill="1" applyBorder="1" applyAlignment="1">
      <alignment horizontal="center" vertical="center" wrapText="1"/>
    </xf>
    <xf numFmtId="49" fontId="56" fillId="33" borderId="491" xfId="53" applyNumberFormat="1" applyFont="1" applyFill="1" applyBorder="1" applyAlignment="1">
      <alignment horizontal="center" vertical="center" wrapText="1"/>
    </xf>
    <xf numFmtId="49" fontId="56" fillId="33" borderId="492" xfId="53" applyNumberFormat="1" applyFont="1" applyFill="1" applyBorder="1" applyAlignment="1">
      <alignment horizontal="center" vertical="center" wrapText="1"/>
    </xf>
    <xf numFmtId="49" fontId="56" fillId="33" borderId="493" xfId="53" applyNumberFormat="1" applyFont="1" applyFill="1" applyBorder="1" applyAlignment="1">
      <alignment horizontal="center" vertical="center" wrapText="1"/>
    </xf>
    <xf numFmtId="49" fontId="33" fillId="37" borderId="261" xfId="53" applyNumberFormat="1" applyFont="1" applyFill="1" applyBorder="1" applyAlignment="1">
      <alignment horizontal="center" vertical="center" wrapText="1"/>
    </xf>
    <xf numFmtId="0" fontId="85" fillId="42" borderId="33" xfId="0" applyFont="1" applyFill="1" applyBorder="1" applyAlignment="1">
      <alignment horizontal="center" vertical="center" wrapText="1"/>
    </xf>
    <xf numFmtId="0" fontId="85" fillId="42" borderId="44" xfId="0" applyFont="1" applyFill="1" applyBorder="1" applyAlignment="1">
      <alignment horizontal="center" vertical="center" wrapText="1"/>
    </xf>
    <xf numFmtId="0" fontId="85" fillId="42" borderId="189" xfId="0" applyFont="1" applyFill="1" applyBorder="1" applyAlignment="1">
      <alignment horizontal="center" vertical="center" wrapText="1"/>
    </xf>
    <xf numFmtId="0" fontId="85" fillId="42" borderId="45" xfId="0" applyFont="1" applyFill="1" applyBorder="1" applyAlignment="1">
      <alignment horizontal="center" vertical="center" wrapText="1"/>
    </xf>
    <xf numFmtId="0" fontId="85" fillId="42" borderId="34" xfId="0" applyFont="1" applyFill="1" applyBorder="1" applyAlignment="1">
      <alignment horizontal="center" vertical="center" wrapText="1"/>
    </xf>
    <xf numFmtId="0" fontId="85" fillId="42" borderId="35" xfId="0" applyFont="1" applyFill="1" applyBorder="1" applyAlignment="1">
      <alignment horizontal="center" vertical="center" wrapText="1"/>
    </xf>
    <xf numFmtId="0" fontId="85" fillId="42" borderId="72" xfId="0" applyFont="1" applyFill="1" applyBorder="1" applyAlignment="1">
      <alignment horizontal="center" vertical="center" wrapText="1"/>
    </xf>
    <xf numFmtId="49" fontId="33" fillId="38" borderId="261" xfId="53" applyNumberFormat="1" applyFont="1" applyFill="1" applyBorder="1" applyAlignment="1">
      <alignment horizontal="center" vertical="center" wrapText="1"/>
    </xf>
    <xf numFmtId="49" fontId="33" fillId="42" borderId="188" xfId="53" applyNumberFormat="1" applyFont="1" applyFill="1" applyBorder="1" applyAlignment="1">
      <alignment horizontal="center" vertical="center" wrapText="1"/>
    </xf>
    <xf numFmtId="49" fontId="56" fillId="37" borderId="508" xfId="53" applyNumberFormat="1" applyFont="1" applyFill="1" applyBorder="1" applyAlignment="1">
      <alignment horizontal="center" vertical="center" wrapText="1"/>
    </xf>
    <xf numFmtId="49" fontId="56" fillId="37" borderId="510" xfId="53" applyNumberFormat="1" applyFont="1" applyFill="1" applyBorder="1" applyAlignment="1">
      <alignment horizontal="center" vertical="center" wrapText="1"/>
    </xf>
    <xf numFmtId="49" fontId="56" fillId="37" borderId="509" xfId="53" applyNumberFormat="1" applyFont="1" applyFill="1" applyBorder="1" applyAlignment="1">
      <alignment horizontal="center" vertical="center" wrapText="1"/>
    </xf>
    <xf numFmtId="49" fontId="33" fillId="37" borderId="271" xfId="53" applyNumberFormat="1" applyFont="1" applyFill="1" applyBorder="1" applyAlignment="1">
      <alignment horizontal="center" vertical="center" wrapText="1"/>
    </xf>
    <xf numFmtId="49" fontId="33" fillId="54" borderId="271" xfId="53" applyNumberFormat="1" applyFont="1" applyFill="1" applyBorder="1" applyAlignment="1">
      <alignment horizontal="center" vertical="center" wrapText="1"/>
    </xf>
    <xf numFmtId="0" fontId="85" fillId="25" borderId="33" xfId="53" applyFont="1" applyFill="1" applyBorder="1" applyAlignment="1">
      <alignment horizontal="center" vertical="center" wrapText="1"/>
    </xf>
    <xf numFmtId="0" fontId="85" fillId="25" borderId="44" xfId="53" applyFont="1" applyFill="1" applyBorder="1" applyAlignment="1">
      <alignment horizontal="center" vertical="center" wrapText="1"/>
    </xf>
    <xf numFmtId="0" fontId="85" fillId="25" borderId="189" xfId="53" applyFont="1" applyFill="1" applyBorder="1" applyAlignment="1">
      <alignment horizontal="center" vertical="center" wrapText="1"/>
    </xf>
    <xf numFmtId="0" fontId="85" fillId="25" borderId="45" xfId="53" applyFont="1" applyFill="1" applyBorder="1" applyAlignment="1">
      <alignment horizontal="center" vertical="center" wrapText="1"/>
    </xf>
    <xf numFmtId="0" fontId="85" fillId="25" borderId="34" xfId="53" applyFont="1" applyFill="1" applyBorder="1" applyAlignment="1">
      <alignment horizontal="center" vertical="center" wrapText="1"/>
    </xf>
    <xf numFmtId="0" fontId="85" fillId="25" borderId="35" xfId="53" applyFont="1" applyFill="1" applyBorder="1" applyAlignment="1">
      <alignment horizontal="center" vertical="center" wrapText="1"/>
    </xf>
    <xf numFmtId="0" fontId="85" fillId="25" borderId="72" xfId="53" applyFont="1" applyFill="1" applyBorder="1" applyAlignment="1">
      <alignment horizontal="center" vertical="center" wrapText="1"/>
    </xf>
    <xf numFmtId="49" fontId="33" fillId="38" borderId="311" xfId="53" applyNumberFormat="1" applyFont="1" applyFill="1" applyBorder="1" applyAlignment="1">
      <alignment horizontal="center" vertical="center" wrapText="1"/>
    </xf>
    <xf numFmtId="15" fontId="100" fillId="38" borderId="370" xfId="53" applyNumberFormat="1" applyFont="1" applyFill="1" applyBorder="1" applyAlignment="1">
      <alignment horizontal="center" vertical="center" wrapText="1"/>
    </xf>
    <xf numFmtId="15" fontId="33" fillId="38" borderId="13" xfId="53" applyNumberFormat="1" applyFont="1" applyFill="1" applyBorder="1" applyAlignment="1">
      <alignment horizontal="center" vertical="center" wrapText="1"/>
    </xf>
    <xf numFmtId="49" fontId="56" fillId="54" borderId="508" xfId="53" applyNumberFormat="1" applyFont="1" applyFill="1" applyBorder="1" applyAlignment="1">
      <alignment horizontal="center" vertical="center" wrapText="1"/>
    </xf>
    <xf numFmtId="49" fontId="56" fillId="54" borderId="509" xfId="53" applyNumberFormat="1" applyFont="1" applyFill="1" applyBorder="1" applyAlignment="1">
      <alignment horizontal="center" vertical="center" wrapText="1"/>
    </xf>
    <xf numFmtId="49" fontId="56" fillId="38" borderId="508" xfId="53" applyNumberFormat="1" applyFont="1" applyFill="1" applyBorder="1" applyAlignment="1">
      <alignment horizontal="center" vertical="center" wrapText="1"/>
    </xf>
    <xf numFmtId="49" fontId="56" fillId="38" borderId="510" xfId="53" applyNumberFormat="1" applyFont="1" applyFill="1" applyBorder="1" applyAlignment="1">
      <alignment horizontal="center" vertical="center" wrapText="1"/>
    </xf>
    <xf numFmtId="49" fontId="56" fillId="38" borderId="509" xfId="53" applyNumberFormat="1" applyFont="1" applyFill="1" applyBorder="1" applyAlignment="1">
      <alignment horizontal="center" vertical="center" wrapText="1"/>
    </xf>
    <xf numFmtId="15" fontId="99" fillId="38" borderId="370" xfId="53" applyNumberFormat="1" applyFont="1" applyFill="1" applyBorder="1" applyAlignment="1">
      <alignment horizontal="center" vertical="center" wrapText="1"/>
    </xf>
    <xf numFmtId="0" fontId="94" fillId="54" borderId="190" xfId="0" applyFont="1" applyFill="1" applyBorder="1" applyAlignment="1">
      <alignment horizontal="center" vertical="center" wrapText="1"/>
    </xf>
    <xf numFmtId="0" fontId="33" fillId="38" borderId="300" xfId="0" quotePrefix="1" applyFont="1" applyFill="1" applyBorder="1" applyAlignment="1">
      <alignment horizontal="center" vertical="center" wrapText="1"/>
    </xf>
    <xf numFmtId="0" fontId="33" fillId="38" borderId="13" xfId="0" quotePrefix="1" applyFont="1" applyFill="1" applyBorder="1" applyAlignment="1">
      <alignment horizontal="center" vertical="center" wrapText="1"/>
    </xf>
    <xf numFmtId="49" fontId="33" fillId="54" borderId="190" xfId="53" applyNumberFormat="1" applyFont="1" applyFill="1" applyBorder="1" applyAlignment="1">
      <alignment horizontal="center" vertical="center" wrapText="1"/>
    </xf>
    <xf numFmtId="49" fontId="33" fillId="37" borderId="190" xfId="53" applyNumberFormat="1" applyFont="1" applyFill="1" applyBorder="1" applyAlignment="1">
      <alignment horizontal="center" vertical="center" wrapText="1"/>
    </xf>
    <xf numFmtId="0" fontId="94" fillId="54" borderId="506" xfId="0" applyFont="1" applyFill="1" applyBorder="1" applyAlignment="1">
      <alignment horizontal="center" vertical="center" wrapText="1"/>
    </xf>
    <xf numFmtId="0" fontId="94" fillId="54" borderId="415" xfId="0" applyFont="1" applyFill="1" applyBorder="1" applyAlignment="1">
      <alignment horizontal="center" vertical="center" wrapText="1"/>
    </xf>
    <xf numFmtId="49" fontId="56" fillId="27" borderId="511" xfId="53" applyNumberFormat="1" applyFont="1" applyFill="1" applyBorder="1" applyAlignment="1">
      <alignment horizontal="center" vertical="center" wrapText="1"/>
    </xf>
    <xf numFmtId="49" fontId="56" fillId="27" borderId="512" xfId="53" applyNumberFormat="1" applyFont="1" applyFill="1" applyBorder="1" applyAlignment="1">
      <alignment horizontal="center" vertical="center" wrapText="1"/>
    </xf>
    <xf numFmtId="49" fontId="56" fillId="27" borderId="513" xfId="53" applyNumberFormat="1" applyFont="1" applyFill="1" applyBorder="1" applyAlignment="1">
      <alignment horizontal="center" vertical="center" wrapText="1"/>
    </xf>
    <xf numFmtId="15" fontId="33" fillId="38" borderId="10" xfId="0" applyNumberFormat="1" applyFont="1" applyFill="1" applyBorder="1" applyAlignment="1">
      <alignment horizontal="center" vertical="center" wrapText="1"/>
    </xf>
    <xf numFmtId="15" fontId="33" fillId="38" borderId="13" xfId="0" applyNumberFormat="1" applyFont="1" applyFill="1" applyBorder="1" applyAlignment="1">
      <alignment horizontal="center" vertical="center" wrapText="1"/>
    </xf>
    <xf numFmtId="0" fontId="33" fillId="38" borderId="506" xfId="0" quotePrefix="1" applyFont="1" applyFill="1" applyBorder="1" applyAlignment="1">
      <alignment horizontal="center" vertical="center" wrapText="1"/>
    </xf>
    <xf numFmtId="0" fontId="33" fillId="38" borderId="415" xfId="0" quotePrefix="1" applyFont="1" applyFill="1" applyBorder="1" applyAlignment="1">
      <alignment horizontal="center" vertical="center" wrapText="1"/>
    </xf>
    <xf numFmtId="0" fontId="33" fillId="38" borderId="26" xfId="0" quotePrefix="1" applyFont="1" applyFill="1" applyBorder="1" applyAlignment="1">
      <alignment horizontal="center" vertical="center" wrapText="1"/>
    </xf>
    <xf numFmtId="49" fontId="33" fillId="38" borderId="291" xfId="53" applyNumberFormat="1" applyFont="1" applyFill="1" applyBorder="1" applyAlignment="1">
      <alignment horizontal="center" vertical="center" wrapText="1"/>
    </xf>
    <xf numFmtId="0" fontId="33" fillId="37" borderId="370" xfId="0" applyFont="1" applyFill="1" applyBorder="1" applyAlignment="1">
      <alignment horizontal="center" vertical="center" wrapText="1"/>
    </xf>
    <xf numFmtId="15" fontId="33" fillId="38" borderId="370" xfId="0" applyNumberFormat="1" applyFont="1" applyFill="1" applyBorder="1" applyAlignment="1">
      <alignment horizontal="center" vertical="center" wrapText="1"/>
    </xf>
    <xf numFmtId="0" fontId="33" fillId="38" borderId="370" xfId="0" quotePrefix="1" applyFont="1" applyFill="1" applyBorder="1" applyAlignment="1">
      <alignment horizontal="center" vertical="center" wrapText="1"/>
    </xf>
    <xf numFmtId="0" fontId="33" fillId="38" borderId="370" xfId="0" applyFont="1" applyFill="1" applyBorder="1" applyAlignment="1">
      <alignment horizontal="center" vertical="center" wrapText="1"/>
    </xf>
    <xf numFmtId="0" fontId="33" fillId="25" borderId="11" xfId="0" applyFont="1" applyFill="1" applyBorder="1" applyAlignment="1">
      <alignment horizontal="center" vertical="center"/>
    </xf>
    <xf numFmtId="0" fontId="33" fillId="25" borderId="13" xfId="0" applyFont="1" applyFill="1" applyBorder="1" applyAlignment="1">
      <alignment horizontal="center" vertical="center"/>
    </xf>
    <xf numFmtId="0" fontId="122" fillId="43" borderId="508" xfId="0" applyFont="1" applyFill="1" applyBorder="1" applyAlignment="1">
      <alignment horizontal="center" vertical="center" wrapText="1"/>
    </xf>
    <xf numFmtId="0" fontId="122" fillId="43" borderId="510" xfId="0" applyFont="1" applyFill="1" applyBorder="1" applyAlignment="1">
      <alignment horizontal="center" vertical="center" wrapText="1"/>
    </xf>
    <xf numFmtId="0" fontId="122" fillId="43" borderId="509" xfId="0" applyFont="1" applyFill="1" applyBorder="1" applyAlignment="1">
      <alignment horizontal="center" vertical="center" wrapText="1"/>
    </xf>
    <xf numFmtId="0" fontId="33" fillId="55" borderId="507" xfId="0" applyFont="1" applyFill="1" applyBorder="1" applyAlignment="1">
      <alignment horizontal="center" vertical="center" wrapText="1"/>
    </xf>
    <xf numFmtId="0" fontId="33" fillId="54" borderId="507" xfId="0" applyFont="1" applyFill="1" applyBorder="1" applyAlignment="1">
      <alignment horizontal="center" vertical="center" wrapText="1"/>
    </xf>
    <xf numFmtId="0" fontId="122" fillId="36" borderId="508" xfId="0" applyFont="1" applyFill="1" applyBorder="1" applyAlignment="1">
      <alignment horizontal="center" vertical="center" wrapText="1"/>
    </xf>
    <xf numFmtId="0" fontId="122" fillId="36" borderId="510" xfId="0" applyFont="1" applyFill="1" applyBorder="1" applyAlignment="1">
      <alignment horizontal="center" vertical="center" wrapText="1"/>
    </xf>
    <xf numFmtId="0" fontId="122" fillId="36" borderId="509" xfId="0" applyFont="1" applyFill="1" applyBorder="1" applyAlignment="1">
      <alignment horizontal="center" vertical="center" wrapText="1"/>
    </xf>
    <xf numFmtId="0" fontId="33" fillId="37" borderId="506" xfId="0" applyFont="1" applyFill="1" applyBorder="1" applyAlignment="1">
      <alignment horizontal="center" vertical="center" wrapText="1"/>
    </xf>
    <xf numFmtId="0" fontId="33" fillId="37" borderId="415" xfId="0" applyFont="1" applyFill="1" applyBorder="1" applyAlignment="1">
      <alignment horizontal="center" vertical="center" wrapText="1"/>
    </xf>
    <xf numFmtId="0" fontId="27" fillId="25" borderId="10" xfId="0" applyFont="1" applyFill="1" applyBorder="1" applyAlignment="1">
      <alignment horizontal="center" vertical="center" wrapText="1"/>
    </xf>
    <xf numFmtId="0" fontId="27" fillId="25" borderId="11" xfId="0" applyFont="1" applyFill="1" applyBorder="1" applyAlignment="1">
      <alignment horizontal="center" vertical="center" wrapText="1"/>
    </xf>
    <xf numFmtId="0" fontId="27" fillId="25" borderId="13" xfId="0" applyFont="1" applyFill="1" applyBorder="1" applyAlignment="1">
      <alignment horizontal="center" vertical="center"/>
    </xf>
    <xf numFmtId="0" fontId="47" fillId="27" borderId="36" xfId="0" applyFont="1" applyFill="1" applyBorder="1" applyAlignment="1">
      <alignment horizontal="center" vertical="center"/>
    </xf>
    <xf numFmtId="0" fontId="47" fillId="27" borderId="50" xfId="0" applyFont="1" applyFill="1" applyBorder="1" applyAlignment="1">
      <alignment horizontal="center" vertical="center"/>
    </xf>
    <xf numFmtId="0" fontId="47" fillId="27" borderId="42" xfId="0" applyFont="1" applyFill="1" applyBorder="1" applyAlignment="1">
      <alignment horizontal="center" vertical="center"/>
    </xf>
    <xf numFmtId="0" fontId="33" fillId="25" borderId="26" xfId="0" applyFont="1" applyFill="1" applyBorder="1" applyAlignment="1">
      <alignment horizontal="center" vertical="center" wrapText="1"/>
    </xf>
    <xf numFmtId="0" fontId="43" fillId="25" borderId="26" xfId="0" applyFont="1" applyFill="1" applyBorder="1" applyAlignment="1">
      <alignment horizontal="center" vertical="center" wrapText="1"/>
    </xf>
    <xf numFmtId="0" fontId="37" fillId="0" borderId="36" xfId="0" applyFont="1" applyBorder="1" applyAlignment="1">
      <alignment horizontal="center" vertical="center" wrapText="1"/>
    </xf>
    <xf numFmtId="0" fontId="37" fillId="0" borderId="42" xfId="0" applyFont="1" applyBorder="1" applyAlignment="1">
      <alignment horizontal="center" vertical="center" wrapText="1"/>
    </xf>
    <xf numFmtId="0" fontId="47" fillId="27" borderId="36" xfId="0" applyFont="1" applyFill="1" applyBorder="1" applyAlignment="1">
      <alignment horizontal="center" vertical="center" wrapText="1"/>
    </xf>
    <xf numFmtId="0" fontId="47" fillId="27" borderId="42" xfId="0" applyFont="1" applyFill="1" applyBorder="1" applyAlignment="1">
      <alignment horizontal="center" vertical="center" wrapText="1"/>
    </xf>
    <xf numFmtId="0" fontId="58" fillId="27" borderId="36" xfId="0" quotePrefix="1" applyFont="1" applyFill="1" applyBorder="1" applyAlignment="1">
      <alignment horizontal="center" vertical="center"/>
    </xf>
    <xf numFmtId="0" fontId="58" fillId="27" borderId="50" xfId="0" quotePrefix="1" applyFont="1" applyFill="1" applyBorder="1" applyAlignment="1">
      <alignment horizontal="center" vertical="center"/>
    </xf>
    <xf numFmtId="0" fontId="54" fillId="0" borderId="50" xfId="0" applyFont="1" applyBorder="1" applyAlignment="1">
      <alignment horizontal="center" vertical="center"/>
    </xf>
    <xf numFmtId="0" fontId="54" fillId="0" borderId="42" xfId="0" applyFont="1" applyBorder="1" applyAlignment="1">
      <alignment horizontal="center" vertical="center"/>
    </xf>
    <xf numFmtId="0" fontId="43" fillId="27" borderId="10" xfId="0" applyFont="1" applyFill="1" applyBorder="1" applyAlignment="1">
      <alignment horizontal="center" vertical="center" wrapText="1"/>
    </xf>
    <xf numFmtId="0" fontId="55" fillId="27" borderId="11" xfId="0" applyFont="1" applyFill="1" applyBorder="1" applyAlignment="1">
      <alignment vertical="center"/>
    </xf>
    <xf numFmtId="0" fontId="55" fillId="27" borderId="13" xfId="0" applyFont="1" applyFill="1" applyBorder="1" applyAlignment="1">
      <alignment vertical="center"/>
    </xf>
    <xf numFmtId="0" fontId="43" fillId="27" borderId="10" xfId="0" quotePrefix="1" applyFont="1" applyFill="1" applyBorder="1" applyAlignment="1">
      <alignment horizontal="center" vertical="center" wrapText="1"/>
    </xf>
    <xf numFmtId="0" fontId="28" fillId="25" borderId="506" xfId="0" applyFont="1" applyFill="1" applyBorder="1" applyAlignment="1">
      <alignment horizontal="center" vertical="center" wrapText="1"/>
    </xf>
    <xf numFmtId="0" fontId="28" fillId="25" borderId="190" xfId="0" applyFont="1" applyFill="1" applyBorder="1" applyAlignment="1">
      <alignment horizontal="center" vertical="center" wrapText="1"/>
    </xf>
    <xf numFmtId="0" fontId="36" fillId="25" borderId="415" xfId="0" applyFont="1" applyFill="1" applyBorder="1" applyAlignment="1">
      <alignment horizontal="center" vertical="center" wrapText="1"/>
    </xf>
    <xf numFmtId="0" fontId="103" fillId="0" borderId="0" xfId="47823" applyFont="1" applyBorder="1" applyAlignment="1"/>
  </cellXfs>
  <cellStyles count="47824">
    <cellStyle name="20% - Accent1" xfId="1" builtinId="30" customBuiltin="1"/>
    <cellStyle name="20% - Accent1 2" xfId="254"/>
    <cellStyle name="20% - Accent1 3" xfId="658"/>
    <cellStyle name="20% - Accent1 4" xfId="15972"/>
    <cellStyle name="20% - Accent2" xfId="2" builtinId="34" customBuiltin="1"/>
    <cellStyle name="20% - Accent2 2" xfId="255"/>
    <cellStyle name="20% - Accent2 3" xfId="659"/>
    <cellStyle name="20% - Accent2 4" xfId="15973"/>
    <cellStyle name="20% - Accent3" xfId="3" builtinId="38" customBuiltin="1"/>
    <cellStyle name="20% - Accent3 2" xfId="256"/>
    <cellStyle name="20% - Accent3 3" xfId="660"/>
    <cellStyle name="20% - Accent3 4" xfId="15974"/>
    <cellStyle name="20% - Accent4" xfId="4" builtinId="42" customBuiltin="1"/>
    <cellStyle name="20% - Accent4 2" xfId="257"/>
    <cellStyle name="20% - Accent4 3" xfId="661"/>
    <cellStyle name="20% - Accent4 4" xfId="15975"/>
    <cellStyle name="20% - Accent5" xfId="5" builtinId="46" customBuiltin="1"/>
    <cellStyle name="20% - Accent5 2" xfId="258"/>
    <cellStyle name="20% - Accent5 3" xfId="662"/>
    <cellStyle name="20% - Accent5 4" xfId="15976"/>
    <cellStyle name="20% - Accent6" xfId="6" builtinId="50" customBuiltin="1"/>
    <cellStyle name="20% - Accent6 2" xfId="259"/>
    <cellStyle name="20% - Accent6 3" xfId="663"/>
    <cellStyle name="20% - Accent6 4" xfId="15977"/>
    <cellStyle name="40% - Accent1" xfId="7" builtinId="31" customBuiltin="1"/>
    <cellStyle name="40% - Accent1 2" xfId="260"/>
    <cellStyle name="40% - Accent1 3" xfId="664"/>
    <cellStyle name="40% - Accent1 4" xfId="15978"/>
    <cellStyle name="40% - Accent2" xfId="8" builtinId="35" customBuiltin="1"/>
    <cellStyle name="40% - Accent2 2" xfId="261"/>
    <cellStyle name="40% - Accent2 3" xfId="665"/>
    <cellStyle name="40% - Accent2 4" xfId="15979"/>
    <cellStyle name="40% - Accent3" xfId="9" builtinId="39" customBuiltin="1"/>
    <cellStyle name="40% - Accent3 2" xfId="262"/>
    <cellStyle name="40% - Accent3 3" xfId="666"/>
    <cellStyle name="40% - Accent3 4" xfId="15980"/>
    <cellStyle name="40% - Accent4" xfId="10" builtinId="43" customBuiltin="1"/>
    <cellStyle name="40% - Accent4 2" xfId="263"/>
    <cellStyle name="40% - Accent4 3" xfId="667"/>
    <cellStyle name="40% - Accent4 4" xfId="15981"/>
    <cellStyle name="40% - Accent5" xfId="11" builtinId="47" customBuiltin="1"/>
    <cellStyle name="40% - Accent5 2" xfId="264"/>
    <cellStyle name="40% - Accent5 3" xfId="668"/>
    <cellStyle name="40% - Accent5 4" xfId="15982"/>
    <cellStyle name="40% - Accent6" xfId="12" builtinId="51" customBuiltin="1"/>
    <cellStyle name="40% - Accent6 2" xfId="265"/>
    <cellStyle name="40% - Accent6 3" xfId="669"/>
    <cellStyle name="40% - Accent6 4" xfId="15983"/>
    <cellStyle name="60% - Accent1" xfId="13" builtinId="32" customBuiltin="1"/>
    <cellStyle name="60% - Accent1 2" xfId="266"/>
    <cellStyle name="60% - Accent1 3" xfId="670"/>
    <cellStyle name="60% - Accent1 4" xfId="15984"/>
    <cellStyle name="60% - Accent2" xfId="14" builtinId="36" customBuiltin="1"/>
    <cellStyle name="60% - Accent2 2" xfId="267"/>
    <cellStyle name="60% - Accent2 3" xfId="671"/>
    <cellStyle name="60% - Accent2 4" xfId="15985"/>
    <cellStyle name="60% - Accent3" xfId="15" builtinId="40" customBuiltin="1"/>
    <cellStyle name="60% - Accent3 2" xfId="268"/>
    <cellStyle name="60% - Accent3 3" xfId="672"/>
    <cellStyle name="60% - Accent3 4" xfId="15986"/>
    <cellStyle name="60% - Accent4" xfId="16" builtinId="44" customBuiltin="1"/>
    <cellStyle name="60% - Accent4 2" xfId="269"/>
    <cellStyle name="60% - Accent4 3" xfId="673"/>
    <cellStyle name="60% - Accent4 4" xfId="15987"/>
    <cellStyle name="60% - Accent5" xfId="17" builtinId="48" customBuiltin="1"/>
    <cellStyle name="60% - Accent5 2" xfId="270"/>
    <cellStyle name="60% - Accent5 3" xfId="674"/>
    <cellStyle name="60% - Accent5 4" xfId="15988"/>
    <cellStyle name="60% - Accent6" xfId="18" builtinId="52" customBuiltin="1"/>
    <cellStyle name="60% - Accent6 2" xfId="271"/>
    <cellStyle name="60% - Accent6 3" xfId="675"/>
    <cellStyle name="60% - Accent6 4" xfId="15989"/>
    <cellStyle name="Accent1" xfId="19" builtinId="29" customBuiltin="1"/>
    <cellStyle name="Accent1 2" xfId="272"/>
    <cellStyle name="Accent1 3" xfId="676"/>
    <cellStyle name="Accent1 4" xfId="15990"/>
    <cellStyle name="Accent2" xfId="20" builtinId="33" customBuiltin="1"/>
    <cellStyle name="Accent2 2" xfId="273"/>
    <cellStyle name="Accent2 3" xfId="677"/>
    <cellStyle name="Accent2 4" xfId="15991"/>
    <cellStyle name="Accent3" xfId="21" builtinId="37" customBuiltin="1"/>
    <cellStyle name="Accent3 2" xfId="274"/>
    <cellStyle name="Accent3 3" xfId="678"/>
    <cellStyle name="Accent3 4" xfId="15992"/>
    <cellStyle name="Accent4" xfId="22" builtinId="41" customBuiltin="1"/>
    <cellStyle name="Accent4 2" xfId="275"/>
    <cellStyle name="Accent4 3" xfId="679"/>
    <cellStyle name="Accent4 4" xfId="15993"/>
    <cellStyle name="Accent5" xfId="23" builtinId="45" customBuiltin="1"/>
    <cellStyle name="Accent5 2" xfId="276"/>
    <cellStyle name="Accent5 3" xfId="680"/>
    <cellStyle name="Accent5 4" xfId="15994"/>
    <cellStyle name="Accent6" xfId="24" builtinId="49" customBuiltin="1"/>
    <cellStyle name="Accent6 2" xfId="277"/>
    <cellStyle name="Accent6 3" xfId="681"/>
    <cellStyle name="Accent6 4" xfId="15995"/>
    <cellStyle name="Bad" xfId="25" builtinId="27" customBuiltin="1"/>
    <cellStyle name="Bad 2" xfId="278"/>
    <cellStyle name="Bad 3" xfId="682"/>
    <cellStyle name="Bad 4" xfId="15996"/>
    <cellStyle name="Calculation" xfId="26" builtinId="22" customBuiltin="1"/>
    <cellStyle name="Calculation 10" xfId="124"/>
    <cellStyle name="Calculation 10 10" xfId="26679"/>
    <cellStyle name="Calculation 10 2" xfId="517"/>
    <cellStyle name="Calculation 10 2 2" xfId="1494"/>
    <cellStyle name="Calculation 10 2 2 2" xfId="2764"/>
    <cellStyle name="Calculation 10 2 2 2 2" xfId="6325"/>
    <cellStyle name="Calculation 10 2 2 2 2 2" xfId="14519"/>
    <cellStyle name="Calculation 10 2 2 2 2 2 2" xfId="26491"/>
    <cellStyle name="Calculation 10 2 2 2 2 2 2 2" xfId="47677"/>
    <cellStyle name="Calculation 10 2 2 2 2 2 3" xfId="37073"/>
    <cellStyle name="Calculation 10 2 2 2 2 3" xfId="21378"/>
    <cellStyle name="Calculation 10 2 2 2 2 3 2" xfId="42565"/>
    <cellStyle name="Calculation 10 2 2 2 2 4" xfId="31981"/>
    <cellStyle name="Calculation 10 2 2 2 2_Table 2A-1_EFT (Annual)" xfId="14898"/>
    <cellStyle name="Calculation 10 2 2 2 3" xfId="11861"/>
    <cellStyle name="Calculation 10 2 2 2 3 2" xfId="23945"/>
    <cellStyle name="Calculation 10 2 2 2 3 2 2" xfId="45131"/>
    <cellStyle name="Calculation 10 2 2 2 3 3" xfId="34527"/>
    <cellStyle name="Calculation 10 2 2 2 4" xfId="18832"/>
    <cellStyle name="Calculation 10 2 2 2 4 2" xfId="40019"/>
    <cellStyle name="Calculation 10 2 2 2 5" xfId="29238"/>
    <cellStyle name="Calculation 10 2 2 2_Table 2A-1_EFT (Annual)" xfId="4261"/>
    <cellStyle name="Calculation 10 2 2 3" xfId="5055"/>
    <cellStyle name="Calculation 10 2 2 3 2" xfId="13315"/>
    <cellStyle name="Calculation 10 2 2 3 2 2" xfId="25321"/>
    <cellStyle name="Calculation 10 2 2 3 2 2 2" xfId="46507"/>
    <cellStyle name="Calculation 10 2 2 3 2 3" xfId="35903"/>
    <cellStyle name="Calculation 10 2 2 3 3" xfId="20208"/>
    <cellStyle name="Calculation 10 2 2 3 3 2" xfId="41395"/>
    <cellStyle name="Calculation 10 2 2 3 4" xfId="30712"/>
    <cellStyle name="Calculation 10 2 2 3_Table 2A-1_EFT (Annual)" xfId="14897"/>
    <cellStyle name="Calculation 10 2 2 4" xfId="10659"/>
    <cellStyle name="Calculation 10 2 2 4 2" xfId="22775"/>
    <cellStyle name="Calculation 10 2 2 4 2 2" xfId="43961"/>
    <cellStyle name="Calculation 10 2 2 4 3" xfId="33357"/>
    <cellStyle name="Calculation 10 2 2 5" xfId="17662"/>
    <cellStyle name="Calculation 10 2 2 5 2" xfId="38849"/>
    <cellStyle name="Calculation 10 2 2 6" xfId="27969"/>
    <cellStyle name="Calculation 10 2 2_Table 2A-1_EFT (Annual)" xfId="3644"/>
    <cellStyle name="Calculation 10 2 3" xfId="1027"/>
    <cellStyle name="Calculation 10 2 3 2" xfId="4588"/>
    <cellStyle name="Calculation 10 2 3 2 2" xfId="12848"/>
    <cellStyle name="Calculation 10 2 3 2 2 2" xfId="24854"/>
    <cellStyle name="Calculation 10 2 3 2 2 2 2" xfId="46040"/>
    <cellStyle name="Calculation 10 2 3 2 2 3" xfId="35436"/>
    <cellStyle name="Calculation 10 2 3 2 3" xfId="19741"/>
    <cellStyle name="Calculation 10 2 3 2 3 2" xfId="40928"/>
    <cellStyle name="Calculation 10 2 3 2 4" xfId="30245"/>
    <cellStyle name="Calculation 10 2 3 2_Table 2A-1_EFT (Annual)" xfId="14896"/>
    <cellStyle name="Calculation 10 2 3 3" xfId="10192"/>
    <cellStyle name="Calculation 10 2 3 3 2" xfId="22308"/>
    <cellStyle name="Calculation 10 2 3 3 2 2" xfId="43494"/>
    <cellStyle name="Calculation 10 2 3 3 3" xfId="32890"/>
    <cellStyle name="Calculation 10 2 3 4" xfId="17195"/>
    <cellStyle name="Calculation 10 2 3 4 2" xfId="38382"/>
    <cellStyle name="Calculation 10 2 3 5" xfId="27502"/>
    <cellStyle name="Calculation 10 2 3_Table 2A-1_EFT (Annual)" xfId="3866"/>
    <cellStyle name="Calculation 10 2 4" xfId="2233"/>
    <cellStyle name="Calculation 10 2 4 2" xfId="5794"/>
    <cellStyle name="Calculation 10 2 4 2 2" xfId="14009"/>
    <cellStyle name="Calculation 10 2 4 2 2 2" xfId="25997"/>
    <cellStyle name="Calculation 10 2 4 2 2 2 2" xfId="47183"/>
    <cellStyle name="Calculation 10 2 4 2 2 3" xfId="36579"/>
    <cellStyle name="Calculation 10 2 4 2 3" xfId="20884"/>
    <cellStyle name="Calculation 10 2 4 2 3 2" xfId="42071"/>
    <cellStyle name="Calculation 10 2 4 2 4" xfId="31451"/>
    <cellStyle name="Calculation 10 2 4 2_Table 2A-1_EFT (Annual)" xfId="14895"/>
    <cellStyle name="Calculation 10 2 4 3" xfId="11353"/>
    <cellStyle name="Calculation 10 2 4 3 2" xfId="23451"/>
    <cellStyle name="Calculation 10 2 4 3 2 2" xfId="44637"/>
    <cellStyle name="Calculation 10 2 4 3 3" xfId="34033"/>
    <cellStyle name="Calculation 10 2 4 4" xfId="18338"/>
    <cellStyle name="Calculation 10 2 4 4 2" xfId="39525"/>
    <cellStyle name="Calculation 10 2 4 5" xfId="28708"/>
    <cellStyle name="Calculation 10 2 4_Table 2A-1_EFT (Annual)" xfId="3643"/>
    <cellStyle name="Calculation 10 2 5" xfId="4087"/>
    <cellStyle name="Calculation 10 2 5 2" xfId="12411"/>
    <cellStyle name="Calculation 10 2 5 2 2" xfId="24433"/>
    <cellStyle name="Calculation 10 2 5 2 2 2" xfId="45619"/>
    <cellStyle name="Calculation 10 2 5 2 3" xfId="35015"/>
    <cellStyle name="Calculation 10 2 5 3" xfId="19320"/>
    <cellStyle name="Calculation 10 2 5 3 2" xfId="40507"/>
    <cellStyle name="Calculation 10 2 5 4" xfId="29775"/>
    <cellStyle name="Calculation 10 2 5_Table 2A-1_EFT (Annual)" xfId="14894"/>
    <cellStyle name="Calculation 10 2 6" xfId="9750"/>
    <cellStyle name="Calculation 10 2 6 2" xfId="21887"/>
    <cellStyle name="Calculation 10 2 6 2 2" xfId="43073"/>
    <cellStyle name="Calculation 10 2 6 3" xfId="32469"/>
    <cellStyle name="Calculation 10 2 7" xfId="16774"/>
    <cellStyle name="Calculation 10 2 7 2" xfId="37961"/>
    <cellStyle name="Calculation 10 2 8" xfId="27032"/>
    <cellStyle name="Calculation 10 2_Table 2A-1_EFT (Annual)" xfId="2892"/>
    <cellStyle name="Calculation 10 3" xfId="355"/>
    <cellStyle name="Calculation 10 3 2" xfId="1338"/>
    <cellStyle name="Calculation 10 3 2 2" xfId="2608"/>
    <cellStyle name="Calculation 10 3 2 2 2" xfId="6169"/>
    <cellStyle name="Calculation 10 3 2 2 2 2" xfId="14363"/>
    <cellStyle name="Calculation 10 3 2 2 2 2 2" xfId="26335"/>
    <cellStyle name="Calculation 10 3 2 2 2 2 2 2" xfId="47521"/>
    <cellStyle name="Calculation 10 3 2 2 2 2 3" xfId="36917"/>
    <cellStyle name="Calculation 10 3 2 2 2 3" xfId="21222"/>
    <cellStyle name="Calculation 10 3 2 2 2 3 2" xfId="42409"/>
    <cellStyle name="Calculation 10 3 2 2 2 4" xfId="31825"/>
    <cellStyle name="Calculation 10 3 2 2 2_Table 2A-1_EFT (Annual)" xfId="14893"/>
    <cellStyle name="Calculation 10 3 2 2 3" xfId="11705"/>
    <cellStyle name="Calculation 10 3 2 2 3 2" xfId="23789"/>
    <cellStyle name="Calculation 10 3 2 2 3 2 2" xfId="44975"/>
    <cellStyle name="Calculation 10 3 2 2 3 3" xfId="34371"/>
    <cellStyle name="Calculation 10 3 2 2 4" xfId="18676"/>
    <cellStyle name="Calculation 10 3 2 2 4 2" xfId="39863"/>
    <cellStyle name="Calculation 10 3 2 2 5" xfId="29082"/>
    <cellStyle name="Calculation 10 3 2 2_Table 2A-1_EFT (Annual)" xfId="3642"/>
    <cellStyle name="Calculation 10 3 2 3" xfId="4899"/>
    <cellStyle name="Calculation 10 3 2 3 2" xfId="13159"/>
    <cellStyle name="Calculation 10 3 2 3 2 2" xfId="25165"/>
    <cellStyle name="Calculation 10 3 2 3 2 2 2" xfId="46351"/>
    <cellStyle name="Calculation 10 3 2 3 2 3" xfId="35747"/>
    <cellStyle name="Calculation 10 3 2 3 3" xfId="20052"/>
    <cellStyle name="Calculation 10 3 2 3 3 2" xfId="41239"/>
    <cellStyle name="Calculation 10 3 2 3 4" xfId="30556"/>
    <cellStyle name="Calculation 10 3 2 3_Table 2A-1_EFT (Annual)" xfId="14892"/>
    <cellStyle name="Calculation 10 3 2 4" xfId="10503"/>
    <cellStyle name="Calculation 10 3 2 4 2" xfId="22619"/>
    <cellStyle name="Calculation 10 3 2 4 2 2" xfId="43805"/>
    <cellStyle name="Calculation 10 3 2 4 3" xfId="33201"/>
    <cellStyle name="Calculation 10 3 2 5" xfId="17506"/>
    <cellStyle name="Calculation 10 3 2 5 2" xfId="38693"/>
    <cellStyle name="Calculation 10 3 2 6" xfId="27813"/>
    <cellStyle name="Calculation 10 3 2_Table 2A-1_EFT (Annual)" xfId="3647"/>
    <cellStyle name="Calculation 10 3 3" xfId="895"/>
    <cellStyle name="Calculation 10 3 3 2" xfId="4456"/>
    <cellStyle name="Calculation 10 3 3 2 2" xfId="12718"/>
    <cellStyle name="Calculation 10 3 3 2 2 2" xfId="24728"/>
    <cellStyle name="Calculation 10 3 3 2 2 2 2" xfId="45914"/>
    <cellStyle name="Calculation 10 3 3 2 2 3" xfId="35310"/>
    <cellStyle name="Calculation 10 3 3 2 3" xfId="19615"/>
    <cellStyle name="Calculation 10 3 3 2 3 2" xfId="40802"/>
    <cellStyle name="Calculation 10 3 3 2 4" xfId="30113"/>
    <cellStyle name="Calculation 10 3 3 2_Table 2A-1_EFT (Annual)" xfId="14891"/>
    <cellStyle name="Calculation 10 3 3 3" xfId="10065"/>
    <cellStyle name="Calculation 10 3 3 3 2" xfId="22182"/>
    <cellStyle name="Calculation 10 3 3 3 2 2" xfId="43368"/>
    <cellStyle name="Calculation 10 3 3 3 3" xfId="32764"/>
    <cellStyle name="Calculation 10 3 3 4" xfId="17069"/>
    <cellStyle name="Calculation 10 3 3 4 2" xfId="38256"/>
    <cellStyle name="Calculation 10 3 3 5" xfId="27370"/>
    <cellStyle name="Calculation 10 3 3_Table 2A-1_EFT (Annual)" xfId="3641"/>
    <cellStyle name="Calculation 10 3 4" xfId="2077"/>
    <cellStyle name="Calculation 10 3 4 2" xfId="5638"/>
    <cellStyle name="Calculation 10 3 4 2 2" xfId="13853"/>
    <cellStyle name="Calculation 10 3 4 2 2 2" xfId="25841"/>
    <cellStyle name="Calculation 10 3 4 2 2 2 2" xfId="47027"/>
    <cellStyle name="Calculation 10 3 4 2 2 3" xfId="36423"/>
    <cellStyle name="Calculation 10 3 4 2 3" xfId="20728"/>
    <cellStyle name="Calculation 10 3 4 2 3 2" xfId="41915"/>
    <cellStyle name="Calculation 10 3 4 2 4" xfId="31295"/>
    <cellStyle name="Calculation 10 3 4 2_Table 2A-1_EFT (Annual)" xfId="14890"/>
    <cellStyle name="Calculation 10 3 4 3" xfId="11197"/>
    <cellStyle name="Calculation 10 3 4 3 2" xfId="23295"/>
    <cellStyle name="Calculation 10 3 4 3 2 2" xfId="44481"/>
    <cellStyle name="Calculation 10 3 4 3 3" xfId="33877"/>
    <cellStyle name="Calculation 10 3 4 4" xfId="18182"/>
    <cellStyle name="Calculation 10 3 4 4 2" xfId="39369"/>
    <cellStyle name="Calculation 10 3 4 5" xfId="28552"/>
    <cellStyle name="Calculation 10 3 4_Table 2A-1_EFT (Annual)" xfId="3640"/>
    <cellStyle name="Calculation 10 3 5" xfId="3925"/>
    <cellStyle name="Calculation 10 3 5 2" xfId="12253"/>
    <cellStyle name="Calculation 10 3 5 2 2" xfId="24277"/>
    <cellStyle name="Calculation 10 3 5 2 2 2" xfId="45463"/>
    <cellStyle name="Calculation 10 3 5 2 3" xfId="34859"/>
    <cellStyle name="Calculation 10 3 5 3" xfId="19164"/>
    <cellStyle name="Calculation 10 3 5 3 2" xfId="40351"/>
    <cellStyle name="Calculation 10 3 5 4" xfId="29613"/>
    <cellStyle name="Calculation 10 3 5_Table 2A-1_EFT (Annual)" xfId="14889"/>
    <cellStyle name="Calculation 10 3 6" xfId="9590"/>
    <cellStyle name="Calculation 10 3 6 2" xfId="21731"/>
    <cellStyle name="Calculation 10 3 6 2 2" xfId="42917"/>
    <cellStyle name="Calculation 10 3 6 3" xfId="32313"/>
    <cellStyle name="Calculation 10 3 7" xfId="16618"/>
    <cellStyle name="Calculation 10 3 7 2" xfId="37805"/>
    <cellStyle name="Calculation 10 3 8" xfId="26870"/>
    <cellStyle name="Calculation 10 3_Table 2A-1_EFT (Annual)" xfId="2893"/>
    <cellStyle name="Calculation 10 4" xfId="1172"/>
    <cellStyle name="Calculation 10 4 2" xfId="2442"/>
    <cellStyle name="Calculation 10 4 2 2" xfId="6003"/>
    <cellStyle name="Calculation 10 4 2 2 2" xfId="14197"/>
    <cellStyle name="Calculation 10 4 2 2 2 2" xfId="26169"/>
    <cellStyle name="Calculation 10 4 2 2 2 2 2" xfId="47355"/>
    <cellStyle name="Calculation 10 4 2 2 2 3" xfId="36751"/>
    <cellStyle name="Calculation 10 4 2 2 3" xfId="21056"/>
    <cellStyle name="Calculation 10 4 2 2 3 2" xfId="42243"/>
    <cellStyle name="Calculation 10 4 2 2 4" xfId="31659"/>
    <cellStyle name="Calculation 10 4 2 2_Table 2A-1_EFT (Annual)" xfId="14888"/>
    <cellStyle name="Calculation 10 4 2 3" xfId="11539"/>
    <cellStyle name="Calculation 10 4 2 3 2" xfId="23623"/>
    <cellStyle name="Calculation 10 4 2 3 2 2" xfId="44809"/>
    <cellStyle name="Calculation 10 4 2 3 3" xfId="34205"/>
    <cellStyle name="Calculation 10 4 2 4" xfId="18510"/>
    <cellStyle name="Calculation 10 4 2 4 2" xfId="39697"/>
    <cellStyle name="Calculation 10 4 2 5" xfId="28916"/>
    <cellStyle name="Calculation 10 4 2_Table 2A-1_EFT (Annual)" xfId="3655"/>
    <cellStyle name="Calculation 10 4 3" xfId="4733"/>
    <cellStyle name="Calculation 10 4 3 2" xfId="12993"/>
    <cellStyle name="Calculation 10 4 3 2 2" xfId="24999"/>
    <cellStyle name="Calculation 10 4 3 2 2 2" xfId="46185"/>
    <cellStyle name="Calculation 10 4 3 2 3" xfId="35581"/>
    <cellStyle name="Calculation 10 4 3 3" xfId="19886"/>
    <cellStyle name="Calculation 10 4 3 3 2" xfId="41073"/>
    <cellStyle name="Calculation 10 4 3 4" xfId="30390"/>
    <cellStyle name="Calculation 10 4 3_Table 2A-1_EFT (Annual)" xfId="14887"/>
    <cellStyle name="Calculation 10 4 4" xfId="10337"/>
    <cellStyle name="Calculation 10 4 4 2" xfId="22453"/>
    <cellStyle name="Calculation 10 4 4 2 2" xfId="43639"/>
    <cellStyle name="Calculation 10 4 4 3" xfId="33035"/>
    <cellStyle name="Calculation 10 4 5" xfId="17340"/>
    <cellStyle name="Calculation 10 4 5 2" xfId="38527"/>
    <cellStyle name="Calculation 10 4 6" xfId="27647"/>
    <cellStyle name="Calculation 10 4_Table 2A-1_EFT (Annual)" xfId="3661"/>
    <cellStyle name="Calculation 10 5" xfId="736"/>
    <cellStyle name="Calculation 10 5 2" xfId="4297"/>
    <cellStyle name="Calculation 10 5 2 2" xfId="12577"/>
    <cellStyle name="Calculation 10 5 2 2 2" xfId="24594"/>
    <cellStyle name="Calculation 10 5 2 2 2 2" xfId="45780"/>
    <cellStyle name="Calculation 10 5 2 2 3" xfId="35176"/>
    <cellStyle name="Calculation 10 5 2 3" xfId="19481"/>
    <cellStyle name="Calculation 10 5 2 3 2" xfId="40668"/>
    <cellStyle name="Calculation 10 5 2 4" xfId="29954"/>
    <cellStyle name="Calculation 10 5 2_Table 2A-1_EFT (Annual)" xfId="14886"/>
    <cellStyle name="Calculation 10 5 3" xfId="9925"/>
    <cellStyle name="Calculation 10 5 3 2" xfId="22048"/>
    <cellStyle name="Calculation 10 5 3 2 2" xfId="43234"/>
    <cellStyle name="Calculation 10 5 3 3" xfId="32630"/>
    <cellStyle name="Calculation 10 5 4" xfId="16935"/>
    <cellStyle name="Calculation 10 5 4 2" xfId="38122"/>
    <cellStyle name="Calculation 10 5 5" xfId="27211"/>
    <cellStyle name="Calculation 10 5_Table 2A-1_EFT (Annual)" xfId="3662"/>
    <cellStyle name="Calculation 10 6" xfId="1862"/>
    <cellStyle name="Calculation 10 6 2" xfId="5423"/>
    <cellStyle name="Calculation 10 6 2 2" xfId="13638"/>
    <cellStyle name="Calculation 10 6 2 2 2" xfId="25626"/>
    <cellStyle name="Calculation 10 6 2 2 2 2" xfId="46812"/>
    <cellStyle name="Calculation 10 6 2 2 3" xfId="36208"/>
    <cellStyle name="Calculation 10 6 2 3" xfId="20513"/>
    <cellStyle name="Calculation 10 6 2 3 2" xfId="41700"/>
    <cellStyle name="Calculation 10 6 2 4" xfId="31080"/>
    <cellStyle name="Calculation 10 6 2_Table 2A-1_EFT (Annual)" xfId="14885"/>
    <cellStyle name="Calculation 10 6 3" xfId="10982"/>
    <cellStyle name="Calculation 10 6 3 2" xfId="23080"/>
    <cellStyle name="Calculation 10 6 3 2 2" xfId="44266"/>
    <cellStyle name="Calculation 10 6 3 3" xfId="33662"/>
    <cellStyle name="Calculation 10 6 4" xfId="17967"/>
    <cellStyle name="Calculation 10 6 4 2" xfId="39154"/>
    <cellStyle name="Calculation 10 6 5" xfId="28337"/>
    <cellStyle name="Calculation 10 6_Table 2A-1_EFT (Annual)" xfId="3639"/>
    <cellStyle name="Calculation 10 7" xfId="3713"/>
    <cellStyle name="Calculation 10 7 2" xfId="12081"/>
    <cellStyle name="Calculation 10 7 2 2" xfId="24111"/>
    <cellStyle name="Calculation 10 7 2 2 2" xfId="45297"/>
    <cellStyle name="Calculation 10 7 2 3" xfId="34693"/>
    <cellStyle name="Calculation 10 7 3" xfId="18998"/>
    <cellStyle name="Calculation 10 7 3 2" xfId="40185"/>
    <cellStyle name="Calculation 10 7 4" xfId="29422"/>
    <cellStyle name="Calculation 10 7_Table 2A-1_EFT (Annual)" xfId="14884"/>
    <cellStyle name="Calculation 10 8" xfId="9400"/>
    <cellStyle name="Calculation 10 8 2" xfId="21565"/>
    <cellStyle name="Calculation 10 8 2 2" xfId="42751"/>
    <cellStyle name="Calculation 10 8 3" xfId="32147"/>
    <cellStyle name="Calculation 10 9" xfId="16452"/>
    <cellStyle name="Calculation 10 9 2" xfId="37639"/>
    <cellStyle name="Calculation 10_Table 2A-1_EFT (Annual)" xfId="2891"/>
    <cellStyle name="Calculation 11" xfId="142"/>
    <cellStyle name="Calculation 11 10" xfId="26697"/>
    <cellStyle name="Calculation 11 2" xfId="535"/>
    <cellStyle name="Calculation 11 2 2" xfId="1512"/>
    <cellStyle name="Calculation 11 2 2 2" xfId="2782"/>
    <cellStyle name="Calculation 11 2 2 2 2" xfId="6343"/>
    <cellStyle name="Calculation 11 2 2 2 2 2" xfId="14537"/>
    <cellStyle name="Calculation 11 2 2 2 2 2 2" xfId="26509"/>
    <cellStyle name="Calculation 11 2 2 2 2 2 2 2" xfId="47695"/>
    <cellStyle name="Calculation 11 2 2 2 2 2 3" xfId="37091"/>
    <cellStyle name="Calculation 11 2 2 2 2 3" xfId="21396"/>
    <cellStyle name="Calculation 11 2 2 2 2 3 2" xfId="42583"/>
    <cellStyle name="Calculation 11 2 2 2 2 4" xfId="31999"/>
    <cellStyle name="Calculation 11 2 2 2 2_Table 2A-1_EFT (Annual)" xfId="14883"/>
    <cellStyle name="Calculation 11 2 2 2 3" xfId="11879"/>
    <cellStyle name="Calculation 11 2 2 2 3 2" xfId="23963"/>
    <cellStyle name="Calculation 11 2 2 2 3 2 2" xfId="45149"/>
    <cellStyle name="Calculation 11 2 2 2 3 3" xfId="34545"/>
    <cellStyle name="Calculation 11 2 2 2 4" xfId="18850"/>
    <cellStyle name="Calculation 11 2 2 2 4 2" xfId="40037"/>
    <cellStyle name="Calculation 11 2 2 2 5" xfId="29256"/>
    <cellStyle name="Calculation 11 2 2 2_Table 2A-1_EFT (Annual)" xfId="6491"/>
    <cellStyle name="Calculation 11 2 2 3" xfId="5073"/>
    <cellStyle name="Calculation 11 2 2 3 2" xfId="13333"/>
    <cellStyle name="Calculation 11 2 2 3 2 2" xfId="25339"/>
    <cellStyle name="Calculation 11 2 2 3 2 2 2" xfId="46525"/>
    <cellStyle name="Calculation 11 2 2 3 2 3" xfId="35921"/>
    <cellStyle name="Calculation 11 2 2 3 3" xfId="20226"/>
    <cellStyle name="Calculation 11 2 2 3 3 2" xfId="41413"/>
    <cellStyle name="Calculation 11 2 2 3 4" xfId="30730"/>
    <cellStyle name="Calculation 11 2 2 3_Table 2A-1_EFT (Annual)" xfId="14882"/>
    <cellStyle name="Calculation 11 2 2 4" xfId="10677"/>
    <cellStyle name="Calculation 11 2 2 4 2" xfId="22793"/>
    <cellStyle name="Calculation 11 2 2 4 2 2" xfId="43979"/>
    <cellStyle name="Calculation 11 2 2 4 3" xfId="33375"/>
    <cellStyle name="Calculation 11 2 2 5" xfId="17680"/>
    <cellStyle name="Calculation 11 2 2 5 2" xfId="38867"/>
    <cellStyle name="Calculation 11 2 2 6" xfId="27987"/>
    <cellStyle name="Calculation 11 2 2_Table 2A-1_EFT (Annual)" xfId="6494"/>
    <cellStyle name="Calculation 11 2 3" xfId="1044"/>
    <cellStyle name="Calculation 11 2 3 2" xfId="4605"/>
    <cellStyle name="Calculation 11 2 3 2 2" xfId="12865"/>
    <cellStyle name="Calculation 11 2 3 2 2 2" xfId="24871"/>
    <cellStyle name="Calculation 11 2 3 2 2 2 2" xfId="46057"/>
    <cellStyle name="Calculation 11 2 3 2 2 3" xfId="35453"/>
    <cellStyle name="Calculation 11 2 3 2 3" xfId="19758"/>
    <cellStyle name="Calculation 11 2 3 2 3 2" xfId="40945"/>
    <cellStyle name="Calculation 11 2 3 2 4" xfId="30262"/>
    <cellStyle name="Calculation 11 2 3 2_Table 2A-1_EFT (Annual)" xfId="14881"/>
    <cellStyle name="Calculation 11 2 3 3" xfId="10209"/>
    <cellStyle name="Calculation 11 2 3 3 2" xfId="22325"/>
    <cellStyle name="Calculation 11 2 3 3 2 2" xfId="43511"/>
    <cellStyle name="Calculation 11 2 3 3 3" xfId="32907"/>
    <cellStyle name="Calculation 11 2 3 4" xfId="17212"/>
    <cellStyle name="Calculation 11 2 3 4 2" xfId="38399"/>
    <cellStyle name="Calculation 11 2 3 5" xfId="27519"/>
    <cellStyle name="Calculation 11 2 3_Table 2A-1_EFT (Annual)" xfId="6493"/>
    <cellStyle name="Calculation 11 2 4" xfId="2251"/>
    <cellStyle name="Calculation 11 2 4 2" xfId="5812"/>
    <cellStyle name="Calculation 11 2 4 2 2" xfId="14027"/>
    <cellStyle name="Calculation 11 2 4 2 2 2" xfId="26015"/>
    <cellStyle name="Calculation 11 2 4 2 2 2 2" xfId="47201"/>
    <cellStyle name="Calculation 11 2 4 2 2 3" xfId="36597"/>
    <cellStyle name="Calculation 11 2 4 2 3" xfId="20902"/>
    <cellStyle name="Calculation 11 2 4 2 3 2" xfId="42089"/>
    <cellStyle name="Calculation 11 2 4 2 4" xfId="31469"/>
    <cellStyle name="Calculation 11 2 4 2_Table 2A-1_EFT (Annual)" xfId="14880"/>
    <cellStyle name="Calculation 11 2 4 3" xfId="11371"/>
    <cellStyle name="Calculation 11 2 4 3 2" xfId="23469"/>
    <cellStyle name="Calculation 11 2 4 3 2 2" xfId="44655"/>
    <cellStyle name="Calculation 11 2 4 3 3" xfId="34051"/>
    <cellStyle name="Calculation 11 2 4 4" xfId="18356"/>
    <cellStyle name="Calculation 11 2 4 4 2" xfId="39543"/>
    <cellStyle name="Calculation 11 2 4 5" xfId="28726"/>
    <cellStyle name="Calculation 11 2 4_Table 2A-1_EFT (Annual)" xfId="6492"/>
    <cellStyle name="Calculation 11 2 5" xfId="4105"/>
    <cellStyle name="Calculation 11 2 5 2" xfId="12429"/>
    <cellStyle name="Calculation 11 2 5 2 2" xfId="24451"/>
    <cellStyle name="Calculation 11 2 5 2 2 2" xfId="45637"/>
    <cellStyle name="Calculation 11 2 5 2 3" xfId="35033"/>
    <cellStyle name="Calculation 11 2 5 3" xfId="19338"/>
    <cellStyle name="Calculation 11 2 5 3 2" xfId="40525"/>
    <cellStyle name="Calculation 11 2 5 4" xfId="29793"/>
    <cellStyle name="Calculation 11 2 5_Table 2A-1_EFT (Annual)" xfId="14879"/>
    <cellStyle name="Calculation 11 2 6" xfId="9768"/>
    <cellStyle name="Calculation 11 2 6 2" xfId="21905"/>
    <cellStyle name="Calculation 11 2 6 2 2" xfId="43091"/>
    <cellStyle name="Calculation 11 2 6 3" xfId="32487"/>
    <cellStyle name="Calculation 11 2 7" xfId="16792"/>
    <cellStyle name="Calculation 11 2 7 2" xfId="37979"/>
    <cellStyle name="Calculation 11 2 8" xfId="27050"/>
    <cellStyle name="Calculation 11 2_Table 2A-1_EFT (Annual)" xfId="2895"/>
    <cellStyle name="Calculation 11 3" xfId="373"/>
    <cellStyle name="Calculation 11 3 2" xfId="1356"/>
    <cellStyle name="Calculation 11 3 2 2" xfId="2626"/>
    <cellStyle name="Calculation 11 3 2 2 2" xfId="6187"/>
    <cellStyle name="Calculation 11 3 2 2 2 2" xfId="14381"/>
    <cellStyle name="Calculation 11 3 2 2 2 2 2" xfId="26353"/>
    <cellStyle name="Calculation 11 3 2 2 2 2 2 2" xfId="47539"/>
    <cellStyle name="Calculation 11 3 2 2 2 2 3" xfId="36935"/>
    <cellStyle name="Calculation 11 3 2 2 2 3" xfId="21240"/>
    <cellStyle name="Calculation 11 3 2 2 2 3 2" xfId="42427"/>
    <cellStyle name="Calculation 11 3 2 2 2 4" xfId="31843"/>
    <cellStyle name="Calculation 11 3 2 2 2_Table 2A-1_EFT (Annual)" xfId="14878"/>
    <cellStyle name="Calculation 11 3 2 2 3" xfId="11723"/>
    <cellStyle name="Calculation 11 3 2 2 3 2" xfId="23807"/>
    <cellStyle name="Calculation 11 3 2 2 3 2 2" xfId="44993"/>
    <cellStyle name="Calculation 11 3 2 2 3 3" xfId="34389"/>
    <cellStyle name="Calculation 11 3 2 2 4" xfId="18694"/>
    <cellStyle name="Calculation 11 3 2 2 4 2" xfId="39881"/>
    <cellStyle name="Calculation 11 3 2 2 5" xfId="29100"/>
    <cellStyle name="Calculation 11 3 2 2_Table 2A-1_EFT (Annual)" xfId="6490"/>
    <cellStyle name="Calculation 11 3 2 3" xfId="4917"/>
    <cellStyle name="Calculation 11 3 2 3 2" xfId="13177"/>
    <cellStyle name="Calculation 11 3 2 3 2 2" xfId="25183"/>
    <cellStyle name="Calculation 11 3 2 3 2 2 2" xfId="46369"/>
    <cellStyle name="Calculation 11 3 2 3 2 3" xfId="35765"/>
    <cellStyle name="Calculation 11 3 2 3 3" xfId="20070"/>
    <cellStyle name="Calculation 11 3 2 3 3 2" xfId="41257"/>
    <cellStyle name="Calculation 11 3 2 3 4" xfId="30574"/>
    <cellStyle name="Calculation 11 3 2 3_Table 2A-1_EFT (Annual)" xfId="14877"/>
    <cellStyle name="Calculation 11 3 2 4" xfId="10521"/>
    <cellStyle name="Calculation 11 3 2 4 2" xfId="22637"/>
    <cellStyle name="Calculation 11 3 2 4 2 2" xfId="43823"/>
    <cellStyle name="Calculation 11 3 2 4 3" xfId="33219"/>
    <cellStyle name="Calculation 11 3 2 5" xfId="17524"/>
    <cellStyle name="Calculation 11 3 2 5 2" xfId="38711"/>
    <cellStyle name="Calculation 11 3 2 6" xfId="27831"/>
    <cellStyle name="Calculation 11 3 2_Table 2A-1_EFT (Annual)" xfId="6484"/>
    <cellStyle name="Calculation 11 3 3" xfId="912"/>
    <cellStyle name="Calculation 11 3 3 2" xfId="4473"/>
    <cellStyle name="Calculation 11 3 3 2 2" xfId="12735"/>
    <cellStyle name="Calculation 11 3 3 2 2 2" xfId="24745"/>
    <cellStyle name="Calculation 11 3 3 2 2 2 2" xfId="45931"/>
    <cellStyle name="Calculation 11 3 3 2 2 3" xfId="35327"/>
    <cellStyle name="Calculation 11 3 3 2 3" xfId="19632"/>
    <cellStyle name="Calculation 11 3 3 2 3 2" xfId="40819"/>
    <cellStyle name="Calculation 11 3 3 2 4" xfId="30130"/>
    <cellStyle name="Calculation 11 3 3 2_Table 2A-1_EFT (Annual)" xfId="14876"/>
    <cellStyle name="Calculation 11 3 3 3" xfId="10082"/>
    <cellStyle name="Calculation 11 3 3 3 2" xfId="22199"/>
    <cellStyle name="Calculation 11 3 3 3 2 2" xfId="43385"/>
    <cellStyle name="Calculation 11 3 3 3 3" xfId="32781"/>
    <cellStyle name="Calculation 11 3 3 4" xfId="17086"/>
    <cellStyle name="Calculation 11 3 3 4 2" xfId="38273"/>
    <cellStyle name="Calculation 11 3 3 5" xfId="27387"/>
    <cellStyle name="Calculation 11 3 3_Table 2A-1_EFT (Annual)" xfId="6488"/>
    <cellStyle name="Calculation 11 3 4" xfId="2095"/>
    <cellStyle name="Calculation 11 3 4 2" xfId="5656"/>
    <cellStyle name="Calculation 11 3 4 2 2" xfId="13871"/>
    <cellStyle name="Calculation 11 3 4 2 2 2" xfId="25859"/>
    <cellStyle name="Calculation 11 3 4 2 2 2 2" xfId="47045"/>
    <cellStyle name="Calculation 11 3 4 2 2 3" xfId="36441"/>
    <cellStyle name="Calculation 11 3 4 2 3" xfId="20746"/>
    <cellStyle name="Calculation 11 3 4 2 3 2" xfId="41933"/>
    <cellStyle name="Calculation 11 3 4 2 4" xfId="31313"/>
    <cellStyle name="Calculation 11 3 4 2_Table 2A-1_EFT (Annual)" xfId="14875"/>
    <cellStyle name="Calculation 11 3 4 3" xfId="11215"/>
    <cellStyle name="Calculation 11 3 4 3 2" xfId="23313"/>
    <cellStyle name="Calculation 11 3 4 3 2 2" xfId="44499"/>
    <cellStyle name="Calculation 11 3 4 3 3" xfId="33895"/>
    <cellStyle name="Calculation 11 3 4 4" xfId="18200"/>
    <cellStyle name="Calculation 11 3 4 4 2" xfId="39387"/>
    <cellStyle name="Calculation 11 3 4 5" xfId="28570"/>
    <cellStyle name="Calculation 11 3 4_Table 2A-1_EFT (Annual)" xfId="6489"/>
    <cellStyle name="Calculation 11 3 5" xfId="3943"/>
    <cellStyle name="Calculation 11 3 5 2" xfId="12271"/>
    <cellStyle name="Calculation 11 3 5 2 2" xfId="24295"/>
    <cellStyle name="Calculation 11 3 5 2 2 2" xfId="45481"/>
    <cellStyle name="Calculation 11 3 5 2 3" xfId="34877"/>
    <cellStyle name="Calculation 11 3 5 3" xfId="19182"/>
    <cellStyle name="Calculation 11 3 5 3 2" xfId="40369"/>
    <cellStyle name="Calculation 11 3 5 4" xfId="29631"/>
    <cellStyle name="Calculation 11 3 5_Table 2A-1_EFT (Annual)" xfId="14874"/>
    <cellStyle name="Calculation 11 3 6" xfId="9608"/>
    <cellStyle name="Calculation 11 3 6 2" xfId="21749"/>
    <cellStyle name="Calculation 11 3 6 2 2" xfId="42935"/>
    <cellStyle name="Calculation 11 3 6 3" xfId="32331"/>
    <cellStyle name="Calculation 11 3 7" xfId="16636"/>
    <cellStyle name="Calculation 11 3 7 2" xfId="37823"/>
    <cellStyle name="Calculation 11 3 8" xfId="26888"/>
    <cellStyle name="Calculation 11 3_Table 2A-1_EFT (Annual)" xfId="2896"/>
    <cellStyle name="Calculation 11 4" xfId="1190"/>
    <cellStyle name="Calculation 11 4 2" xfId="2460"/>
    <cellStyle name="Calculation 11 4 2 2" xfId="6021"/>
    <cellStyle name="Calculation 11 4 2 2 2" xfId="14215"/>
    <cellStyle name="Calculation 11 4 2 2 2 2" xfId="26187"/>
    <cellStyle name="Calculation 11 4 2 2 2 2 2" xfId="47373"/>
    <cellStyle name="Calculation 11 4 2 2 2 3" xfId="36769"/>
    <cellStyle name="Calculation 11 4 2 2 3" xfId="21074"/>
    <cellStyle name="Calculation 11 4 2 2 3 2" xfId="42261"/>
    <cellStyle name="Calculation 11 4 2 2 4" xfId="31677"/>
    <cellStyle name="Calculation 11 4 2 2_Table 2A-1_EFT (Annual)" xfId="14873"/>
    <cellStyle name="Calculation 11 4 2 3" xfId="11557"/>
    <cellStyle name="Calculation 11 4 2 3 2" xfId="23641"/>
    <cellStyle name="Calculation 11 4 2 3 2 2" xfId="44827"/>
    <cellStyle name="Calculation 11 4 2 3 3" xfId="34223"/>
    <cellStyle name="Calculation 11 4 2 4" xfId="18528"/>
    <cellStyle name="Calculation 11 4 2 4 2" xfId="39715"/>
    <cellStyle name="Calculation 11 4 2 5" xfId="28934"/>
    <cellStyle name="Calculation 11 4 2_Table 2A-1_EFT (Annual)" xfId="6485"/>
    <cellStyle name="Calculation 11 4 3" xfId="4751"/>
    <cellStyle name="Calculation 11 4 3 2" xfId="13011"/>
    <cellStyle name="Calculation 11 4 3 2 2" xfId="25017"/>
    <cellStyle name="Calculation 11 4 3 2 2 2" xfId="46203"/>
    <cellStyle name="Calculation 11 4 3 2 3" xfId="35599"/>
    <cellStyle name="Calculation 11 4 3 3" xfId="19904"/>
    <cellStyle name="Calculation 11 4 3 3 2" xfId="41091"/>
    <cellStyle name="Calculation 11 4 3 4" xfId="30408"/>
    <cellStyle name="Calculation 11 4 3_Table 2A-1_EFT (Annual)" xfId="14872"/>
    <cellStyle name="Calculation 11 4 4" xfId="10355"/>
    <cellStyle name="Calculation 11 4 4 2" xfId="22471"/>
    <cellStyle name="Calculation 11 4 4 2 2" xfId="43657"/>
    <cellStyle name="Calculation 11 4 4 3" xfId="33053"/>
    <cellStyle name="Calculation 11 4 5" xfId="17358"/>
    <cellStyle name="Calculation 11 4 5 2" xfId="38545"/>
    <cellStyle name="Calculation 11 4 6" xfId="27665"/>
    <cellStyle name="Calculation 11 4_Table 2A-1_EFT (Annual)" xfId="6487"/>
    <cellStyle name="Calculation 11 5" xfId="753"/>
    <cellStyle name="Calculation 11 5 2" xfId="4314"/>
    <cellStyle name="Calculation 11 5 2 2" xfId="12594"/>
    <cellStyle name="Calculation 11 5 2 2 2" xfId="24611"/>
    <cellStyle name="Calculation 11 5 2 2 2 2" xfId="45797"/>
    <cellStyle name="Calculation 11 5 2 2 3" xfId="35193"/>
    <cellStyle name="Calculation 11 5 2 3" xfId="19498"/>
    <cellStyle name="Calculation 11 5 2 3 2" xfId="40685"/>
    <cellStyle name="Calculation 11 5 2 4" xfId="29971"/>
    <cellStyle name="Calculation 11 5 2_Table 2A-1_EFT (Annual)" xfId="14871"/>
    <cellStyle name="Calculation 11 5 3" xfId="9942"/>
    <cellStyle name="Calculation 11 5 3 2" xfId="22065"/>
    <cellStyle name="Calculation 11 5 3 2 2" xfId="43251"/>
    <cellStyle name="Calculation 11 5 3 3" xfId="32647"/>
    <cellStyle name="Calculation 11 5 4" xfId="16952"/>
    <cellStyle name="Calculation 11 5 4 2" xfId="38139"/>
    <cellStyle name="Calculation 11 5 5" xfId="27228"/>
    <cellStyle name="Calculation 11 5_Table 2A-1_EFT (Annual)" xfId="6486"/>
    <cellStyle name="Calculation 11 6" xfId="1853"/>
    <cellStyle name="Calculation 11 6 2" xfId="5414"/>
    <cellStyle name="Calculation 11 6 2 2" xfId="13629"/>
    <cellStyle name="Calculation 11 6 2 2 2" xfId="25617"/>
    <cellStyle name="Calculation 11 6 2 2 2 2" xfId="46803"/>
    <cellStyle name="Calculation 11 6 2 2 3" xfId="36199"/>
    <cellStyle name="Calculation 11 6 2 3" xfId="20504"/>
    <cellStyle name="Calculation 11 6 2 3 2" xfId="41691"/>
    <cellStyle name="Calculation 11 6 2 4" xfId="31071"/>
    <cellStyle name="Calculation 11 6 2_Table 2A-1_EFT (Annual)" xfId="14870"/>
    <cellStyle name="Calculation 11 6 3" xfId="10973"/>
    <cellStyle name="Calculation 11 6 3 2" xfId="23071"/>
    <cellStyle name="Calculation 11 6 3 2 2" xfId="44257"/>
    <cellStyle name="Calculation 11 6 3 3" xfId="33653"/>
    <cellStyle name="Calculation 11 6 4" xfId="17958"/>
    <cellStyle name="Calculation 11 6 4 2" xfId="39145"/>
    <cellStyle name="Calculation 11 6 5" xfId="28328"/>
    <cellStyle name="Calculation 11 6_Table 2A-1_EFT (Annual)" xfId="6479"/>
    <cellStyle name="Calculation 11 7" xfId="3731"/>
    <cellStyle name="Calculation 11 7 2" xfId="12099"/>
    <cellStyle name="Calculation 11 7 2 2" xfId="24129"/>
    <cellStyle name="Calculation 11 7 2 2 2" xfId="45315"/>
    <cellStyle name="Calculation 11 7 2 3" xfId="34711"/>
    <cellStyle name="Calculation 11 7 3" xfId="19016"/>
    <cellStyle name="Calculation 11 7 3 2" xfId="40203"/>
    <cellStyle name="Calculation 11 7 4" xfId="29440"/>
    <cellStyle name="Calculation 11 7_Table 2A-1_EFT (Annual)" xfId="14869"/>
    <cellStyle name="Calculation 11 8" xfId="9418"/>
    <cellStyle name="Calculation 11 8 2" xfId="21583"/>
    <cellStyle name="Calculation 11 8 2 2" xfId="42769"/>
    <cellStyle name="Calculation 11 8 3" xfId="32165"/>
    <cellStyle name="Calculation 11 9" xfId="16470"/>
    <cellStyle name="Calculation 11 9 2" xfId="37657"/>
    <cellStyle name="Calculation 11_Table 2A-1_EFT (Annual)" xfId="2894"/>
    <cellStyle name="Calculation 12" xfId="118"/>
    <cellStyle name="Calculation 12 10" xfId="26673"/>
    <cellStyle name="Calculation 12 2" xfId="511"/>
    <cellStyle name="Calculation 12 2 2" xfId="1488"/>
    <cellStyle name="Calculation 12 2 2 2" xfId="2758"/>
    <cellStyle name="Calculation 12 2 2 2 2" xfId="6319"/>
    <cellStyle name="Calculation 12 2 2 2 2 2" xfId="14513"/>
    <cellStyle name="Calculation 12 2 2 2 2 2 2" xfId="26485"/>
    <cellStyle name="Calculation 12 2 2 2 2 2 2 2" xfId="47671"/>
    <cellStyle name="Calculation 12 2 2 2 2 2 3" xfId="37067"/>
    <cellStyle name="Calculation 12 2 2 2 2 3" xfId="21372"/>
    <cellStyle name="Calculation 12 2 2 2 2 3 2" xfId="42559"/>
    <cellStyle name="Calculation 12 2 2 2 2 4" xfId="31975"/>
    <cellStyle name="Calculation 12 2 2 2 2_Table 2A-1_EFT (Annual)" xfId="14868"/>
    <cellStyle name="Calculation 12 2 2 2 3" xfId="11855"/>
    <cellStyle name="Calculation 12 2 2 2 3 2" xfId="23939"/>
    <cellStyle name="Calculation 12 2 2 2 3 2 2" xfId="45125"/>
    <cellStyle name="Calculation 12 2 2 2 3 3" xfId="34521"/>
    <cellStyle name="Calculation 12 2 2 2 4" xfId="18826"/>
    <cellStyle name="Calculation 12 2 2 2 4 2" xfId="40013"/>
    <cellStyle name="Calculation 12 2 2 2 5" xfId="29232"/>
    <cellStyle name="Calculation 12 2 2 2_Table 2A-1_EFT (Annual)" xfId="6483"/>
    <cellStyle name="Calculation 12 2 2 3" xfId="5049"/>
    <cellStyle name="Calculation 12 2 2 3 2" xfId="13309"/>
    <cellStyle name="Calculation 12 2 2 3 2 2" xfId="25315"/>
    <cellStyle name="Calculation 12 2 2 3 2 2 2" xfId="46501"/>
    <cellStyle name="Calculation 12 2 2 3 2 3" xfId="35897"/>
    <cellStyle name="Calculation 12 2 2 3 3" xfId="20202"/>
    <cellStyle name="Calculation 12 2 2 3 3 2" xfId="41389"/>
    <cellStyle name="Calculation 12 2 2 3 4" xfId="30706"/>
    <cellStyle name="Calculation 12 2 2 3_Table 2A-1_EFT (Annual)" xfId="14867"/>
    <cellStyle name="Calculation 12 2 2 4" xfId="10653"/>
    <cellStyle name="Calculation 12 2 2 4 2" xfId="22769"/>
    <cellStyle name="Calculation 12 2 2 4 2 2" xfId="43955"/>
    <cellStyle name="Calculation 12 2 2 4 3" xfId="33351"/>
    <cellStyle name="Calculation 12 2 2 5" xfId="17656"/>
    <cellStyle name="Calculation 12 2 2 5 2" xfId="38843"/>
    <cellStyle name="Calculation 12 2 2 6" xfId="27963"/>
    <cellStyle name="Calculation 12 2 2_Table 2A-1_EFT (Annual)" xfId="6480"/>
    <cellStyle name="Calculation 12 2 3" xfId="1022"/>
    <cellStyle name="Calculation 12 2 3 2" xfId="4583"/>
    <cellStyle name="Calculation 12 2 3 2 2" xfId="12843"/>
    <cellStyle name="Calculation 12 2 3 2 2 2" xfId="24849"/>
    <cellStyle name="Calculation 12 2 3 2 2 2 2" xfId="46035"/>
    <cellStyle name="Calculation 12 2 3 2 2 3" xfId="35431"/>
    <cellStyle name="Calculation 12 2 3 2 3" xfId="19736"/>
    <cellStyle name="Calculation 12 2 3 2 3 2" xfId="40923"/>
    <cellStyle name="Calculation 12 2 3 2 4" xfId="30240"/>
    <cellStyle name="Calculation 12 2 3 2_Table 2A-1_EFT (Annual)" xfId="14866"/>
    <cellStyle name="Calculation 12 2 3 3" xfId="10187"/>
    <cellStyle name="Calculation 12 2 3 3 2" xfId="22303"/>
    <cellStyle name="Calculation 12 2 3 3 2 2" xfId="43489"/>
    <cellStyle name="Calculation 12 2 3 3 3" xfId="32885"/>
    <cellStyle name="Calculation 12 2 3 4" xfId="17190"/>
    <cellStyle name="Calculation 12 2 3 4 2" xfId="38377"/>
    <cellStyle name="Calculation 12 2 3 5" xfId="27497"/>
    <cellStyle name="Calculation 12 2 3_Table 2A-1_EFT (Annual)" xfId="6481"/>
    <cellStyle name="Calculation 12 2 4" xfId="2227"/>
    <cellStyle name="Calculation 12 2 4 2" xfId="5788"/>
    <cellStyle name="Calculation 12 2 4 2 2" xfId="14003"/>
    <cellStyle name="Calculation 12 2 4 2 2 2" xfId="25991"/>
    <cellStyle name="Calculation 12 2 4 2 2 2 2" xfId="47177"/>
    <cellStyle name="Calculation 12 2 4 2 2 3" xfId="36573"/>
    <cellStyle name="Calculation 12 2 4 2 3" xfId="20878"/>
    <cellStyle name="Calculation 12 2 4 2 3 2" xfId="42065"/>
    <cellStyle name="Calculation 12 2 4 2 4" xfId="31445"/>
    <cellStyle name="Calculation 12 2 4 2_Table 2A-1_EFT (Annual)" xfId="14865"/>
    <cellStyle name="Calculation 12 2 4 3" xfId="11347"/>
    <cellStyle name="Calculation 12 2 4 3 2" xfId="23445"/>
    <cellStyle name="Calculation 12 2 4 3 2 2" xfId="44631"/>
    <cellStyle name="Calculation 12 2 4 3 3" xfId="34027"/>
    <cellStyle name="Calculation 12 2 4 4" xfId="18332"/>
    <cellStyle name="Calculation 12 2 4 4 2" xfId="39519"/>
    <cellStyle name="Calculation 12 2 4 5" xfId="28702"/>
    <cellStyle name="Calculation 12 2 4_Table 2A-1_EFT (Annual)" xfId="6482"/>
    <cellStyle name="Calculation 12 2 5" xfId="4081"/>
    <cellStyle name="Calculation 12 2 5 2" xfId="12405"/>
    <cellStyle name="Calculation 12 2 5 2 2" xfId="24427"/>
    <cellStyle name="Calculation 12 2 5 2 2 2" xfId="45613"/>
    <cellStyle name="Calculation 12 2 5 2 3" xfId="35009"/>
    <cellStyle name="Calculation 12 2 5 3" xfId="19314"/>
    <cellStyle name="Calculation 12 2 5 3 2" xfId="40501"/>
    <cellStyle name="Calculation 12 2 5 4" xfId="29769"/>
    <cellStyle name="Calculation 12 2 5_Table 2A-1_EFT (Annual)" xfId="14864"/>
    <cellStyle name="Calculation 12 2 6" xfId="9744"/>
    <cellStyle name="Calculation 12 2 6 2" xfId="21881"/>
    <cellStyle name="Calculation 12 2 6 2 2" xfId="43067"/>
    <cellStyle name="Calculation 12 2 6 3" xfId="32463"/>
    <cellStyle name="Calculation 12 2 7" xfId="16768"/>
    <cellStyle name="Calculation 12 2 7 2" xfId="37955"/>
    <cellStyle name="Calculation 12 2 8" xfId="27026"/>
    <cellStyle name="Calculation 12 2_Table 2A-1_EFT (Annual)" xfId="2898"/>
    <cellStyle name="Calculation 12 3" xfId="349"/>
    <cellStyle name="Calculation 12 3 2" xfId="1332"/>
    <cellStyle name="Calculation 12 3 2 2" xfId="2602"/>
    <cellStyle name="Calculation 12 3 2 2 2" xfId="6163"/>
    <cellStyle name="Calculation 12 3 2 2 2 2" xfId="14357"/>
    <cellStyle name="Calculation 12 3 2 2 2 2 2" xfId="26329"/>
    <cellStyle name="Calculation 12 3 2 2 2 2 2 2" xfId="47515"/>
    <cellStyle name="Calculation 12 3 2 2 2 2 3" xfId="36911"/>
    <cellStyle name="Calculation 12 3 2 2 2 3" xfId="21216"/>
    <cellStyle name="Calculation 12 3 2 2 2 3 2" xfId="42403"/>
    <cellStyle name="Calculation 12 3 2 2 2 4" xfId="31819"/>
    <cellStyle name="Calculation 12 3 2 2 2_Table 2A-1_EFT (Annual)" xfId="14863"/>
    <cellStyle name="Calculation 12 3 2 2 3" xfId="11699"/>
    <cellStyle name="Calculation 12 3 2 2 3 2" xfId="23783"/>
    <cellStyle name="Calculation 12 3 2 2 3 2 2" xfId="44969"/>
    <cellStyle name="Calculation 12 3 2 2 3 3" xfId="34365"/>
    <cellStyle name="Calculation 12 3 2 2 4" xfId="18670"/>
    <cellStyle name="Calculation 12 3 2 2 4 2" xfId="39857"/>
    <cellStyle name="Calculation 12 3 2 2 5" xfId="29076"/>
    <cellStyle name="Calculation 12 3 2 2_Table 2A-1_EFT (Annual)" xfId="6478"/>
    <cellStyle name="Calculation 12 3 2 3" xfId="4893"/>
    <cellStyle name="Calculation 12 3 2 3 2" xfId="13153"/>
    <cellStyle name="Calculation 12 3 2 3 2 2" xfId="25159"/>
    <cellStyle name="Calculation 12 3 2 3 2 2 2" xfId="46345"/>
    <cellStyle name="Calculation 12 3 2 3 2 3" xfId="35741"/>
    <cellStyle name="Calculation 12 3 2 3 3" xfId="20046"/>
    <cellStyle name="Calculation 12 3 2 3 3 2" xfId="41233"/>
    <cellStyle name="Calculation 12 3 2 3 4" xfId="30550"/>
    <cellStyle name="Calculation 12 3 2 3_Table 2A-1_EFT (Annual)" xfId="14862"/>
    <cellStyle name="Calculation 12 3 2 4" xfId="10497"/>
    <cellStyle name="Calculation 12 3 2 4 2" xfId="22613"/>
    <cellStyle name="Calculation 12 3 2 4 2 2" xfId="43799"/>
    <cellStyle name="Calculation 12 3 2 4 3" xfId="33195"/>
    <cellStyle name="Calculation 12 3 2 5" xfId="17500"/>
    <cellStyle name="Calculation 12 3 2 5 2" xfId="38687"/>
    <cellStyle name="Calculation 12 3 2 6" xfId="27807"/>
    <cellStyle name="Calculation 12 3 2_Table 2A-1_EFT (Annual)" xfId="6477"/>
    <cellStyle name="Calculation 12 3 3" xfId="890"/>
    <cellStyle name="Calculation 12 3 3 2" xfId="4451"/>
    <cellStyle name="Calculation 12 3 3 2 2" xfId="12713"/>
    <cellStyle name="Calculation 12 3 3 2 2 2" xfId="24723"/>
    <cellStyle name="Calculation 12 3 3 2 2 2 2" xfId="45909"/>
    <cellStyle name="Calculation 12 3 3 2 2 3" xfId="35305"/>
    <cellStyle name="Calculation 12 3 3 2 3" xfId="19610"/>
    <cellStyle name="Calculation 12 3 3 2 3 2" xfId="40797"/>
    <cellStyle name="Calculation 12 3 3 2 4" xfId="30108"/>
    <cellStyle name="Calculation 12 3 3 2_Table 2A-1_EFT (Annual)" xfId="14861"/>
    <cellStyle name="Calculation 12 3 3 3" xfId="10060"/>
    <cellStyle name="Calculation 12 3 3 3 2" xfId="22177"/>
    <cellStyle name="Calculation 12 3 3 3 2 2" xfId="43363"/>
    <cellStyle name="Calculation 12 3 3 3 3" xfId="32759"/>
    <cellStyle name="Calculation 12 3 3 4" xfId="17064"/>
    <cellStyle name="Calculation 12 3 3 4 2" xfId="38251"/>
    <cellStyle name="Calculation 12 3 3 5" xfId="27365"/>
    <cellStyle name="Calculation 12 3 3_Table 2A-1_EFT (Annual)" xfId="6474"/>
    <cellStyle name="Calculation 12 3 4" xfId="2071"/>
    <cellStyle name="Calculation 12 3 4 2" xfId="5632"/>
    <cellStyle name="Calculation 12 3 4 2 2" xfId="13847"/>
    <cellStyle name="Calculation 12 3 4 2 2 2" xfId="25835"/>
    <cellStyle name="Calculation 12 3 4 2 2 2 2" xfId="47021"/>
    <cellStyle name="Calculation 12 3 4 2 2 3" xfId="36417"/>
    <cellStyle name="Calculation 12 3 4 2 3" xfId="20722"/>
    <cellStyle name="Calculation 12 3 4 2 3 2" xfId="41909"/>
    <cellStyle name="Calculation 12 3 4 2 4" xfId="31289"/>
    <cellStyle name="Calculation 12 3 4 2_Table 2A-1_EFT (Annual)" xfId="14860"/>
    <cellStyle name="Calculation 12 3 4 3" xfId="11191"/>
    <cellStyle name="Calculation 12 3 4 3 2" xfId="23289"/>
    <cellStyle name="Calculation 12 3 4 3 2 2" xfId="44475"/>
    <cellStyle name="Calculation 12 3 4 3 3" xfId="33871"/>
    <cellStyle name="Calculation 12 3 4 4" xfId="18176"/>
    <cellStyle name="Calculation 12 3 4 4 2" xfId="39363"/>
    <cellStyle name="Calculation 12 3 4 5" xfId="28546"/>
    <cellStyle name="Calculation 12 3 4_Table 2A-1_EFT (Annual)" xfId="6476"/>
    <cellStyle name="Calculation 12 3 5" xfId="3919"/>
    <cellStyle name="Calculation 12 3 5 2" xfId="12247"/>
    <cellStyle name="Calculation 12 3 5 2 2" xfId="24271"/>
    <cellStyle name="Calculation 12 3 5 2 2 2" xfId="45457"/>
    <cellStyle name="Calculation 12 3 5 2 3" xfId="34853"/>
    <cellStyle name="Calculation 12 3 5 3" xfId="19158"/>
    <cellStyle name="Calculation 12 3 5 3 2" xfId="40345"/>
    <cellStyle name="Calculation 12 3 5 4" xfId="29607"/>
    <cellStyle name="Calculation 12 3 5_Table 2A-1_EFT (Annual)" xfId="14859"/>
    <cellStyle name="Calculation 12 3 6" xfId="9584"/>
    <cellStyle name="Calculation 12 3 6 2" xfId="21725"/>
    <cellStyle name="Calculation 12 3 6 2 2" xfId="42911"/>
    <cellStyle name="Calculation 12 3 6 3" xfId="32307"/>
    <cellStyle name="Calculation 12 3 7" xfId="16612"/>
    <cellStyle name="Calculation 12 3 7 2" xfId="37799"/>
    <cellStyle name="Calculation 12 3 8" xfId="26864"/>
    <cellStyle name="Calculation 12 3_Table 2A-1_EFT (Annual)" xfId="2899"/>
    <cellStyle name="Calculation 12 4" xfId="1166"/>
    <cellStyle name="Calculation 12 4 2" xfId="2436"/>
    <cellStyle name="Calculation 12 4 2 2" xfId="5997"/>
    <cellStyle name="Calculation 12 4 2 2 2" xfId="14191"/>
    <cellStyle name="Calculation 12 4 2 2 2 2" xfId="26163"/>
    <cellStyle name="Calculation 12 4 2 2 2 2 2" xfId="47349"/>
    <cellStyle name="Calculation 12 4 2 2 2 3" xfId="36745"/>
    <cellStyle name="Calculation 12 4 2 2 3" xfId="21050"/>
    <cellStyle name="Calculation 12 4 2 2 3 2" xfId="42237"/>
    <cellStyle name="Calculation 12 4 2 2 4" xfId="31653"/>
    <cellStyle name="Calculation 12 4 2 2_Table 2A-1_EFT (Annual)" xfId="14858"/>
    <cellStyle name="Calculation 12 4 2 3" xfId="11533"/>
    <cellStyle name="Calculation 12 4 2 3 2" xfId="23617"/>
    <cellStyle name="Calculation 12 4 2 3 2 2" xfId="44803"/>
    <cellStyle name="Calculation 12 4 2 3 3" xfId="34199"/>
    <cellStyle name="Calculation 12 4 2 4" xfId="18504"/>
    <cellStyle name="Calculation 12 4 2 4 2" xfId="39691"/>
    <cellStyle name="Calculation 12 4 2 5" xfId="28910"/>
    <cellStyle name="Calculation 12 4 2_Table 2A-1_EFT (Annual)" xfId="6469"/>
    <cellStyle name="Calculation 12 4 3" xfId="4727"/>
    <cellStyle name="Calculation 12 4 3 2" xfId="12987"/>
    <cellStyle name="Calculation 12 4 3 2 2" xfId="24993"/>
    <cellStyle name="Calculation 12 4 3 2 2 2" xfId="46179"/>
    <cellStyle name="Calculation 12 4 3 2 3" xfId="35575"/>
    <cellStyle name="Calculation 12 4 3 3" xfId="19880"/>
    <cellStyle name="Calculation 12 4 3 3 2" xfId="41067"/>
    <cellStyle name="Calculation 12 4 3 4" xfId="30384"/>
    <cellStyle name="Calculation 12 4 3_Table 2A-1_EFT (Annual)" xfId="14857"/>
    <cellStyle name="Calculation 12 4 4" xfId="10331"/>
    <cellStyle name="Calculation 12 4 4 2" xfId="22447"/>
    <cellStyle name="Calculation 12 4 4 2 2" xfId="43633"/>
    <cellStyle name="Calculation 12 4 4 3" xfId="33029"/>
    <cellStyle name="Calculation 12 4 5" xfId="17334"/>
    <cellStyle name="Calculation 12 4 5 2" xfId="38521"/>
    <cellStyle name="Calculation 12 4 6" xfId="27641"/>
    <cellStyle name="Calculation 12 4_Table 2A-1_EFT (Annual)" xfId="6475"/>
    <cellStyle name="Calculation 12 5" xfId="731"/>
    <cellStyle name="Calculation 12 5 2" xfId="4292"/>
    <cellStyle name="Calculation 12 5 2 2" xfId="12572"/>
    <cellStyle name="Calculation 12 5 2 2 2" xfId="24589"/>
    <cellStyle name="Calculation 12 5 2 2 2 2" xfId="45775"/>
    <cellStyle name="Calculation 12 5 2 2 3" xfId="35171"/>
    <cellStyle name="Calculation 12 5 2 3" xfId="19476"/>
    <cellStyle name="Calculation 12 5 2 3 2" xfId="40663"/>
    <cellStyle name="Calculation 12 5 2 4" xfId="29949"/>
    <cellStyle name="Calculation 12 5 2_Table 2A-1_EFT (Annual)" xfId="14856"/>
    <cellStyle name="Calculation 12 5 3" xfId="9920"/>
    <cellStyle name="Calculation 12 5 3 2" xfId="22043"/>
    <cellStyle name="Calculation 12 5 3 2 2" xfId="43229"/>
    <cellStyle name="Calculation 12 5 3 3" xfId="32625"/>
    <cellStyle name="Calculation 12 5 4" xfId="16930"/>
    <cellStyle name="Calculation 12 5 4 2" xfId="38117"/>
    <cellStyle name="Calculation 12 5 5" xfId="27206"/>
    <cellStyle name="Calculation 12 5_Table 2A-1_EFT (Annual)" xfId="6473"/>
    <cellStyle name="Calculation 12 6" xfId="1865"/>
    <cellStyle name="Calculation 12 6 2" xfId="5426"/>
    <cellStyle name="Calculation 12 6 2 2" xfId="13641"/>
    <cellStyle name="Calculation 12 6 2 2 2" xfId="25629"/>
    <cellStyle name="Calculation 12 6 2 2 2 2" xfId="46815"/>
    <cellStyle name="Calculation 12 6 2 2 3" xfId="36211"/>
    <cellStyle name="Calculation 12 6 2 3" xfId="20516"/>
    <cellStyle name="Calculation 12 6 2 3 2" xfId="41703"/>
    <cellStyle name="Calculation 12 6 2 4" xfId="31083"/>
    <cellStyle name="Calculation 12 6 2_Table 2A-1_EFT (Annual)" xfId="14855"/>
    <cellStyle name="Calculation 12 6 3" xfId="10985"/>
    <cellStyle name="Calculation 12 6 3 2" xfId="23083"/>
    <cellStyle name="Calculation 12 6 3 2 2" xfId="44269"/>
    <cellStyle name="Calculation 12 6 3 3" xfId="33665"/>
    <cellStyle name="Calculation 12 6 4" xfId="17970"/>
    <cellStyle name="Calculation 12 6 4 2" xfId="39157"/>
    <cellStyle name="Calculation 12 6 5" xfId="28340"/>
    <cellStyle name="Calculation 12 6_Table 2A-1_EFT (Annual)" xfId="6472"/>
    <cellStyle name="Calculation 12 7" xfId="3707"/>
    <cellStyle name="Calculation 12 7 2" xfId="12075"/>
    <cellStyle name="Calculation 12 7 2 2" xfId="24105"/>
    <cellStyle name="Calculation 12 7 2 2 2" xfId="45291"/>
    <cellStyle name="Calculation 12 7 2 3" xfId="34687"/>
    <cellStyle name="Calculation 12 7 3" xfId="18992"/>
    <cellStyle name="Calculation 12 7 3 2" xfId="40179"/>
    <cellStyle name="Calculation 12 7 4" xfId="29416"/>
    <cellStyle name="Calculation 12 7_Table 2A-1_EFT (Annual)" xfId="14854"/>
    <cellStyle name="Calculation 12 8" xfId="9394"/>
    <cellStyle name="Calculation 12 8 2" xfId="21559"/>
    <cellStyle name="Calculation 12 8 2 2" xfId="42745"/>
    <cellStyle name="Calculation 12 8 3" xfId="32141"/>
    <cellStyle name="Calculation 12 9" xfId="16446"/>
    <cellStyle name="Calculation 12 9 2" xfId="37633"/>
    <cellStyle name="Calculation 12_Table 2A-1_EFT (Annual)" xfId="2897"/>
    <cellStyle name="Calculation 13" xfId="132"/>
    <cellStyle name="Calculation 13 10" xfId="26687"/>
    <cellStyle name="Calculation 13 2" xfId="525"/>
    <cellStyle name="Calculation 13 2 2" xfId="1502"/>
    <cellStyle name="Calculation 13 2 2 2" xfId="2772"/>
    <cellStyle name="Calculation 13 2 2 2 2" xfId="6333"/>
    <cellStyle name="Calculation 13 2 2 2 2 2" xfId="14527"/>
    <cellStyle name="Calculation 13 2 2 2 2 2 2" xfId="26499"/>
    <cellStyle name="Calculation 13 2 2 2 2 2 2 2" xfId="47685"/>
    <cellStyle name="Calculation 13 2 2 2 2 2 3" xfId="37081"/>
    <cellStyle name="Calculation 13 2 2 2 2 3" xfId="21386"/>
    <cellStyle name="Calculation 13 2 2 2 2 3 2" xfId="42573"/>
    <cellStyle name="Calculation 13 2 2 2 2 4" xfId="31989"/>
    <cellStyle name="Calculation 13 2 2 2 2_Table 2A-1_EFT (Annual)" xfId="14853"/>
    <cellStyle name="Calculation 13 2 2 2 3" xfId="11869"/>
    <cellStyle name="Calculation 13 2 2 2 3 2" xfId="23953"/>
    <cellStyle name="Calculation 13 2 2 2 3 2 2" xfId="45139"/>
    <cellStyle name="Calculation 13 2 2 2 3 3" xfId="34535"/>
    <cellStyle name="Calculation 13 2 2 2 4" xfId="18840"/>
    <cellStyle name="Calculation 13 2 2 2 4 2" xfId="40027"/>
    <cellStyle name="Calculation 13 2 2 2 5" xfId="29246"/>
    <cellStyle name="Calculation 13 2 2 2_Table 2A-1_EFT (Annual)" xfId="6471"/>
    <cellStyle name="Calculation 13 2 2 3" xfId="5063"/>
    <cellStyle name="Calculation 13 2 2 3 2" xfId="13323"/>
    <cellStyle name="Calculation 13 2 2 3 2 2" xfId="25329"/>
    <cellStyle name="Calculation 13 2 2 3 2 2 2" xfId="46515"/>
    <cellStyle name="Calculation 13 2 2 3 2 3" xfId="35911"/>
    <cellStyle name="Calculation 13 2 2 3 3" xfId="20216"/>
    <cellStyle name="Calculation 13 2 2 3 3 2" xfId="41403"/>
    <cellStyle name="Calculation 13 2 2 3 4" xfId="30720"/>
    <cellStyle name="Calculation 13 2 2 3_Table 2A-1_EFT (Annual)" xfId="14852"/>
    <cellStyle name="Calculation 13 2 2 4" xfId="10667"/>
    <cellStyle name="Calculation 13 2 2 4 2" xfId="22783"/>
    <cellStyle name="Calculation 13 2 2 4 2 2" xfId="43969"/>
    <cellStyle name="Calculation 13 2 2 4 3" xfId="33365"/>
    <cellStyle name="Calculation 13 2 2 5" xfId="17670"/>
    <cellStyle name="Calculation 13 2 2 5 2" xfId="38857"/>
    <cellStyle name="Calculation 13 2 2 6" xfId="27977"/>
    <cellStyle name="Calculation 13 2 2_Table 2A-1_EFT (Annual)" xfId="6470"/>
    <cellStyle name="Calculation 13 2 3" xfId="1035"/>
    <cellStyle name="Calculation 13 2 3 2" xfId="4596"/>
    <cellStyle name="Calculation 13 2 3 2 2" xfId="12856"/>
    <cellStyle name="Calculation 13 2 3 2 2 2" xfId="24862"/>
    <cellStyle name="Calculation 13 2 3 2 2 2 2" xfId="46048"/>
    <cellStyle name="Calculation 13 2 3 2 2 3" xfId="35444"/>
    <cellStyle name="Calculation 13 2 3 2 3" xfId="19749"/>
    <cellStyle name="Calculation 13 2 3 2 3 2" xfId="40936"/>
    <cellStyle name="Calculation 13 2 3 2 4" xfId="30253"/>
    <cellStyle name="Calculation 13 2 3 2_Table 2A-1_EFT (Annual)" xfId="14851"/>
    <cellStyle name="Calculation 13 2 3 3" xfId="10200"/>
    <cellStyle name="Calculation 13 2 3 3 2" xfId="22316"/>
    <cellStyle name="Calculation 13 2 3 3 2 2" xfId="43502"/>
    <cellStyle name="Calculation 13 2 3 3 3" xfId="32898"/>
    <cellStyle name="Calculation 13 2 3 4" xfId="17203"/>
    <cellStyle name="Calculation 13 2 3 4 2" xfId="38390"/>
    <cellStyle name="Calculation 13 2 3 5" xfId="27510"/>
    <cellStyle name="Calculation 13 2 3_Table 2A-1_EFT (Annual)" xfId="3645"/>
    <cellStyle name="Calculation 13 2 4" xfId="2241"/>
    <cellStyle name="Calculation 13 2 4 2" xfId="5802"/>
    <cellStyle name="Calculation 13 2 4 2 2" xfId="14017"/>
    <cellStyle name="Calculation 13 2 4 2 2 2" xfId="26005"/>
    <cellStyle name="Calculation 13 2 4 2 2 2 2" xfId="47191"/>
    <cellStyle name="Calculation 13 2 4 2 2 3" xfId="36587"/>
    <cellStyle name="Calculation 13 2 4 2 3" xfId="20892"/>
    <cellStyle name="Calculation 13 2 4 2 3 2" xfId="42079"/>
    <cellStyle name="Calculation 13 2 4 2 4" xfId="31459"/>
    <cellStyle name="Calculation 13 2 4 2_Table 2A-1_EFT (Annual)" xfId="14850"/>
    <cellStyle name="Calculation 13 2 4 3" xfId="11361"/>
    <cellStyle name="Calculation 13 2 4 3 2" xfId="23459"/>
    <cellStyle name="Calculation 13 2 4 3 2 2" xfId="44645"/>
    <cellStyle name="Calculation 13 2 4 3 3" xfId="34041"/>
    <cellStyle name="Calculation 13 2 4 4" xfId="18346"/>
    <cellStyle name="Calculation 13 2 4 4 2" xfId="39533"/>
    <cellStyle name="Calculation 13 2 4 5" xfId="28716"/>
    <cellStyle name="Calculation 13 2 4_Table 2A-1_EFT (Annual)" xfId="6468"/>
    <cellStyle name="Calculation 13 2 5" xfId="4095"/>
    <cellStyle name="Calculation 13 2 5 2" xfId="12419"/>
    <cellStyle name="Calculation 13 2 5 2 2" xfId="24441"/>
    <cellStyle name="Calculation 13 2 5 2 2 2" xfId="45627"/>
    <cellStyle name="Calculation 13 2 5 2 3" xfId="35023"/>
    <cellStyle name="Calculation 13 2 5 3" xfId="19328"/>
    <cellStyle name="Calculation 13 2 5 3 2" xfId="40515"/>
    <cellStyle name="Calculation 13 2 5 4" xfId="29783"/>
    <cellStyle name="Calculation 13 2 5_Table 2A-1_EFT (Annual)" xfId="14849"/>
    <cellStyle name="Calculation 13 2 6" xfId="9758"/>
    <cellStyle name="Calculation 13 2 6 2" xfId="21895"/>
    <cellStyle name="Calculation 13 2 6 2 2" xfId="43081"/>
    <cellStyle name="Calculation 13 2 6 3" xfId="32477"/>
    <cellStyle name="Calculation 13 2 7" xfId="16782"/>
    <cellStyle name="Calculation 13 2 7 2" xfId="37969"/>
    <cellStyle name="Calculation 13 2 8" xfId="27040"/>
    <cellStyle name="Calculation 13 2_Table 2A-1_EFT (Annual)" xfId="2901"/>
    <cellStyle name="Calculation 13 3" xfId="363"/>
    <cellStyle name="Calculation 13 3 2" xfId="1346"/>
    <cellStyle name="Calculation 13 3 2 2" xfId="2616"/>
    <cellStyle name="Calculation 13 3 2 2 2" xfId="6177"/>
    <cellStyle name="Calculation 13 3 2 2 2 2" xfId="14371"/>
    <cellStyle name="Calculation 13 3 2 2 2 2 2" xfId="26343"/>
    <cellStyle name="Calculation 13 3 2 2 2 2 2 2" xfId="47529"/>
    <cellStyle name="Calculation 13 3 2 2 2 2 3" xfId="36925"/>
    <cellStyle name="Calculation 13 3 2 2 2 3" xfId="21230"/>
    <cellStyle name="Calculation 13 3 2 2 2 3 2" xfId="42417"/>
    <cellStyle name="Calculation 13 3 2 2 2 4" xfId="31833"/>
    <cellStyle name="Calculation 13 3 2 2 2_Table 2A-1_EFT (Annual)" xfId="14848"/>
    <cellStyle name="Calculation 13 3 2 2 3" xfId="11713"/>
    <cellStyle name="Calculation 13 3 2 2 3 2" xfId="23797"/>
    <cellStyle name="Calculation 13 3 2 2 3 2 2" xfId="44983"/>
    <cellStyle name="Calculation 13 3 2 2 3 3" xfId="34379"/>
    <cellStyle name="Calculation 13 3 2 2 4" xfId="18684"/>
    <cellStyle name="Calculation 13 3 2 2 4 2" xfId="39871"/>
    <cellStyle name="Calculation 13 3 2 2 5" xfId="29090"/>
    <cellStyle name="Calculation 13 3 2 2_Table 2A-1_EFT (Annual)" xfId="3638"/>
    <cellStyle name="Calculation 13 3 2 3" xfId="4907"/>
    <cellStyle name="Calculation 13 3 2 3 2" xfId="13167"/>
    <cellStyle name="Calculation 13 3 2 3 2 2" xfId="25173"/>
    <cellStyle name="Calculation 13 3 2 3 2 2 2" xfId="46359"/>
    <cellStyle name="Calculation 13 3 2 3 2 3" xfId="35755"/>
    <cellStyle name="Calculation 13 3 2 3 3" xfId="20060"/>
    <cellStyle name="Calculation 13 3 2 3 3 2" xfId="41247"/>
    <cellStyle name="Calculation 13 3 2 3 4" xfId="30564"/>
    <cellStyle name="Calculation 13 3 2 3_Table 2A-1_EFT (Annual)" xfId="14847"/>
    <cellStyle name="Calculation 13 3 2 4" xfId="10511"/>
    <cellStyle name="Calculation 13 3 2 4 2" xfId="22627"/>
    <cellStyle name="Calculation 13 3 2 4 2 2" xfId="43813"/>
    <cellStyle name="Calculation 13 3 2 4 3" xfId="33209"/>
    <cellStyle name="Calculation 13 3 2 5" xfId="17514"/>
    <cellStyle name="Calculation 13 3 2 5 2" xfId="38701"/>
    <cellStyle name="Calculation 13 3 2 6" xfId="27821"/>
    <cellStyle name="Calculation 13 3 2_Table 2A-1_EFT (Annual)" xfId="3656"/>
    <cellStyle name="Calculation 13 3 3" xfId="903"/>
    <cellStyle name="Calculation 13 3 3 2" xfId="4464"/>
    <cellStyle name="Calculation 13 3 3 2 2" xfId="12726"/>
    <cellStyle name="Calculation 13 3 3 2 2 2" xfId="24736"/>
    <cellStyle name="Calculation 13 3 3 2 2 2 2" xfId="45922"/>
    <cellStyle name="Calculation 13 3 3 2 2 3" xfId="35318"/>
    <cellStyle name="Calculation 13 3 3 2 3" xfId="19623"/>
    <cellStyle name="Calculation 13 3 3 2 3 2" xfId="40810"/>
    <cellStyle name="Calculation 13 3 3 2 4" xfId="30121"/>
    <cellStyle name="Calculation 13 3 3 2_Table 2A-1_EFT (Annual)" xfId="14846"/>
    <cellStyle name="Calculation 13 3 3 3" xfId="10073"/>
    <cellStyle name="Calculation 13 3 3 3 2" xfId="22190"/>
    <cellStyle name="Calculation 13 3 3 3 2 2" xfId="43376"/>
    <cellStyle name="Calculation 13 3 3 3 3" xfId="32772"/>
    <cellStyle name="Calculation 13 3 3 4" xfId="17077"/>
    <cellStyle name="Calculation 13 3 3 4 2" xfId="38264"/>
    <cellStyle name="Calculation 13 3 3 5" xfId="27378"/>
    <cellStyle name="Calculation 13 3 3_Table 2A-1_EFT (Annual)" xfId="5921"/>
    <cellStyle name="Calculation 13 3 4" xfId="2085"/>
    <cellStyle name="Calculation 13 3 4 2" xfId="5646"/>
    <cellStyle name="Calculation 13 3 4 2 2" xfId="13861"/>
    <cellStyle name="Calculation 13 3 4 2 2 2" xfId="25849"/>
    <cellStyle name="Calculation 13 3 4 2 2 2 2" xfId="47035"/>
    <cellStyle name="Calculation 13 3 4 2 2 3" xfId="36431"/>
    <cellStyle name="Calculation 13 3 4 2 3" xfId="20736"/>
    <cellStyle name="Calculation 13 3 4 2 3 2" xfId="41923"/>
    <cellStyle name="Calculation 13 3 4 2 4" xfId="31303"/>
    <cellStyle name="Calculation 13 3 4 2_Table 2A-1_EFT (Annual)" xfId="14845"/>
    <cellStyle name="Calculation 13 3 4 3" xfId="11205"/>
    <cellStyle name="Calculation 13 3 4 3 2" xfId="23303"/>
    <cellStyle name="Calculation 13 3 4 3 2 2" xfId="44489"/>
    <cellStyle name="Calculation 13 3 4 3 3" xfId="33885"/>
    <cellStyle name="Calculation 13 3 4 4" xfId="18190"/>
    <cellStyle name="Calculation 13 3 4 4 2" xfId="39377"/>
    <cellStyle name="Calculation 13 3 4 5" xfId="28560"/>
    <cellStyle name="Calculation 13 3 4_Table 2A-1_EFT (Annual)" xfId="4227"/>
    <cellStyle name="Calculation 13 3 5" xfId="3933"/>
    <cellStyle name="Calculation 13 3 5 2" xfId="12261"/>
    <cellStyle name="Calculation 13 3 5 2 2" xfId="24285"/>
    <cellStyle name="Calculation 13 3 5 2 2 2" xfId="45471"/>
    <cellStyle name="Calculation 13 3 5 2 3" xfId="34867"/>
    <cellStyle name="Calculation 13 3 5 3" xfId="19172"/>
    <cellStyle name="Calculation 13 3 5 3 2" xfId="40359"/>
    <cellStyle name="Calculation 13 3 5 4" xfId="29621"/>
    <cellStyle name="Calculation 13 3 5_Table 2A-1_EFT (Annual)" xfId="14844"/>
    <cellStyle name="Calculation 13 3 6" xfId="9598"/>
    <cellStyle name="Calculation 13 3 6 2" xfId="21739"/>
    <cellStyle name="Calculation 13 3 6 2 2" xfId="42925"/>
    <cellStyle name="Calculation 13 3 6 3" xfId="32321"/>
    <cellStyle name="Calculation 13 3 7" xfId="16626"/>
    <cellStyle name="Calculation 13 3 7 2" xfId="37813"/>
    <cellStyle name="Calculation 13 3 8" xfId="26878"/>
    <cellStyle name="Calculation 13 3_Table 2A-1_EFT (Annual)" xfId="2902"/>
    <cellStyle name="Calculation 13 4" xfId="1180"/>
    <cellStyle name="Calculation 13 4 2" xfId="2450"/>
    <cellStyle name="Calculation 13 4 2 2" xfId="6011"/>
    <cellStyle name="Calculation 13 4 2 2 2" xfId="14205"/>
    <cellStyle name="Calculation 13 4 2 2 2 2" xfId="26177"/>
    <cellStyle name="Calculation 13 4 2 2 2 2 2" xfId="47363"/>
    <cellStyle name="Calculation 13 4 2 2 2 3" xfId="36759"/>
    <cellStyle name="Calculation 13 4 2 2 3" xfId="21064"/>
    <cellStyle name="Calculation 13 4 2 2 3 2" xfId="42251"/>
    <cellStyle name="Calculation 13 4 2 2 4" xfId="31667"/>
    <cellStyle name="Calculation 13 4 2 2_Table 2A-1_EFT (Annual)" xfId="14843"/>
    <cellStyle name="Calculation 13 4 2 3" xfId="11547"/>
    <cellStyle name="Calculation 13 4 2 3 2" xfId="23631"/>
    <cellStyle name="Calculation 13 4 2 3 2 2" xfId="44817"/>
    <cellStyle name="Calculation 13 4 2 3 3" xfId="34213"/>
    <cellStyle name="Calculation 13 4 2 4" xfId="18518"/>
    <cellStyle name="Calculation 13 4 2 4 2" xfId="39705"/>
    <cellStyle name="Calculation 13 4 2 5" xfId="28924"/>
    <cellStyle name="Calculation 13 4 2_Table 2A-1_EFT (Annual)" xfId="3842"/>
    <cellStyle name="Calculation 13 4 3" xfId="4741"/>
    <cellStyle name="Calculation 13 4 3 2" xfId="13001"/>
    <cellStyle name="Calculation 13 4 3 2 2" xfId="25007"/>
    <cellStyle name="Calculation 13 4 3 2 2 2" xfId="46193"/>
    <cellStyle name="Calculation 13 4 3 2 3" xfId="35589"/>
    <cellStyle name="Calculation 13 4 3 3" xfId="19894"/>
    <cellStyle name="Calculation 13 4 3 3 2" xfId="41081"/>
    <cellStyle name="Calculation 13 4 3 4" xfId="30398"/>
    <cellStyle name="Calculation 13 4 3_Table 2A-1_EFT (Annual)" xfId="14842"/>
    <cellStyle name="Calculation 13 4 4" xfId="10345"/>
    <cellStyle name="Calculation 13 4 4 2" xfId="22461"/>
    <cellStyle name="Calculation 13 4 4 2 2" xfId="43647"/>
    <cellStyle name="Calculation 13 4 4 3" xfId="33043"/>
    <cellStyle name="Calculation 13 4 5" xfId="17348"/>
    <cellStyle name="Calculation 13 4 5 2" xfId="38535"/>
    <cellStyle name="Calculation 13 4 6" xfId="27655"/>
    <cellStyle name="Calculation 13 4_Table 2A-1_EFT (Annual)" xfId="6467"/>
    <cellStyle name="Calculation 13 5" xfId="744"/>
    <cellStyle name="Calculation 13 5 2" xfId="4305"/>
    <cellStyle name="Calculation 13 5 2 2" xfId="12585"/>
    <cellStyle name="Calculation 13 5 2 2 2" xfId="24602"/>
    <cellStyle name="Calculation 13 5 2 2 2 2" xfId="45788"/>
    <cellStyle name="Calculation 13 5 2 2 3" xfId="35184"/>
    <cellStyle name="Calculation 13 5 2 3" xfId="19489"/>
    <cellStyle name="Calculation 13 5 2 3 2" xfId="40676"/>
    <cellStyle name="Calculation 13 5 2 4" xfId="29962"/>
    <cellStyle name="Calculation 13 5 2_Table 2A-1_EFT (Annual)" xfId="14841"/>
    <cellStyle name="Calculation 13 5 3" xfId="9933"/>
    <cellStyle name="Calculation 13 5 3 2" xfId="22056"/>
    <cellStyle name="Calculation 13 5 3 2 2" xfId="43242"/>
    <cellStyle name="Calculation 13 5 3 3" xfId="32638"/>
    <cellStyle name="Calculation 13 5 4" xfId="16943"/>
    <cellStyle name="Calculation 13 5 4 2" xfId="38130"/>
    <cellStyle name="Calculation 13 5 5" xfId="27219"/>
    <cellStyle name="Calculation 13 5_Table 2A-1_EFT (Annual)" xfId="6462"/>
    <cellStyle name="Calculation 13 6" xfId="1858"/>
    <cellStyle name="Calculation 13 6 2" xfId="5419"/>
    <cellStyle name="Calculation 13 6 2 2" xfId="13634"/>
    <cellStyle name="Calculation 13 6 2 2 2" xfId="25622"/>
    <cellStyle name="Calculation 13 6 2 2 2 2" xfId="46808"/>
    <cellStyle name="Calculation 13 6 2 2 3" xfId="36204"/>
    <cellStyle name="Calculation 13 6 2 3" xfId="20509"/>
    <cellStyle name="Calculation 13 6 2 3 2" xfId="41696"/>
    <cellStyle name="Calculation 13 6 2 4" xfId="31076"/>
    <cellStyle name="Calculation 13 6 2_Table 2A-1_EFT (Annual)" xfId="14840"/>
    <cellStyle name="Calculation 13 6 3" xfId="10978"/>
    <cellStyle name="Calculation 13 6 3 2" xfId="23076"/>
    <cellStyle name="Calculation 13 6 3 2 2" xfId="44262"/>
    <cellStyle name="Calculation 13 6 3 3" xfId="33658"/>
    <cellStyle name="Calculation 13 6 4" xfId="17963"/>
    <cellStyle name="Calculation 13 6 4 2" xfId="39150"/>
    <cellStyle name="Calculation 13 6 5" xfId="28333"/>
    <cellStyle name="Calculation 13 6_Table 2A-1_EFT (Annual)" xfId="6466"/>
    <cellStyle name="Calculation 13 7" xfId="3721"/>
    <cellStyle name="Calculation 13 7 2" xfId="12089"/>
    <cellStyle name="Calculation 13 7 2 2" xfId="24119"/>
    <cellStyle name="Calculation 13 7 2 2 2" xfId="45305"/>
    <cellStyle name="Calculation 13 7 2 3" xfId="34701"/>
    <cellStyle name="Calculation 13 7 3" xfId="19006"/>
    <cellStyle name="Calculation 13 7 3 2" xfId="40193"/>
    <cellStyle name="Calculation 13 7 4" xfId="29430"/>
    <cellStyle name="Calculation 13 7_Table 2A-1_EFT (Annual)" xfId="14839"/>
    <cellStyle name="Calculation 13 8" xfId="9408"/>
    <cellStyle name="Calculation 13 8 2" xfId="21573"/>
    <cellStyle name="Calculation 13 8 2 2" xfId="42759"/>
    <cellStyle name="Calculation 13 8 3" xfId="32155"/>
    <cellStyle name="Calculation 13 9" xfId="16460"/>
    <cellStyle name="Calculation 13 9 2" xfId="37647"/>
    <cellStyle name="Calculation 13_Table 2A-1_EFT (Annual)" xfId="2900"/>
    <cellStyle name="Calculation 14" xfId="154"/>
    <cellStyle name="Calculation 14 10" xfId="26709"/>
    <cellStyle name="Calculation 14 2" xfId="547"/>
    <cellStyle name="Calculation 14 2 2" xfId="1524"/>
    <cellStyle name="Calculation 14 2 2 2" xfId="2794"/>
    <cellStyle name="Calculation 14 2 2 2 2" xfId="6355"/>
    <cellStyle name="Calculation 14 2 2 2 2 2" xfId="14549"/>
    <cellStyle name="Calculation 14 2 2 2 2 2 2" xfId="26521"/>
    <cellStyle name="Calculation 14 2 2 2 2 2 2 2" xfId="47707"/>
    <cellStyle name="Calculation 14 2 2 2 2 2 3" xfId="37103"/>
    <cellStyle name="Calculation 14 2 2 2 2 3" xfId="21408"/>
    <cellStyle name="Calculation 14 2 2 2 2 3 2" xfId="42595"/>
    <cellStyle name="Calculation 14 2 2 2 2 4" xfId="32011"/>
    <cellStyle name="Calculation 14 2 2 2 2_Table 2A-1_EFT (Annual)" xfId="14838"/>
    <cellStyle name="Calculation 14 2 2 2 3" xfId="11891"/>
    <cellStyle name="Calculation 14 2 2 2 3 2" xfId="23975"/>
    <cellStyle name="Calculation 14 2 2 2 3 2 2" xfId="45161"/>
    <cellStyle name="Calculation 14 2 2 2 3 3" xfId="34557"/>
    <cellStyle name="Calculation 14 2 2 2 4" xfId="18862"/>
    <cellStyle name="Calculation 14 2 2 2 4 2" xfId="40049"/>
    <cellStyle name="Calculation 14 2 2 2 5" xfId="29268"/>
    <cellStyle name="Calculation 14 2 2 2_Table 2A-1_EFT (Annual)" xfId="6463"/>
    <cellStyle name="Calculation 14 2 2 3" xfId="5085"/>
    <cellStyle name="Calculation 14 2 2 3 2" xfId="13345"/>
    <cellStyle name="Calculation 14 2 2 3 2 2" xfId="25351"/>
    <cellStyle name="Calculation 14 2 2 3 2 2 2" xfId="46537"/>
    <cellStyle name="Calculation 14 2 2 3 2 3" xfId="35933"/>
    <cellStyle name="Calculation 14 2 2 3 3" xfId="20238"/>
    <cellStyle name="Calculation 14 2 2 3 3 2" xfId="41425"/>
    <cellStyle name="Calculation 14 2 2 3 4" xfId="30742"/>
    <cellStyle name="Calculation 14 2 2 3_Table 2A-1_EFT (Annual)" xfId="14837"/>
    <cellStyle name="Calculation 14 2 2 4" xfId="10689"/>
    <cellStyle name="Calculation 14 2 2 4 2" xfId="22805"/>
    <cellStyle name="Calculation 14 2 2 4 2 2" xfId="43991"/>
    <cellStyle name="Calculation 14 2 2 4 3" xfId="33387"/>
    <cellStyle name="Calculation 14 2 2 5" xfId="17692"/>
    <cellStyle name="Calculation 14 2 2 5 2" xfId="38879"/>
    <cellStyle name="Calculation 14 2 2 6" xfId="27999"/>
    <cellStyle name="Calculation 14 2 2_Table 2A-1_EFT (Annual)" xfId="6465"/>
    <cellStyle name="Calculation 14 2 3" xfId="1053"/>
    <cellStyle name="Calculation 14 2 3 2" xfId="4614"/>
    <cellStyle name="Calculation 14 2 3 2 2" xfId="12874"/>
    <cellStyle name="Calculation 14 2 3 2 2 2" xfId="24880"/>
    <cellStyle name="Calculation 14 2 3 2 2 2 2" xfId="46066"/>
    <cellStyle name="Calculation 14 2 3 2 2 3" xfId="35462"/>
    <cellStyle name="Calculation 14 2 3 2 3" xfId="19767"/>
    <cellStyle name="Calculation 14 2 3 2 3 2" xfId="40954"/>
    <cellStyle name="Calculation 14 2 3 2 4" xfId="30271"/>
    <cellStyle name="Calculation 14 2 3 2_Table 2A-1_EFT (Annual)" xfId="14836"/>
    <cellStyle name="Calculation 14 2 3 3" xfId="10218"/>
    <cellStyle name="Calculation 14 2 3 3 2" xfId="22334"/>
    <cellStyle name="Calculation 14 2 3 3 2 2" xfId="43520"/>
    <cellStyle name="Calculation 14 2 3 3 3" xfId="32916"/>
    <cellStyle name="Calculation 14 2 3 4" xfId="17221"/>
    <cellStyle name="Calculation 14 2 3 4 2" xfId="38408"/>
    <cellStyle name="Calculation 14 2 3 5" xfId="27528"/>
    <cellStyle name="Calculation 14 2 3_Table 2A-1_EFT (Annual)" xfId="6464"/>
    <cellStyle name="Calculation 14 2 4" xfId="2263"/>
    <cellStyle name="Calculation 14 2 4 2" xfId="5824"/>
    <cellStyle name="Calculation 14 2 4 2 2" xfId="14039"/>
    <cellStyle name="Calculation 14 2 4 2 2 2" xfId="26027"/>
    <cellStyle name="Calculation 14 2 4 2 2 2 2" xfId="47213"/>
    <cellStyle name="Calculation 14 2 4 2 2 3" xfId="36609"/>
    <cellStyle name="Calculation 14 2 4 2 3" xfId="20914"/>
    <cellStyle name="Calculation 14 2 4 2 3 2" xfId="42101"/>
    <cellStyle name="Calculation 14 2 4 2 4" xfId="31481"/>
    <cellStyle name="Calculation 14 2 4 2_Table 2A-1_EFT (Annual)" xfId="14835"/>
    <cellStyle name="Calculation 14 2 4 3" xfId="11383"/>
    <cellStyle name="Calculation 14 2 4 3 2" xfId="23481"/>
    <cellStyle name="Calculation 14 2 4 3 2 2" xfId="44667"/>
    <cellStyle name="Calculation 14 2 4 3 3" xfId="34063"/>
    <cellStyle name="Calculation 14 2 4 4" xfId="18368"/>
    <cellStyle name="Calculation 14 2 4 4 2" xfId="39555"/>
    <cellStyle name="Calculation 14 2 4 5" xfId="28738"/>
    <cellStyle name="Calculation 14 2 4_Table 2A-1_EFT (Annual)" xfId="6457"/>
    <cellStyle name="Calculation 14 2 5" xfId="4117"/>
    <cellStyle name="Calculation 14 2 5 2" xfId="12441"/>
    <cellStyle name="Calculation 14 2 5 2 2" xfId="24463"/>
    <cellStyle name="Calculation 14 2 5 2 2 2" xfId="45649"/>
    <cellStyle name="Calculation 14 2 5 2 3" xfId="35045"/>
    <cellStyle name="Calculation 14 2 5 3" xfId="19350"/>
    <cellStyle name="Calculation 14 2 5 3 2" xfId="40537"/>
    <cellStyle name="Calculation 14 2 5 4" xfId="29805"/>
    <cellStyle name="Calculation 14 2 5_Table 2A-1_EFT (Annual)" xfId="14834"/>
    <cellStyle name="Calculation 14 2 6" xfId="9780"/>
    <cellStyle name="Calculation 14 2 6 2" xfId="21917"/>
    <cellStyle name="Calculation 14 2 6 2 2" xfId="43103"/>
    <cellStyle name="Calculation 14 2 6 3" xfId="32499"/>
    <cellStyle name="Calculation 14 2 7" xfId="16804"/>
    <cellStyle name="Calculation 14 2 7 2" xfId="37991"/>
    <cellStyle name="Calculation 14 2 8" xfId="27062"/>
    <cellStyle name="Calculation 14 2_Table 2A-1_EFT (Annual)" xfId="2904"/>
    <cellStyle name="Calculation 14 3" xfId="385"/>
    <cellStyle name="Calculation 14 3 2" xfId="1368"/>
    <cellStyle name="Calculation 14 3 2 2" xfId="2638"/>
    <cellStyle name="Calculation 14 3 2 2 2" xfId="6199"/>
    <cellStyle name="Calculation 14 3 2 2 2 2" xfId="14393"/>
    <cellStyle name="Calculation 14 3 2 2 2 2 2" xfId="26365"/>
    <cellStyle name="Calculation 14 3 2 2 2 2 2 2" xfId="47551"/>
    <cellStyle name="Calculation 14 3 2 2 2 2 3" xfId="36947"/>
    <cellStyle name="Calculation 14 3 2 2 2 3" xfId="21252"/>
    <cellStyle name="Calculation 14 3 2 2 2 3 2" xfId="42439"/>
    <cellStyle name="Calculation 14 3 2 2 2 4" xfId="31855"/>
    <cellStyle name="Calculation 14 3 2 2 2_Table 2A-1_EFT (Annual)" xfId="14833"/>
    <cellStyle name="Calculation 14 3 2 2 3" xfId="11735"/>
    <cellStyle name="Calculation 14 3 2 2 3 2" xfId="23819"/>
    <cellStyle name="Calculation 14 3 2 2 3 2 2" xfId="45005"/>
    <cellStyle name="Calculation 14 3 2 2 3 3" xfId="34401"/>
    <cellStyle name="Calculation 14 3 2 2 4" xfId="18706"/>
    <cellStyle name="Calculation 14 3 2 2 4 2" xfId="39893"/>
    <cellStyle name="Calculation 14 3 2 2 5" xfId="29112"/>
    <cellStyle name="Calculation 14 3 2 2_Table 2A-1_EFT (Annual)" xfId="6458"/>
    <cellStyle name="Calculation 14 3 2 3" xfId="4929"/>
    <cellStyle name="Calculation 14 3 2 3 2" xfId="13189"/>
    <cellStyle name="Calculation 14 3 2 3 2 2" xfId="25195"/>
    <cellStyle name="Calculation 14 3 2 3 2 2 2" xfId="46381"/>
    <cellStyle name="Calculation 14 3 2 3 2 3" xfId="35777"/>
    <cellStyle name="Calculation 14 3 2 3 3" xfId="20082"/>
    <cellStyle name="Calculation 14 3 2 3 3 2" xfId="41269"/>
    <cellStyle name="Calculation 14 3 2 3 4" xfId="30586"/>
    <cellStyle name="Calculation 14 3 2 3_Table 2A-1_EFT (Annual)" xfId="14832"/>
    <cellStyle name="Calculation 14 3 2 4" xfId="10533"/>
    <cellStyle name="Calculation 14 3 2 4 2" xfId="22649"/>
    <cellStyle name="Calculation 14 3 2 4 2 2" xfId="43835"/>
    <cellStyle name="Calculation 14 3 2 4 3" xfId="33231"/>
    <cellStyle name="Calculation 14 3 2 5" xfId="17536"/>
    <cellStyle name="Calculation 14 3 2 5 2" xfId="38723"/>
    <cellStyle name="Calculation 14 3 2 6" xfId="27843"/>
    <cellStyle name="Calculation 14 3 2_Table 2A-1_EFT (Annual)" xfId="6461"/>
    <cellStyle name="Calculation 14 3 3" xfId="921"/>
    <cellStyle name="Calculation 14 3 3 2" xfId="4482"/>
    <cellStyle name="Calculation 14 3 3 2 2" xfId="12744"/>
    <cellStyle name="Calculation 14 3 3 2 2 2" xfId="24754"/>
    <cellStyle name="Calculation 14 3 3 2 2 2 2" xfId="45940"/>
    <cellStyle name="Calculation 14 3 3 2 2 3" xfId="35336"/>
    <cellStyle name="Calculation 14 3 3 2 3" xfId="19641"/>
    <cellStyle name="Calculation 14 3 3 2 3 2" xfId="40828"/>
    <cellStyle name="Calculation 14 3 3 2 4" xfId="30139"/>
    <cellStyle name="Calculation 14 3 3 2_Table 2A-1_EFT (Annual)" xfId="14831"/>
    <cellStyle name="Calculation 14 3 3 3" xfId="10091"/>
    <cellStyle name="Calculation 14 3 3 3 2" xfId="22208"/>
    <cellStyle name="Calculation 14 3 3 3 2 2" xfId="43394"/>
    <cellStyle name="Calculation 14 3 3 3 3" xfId="32790"/>
    <cellStyle name="Calculation 14 3 3 4" xfId="17095"/>
    <cellStyle name="Calculation 14 3 3 4 2" xfId="38282"/>
    <cellStyle name="Calculation 14 3 3 5" xfId="27396"/>
    <cellStyle name="Calculation 14 3 3_Table 2A-1_EFT (Annual)" xfId="6460"/>
    <cellStyle name="Calculation 14 3 4" xfId="2107"/>
    <cellStyle name="Calculation 14 3 4 2" xfId="5668"/>
    <cellStyle name="Calculation 14 3 4 2 2" xfId="13883"/>
    <cellStyle name="Calculation 14 3 4 2 2 2" xfId="25871"/>
    <cellStyle name="Calculation 14 3 4 2 2 2 2" xfId="47057"/>
    <cellStyle name="Calculation 14 3 4 2 2 3" xfId="36453"/>
    <cellStyle name="Calculation 14 3 4 2 3" xfId="20758"/>
    <cellStyle name="Calculation 14 3 4 2 3 2" xfId="41945"/>
    <cellStyle name="Calculation 14 3 4 2 4" xfId="31325"/>
    <cellStyle name="Calculation 14 3 4 2_Table 2A-1_EFT (Annual)" xfId="14830"/>
    <cellStyle name="Calculation 14 3 4 3" xfId="11227"/>
    <cellStyle name="Calculation 14 3 4 3 2" xfId="23325"/>
    <cellStyle name="Calculation 14 3 4 3 2 2" xfId="44511"/>
    <cellStyle name="Calculation 14 3 4 3 3" xfId="33907"/>
    <cellStyle name="Calculation 14 3 4 4" xfId="18212"/>
    <cellStyle name="Calculation 14 3 4 4 2" xfId="39399"/>
    <cellStyle name="Calculation 14 3 4 5" xfId="28582"/>
    <cellStyle name="Calculation 14 3 4_Table 2A-1_EFT (Annual)" xfId="6459"/>
    <cellStyle name="Calculation 14 3 5" xfId="3955"/>
    <cellStyle name="Calculation 14 3 5 2" xfId="12283"/>
    <cellStyle name="Calculation 14 3 5 2 2" xfId="24307"/>
    <cellStyle name="Calculation 14 3 5 2 2 2" xfId="45493"/>
    <cellStyle name="Calculation 14 3 5 2 3" xfId="34889"/>
    <cellStyle name="Calculation 14 3 5 3" xfId="19194"/>
    <cellStyle name="Calculation 14 3 5 3 2" xfId="40381"/>
    <cellStyle name="Calculation 14 3 5 4" xfId="29643"/>
    <cellStyle name="Calculation 14 3 5_Table 2A-1_EFT (Annual)" xfId="14829"/>
    <cellStyle name="Calculation 14 3 6" xfId="9620"/>
    <cellStyle name="Calculation 14 3 6 2" xfId="21761"/>
    <cellStyle name="Calculation 14 3 6 2 2" xfId="42947"/>
    <cellStyle name="Calculation 14 3 6 3" xfId="32343"/>
    <cellStyle name="Calculation 14 3 7" xfId="16648"/>
    <cellStyle name="Calculation 14 3 7 2" xfId="37835"/>
    <cellStyle name="Calculation 14 3 8" xfId="26900"/>
    <cellStyle name="Calculation 14 3_Table 2A-1_EFT (Annual)" xfId="2905"/>
    <cellStyle name="Calculation 14 4" xfId="1202"/>
    <cellStyle name="Calculation 14 4 2" xfId="2472"/>
    <cellStyle name="Calculation 14 4 2 2" xfId="6033"/>
    <cellStyle name="Calculation 14 4 2 2 2" xfId="14227"/>
    <cellStyle name="Calculation 14 4 2 2 2 2" xfId="26199"/>
    <cellStyle name="Calculation 14 4 2 2 2 2 2" xfId="47385"/>
    <cellStyle name="Calculation 14 4 2 2 2 3" xfId="36781"/>
    <cellStyle name="Calculation 14 4 2 2 3" xfId="21086"/>
    <cellStyle name="Calculation 14 4 2 2 3 2" xfId="42273"/>
    <cellStyle name="Calculation 14 4 2 2 4" xfId="31689"/>
    <cellStyle name="Calculation 14 4 2 2_Table 2A-1_EFT (Annual)" xfId="14828"/>
    <cellStyle name="Calculation 14 4 2 3" xfId="11569"/>
    <cellStyle name="Calculation 14 4 2 3 2" xfId="23653"/>
    <cellStyle name="Calculation 14 4 2 3 2 2" xfId="44839"/>
    <cellStyle name="Calculation 14 4 2 3 3" xfId="34235"/>
    <cellStyle name="Calculation 14 4 2 4" xfId="18540"/>
    <cellStyle name="Calculation 14 4 2 4 2" xfId="39727"/>
    <cellStyle name="Calculation 14 4 2 5" xfId="28946"/>
    <cellStyle name="Calculation 14 4 2_Table 2A-1_EFT (Annual)" xfId="6456"/>
    <cellStyle name="Calculation 14 4 3" xfId="4763"/>
    <cellStyle name="Calculation 14 4 3 2" xfId="13023"/>
    <cellStyle name="Calculation 14 4 3 2 2" xfId="25029"/>
    <cellStyle name="Calculation 14 4 3 2 2 2" xfId="46215"/>
    <cellStyle name="Calculation 14 4 3 2 3" xfId="35611"/>
    <cellStyle name="Calculation 14 4 3 3" xfId="19916"/>
    <cellStyle name="Calculation 14 4 3 3 2" xfId="41103"/>
    <cellStyle name="Calculation 14 4 3 4" xfId="30420"/>
    <cellStyle name="Calculation 14 4 3_Table 2A-1_EFT (Annual)" xfId="14827"/>
    <cellStyle name="Calculation 14 4 4" xfId="10367"/>
    <cellStyle name="Calculation 14 4 4 2" xfId="22483"/>
    <cellStyle name="Calculation 14 4 4 2 2" xfId="43669"/>
    <cellStyle name="Calculation 14 4 4 3" xfId="33065"/>
    <cellStyle name="Calculation 14 4 5" xfId="17370"/>
    <cellStyle name="Calculation 14 4 5 2" xfId="38557"/>
    <cellStyle name="Calculation 14 4 6" xfId="27677"/>
    <cellStyle name="Calculation 14 4_Table 2A-1_EFT (Annual)" xfId="6452"/>
    <cellStyle name="Calculation 14 5" xfId="762"/>
    <cellStyle name="Calculation 14 5 2" xfId="4323"/>
    <cellStyle name="Calculation 14 5 2 2" xfId="12603"/>
    <cellStyle name="Calculation 14 5 2 2 2" xfId="24620"/>
    <cellStyle name="Calculation 14 5 2 2 2 2" xfId="45806"/>
    <cellStyle name="Calculation 14 5 2 2 3" xfId="35202"/>
    <cellStyle name="Calculation 14 5 2 3" xfId="19507"/>
    <cellStyle name="Calculation 14 5 2 3 2" xfId="40694"/>
    <cellStyle name="Calculation 14 5 2 4" xfId="29980"/>
    <cellStyle name="Calculation 14 5 2_Table 2A-1_EFT (Annual)" xfId="14826"/>
    <cellStyle name="Calculation 14 5 3" xfId="9951"/>
    <cellStyle name="Calculation 14 5 3 2" xfId="22074"/>
    <cellStyle name="Calculation 14 5 3 2 2" xfId="43260"/>
    <cellStyle name="Calculation 14 5 3 3" xfId="32656"/>
    <cellStyle name="Calculation 14 5 4" xfId="16961"/>
    <cellStyle name="Calculation 14 5 4 2" xfId="38148"/>
    <cellStyle name="Calculation 14 5 5" xfId="27237"/>
    <cellStyle name="Calculation 14 5_Table 2A-1_EFT (Annual)" xfId="6454"/>
    <cellStyle name="Calculation 14 6" xfId="1847"/>
    <cellStyle name="Calculation 14 6 2" xfId="5408"/>
    <cellStyle name="Calculation 14 6 2 2" xfId="13623"/>
    <cellStyle name="Calculation 14 6 2 2 2" xfId="25611"/>
    <cellStyle name="Calculation 14 6 2 2 2 2" xfId="46797"/>
    <cellStyle name="Calculation 14 6 2 2 3" xfId="36193"/>
    <cellStyle name="Calculation 14 6 2 3" xfId="20498"/>
    <cellStyle name="Calculation 14 6 2 3 2" xfId="41685"/>
    <cellStyle name="Calculation 14 6 2 4" xfId="31065"/>
    <cellStyle name="Calculation 14 6 2_Table 2A-1_EFT (Annual)" xfId="14825"/>
    <cellStyle name="Calculation 14 6 3" xfId="10967"/>
    <cellStyle name="Calculation 14 6 3 2" xfId="23065"/>
    <cellStyle name="Calculation 14 6 3 2 2" xfId="44251"/>
    <cellStyle name="Calculation 14 6 3 3" xfId="33647"/>
    <cellStyle name="Calculation 14 6 4" xfId="17952"/>
    <cellStyle name="Calculation 14 6 4 2" xfId="39139"/>
    <cellStyle name="Calculation 14 6 5" xfId="28322"/>
    <cellStyle name="Calculation 14 6_Table 2A-1_EFT (Annual)" xfId="6455"/>
    <cellStyle name="Calculation 14 7" xfId="3743"/>
    <cellStyle name="Calculation 14 7 2" xfId="12111"/>
    <cellStyle name="Calculation 14 7 2 2" xfId="24141"/>
    <cellStyle name="Calculation 14 7 2 2 2" xfId="45327"/>
    <cellStyle name="Calculation 14 7 2 3" xfId="34723"/>
    <cellStyle name="Calculation 14 7 3" xfId="19028"/>
    <cellStyle name="Calculation 14 7 3 2" xfId="40215"/>
    <cellStyle name="Calculation 14 7 4" xfId="29452"/>
    <cellStyle name="Calculation 14 7_Table 2A-1_EFT (Annual)" xfId="14824"/>
    <cellStyle name="Calculation 14 8" xfId="9430"/>
    <cellStyle name="Calculation 14 8 2" xfId="21595"/>
    <cellStyle name="Calculation 14 8 2 2" xfId="42781"/>
    <cellStyle name="Calculation 14 8 3" xfId="32177"/>
    <cellStyle name="Calculation 14 9" xfId="16482"/>
    <cellStyle name="Calculation 14 9 2" xfId="37669"/>
    <cellStyle name="Calculation 14_Table 2A-1_EFT (Annual)" xfId="2903"/>
    <cellStyle name="Calculation 15" xfId="147"/>
    <cellStyle name="Calculation 15 10" xfId="26702"/>
    <cellStyle name="Calculation 15 2" xfId="540"/>
    <cellStyle name="Calculation 15 2 2" xfId="1517"/>
    <cellStyle name="Calculation 15 2 2 2" xfId="2787"/>
    <cellStyle name="Calculation 15 2 2 2 2" xfId="6348"/>
    <cellStyle name="Calculation 15 2 2 2 2 2" xfId="14542"/>
    <cellStyle name="Calculation 15 2 2 2 2 2 2" xfId="26514"/>
    <cellStyle name="Calculation 15 2 2 2 2 2 2 2" xfId="47700"/>
    <cellStyle name="Calculation 15 2 2 2 2 2 3" xfId="37096"/>
    <cellStyle name="Calculation 15 2 2 2 2 3" xfId="21401"/>
    <cellStyle name="Calculation 15 2 2 2 2 3 2" xfId="42588"/>
    <cellStyle name="Calculation 15 2 2 2 2 4" xfId="32004"/>
    <cellStyle name="Calculation 15 2 2 2 2_Table 2A-1_EFT (Annual)" xfId="14823"/>
    <cellStyle name="Calculation 15 2 2 2 3" xfId="11884"/>
    <cellStyle name="Calculation 15 2 2 2 3 2" xfId="23968"/>
    <cellStyle name="Calculation 15 2 2 2 3 2 2" xfId="45154"/>
    <cellStyle name="Calculation 15 2 2 2 3 3" xfId="34550"/>
    <cellStyle name="Calculation 15 2 2 2 4" xfId="18855"/>
    <cellStyle name="Calculation 15 2 2 2 4 2" xfId="40042"/>
    <cellStyle name="Calculation 15 2 2 2 5" xfId="29261"/>
    <cellStyle name="Calculation 15 2 2 2_Table 2A-1_EFT (Annual)" xfId="3608"/>
    <cellStyle name="Calculation 15 2 2 3" xfId="5078"/>
    <cellStyle name="Calculation 15 2 2 3 2" xfId="13338"/>
    <cellStyle name="Calculation 15 2 2 3 2 2" xfId="25344"/>
    <cellStyle name="Calculation 15 2 2 3 2 2 2" xfId="46530"/>
    <cellStyle name="Calculation 15 2 2 3 2 3" xfId="35926"/>
    <cellStyle name="Calculation 15 2 2 3 3" xfId="20231"/>
    <cellStyle name="Calculation 15 2 2 3 3 2" xfId="41418"/>
    <cellStyle name="Calculation 15 2 2 3 4" xfId="30735"/>
    <cellStyle name="Calculation 15 2 2 3_Table 2A-1_EFT (Annual)" xfId="14822"/>
    <cellStyle name="Calculation 15 2 2 4" xfId="10682"/>
    <cellStyle name="Calculation 15 2 2 4 2" xfId="22798"/>
    <cellStyle name="Calculation 15 2 2 4 2 2" xfId="43984"/>
    <cellStyle name="Calculation 15 2 2 4 3" xfId="33380"/>
    <cellStyle name="Calculation 15 2 2 5" xfId="17685"/>
    <cellStyle name="Calculation 15 2 2 5 2" xfId="38872"/>
    <cellStyle name="Calculation 15 2 2 6" xfId="27992"/>
    <cellStyle name="Calculation 15 2 2_Table 2A-1_EFT (Annual)" xfId="6453"/>
    <cellStyle name="Calculation 15 2 3" xfId="1048"/>
    <cellStyle name="Calculation 15 2 3 2" xfId="4609"/>
    <cellStyle name="Calculation 15 2 3 2 2" xfId="12869"/>
    <cellStyle name="Calculation 15 2 3 2 2 2" xfId="24875"/>
    <cellStyle name="Calculation 15 2 3 2 2 2 2" xfId="46061"/>
    <cellStyle name="Calculation 15 2 3 2 2 3" xfId="35457"/>
    <cellStyle name="Calculation 15 2 3 2 3" xfId="19762"/>
    <cellStyle name="Calculation 15 2 3 2 3 2" xfId="40949"/>
    <cellStyle name="Calculation 15 2 3 2 4" xfId="30266"/>
    <cellStyle name="Calculation 15 2 3 2_Table 2A-1_EFT (Annual)" xfId="14821"/>
    <cellStyle name="Calculation 15 2 3 3" xfId="10213"/>
    <cellStyle name="Calculation 15 2 3 3 2" xfId="22329"/>
    <cellStyle name="Calculation 15 2 3 3 2 2" xfId="43515"/>
    <cellStyle name="Calculation 15 2 3 3 3" xfId="32911"/>
    <cellStyle name="Calculation 15 2 3 4" xfId="17216"/>
    <cellStyle name="Calculation 15 2 3 4 2" xfId="38403"/>
    <cellStyle name="Calculation 15 2 3 5" xfId="27523"/>
    <cellStyle name="Calculation 15 2 3_Table 2A-1_EFT (Annual)" xfId="4258"/>
    <cellStyle name="Calculation 15 2 4" xfId="2256"/>
    <cellStyle name="Calculation 15 2 4 2" xfId="5817"/>
    <cellStyle name="Calculation 15 2 4 2 2" xfId="14032"/>
    <cellStyle name="Calculation 15 2 4 2 2 2" xfId="26020"/>
    <cellStyle name="Calculation 15 2 4 2 2 2 2" xfId="47206"/>
    <cellStyle name="Calculation 15 2 4 2 2 3" xfId="36602"/>
    <cellStyle name="Calculation 15 2 4 2 3" xfId="20907"/>
    <cellStyle name="Calculation 15 2 4 2 3 2" xfId="42094"/>
    <cellStyle name="Calculation 15 2 4 2 4" xfId="31474"/>
    <cellStyle name="Calculation 15 2 4 2_Table 2A-1_EFT (Annual)" xfId="14820"/>
    <cellStyle name="Calculation 15 2 4 3" xfId="11376"/>
    <cellStyle name="Calculation 15 2 4 3 2" xfId="23474"/>
    <cellStyle name="Calculation 15 2 4 3 2 2" xfId="44660"/>
    <cellStyle name="Calculation 15 2 4 3 3" xfId="34056"/>
    <cellStyle name="Calculation 15 2 4 4" xfId="18361"/>
    <cellStyle name="Calculation 15 2 4 4 2" xfId="39548"/>
    <cellStyle name="Calculation 15 2 4 5" xfId="28731"/>
    <cellStyle name="Calculation 15 2 4_Table 2A-1_EFT (Annual)" xfId="3863"/>
    <cellStyle name="Calculation 15 2 5" xfId="4110"/>
    <cellStyle name="Calculation 15 2 5 2" xfId="12434"/>
    <cellStyle name="Calculation 15 2 5 2 2" xfId="24456"/>
    <cellStyle name="Calculation 15 2 5 2 2 2" xfId="45642"/>
    <cellStyle name="Calculation 15 2 5 2 3" xfId="35038"/>
    <cellStyle name="Calculation 15 2 5 3" xfId="19343"/>
    <cellStyle name="Calculation 15 2 5 3 2" xfId="40530"/>
    <cellStyle name="Calculation 15 2 5 4" xfId="29798"/>
    <cellStyle name="Calculation 15 2 5_Table 2A-1_EFT (Annual)" xfId="14819"/>
    <cellStyle name="Calculation 15 2 6" xfId="9773"/>
    <cellStyle name="Calculation 15 2 6 2" xfId="21910"/>
    <cellStyle name="Calculation 15 2 6 2 2" xfId="43096"/>
    <cellStyle name="Calculation 15 2 6 3" xfId="32492"/>
    <cellStyle name="Calculation 15 2 7" xfId="16797"/>
    <cellStyle name="Calculation 15 2 7 2" xfId="37984"/>
    <cellStyle name="Calculation 15 2 8" xfId="27055"/>
    <cellStyle name="Calculation 15 2_Table 2A-1_EFT (Annual)" xfId="2907"/>
    <cellStyle name="Calculation 15 3" xfId="378"/>
    <cellStyle name="Calculation 15 3 2" xfId="1361"/>
    <cellStyle name="Calculation 15 3 2 2" xfId="2631"/>
    <cellStyle name="Calculation 15 3 2 2 2" xfId="6192"/>
    <cellStyle name="Calculation 15 3 2 2 2 2" xfId="14386"/>
    <cellStyle name="Calculation 15 3 2 2 2 2 2" xfId="26358"/>
    <cellStyle name="Calculation 15 3 2 2 2 2 2 2" xfId="47544"/>
    <cellStyle name="Calculation 15 3 2 2 2 2 3" xfId="36940"/>
    <cellStyle name="Calculation 15 3 2 2 2 3" xfId="21245"/>
    <cellStyle name="Calculation 15 3 2 2 2 3 2" xfId="42432"/>
    <cellStyle name="Calculation 15 3 2 2 2 4" xfId="31848"/>
    <cellStyle name="Calculation 15 3 2 2 2_Table 2A-1_EFT (Annual)" xfId="14818"/>
    <cellStyle name="Calculation 15 3 2 2 3" xfId="11728"/>
    <cellStyle name="Calculation 15 3 2 2 3 2" xfId="23812"/>
    <cellStyle name="Calculation 15 3 2 2 3 2 2" xfId="44998"/>
    <cellStyle name="Calculation 15 3 2 2 3 3" xfId="34394"/>
    <cellStyle name="Calculation 15 3 2 2 4" xfId="18699"/>
    <cellStyle name="Calculation 15 3 2 2 4 2" xfId="39886"/>
    <cellStyle name="Calculation 15 3 2 2 5" xfId="29105"/>
    <cellStyle name="Calculation 15 3 2 2_Table 2A-1_EFT (Annual)" xfId="3637"/>
    <cellStyle name="Calculation 15 3 2 3" xfId="4922"/>
    <cellStyle name="Calculation 15 3 2 3 2" xfId="13182"/>
    <cellStyle name="Calculation 15 3 2 3 2 2" xfId="25188"/>
    <cellStyle name="Calculation 15 3 2 3 2 2 2" xfId="46374"/>
    <cellStyle name="Calculation 15 3 2 3 2 3" xfId="35770"/>
    <cellStyle name="Calculation 15 3 2 3 3" xfId="20075"/>
    <cellStyle name="Calculation 15 3 2 3 3 2" xfId="41262"/>
    <cellStyle name="Calculation 15 3 2 3 4" xfId="30579"/>
    <cellStyle name="Calculation 15 3 2 3_Table 2A-1_EFT (Annual)" xfId="14817"/>
    <cellStyle name="Calculation 15 3 2 4" xfId="10526"/>
    <cellStyle name="Calculation 15 3 2 4 2" xfId="22642"/>
    <cellStyle name="Calculation 15 3 2 4 2 2" xfId="43828"/>
    <cellStyle name="Calculation 15 3 2 4 3" xfId="33224"/>
    <cellStyle name="Calculation 15 3 2 5" xfId="17529"/>
    <cellStyle name="Calculation 15 3 2 5 2" xfId="38716"/>
    <cellStyle name="Calculation 15 3 2 6" xfId="27836"/>
    <cellStyle name="Calculation 15 3 2_Table 2A-1_EFT (Annual)" xfId="3862"/>
    <cellStyle name="Calculation 15 3 3" xfId="916"/>
    <cellStyle name="Calculation 15 3 3 2" xfId="4477"/>
    <cellStyle name="Calculation 15 3 3 2 2" xfId="12739"/>
    <cellStyle name="Calculation 15 3 3 2 2 2" xfId="24749"/>
    <cellStyle name="Calculation 15 3 3 2 2 2 2" xfId="45935"/>
    <cellStyle name="Calculation 15 3 3 2 2 3" xfId="35331"/>
    <cellStyle name="Calculation 15 3 3 2 3" xfId="19636"/>
    <cellStyle name="Calculation 15 3 3 2 3 2" xfId="40823"/>
    <cellStyle name="Calculation 15 3 3 2 4" xfId="30134"/>
    <cellStyle name="Calculation 15 3 3 2_Table 2A-1_EFT (Annual)" xfId="14816"/>
    <cellStyle name="Calculation 15 3 3 3" xfId="10086"/>
    <cellStyle name="Calculation 15 3 3 3 2" xfId="22203"/>
    <cellStyle name="Calculation 15 3 3 3 2 2" xfId="43389"/>
    <cellStyle name="Calculation 15 3 3 3 3" xfId="32785"/>
    <cellStyle name="Calculation 15 3 3 4" xfId="17090"/>
    <cellStyle name="Calculation 15 3 3 4 2" xfId="38277"/>
    <cellStyle name="Calculation 15 3 3 5" xfId="27391"/>
    <cellStyle name="Calculation 15 3 3_Table 2A-1_EFT (Annual)" xfId="3636"/>
    <cellStyle name="Calculation 15 3 4" xfId="2100"/>
    <cellStyle name="Calculation 15 3 4 2" xfId="5661"/>
    <cellStyle name="Calculation 15 3 4 2 2" xfId="13876"/>
    <cellStyle name="Calculation 15 3 4 2 2 2" xfId="25864"/>
    <cellStyle name="Calculation 15 3 4 2 2 2 2" xfId="47050"/>
    <cellStyle name="Calculation 15 3 4 2 2 3" xfId="36446"/>
    <cellStyle name="Calculation 15 3 4 2 3" xfId="20751"/>
    <cellStyle name="Calculation 15 3 4 2 3 2" xfId="41938"/>
    <cellStyle name="Calculation 15 3 4 2 4" xfId="31318"/>
    <cellStyle name="Calculation 15 3 4 2_Table 2A-1_EFT (Annual)" xfId="14815"/>
    <cellStyle name="Calculation 15 3 4 3" xfId="11220"/>
    <cellStyle name="Calculation 15 3 4 3 2" xfId="23318"/>
    <cellStyle name="Calculation 15 3 4 3 2 2" xfId="44504"/>
    <cellStyle name="Calculation 15 3 4 3 3" xfId="33900"/>
    <cellStyle name="Calculation 15 3 4 4" xfId="18205"/>
    <cellStyle name="Calculation 15 3 4 4 2" xfId="39392"/>
    <cellStyle name="Calculation 15 3 4 5" xfId="28575"/>
    <cellStyle name="Calculation 15 3 4_Table 2A-1_EFT (Annual)" xfId="4256"/>
    <cellStyle name="Calculation 15 3 5" xfId="3948"/>
    <cellStyle name="Calculation 15 3 5 2" xfId="12276"/>
    <cellStyle name="Calculation 15 3 5 2 2" xfId="24300"/>
    <cellStyle name="Calculation 15 3 5 2 2 2" xfId="45486"/>
    <cellStyle name="Calculation 15 3 5 2 3" xfId="34882"/>
    <cellStyle name="Calculation 15 3 5 3" xfId="19187"/>
    <cellStyle name="Calculation 15 3 5 3 2" xfId="40374"/>
    <cellStyle name="Calculation 15 3 5 4" xfId="29636"/>
    <cellStyle name="Calculation 15 3 5_Table 2A-1_EFT (Annual)" xfId="14814"/>
    <cellStyle name="Calculation 15 3 6" xfId="9613"/>
    <cellStyle name="Calculation 15 3 6 2" xfId="21754"/>
    <cellStyle name="Calculation 15 3 6 2 2" xfId="42940"/>
    <cellStyle name="Calculation 15 3 6 3" xfId="32336"/>
    <cellStyle name="Calculation 15 3 7" xfId="16641"/>
    <cellStyle name="Calculation 15 3 7 2" xfId="37828"/>
    <cellStyle name="Calculation 15 3 8" xfId="26893"/>
    <cellStyle name="Calculation 15 3_Table 2A-1_EFT (Annual)" xfId="2908"/>
    <cellStyle name="Calculation 15 4" xfId="1195"/>
    <cellStyle name="Calculation 15 4 2" xfId="2465"/>
    <cellStyle name="Calculation 15 4 2 2" xfId="6026"/>
    <cellStyle name="Calculation 15 4 2 2 2" xfId="14220"/>
    <cellStyle name="Calculation 15 4 2 2 2 2" xfId="26192"/>
    <cellStyle name="Calculation 15 4 2 2 2 2 2" xfId="47378"/>
    <cellStyle name="Calculation 15 4 2 2 2 3" xfId="36774"/>
    <cellStyle name="Calculation 15 4 2 2 3" xfId="21079"/>
    <cellStyle name="Calculation 15 4 2 2 3 2" xfId="42266"/>
    <cellStyle name="Calculation 15 4 2 2 4" xfId="31682"/>
    <cellStyle name="Calculation 15 4 2 2_Table 2A-1_EFT (Annual)" xfId="14813"/>
    <cellStyle name="Calculation 15 4 2 3" xfId="11562"/>
    <cellStyle name="Calculation 15 4 2 3 2" xfId="23646"/>
    <cellStyle name="Calculation 15 4 2 3 2 2" xfId="44832"/>
    <cellStyle name="Calculation 15 4 2 3 3" xfId="34228"/>
    <cellStyle name="Calculation 15 4 2 4" xfId="18533"/>
    <cellStyle name="Calculation 15 4 2 4 2" xfId="39720"/>
    <cellStyle name="Calculation 15 4 2 5" xfId="28939"/>
    <cellStyle name="Calculation 15 4 2_Table 2A-1_EFT (Annual)" xfId="4255"/>
    <cellStyle name="Calculation 15 4 3" xfId="4756"/>
    <cellStyle name="Calculation 15 4 3 2" xfId="13016"/>
    <cellStyle name="Calculation 15 4 3 2 2" xfId="25022"/>
    <cellStyle name="Calculation 15 4 3 2 2 2" xfId="46208"/>
    <cellStyle name="Calculation 15 4 3 2 3" xfId="35604"/>
    <cellStyle name="Calculation 15 4 3 3" xfId="19909"/>
    <cellStyle name="Calculation 15 4 3 3 2" xfId="41096"/>
    <cellStyle name="Calculation 15 4 3 4" xfId="30413"/>
    <cellStyle name="Calculation 15 4 3_Table 2A-1_EFT (Annual)" xfId="14812"/>
    <cellStyle name="Calculation 15 4 4" xfId="10360"/>
    <cellStyle name="Calculation 15 4 4 2" xfId="22476"/>
    <cellStyle name="Calculation 15 4 4 2 2" xfId="43662"/>
    <cellStyle name="Calculation 15 4 4 3" xfId="33058"/>
    <cellStyle name="Calculation 15 4 5" xfId="17363"/>
    <cellStyle name="Calculation 15 4 5 2" xfId="38550"/>
    <cellStyle name="Calculation 15 4 6" xfId="27670"/>
    <cellStyle name="Calculation 15 4_Table 2A-1_EFT (Annual)" xfId="3635"/>
    <cellStyle name="Calculation 15 5" xfId="757"/>
    <cellStyle name="Calculation 15 5 2" xfId="4318"/>
    <cellStyle name="Calculation 15 5 2 2" xfId="12598"/>
    <cellStyle name="Calculation 15 5 2 2 2" xfId="24615"/>
    <cellStyle name="Calculation 15 5 2 2 2 2" xfId="45801"/>
    <cellStyle name="Calculation 15 5 2 2 3" xfId="35197"/>
    <cellStyle name="Calculation 15 5 2 3" xfId="19502"/>
    <cellStyle name="Calculation 15 5 2 3 2" xfId="40689"/>
    <cellStyle name="Calculation 15 5 2 4" xfId="29975"/>
    <cellStyle name="Calculation 15 5 2_Table 2A-1_EFT (Annual)" xfId="14811"/>
    <cellStyle name="Calculation 15 5 3" xfId="9946"/>
    <cellStyle name="Calculation 15 5 3 2" xfId="22069"/>
    <cellStyle name="Calculation 15 5 3 2 2" xfId="43255"/>
    <cellStyle name="Calculation 15 5 3 3" xfId="32651"/>
    <cellStyle name="Calculation 15 5 4" xfId="16956"/>
    <cellStyle name="Calculation 15 5 4 2" xfId="38143"/>
    <cellStyle name="Calculation 15 5 5" xfId="27232"/>
    <cellStyle name="Calculation 15 5_Table 2A-1_EFT (Annual)" xfId="3860"/>
    <cellStyle name="Calculation 15 6" xfId="1783"/>
    <cellStyle name="Calculation 15 6 2" xfId="5344"/>
    <cellStyle name="Calculation 15 6 2 2" xfId="13559"/>
    <cellStyle name="Calculation 15 6 2 2 2" xfId="25547"/>
    <cellStyle name="Calculation 15 6 2 2 2 2" xfId="46733"/>
    <cellStyle name="Calculation 15 6 2 2 3" xfId="36129"/>
    <cellStyle name="Calculation 15 6 2 3" xfId="20434"/>
    <cellStyle name="Calculation 15 6 2 3 2" xfId="41621"/>
    <cellStyle name="Calculation 15 6 2 4" xfId="31001"/>
    <cellStyle name="Calculation 15 6 2_Table 2A-1_EFT (Annual)" xfId="14810"/>
    <cellStyle name="Calculation 15 6 3" xfId="10903"/>
    <cellStyle name="Calculation 15 6 3 2" xfId="23001"/>
    <cellStyle name="Calculation 15 6 3 2 2" xfId="44187"/>
    <cellStyle name="Calculation 15 6 3 3" xfId="33583"/>
    <cellStyle name="Calculation 15 6 4" xfId="17888"/>
    <cellStyle name="Calculation 15 6 4 2" xfId="39075"/>
    <cellStyle name="Calculation 15 6 5" xfId="28258"/>
    <cellStyle name="Calculation 15 6_Table 2A-1_EFT (Annual)" xfId="3634"/>
    <cellStyle name="Calculation 15 7" xfId="3736"/>
    <cellStyle name="Calculation 15 7 2" xfId="12104"/>
    <cellStyle name="Calculation 15 7 2 2" xfId="24134"/>
    <cellStyle name="Calculation 15 7 2 2 2" xfId="45320"/>
    <cellStyle name="Calculation 15 7 2 3" xfId="34716"/>
    <cellStyle name="Calculation 15 7 3" xfId="19021"/>
    <cellStyle name="Calculation 15 7 3 2" xfId="40208"/>
    <cellStyle name="Calculation 15 7 4" xfId="29445"/>
    <cellStyle name="Calculation 15 7_Table 2A-1_EFT (Annual)" xfId="14809"/>
    <cellStyle name="Calculation 15 8" xfId="9423"/>
    <cellStyle name="Calculation 15 8 2" xfId="21588"/>
    <cellStyle name="Calculation 15 8 2 2" xfId="42774"/>
    <cellStyle name="Calculation 15 8 3" xfId="32170"/>
    <cellStyle name="Calculation 15 9" xfId="16475"/>
    <cellStyle name="Calculation 15 9 2" xfId="37662"/>
    <cellStyle name="Calculation 15_Table 2A-1_EFT (Annual)" xfId="2906"/>
    <cellStyle name="Calculation 16" xfId="156"/>
    <cellStyle name="Calculation 16 10" xfId="26711"/>
    <cellStyle name="Calculation 16 2" xfId="549"/>
    <cellStyle name="Calculation 16 2 2" xfId="1526"/>
    <cellStyle name="Calculation 16 2 2 2" xfId="2796"/>
    <cellStyle name="Calculation 16 2 2 2 2" xfId="6357"/>
    <cellStyle name="Calculation 16 2 2 2 2 2" xfId="14551"/>
    <cellStyle name="Calculation 16 2 2 2 2 2 2" xfId="26523"/>
    <cellStyle name="Calculation 16 2 2 2 2 2 2 2" xfId="47709"/>
    <cellStyle name="Calculation 16 2 2 2 2 2 3" xfId="37105"/>
    <cellStyle name="Calculation 16 2 2 2 2 3" xfId="21410"/>
    <cellStyle name="Calculation 16 2 2 2 2 3 2" xfId="42597"/>
    <cellStyle name="Calculation 16 2 2 2 2 4" xfId="32013"/>
    <cellStyle name="Calculation 16 2 2 2 2_Table 2A-1_EFT (Annual)" xfId="14808"/>
    <cellStyle name="Calculation 16 2 2 2 3" xfId="11893"/>
    <cellStyle name="Calculation 16 2 2 2 3 2" xfId="23977"/>
    <cellStyle name="Calculation 16 2 2 2 3 2 2" xfId="45163"/>
    <cellStyle name="Calculation 16 2 2 2 3 3" xfId="34559"/>
    <cellStyle name="Calculation 16 2 2 2 4" xfId="18864"/>
    <cellStyle name="Calculation 16 2 2 2 4 2" xfId="40051"/>
    <cellStyle name="Calculation 16 2 2 2 5" xfId="29270"/>
    <cellStyle name="Calculation 16 2 2 2_Table 2A-1_EFT (Annual)" xfId="3859"/>
    <cellStyle name="Calculation 16 2 2 3" xfId="5087"/>
    <cellStyle name="Calculation 16 2 2 3 2" xfId="13347"/>
    <cellStyle name="Calculation 16 2 2 3 2 2" xfId="25353"/>
    <cellStyle name="Calculation 16 2 2 3 2 2 2" xfId="46539"/>
    <cellStyle name="Calculation 16 2 2 3 2 3" xfId="35935"/>
    <cellStyle name="Calculation 16 2 2 3 3" xfId="20240"/>
    <cellStyle name="Calculation 16 2 2 3 3 2" xfId="41427"/>
    <cellStyle name="Calculation 16 2 2 3 4" xfId="30744"/>
    <cellStyle name="Calculation 16 2 2 3_Table 2A-1_EFT (Annual)" xfId="14807"/>
    <cellStyle name="Calculation 16 2 2 4" xfId="10691"/>
    <cellStyle name="Calculation 16 2 2 4 2" xfId="22807"/>
    <cellStyle name="Calculation 16 2 2 4 2 2" xfId="43993"/>
    <cellStyle name="Calculation 16 2 2 4 3" xfId="33389"/>
    <cellStyle name="Calculation 16 2 2 5" xfId="17694"/>
    <cellStyle name="Calculation 16 2 2 5 2" xfId="38881"/>
    <cellStyle name="Calculation 16 2 2 6" xfId="28001"/>
    <cellStyle name="Calculation 16 2 2_Table 2A-1_EFT (Annual)" xfId="4254"/>
    <cellStyle name="Calculation 16 2 3" xfId="1055"/>
    <cellStyle name="Calculation 16 2 3 2" xfId="4616"/>
    <cellStyle name="Calculation 16 2 3 2 2" xfId="12876"/>
    <cellStyle name="Calculation 16 2 3 2 2 2" xfId="24882"/>
    <cellStyle name="Calculation 16 2 3 2 2 2 2" xfId="46068"/>
    <cellStyle name="Calculation 16 2 3 2 2 3" xfId="35464"/>
    <cellStyle name="Calculation 16 2 3 2 3" xfId="19769"/>
    <cellStyle name="Calculation 16 2 3 2 3 2" xfId="40956"/>
    <cellStyle name="Calculation 16 2 3 2 4" xfId="30273"/>
    <cellStyle name="Calculation 16 2 3 2_Table 2A-1_EFT (Annual)" xfId="14806"/>
    <cellStyle name="Calculation 16 2 3 3" xfId="10220"/>
    <cellStyle name="Calculation 16 2 3 3 2" xfId="22336"/>
    <cellStyle name="Calculation 16 2 3 3 2 2" xfId="43522"/>
    <cellStyle name="Calculation 16 2 3 3 3" xfId="32918"/>
    <cellStyle name="Calculation 16 2 3 4" xfId="17223"/>
    <cellStyle name="Calculation 16 2 3 4 2" xfId="38410"/>
    <cellStyle name="Calculation 16 2 3 5" xfId="27530"/>
    <cellStyle name="Calculation 16 2 3_Table 2A-1_EFT (Annual)" xfId="3633"/>
    <cellStyle name="Calculation 16 2 4" xfId="2265"/>
    <cellStyle name="Calculation 16 2 4 2" xfId="5826"/>
    <cellStyle name="Calculation 16 2 4 2 2" xfId="14041"/>
    <cellStyle name="Calculation 16 2 4 2 2 2" xfId="26029"/>
    <cellStyle name="Calculation 16 2 4 2 2 2 2" xfId="47215"/>
    <cellStyle name="Calculation 16 2 4 2 2 3" xfId="36611"/>
    <cellStyle name="Calculation 16 2 4 2 3" xfId="20916"/>
    <cellStyle name="Calculation 16 2 4 2 3 2" xfId="42103"/>
    <cellStyle name="Calculation 16 2 4 2 4" xfId="31483"/>
    <cellStyle name="Calculation 16 2 4 2_Table 2A-1_EFT (Annual)" xfId="14805"/>
    <cellStyle name="Calculation 16 2 4 3" xfId="11385"/>
    <cellStyle name="Calculation 16 2 4 3 2" xfId="23483"/>
    <cellStyle name="Calculation 16 2 4 3 2 2" xfId="44669"/>
    <cellStyle name="Calculation 16 2 4 3 3" xfId="34065"/>
    <cellStyle name="Calculation 16 2 4 4" xfId="18370"/>
    <cellStyle name="Calculation 16 2 4 4 2" xfId="39557"/>
    <cellStyle name="Calculation 16 2 4 5" xfId="28740"/>
    <cellStyle name="Calculation 16 2 4_Table 2A-1_EFT (Annual)" xfId="4253"/>
    <cellStyle name="Calculation 16 2 5" xfId="4119"/>
    <cellStyle name="Calculation 16 2 5 2" xfId="12443"/>
    <cellStyle name="Calculation 16 2 5 2 2" xfId="24465"/>
    <cellStyle name="Calculation 16 2 5 2 2 2" xfId="45651"/>
    <cellStyle name="Calculation 16 2 5 2 3" xfId="35047"/>
    <cellStyle name="Calculation 16 2 5 3" xfId="19352"/>
    <cellStyle name="Calculation 16 2 5 3 2" xfId="40539"/>
    <cellStyle name="Calculation 16 2 5 4" xfId="29807"/>
    <cellStyle name="Calculation 16 2 5_Table 2A-1_EFT (Annual)" xfId="14804"/>
    <cellStyle name="Calculation 16 2 6" xfId="9782"/>
    <cellStyle name="Calculation 16 2 6 2" xfId="21919"/>
    <cellStyle name="Calculation 16 2 6 2 2" xfId="43105"/>
    <cellStyle name="Calculation 16 2 6 3" xfId="32501"/>
    <cellStyle name="Calculation 16 2 7" xfId="16806"/>
    <cellStyle name="Calculation 16 2 7 2" xfId="37993"/>
    <cellStyle name="Calculation 16 2 8" xfId="27064"/>
    <cellStyle name="Calculation 16 2_Table 2A-1_EFT (Annual)" xfId="2910"/>
    <cellStyle name="Calculation 16 3" xfId="387"/>
    <cellStyle name="Calculation 16 3 2" xfId="1370"/>
    <cellStyle name="Calculation 16 3 2 2" xfId="2640"/>
    <cellStyle name="Calculation 16 3 2 2 2" xfId="6201"/>
    <cellStyle name="Calculation 16 3 2 2 2 2" xfId="14395"/>
    <cellStyle name="Calculation 16 3 2 2 2 2 2" xfId="26367"/>
    <cellStyle name="Calculation 16 3 2 2 2 2 2 2" xfId="47553"/>
    <cellStyle name="Calculation 16 3 2 2 2 2 3" xfId="36949"/>
    <cellStyle name="Calculation 16 3 2 2 2 3" xfId="21254"/>
    <cellStyle name="Calculation 16 3 2 2 2 3 2" xfId="42441"/>
    <cellStyle name="Calculation 16 3 2 2 2 4" xfId="31857"/>
    <cellStyle name="Calculation 16 3 2 2 2_Table 2A-1_EFT (Annual)" xfId="14803"/>
    <cellStyle name="Calculation 16 3 2 2 3" xfId="11737"/>
    <cellStyle name="Calculation 16 3 2 2 3 2" xfId="23821"/>
    <cellStyle name="Calculation 16 3 2 2 3 2 2" xfId="45007"/>
    <cellStyle name="Calculation 16 3 2 2 3 3" xfId="34403"/>
    <cellStyle name="Calculation 16 3 2 2 4" xfId="18708"/>
    <cellStyle name="Calculation 16 3 2 2 4 2" xfId="39895"/>
    <cellStyle name="Calculation 16 3 2 2 5" xfId="29114"/>
    <cellStyle name="Calculation 16 3 2 2_Table 2A-1_EFT (Annual)" xfId="3858"/>
    <cellStyle name="Calculation 16 3 2 3" xfId="4931"/>
    <cellStyle name="Calculation 16 3 2 3 2" xfId="13191"/>
    <cellStyle name="Calculation 16 3 2 3 2 2" xfId="25197"/>
    <cellStyle name="Calculation 16 3 2 3 2 2 2" xfId="46383"/>
    <cellStyle name="Calculation 16 3 2 3 2 3" xfId="35779"/>
    <cellStyle name="Calculation 16 3 2 3 3" xfId="20084"/>
    <cellStyle name="Calculation 16 3 2 3 3 2" xfId="41271"/>
    <cellStyle name="Calculation 16 3 2 3 4" xfId="30588"/>
    <cellStyle name="Calculation 16 3 2 3_Table 2A-1_EFT (Annual)" xfId="14802"/>
    <cellStyle name="Calculation 16 3 2 4" xfId="10535"/>
    <cellStyle name="Calculation 16 3 2 4 2" xfId="22651"/>
    <cellStyle name="Calculation 16 3 2 4 2 2" xfId="43837"/>
    <cellStyle name="Calculation 16 3 2 4 3" xfId="33233"/>
    <cellStyle name="Calculation 16 3 2 5" xfId="17538"/>
    <cellStyle name="Calculation 16 3 2 5 2" xfId="38725"/>
    <cellStyle name="Calculation 16 3 2 6" xfId="27845"/>
    <cellStyle name="Calculation 16 3 2_Table 2A-1_EFT (Annual)" xfId="4252"/>
    <cellStyle name="Calculation 16 3 3" xfId="923"/>
    <cellStyle name="Calculation 16 3 3 2" xfId="4484"/>
    <cellStyle name="Calculation 16 3 3 2 2" xfId="12746"/>
    <cellStyle name="Calculation 16 3 3 2 2 2" xfId="24756"/>
    <cellStyle name="Calculation 16 3 3 2 2 2 2" xfId="45942"/>
    <cellStyle name="Calculation 16 3 3 2 2 3" xfId="35338"/>
    <cellStyle name="Calculation 16 3 3 2 3" xfId="19643"/>
    <cellStyle name="Calculation 16 3 3 2 3 2" xfId="40830"/>
    <cellStyle name="Calculation 16 3 3 2 4" xfId="30141"/>
    <cellStyle name="Calculation 16 3 3 2_Table 2A-1_EFT (Annual)" xfId="14801"/>
    <cellStyle name="Calculation 16 3 3 3" xfId="10093"/>
    <cellStyle name="Calculation 16 3 3 3 2" xfId="22210"/>
    <cellStyle name="Calculation 16 3 3 3 2 2" xfId="43396"/>
    <cellStyle name="Calculation 16 3 3 3 3" xfId="32792"/>
    <cellStyle name="Calculation 16 3 3 4" xfId="17097"/>
    <cellStyle name="Calculation 16 3 3 4 2" xfId="38284"/>
    <cellStyle name="Calculation 16 3 3 5" xfId="27398"/>
    <cellStyle name="Calculation 16 3 3_Table 2A-1_EFT (Annual)" xfId="3632"/>
    <cellStyle name="Calculation 16 3 4" xfId="2109"/>
    <cellStyle name="Calculation 16 3 4 2" xfId="5670"/>
    <cellStyle name="Calculation 16 3 4 2 2" xfId="13885"/>
    <cellStyle name="Calculation 16 3 4 2 2 2" xfId="25873"/>
    <cellStyle name="Calculation 16 3 4 2 2 2 2" xfId="47059"/>
    <cellStyle name="Calculation 16 3 4 2 2 3" xfId="36455"/>
    <cellStyle name="Calculation 16 3 4 2 3" xfId="20760"/>
    <cellStyle name="Calculation 16 3 4 2 3 2" xfId="41947"/>
    <cellStyle name="Calculation 16 3 4 2 4" xfId="31327"/>
    <cellStyle name="Calculation 16 3 4 2_Table 2A-1_EFT (Annual)" xfId="14800"/>
    <cellStyle name="Calculation 16 3 4 3" xfId="11229"/>
    <cellStyle name="Calculation 16 3 4 3 2" xfId="23327"/>
    <cellStyle name="Calculation 16 3 4 3 2 2" xfId="44513"/>
    <cellStyle name="Calculation 16 3 4 3 3" xfId="33909"/>
    <cellStyle name="Calculation 16 3 4 4" xfId="18214"/>
    <cellStyle name="Calculation 16 3 4 4 2" xfId="39401"/>
    <cellStyle name="Calculation 16 3 4 5" xfId="28584"/>
    <cellStyle name="Calculation 16 3 4_Table 2A-1_EFT (Annual)" xfId="4251"/>
    <cellStyle name="Calculation 16 3 5" xfId="3957"/>
    <cellStyle name="Calculation 16 3 5 2" xfId="12285"/>
    <cellStyle name="Calculation 16 3 5 2 2" xfId="24309"/>
    <cellStyle name="Calculation 16 3 5 2 2 2" xfId="45495"/>
    <cellStyle name="Calculation 16 3 5 2 3" xfId="34891"/>
    <cellStyle name="Calculation 16 3 5 3" xfId="19196"/>
    <cellStyle name="Calculation 16 3 5 3 2" xfId="40383"/>
    <cellStyle name="Calculation 16 3 5 4" xfId="29645"/>
    <cellStyle name="Calculation 16 3 5_Table 2A-1_EFT (Annual)" xfId="14799"/>
    <cellStyle name="Calculation 16 3 6" xfId="9622"/>
    <cellStyle name="Calculation 16 3 6 2" xfId="21763"/>
    <cellStyle name="Calculation 16 3 6 2 2" xfId="42949"/>
    <cellStyle name="Calculation 16 3 6 3" xfId="32345"/>
    <cellStyle name="Calculation 16 3 7" xfId="16650"/>
    <cellStyle name="Calculation 16 3 7 2" xfId="37837"/>
    <cellStyle name="Calculation 16 3 8" xfId="26902"/>
    <cellStyle name="Calculation 16 3_Table 2A-1_EFT (Annual)" xfId="2911"/>
    <cellStyle name="Calculation 16 4" xfId="1204"/>
    <cellStyle name="Calculation 16 4 2" xfId="2474"/>
    <cellStyle name="Calculation 16 4 2 2" xfId="6035"/>
    <cellStyle name="Calculation 16 4 2 2 2" xfId="14229"/>
    <cellStyle name="Calculation 16 4 2 2 2 2" xfId="26201"/>
    <cellStyle name="Calculation 16 4 2 2 2 2 2" xfId="47387"/>
    <cellStyle name="Calculation 16 4 2 2 2 3" xfId="36783"/>
    <cellStyle name="Calculation 16 4 2 2 3" xfId="21088"/>
    <cellStyle name="Calculation 16 4 2 2 3 2" xfId="42275"/>
    <cellStyle name="Calculation 16 4 2 2 4" xfId="31691"/>
    <cellStyle name="Calculation 16 4 2 2_Table 2A-1_EFT (Annual)" xfId="14798"/>
    <cellStyle name="Calculation 16 4 2 3" xfId="11571"/>
    <cellStyle name="Calculation 16 4 2 3 2" xfId="23655"/>
    <cellStyle name="Calculation 16 4 2 3 2 2" xfId="44841"/>
    <cellStyle name="Calculation 16 4 2 3 3" xfId="34237"/>
    <cellStyle name="Calculation 16 4 2 4" xfId="18542"/>
    <cellStyle name="Calculation 16 4 2 4 2" xfId="39729"/>
    <cellStyle name="Calculation 16 4 2 5" xfId="28948"/>
    <cellStyle name="Calculation 16 4 2_Table 2A-1_EFT (Annual)" xfId="3631"/>
    <cellStyle name="Calculation 16 4 3" xfId="4765"/>
    <cellStyle name="Calculation 16 4 3 2" xfId="13025"/>
    <cellStyle name="Calculation 16 4 3 2 2" xfId="25031"/>
    <cellStyle name="Calculation 16 4 3 2 2 2" xfId="46217"/>
    <cellStyle name="Calculation 16 4 3 2 3" xfId="35613"/>
    <cellStyle name="Calculation 16 4 3 3" xfId="19918"/>
    <cellStyle name="Calculation 16 4 3 3 2" xfId="41105"/>
    <cellStyle name="Calculation 16 4 3 4" xfId="30422"/>
    <cellStyle name="Calculation 16 4 3_Table 2A-1_EFT (Annual)" xfId="14797"/>
    <cellStyle name="Calculation 16 4 4" xfId="10369"/>
    <cellStyle name="Calculation 16 4 4 2" xfId="22485"/>
    <cellStyle name="Calculation 16 4 4 2 2" xfId="43671"/>
    <cellStyle name="Calculation 16 4 4 3" xfId="33067"/>
    <cellStyle name="Calculation 16 4 5" xfId="17372"/>
    <cellStyle name="Calculation 16 4 5 2" xfId="38559"/>
    <cellStyle name="Calculation 16 4 6" xfId="27679"/>
    <cellStyle name="Calculation 16 4_Table 2A-1_EFT (Annual)" xfId="3648"/>
    <cellStyle name="Calculation 16 5" xfId="764"/>
    <cellStyle name="Calculation 16 5 2" xfId="4325"/>
    <cellStyle name="Calculation 16 5 2 2" xfId="12605"/>
    <cellStyle name="Calculation 16 5 2 2 2" xfId="24622"/>
    <cellStyle name="Calculation 16 5 2 2 2 2" xfId="45808"/>
    <cellStyle name="Calculation 16 5 2 2 3" xfId="35204"/>
    <cellStyle name="Calculation 16 5 2 3" xfId="19509"/>
    <cellStyle name="Calculation 16 5 2 3 2" xfId="40696"/>
    <cellStyle name="Calculation 16 5 2 4" xfId="29982"/>
    <cellStyle name="Calculation 16 5 2_Table 2A-1_EFT (Annual)" xfId="14796"/>
    <cellStyle name="Calculation 16 5 3" xfId="9953"/>
    <cellStyle name="Calculation 16 5 3 2" xfId="22076"/>
    <cellStyle name="Calculation 16 5 3 2 2" xfId="43262"/>
    <cellStyle name="Calculation 16 5 3 3" xfId="32658"/>
    <cellStyle name="Calculation 16 5 4" xfId="16963"/>
    <cellStyle name="Calculation 16 5 4 2" xfId="38150"/>
    <cellStyle name="Calculation 16 5 5" xfId="27239"/>
    <cellStyle name="Calculation 16 5_Table 2A-1_EFT (Annual)" xfId="3659"/>
    <cellStyle name="Calculation 16 6" xfId="1846"/>
    <cellStyle name="Calculation 16 6 2" xfId="5407"/>
    <cellStyle name="Calculation 16 6 2 2" xfId="13622"/>
    <cellStyle name="Calculation 16 6 2 2 2" xfId="25610"/>
    <cellStyle name="Calculation 16 6 2 2 2 2" xfId="46796"/>
    <cellStyle name="Calculation 16 6 2 2 3" xfId="36192"/>
    <cellStyle name="Calculation 16 6 2 3" xfId="20497"/>
    <cellStyle name="Calculation 16 6 2 3 2" xfId="41684"/>
    <cellStyle name="Calculation 16 6 2 4" xfId="31064"/>
    <cellStyle name="Calculation 16 6 2_Table 2A-1_EFT (Annual)" xfId="14795"/>
    <cellStyle name="Calculation 16 6 3" xfId="10966"/>
    <cellStyle name="Calculation 16 6 3 2" xfId="23064"/>
    <cellStyle name="Calculation 16 6 3 2 2" xfId="44250"/>
    <cellStyle name="Calculation 16 6 3 3" xfId="33646"/>
    <cellStyle name="Calculation 16 6 4" xfId="17951"/>
    <cellStyle name="Calculation 16 6 4 2" xfId="39138"/>
    <cellStyle name="Calculation 16 6 5" xfId="28321"/>
    <cellStyle name="Calculation 16 6_Table 2A-1_EFT (Annual)" xfId="3630"/>
    <cellStyle name="Calculation 16 7" xfId="3745"/>
    <cellStyle name="Calculation 16 7 2" xfId="12113"/>
    <cellStyle name="Calculation 16 7 2 2" xfId="24143"/>
    <cellStyle name="Calculation 16 7 2 2 2" xfId="45329"/>
    <cellStyle name="Calculation 16 7 2 3" xfId="34725"/>
    <cellStyle name="Calculation 16 7 3" xfId="19030"/>
    <cellStyle name="Calculation 16 7 3 2" xfId="40217"/>
    <cellStyle name="Calculation 16 7 4" xfId="29454"/>
    <cellStyle name="Calculation 16 7_Table 2A-1_EFT (Annual)" xfId="14794"/>
    <cellStyle name="Calculation 16 8" xfId="9432"/>
    <cellStyle name="Calculation 16 8 2" xfId="21597"/>
    <cellStyle name="Calculation 16 8 2 2" xfId="42783"/>
    <cellStyle name="Calculation 16 8 3" xfId="32179"/>
    <cellStyle name="Calculation 16 9" xfId="16484"/>
    <cellStyle name="Calculation 16 9 2" xfId="37671"/>
    <cellStyle name="Calculation 16_Table 2A-1_EFT (Annual)" xfId="2909"/>
    <cellStyle name="Calculation 17" xfId="164"/>
    <cellStyle name="Calculation 17 10" xfId="26719"/>
    <cellStyle name="Calculation 17 2" xfId="557"/>
    <cellStyle name="Calculation 17 2 2" xfId="1534"/>
    <cellStyle name="Calculation 17 2 2 2" xfId="2804"/>
    <cellStyle name="Calculation 17 2 2 2 2" xfId="6365"/>
    <cellStyle name="Calculation 17 2 2 2 2 2" xfId="14559"/>
    <cellStyle name="Calculation 17 2 2 2 2 2 2" xfId="26531"/>
    <cellStyle name="Calculation 17 2 2 2 2 2 2 2" xfId="47717"/>
    <cellStyle name="Calculation 17 2 2 2 2 2 3" xfId="37113"/>
    <cellStyle name="Calculation 17 2 2 2 2 3" xfId="21418"/>
    <cellStyle name="Calculation 17 2 2 2 2 3 2" xfId="42605"/>
    <cellStyle name="Calculation 17 2 2 2 2 4" xfId="32021"/>
    <cellStyle name="Calculation 17 2 2 2 2_Table 2A-1_EFT (Annual)" xfId="14793"/>
    <cellStyle name="Calculation 17 2 2 2 3" xfId="11901"/>
    <cellStyle name="Calculation 17 2 2 2 3 2" xfId="23985"/>
    <cellStyle name="Calculation 17 2 2 2 3 2 2" xfId="45171"/>
    <cellStyle name="Calculation 17 2 2 2 3 3" xfId="34567"/>
    <cellStyle name="Calculation 17 2 2 2 4" xfId="18872"/>
    <cellStyle name="Calculation 17 2 2 2 4 2" xfId="40059"/>
    <cellStyle name="Calculation 17 2 2 2 5" xfId="29278"/>
    <cellStyle name="Calculation 17 2 2 2_Table 2A-1_EFT (Annual)" xfId="3686"/>
    <cellStyle name="Calculation 17 2 2 3" xfId="5095"/>
    <cellStyle name="Calculation 17 2 2 3 2" xfId="13355"/>
    <cellStyle name="Calculation 17 2 2 3 2 2" xfId="25361"/>
    <cellStyle name="Calculation 17 2 2 3 2 2 2" xfId="46547"/>
    <cellStyle name="Calculation 17 2 2 3 2 3" xfId="35943"/>
    <cellStyle name="Calculation 17 2 2 3 3" xfId="20248"/>
    <cellStyle name="Calculation 17 2 2 3 3 2" xfId="41435"/>
    <cellStyle name="Calculation 17 2 2 3 4" xfId="30752"/>
    <cellStyle name="Calculation 17 2 2 3_Table 2A-1_EFT (Annual)" xfId="14792"/>
    <cellStyle name="Calculation 17 2 2 4" xfId="10699"/>
    <cellStyle name="Calculation 17 2 2 4 2" xfId="22815"/>
    <cellStyle name="Calculation 17 2 2 4 2 2" xfId="44001"/>
    <cellStyle name="Calculation 17 2 2 4 3" xfId="33397"/>
    <cellStyle name="Calculation 17 2 2 5" xfId="17702"/>
    <cellStyle name="Calculation 17 2 2 5 2" xfId="38889"/>
    <cellStyle name="Calculation 17 2 2 6" xfId="28009"/>
    <cellStyle name="Calculation 17 2 2_Table 2A-1_EFT (Annual)" xfId="3657"/>
    <cellStyle name="Calculation 17 2 3" xfId="1061"/>
    <cellStyle name="Calculation 17 2 3 2" xfId="4622"/>
    <cellStyle name="Calculation 17 2 3 2 2" xfId="12882"/>
    <cellStyle name="Calculation 17 2 3 2 2 2" xfId="24888"/>
    <cellStyle name="Calculation 17 2 3 2 2 2 2" xfId="46074"/>
    <cellStyle name="Calculation 17 2 3 2 2 3" xfId="35470"/>
    <cellStyle name="Calculation 17 2 3 2 3" xfId="19775"/>
    <cellStyle name="Calculation 17 2 3 2 3 2" xfId="40962"/>
    <cellStyle name="Calculation 17 2 3 2 4" xfId="30279"/>
    <cellStyle name="Calculation 17 2 3 2_Table 2A-1_EFT (Annual)" xfId="14791"/>
    <cellStyle name="Calculation 17 2 3 3" xfId="10226"/>
    <cellStyle name="Calculation 17 2 3 3 2" xfId="22342"/>
    <cellStyle name="Calculation 17 2 3 3 2 2" xfId="43528"/>
    <cellStyle name="Calculation 17 2 3 3 3" xfId="32924"/>
    <cellStyle name="Calculation 17 2 3 4" xfId="17229"/>
    <cellStyle name="Calculation 17 2 3 4 2" xfId="38416"/>
    <cellStyle name="Calculation 17 2 3 5" xfId="27536"/>
    <cellStyle name="Calculation 17 2 3_Table 2A-1_EFT (Annual)" xfId="3629"/>
    <cellStyle name="Calculation 17 2 4" xfId="2273"/>
    <cellStyle name="Calculation 17 2 4 2" xfId="5834"/>
    <cellStyle name="Calculation 17 2 4 2 2" xfId="14049"/>
    <cellStyle name="Calculation 17 2 4 2 2 2" xfId="26037"/>
    <cellStyle name="Calculation 17 2 4 2 2 2 2" xfId="47223"/>
    <cellStyle name="Calculation 17 2 4 2 2 3" xfId="36619"/>
    <cellStyle name="Calculation 17 2 4 2 3" xfId="20924"/>
    <cellStyle name="Calculation 17 2 4 2 3 2" xfId="42111"/>
    <cellStyle name="Calculation 17 2 4 2 4" xfId="31491"/>
    <cellStyle name="Calculation 17 2 4 2_Table 2A-1_EFT (Annual)" xfId="14790"/>
    <cellStyle name="Calculation 17 2 4 3" xfId="11393"/>
    <cellStyle name="Calculation 17 2 4 3 2" xfId="23491"/>
    <cellStyle name="Calculation 17 2 4 3 2 2" xfId="44677"/>
    <cellStyle name="Calculation 17 2 4 3 3" xfId="34073"/>
    <cellStyle name="Calculation 17 2 4 4" xfId="18378"/>
    <cellStyle name="Calculation 17 2 4 4 2" xfId="39565"/>
    <cellStyle name="Calculation 17 2 4 5" xfId="28748"/>
    <cellStyle name="Calculation 17 2 4_Table 2A-1_EFT (Annual)" xfId="3646"/>
    <cellStyle name="Calculation 17 2 5" xfId="4127"/>
    <cellStyle name="Calculation 17 2 5 2" xfId="12451"/>
    <cellStyle name="Calculation 17 2 5 2 2" xfId="24473"/>
    <cellStyle name="Calculation 17 2 5 2 2 2" xfId="45659"/>
    <cellStyle name="Calculation 17 2 5 2 3" xfId="35055"/>
    <cellStyle name="Calculation 17 2 5 3" xfId="19360"/>
    <cellStyle name="Calculation 17 2 5 3 2" xfId="40547"/>
    <cellStyle name="Calculation 17 2 5 4" xfId="29815"/>
    <cellStyle name="Calculation 17 2 5_Table 2A-1_EFT (Annual)" xfId="14789"/>
    <cellStyle name="Calculation 17 2 6" xfId="9790"/>
    <cellStyle name="Calculation 17 2 6 2" xfId="21927"/>
    <cellStyle name="Calculation 17 2 6 2 2" xfId="43113"/>
    <cellStyle name="Calculation 17 2 6 3" xfId="32509"/>
    <cellStyle name="Calculation 17 2 7" xfId="16814"/>
    <cellStyle name="Calculation 17 2 7 2" xfId="38001"/>
    <cellStyle name="Calculation 17 2 8" xfId="27072"/>
    <cellStyle name="Calculation 17 2_Table 2A-1_EFT (Annual)" xfId="2913"/>
    <cellStyle name="Calculation 17 3" xfId="395"/>
    <cellStyle name="Calculation 17 3 2" xfId="1378"/>
    <cellStyle name="Calculation 17 3 2 2" xfId="2648"/>
    <cellStyle name="Calculation 17 3 2 2 2" xfId="6209"/>
    <cellStyle name="Calculation 17 3 2 2 2 2" xfId="14403"/>
    <cellStyle name="Calculation 17 3 2 2 2 2 2" xfId="26375"/>
    <cellStyle name="Calculation 17 3 2 2 2 2 2 2" xfId="47561"/>
    <cellStyle name="Calculation 17 3 2 2 2 2 3" xfId="36957"/>
    <cellStyle name="Calculation 17 3 2 2 2 3" xfId="21262"/>
    <cellStyle name="Calculation 17 3 2 2 2 3 2" xfId="42449"/>
    <cellStyle name="Calculation 17 3 2 2 2 4" xfId="31865"/>
    <cellStyle name="Calculation 17 3 2 2 2_Table 2A-1_EFT (Annual)" xfId="14788"/>
    <cellStyle name="Calculation 17 3 2 2 3" xfId="11745"/>
    <cellStyle name="Calculation 17 3 2 2 3 2" xfId="23829"/>
    <cellStyle name="Calculation 17 3 2 2 3 2 2" xfId="45015"/>
    <cellStyle name="Calculation 17 3 2 2 3 3" xfId="34411"/>
    <cellStyle name="Calculation 17 3 2 2 4" xfId="18716"/>
    <cellStyle name="Calculation 17 3 2 2 4 2" xfId="39903"/>
    <cellStyle name="Calculation 17 3 2 2 5" xfId="29122"/>
    <cellStyle name="Calculation 17 3 2 2_Table 2A-1_EFT (Annual)" xfId="3627"/>
    <cellStyle name="Calculation 17 3 2 3" xfId="4939"/>
    <cellStyle name="Calculation 17 3 2 3 2" xfId="13199"/>
    <cellStyle name="Calculation 17 3 2 3 2 2" xfId="25205"/>
    <cellStyle name="Calculation 17 3 2 3 2 2 2" xfId="46391"/>
    <cellStyle name="Calculation 17 3 2 3 2 3" xfId="35787"/>
    <cellStyle name="Calculation 17 3 2 3 3" xfId="20092"/>
    <cellStyle name="Calculation 17 3 2 3 3 2" xfId="41279"/>
    <cellStyle name="Calculation 17 3 2 3 4" xfId="30596"/>
    <cellStyle name="Calculation 17 3 2 3_Table 2A-1_EFT (Annual)" xfId="14787"/>
    <cellStyle name="Calculation 17 3 2 4" xfId="10543"/>
    <cellStyle name="Calculation 17 3 2 4 2" xfId="22659"/>
    <cellStyle name="Calculation 17 3 2 4 2 2" xfId="43845"/>
    <cellStyle name="Calculation 17 3 2 4 3" xfId="33241"/>
    <cellStyle name="Calculation 17 3 2 5" xfId="17546"/>
    <cellStyle name="Calculation 17 3 2 5 2" xfId="38733"/>
    <cellStyle name="Calculation 17 3 2 6" xfId="27853"/>
    <cellStyle name="Calculation 17 3 2_Table 2A-1_EFT (Annual)" xfId="3628"/>
    <cellStyle name="Calculation 17 3 3" xfId="929"/>
    <cellStyle name="Calculation 17 3 3 2" xfId="4490"/>
    <cellStyle name="Calculation 17 3 3 2 2" xfId="12752"/>
    <cellStyle name="Calculation 17 3 3 2 2 2" xfId="24762"/>
    <cellStyle name="Calculation 17 3 3 2 2 2 2" xfId="45948"/>
    <cellStyle name="Calculation 17 3 3 2 2 3" xfId="35344"/>
    <cellStyle name="Calculation 17 3 3 2 3" xfId="19649"/>
    <cellStyle name="Calculation 17 3 3 2 3 2" xfId="40836"/>
    <cellStyle name="Calculation 17 3 3 2 4" xfId="30147"/>
    <cellStyle name="Calculation 17 3 3 2_Table 2A-1_EFT (Annual)" xfId="14786"/>
    <cellStyle name="Calculation 17 3 3 3" xfId="10099"/>
    <cellStyle name="Calculation 17 3 3 3 2" xfId="22216"/>
    <cellStyle name="Calculation 17 3 3 3 2 2" xfId="43402"/>
    <cellStyle name="Calculation 17 3 3 3 3" xfId="32798"/>
    <cellStyle name="Calculation 17 3 3 4" xfId="17103"/>
    <cellStyle name="Calculation 17 3 3 4 2" xfId="38290"/>
    <cellStyle name="Calculation 17 3 3 5" xfId="27404"/>
    <cellStyle name="Calculation 17 3 3_Table 2A-1_EFT (Annual)" xfId="4250"/>
    <cellStyle name="Calculation 17 3 4" xfId="2117"/>
    <cellStyle name="Calculation 17 3 4 2" xfId="5678"/>
    <cellStyle name="Calculation 17 3 4 2 2" xfId="13893"/>
    <cellStyle name="Calculation 17 3 4 2 2 2" xfId="25881"/>
    <cellStyle name="Calculation 17 3 4 2 2 2 2" xfId="47067"/>
    <cellStyle name="Calculation 17 3 4 2 2 3" xfId="36463"/>
    <cellStyle name="Calculation 17 3 4 2 3" xfId="20768"/>
    <cellStyle name="Calculation 17 3 4 2 3 2" xfId="41955"/>
    <cellStyle name="Calculation 17 3 4 2 4" xfId="31335"/>
    <cellStyle name="Calculation 17 3 4 2_Table 2A-1_EFT (Annual)" xfId="14785"/>
    <cellStyle name="Calculation 17 3 4 3" xfId="11237"/>
    <cellStyle name="Calculation 17 3 4 3 2" xfId="23335"/>
    <cellStyle name="Calculation 17 3 4 3 2 2" xfId="44521"/>
    <cellStyle name="Calculation 17 3 4 3 3" xfId="33917"/>
    <cellStyle name="Calculation 17 3 4 4" xfId="18222"/>
    <cellStyle name="Calculation 17 3 4 4 2" xfId="39409"/>
    <cellStyle name="Calculation 17 3 4 5" xfId="28592"/>
    <cellStyle name="Calculation 17 3 4_Table 2A-1_EFT (Annual)" xfId="3857"/>
    <cellStyle name="Calculation 17 3 5" xfId="3965"/>
    <cellStyle name="Calculation 17 3 5 2" xfId="12293"/>
    <cellStyle name="Calculation 17 3 5 2 2" xfId="24317"/>
    <cellStyle name="Calculation 17 3 5 2 2 2" xfId="45503"/>
    <cellStyle name="Calculation 17 3 5 2 3" xfId="34899"/>
    <cellStyle name="Calculation 17 3 5 3" xfId="19204"/>
    <cellStyle name="Calculation 17 3 5 3 2" xfId="40391"/>
    <cellStyle name="Calculation 17 3 5 4" xfId="29653"/>
    <cellStyle name="Calculation 17 3 5_Table 2A-1_EFT (Annual)" xfId="14784"/>
    <cellStyle name="Calculation 17 3 6" xfId="9630"/>
    <cellStyle name="Calculation 17 3 6 2" xfId="21771"/>
    <cellStyle name="Calculation 17 3 6 2 2" xfId="42957"/>
    <cellStyle name="Calculation 17 3 6 3" xfId="32353"/>
    <cellStyle name="Calculation 17 3 7" xfId="16658"/>
    <cellStyle name="Calculation 17 3 7 2" xfId="37845"/>
    <cellStyle name="Calculation 17 3 8" xfId="26910"/>
    <cellStyle name="Calculation 17 3_Table 2A-1_EFT (Annual)" xfId="2914"/>
    <cellStyle name="Calculation 17 4" xfId="1212"/>
    <cellStyle name="Calculation 17 4 2" xfId="2482"/>
    <cellStyle name="Calculation 17 4 2 2" xfId="6043"/>
    <cellStyle name="Calculation 17 4 2 2 2" xfId="14237"/>
    <cellStyle name="Calculation 17 4 2 2 2 2" xfId="26209"/>
    <cellStyle name="Calculation 17 4 2 2 2 2 2" xfId="47395"/>
    <cellStyle name="Calculation 17 4 2 2 2 3" xfId="36791"/>
    <cellStyle name="Calculation 17 4 2 2 3" xfId="21096"/>
    <cellStyle name="Calculation 17 4 2 2 3 2" xfId="42283"/>
    <cellStyle name="Calculation 17 4 2 2 4" xfId="31699"/>
    <cellStyle name="Calculation 17 4 2 2_Table 2A-1_EFT (Annual)" xfId="14783"/>
    <cellStyle name="Calculation 17 4 2 3" xfId="11579"/>
    <cellStyle name="Calculation 17 4 2 3 2" xfId="23663"/>
    <cellStyle name="Calculation 17 4 2 3 2 2" xfId="44849"/>
    <cellStyle name="Calculation 17 4 2 3 3" xfId="34245"/>
    <cellStyle name="Calculation 17 4 2 4" xfId="18550"/>
    <cellStyle name="Calculation 17 4 2 4 2" xfId="39737"/>
    <cellStyle name="Calculation 17 4 2 5" xfId="28956"/>
    <cellStyle name="Calculation 17 4 2_Table 2A-1_EFT (Annual)" xfId="4248"/>
    <cellStyle name="Calculation 17 4 3" xfId="4773"/>
    <cellStyle name="Calculation 17 4 3 2" xfId="13033"/>
    <cellStyle name="Calculation 17 4 3 2 2" xfId="25039"/>
    <cellStyle name="Calculation 17 4 3 2 2 2" xfId="46225"/>
    <cellStyle name="Calculation 17 4 3 2 3" xfId="35621"/>
    <cellStyle name="Calculation 17 4 3 3" xfId="19926"/>
    <cellStyle name="Calculation 17 4 3 3 2" xfId="41113"/>
    <cellStyle name="Calculation 17 4 3 4" xfId="30430"/>
    <cellStyle name="Calculation 17 4 3_Table 2A-1_EFT (Annual)" xfId="14782"/>
    <cellStyle name="Calculation 17 4 4" xfId="10377"/>
    <cellStyle name="Calculation 17 4 4 2" xfId="22493"/>
    <cellStyle name="Calculation 17 4 4 2 2" xfId="43679"/>
    <cellStyle name="Calculation 17 4 4 3" xfId="33075"/>
    <cellStyle name="Calculation 17 4 5" xfId="17380"/>
    <cellStyle name="Calculation 17 4 5 2" xfId="38567"/>
    <cellStyle name="Calculation 17 4 6" xfId="27687"/>
    <cellStyle name="Calculation 17 4_Table 2A-1_EFT (Annual)" xfId="3626"/>
    <cellStyle name="Calculation 17 5" xfId="770"/>
    <cellStyle name="Calculation 17 5 2" xfId="4331"/>
    <cellStyle name="Calculation 17 5 2 2" xfId="12611"/>
    <cellStyle name="Calculation 17 5 2 2 2" xfId="24628"/>
    <cellStyle name="Calculation 17 5 2 2 2 2" xfId="45814"/>
    <cellStyle name="Calculation 17 5 2 2 3" xfId="35210"/>
    <cellStyle name="Calculation 17 5 2 3" xfId="19515"/>
    <cellStyle name="Calculation 17 5 2 3 2" xfId="40702"/>
    <cellStyle name="Calculation 17 5 2 4" xfId="29988"/>
    <cellStyle name="Calculation 17 5 2_Table 2A-1_EFT (Annual)" xfId="14781"/>
    <cellStyle name="Calculation 17 5 3" xfId="9959"/>
    <cellStyle name="Calculation 17 5 3 2" xfId="22082"/>
    <cellStyle name="Calculation 17 5 3 2 2" xfId="43268"/>
    <cellStyle name="Calculation 17 5 3 3" xfId="32664"/>
    <cellStyle name="Calculation 17 5 4" xfId="16969"/>
    <cellStyle name="Calculation 17 5 4 2" xfId="38156"/>
    <cellStyle name="Calculation 17 5 5" xfId="27245"/>
    <cellStyle name="Calculation 17 5_Table 2A-1_EFT (Annual)" xfId="3855"/>
    <cellStyle name="Calculation 17 6" xfId="1951"/>
    <cellStyle name="Calculation 17 6 2" xfId="5512"/>
    <cellStyle name="Calculation 17 6 2 2" xfId="13727"/>
    <cellStyle name="Calculation 17 6 2 2 2" xfId="25715"/>
    <cellStyle name="Calculation 17 6 2 2 2 2" xfId="46901"/>
    <cellStyle name="Calculation 17 6 2 2 3" xfId="36297"/>
    <cellStyle name="Calculation 17 6 2 3" xfId="20602"/>
    <cellStyle name="Calculation 17 6 2 3 2" xfId="41789"/>
    <cellStyle name="Calculation 17 6 2 4" xfId="31169"/>
    <cellStyle name="Calculation 17 6 2_Table 2A-1_EFT (Annual)" xfId="14780"/>
    <cellStyle name="Calculation 17 6 3" xfId="11071"/>
    <cellStyle name="Calculation 17 6 3 2" xfId="23169"/>
    <cellStyle name="Calculation 17 6 3 2 2" xfId="44355"/>
    <cellStyle name="Calculation 17 6 3 3" xfId="33751"/>
    <cellStyle name="Calculation 17 6 4" xfId="18056"/>
    <cellStyle name="Calculation 17 6 4 2" xfId="39243"/>
    <cellStyle name="Calculation 17 6 5" xfId="28426"/>
    <cellStyle name="Calculation 17 6_Table 2A-1_EFT (Annual)" xfId="3625"/>
    <cellStyle name="Calculation 17 7" xfId="3753"/>
    <cellStyle name="Calculation 17 7 2" xfId="12121"/>
    <cellStyle name="Calculation 17 7 2 2" xfId="24151"/>
    <cellStyle name="Calculation 17 7 2 2 2" xfId="45337"/>
    <cellStyle name="Calculation 17 7 2 3" xfId="34733"/>
    <cellStyle name="Calculation 17 7 3" xfId="19038"/>
    <cellStyle name="Calculation 17 7 3 2" xfId="40225"/>
    <cellStyle name="Calculation 17 7 4" xfId="29462"/>
    <cellStyle name="Calculation 17 7_Table 2A-1_EFT (Annual)" xfId="14779"/>
    <cellStyle name="Calculation 17 8" xfId="9440"/>
    <cellStyle name="Calculation 17 8 2" xfId="21605"/>
    <cellStyle name="Calculation 17 8 2 2" xfId="42791"/>
    <cellStyle name="Calculation 17 8 3" xfId="32187"/>
    <cellStyle name="Calculation 17 9" xfId="16492"/>
    <cellStyle name="Calculation 17 9 2" xfId="37679"/>
    <cellStyle name="Calculation 17_Table 2A-1_EFT (Annual)" xfId="2912"/>
    <cellStyle name="Calculation 18" xfId="168"/>
    <cellStyle name="Calculation 18 10" xfId="26723"/>
    <cellStyle name="Calculation 18 2" xfId="561"/>
    <cellStyle name="Calculation 18 2 2" xfId="1538"/>
    <cellStyle name="Calculation 18 2 2 2" xfId="2808"/>
    <cellStyle name="Calculation 18 2 2 2 2" xfId="6369"/>
    <cellStyle name="Calculation 18 2 2 2 2 2" xfId="14563"/>
    <cellStyle name="Calculation 18 2 2 2 2 2 2" xfId="26535"/>
    <cellStyle name="Calculation 18 2 2 2 2 2 2 2" xfId="47721"/>
    <cellStyle name="Calculation 18 2 2 2 2 2 3" xfId="37117"/>
    <cellStyle name="Calculation 18 2 2 2 2 3" xfId="21422"/>
    <cellStyle name="Calculation 18 2 2 2 2 3 2" xfId="42609"/>
    <cellStyle name="Calculation 18 2 2 2 2 4" xfId="32025"/>
    <cellStyle name="Calculation 18 2 2 2 2_Table 2A-1_EFT (Annual)" xfId="14778"/>
    <cellStyle name="Calculation 18 2 2 2 3" xfId="11905"/>
    <cellStyle name="Calculation 18 2 2 2 3 2" xfId="23989"/>
    <cellStyle name="Calculation 18 2 2 2 3 2 2" xfId="45175"/>
    <cellStyle name="Calculation 18 2 2 2 3 3" xfId="34571"/>
    <cellStyle name="Calculation 18 2 2 2 4" xfId="18876"/>
    <cellStyle name="Calculation 18 2 2 2 4 2" xfId="40063"/>
    <cellStyle name="Calculation 18 2 2 2 5" xfId="29282"/>
    <cellStyle name="Calculation 18 2 2 2_Table 2A-1_EFT (Annual)" xfId="3854"/>
    <cellStyle name="Calculation 18 2 2 3" xfId="5099"/>
    <cellStyle name="Calculation 18 2 2 3 2" xfId="13359"/>
    <cellStyle name="Calculation 18 2 2 3 2 2" xfId="25365"/>
    <cellStyle name="Calculation 18 2 2 3 2 2 2" xfId="46551"/>
    <cellStyle name="Calculation 18 2 2 3 2 3" xfId="35947"/>
    <cellStyle name="Calculation 18 2 2 3 3" xfId="20252"/>
    <cellStyle name="Calculation 18 2 2 3 3 2" xfId="41439"/>
    <cellStyle name="Calculation 18 2 2 3 4" xfId="30756"/>
    <cellStyle name="Calculation 18 2 2 3_Table 2A-1_EFT (Annual)" xfId="14777"/>
    <cellStyle name="Calculation 18 2 2 4" xfId="10703"/>
    <cellStyle name="Calculation 18 2 2 4 2" xfId="22819"/>
    <cellStyle name="Calculation 18 2 2 4 2 2" xfId="44005"/>
    <cellStyle name="Calculation 18 2 2 4 3" xfId="33401"/>
    <cellStyle name="Calculation 18 2 2 5" xfId="17706"/>
    <cellStyle name="Calculation 18 2 2 5 2" xfId="38893"/>
    <cellStyle name="Calculation 18 2 2 6" xfId="28013"/>
    <cellStyle name="Calculation 18 2 2_Table 2A-1_EFT (Annual)" xfId="4247"/>
    <cellStyle name="Calculation 18 2 3" xfId="1064"/>
    <cellStyle name="Calculation 18 2 3 2" xfId="4625"/>
    <cellStyle name="Calculation 18 2 3 2 2" xfId="12885"/>
    <cellStyle name="Calculation 18 2 3 2 2 2" xfId="24891"/>
    <cellStyle name="Calculation 18 2 3 2 2 2 2" xfId="46077"/>
    <cellStyle name="Calculation 18 2 3 2 2 3" xfId="35473"/>
    <cellStyle name="Calculation 18 2 3 2 3" xfId="19778"/>
    <cellStyle name="Calculation 18 2 3 2 3 2" xfId="40965"/>
    <cellStyle name="Calculation 18 2 3 2 4" xfId="30282"/>
    <cellStyle name="Calculation 18 2 3 2_Table 2A-1_EFT (Annual)" xfId="14776"/>
    <cellStyle name="Calculation 18 2 3 3" xfId="10229"/>
    <cellStyle name="Calculation 18 2 3 3 2" xfId="22345"/>
    <cellStyle name="Calculation 18 2 3 3 2 2" xfId="43531"/>
    <cellStyle name="Calculation 18 2 3 3 3" xfId="32927"/>
    <cellStyle name="Calculation 18 2 3 4" xfId="17232"/>
    <cellStyle name="Calculation 18 2 3 4 2" xfId="38419"/>
    <cellStyle name="Calculation 18 2 3 5" xfId="27539"/>
    <cellStyle name="Calculation 18 2 3_Table 2A-1_EFT (Annual)" xfId="3624"/>
    <cellStyle name="Calculation 18 2 4" xfId="2277"/>
    <cellStyle name="Calculation 18 2 4 2" xfId="5838"/>
    <cellStyle name="Calculation 18 2 4 2 2" xfId="14053"/>
    <cellStyle name="Calculation 18 2 4 2 2 2" xfId="26041"/>
    <cellStyle name="Calculation 18 2 4 2 2 2 2" xfId="47227"/>
    <cellStyle name="Calculation 18 2 4 2 2 3" xfId="36623"/>
    <cellStyle name="Calculation 18 2 4 2 3" xfId="20928"/>
    <cellStyle name="Calculation 18 2 4 2 3 2" xfId="42115"/>
    <cellStyle name="Calculation 18 2 4 2 4" xfId="31495"/>
    <cellStyle name="Calculation 18 2 4 2_Table 2A-1_EFT (Annual)" xfId="14775"/>
    <cellStyle name="Calculation 18 2 4 3" xfId="11397"/>
    <cellStyle name="Calculation 18 2 4 3 2" xfId="23495"/>
    <cellStyle name="Calculation 18 2 4 3 2 2" xfId="44681"/>
    <cellStyle name="Calculation 18 2 4 3 3" xfId="34077"/>
    <cellStyle name="Calculation 18 2 4 4" xfId="18382"/>
    <cellStyle name="Calculation 18 2 4 4 2" xfId="39569"/>
    <cellStyle name="Calculation 18 2 4 5" xfId="28752"/>
    <cellStyle name="Calculation 18 2 4_Table 2A-1_EFT (Annual)" xfId="4246"/>
    <cellStyle name="Calculation 18 2 5" xfId="4131"/>
    <cellStyle name="Calculation 18 2 5 2" xfId="12455"/>
    <cellStyle name="Calculation 18 2 5 2 2" xfId="24477"/>
    <cellStyle name="Calculation 18 2 5 2 2 2" xfId="45663"/>
    <cellStyle name="Calculation 18 2 5 2 3" xfId="35059"/>
    <cellStyle name="Calculation 18 2 5 3" xfId="19364"/>
    <cellStyle name="Calculation 18 2 5 3 2" xfId="40551"/>
    <cellStyle name="Calculation 18 2 5 4" xfId="29819"/>
    <cellStyle name="Calculation 18 2 5_Table 2A-1_EFT (Annual)" xfId="14774"/>
    <cellStyle name="Calculation 18 2 6" xfId="9794"/>
    <cellStyle name="Calculation 18 2 6 2" xfId="21931"/>
    <cellStyle name="Calculation 18 2 6 2 2" xfId="43117"/>
    <cellStyle name="Calculation 18 2 6 3" xfId="32513"/>
    <cellStyle name="Calculation 18 2 7" xfId="16818"/>
    <cellStyle name="Calculation 18 2 7 2" xfId="38005"/>
    <cellStyle name="Calculation 18 2 8" xfId="27076"/>
    <cellStyle name="Calculation 18 2_Table 2A-1_EFT (Annual)" xfId="2916"/>
    <cellStyle name="Calculation 18 3" xfId="399"/>
    <cellStyle name="Calculation 18 3 2" xfId="1382"/>
    <cellStyle name="Calculation 18 3 2 2" xfId="2652"/>
    <cellStyle name="Calculation 18 3 2 2 2" xfId="6213"/>
    <cellStyle name="Calculation 18 3 2 2 2 2" xfId="14407"/>
    <cellStyle name="Calculation 18 3 2 2 2 2 2" xfId="26379"/>
    <cellStyle name="Calculation 18 3 2 2 2 2 2 2" xfId="47565"/>
    <cellStyle name="Calculation 18 3 2 2 2 2 3" xfId="36961"/>
    <cellStyle name="Calculation 18 3 2 2 2 3" xfId="21266"/>
    <cellStyle name="Calculation 18 3 2 2 2 3 2" xfId="42453"/>
    <cellStyle name="Calculation 18 3 2 2 2 4" xfId="31869"/>
    <cellStyle name="Calculation 18 3 2 2 2_Table 2A-1_EFT (Annual)" xfId="14773"/>
    <cellStyle name="Calculation 18 3 2 2 3" xfId="11749"/>
    <cellStyle name="Calculation 18 3 2 2 3 2" xfId="23833"/>
    <cellStyle name="Calculation 18 3 2 2 3 2 2" xfId="45019"/>
    <cellStyle name="Calculation 18 3 2 2 3 3" xfId="34415"/>
    <cellStyle name="Calculation 18 3 2 2 4" xfId="18720"/>
    <cellStyle name="Calculation 18 3 2 2 4 2" xfId="39907"/>
    <cellStyle name="Calculation 18 3 2 2 5" xfId="29126"/>
    <cellStyle name="Calculation 18 3 2 2_Table 2A-1_EFT (Annual)" xfId="3853"/>
    <cellStyle name="Calculation 18 3 2 3" xfId="4943"/>
    <cellStyle name="Calculation 18 3 2 3 2" xfId="13203"/>
    <cellStyle name="Calculation 18 3 2 3 2 2" xfId="25209"/>
    <cellStyle name="Calculation 18 3 2 3 2 2 2" xfId="46395"/>
    <cellStyle name="Calculation 18 3 2 3 2 3" xfId="35791"/>
    <cellStyle name="Calculation 18 3 2 3 3" xfId="20096"/>
    <cellStyle name="Calculation 18 3 2 3 3 2" xfId="41283"/>
    <cellStyle name="Calculation 18 3 2 3 4" xfId="30600"/>
    <cellStyle name="Calculation 18 3 2 3_Table 2A-1_EFT (Annual)" xfId="14772"/>
    <cellStyle name="Calculation 18 3 2 4" xfId="10547"/>
    <cellStyle name="Calculation 18 3 2 4 2" xfId="22663"/>
    <cellStyle name="Calculation 18 3 2 4 2 2" xfId="43849"/>
    <cellStyle name="Calculation 18 3 2 4 3" xfId="33245"/>
    <cellStyle name="Calculation 18 3 2 5" xfId="17550"/>
    <cellStyle name="Calculation 18 3 2 5 2" xfId="38737"/>
    <cellStyle name="Calculation 18 3 2 6" xfId="27857"/>
    <cellStyle name="Calculation 18 3 2_Table 2A-1_EFT (Annual)" xfId="4245"/>
    <cellStyle name="Calculation 18 3 3" xfId="932"/>
    <cellStyle name="Calculation 18 3 3 2" xfId="4493"/>
    <cellStyle name="Calculation 18 3 3 2 2" xfId="12755"/>
    <cellStyle name="Calculation 18 3 3 2 2 2" xfId="24765"/>
    <cellStyle name="Calculation 18 3 3 2 2 2 2" xfId="45951"/>
    <cellStyle name="Calculation 18 3 3 2 2 3" xfId="35347"/>
    <cellStyle name="Calculation 18 3 3 2 3" xfId="19652"/>
    <cellStyle name="Calculation 18 3 3 2 3 2" xfId="40839"/>
    <cellStyle name="Calculation 18 3 3 2 4" xfId="30150"/>
    <cellStyle name="Calculation 18 3 3 2_Table 2A-1_EFT (Annual)" xfId="14771"/>
    <cellStyle name="Calculation 18 3 3 3" xfId="10102"/>
    <cellStyle name="Calculation 18 3 3 3 2" xfId="22219"/>
    <cellStyle name="Calculation 18 3 3 3 2 2" xfId="43405"/>
    <cellStyle name="Calculation 18 3 3 3 3" xfId="32801"/>
    <cellStyle name="Calculation 18 3 3 4" xfId="17106"/>
    <cellStyle name="Calculation 18 3 3 4 2" xfId="38293"/>
    <cellStyle name="Calculation 18 3 3 5" xfId="27407"/>
    <cellStyle name="Calculation 18 3 3_Table 2A-1_EFT (Annual)" xfId="3623"/>
    <cellStyle name="Calculation 18 3 4" xfId="2121"/>
    <cellStyle name="Calculation 18 3 4 2" xfId="5682"/>
    <cellStyle name="Calculation 18 3 4 2 2" xfId="13897"/>
    <cellStyle name="Calculation 18 3 4 2 2 2" xfId="25885"/>
    <cellStyle name="Calculation 18 3 4 2 2 2 2" xfId="47071"/>
    <cellStyle name="Calculation 18 3 4 2 2 3" xfId="36467"/>
    <cellStyle name="Calculation 18 3 4 2 3" xfId="20772"/>
    <cellStyle name="Calculation 18 3 4 2 3 2" xfId="41959"/>
    <cellStyle name="Calculation 18 3 4 2 4" xfId="31339"/>
    <cellStyle name="Calculation 18 3 4 2_Table 2A-1_EFT (Annual)" xfId="14770"/>
    <cellStyle name="Calculation 18 3 4 3" xfId="11241"/>
    <cellStyle name="Calculation 18 3 4 3 2" xfId="23339"/>
    <cellStyle name="Calculation 18 3 4 3 2 2" xfId="44525"/>
    <cellStyle name="Calculation 18 3 4 3 3" xfId="33921"/>
    <cellStyle name="Calculation 18 3 4 4" xfId="18226"/>
    <cellStyle name="Calculation 18 3 4 4 2" xfId="39413"/>
    <cellStyle name="Calculation 18 3 4 5" xfId="28596"/>
    <cellStyle name="Calculation 18 3 4_Table 2A-1_EFT (Annual)" xfId="4244"/>
    <cellStyle name="Calculation 18 3 5" xfId="3969"/>
    <cellStyle name="Calculation 18 3 5 2" xfId="12297"/>
    <cellStyle name="Calculation 18 3 5 2 2" xfId="24321"/>
    <cellStyle name="Calculation 18 3 5 2 2 2" xfId="45507"/>
    <cellStyle name="Calculation 18 3 5 2 3" xfId="34903"/>
    <cellStyle name="Calculation 18 3 5 3" xfId="19208"/>
    <cellStyle name="Calculation 18 3 5 3 2" xfId="40395"/>
    <cellStyle name="Calculation 18 3 5 4" xfId="29657"/>
    <cellStyle name="Calculation 18 3 5_Table 2A-1_EFT (Annual)" xfId="14769"/>
    <cellStyle name="Calculation 18 3 6" xfId="9634"/>
    <cellStyle name="Calculation 18 3 6 2" xfId="21775"/>
    <cellStyle name="Calculation 18 3 6 2 2" xfId="42961"/>
    <cellStyle name="Calculation 18 3 6 3" xfId="32357"/>
    <cellStyle name="Calculation 18 3 7" xfId="16662"/>
    <cellStyle name="Calculation 18 3 7 2" xfId="37849"/>
    <cellStyle name="Calculation 18 3 8" xfId="26914"/>
    <cellStyle name="Calculation 18 3_Table 2A-1_EFT (Annual)" xfId="2917"/>
    <cellStyle name="Calculation 18 4" xfId="1216"/>
    <cellStyle name="Calculation 18 4 2" xfId="2486"/>
    <cellStyle name="Calculation 18 4 2 2" xfId="6047"/>
    <cellStyle name="Calculation 18 4 2 2 2" xfId="14241"/>
    <cellStyle name="Calculation 18 4 2 2 2 2" xfId="26213"/>
    <cellStyle name="Calculation 18 4 2 2 2 2 2" xfId="47399"/>
    <cellStyle name="Calculation 18 4 2 2 2 3" xfId="36795"/>
    <cellStyle name="Calculation 18 4 2 2 3" xfId="21100"/>
    <cellStyle name="Calculation 18 4 2 2 3 2" xfId="42287"/>
    <cellStyle name="Calculation 18 4 2 2 4" xfId="31703"/>
    <cellStyle name="Calculation 18 4 2 2_Table 2A-1_EFT (Annual)" xfId="9892"/>
    <cellStyle name="Calculation 18 4 2 3" xfId="11583"/>
    <cellStyle name="Calculation 18 4 2 3 2" xfId="23667"/>
    <cellStyle name="Calculation 18 4 2 3 2 2" xfId="44853"/>
    <cellStyle name="Calculation 18 4 2 3 3" xfId="34249"/>
    <cellStyle name="Calculation 18 4 2 4" xfId="18554"/>
    <cellStyle name="Calculation 18 4 2 4 2" xfId="39741"/>
    <cellStyle name="Calculation 18 4 2 5" xfId="28960"/>
    <cellStyle name="Calculation 18 4 2_Table 2A-1_EFT (Annual)" xfId="4243"/>
    <cellStyle name="Calculation 18 4 3" xfId="4777"/>
    <cellStyle name="Calculation 18 4 3 2" xfId="13037"/>
    <cellStyle name="Calculation 18 4 3 2 2" xfId="25043"/>
    <cellStyle name="Calculation 18 4 3 2 2 2" xfId="46229"/>
    <cellStyle name="Calculation 18 4 3 2 3" xfId="35625"/>
    <cellStyle name="Calculation 18 4 3 3" xfId="19930"/>
    <cellStyle name="Calculation 18 4 3 3 2" xfId="41117"/>
    <cellStyle name="Calculation 18 4 3 4" xfId="30434"/>
    <cellStyle name="Calculation 18 4 3_Table 2A-1_EFT (Annual)" xfId="9352"/>
    <cellStyle name="Calculation 18 4 4" xfId="10381"/>
    <cellStyle name="Calculation 18 4 4 2" xfId="22497"/>
    <cellStyle name="Calculation 18 4 4 2 2" xfId="43683"/>
    <cellStyle name="Calculation 18 4 4 3" xfId="33079"/>
    <cellStyle name="Calculation 18 4 5" xfId="17384"/>
    <cellStyle name="Calculation 18 4 5 2" xfId="38571"/>
    <cellStyle name="Calculation 18 4 6" xfId="27691"/>
    <cellStyle name="Calculation 18 4_Table 2A-1_EFT (Annual)" xfId="3622"/>
    <cellStyle name="Calculation 18 5" xfId="773"/>
    <cellStyle name="Calculation 18 5 2" xfId="4334"/>
    <cellStyle name="Calculation 18 5 2 2" xfId="12614"/>
    <cellStyle name="Calculation 18 5 2 2 2" xfId="24631"/>
    <cellStyle name="Calculation 18 5 2 2 2 2" xfId="45817"/>
    <cellStyle name="Calculation 18 5 2 2 3" xfId="35213"/>
    <cellStyle name="Calculation 18 5 2 3" xfId="19518"/>
    <cellStyle name="Calculation 18 5 2 3 2" xfId="40705"/>
    <cellStyle name="Calculation 18 5 2 4" xfId="29991"/>
    <cellStyle name="Calculation 18 5 2_Table 2A-1_EFT (Annual)" xfId="14761"/>
    <cellStyle name="Calculation 18 5 3" xfId="9962"/>
    <cellStyle name="Calculation 18 5 3 2" xfId="22085"/>
    <cellStyle name="Calculation 18 5 3 2 2" xfId="43271"/>
    <cellStyle name="Calculation 18 5 3 3" xfId="32667"/>
    <cellStyle name="Calculation 18 5 4" xfId="16972"/>
    <cellStyle name="Calculation 18 5 4 2" xfId="38159"/>
    <cellStyle name="Calculation 18 5 5" xfId="27248"/>
    <cellStyle name="Calculation 18 5_Table 2A-1_EFT (Annual)" xfId="3852"/>
    <cellStyle name="Calculation 18 6" xfId="1955"/>
    <cellStyle name="Calculation 18 6 2" xfId="5516"/>
    <cellStyle name="Calculation 18 6 2 2" xfId="13731"/>
    <cellStyle name="Calculation 18 6 2 2 2" xfId="25719"/>
    <cellStyle name="Calculation 18 6 2 2 2 2" xfId="46905"/>
    <cellStyle name="Calculation 18 6 2 2 3" xfId="36301"/>
    <cellStyle name="Calculation 18 6 2 3" xfId="20606"/>
    <cellStyle name="Calculation 18 6 2 3 2" xfId="41793"/>
    <cellStyle name="Calculation 18 6 2 4" xfId="31173"/>
    <cellStyle name="Calculation 18 6 2_Table 2A-1_EFT (Annual)" xfId="13445"/>
    <cellStyle name="Calculation 18 6 3" xfId="11075"/>
    <cellStyle name="Calculation 18 6 3 2" xfId="23173"/>
    <cellStyle name="Calculation 18 6 3 2 2" xfId="44359"/>
    <cellStyle name="Calculation 18 6 3 3" xfId="33755"/>
    <cellStyle name="Calculation 18 6 4" xfId="18060"/>
    <cellStyle name="Calculation 18 6 4 2" xfId="39247"/>
    <cellStyle name="Calculation 18 6 5" xfId="28430"/>
    <cellStyle name="Calculation 18 6_Table 2A-1_EFT (Annual)" xfId="3621"/>
    <cellStyle name="Calculation 18 7" xfId="3757"/>
    <cellStyle name="Calculation 18 7 2" xfId="12125"/>
    <cellStyle name="Calculation 18 7 2 2" xfId="24155"/>
    <cellStyle name="Calculation 18 7 2 2 2" xfId="45341"/>
    <cellStyle name="Calculation 18 7 2 3" xfId="34737"/>
    <cellStyle name="Calculation 18 7 3" xfId="19042"/>
    <cellStyle name="Calculation 18 7 3 2" xfId="40229"/>
    <cellStyle name="Calculation 18 7 4" xfId="29466"/>
    <cellStyle name="Calculation 18 7_Table 2A-1_EFT (Annual)" xfId="14768"/>
    <cellStyle name="Calculation 18 8" xfId="9444"/>
    <cellStyle name="Calculation 18 8 2" xfId="21609"/>
    <cellStyle name="Calculation 18 8 2 2" xfId="42795"/>
    <cellStyle name="Calculation 18 8 3" xfId="32191"/>
    <cellStyle name="Calculation 18 9" xfId="16496"/>
    <cellStyle name="Calculation 18 9 2" xfId="37683"/>
    <cellStyle name="Calculation 18_Table 2A-1_EFT (Annual)" xfId="2915"/>
    <cellStyle name="Calculation 19" xfId="177"/>
    <cellStyle name="Calculation 19 10" xfId="26732"/>
    <cellStyle name="Calculation 19 2" xfId="570"/>
    <cellStyle name="Calculation 19 2 2" xfId="1547"/>
    <cellStyle name="Calculation 19 2 2 2" xfId="2817"/>
    <cellStyle name="Calculation 19 2 2 2 2" xfId="6378"/>
    <cellStyle name="Calculation 19 2 2 2 2 2" xfId="14572"/>
    <cellStyle name="Calculation 19 2 2 2 2 2 2" xfId="26544"/>
    <cellStyle name="Calculation 19 2 2 2 2 2 2 2" xfId="47730"/>
    <cellStyle name="Calculation 19 2 2 2 2 2 3" xfId="37126"/>
    <cellStyle name="Calculation 19 2 2 2 2 3" xfId="21431"/>
    <cellStyle name="Calculation 19 2 2 2 2 3 2" xfId="42618"/>
    <cellStyle name="Calculation 19 2 2 2 2 4" xfId="32034"/>
    <cellStyle name="Calculation 19 2 2 2 2_Table 2A-1_EFT (Annual)" xfId="14765"/>
    <cellStyle name="Calculation 19 2 2 2 3" xfId="11914"/>
    <cellStyle name="Calculation 19 2 2 2 3 2" xfId="23998"/>
    <cellStyle name="Calculation 19 2 2 2 3 2 2" xfId="45184"/>
    <cellStyle name="Calculation 19 2 2 2 3 3" xfId="34580"/>
    <cellStyle name="Calculation 19 2 2 2 4" xfId="18885"/>
    <cellStyle name="Calculation 19 2 2 2 4 2" xfId="40072"/>
    <cellStyle name="Calculation 19 2 2 2 5" xfId="29291"/>
    <cellStyle name="Calculation 19 2 2 2_Table 2A-1_EFT (Annual)" xfId="3851"/>
    <cellStyle name="Calculation 19 2 2 3" xfId="5108"/>
    <cellStyle name="Calculation 19 2 2 3 2" xfId="13368"/>
    <cellStyle name="Calculation 19 2 2 3 2 2" xfId="25374"/>
    <cellStyle name="Calculation 19 2 2 3 2 2 2" xfId="46560"/>
    <cellStyle name="Calculation 19 2 2 3 2 3" xfId="35956"/>
    <cellStyle name="Calculation 19 2 2 3 3" xfId="20261"/>
    <cellStyle name="Calculation 19 2 2 3 3 2" xfId="41448"/>
    <cellStyle name="Calculation 19 2 2 3 4" xfId="30765"/>
    <cellStyle name="Calculation 19 2 2 3_Table 2A-1_EFT (Annual)" xfId="14767"/>
    <cellStyle name="Calculation 19 2 2 4" xfId="10712"/>
    <cellStyle name="Calculation 19 2 2 4 2" xfId="22828"/>
    <cellStyle name="Calculation 19 2 2 4 2 2" xfId="44014"/>
    <cellStyle name="Calculation 19 2 2 4 3" xfId="33410"/>
    <cellStyle name="Calculation 19 2 2 5" xfId="17715"/>
    <cellStyle name="Calculation 19 2 2 5 2" xfId="38902"/>
    <cellStyle name="Calculation 19 2 2 6" xfId="28022"/>
    <cellStyle name="Calculation 19 2 2_Table 2A-1_EFT (Annual)" xfId="4242"/>
    <cellStyle name="Calculation 19 2 3" xfId="1072"/>
    <cellStyle name="Calculation 19 2 3 2" xfId="4633"/>
    <cellStyle name="Calculation 19 2 3 2 2" xfId="12893"/>
    <cellStyle name="Calculation 19 2 3 2 2 2" xfId="24899"/>
    <cellStyle name="Calculation 19 2 3 2 2 2 2" xfId="46085"/>
    <cellStyle name="Calculation 19 2 3 2 2 3" xfId="35481"/>
    <cellStyle name="Calculation 19 2 3 2 3" xfId="19786"/>
    <cellStyle name="Calculation 19 2 3 2 3 2" xfId="40973"/>
    <cellStyle name="Calculation 19 2 3 2 4" xfId="30290"/>
    <cellStyle name="Calculation 19 2 3 2_Table 2A-1_EFT (Annual)" xfId="14766"/>
    <cellStyle name="Calculation 19 2 3 3" xfId="10237"/>
    <cellStyle name="Calculation 19 2 3 3 2" xfId="22353"/>
    <cellStyle name="Calculation 19 2 3 3 2 2" xfId="43539"/>
    <cellStyle name="Calculation 19 2 3 3 3" xfId="32935"/>
    <cellStyle name="Calculation 19 2 3 4" xfId="17240"/>
    <cellStyle name="Calculation 19 2 3 4 2" xfId="38427"/>
    <cellStyle name="Calculation 19 2 3 5" xfId="27547"/>
    <cellStyle name="Calculation 19 2 3_Table 2A-1_EFT (Annual)" xfId="3620"/>
    <cellStyle name="Calculation 19 2 4" xfId="2286"/>
    <cellStyle name="Calculation 19 2 4 2" xfId="5847"/>
    <cellStyle name="Calculation 19 2 4 2 2" xfId="14062"/>
    <cellStyle name="Calculation 19 2 4 2 2 2" xfId="26050"/>
    <cellStyle name="Calculation 19 2 4 2 2 2 2" xfId="47236"/>
    <cellStyle name="Calculation 19 2 4 2 2 3" xfId="36632"/>
    <cellStyle name="Calculation 19 2 4 2 3" xfId="20937"/>
    <cellStyle name="Calculation 19 2 4 2 3 2" xfId="42124"/>
    <cellStyle name="Calculation 19 2 4 2 4" xfId="31504"/>
    <cellStyle name="Calculation 19 2 4 2_Table 2A-1_EFT (Annual)" xfId="14147"/>
    <cellStyle name="Calculation 19 2 4 3" xfId="11406"/>
    <cellStyle name="Calculation 19 2 4 3 2" xfId="23504"/>
    <cellStyle name="Calculation 19 2 4 3 2 2" xfId="44690"/>
    <cellStyle name="Calculation 19 2 4 3 3" xfId="34086"/>
    <cellStyle name="Calculation 19 2 4 4" xfId="18391"/>
    <cellStyle name="Calculation 19 2 4 4 2" xfId="39578"/>
    <cellStyle name="Calculation 19 2 4 5" xfId="28761"/>
    <cellStyle name="Calculation 19 2 4_Table 2A-1_EFT (Annual)" xfId="4241"/>
    <cellStyle name="Calculation 19 2 5" xfId="4140"/>
    <cellStyle name="Calculation 19 2 5 2" xfId="12464"/>
    <cellStyle name="Calculation 19 2 5 2 2" xfId="24486"/>
    <cellStyle name="Calculation 19 2 5 2 2 2" xfId="45672"/>
    <cellStyle name="Calculation 19 2 5 2 3" xfId="35068"/>
    <cellStyle name="Calculation 19 2 5 3" xfId="19373"/>
    <cellStyle name="Calculation 19 2 5 3 2" xfId="40560"/>
    <cellStyle name="Calculation 19 2 5 4" xfId="29828"/>
    <cellStyle name="Calculation 19 2 5_Table 2A-1_EFT (Annual)" xfId="10031"/>
    <cellStyle name="Calculation 19 2 6" xfId="9803"/>
    <cellStyle name="Calculation 19 2 6 2" xfId="21940"/>
    <cellStyle name="Calculation 19 2 6 2 2" xfId="43126"/>
    <cellStyle name="Calculation 19 2 6 3" xfId="32522"/>
    <cellStyle name="Calculation 19 2 7" xfId="16827"/>
    <cellStyle name="Calculation 19 2 7 2" xfId="38014"/>
    <cellStyle name="Calculation 19 2 8" xfId="27085"/>
    <cellStyle name="Calculation 19 2_Table 2A-1_EFT (Annual)" xfId="2919"/>
    <cellStyle name="Calculation 19 3" xfId="408"/>
    <cellStyle name="Calculation 19 3 2" xfId="1391"/>
    <cellStyle name="Calculation 19 3 2 2" xfId="2661"/>
    <cellStyle name="Calculation 19 3 2 2 2" xfId="6222"/>
    <cellStyle name="Calculation 19 3 2 2 2 2" xfId="14416"/>
    <cellStyle name="Calculation 19 3 2 2 2 2 2" xfId="26388"/>
    <cellStyle name="Calculation 19 3 2 2 2 2 2 2" xfId="47574"/>
    <cellStyle name="Calculation 19 3 2 2 2 2 3" xfId="36970"/>
    <cellStyle name="Calculation 19 3 2 2 2 3" xfId="21275"/>
    <cellStyle name="Calculation 19 3 2 2 2 3 2" xfId="42462"/>
    <cellStyle name="Calculation 19 3 2 2 2 4" xfId="31878"/>
    <cellStyle name="Calculation 19 3 2 2 2_Table 2A-1_EFT (Annual)" xfId="13476"/>
    <cellStyle name="Calculation 19 3 2 2 3" xfId="11758"/>
    <cellStyle name="Calculation 19 3 2 2 3 2" xfId="23842"/>
    <cellStyle name="Calculation 19 3 2 2 3 2 2" xfId="45028"/>
    <cellStyle name="Calculation 19 3 2 2 3 3" xfId="34424"/>
    <cellStyle name="Calculation 19 3 2 2 4" xfId="18729"/>
    <cellStyle name="Calculation 19 3 2 2 4 2" xfId="39916"/>
    <cellStyle name="Calculation 19 3 2 2 5" xfId="29135"/>
    <cellStyle name="Calculation 19 3 2 2_Table 2A-1_EFT (Annual)" xfId="3850"/>
    <cellStyle name="Calculation 19 3 2 3" xfId="4952"/>
    <cellStyle name="Calculation 19 3 2 3 2" xfId="13212"/>
    <cellStyle name="Calculation 19 3 2 3 2 2" xfId="25218"/>
    <cellStyle name="Calculation 19 3 2 3 2 2 2" xfId="46404"/>
    <cellStyle name="Calculation 19 3 2 3 2 3" xfId="35800"/>
    <cellStyle name="Calculation 19 3 2 3 3" xfId="20105"/>
    <cellStyle name="Calculation 19 3 2 3 3 2" xfId="41292"/>
    <cellStyle name="Calculation 19 3 2 3 4" xfId="30609"/>
    <cellStyle name="Calculation 19 3 2 3_Table 2A-1_EFT (Annual)" xfId="14764"/>
    <cellStyle name="Calculation 19 3 2 4" xfId="10556"/>
    <cellStyle name="Calculation 19 3 2 4 2" xfId="22672"/>
    <cellStyle name="Calculation 19 3 2 4 2 2" xfId="43858"/>
    <cellStyle name="Calculation 19 3 2 4 3" xfId="33254"/>
    <cellStyle name="Calculation 19 3 2 5" xfId="17559"/>
    <cellStyle name="Calculation 19 3 2 5 2" xfId="38746"/>
    <cellStyle name="Calculation 19 3 2 6" xfId="27866"/>
    <cellStyle name="Calculation 19 3 2_Table 2A-1_EFT (Annual)" xfId="4240"/>
    <cellStyle name="Calculation 19 3 3" xfId="940"/>
    <cellStyle name="Calculation 19 3 3 2" xfId="4501"/>
    <cellStyle name="Calculation 19 3 3 2 2" xfId="12763"/>
    <cellStyle name="Calculation 19 3 3 2 2 2" xfId="24773"/>
    <cellStyle name="Calculation 19 3 3 2 2 2 2" xfId="45959"/>
    <cellStyle name="Calculation 19 3 3 2 2 3" xfId="35355"/>
    <cellStyle name="Calculation 19 3 3 2 3" xfId="19660"/>
    <cellStyle name="Calculation 19 3 3 2 3 2" xfId="40847"/>
    <cellStyle name="Calculation 19 3 3 2 4" xfId="30158"/>
    <cellStyle name="Calculation 19 3 3 2_Table 2A-1_EFT (Annual)" xfId="14143"/>
    <cellStyle name="Calculation 19 3 3 3" xfId="10110"/>
    <cellStyle name="Calculation 19 3 3 3 2" xfId="22227"/>
    <cellStyle name="Calculation 19 3 3 3 2 2" xfId="43413"/>
    <cellStyle name="Calculation 19 3 3 3 3" xfId="32809"/>
    <cellStyle name="Calculation 19 3 3 4" xfId="17114"/>
    <cellStyle name="Calculation 19 3 3 4 2" xfId="38301"/>
    <cellStyle name="Calculation 19 3 3 5" xfId="27415"/>
    <cellStyle name="Calculation 19 3 3_Table 2A-1_EFT (Annual)" xfId="3619"/>
    <cellStyle name="Calculation 19 3 4" xfId="2130"/>
    <cellStyle name="Calculation 19 3 4 2" xfId="5691"/>
    <cellStyle name="Calculation 19 3 4 2 2" xfId="13906"/>
    <cellStyle name="Calculation 19 3 4 2 2 2" xfId="25894"/>
    <cellStyle name="Calculation 19 3 4 2 2 2 2" xfId="47080"/>
    <cellStyle name="Calculation 19 3 4 2 2 3" xfId="36476"/>
    <cellStyle name="Calculation 19 3 4 2 3" xfId="20781"/>
    <cellStyle name="Calculation 19 3 4 2 3 2" xfId="41968"/>
    <cellStyle name="Calculation 19 3 4 2 4" xfId="31348"/>
    <cellStyle name="Calculation 19 3 4 2_Table 2A-1_EFT (Annual)" xfId="14762"/>
    <cellStyle name="Calculation 19 3 4 3" xfId="11250"/>
    <cellStyle name="Calculation 19 3 4 3 2" xfId="23348"/>
    <cellStyle name="Calculation 19 3 4 3 2 2" xfId="44534"/>
    <cellStyle name="Calculation 19 3 4 3 3" xfId="33930"/>
    <cellStyle name="Calculation 19 3 4 4" xfId="18235"/>
    <cellStyle name="Calculation 19 3 4 4 2" xfId="39422"/>
    <cellStyle name="Calculation 19 3 4 5" xfId="28605"/>
    <cellStyle name="Calculation 19 3 4_Table 2A-1_EFT (Annual)" xfId="4239"/>
    <cellStyle name="Calculation 19 3 5" xfId="3978"/>
    <cellStyle name="Calculation 19 3 5 2" xfId="12306"/>
    <cellStyle name="Calculation 19 3 5 2 2" xfId="24330"/>
    <cellStyle name="Calculation 19 3 5 2 2 2" xfId="45516"/>
    <cellStyle name="Calculation 19 3 5 2 3" xfId="34912"/>
    <cellStyle name="Calculation 19 3 5 3" xfId="19217"/>
    <cellStyle name="Calculation 19 3 5 3 2" xfId="40404"/>
    <cellStyle name="Calculation 19 3 5 4" xfId="29666"/>
    <cellStyle name="Calculation 19 3 5_Table 2A-1_EFT (Annual)" xfId="14763"/>
    <cellStyle name="Calculation 19 3 6" xfId="9643"/>
    <cellStyle name="Calculation 19 3 6 2" xfId="21784"/>
    <cellStyle name="Calculation 19 3 6 2 2" xfId="42970"/>
    <cellStyle name="Calculation 19 3 6 3" xfId="32366"/>
    <cellStyle name="Calculation 19 3 7" xfId="16671"/>
    <cellStyle name="Calculation 19 3 7 2" xfId="37858"/>
    <cellStyle name="Calculation 19 3 8" xfId="26923"/>
    <cellStyle name="Calculation 19 3_Table 2A-1_EFT (Annual)" xfId="2920"/>
    <cellStyle name="Calculation 19 4" xfId="1225"/>
    <cellStyle name="Calculation 19 4 2" xfId="2495"/>
    <cellStyle name="Calculation 19 4 2 2" xfId="6056"/>
    <cellStyle name="Calculation 19 4 2 2 2" xfId="14250"/>
    <cellStyle name="Calculation 19 4 2 2 2 2" xfId="26222"/>
    <cellStyle name="Calculation 19 4 2 2 2 2 2" xfId="47408"/>
    <cellStyle name="Calculation 19 4 2 2 2 3" xfId="36804"/>
    <cellStyle name="Calculation 19 4 2 2 3" xfId="21109"/>
    <cellStyle name="Calculation 19 4 2 2 3 2" xfId="42296"/>
    <cellStyle name="Calculation 19 4 2 2 4" xfId="31712"/>
    <cellStyle name="Calculation 19 4 2 2_Table 2A-1_EFT (Annual)" xfId="12797"/>
    <cellStyle name="Calculation 19 4 2 3" xfId="11592"/>
    <cellStyle name="Calculation 19 4 2 3 2" xfId="23676"/>
    <cellStyle name="Calculation 19 4 2 3 2 2" xfId="44862"/>
    <cellStyle name="Calculation 19 4 2 3 3" xfId="34258"/>
    <cellStyle name="Calculation 19 4 2 4" xfId="18563"/>
    <cellStyle name="Calculation 19 4 2 4 2" xfId="39750"/>
    <cellStyle name="Calculation 19 4 2 5" xfId="28969"/>
    <cellStyle name="Calculation 19 4 2_Table 2A-1_EFT (Annual)" xfId="4238"/>
    <cellStyle name="Calculation 19 4 3" xfId="4786"/>
    <cellStyle name="Calculation 19 4 3 2" xfId="13046"/>
    <cellStyle name="Calculation 19 4 3 2 2" xfId="25052"/>
    <cellStyle name="Calculation 19 4 3 2 2 2" xfId="46238"/>
    <cellStyle name="Calculation 19 4 3 2 3" xfId="35634"/>
    <cellStyle name="Calculation 19 4 3 3" xfId="19939"/>
    <cellStyle name="Calculation 19 4 3 3 2" xfId="41126"/>
    <cellStyle name="Calculation 19 4 3 4" xfId="30443"/>
    <cellStyle name="Calculation 19 4 3_Table 2A-1_EFT (Annual)" xfId="14153"/>
    <cellStyle name="Calculation 19 4 4" xfId="10390"/>
    <cellStyle name="Calculation 19 4 4 2" xfId="22506"/>
    <cellStyle name="Calculation 19 4 4 2 2" xfId="43692"/>
    <cellStyle name="Calculation 19 4 4 3" xfId="33088"/>
    <cellStyle name="Calculation 19 4 5" xfId="17393"/>
    <cellStyle name="Calculation 19 4 5 2" xfId="38580"/>
    <cellStyle name="Calculation 19 4 6" xfId="27700"/>
    <cellStyle name="Calculation 19 4_Table 2A-1_EFT (Annual)" xfId="3618"/>
    <cellStyle name="Calculation 19 5" xfId="781"/>
    <cellStyle name="Calculation 19 5 2" xfId="4342"/>
    <cellStyle name="Calculation 19 5 2 2" xfId="12622"/>
    <cellStyle name="Calculation 19 5 2 2 2" xfId="24639"/>
    <cellStyle name="Calculation 19 5 2 2 2 2" xfId="45825"/>
    <cellStyle name="Calculation 19 5 2 2 3" xfId="35221"/>
    <cellStyle name="Calculation 19 5 2 3" xfId="19526"/>
    <cellStyle name="Calculation 19 5 2 3 2" xfId="40713"/>
    <cellStyle name="Calculation 19 5 2 4" xfId="29999"/>
    <cellStyle name="Calculation 19 5 2_Table 2A-1_EFT (Annual)" xfId="9685"/>
    <cellStyle name="Calculation 19 5 3" xfId="9970"/>
    <cellStyle name="Calculation 19 5 3 2" xfId="22093"/>
    <cellStyle name="Calculation 19 5 3 2 2" xfId="43279"/>
    <cellStyle name="Calculation 19 5 3 3" xfId="32675"/>
    <cellStyle name="Calculation 19 5 4" xfId="16980"/>
    <cellStyle name="Calculation 19 5 4 2" xfId="38167"/>
    <cellStyle name="Calculation 19 5 5" xfId="27256"/>
    <cellStyle name="Calculation 19 5_Table 2A-1_EFT (Annual)" xfId="3849"/>
    <cellStyle name="Calculation 19 6" xfId="1964"/>
    <cellStyle name="Calculation 19 6 2" xfId="5525"/>
    <cellStyle name="Calculation 19 6 2 2" xfId="13740"/>
    <cellStyle name="Calculation 19 6 2 2 2" xfId="25728"/>
    <cellStyle name="Calculation 19 6 2 2 2 2" xfId="46914"/>
    <cellStyle name="Calculation 19 6 2 2 3" xfId="36310"/>
    <cellStyle name="Calculation 19 6 2 3" xfId="20615"/>
    <cellStyle name="Calculation 19 6 2 3 2" xfId="41802"/>
    <cellStyle name="Calculation 19 6 2 4" xfId="31182"/>
    <cellStyle name="Calculation 19 6 2_Table 2A-1_EFT (Annual)" xfId="14760"/>
    <cellStyle name="Calculation 19 6 3" xfId="11084"/>
    <cellStyle name="Calculation 19 6 3 2" xfId="23182"/>
    <cellStyle name="Calculation 19 6 3 2 2" xfId="44368"/>
    <cellStyle name="Calculation 19 6 3 3" xfId="33764"/>
    <cellStyle name="Calculation 19 6 4" xfId="18069"/>
    <cellStyle name="Calculation 19 6 4 2" xfId="39256"/>
    <cellStyle name="Calculation 19 6 5" xfId="28439"/>
    <cellStyle name="Calculation 19 6_Table 2A-1_EFT (Annual)" xfId="3617"/>
    <cellStyle name="Calculation 19 7" xfId="3766"/>
    <cellStyle name="Calculation 19 7 2" xfId="12134"/>
    <cellStyle name="Calculation 19 7 2 2" xfId="24164"/>
    <cellStyle name="Calculation 19 7 2 2 2" xfId="45350"/>
    <cellStyle name="Calculation 19 7 2 3" xfId="34746"/>
    <cellStyle name="Calculation 19 7 3" xfId="19051"/>
    <cellStyle name="Calculation 19 7 3 2" xfId="40238"/>
    <cellStyle name="Calculation 19 7 4" xfId="29475"/>
    <cellStyle name="Calculation 19 7_Table 2A-1_EFT (Annual)" xfId="9351"/>
    <cellStyle name="Calculation 19 8" xfId="9453"/>
    <cellStyle name="Calculation 19 8 2" xfId="21618"/>
    <cellStyle name="Calculation 19 8 2 2" xfId="42804"/>
    <cellStyle name="Calculation 19 8 3" xfId="32200"/>
    <cellStyle name="Calculation 19 9" xfId="16505"/>
    <cellStyle name="Calculation 19 9 2" xfId="37692"/>
    <cellStyle name="Calculation 19_Table 2A-1_EFT (Annual)" xfId="2918"/>
    <cellStyle name="Calculation 2" xfId="93"/>
    <cellStyle name="Calculation 2 10" xfId="21517"/>
    <cellStyle name="Calculation 2 10 2" xfId="42704"/>
    <cellStyle name="Calculation 2 11" xfId="26649"/>
    <cellStyle name="Calculation 2 2" xfId="492"/>
    <cellStyle name="Calculation 2 2 2" xfId="1469"/>
    <cellStyle name="Calculation 2 2 2 2" xfId="2739"/>
    <cellStyle name="Calculation 2 2 2 2 2" xfId="6300"/>
    <cellStyle name="Calculation 2 2 2 2 2 2" xfId="14494"/>
    <cellStyle name="Calculation 2 2 2 2 2 2 2" xfId="26466"/>
    <cellStyle name="Calculation 2 2 2 2 2 2 2 2" xfId="47652"/>
    <cellStyle name="Calculation 2 2 2 2 2 2 3" xfId="37048"/>
    <cellStyle name="Calculation 2 2 2 2 2 3" xfId="21353"/>
    <cellStyle name="Calculation 2 2 2 2 2 3 2" xfId="42540"/>
    <cellStyle name="Calculation 2 2 2 2 2 4" xfId="31956"/>
    <cellStyle name="Calculation 2 2 2 2 2_Table 2A-1_EFT (Annual)" xfId="14759"/>
    <cellStyle name="Calculation 2 2 2 2 3" xfId="11836"/>
    <cellStyle name="Calculation 2 2 2 2 3 2" xfId="23920"/>
    <cellStyle name="Calculation 2 2 2 2 3 2 2" xfId="45106"/>
    <cellStyle name="Calculation 2 2 2 2 3 3" xfId="34502"/>
    <cellStyle name="Calculation 2 2 2 2 4" xfId="18807"/>
    <cellStyle name="Calculation 2 2 2 2 4 2" xfId="39994"/>
    <cellStyle name="Calculation 2 2 2 2 5" xfId="29213"/>
    <cellStyle name="Calculation 2 2 2 2_Table 2A-1_EFT (Annual)" xfId="3848"/>
    <cellStyle name="Calculation 2 2 2 3" xfId="5030"/>
    <cellStyle name="Calculation 2 2 2 3 2" xfId="13290"/>
    <cellStyle name="Calculation 2 2 2 3 2 2" xfId="25296"/>
    <cellStyle name="Calculation 2 2 2 3 2 2 2" xfId="46482"/>
    <cellStyle name="Calculation 2 2 2 3 2 3" xfId="35878"/>
    <cellStyle name="Calculation 2 2 2 3 3" xfId="20183"/>
    <cellStyle name="Calculation 2 2 2 3 3 2" xfId="41370"/>
    <cellStyle name="Calculation 2 2 2 3 4" xfId="30687"/>
    <cellStyle name="Calculation 2 2 2 3_Table 2A-1_EFT (Annual)" xfId="14758"/>
    <cellStyle name="Calculation 2 2 2 4" xfId="10634"/>
    <cellStyle name="Calculation 2 2 2 4 2" xfId="22750"/>
    <cellStyle name="Calculation 2 2 2 4 2 2" xfId="43936"/>
    <cellStyle name="Calculation 2 2 2 4 3" xfId="33332"/>
    <cellStyle name="Calculation 2 2 2 5" xfId="17637"/>
    <cellStyle name="Calculation 2 2 2 5 2" xfId="38824"/>
    <cellStyle name="Calculation 2 2 2 6" xfId="27944"/>
    <cellStyle name="Calculation 2 2 2_Table 2A-1_EFT (Annual)" xfId="4237"/>
    <cellStyle name="Calculation 2 2 3" xfId="1008"/>
    <cellStyle name="Calculation 2 2 3 2" xfId="4569"/>
    <cellStyle name="Calculation 2 2 3 2 2" xfId="12829"/>
    <cellStyle name="Calculation 2 2 3 2 2 2" xfId="24835"/>
    <cellStyle name="Calculation 2 2 3 2 2 2 2" xfId="46021"/>
    <cellStyle name="Calculation 2 2 3 2 2 3" xfId="35417"/>
    <cellStyle name="Calculation 2 2 3 2 3" xfId="19722"/>
    <cellStyle name="Calculation 2 2 3 2 3 2" xfId="40909"/>
    <cellStyle name="Calculation 2 2 3 2 4" xfId="30226"/>
    <cellStyle name="Calculation 2 2 3 2_Table 2A-1_EFT (Annual)" xfId="14757"/>
    <cellStyle name="Calculation 2 2 3 3" xfId="10173"/>
    <cellStyle name="Calculation 2 2 3 3 2" xfId="22289"/>
    <cellStyle name="Calculation 2 2 3 3 2 2" xfId="43475"/>
    <cellStyle name="Calculation 2 2 3 3 3" xfId="32871"/>
    <cellStyle name="Calculation 2 2 3 4" xfId="17176"/>
    <cellStyle name="Calculation 2 2 3 4 2" xfId="38363"/>
    <cellStyle name="Calculation 2 2 3 5" xfId="27483"/>
    <cellStyle name="Calculation 2 2 3_Table 2A-1_EFT (Annual)" xfId="3616"/>
    <cellStyle name="Calculation 2 2 4" xfId="2208"/>
    <cellStyle name="Calculation 2 2 4 2" xfId="5769"/>
    <cellStyle name="Calculation 2 2 4 2 2" xfId="13984"/>
    <cellStyle name="Calculation 2 2 4 2 2 2" xfId="25972"/>
    <cellStyle name="Calculation 2 2 4 2 2 2 2" xfId="47158"/>
    <cellStyle name="Calculation 2 2 4 2 2 3" xfId="36554"/>
    <cellStyle name="Calculation 2 2 4 2 3" xfId="20859"/>
    <cellStyle name="Calculation 2 2 4 2 3 2" xfId="42046"/>
    <cellStyle name="Calculation 2 2 4 2 4" xfId="31426"/>
    <cellStyle name="Calculation 2 2 4 2_Table 2A-1_EFT (Annual)" xfId="14756"/>
    <cellStyle name="Calculation 2 2 4 3" xfId="11328"/>
    <cellStyle name="Calculation 2 2 4 3 2" xfId="23426"/>
    <cellStyle name="Calculation 2 2 4 3 2 2" xfId="44612"/>
    <cellStyle name="Calculation 2 2 4 3 3" xfId="34008"/>
    <cellStyle name="Calculation 2 2 4 4" xfId="18313"/>
    <cellStyle name="Calculation 2 2 4 4 2" xfId="39500"/>
    <cellStyle name="Calculation 2 2 4 5" xfId="28683"/>
    <cellStyle name="Calculation 2 2 4_Table 2A-1_EFT (Annual)" xfId="4236"/>
    <cellStyle name="Calculation 2 2 5" xfId="4062"/>
    <cellStyle name="Calculation 2 2 5 2" xfId="12386"/>
    <cellStyle name="Calculation 2 2 5 2 2" xfId="24408"/>
    <cellStyle name="Calculation 2 2 5 2 2 2" xfId="45594"/>
    <cellStyle name="Calculation 2 2 5 2 3" xfId="34990"/>
    <cellStyle name="Calculation 2 2 5 3" xfId="19295"/>
    <cellStyle name="Calculation 2 2 5 3 2" xfId="40482"/>
    <cellStyle name="Calculation 2 2 5 4" xfId="29750"/>
    <cellStyle name="Calculation 2 2 5_Table 2A-1_EFT (Annual)" xfId="14755"/>
    <cellStyle name="Calculation 2 2 6" xfId="9725"/>
    <cellStyle name="Calculation 2 2 6 2" xfId="21862"/>
    <cellStyle name="Calculation 2 2 6 2 2" xfId="43048"/>
    <cellStyle name="Calculation 2 2 6 3" xfId="32444"/>
    <cellStyle name="Calculation 2 2 7" xfId="16749"/>
    <cellStyle name="Calculation 2 2 7 2" xfId="37936"/>
    <cellStyle name="Calculation 2 2 8" xfId="27007"/>
    <cellStyle name="Calculation 2 2_Table 2A-1_EFT (Annual)" xfId="2922"/>
    <cellStyle name="Calculation 2 3" xfId="325"/>
    <cellStyle name="Calculation 2 3 2" xfId="1313"/>
    <cellStyle name="Calculation 2 3 2 2" xfId="2583"/>
    <cellStyle name="Calculation 2 3 2 2 2" xfId="6144"/>
    <cellStyle name="Calculation 2 3 2 2 2 2" xfId="14338"/>
    <cellStyle name="Calculation 2 3 2 2 2 2 2" xfId="26310"/>
    <cellStyle name="Calculation 2 3 2 2 2 2 2 2" xfId="47496"/>
    <cellStyle name="Calculation 2 3 2 2 2 2 3" xfId="36892"/>
    <cellStyle name="Calculation 2 3 2 2 2 3" xfId="21197"/>
    <cellStyle name="Calculation 2 3 2 2 2 3 2" xfId="42384"/>
    <cellStyle name="Calculation 2 3 2 2 2 4" xfId="31800"/>
    <cellStyle name="Calculation 2 3 2 2 2_Table 2A-1_EFT (Annual)" xfId="14754"/>
    <cellStyle name="Calculation 2 3 2 2 3" xfId="11680"/>
    <cellStyle name="Calculation 2 3 2 2 3 2" xfId="23764"/>
    <cellStyle name="Calculation 2 3 2 2 3 2 2" xfId="44950"/>
    <cellStyle name="Calculation 2 3 2 2 3 3" xfId="34346"/>
    <cellStyle name="Calculation 2 3 2 2 4" xfId="18651"/>
    <cellStyle name="Calculation 2 3 2 2 4 2" xfId="39838"/>
    <cellStyle name="Calculation 2 3 2 2 5" xfId="29057"/>
    <cellStyle name="Calculation 2 3 2 2_Table 2A-1_EFT (Annual)" xfId="3847"/>
    <cellStyle name="Calculation 2 3 2 3" xfId="4874"/>
    <cellStyle name="Calculation 2 3 2 3 2" xfId="13134"/>
    <cellStyle name="Calculation 2 3 2 3 2 2" xfId="25140"/>
    <cellStyle name="Calculation 2 3 2 3 2 2 2" xfId="46326"/>
    <cellStyle name="Calculation 2 3 2 3 2 3" xfId="35722"/>
    <cellStyle name="Calculation 2 3 2 3 3" xfId="20027"/>
    <cellStyle name="Calculation 2 3 2 3 3 2" xfId="41214"/>
    <cellStyle name="Calculation 2 3 2 3 4" xfId="30531"/>
    <cellStyle name="Calculation 2 3 2 3_Table 2A-1_EFT (Annual)" xfId="14753"/>
    <cellStyle name="Calculation 2 3 2 4" xfId="10478"/>
    <cellStyle name="Calculation 2 3 2 4 2" xfId="22594"/>
    <cellStyle name="Calculation 2 3 2 4 2 2" xfId="43780"/>
    <cellStyle name="Calculation 2 3 2 4 3" xfId="33176"/>
    <cellStyle name="Calculation 2 3 2 5" xfId="17481"/>
    <cellStyle name="Calculation 2 3 2 5 2" xfId="38668"/>
    <cellStyle name="Calculation 2 3 2 6" xfId="27788"/>
    <cellStyle name="Calculation 2 3 2_Table 2A-1_EFT (Annual)" xfId="4235"/>
    <cellStyle name="Calculation 2 3 3" xfId="871"/>
    <cellStyle name="Calculation 2 3 3 2" xfId="4432"/>
    <cellStyle name="Calculation 2 3 3 2 2" xfId="12697"/>
    <cellStyle name="Calculation 2 3 3 2 2 2" xfId="24709"/>
    <cellStyle name="Calculation 2 3 3 2 2 2 2" xfId="45895"/>
    <cellStyle name="Calculation 2 3 3 2 2 3" xfId="35291"/>
    <cellStyle name="Calculation 2 3 3 2 3" xfId="19596"/>
    <cellStyle name="Calculation 2 3 3 2 3 2" xfId="40783"/>
    <cellStyle name="Calculation 2 3 3 2 4" xfId="30089"/>
    <cellStyle name="Calculation 2 3 3 2_Table 2A-1_EFT (Annual)" xfId="14752"/>
    <cellStyle name="Calculation 2 3 3 3" xfId="10044"/>
    <cellStyle name="Calculation 2 3 3 3 2" xfId="22163"/>
    <cellStyle name="Calculation 2 3 3 3 2 2" xfId="43349"/>
    <cellStyle name="Calculation 2 3 3 3 3" xfId="32745"/>
    <cellStyle name="Calculation 2 3 3 4" xfId="17050"/>
    <cellStyle name="Calculation 2 3 3 4 2" xfId="38237"/>
    <cellStyle name="Calculation 2 3 3 5" xfId="27346"/>
    <cellStyle name="Calculation 2 3 3_Table 2A-1_EFT (Annual)" xfId="3615"/>
    <cellStyle name="Calculation 2 3 4" xfId="2052"/>
    <cellStyle name="Calculation 2 3 4 2" xfId="5613"/>
    <cellStyle name="Calculation 2 3 4 2 2" xfId="13828"/>
    <cellStyle name="Calculation 2 3 4 2 2 2" xfId="25816"/>
    <cellStyle name="Calculation 2 3 4 2 2 2 2" xfId="47002"/>
    <cellStyle name="Calculation 2 3 4 2 2 3" xfId="36398"/>
    <cellStyle name="Calculation 2 3 4 2 3" xfId="20703"/>
    <cellStyle name="Calculation 2 3 4 2 3 2" xfId="41890"/>
    <cellStyle name="Calculation 2 3 4 2 4" xfId="31270"/>
    <cellStyle name="Calculation 2 3 4 2_Table 2A-1_EFT (Annual)" xfId="14751"/>
    <cellStyle name="Calculation 2 3 4 3" xfId="11172"/>
    <cellStyle name="Calculation 2 3 4 3 2" xfId="23270"/>
    <cellStyle name="Calculation 2 3 4 3 2 2" xfId="44456"/>
    <cellStyle name="Calculation 2 3 4 3 3" xfId="33852"/>
    <cellStyle name="Calculation 2 3 4 4" xfId="18157"/>
    <cellStyle name="Calculation 2 3 4 4 2" xfId="39344"/>
    <cellStyle name="Calculation 2 3 4 5" xfId="28527"/>
    <cellStyle name="Calculation 2 3 4_Table 2A-1_EFT (Annual)" xfId="4234"/>
    <cellStyle name="Calculation 2 3 5" xfId="3895"/>
    <cellStyle name="Calculation 2 3 5 2" xfId="12227"/>
    <cellStyle name="Calculation 2 3 5 2 2" xfId="24252"/>
    <cellStyle name="Calculation 2 3 5 2 2 2" xfId="45438"/>
    <cellStyle name="Calculation 2 3 5 2 3" xfId="34834"/>
    <cellStyle name="Calculation 2 3 5 3" xfId="19139"/>
    <cellStyle name="Calculation 2 3 5 3 2" xfId="40326"/>
    <cellStyle name="Calculation 2 3 5 4" xfId="29583"/>
    <cellStyle name="Calculation 2 3 5_Table 2A-1_EFT (Annual)" xfId="14750"/>
    <cellStyle name="Calculation 2 3 6" xfId="9564"/>
    <cellStyle name="Calculation 2 3 6 2" xfId="21706"/>
    <cellStyle name="Calculation 2 3 6 2 2" xfId="42892"/>
    <cellStyle name="Calculation 2 3 6 3" xfId="32288"/>
    <cellStyle name="Calculation 2 3 7" xfId="16593"/>
    <cellStyle name="Calculation 2 3 7 2" xfId="37780"/>
    <cellStyle name="Calculation 2 3 8" xfId="26840"/>
    <cellStyle name="Calculation 2 3_Table 2A-1_EFT (Annual)" xfId="2923"/>
    <cellStyle name="Calculation 2 4" xfId="1147"/>
    <cellStyle name="Calculation 2 4 2" xfId="2417"/>
    <cellStyle name="Calculation 2 4 2 2" xfId="5978"/>
    <cellStyle name="Calculation 2 4 2 2 2" xfId="14172"/>
    <cellStyle name="Calculation 2 4 2 2 2 2" xfId="26144"/>
    <cellStyle name="Calculation 2 4 2 2 2 2 2" xfId="47330"/>
    <cellStyle name="Calculation 2 4 2 2 2 3" xfId="36726"/>
    <cellStyle name="Calculation 2 4 2 2 3" xfId="21031"/>
    <cellStyle name="Calculation 2 4 2 2 3 2" xfId="42218"/>
    <cellStyle name="Calculation 2 4 2 2 4" xfId="31634"/>
    <cellStyle name="Calculation 2 4 2 2_Table 2A-1_EFT (Annual)" xfId="14749"/>
    <cellStyle name="Calculation 2 4 2 3" xfId="11514"/>
    <cellStyle name="Calculation 2 4 2 3 2" xfId="23598"/>
    <cellStyle name="Calculation 2 4 2 3 2 2" xfId="44784"/>
    <cellStyle name="Calculation 2 4 2 3 3" xfId="34180"/>
    <cellStyle name="Calculation 2 4 2 4" xfId="18485"/>
    <cellStyle name="Calculation 2 4 2 4 2" xfId="39672"/>
    <cellStyle name="Calculation 2 4 2 5" xfId="28891"/>
    <cellStyle name="Calculation 2 4 2_Table 2A-1_EFT (Annual)" xfId="4233"/>
    <cellStyle name="Calculation 2 4 3" xfId="4708"/>
    <cellStyle name="Calculation 2 4 3 2" xfId="12968"/>
    <cellStyle name="Calculation 2 4 3 2 2" xfId="24974"/>
    <cellStyle name="Calculation 2 4 3 2 2 2" xfId="46160"/>
    <cellStyle name="Calculation 2 4 3 2 3" xfId="35556"/>
    <cellStyle name="Calculation 2 4 3 3" xfId="19861"/>
    <cellStyle name="Calculation 2 4 3 3 2" xfId="41048"/>
    <cellStyle name="Calculation 2 4 3 4" xfId="30365"/>
    <cellStyle name="Calculation 2 4 3_Table 2A-1_EFT (Annual)" xfId="14748"/>
    <cellStyle name="Calculation 2 4 4" xfId="10312"/>
    <cellStyle name="Calculation 2 4 4 2" xfId="22428"/>
    <cellStyle name="Calculation 2 4 4 2 2" xfId="43614"/>
    <cellStyle name="Calculation 2 4 4 3" xfId="33010"/>
    <cellStyle name="Calculation 2 4 5" xfId="17315"/>
    <cellStyle name="Calculation 2 4 5 2" xfId="38502"/>
    <cellStyle name="Calculation 2 4 6" xfId="27622"/>
    <cellStyle name="Calculation 2 4_Table 2A-1_EFT (Annual)" xfId="3614"/>
    <cellStyle name="Calculation 2 5" xfId="712"/>
    <cellStyle name="Calculation 2 5 2" xfId="4273"/>
    <cellStyle name="Calculation 2 5 2 2" xfId="12557"/>
    <cellStyle name="Calculation 2 5 2 2 2" xfId="24575"/>
    <cellStyle name="Calculation 2 5 2 2 2 2" xfId="45761"/>
    <cellStyle name="Calculation 2 5 2 2 3" xfId="35157"/>
    <cellStyle name="Calculation 2 5 2 3" xfId="19462"/>
    <cellStyle name="Calculation 2 5 2 3 2" xfId="40649"/>
    <cellStyle name="Calculation 2 5 2 4" xfId="29930"/>
    <cellStyle name="Calculation 2 5 2_Table 2A-1_EFT (Annual)" xfId="14747"/>
    <cellStyle name="Calculation 2 5 3" xfId="9904"/>
    <cellStyle name="Calculation 2 5 3 2" xfId="22029"/>
    <cellStyle name="Calculation 2 5 3 2 2" xfId="43215"/>
    <cellStyle name="Calculation 2 5 3 3" xfId="32611"/>
    <cellStyle name="Calculation 2 5 4" xfId="16916"/>
    <cellStyle name="Calculation 2 5 4 2" xfId="38103"/>
    <cellStyle name="Calculation 2 5 5" xfId="27187"/>
    <cellStyle name="Calculation 2 5_Table 2A-1_EFT (Annual)" xfId="3846"/>
    <cellStyle name="Calculation 2 6" xfId="1944"/>
    <cellStyle name="Calculation 2 6 2" xfId="5505"/>
    <cellStyle name="Calculation 2 6 2 2" xfId="13720"/>
    <cellStyle name="Calculation 2 6 2 2 2" xfId="25708"/>
    <cellStyle name="Calculation 2 6 2 2 2 2" xfId="46894"/>
    <cellStyle name="Calculation 2 6 2 2 3" xfId="36290"/>
    <cellStyle name="Calculation 2 6 2 3" xfId="20595"/>
    <cellStyle name="Calculation 2 6 2 3 2" xfId="41782"/>
    <cellStyle name="Calculation 2 6 2 4" xfId="31162"/>
    <cellStyle name="Calculation 2 6 2_Table 2A-1_EFT (Annual)" xfId="14746"/>
    <cellStyle name="Calculation 2 6 3" xfId="11064"/>
    <cellStyle name="Calculation 2 6 3 2" xfId="23162"/>
    <cellStyle name="Calculation 2 6 3 2 2" xfId="44348"/>
    <cellStyle name="Calculation 2 6 3 3" xfId="33744"/>
    <cellStyle name="Calculation 2 6 4" xfId="18049"/>
    <cellStyle name="Calculation 2 6 4 2" xfId="39236"/>
    <cellStyle name="Calculation 2 6 5" xfId="28419"/>
    <cellStyle name="Calculation 2 6_Table 2A-1_EFT (Annual)" xfId="3613"/>
    <cellStyle name="Calculation 2 7" xfId="3682"/>
    <cellStyle name="Calculation 2 7 2" xfId="12055"/>
    <cellStyle name="Calculation 2 7 2 2" xfId="24086"/>
    <cellStyle name="Calculation 2 7 2 2 2" xfId="45272"/>
    <cellStyle name="Calculation 2 7 2 3" xfId="34668"/>
    <cellStyle name="Calculation 2 7 3" xfId="18973"/>
    <cellStyle name="Calculation 2 7 3 2" xfId="40160"/>
    <cellStyle name="Calculation 2 7 4" xfId="29392"/>
    <cellStyle name="Calculation 2 7_Table 2A-1_EFT (Annual)" xfId="14745"/>
    <cellStyle name="Calculation 2 8" xfId="9372"/>
    <cellStyle name="Calculation 2 8 2" xfId="21540"/>
    <cellStyle name="Calculation 2 8 2 2" xfId="42726"/>
    <cellStyle name="Calculation 2 8 3" xfId="32122"/>
    <cellStyle name="Calculation 2 9" xfId="16427"/>
    <cellStyle name="Calculation 2 9 2" xfId="37614"/>
    <cellStyle name="Calculation 2_Table 2A-1_EFT (Annual)" xfId="2921"/>
    <cellStyle name="Calculation 20" xfId="178"/>
    <cellStyle name="Calculation 20 10" xfId="26733"/>
    <cellStyle name="Calculation 20 2" xfId="571"/>
    <cellStyle name="Calculation 20 2 2" xfId="1548"/>
    <cellStyle name="Calculation 20 2 2 2" xfId="2818"/>
    <cellStyle name="Calculation 20 2 2 2 2" xfId="6379"/>
    <cellStyle name="Calculation 20 2 2 2 2 2" xfId="14573"/>
    <cellStyle name="Calculation 20 2 2 2 2 2 2" xfId="26545"/>
    <cellStyle name="Calculation 20 2 2 2 2 2 2 2" xfId="47731"/>
    <cellStyle name="Calculation 20 2 2 2 2 2 3" xfId="37127"/>
    <cellStyle name="Calculation 20 2 2 2 2 3" xfId="21432"/>
    <cellStyle name="Calculation 20 2 2 2 2 3 2" xfId="42619"/>
    <cellStyle name="Calculation 20 2 2 2 2 4" xfId="32035"/>
    <cellStyle name="Calculation 20 2 2 2 2_Table 2A-1_EFT (Annual)" xfId="14744"/>
    <cellStyle name="Calculation 20 2 2 2 3" xfId="11915"/>
    <cellStyle name="Calculation 20 2 2 2 3 2" xfId="23999"/>
    <cellStyle name="Calculation 20 2 2 2 3 2 2" xfId="45185"/>
    <cellStyle name="Calculation 20 2 2 2 3 3" xfId="34581"/>
    <cellStyle name="Calculation 20 2 2 2 4" xfId="18886"/>
    <cellStyle name="Calculation 20 2 2 2 4 2" xfId="40073"/>
    <cellStyle name="Calculation 20 2 2 2 5" xfId="29292"/>
    <cellStyle name="Calculation 20 2 2 2_Table 2A-1_EFT (Annual)" xfId="3845"/>
    <cellStyle name="Calculation 20 2 2 3" xfId="5109"/>
    <cellStyle name="Calculation 20 2 2 3 2" xfId="13369"/>
    <cellStyle name="Calculation 20 2 2 3 2 2" xfId="25375"/>
    <cellStyle name="Calculation 20 2 2 3 2 2 2" xfId="46561"/>
    <cellStyle name="Calculation 20 2 2 3 2 3" xfId="35957"/>
    <cellStyle name="Calculation 20 2 2 3 3" xfId="20262"/>
    <cellStyle name="Calculation 20 2 2 3 3 2" xfId="41449"/>
    <cellStyle name="Calculation 20 2 2 3 4" xfId="30766"/>
    <cellStyle name="Calculation 20 2 2 3_Table 2A-1_EFT (Annual)" xfId="14743"/>
    <cellStyle name="Calculation 20 2 2 4" xfId="10713"/>
    <cellStyle name="Calculation 20 2 2 4 2" xfId="22829"/>
    <cellStyle name="Calculation 20 2 2 4 2 2" xfId="44015"/>
    <cellStyle name="Calculation 20 2 2 4 3" xfId="33411"/>
    <cellStyle name="Calculation 20 2 2 5" xfId="17716"/>
    <cellStyle name="Calculation 20 2 2 5 2" xfId="38903"/>
    <cellStyle name="Calculation 20 2 2 6" xfId="28023"/>
    <cellStyle name="Calculation 20 2 2_Table 2A-1_EFT (Annual)" xfId="4232"/>
    <cellStyle name="Calculation 20 2 3" xfId="1073"/>
    <cellStyle name="Calculation 20 2 3 2" xfId="4634"/>
    <cellStyle name="Calculation 20 2 3 2 2" xfId="12894"/>
    <cellStyle name="Calculation 20 2 3 2 2 2" xfId="24900"/>
    <cellStyle name="Calculation 20 2 3 2 2 2 2" xfId="46086"/>
    <cellStyle name="Calculation 20 2 3 2 2 3" xfId="35482"/>
    <cellStyle name="Calculation 20 2 3 2 3" xfId="19787"/>
    <cellStyle name="Calculation 20 2 3 2 3 2" xfId="40974"/>
    <cellStyle name="Calculation 20 2 3 2 4" xfId="30291"/>
    <cellStyle name="Calculation 20 2 3 2_Table 2A-1_EFT (Annual)" xfId="14742"/>
    <cellStyle name="Calculation 20 2 3 3" xfId="10238"/>
    <cellStyle name="Calculation 20 2 3 3 2" xfId="22354"/>
    <cellStyle name="Calculation 20 2 3 3 2 2" xfId="43540"/>
    <cellStyle name="Calculation 20 2 3 3 3" xfId="32936"/>
    <cellStyle name="Calculation 20 2 3 4" xfId="17241"/>
    <cellStyle name="Calculation 20 2 3 4 2" xfId="38428"/>
    <cellStyle name="Calculation 20 2 3 5" xfId="27548"/>
    <cellStyle name="Calculation 20 2 3_Table 2A-1_EFT (Annual)" xfId="3612"/>
    <cellStyle name="Calculation 20 2 4" xfId="2287"/>
    <cellStyle name="Calculation 20 2 4 2" xfId="5848"/>
    <cellStyle name="Calculation 20 2 4 2 2" xfId="14063"/>
    <cellStyle name="Calculation 20 2 4 2 2 2" xfId="26051"/>
    <cellStyle name="Calculation 20 2 4 2 2 2 2" xfId="47237"/>
    <cellStyle name="Calculation 20 2 4 2 2 3" xfId="36633"/>
    <cellStyle name="Calculation 20 2 4 2 3" xfId="20938"/>
    <cellStyle name="Calculation 20 2 4 2 3 2" xfId="42125"/>
    <cellStyle name="Calculation 20 2 4 2 4" xfId="31505"/>
    <cellStyle name="Calculation 20 2 4 2_Table 2A-1_EFT (Annual)" xfId="14741"/>
    <cellStyle name="Calculation 20 2 4 3" xfId="11407"/>
    <cellStyle name="Calculation 20 2 4 3 2" xfId="23505"/>
    <cellStyle name="Calculation 20 2 4 3 2 2" xfId="44691"/>
    <cellStyle name="Calculation 20 2 4 3 3" xfId="34087"/>
    <cellStyle name="Calculation 20 2 4 4" xfId="18392"/>
    <cellStyle name="Calculation 20 2 4 4 2" xfId="39579"/>
    <cellStyle name="Calculation 20 2 4 5" xfId="28762"/>
    <cellStyle name="Calculation 20 2 4_Table 2A-1_EFT (Annual)" xfId="4231"/>
    <cellStyle name="Calculation 20 2 5" xfId="4141"/>
    <cellStyle name="Calculation 20 2 5 2" xfId="12465"/>
    <cellStyle name="Calculation 20 2 5 2 2" xfId="24487"/>
    <cellStyle name="Calculation 20 2 5 2 2 2" xfId="45673"/>
    <cellStyle name="Calculation 20 2 5 2 3" xfId="35069"/>
    <cellStyle name="Calculation 20 2 5 3" xfId="19374"/>
    <cellStyle name="Calculation 20 2 5 3 2" xfId="40561"/>
    <cellStyle name="Calculation 20 2 5 4" xfId="29829"/>
    <cellStyle name="Calculation 20 2 5_Table 2A-1_EFT (Annual)" xfId="14740"/>
    <cellStyle name="Calculation 20 2 6" xfId="9804"/>
    <cellStyle name="Calculation 20 2 6 2" xfId="21941"/>
    <cellStyle name="Calculation 20 2 6 2 2" xfId="43127"/>
    <cellStyle name="Calculation 20 2 6 3" xfId="32523"/>
    <cellStyle name="Calculation 20 2 7" xfId="16828"/>
    <cellStyle name="Calculation 20 2 7 2" xfId="38015"/>
    <cellStyle name="Calculation 20 2 8" xfId="27086"/>
    <cellStyle name="Calculation 20 2_Table 2A-1_EFT (Annual)" xfId="2925"/>
    <cellStyle name="Calculation 20 3" xfId="409"/>
    <cellStyle name="Calculation 20 3 2" xfId="1392"/>
    <cellStyle name="Calculation 20 3 2 2" xfId="2662"/>
    <cellStyle name="Calculation 20 3 2 2 2" xfId="6223"/>
    <cellStyle name="Calculation 20 3 2 2 2 2" xfId="14417"/>
    <cellStyle name="Calculation 20 3 2 2 2 2 2" xfId="26389"/>
    <cellStyle name="Calculation 20 3 2 2 2 2 2 2" xfId="47575"/>
    <cellStyle name="Calculation 20 3 2 2 2 2 3" xfId="36971"/>
    <cellStyle name="Calculation 20 3 2 2 2 3" xfId="21276"/>
    <cellStyle name="Calculation 20 3 2 2 2 3 2" xfId="42463"/>
    <cellStyle name="Calculation 20 3 2 2 2 4" xfId="31879"/>
    <cellStyle name="Calculation 20 3 2 2 2_Table 2A-1_EFT (Annual)" xfId="14739"/>
    <cellStyle name="Calculation 20 3 2 2 3" xfId="11759"/>
    <cellStyle name="Calculation 20 3 2 2 3 2" xfId="23843"/>
    <cellStyle name="Calculation 20 3 2 2 3 2 2" xfId="45029"/>
    <cellStyle name="Calculation 20 3 2 2 3 3" xfId="34425"/>
    <cellStyle name="Calculation 20 3 2 2 4" xfId="18730"/>
    <cellStyle name="Calculation 20 3 2 2 4 2" xfId="39917"/>
    <cellStyle name="Calculation 20 3 2 2 5" xfId="29136"/>
    <cellStyle name="Calculation 20 3 2 2_Table 2A-1_EFT (Annual)" xfId="3844"/>
    <cellStyle name="Calculation 20 3 2 3" xfId="4953"/>
    <cellStyle name="Calculation 20 3 2 3 2" xfId="13213"/>
    <cellStyle name="Calculation 20 3 2 3 2 2" xfId="25219"/>
    <cellStyle name="Calculation 20 3 2 3 2 2 2" xfId="46405"/>
    <cellStyle name="Calculation 20 3 2 3 2 3" xfId="35801"/>
    <cellStyle name="Calculation 20 3 2 3 3" xfId="20106"/>
    <cellStyle name="Calculation 20 3 2 3 3 2" xfId="41293"/>
    <cellStyle name="Calculation 20 3 2 3 4" xfId="30610"/>
    <cellStyle name="Calculation 20 3 2 3_Table 2A-1_EFT (Annual)" xfId="14738"/>
    <cellStyle name="Calculation 20 3 2 4" xfId="10557"/>
    <cellStyle name="Calculation 20 3 2 4 2" xfId="22673"/>
    <cellStyle name="Calculation 20 3 2 4 2 2" xfId="43859"/>
    <cellStyle name="Calculation 20 3 2 4 3" xfId="33255"/>
    <cellStyle name="Calculation 20 3 2 5" xfId="17560"/>
    <cellStyle name="Calculation 20 3 2 5 2" xfId="38747"/>
    <cellStyle name="Calculation 20 3 2 6" xfId="27867"/>
    <cellStyle name="Calculation 20 3 2_Table 2A-1_EFT (Annual)" xfId="4230"/>
    <cellStyle name="Calculation 20 3 3" xfId="941"/>
    <cellStyle name="Calculation 20 3 3 2" xfId="4502"/>
    <cellStyle name="Calculation 20 3 3 2 2" xfId="12764"/>
    <cellStyle name="Calculation 20 3 3 2 2 2" xfId="24774"/>
    <cellStyle name="Calculation 20 3 3 2 2 2 2" xfId="45960"/>
    <cellStyle name="Calculation 20 3 3 2 2 3" xfId="35356"/>
    <cellStyle name="Calculation 20 3 3 2 3" xfId="19661"/>
    <cellStyle name="Calculation 20 3 3 2 3 2" xfId="40848"/>
    <cellStyle name="Calculation 20 3 3 2 4" xfId="30159"/>
    <cellStyle name="Calculation 20 3 3 2_Table 2A-1_EFT (Annual)" xfId="14737"/>
    <cellStyle name="Calculation 20 3 3 3" xfId="10111"/>
    <cellStyle name="Calculation 20 3 3 3 2" xfId="22228"/>
    <cellStyle name="Calculation 20 3 3 3 2 2" xfId="43414"/>
    <cellStyle name="Calculation 20 3 3 3 3" xfId="32810"/>
    <cellStyle name="Calculation 20 3 3 4" xfId="17115"/>
    <cellStyle name="Calculation 20 3 3 4 2" xfId="38302"/>
    <cellStyle name="Calculation 20 3 3 5" xfId="27416"/>
    <cellStyle name="Calculation 20 3 3_Table 2A-1_EFT (Annual)" xfId="3611"/>
    <cellStyle name="Calculation 20 3 4" xfId="2131"/>
    <cellStyle name="Calculation 20 3 4 2" xfId="5692"/>
    <cellStyle name="Calculation 20 3 4 2 2" xfId="13907"/>
    <cellStyle name="Calculation 20 3 4 2 2 2" xfId="25895"/>
    <cellStyle name="Calculation 20 3 4 2 2 2 2" xfId="47081"/>
    <cellStyle name="Calculation 20 3 4 2 2 3" xfId="36477"/>
    <cellStyle name="Calculation 20 3 4 2 3" xfId="20782"/>
    <cellStyle name="Calculation 20 3 4 2 3 2" xfId="41969"/>
    <cellStyle name="Calculation 20 3 4 2 4" xfId="31349"/>
    <cellStyle name="Calculation 20 3 4 2_Table 2A-1_EFT (Annual)" xfId="14736"/>
    <cellStyle name="Calculation 20 3 4 3" xfId="11251"/>
    <cellStyle name="Calculation 20 3 4 3 2" xfId="23349"/>
    <cellStyle name="Calculation 20 3 4 3 2 2" xfId="44535"/>
    <cellStyle name="Calculation 20 3 4 3 3" xfId="33931"/>
    <cellStyle name="Calculation 20 3 4 4" xfId="18236"/>
    <cellStyle name="Calculation 20 3 4 4 2" xfId="39423"/>
    <cellStyle name="Calculation 20 3 4 5" xfId="28606"/>
    <cellStyle name="Calculation 20 3 4_Table 2A-1_EFT (Annual)" xfId="4229"/>
    <cellStyle name="Calculation 20 3 5" xfId="3979"/>
    <cellStyle name="Calculation 20 3 5 2" xfId="12307"/>
    <cellStyle name="Calculation 20 3 5 2 2" xfId="24331"/>
    <cellStyle name="Calculation 20 3 5 2 2 2" xfId="45517"/>
    <cellStyle name="Calculation 20 3 5 2 3" xfId="34913"/>
    <cellStyle name="Calculation 20 3 5 3" xfId="19218"/>
    <cellStyle name="Calculation 20 3 5 3 2" xfId="40405"/>
    <cellStyle name="Calculation 20 3 5 4" xfId="29667"/>
    <cellStyle name="Calculation 20 3 5_Table 2A-1_EFT (Annual)" xfId="14734"/>
    <cellStyle name="Calculation 20 3 6" xfId="9644"/>
    <cellStyle name="Calculation 20 3 6 2" xfId="21785"/>
    <cellStyle name="Calculation 20 3 6 2 2" xfId="42971"/>
    <cellStyle name="Calculation 20 3 6 3" xfId="32367"/>
    <cellStyle name="Calculation 20 3 7" xfId="16672"/>
    <cellStyle name="Calculation 20 3 7 2" xfId="37859"/>
    <cellStyle name="Calculation 20 3 8" xfId="26924"/>
    <cellStyle name="Calculation 20 3_Table 2A-1_EFT (Annual)" xfId="2926"/>
    <cellStyle name="Calculation 20 4" xfId="1226"/>
    <cellStyle name="Calculation 20 4 2" xfId="2496"/>
    <cellStyle name="Calculation 20 4 2 2" xfId="6057"/>
    <cellStyle name="Calculation 20 4 2 2 2" xfId="14251"/>
    <cellStyle name="Calculation 20 4 2 2 2 2" xfId="26223"/>
    <cellStyle name="Calculation 20 4 2 2 2 2 2" xfId="47409"/>
    <cellStyle name="Calculation 20 4 2 2 2 3" xfId="36805"/>
    <cellStyle name="Calculation 20 4 2 2 3" xfId="21110"/>
    <cellStyle name="Calculation 20 4 2 2 3 2" xfId="42297"/>
    <cellStyle name="Calculation 20 4 2 2 4" xfId="31713"/>
    <cellStyle name="Calculation 20 4 2 2_Table 2A-1_EFT (Annual)" xfId="14735"/>
    <cellStyle name="Calculation 20 4 2 3" xfId="11593"/>
    <cellStyle name="Calculation 20 4 2 3 2" xfId="23677"/>
    <cellStyle name="Calculation 20 4 2 3 2 2" xfId="44863"/>
    <cellStyle name="Calculation 20 4 2 3 3" xfId="34259"/>
    <cellStyle name="Calculation 20 4 2 4" xfId="18564"/>
    <cellStyle name="Calculation 20 4 2 4 2" xfId="39751"/>
    <cellStyle name="Calculation 20 4 2 5" xfId="28970"/>
    <cellStyle name="Calculation 20 4 2_Table 2A-1_EFT (Annual)" xfId="4228"/>
    <cellStyle name="Calculation 20 4 3" xfId="4787"/>
    <cellStyle name="Calculation 20 4 3 2" xfId="13047"/>
    <cellStyle name="Calculation 20 4 3 2 2" xfId="25053"/>
    <cellStyle name="Calculation 20 4 3 2 2 2" xfId="46239"/>
    <cellStyle name="Calculation 20 4 3 2 3" xfId="35635"/>
    <cellStyle name="Calculation 20 4 3 3" xfId="19940"/>
    <cellStyle name="Calculation 20 4 3 3 2" xfId="41127"/>
    <cellStyle name="Calculation 20 4 3 4" xfId="30444"/>
    <cellStyle name="Calculation 20 4 3_Table 2A-1_EFT (Annual)" xfId="14733"/>
    <cellStyle name="Calculation 20 4 4" xfId="10391"/>
    <cellStyle name="Calculation 20 4 4 2" xfId="22507"/>
    <cellStyle name="Calculation 20 4 4 2 2" xfId="43693"/>
    <cellStyle name="Calculation 20 4 4 3" xfId="33089"/>
    <cellStyle name="Calculation 20 4 5" xfId="17394"/>
    <cellStyle name="Calculation 20 4 5 2" xfId="38581"/>
    <cellStyle name="Calculation 20 4 6" xfId="27701"/>
    <cellStyle name="Calculation 20 4_Table 2A-1_EFT (Annual)" xfId="3610"/>
    <cellStyle name="Calculation 20 5" xfId="782"/>
    <cellStyle name="Calculation 20 5 2" xfId="4343"/>
    <cellStyle name="Calculation 20 5 2 2" xfId="12623"/>
    <cellStyle name="Calculation 20 5 2 2 2" xfId="24640"/>
    <cellStyle name="Calculation 20 5 2 2 2 2" xfId="45826"/>
    <cellStyle name="Calculation 20 5 2 2 3" xfId="35222"/>
    <cellStyle name="Calculation 20 5 2 3" xfId="19527"/>
    <cellStyle name="Calculation 20 5 2 3 2" xfId="40714"/>
    <cellStyle name="Calculation 20 5 2 4" xfId="30000"/>
    <cellStyle name="Calculation 20 5 2_Table 2A-1_EFT (Annual)" xfId="14732"/>
    <cellStyle name="Calculation 20 5 3" xfId="9971"/>
    <cellStyle name="Calculation 20 5 3 2" xfId="22094"/>
    <cellStyle name="Calculation 20 5 3 2 2" xfId="43280"/>
    <cellStyle name="Calculation 20 5 3 3" xfId="32676"/>
    <cellStyle name="Calculation 20 5 4" xfId="16981"/>
    <cellStyle name="Calculation 20 5 4 2" xfId="38168"/>
    <cellStyle name="Calculation 20 5 5" xfId="27257"/>
    <cellStyle name="Calculation 20 5_Table 2A-1_EFT (Annual)" xfId="3843"/>
    <cellStyle name="Calculation 20 6" xfId="1965"/>
    <cellStyle name="Calculation 20 6 2" xfId="5526"/>
    <cellStyle name="Calculation 20 6 2 2" xfId="13741"/>
    <cellStyle name="Calculation 20 6 2 2 2" xfId="25729"/>
    <cellStyle name="Calculation 20 6 2 2 2 2" xfId="46915"/>
    <cellStyle name="Calculation 20 6 2 2 3" xfId="36311"/>
    <cellStyle name="Calculation 20 6 2 3" xfId="20616"/>
    <cellStyle name="Calculation 20 6 2 3 2" xfId="41803"/>
    <cellStyle name="Calculation 20 6 2 4" xfId="31183"/>
    <cellStyle name="Calculation 20 6 2_Table 2A-1_EFT (Annual)" xfId="14731"/>
    <cellStyle name="Calculation 20 6 3" xfId="11085"/>
    <cellStyle name="Calculation 20 6 3 2" xfId="23183"/>
    <cellStyle name="Calculation 20 6 3 2 2" xfId="44369"/>
    <cellStyle name="Calculation 20 6 3 3" xfId="33765"/>
    <cellStyle name="Calculation 20 6 4" xfId="18070"/>
    <cellStyle name="Calculation 20 6 4 2" xfId="39257"/>
    <cellStyle name="Calculation 20 6 5" xfId="28440"/>
    <cellStyle name="Calculation 20 6_Table 2A-1_EFT (Annual)" xfId="3609"/>
    <cellStyle name="Calculation 20 7" xfId="3767"/>
    <cellStyle name="Calculation 20 7 2" xfId="12135"/>
    <cellStyle name="Calculation 20 7 2 2" xfId="24165"/>
    <cellStyle name="Calculation 20 7 2 2 2" xfId="45351"/>
    <cellStyle name="Calculation 20 7 2 3" xfId="34747"/>
    <cellStyle name="Calculation 20 7 3" xfId="19052"/>
    <cellStyle name="Calculation 20 7 3 2" xfId="40239"/>
    <cellStyle name="Calculation 20 7 4" xfId="29476"/>
    <cellStyle name="Calculation 20 7_Table 2A-1_EFT (Annual)" xfId="14730"/>
    <cellStyle name="Calculation 20 8" xfId="9454"/>
    <cellStyle name="Calculation 20 8 2" xfId="21619"/>
    <cellStyle name="Calculation 20 8 2 2" xfId="42805"/>
    <cellStyle name="Calculation 20 8 3" xfId="32201"/>
    <cellStyle name="Calculation 20 9" xfId="16506"/>
    <cellStyle name="Calculation 20 9 2" xfId="37693"/>
    <cellStyle name="Calculation 20_Table 2A-1_EFT (Annual)" xfId="2924"/>
    <cellStyle name="Calculation 21" xfId="176"/>
    <cellStyle name="Calculation 21 10" xfId="26731"/>
    <cellStyle name="Calculation 21 2" xfId="569"/>
    <cellStyle name="Calculation 21 2 2" xfId="1546"/>
    <cellStyle name="Calculation 21 2 2 2" xfId="2816"/>
    <cellStyle name="Calculation 21 2 2 2 2" xfId="6377"/>
    <cellStyle name="Calculation 21 2 2 2 2 2" xfId="14571"/>
    <cellStyle name="Calculation 21 2 2 2 2 2 2" xfId="26543"/>
    <cellStyle name="Calculation 21 2 2 2 2 2 2 2" xfId="47729"/>
    <cellStyle name="Calculation 21 2 2 2 2 2 3" xfId="37125"/>
    <cellStyle name="Calculation 21 2 2 2 2 3" xfId="21430"/>
    <cellStyle name="Calculation 21 2 2 2 2 3 2" xfId="42617"/>
    <cellStyle name="Calculation 21 2 2 2 2 4" xfId="32033"/>
    <cellStyle name="Calculation 21 2 2 2 2_Table 2A-1_EFT (Annual)" xfId="14729"/>
    <cellStyle name="Calculation 21 2 2 2 3" xfId="11913"/>
    <cellStyle name="Calculation 21 2 2 2 3 2" xfId="23997"/>
    <cellStyle name="Calculation 21 2 2 2 3 2 2" xfId="45183"/>
    <cellStyle name="Calculation 21 2 2 2 3 3" xfId="34579"/>
    <cellStyle name="Calculation 21 2 2 2 4" xfId="18884"/>
    <cellStyle name="Calculation 21 2 2 2 4 2" xfId="40071"/>
    <cellStyle name="Calculation 21 2 2 2 5" xfId="29290"/>
    <cellStyle name="Calculation 21 2 2 2_Table 2A-1_EFT (Annual)" xfId="6496"/>
    <cellStyle name="Calculation 21 2 2 3" xfId="5107"/>
    <cellStyle name="Calculation 21 2 2 3 2" xfId="13367"/>
    <cellStyle name="Calculation 21 2 2 3 2 2" xfId="25373"/>
    <cellStyle name="Calculation 21 2 2 3 2 2 2" xfId="46559"/>
    <cellStyle name="Calculation 21 2 2 3 2 3" xfId="35955"/>
    <cellStyle name="Calculation 21 2 2 3 3" xfId="20260"/>
    <cellStyle name="Calculation 21 2 2 3 3 2" xfId="41447"/>
    <cellStyle name="Calculation 21 2 2 3 4" xfId="30764"/>
    <cellStyle name="Calculation 21 2 2 3_Table 2A-1_EFT (Annual)" xfId="14728"/>
    <cellStyle name="Calculation 21 2 2 4" xfId="10711"/>
    <cellStyle name="Calculation 21 2 2 4 2" xfId="22827"/>
    <cellStyle name="Calculation 21 2 2 4 2 2" xfId="44013"/>
    <cellStyle name="Calculation 21 2 2 4 3" xfId="33409"/>
    <cellStyle name="Calculation 21 2 2 5" xfId="17714"/>
    <cellStyle name="Calculation 21 2 2 5 2" xfId="38901"/>
    <cellStyle name="Calculation 21 2 2 6" xfId="28021"/>
    <cellStyle name="Calculation 21 2 2_Table 2A-1_EFT (Annual)" xfId="6495"/>
    <cellStyle name="Calculation 21 2 3" xfId="1071"/>
    <cellStyle name="Calculation 21 2 3 2" xfId="4632"/>
    <cellStyle name="Calculation 21 2 3 2 2" xfId="12892"/>
    <cellStyle name="Calculation 21 2 3 2 2 2" xfId="24898"/>
    <cellStyle name="Calculation 21 2 3 2 2 2 2" xfId="46084"/>
    <cellStyle name="Calculation 21 2 3 2 2 3" xfId="35480"/>
    <cellStyle name="Calculation 21 2 3 2 3" xfId="19785"/>
    <cellStyle name="Calculation 21 2 3 2 3 2" xfId="40972"/>
    <cellStyle name="Calculation 21 2 3 2 4" xfId="30289"/>
    <cellStyle name="Calculation 21 2 3 2_Table 2A-1_EFT (Annual)" xfId="14727"/>
    <cellStyle name="Calculation 21 2 3 3" xfId="10236"/>
    <cellStyle name="Calculation 21 2 3 3 2" xfId="22352"/>
    <cellStyle name="Calculation 21 2 3 3 2 2" xfId="43538"/>
    <cellStyle name="Calculation 21 2 3 3 3" xfId="32934"/>
    <cellStyle name="Calculation 21 2 3 4" xfId="17239"/>
    <cellStyle name="Calculation 21 2 3 4 2" xfId="38426"/>
    <cellStyle name="Calculation 21 2 3 5" xfId="27546"/>
    <cellStyle name="Calculation 21 2 3_Table 2A-1_EFT (Annual)" xfId="6497"/>
    <cellStyle name="Calculation 21 2 4" xfId="2285"/>
    <cellStyle name="Calculation 21 2 4 2" xfId="5846"/>
    <cellStyle name="Calculation 21 2 4 2 2" xfId="14061"/>
    <cellStyle name="Calculation 21 2 4 2 2 2" xfId="26049"/>
    <cellStyle name="Calculation 21 2 4 2 2 2 2" xfId="47235"/>
    <cellStyle name="Calculation 21 2 4 2 2 3" xfId="36631"/>
    <cellStyle name="Calculation 21 2 4 2 3" xfId="20936"/>
    <cellStyle name="Calculation 21 2 4 2 3 2" xfId="42123"/>
    <cellStyle name="Calculation 21 2 4 2 4" xfId="31503"/>
    <cellStyle name="Calculation 21 2 4 2_Table 2A-1_EFT (Annual)" xfId="14726"/>
    <cellStyle name="Calculation 21 2 4 3" xfId="11405"/>
    <cellStyle name="Calculation 21 2 4 3 2" xfId="23503"/>
    <cellStyle name="Calculation 21 2 4 3 2 2" xfId="44689"/>
    <cellStyle name="Calculation 21 2 4 3 3" xfId="34085"/>
    <cellStyle name="Calculation 21 2 4 4" xfId="18390"/>
    <cellStyle name="Calculation 21 2 4 4 2" xfId="39577"/>
    <cellStyle name="Calculation 21 2 4 5" xfId="28760"/>
    <cellStyle name="Calculation 21 2 4_Table 2A-1_EFT (Annual)" xfId="6498"/>
    <cellStyle name="Calculation 21 2 5" xfId="4139"/>
    <cellStyle name="Calculation 21 2 5 2" xfId="12463"/>
    <cellStyle name="Calculation 21 2 5 2 2" xfId="24485"/>
    <cellStyle name="Calculation 21 2 5 2 2 2" xfId="45671"/>
    <cellStyle name="Calculation 21 2 5 2 3" xfId="35067"/>
    <cellStyle name="Calculation 21 2 5 3" xfId="19372"/>
    <cellStyle name="Calculation 21 2 5 3 2" xfId="40559"/>
    <cellStyle name="Calculation 21 2 5 4" xfId="29827"/>
    <cellStyle name="Calculation 21 2 5_Table 2A-1_EFT (Annual)" xfId="14725"/>
    <cellStyle name="Calculation 21 2 6" xfId="9802"/>
    <cellStyle name="Calculation 21 2 6 2" xfId="21939"/>
    <cellStyle name="Calculation 21 2 6 2 2" xfId="43125"/>
    <cellStyle name="Calculation 21 2 6 3" xfId="32521"/>
    <cellStyle name="Calculation 21 2 7" xfId="16826"/>
    <cellStyle name="Calculation 21 2 7 2" xfId="38013"/>
    <cellStyle name="Calculation 21 2 8" xfId="27084"/>
    <cellStyle name="Calculation 21 2_Table 2A-1_EFT (Annual)" xfId="2928"/>
    <cellStyle name="Calculation 21 3" xfId="407"/>
    <cellStyle name="Calculation 21 3 2" xfId="1390"/>
    <cellStyle name="Calculation 21 3 2 2" xfId="2660"/>
    <cellStyle name="Calculation 21 3 2 2 2" xfId="6221"/>
    <cellStyle name="Calculation 21 3 2 2 2 2" xfId="14415"/>
    <cellStyle name="Calculation 21 3 2 2 2 2 2" xfId="26387"/>
    <cellStyle name="Calculation 21 3 2 2 2 2 2 2" xfId="47573"/>
    <cellStyle name="Calculation 21 3 2 2 2 2 3" xfId="36969"/>
    <cellStyle name="Calculation 21 3 2 2 2 3" xfId="21274"/>
    <cellStyle name="Calculation 21 3 2 2 2 3 2" xfId="42461"/>
    <cellStyle name="Calculation 21 3 2 2 2 4" xfId="31877"/>
    <cellStyle name="Calculation 21 3 2 2 2_Table 2A-1_EFT (Annual)" xfId="14724"/>
    <cellStyle name="Calculation 21 3 2 2 3" xfId="11757"/>
    <cellStyle name="Calculation 21 3 2 2 3 2" xfId="23841"/>
    <cellStyle name="Calculation 21 3 2 2 3 2 2" xfId="45027"/>
    <cellStyle name="Calculation 21 3 2 2 3 3" xfId="34423"/>
    <cellStyle name="Calculation 21 3 2 2 4" xfId="18728"/>
    <cellStyle name="Calculation 21 3 2 2 4 2" xfId="39915"/>
    <cellStyle name="Calculation 21 3 2 2 5" xfId="29134"/>
    <cellStyle name="Calculation 21 3 2 2_Table 2A-1_EFT (Annual)" xfId="6500"/>
    <cellStyle name="Calculation 21 3 2 3" xfId="4951"/>
    <cellStyle name="Calculation 21 3 2 3 2" xfId="13211"/>
    <cellStyle name="Calculation 21 3 2 3 2 2" xfId="25217"/>
    <cellStyle name="Calculation 21 3 2 3 2 2 2" xfId="46403"/>
    <cellStyle name="Calculation 21 3 2 3 2 3" xfId="35799"/>
    <cellStyle name="Calculation 21 3 2 3 3" xfId="20104"/>
    <cellStyle name="Calculation 21 3 2 3 3 2" xfId="41291"/>
    <cellStyle name="Calculation 21 3 2 3 4" xfId="30608"/>
    <cellStyle name="Calculation 21 3 2 3_Table 2A-1_EFT (Annual)" xfId="14723"/>
    <cellStyle name="Calculation 21 3 2 4" xfId="10555"/>
    <cellStyle name="Calculation 21 3 2 4 2" xfId="22671"/>
    <cellStyle name="Calculation 21 3 2 4 2 2" xfId="43857"/>
    <cellStyle name="Calculation 21 3 2 4 3" xfId="33253"/>
    <cellStyle name="Calculation 21 3 2 5" xfId="17558"/>
    <cellStyle name="Calculation 21 3 2 5 2" xfId="38745"/>
    <cellStyle name="Calculation 21 3 2 6" xfId="27865"/>
    <cellStyle name="Calculation 21 3 2_Table 2A-1_EFT (Annual)" xfId="6499"/>
    <cellStyle name="Calculation 21 3 3" xfId="939"/>
    <cellStyle name="Calculation 21 3 3 2" xfId="4500"/>
    <cellStyle name="Calculation 21 3 3 2 2" xfId="12762"/>
    <cellStyle name="Calculation 21 3 3 2 2 2" xfId="24772"/>
    <cellStyle name="Calculation 21 3 3 2 2 2 2" xfId="45958"/>
    <cellStyle name="Calculation 21 3 3 2 2 3" xfId="35354"/>
    <cellStyle name="Calculation 21 3 3 2 3" xfId="19659"/>
    <cellStyle name="Calculation 21 3 3 2 3 2" xfId="40846"/>
    <cellStyle name="Calculation 21 3 3 2 4" xfId="30157"/>
    <cellStyle name="Calculation 21 3 3 2_Table 2A-1_EFT (Annual)" xfId="14722"/>
    <cellStyle name="Calculation 21 3 3 3" xfId="10109"/>
    <cellStyle name="Calculation 21 3 3 3 2" xfId="22226"/>
    <cellStyle name="Calculation 21 3 3 3 2 2" xfId="43412"/>
    <cellStyle name="Calculation 21 3 3 3 3" xfId="32808"/>
    <cellStyle name="Calculation 21 3 3 4" xfId="17113"/>
    <cellStyle name="Calculation 21 3 3 4 2" xfId="38300"/>
    <cellStyle name="Calculation 21 3 3 5" xfId="27414"/>
    <cellStyle name="Calculation 21 3 3_Table 2A-1_EFT (Annual)" xfId="6501"/>
    <cellStyle name="Calculation 21 3 4" xfId="2129"/>
    <cellStyle name="Calculation 21 3 4 2" xfId="5690"/>
    <cellStyle name="Calculation 21 3 4 2 2" xfId="13905"/>
    <cellStyle name="Calculation 21 3 4 2 2 2" xfId="25893"/>
    <cellStyle name="Calculation 21 3 4 2 2 2 2" xfId="47079"/>
    <cellStyle name="Calculation 21 3 4 2 2 3" xfId="36475"/>
    <cellStyle name="Calculation 21 3 4 2 3" xfId="20780"/>
    <cellStyle name="Calculation 21 3 4 2 3 2" xfId="41967"/>
    <cellStyle name="Calculation 21 3 4 2 4" xfId="31347"/>
    <cellStyle name="Calculation 21 3 4 2_Table 2A-1_EFT (Annual)" xfId="14721"/>
    <cellStyle name="Calculation 21 3 4 3" xfId="11249"/>
    <cellStyle name="Calculation 21 3 4 3 2" xfId="23347"/>
    <cellStyle name="Calculation 21 3 4 3 2 2" xfId="44533"/>
    <cellStyle name="Calculation 21 3 4 3 3" xfId="33929"/>
    <cellStyle name="Calculation 21 3 4 4" xfId="18234"/>
    <cellStyle name="Calculation 21 3 4 4 2" xfId="39421"/>
    <cellStyle name="Calculation 21 3 4 5" xfId="28604"/>
    <cellStyle name="Calculation 21 3 4_Table 2A-1_EFT (Annual)" xfId="6502"/>
    <cellStyle name="Calculation 21 3 5" xfId="3977"/>
    <cellStyle name="Calculation 21 3 5 2" xfId="12305"/>
    <cellStyle name="Calculation 21 3 5 2 2" xfId="24329"/>
    <cellStyle name="Calculation 21 3 5 2 2 2" xfId="45515"/>
    <cellStyle name="Calculation 21 3 5 2 3" xfId="34911"/>
    <cellStyle name="Calculation 21 3 5 3" xfId="19216"/>
    <cellStyle name="Calculation 21 3 5 3 2" xfId="40403"/>
    <cellStyle name="Calculation 21 3 5 4" xfId="29665"/>
    <cellStyle name="Calculation 21 3 5_Table 2A-1_EFT (Annual)" xfId="14720"/>
    <cellStyle name="Calculation 21 3 6" xfId="9642"/>
    <cellStyle name="Calculation 21 3 6 2" xfId="21783"/>
    <cellStyle name="Calculation 21 3 6 2 2" xfId="42969"/>
    <cellStyle name="Calculation 21 3 6 3" xfId="32365"/>
    <cellStyle name="Calculation 21 3 7" xfId="16670"/>
    <cellStyle name="Calculation 21 3 7 2" xfId="37857"/>
    <cellStyle name="Calculation 21 3 8" xfId="26922"/>
    <cellStyle name="Calculation 21 3_Table 2A-1_EFT (Annual)" xfId="2929"/>
    <cellStyle name="Calculation 21 4" xfId="1224"/>
    <cellStyle name="Calculation 21 4 2" xfId="2494"/>
    <cellStyle name="Calculation 21 4 2 2" xfId="6055"/>
    <cellStyle name="Calculation 21 4 2 2 2" xfId="14249"/>
    <cellStyle name="Calculation 21 4 2 2 2 2" xfId="26221"/>
    <cellStyle name="Calculation 21 4 2 2 2 2 2" xfId="47407"/>
    <cellStyle name="Calculation 21 4 2 2 2 3" xfId="36803"/>
    <cellStyle name="Calculation 21 4 2 2 3" xfId="21108"/>
    <cellStyle name="Calculation 21 4 2 2 3 2" xfId="42295"/>
    <cellStyle name="Calculation 21 4 2 2 4" xfId="31711"/>
    <cellStyle name="Calculation 21 4 2 2_Table 2A-1_EFT (Annual)" xfId="14719"/>
    <cellStyle name="Calculation 21 4 2 3" xfId="11591"/>
    <cellStyle name="Calculation 21 4 2 3 2" xfId="23675"/>
    <cellStyle name="Calculation 21 4 2 3 2 2" xfId="44861"/>
    <cellStyle name="Calculation 21 4 2 3 3" xfId="34257"/>
    <cellStyle name="Calculation 21 4 2 4" xfId="18562"/>
    <cellStyle name="Calculation 21 4 2 4 2" xfId="39749"/>
    <cellStyle name="Calculation 21 4 2 5" xfId="28968"/>
    <cellStyle name="Calculation 21 4 2_Table 2A-1_EFT (Annual)" xfId="6504"/>
    <cellStyle name="Calculation 21 4 3" xfId="4785"/>
    <cellStyle name="Calculation 21 4 3 2" xfId="13045"/>
    <cellStyle name="Calculation 21 4 3 2 2" xfId="25051"/>
    <cellStyle name="Calculation 21 4 3 2 2 2" xfId="46237"/>
    <cellStyle name="Calculation 21 4 3 2 3" xfId="35633"/>
    <cellStyle name="Calculation 21 4 3 3" xfId="19938"/>
    <cellStyle name="Calculation 21 4 3 3 2" xfId="41125"/>
    <cellStyle name="Calculation 21 4 3 4" xfId="30442"/>
    <cellStyle name="Calculation 21 4 3_Table 2A-1_EFT (Annual)" xfId="14718"/>
    <cellStyle name="Calculation 21 4 4" xfId="10389"/>
    <cellStyle name="Calculation 21 4 4 2" xfId="22505"/>
    <cellStyle name="Calculation 21 4 4 2 2" xfId="43691"/>
    <cellStyle name="Calculation 21 4 4 3" xfId="33087"/>
    <cellStyle name="Calculation 21 4 5" xfId="17392"/>
    <cellStyle name="Calculation 21 4 5 2" xfId="38579"/>
    <cellStyle name="Calculation 21 4 6" xfId="27699"/>
    <cellStyle name="Calculation 21 4_Table 2A-1_EFT (Annual)" xfId="6503"/>
    <cellStyle name="Calculation 21 5" xfId="780"/>
    <cellStyle name="Calculation 21 5 2" xfId="4341"/>
    <cellStyle name="Calculation 21 5 2 2" xfId="12621"/>
    <cellStyle name="Calculation 21 5 2 2 2" xfId="24638"/>
    <cellStyle name="Calculation 21 5 2 2 2 2" xfId="45824"/>
    <cellStyle name="Calculation 21 5 2 2 3" xfId="35220"/>
    <cellStyle name="Calculation 21 5 2 3" xfId="19525"/>
    <cellStyle name="Calculation 21 5 2 3 2" xfId="40712"/>
    <cellStyle name="Calculation 21 5 2 4" xfId="29998"/>
    <cellStyle name="Calculation 21 5 2_Table 2A-1_EFT (Annual)" xfId="14717"/>
    <cellStyle name="Calculation 21 5 3" xfId="9969"/>
    <cellStyle name="Calculation 21 5 3 2" xfId="22092"/>
    <cellStyle name="Calculation 21 5 3 2 2" xfId="43278"/>
    <cellStyle name="Calculation 21 5 3 3" xfId="32674"/>
    <cellStyle name="Calculation 21 5 4" xfId="16979"/>
    <cellStyle name="Calculation 21 5 4 2" xfId="38166"/>
    <cellStyle name="Calculation 21 5 5" xfId="27255"/>
    <cellStyle name="Calculation 21 5_Table 2A-1_EFT (Annual)" xfId="6505"/>
    <cellStyle name="Calculation 21 6" xfId="1963"/>
    <cellStyle name="Calculation 21 6 2" xfId="5524"/>
    <cellStyle name="Calculation 21 6 2 2" xfId="13739"/>
    <cellStyle name="Calculation 21 6 2 2 2" xfId="25727"/>
    <cellStyle name="Calculation 21 6 2 2 2 2" xfId="46913"/>
    <cellStyle name="Calculation 21 6 2 2 3" xfId="36309"/>
    <cellStyle name="Calculation 21 6 2 3" xfId="20614"/>
    <cellStyle name="Calculation 21 6 2 3 2" xfId="41801"/>
    <cellStyle name="Calculation 21 6 2 4" xfId="31181"/>
    <cellStyle name="Calculation 21 6 2_Table 2A-1_EFT (Annual)" xfId="14716"/>
    <cellStyle name="Calculation 21 6 3" xfId="11083"/>
    <cellStyle name="Calculation 21 6 3 2" xfId="23181"/>
    <cellStyle name="Calculation 21 6 3 2 2" xfId="44367"/>
    <cellStyle name="Calculation 21 6 3 3" xfId="33763"/>
    <cellStyle name="Calculation 21 6 4" xfId="18068"/>
    <cellStyle name="Calculation 21 6 4 2" xfId="39255"/>
    <cellStyle name="Calculation 21 6 5" xfId="28438"/>
    <cellStyle name="Calculation 21 6_Table 2A-1_EFT (Annual)" xfId="6506"/>
    <cellStyle name="Calculation 21 7" xfId="3765"/>
    <cellStyle name="Calculation 21 7 2" xfId="12133"/>
    <cellStyle name="Calculation 21 7 2 2" xfId="24163"/>
    <cellStyle name="Calculation 21 7 2 2 2" xfId="45349"/>
    <cellStyle name="Calculation 21 7 2 3" xfId="34745"/>
    <cellStyle name="Calculation 21 7 3" xfId="19050"/>
    <cellStyle name="Calculation 21 7 3 2" xfId="40237"/>
    <cellStyle name="Calculation 21 7 4" xfId="29474"/>
    <cellStyle name="Calculation 21 7_Table 2A-1_EFT (Annual)" xfId="14715"/>
    <cellStyle name="Calculation 21 8" xfId="9452"/>
    <cellStyle name="Calculation 21 8 2" xfId="21617"/>
    <cellStyle name="Calculation 21 8 2 2" xfId="42803"/>
    <cellStyle name="Calculation 21 8 3" xfId="32199"/>
    <cellStyle name="Calculation 21 9" xfId="16504"/>
    <cellStyle name="Calculation 21 9 2" xfId="37691"/>
    <cellStyle name="Calculation 21_Table 2A-1_EFT (Annual)" xfId="2927"/>
    <cellStyle name="Calculation 22" xfId="210"/>
    <cellStyle name="Calculation 22 10" xfId="26765"/>
    <cellStyle name="Calculation 22 2" xfId="603"/>
    <cellStyle name="Calculation 22 2 2" xfId="1580"/>
    <cellStyle name="Calculation 22 2 2 2" xfId="2850"/>
    <cellStyle name="Calculation 22 2 2 2 2" xfId="6411"/>
    <cellStyle name="Calculation 22 2 2 2 2 2" xfId="14605"/>
    <cellStyle name="Calculation 22 2 2 2 2 2 2" xfId="26577"/>
    <cellStyle name="Calculation 22 2 2 2 2 2 2 2" xfId="47763"/>
    <cellStyle name="Calculation 22 2 2 2 2 2 3" xfId="37159"/>
    <cellStyle name="Calculation 22 2 2 2 2 3" xfId="21464"/>
    <cellStyle name="Calculation 22 2 2 2 2 3 2" xfId="42651"/>
    <cellStyle name="Calculation 22 2 2 2 2 4" xfId="32067"/>
    <cellStyle name="Calculation 22 2 2 2 2_Table 2A-1_EFT (Annual)" xfId="14714"/>
    <cellStyle name="Calculation 22 2 2 2 3" xfId="11947"/>
    <cellStyle name="Calculation 22 2 2 2 3 2" xfId="24031"/>
    <cellStyle name="Calculation 22 2 2 2 3 2 2" xfId="45217"/>
    <cellStyle name="Calculation 22 2 2 2 3 3" xfId="34613"/>
    <cellStyle name="Calculation 22 2 2 2 4" xfId="18918"/>
    <cellStyle name="Calculation 22 2 2 2 4 2" xfId="40105"/>
    <cellStyle name="Calculation 22 2 2 2 5" xfId="29324"/>
    <cellStyle name="Calculation 22 2 2 2_Table 2A-1_EFT (Annual)" xfId="6508"/>
    <cellStyle name="Calculation 22 2 2 3" xfId="5141"/>
    <cellStyle name="Calculation 22 2 2 3 2" xfId="13401"/>
    <cellStyle name="Calculation 22 2 2 3 2 2" xfId="25407"/>
    <cellStyle name="Calculation 22 2 2 3 2 2 2" xfId="46593"/>
    <cellStyle name="Calculation 22 2 2 3 2 3" xfId="35989"/>
    <cellStyle name="Calculation 22 2 2 3 3" xfId="20294"/>
    <cellStyle name="Calculation 22 2 2 3 3 2" xfId="41481"/>
    <cellStyle name="Calculation 22 2 2 3 4" xfId="30798"/>
    <cellStyle name="Calculation 22 2 2 3_Table 2A-1_EFT (Annual)" xfId="14713"/>
    <cellStyle name="Calculation 22 2 2 4" xfId="10745"/>
    <cellStyle name="Calculation 22 2 2 4 2" xfId="22861"/>
    <cellStyle name="Calculation 22 2 2 4 2 2" xfId="44047"/>
    <cellStyle name="Calculation 22 2 2 4 3" xfId="33443"/>
    <cellStyle name="Calculation 22 2 2 5" xfId="17748"/>
    <cellStyle name="Calculation 22 2 2 5 2" xfId="38935"/>
    <cellStyle name="Calculation 22 2 2 6" xfId="28055"/>
    <cellStyle name="Calculation 22 2 2_Table 2A-1_EFT (Annual)" xfId="6507"/>
    <cellStyle name="Calculation 22 2 3" xfId="1098"/>
    <cellStyle name="Calculation 22 2 3 2" xfId="4659"/>
    <cellStyle name="Calculation 22 2 3 2 2" xfId="12919"/>
    <cellStyle name="Calculation 22 2 3 2 2 2" xfId="24925"/>
    <cellStyle name="Calculation 22 2 3 2 2 2 2" xfId="46111"/>
    <cellStyle name="Calculation 22 2 3 2 2 3" xfId="35507"/>
    <cellStyle name="Calculation 22 2 3 2 3" xfId="19812"/>
    <cellStyle name="Calculation 22 2 3 2 3 2" xfId="40999"/>
    <cellStyle name="Calculation 22 2 3 2 4" xfId="30316"/>
    <cellStyle name="Calculation 22 2 3 2_Table 2A-1_EFT (Annual)" xfId="14712"/>
    <cellStyle name="Calculation 22 2 3 3" xfId="10263"/>
    <cellStyle name="Calculation 22 2 3 3 2" xfId="22379"/>
    <cellStyle name="Calculation 22 2 3 3 2 2" xfId="43565"/>
    <cellStyle name="Calculation 22 2 3 3 3" xfId="32961"/>
    <cellStyle name="Calculation 22 2 3 4" xfId="17266"/>
    <cellStyle name="Calculation 22 2 3 4 2" xfId="38453"/>
    <cellStyle name="Calculation 22 2 3 5" xfId="27573"/>
    <cellStyle name="Calculation 22 2 3_Table 2A-1_EFT (Annual)" xfId="6509"/>
    <cellStyle name="Calculation 22 2 4" xfId="2319"/>
    <cellStyle name="Calculation 22 2 4 2" xfId="5880"/>
    <cellStyle name="Calculation 22 2 4 2 2" xfId="14095"/>
    <cellStyle name="Calculation 22 2 4 2 2 2" xfId="26083"/>
    <cellStyle name="Calculation 22 2 4 2 2 2 2" xfId="47269"/>
    <cellStyle name="Calculation 22 2 4 2 2 3" xfId="36665"/>
    <cellStyle name="Calculation 22 2 4 2 3" xfId="20970"/>
    <cellStyle name="Calculation 22 2 4 2 3 2" xfId="42157"/>
    <cellStyle name="Calculation 22 2 4 2 4" xfId="31537"/>
    <cellStyle name="Calculation 22 2 4 2_Table 2A-1_EFT (Annual)" xfId="14711"/>
    <cellStyle name="Calculation 22 2 4 3" xfId="11439"/>
    <cellStyle name="Calculation 22 2 4 3 2" xfId="23537"/>
    <cellStyle name="Calculation 22 2 4 3 2 2" xfId="44723"/>
    <cellStyle name="Calculation 22 2 4 3 3" xfId="34119"/>
    <cellStyle name="Calculation 22 2 4 4" xfId="18424"/>
    <cellStyle name="Calculation 22 2 4 4 2" xfId="39611"/>
    <cellStyle name="Calculation 22 2 4 5" xfId="28794"/>
    <cellStyle name="Calculation 22 2 4_Table 2A-1_EFT (Annual)" xfId="6510"/>
    <cellStyle name="Calculation 22 2 5" xfId="4173"/>
    <cellStyle name="Calculation 22 2 5 2" xfId="12497"/>
    <cellStyle name="Calculation 22 2 5 2 2" xfId="24519"/>
    <cellStyle name="Calculation 22 2 5 2 2 2" xfId="45705"/>
    <cellStyle name="Calculation 22 2 5 2 3" xfId="35101"/>
    <cellStyle name="Calculation 22 2 5 3" xfId="19406"/>
    <cellStyle name="Calculation 22 2 5 3 2" xfId="40593"/>
    <cellStyle name="Calculation 22 2 5 4" xfId="29861"/>
    <cellStyle name="Calculation 22 2 5_Table 2A-1_EFT (Annual)" xfId="14710"/>
    <cellStyle name="Calculation 22 2 6" xfId="9836"/>
    <cellStyle name="Calculation 22 2 6 2" xfId="21973"/>
    <cellStyle name="Calculation 22 2 6 2 2" xfId="43159"/>
    <cellStyle name="Calculation 22 2 6 3" xfId="32555"/>
    <cellStyle name="Calculation 22 2 7" xfId="16860"/>
    <cellStyle name="Calculation 22 2 7 2" xfId="38047"/>
    <cellStyle name="Calculation 22 2 8" xfId="27118"/>
    <cellStyle name="Calculation 22 2_Table 2A-1_EFT (Annual)" xfId="2931"/>
    <cellStyle name="Calculation 22 3" xfId="438"/>
    <cellStyle name="Calculation 22 3 2" xfId="1421"/>
    <cellStyle name="Calculation 22 3 2 2" xfId="2691"/>
    <cellStyle name="Calculation 22 3 2 2 2" xfId="6252"/>
    <cellStyle name="Calculation 22 3 2 2 2 2" xfId="14446"/>
    <cellStyle name="Calculation 22 3 2 2 2 2 2" xfId="26418"/>
    <cellStyle name="Calculation 22 3 2 2 2 2 2 2" xfId="47604"/>
    <cellStyle name="Calculation 22 3 2 2 2 2 3" xfId="37000"/>
    <cellStyle name="Calculation 22 3 2 2 2 3" xfId="21305"/>
    <cellStyle name="Calculation 22 3 2 2 2 3 2" xfId="42492"/>
    <cellStyle name="Calculation 22 3 2 2 2 4" xfId="31908"/>
    <cellStyle name="Calculation 22 3 2 2 2_Table 2A-1_EFT (Annual)" xfId="14709"/>
    <cellStyle name="Calculation 22 3 2 2 3" xfId="11788"/>
    <cellStyle name="Calculation 22 3 2 2 3 2" xfId="23872"/>
    <cellStyle name="Calculation 22 3 2 2 3 2 2" xfId="45058"/>
    <cellStyle name="Calculation 22 3 2 2 3 3" xfId="34454"/>
    <cellStyle name="Calculation 22 3 2 2 4" xfId="18759"/>
    <cellStyle name="Calculation 22 3 2 2 4 2" xfId="39946"/>
    <cellStyle name="Calculation 22 3 2 2 5" xfId="29165"/>
    <cellStyle name="Calculation 22 3 2 2_Table 2A-1_EFT (Annual)" xfId="6512"/>
    <cellStyle name="Calculation 22 3 2 3" xfId="4982"/>
    <cellStyle name="Calculation 22 3 2 3 2" xfId="13242"/>
    <cellStyle name="Calculation 22 3 2 3 2 2" xfId="25248"/>
    <cellStyle name="Calculation 22 3 2 3 2 2 2" xfId="46434"/>
    <cellStyle name="Calculation 22 3 2 3 2 3" xfId="35830"/>
    <cellStyle name="Calculation 22 3 2 3 3" xfId="20135"/>
    <cellStyle name="Calculation 22 3 2 3 3 2" xfId="41322"/>
    <cellStyle name="Calculation 22 3 2 3 4" xfId="30639"/>
    <cellStyle name="Calculation 22 3 2 3_Table 2A-1_EFT (Annual)" xfId="14708"/>
    <cellStyle name="Calculation 22 3 2 4" xfId="10586"/>
    <cellStyle name="Calculation 22 3 2 4 2" xfId="22702"/>
    <cellStyle name="Calculation 22 3 2 4 2 2" xfId="43888"/>
    <cellStyle name="Calculation 22 3 2 4 3" xfId="33284"/>
    <cellStyle name="Calculation 22 3 2 5" xfId="17589"/>
    <cellStyle name="Calculation 22 3 2 5 2" xfId="38776"/>
    <cellStyle name="Calculation 22 3 2 6" xfId="27896"/>
    <cellStyle name="Calculation 22 3 2_Table 2A-1_EFT (Annual)" xfId="6511"/>
    <cellStyle name="Calculation 22 3 3" xfId="963"/>
    <cellStyle name="Calculation 22 3 3 2" xfId="4524"/>
    <cellStyle name="Calculation 22 3 3 2 2" xfId="12786"/>
    <cellStyle name="Calculation 22 3 3 2 2 2" xfId="24796"/>
    <cellStyle name="Calculation 22 3 3 2 2 2 2" xfId="45982"/>
    <cellStyle name="Calculation 22 3 3 2 2 3" xfId="35378"/>
    <cellStyle name="Calculation 22 3 3 2 3" xfId="19683"/>
    <cellStyle name="Calculation 22 3 3 2 3 2" xfId="40870"/>
    <cellStyle name="Calculation 22 3 3 2 4" xfId="30181"/>
    <cellStyle name="Calculation 22 3 3 2_Table 2A-1_EFT (Annual)" xfId="14707"/>
    <cellStyle name="Calculation 22 3 3 3" xfId="10133"/>
    <cellStyle name="Calculation 22 3 3 3 2" xfId="22250"/>
    <cellStyle name="Calculation 22 3 3 3 2 2" xfId="43436"/>
    <cellStyle name="Calculation 22 3 3 3 3" xfId="32832"/>
    <cellStyle name="Calculation 22 3 3 4" xfId="17137"/>
    <cellStyle name="Calculation 22 3 3 4 2" xfId="38324"/>
    <cellStyle name="Calculation 22 3 3 5" xfId="27438"/>
    <cellStyle name="Calculation 22 3 3_Table 2A-1_EFT (Annual)" xfId="6513"/>
    <cellStyle name="Calculation 22 3 4" xfId="2160"/>
    <cellStyle name="Calculation 22 3 4 2" xfId="5721"/>
    <cellStyle name="Calculation 22 3 4 2 2" xfId="13936"/>
    <cellStyle name="Calculation 22 3 4 2 2 2" xfId="25924"/>
    <cellStyle name="Calculation 22 3 4 2 2 2 2" xfId="47110"/>
    <cellStyle name="Calculation 22 3 4 2 2 3" xfId="36506"/>
    <cellStyle name="Calculation 22 3 4 2 3" xfId="20811"/>
    <cellStyle name="Calculation 22 3 4 2 3 2" xfId="41998"/>
    <cellStyle name="Calculation 22 3 4 2 4" xfId="31378"/>
    <cellStyle name="Calculation 22 3 4 2_Table 2A-1_EFT (Annual)" xfId="14706"/>
    <cellStyle name="Calculation 22 3 4 3" xfId="11280"/>
    <cellStyle name="Calculation 22 3 4 3 2" xfId="23378"/>
    <cellStyle name="Calculation 22 3 4 3 2 2" xfId="44564"/>
    <cellStyle name="Calculation 22 3 4 3 3" xfId="33960"/>
    <cellStyle name="Calculation 22 3 4 4" xfId="18265"/>
    <cellStyle name="Calculation 22 3 4 4 2" xfId="39452"/>
    <cellStyle name="Calculation 22 3 4 5" xfId="28635"/>
    <cellStyle name="Calculation 22 3 4_Table 2A-1_EFT (Annual)" xfId="6514"/>
    <cellStyle name="Calculation 22 3 5" xfId="4008"/>
    <cellStyle name="Calculation 22 3 5 2" xfId="12336"/>
    <cellStyle name="Calculation 22 3 5 2 2" xfId="24360"/>
    <cellStyle name="Calculation 22 3 5 2 2 2" xfId="45546"/>
    <cellStyle name="Calculation 22 3 5 2 3" xfId="34942"/>
    <cellStyle name="Calculation 22 3 5 3" xfId="19247"/>
    <cellStyle name="Calculation 22 3 5 3 2" xfId="40434"/>
    <cellStyle name="Calculation 22 3 5 4" xfId="29696"/>
    <cellStyle name="Calculation 22 3 5_Table 2A-1_EFT (Annual)" xfId="14705"/>
    <cellStyle name="Calculation 22 3 6" xfId="9673"/>
    <cellStyle name="Calculation 22 3 6 2" xfId="21814"/>
    <cellStyle name="Calculation 22 3 6 2 2" xfId="43000"/>
    <cellStyle name="Calculation 22 3 6 3" xfId="32396"/>
    <cellStyle name="Calculation 22 3 7" xfId="16701"/>
    <cellStyle name="Calculation 22 3 7 2" xfId="37888"/>
    <cellStyle name="Calculation 22 3 8" xfId="26953"/>
    <cellStyle name="Calculation 22 3_Table 2A-1_EFT (Annual)" xfId="2932"/>
    <cellStyle name="Calculation 22 4" xfId="1258"/>
    <cellStyle name="Calculation 22 4 2" xfId="2528"/>
    <cellStyle name="Calculation 22 4 2 2" xfId="6089"/>
    <cellStyle name="Calculation 22 4 2 2 2" xfId="14283"/>
    <cellStyle name="Calculation 22 4 2 2 2 2" xfId="26255"/>
    <cellStyle name="Calculation 22 4 2 2 2 2 2" xfId="47441"/>
    <cellStyle name="Calculation 22 4 2 2 2 3" xfId="36837"/>
    <cellStyle name="Calculation 22 4 2 2 3" xfId="21142"/>
    <cellStyle name="Calculation 22 4 2 2 3 2" xfId="42329"/>
    <cellStyle name="Calculation 22 4 2 2 4" xfId="31745"/>
    <cellStyle name="Calculation 22 4 2 2_Table 2A-1_EFT (Annual)" xfId="14704"/>
    <cellStyle name="Calculation 22 4 2 3" xfId="11625"/>
    <cellStyle name="Calculation 22 4 2 3 2" xfId="23709"/>
    <cellStyle name="Calculation 22 4 2 3 2 2" xfId="44895"/>
    <cellStyle name="Calculation 22 4 2 3 3" xfId="34291"/>
    <cellStyle name="Calculation 22 4 2 4" xfId="18596"/>
    <cellStyle name="Calculation 22 4 2 4 2" xfId="39783"/>
    <cellStyle name="Calculation 22 4 2 5" xfId="29002"/>
    <cellStyle name="Calculation 22 4 2_Table 2A-1_EFT (Annual)" xfId="6516"/>
    <cellStyle name="Calculation 22 4 3" xfId="4819"/>
    <cellStyle name="Calculation 22 4 3 2" xfId="13079"/>
    <cellStyle name="Calculation 22 4 3 2 2" xfId="25085"/>
    <cellStyle name="Calculation 22 4 3 2 2 2" xfId="46271"/>
    <cellStyle name="Calculation 22 4 3 2 3" xfId="35667"/>
    <cellStyle name="Calculation 22 4 3 3" xfId="19972"/>
    <cellStyle name="Calculation 22 4 3 3 2" xfId="41159"/>
    <cellStyle name="Calculation 22 4 3 4" xfId="30476"/>
    <cellStyle name="Calculation 22 4 3_Table 2A-1_EFT (Annual)" xfId="14703"/>
    <cellStyle name="Calculation 22 4 4" xfId="10423"/>
    <cellStyle name="Calculation 22 4 4 2" xfId="22539"/>
    <cellStyle name="Calculation 22 4 4 2 2" xfId="43725"/>
    <cellStyle name="Calculation 22 4 4 3" xfId="33121"/>
    <cellStyle name="Calculation 22 4 5" xfId="17426"/>
    <cellStyle name="Calculation 22 4 5 2" xfId="38613"/>
    <cellStyle name="Calculation 22 4 6" xfId="27733"/>
    <cellStyle name="Calculation 22 4_Table 2A-1_EFT (Annual)" xfId="6515"/>
    <cellStyle name="Calculation 22 5" xfId="807"/>
    <cellStyle name="Calculation 22 5 2" xfId="4368"/>
    <cellStyle name="Calculation 22 5 2 2" xfId="12648"/>
    <cellStyle name="Calculation 22 5 2 2 2" xfId="24665"/>
    <cellStyle name="Calculation 22 5 2 2 2 2" xfId="45851"/>
    <cellStyle name="Calculation 22 5 2 2 3" xfId="35247"/>
    <cellStyle name="Calculation 22 5 2 3" xfId="19552"/>
    <cellStyle name="Calculation 22 5 2 3 2" xfId="40739"/>
    <cellStyle name="Calculation 22 5 2 4" xfId="30025"/>
    <cellStyle name="Calculation 22 5 2_Table 2A-1_EFT (Annual)" xfId="14702"/>
    <cellStyle name="Calculation 22 5 3" xfId="9996"/>
    <cellStyle name="Calculation 22 5 3 2" xfId="22119"/>
    <cellStyle name="Calculation 22 5 3 2 2" xfId="43305"/>
    <cellStyle name="Calculation 22 5 3 3" xfId="32701"/>
    <cellStyle name="Calculation 22 5 4" xfId="17006"/>
    <cellStyle name="Calculation 22 5 4 2" xfId="38193"/>
    <cellStyle name="Calculation 22 5 5" xfId="27282"/>
    <cellStyle name="Calculation 22 5_Table 2A-1_EFT (Annual)" xfId="6517"/>
    <cellStyle name="Calculation 22 6" xfId="1997"/>
    <cellStyle name="Calculation 22 6 2" xfId="5558"/>
    <cellStyle name="Calculation 22 6 2 2" xfId="13773"/>
    <cellStyle name="Calculation 22 6 2 2 2" xfId="25761"/>
    <cellStyle name="Calculation 22 6 2 2 2 2" xfId="46947"/>
    <cellStyle name="Calculation 22 6 2 2 3" xfId="36343"/>
    <cellStyle name="Calculation 22 6 2 3" xfId="20648"/>
    <cellStyle name="Calculation 22 6 2 3 2" xfId="41835"/>
    <cellStyle name="Calculation 22 6 2 4" xfId="31215"/>
    <cellStyle name="Calculation 22 6 2_Table 2A-1_EFT (Annual)" xfId="14701"/>
    <cellStyle name="Calculation 22 6 3" xfId="11117"/>
    <cellStyle name="Calculation 22 6 3 2" xfId="23215"/>
    <cellStyle name="Calculation 22 6 3 2 2" xfId="44401"/>
    <cellStyle name="Calculation 22 6 3 3" xfId="33797"/>
    <cellStyle name="Calculation 22 6 4" xfId="18102"/>
    <cellStyle name="Calculation 22 6 4 2" xfId="39289"/>
    <cellStyle name="Calculation 22 6 5" xfId="28472"/>
    <cellStyle name="Calculation 22 6_Table 2A-1_EFT (Annual)" xfId="6518"/>
    <cellStyle name="Calculation 22 7" xfId="3799"/>
    <cellStyle name="Calculation 22 7 2" xfId="12167"/>
    <cellStyle name="Calculation 22 7 2 2" xfId="24197"/>
    <cellStyle name="Calculation 22 7 2 2 2" xfId="45383"/>
    <cellStyle name="Calculation 22 7 2 3" xfId="34779"/>
    <cellStyle name="Calculation 22 7 3" xfId="19084"/>
    <cellStyle name="Calculation 22 7 3 2" xfId="40271"/>
    <cellStyle name="Calculation 22 7 4" xfId="29508"/>
    <cellStyle name="Calculation 22 7_Table 2A-1_EFT (Annual)" xfId="14700"/>
    <cellStyle name="Calculation 22 8" xfId="9486"/>
    <cellStyle name="Calculation 22 8 2" xfId="21651"/>
    <cellStyle name="Calculation 22 8 2 2" xfId="42837"/>
    <cellStyle name="Calculation 22 8 3" xfId="32233"/>
    <cellStyle name="Calculation 22 9" xfId="16538"/>
    <cellStyle name="Calculation 22 9 2" xfId="37725"/>
    <cellStyle name="Calculation 22_Table 2A-1_EFT (Annual)" xfId="2930"/>
    <cellStyle name="Calculation 23" xfId="216"/>
    <cellStyle name="Calculation 23 10" xfId="26771"/>
    <cellStyle name="Calculation 23 2" xfId="609"/>
    <cellStyle name="Calculation 23 2 2" xfId="1586"/>
    <cellStyle name="Calculation 23 2 2 2" xfId="2856"/>
    <cellStyle name="Calculation 23 2 2 2 2" xfId="6417"/>
    <cellStyle name="Calculation 23 2 2 2 2 2" xfId="14611"/>
    <cellStyle name="Calculation 23 2 2 2 2 2 2" xfId="26583"/>
    <cellStyle name="Calculation 23 2 2 2 2 2 2 2" xfId="47769"/>
    <cellStyle name="Calculation 23 2 2 2 2 2 3" xfId="37165"/>
    <cellStyle name="Calculation 23 2 2 2 2 3" xfId="21470"/>
    <cellStyle name="Calculation 23 2 2 2 2 3 2" xfId="42657"/>
    <cellStyle name="Calculation 23 2 2 2 2 4" xfId="32073"/>
    <cellStyle name="Calculation 23 2 2 2 2_Table 2A-1_EFT (Annual)" xfId="14699"/>
    <cellStyle name="Calculation 23 2 2 2 3" xfId="11953"/>
    <cellStyle name="Calculation 23 2 2 2 3 2" xfId="24037"/>
    <cellStyle name="Calculation 23 2 2 2 3 2 2" xfId="45223"/>
    <cellStyle name="Calculation 23 2 2 2 3 3" xfId="34619"/>
    <cellStyle name="Calculation 23 2 2 2 4" xfId="18924"/>
    <cellStyle name="Calculation 23 2 2 2 4 2" xfId="40111"/>
    <cellStyle name="Calculation 23 2 2 2 5" xfId="29330"/>
    <cellStyle name="Calculation 23 2 2 2_Table 2A-1_EFT (Annual)" xfId="6520"/>
    <cellStyle name="Calculation 23 2 2 3" xfId="5147"/>
    <cellStyle name="Calculation 23 2 2 3 2" xfId="13407"/>
    <cellStyle name="Calculation 23 2 2 3 2 2" xfId="25413"/>
    <cellStyle name="Calculation 23 2 2 3 2 2 2" xfId="46599"/>
    <cellStyle name="Calculation 23 2 2 3 2 3" xfId="35995"/>
    <cellStyle name="Calculation 23 2 2 3 3" xfId="20300"/>
    <cellStyle name="Calculation 23 2 2 3 3 2" xfId="41487"/>
    <cellStyle name="Calculation 23 2 2 3 4" xfId="30804"/>
    <cellStyle name="Calculation 23 2 2 3_Table 2A-1_EFT (Annual)" xfId="14698"/>
    <cellStyle name="Calculation 23 2 2 4" xfId="10751"/>
    <cellStyle name="Calculation 23 2 2 4 2" xfId="22867"/>
    <cellStyle name="Calculation 23 2 2 4 2 2" xfId="44053"/>
    <cellStyle name="Calculation 23 2 2 4 3" xfId="33449"/>
    <cellStyle name="Calculation 23 2 2 5" xfId="17754"/>
    <cellStyle name="Calculation 23 2 2 5 2" xfId="38941"/>
    <cellStyle name="Calculation 23 2 2 6" xfId="28061"/>
    <cellStyle name="Calculation 23 2 2_Table 2A-1_EFT (Annual)" xfId="6519"/>
    <cellStyle name="Calculation 23 2 3" xfId="1104"/>
    <cellStyle name="Calculation 23 2 3 2" xfId="4665"/>
    <cellStyle name="Calculation 23 2 3 2 2" xfId="12925"/>
    <cellStyle name="Calculation 23 2 3 2 2 2" xfId="24931"/>
    <cellStyle name="Calculation 23 2 3 2 2 2 2" xfId="46117"/>
    <cellStyle name="Calculation 23 2 3 2 2 3" xfId="35513"/>
    <cellStyle name="Calculation 23 2 3 2 3" xfId="19818"/>
    <cellStyle name="Calculation 23 2 3 2 3 2" xfId="41005"/>
    <cellStyle name="Calculation 23 2 3 2 4" xfId="30322"/>
    <cellStyle name="Calculation 23 2 3 2_Table 2A-1_EFT (Annual)" xfId="14697"/>
    <cellStyle name="Calculation 23 2 3 3" xfId="10269"/>
    <cellStyle name="Calculation 23 2 3 3 2" xfId="22385"/>
    <cellStyle name="Calculation 23 2 3 3 2 2" xfId="43571"/>
    <cellStyle name="Calculation 23 2 3 3 3" xfId="32967"/>
    <cellStyle name="Calculation 23 2 3 4" xfId="17272"/>
    <cellStyle name="Calculation 23 2 3 4 2" xfId="38459"/>
    <cellStyle name="Calculation 23 2 3 5" xfId="27579"/>
    <cellStyle name="Calculation 23 2 3_Table 2A-1_EFT (Annual)" xfId="6521"/>
    <cellStyle name="Calculation 23 2 4" xfId="2325"/>
    <cellStyle name="Calculation 23 2 4 2" xfId="5886"/>
    <cellStyle name="Calculation 23 2 4 2 2" xfId="14101"/>
    <cellStyle name="Calculation 23 2 4 2 2 2" xfId="26089"/>
    <cellStyle name="Calculation 23 2 4 2 2 2 2" xfId="47275"/>
    <cellStyle name="Calculation 23 2 4 2 2 3" xfId="36671"/>
    <cellStyle name="Calculation 23 2 4 2 3" xfId="20976"/>
    <cellStyle name="Calculation 23 2 4 2 3 2" xfId="42163"/>
    <cellStyle name="Calculation 23 2 4 2 4" xfId="31543"/>
    <cellStyle name="Calculation 23 2 4 2_Table 2A-1_EFT (Annual)" xfId="14696"/>
    <cellStyle name="Calculation 23 2 4 3" xfId="11445"/>
    <cellStyle name="Calculation 23 2 4 3 2" xfId="23543"/>
    <cellStyle name="Calculation 23 2 4 3 2 2" xfId="44729"/>
    <cellStyle name="Calculation 23 2 4 3 3" xfId="34125"/>
    <cellStyle name="Calculation 23 2 4 4" xfId="18430"/>
    <cellStyle name="Calculation 23 2 4 4 2" xfId="39617"/>
    <cellStyle name="Calculation 23 2 4 5" xfId="28800"/>
    <cellStyle name="Calculation 23 2 4_Table 2A-1_EFT (Annual)" xfId="6522"/>
    <cellStyle name="Calculation 23 2 5" xfId="4179"/>
    <cellStyle name="Calculation 23 2 5 2" xfId="12503"/>
    <cellStyle name="Calculation 23 2 5 2 2" xfId="24525"/>
    <cellStyle name="Calculation 23 2 5 2 2 2" xfId="45711"/>
    <cellStyle name="Calculation 23 2 5 2 3" xfId="35107"/>
    <cellStyle name="Calculation 23 2 5 3" xfId="19412"/>
    <cellStyle name="Calculation 23 2 5 3 2" xfId="40599"/>
    <cellStyle name="Calculation 23 2 5 4" xfId="29867"/>
    <cellStyle name="Calculation 23 2 5_Table 2A-1_EFT (Annual)" xfId="14695"/>
    <cellStyle name="Calculation 23 2 6" xfId="9842"/>
    <cellStyle name="Calculation 23 2 6 2" xfId="21979"/>
    <cellStyle name="Calculation 23 2 6 2 2" xfId="43165"/>
    <cellStyle name="Calculation 23 2 6 3" xfId="32561"/>
    <cellStyle name="Calculation 23 2 7" xfId="16866"/>
    <cellStyle name="Calculation 23 2 7 2" xfId="38053"/>
    <cellStyle name="Calculation 23 2 8" xfId="27124"/>
    <cellStyle name="Calculation 23 2_Table 2A-1_EFT (Annual)" xfId="2934"/>
    <cellStyle name="Calculation 23 3" xfId="444"/>
    <cellStyle name="Calculation 23 3 2" xfId="1427"/>
    <cellStyle name="Calculation 23 3 2 2" xfId="2697"/>
    <cellStyle name="Calculation 23 3 2 2 2" xfId="6258"/>
    <cellStyle name="Calculation 23 3 2 2 2 2" xfId="14452"/>
    <cellStyle name="Calculation 23 3 2 2 2 2 2" xfId="26424"/>
    <cellStyle name="Calculation 23 3 2 2 2 2 2 2" xfId="47610"/>
    <cellStyle name="Calculation 23 3 2 2 2 2 3" xfId="37006"/>
    <cellStyle name="Calculation 23 3 2 2 2 3" xfId="21311"/>
    <cellStyle name="Calculation 23 3 2 2 2 3 2" xfId="42498"/>
    <cellStyle name="Calculation 23 3 2 2 2 4" xfId="31914"/>
    <cellStyle name="Calculation 23 3 2 2 2_Table 2A-1_EFT (Annual)" xfId="14694"/>
    <cellStyle name="Calculation 23 3 2 2 3" xfId="11794"/>
    <cellStyle name="Calculation 23 3 2 2 3 2" xfId="23878"/>
    <cellStyle name="Calculation 23 3 2 2 3 2 2" xfId="45064"/>
    <cellStyle name="Calculation 23 3 2 2 3 3" xfId="34460"/>
    <cellStyle name="Calculation 23 3 2 2 4" xfId="18765"/>
    <cellStyle name="Calculation 23 3 2 2 4 2" xfId="39952"/>
    <cellStyle name="Calculation 23 3 2 2 5" xfId="29171"/>
    <cellStyle name="Calculation 23 3 2 2_Table 2A-1_EFT (Annual)" xfId="6524"/>
    <cellStyle name="Calculation 23 3 2 3" xfId="4988"/>
    <cellStyle name="Calculation 23 3 2 3 2" xfId="13248"/>
    <cellStyle name="Calculation 23 3 2 3 2 2" xfId="25254"/>
    <cellStyle name="Calculation 23 3 2 3 2 2 2" xfId="46440"/>
    <cellStyle name="Calculation 23 3 2 3 2 3" xfId="35836"/>
    <cellStyle name="Calculation 23 3 2 3 3" xfId="20141"/>
    <cellStyle name="Calculation 23 3 2 3 3 2" xfId="41328"/>
    <cellStyle name="Calculation 23 3 2 3 4" xfId="30645"/>
    <cellStyle name="Calculation 23 3 2 3_Table 2A-1_EFT (Annual)" xfId="14693"/>
    <cellStyle name="Calculation 23 3 2 4" xfId="10592"/>
    <cellStyle name="Calculation 23 3 2 4 2" xfId="22708"/>
    <cellStyle name="Calculation 23 3 2 4 2 2" xfId="43894"/>
    <cellStyle name="Calculation 23 3 2 4 3" xfId="33290"/>
    <cellStyle name="Calculation 23 3 2 5" xfId="17595"/>
    <cellStyle name="Calculation 23 3 2 5 2" xfId="38782"/>
    <cellStyle name="Calculation 23 3 2 6" xfId="27902"/>
    <cellStyle name="Calculation 23 3 2_Table 2A-1_EFT (Annual)" xfId="6523"/>
    <cellStyle name="Calculation 23 3 3" xfId="969"/>
    <cellStyle name="Calculation 23 3 3 2" xfId="4530"/>
    <cellStyle name="Calculation 23 3 3 2 2" xfId="12792"/>
    <cellStyle name="Calculation 23 3 3 2 2 2" xfId="24802"/>
    <cellStyle name="Calculation 23 3 3 2 2 2 2" xfId="45988"/>
    <cellStyle name="Calculation 23 3 3 2 2 3" xfId="35384"/>
    <cellStyle name="Calculation 23 3 3 2 3" xfId="19689"/>
    <cellStyle name="Calculation 23 3 3 2 3 2" xfId="40876"/>
    <cellStyle name="Calculation 23 3 3 2 4" xfId="30187"/>
    <cellStyle name="Calculation 23 3 3 2_Table 2A-1_EFT (Annual)" xfId="14692"/>
    <cellStyle name="Calculation 23 3 3 3" xfId="10139"/>
    <cellStyle name="Calculation 23 3 3 3 2" xfId="22256"/>
    <cellStyle name="Calculation 23 3 3 3 2 2" xfId="43442"/>
    <cellStyle name="Calculation 23 3 3 3 3" xfId="32838"/>
    <cellStyle name="Calculation 23 3 3 4" xfId="17143"/>
    <cellStyle name="Calculation 23 3 3 4 2" xfId="38330"/>
    <cellStyle name="Calculation 23 3 3 5" xfId="27444"/>
    <cellStyle name="Calculation 23 3 3_Table 2A-1_EFT (Annual)" xfId="6525"/>
    <cellStyle name="Calculation 23 3 4" xfId="2166"/>
    <cellStyle name="Calculation 23 3 4 2" xfId="5727"/>
    <cellStyle name="Calculation 23 3 4 2 2" xfId="13942"/>
    <cellStyle name="Calculation 23 3 4 2 2 2" xfId="25930"/>
    <cellStyle name="Calculation 23 3 4 2 2 2 2" xfId="47116"/>
    <cellStyle name="Calculation 23 3 4 2 2 3" xfId="36512"/>
    <cellStyle name="Calculation 23 3 4 2 3" xfId="20817"/>
    <cellStyle name="Calculation 23 3 4 2 3 2" xfId="42004"/>
    <cellStyle name="Calculation 23 3 4 2 4" xfId="31384"/>
    <cellStyle name="Calculation 23 3 4 2_Table 2A-1_EFT (Annual)" xfId="14691"/>
    <cellStyle name="Calculation 23 3 4 3" xfId="11286"/>
    <cellStyle name="Calculation 23 3 4 3 2" xfId="23384"/>
    <cellStyle name="Calculation 23 3 4 3 2 2" xfId="44570"/>
    <cellStyle name="Calculation 23 3 4 3 3" xfId="33966"/>
    <cellStyle name="Calculation 23 3 4 4" xfId="18271"/>
    <cellStyle name="Calculation 23 3 4 4 2" xfId="39458"/>
    <cellStyle name="Calculation 23 3 4 5" xfId="28641"/>
    <cellStyle name="Calculation 23 3 4_Table 2A-1_EFT (Annual)" xfId="6526"/>
    <cellStyle name="Calculation 23 3 5" xfId="4014"/>
    <cellStyle name="Calculation 23 3 5 2" xfId="12342"/>
    <cellStyle name="Calculation 23 3 5 2 2" xfId="24366"/>
    <cellStyle name="Calculation 23 3 5 2 2 2" xfId="45552"/>
    <cellStyle name="Calculation 23 3 5 2 3" xfId="34948"/>
    <cellStyle name="Calculation 23 3 5 3" xfId="19253"/>
    <cellStyle name="Calculation 23 3 5 3 2" xfId="40440"/>
    <cellStyle name="Calculation 23 3 5 4" xfId="29702"/>
    <cellStyle name="Calculation 23 3 5_Table 2A-1_EFT (Annual)" xfId="14690"/>
    <cellStyle name="Calculation 23 3 6" xfId="9679"/>
    <cellStyle name="Calculation 23 3 6 2" xfId="21820"/>
    <cellStyle name="Calculation 23 3 6 2 2" xfId="43006"/>
    <cellStyle name="Calculation 23 3 6 3" xfId="32402"/>
    <cellStyle name="Calculation 23 3 7" xfId="16707"/>
    <cellStyle name="Calculation 23 3 7 2" xfId="37894"/>
    <cellStyle name="Calculation 23 3 8" xfId="26959"/>
    <cellStyle name="Calculation 23 3_Table 2A-1_EFT (Annual)" xfId="2935"/>
    <cellStyle name="Calculation 23 4" xfId="1264"/>
    <cellStyle name="Calculation 23 4 2" xfId="2534"/>
    <cellStyle name="Calculation 23 4 2 2" xfId="6095"/>
    <cellStyle name="Calculation 23 4 2 2 2" xfId="14289"/>
    <cellStyle name="Calculation 23 4 2 2 2 2" xfId="26261"/>
    <cellStyle name="Calculation 23 4 2 2 2 2 2" xfId="47447"/>
    <cellStyle name="Calculation 23 4 2 2 2 3" xfId="36843"/>
    <cellStyle name="Calculation 23 4 2 2 3" xfId="21148"/>
    <cellStyle name="Calculation 23 4 2 2 3 2" xfId="42335"/>
    <cellStyle name="Calculation 23 4 2 2 4" xfId="31751"/>
    <cellStyle name="Calculation 23 4 2 2_Table 2A-1_EFT (Annual)" xfId="14689"/>
    <cellStyle name="Calculation 23 4 2 3" xfId="11631"/>
    <cellStyle name="Calculation 23 4 2 3 2" xfId="23715"/>
    <cellStyle name="Calculation 23 4 2 3 2 2" xfId="44901"/>
    <cellStyle name="Calculation 23 4 2 3 3" xfId="34297"/>
    <cellStyle name="Calculation 23 4 2 4" xfId="18602"/>
    <cellStyle name="Calculation 23 4 2 4 2" xfId="39789"/>
    <cellStyle name="Calculation 23 4 2 5" xfId="29008"/>
    <cellStyle name="Calculation 23 4 2_Table 2A-1_EFT (Annual)" xfId="6528"/>
    <cellStyle name="Calculation 23 4 3" xfId="4825"/>
    <cellStyle name="Calculation 23 4 3 2" xfId="13085"/>
    <cellStyle name="Calculation 23 4 3 2 2" xfId="25091"/>
    <cellStyle name="Calculation 23 4 3 2 2 2" xfId="46277"/>
    <cellStyle name="Calculation 23 4 3 2 3" xfId="35673"/>
    <cellStyle name="Calculation 23 4 3 3" xfId="19978"/>
    <cellStyle name="Calculation 23 4 3 3 2" xfId="41165"/>
    <cellStyle name="Calculation 23 4 3 4" xfId="30482"/>
    <cellStyle name="Calculation 23 4 3_Table 2A-1_EFT (Annual)" xfId="14688"/>
    <cellStyle name="Calculation 23 4 4" xfId="10429"/>
    <cellStyle name="Calculation 23 4 4 2" xfId="22545"/>
    <cellStyle name="Calculation 23 4 4 2 2" xfId="43731"/>
    <cellStyle name="Calculation 23 4 4 3" xfId="33127"/>
    <cellStyle name="Calculation 23 4 5" xfId="17432"/>
    <cellStyle name="Calculation 23 4 5 2" xfId="38619"/>
    <cellStyle name="Calculation 23 4 6" xfId="27739"/>
    <cellStyle name="Calculation 23 4_Table 2A-1_EFT (Annual)" xfId="6527"/>
    <cellStyle name="Calculation 23 5" xfId="813"/>
    <cellStyle name="Calculation 23 5 2" xfId="4374"/>
    <cellStyle name="Calculation 23 5 2 2" xfId="12654"/>
    <cellStyle name="Calculation 23 5 2 2 2" xfId="24671"/>
    <cellStyle name="Calculation 23 5 2 2 2 2" xfId="45857"/>
    <cellStyle name="Calculation 23 5 2 2 3" xfId="35253"/>
    <cellStyle name="Calculation 23 5 2 3" xfId="19558"/>
    <cellStyle name="Calculation 23 5 2 3 2" xfId="40745"/>
    <cellStyle name="Calculation 23 5 2 4" xfId="30031"/>
    <cellStyle name="Calculation 23 5 2_Table 2A-1_EFT (Annual)" xfId="14687"/>
    <cellStyle name="Calculation 23 5 3" xfId="10002"/>
    <cellStyle name="Calculation 23 5 3 2" xfId="22125"/>
    <cellStyle name="Calculation 23 5 3 2 2" xfId="43311"/>
    <cellStyle name="Calculation 23 5 3 3" xfId="32707"/>
    <cellStyle name="Calculation 23 5 4" xfId="17012"/>
    <cellStyle name="Calculation 23 5 4 2" xfId="38199"/>
    <cellStyle name="Calculation 23 5 5" xfId="27288"/>
    <cellStyle name="Calculation 23 5_Table 2A-1_EFT (Annual)" xfId="6529"/>
    <cellStyle name="Calculation 23 6" xfId="2003"/>
    <cellStyle name="Calculation 23 6 2" xfId="5564"/>
    <cellStyle name="Calculation 23 6 2 2" xfId="13779"/>
    <cellStyle name="Calculation 23 6 2 2 2" xfId="25767"/>
    <cellStyle name="Calculation 23 6 2 2 2 2" xfId="46953"/>
    <cellStyle name="Calculation 23 6 2 2 3" xfId="36349"/>
    <cellStyle name="Calculation 23 6 2 3" xfId="20654"/>
    <cellStyle name="Calculation 23 6 2 3 2" xfId="41841"/>
    <cellStyle name="Calculation 23 6 2 4" xfId="31221"/>
    <cellStyle name="Calculation 23 6 2_Table 2A-1_EFT (Annual)" xfId="14686"/>
    <cellStyle name="Calculation 23 6 3" xfId="11123"/>
    <cellStyle name="Calculation 23 6 3 2" xfId="23221"/>
    <cellStyle name="Calculation 23 6 3 2 2" xfId="44407"/>
    <cellStyle name="Calculation 23 6 3 3" xfId="33803"/>
    <cellStyle name="Calculation 23 6 4" xfId="18108"/>
    <cellStyle name="Calculation 23 6 4 2" xfId="39295"/>
    <cellStyle name="Calculation 23 6 5" xfId="28478"/>
    <cellStyle name="Calculation 23 6_Table 2A-1_EFT (Annual)" xfId="6530"/>
    <cellStyle name="Calculation 23 7" xfId="3805"/>
    <cellStyle name="Calculation 23 7 2" xfId="12173"/>
    <cellStyle name="Calculation 23 7 2 2" xfId="24203"/>
    <cellStyle name="Calculation 23 7 2 2 2" xfId="45389"/>
    <cellStyle name="Calculation 23 7 2 3" xfId="34785"/>
    <cellStyle name="Calculation 23 7 3" xfId="19090"/>
    <cellStyle name="Calculation 23 7 3 2" xfId="40277"/>
    <cellStyle name="Calculation 23 7 4" xfId="29514"/>
    <cellStyle name="Calculation 23 7_Table 2A-1_EFT (Annual)" xfId="14685"/>
    <cellStyle name="Calculation 23 8" xfId="9492"/>
    <cellStyle name="Calculation 23 8 2" xfId="21657"/>
    <cellStyle name="Calculation 23 8 2 2" xfId="42843"/>
    <cellStyle name="Calculation 23 8 3" xfId="32239"/>
    <cellStyle name="Calculation 23 9" xfId="16544"/>
    <cellStyle name="Calculation 23 9 2" xfId="37731"/>
    <cellStyle name="Calculation 23_Table 2A-1_EFT (Annual)" xfId="2933"/>
    <cellStyle name="Calculation 24" xfId="195"/>
    <cellStyle name="Calculation 24 10" xfId="26750"/>
    <cellStyle name="Calculation 24 2" xfId="588"/>
    <cellStyle name="Calculation 24 2 2" xfId="1565"/>
    <cellStyle name="Calculation 24 2 2 2" xfId="2835"/>
    <cellStyle name="Calculation 24 2 2 2 2" xfId="6396"/>
    <cellStyle name="Calculation 24 2 2 2 2 2" xfId="14590"/>
    <cellStyle name="Calculation 24 2 2 2 2 2 2" xfId="26562"/>
    <cellStyle name="Calculation 24 2 2 2 2 2 2 2" xfId="47748"/>
    <cellStyle name="Calculation 24 2 2 2 2 2 3" xfId="37144"/>
    <cellStyle name="Calculation 24 2 2 2 2 3" xfId="21449"/>
    <cellStyle name="Calculation 24 2 2 2 2 3 2" xfId="42636"/>
    <cellStyle name="Calculation 24 2 2 2 2 4" xfId="32052"/>
    <cellStyle name="Calculation 24 2 2 2 2_Table 2A-1_EFT (Annual)" xfId="14684"/>
    <cellStyle name="Calculation 24 2 2 2 3" xfId="11932"/>
    <cellStyle name="Calculation 24 2 2 2 3 2" xfId="24016"/>
    <cellStyle name="Calculation 24 2 2 2 3 2 2" xfId="45202"/>
    <cellStyle name="Calculation 24 2 2 2 3 3" xfId="34598"/>
    <cellStyle name="Calculation 24 2 2 2 4" xfId="18903"/>
    <cellStyle name="Calculation 24 2 2 2 4 2" xfId="40090"/>
    <cellStyle name="Calculation 24 2 2 2 5" xfId="29309"/>
    <cellStyle name="Calculation 24 2 2 2_Table 2A-1_EFT (Annual)" xfId="6532"/>
    <cellStyle name="Calculation 24 2 2 3" xfId="5126"/>
    <cellStyle name="Calculation 24 2 2 3 2" xfId="13386"/>
    <cellStyle name="Calculation 24 2 2 3 2 2" xfId="25392"/>
    <cellStyle name="Calculation 24 2 2 3 2 2 2" xfId="46578"/>
    <cellStyle name="Calculation 24 2 2 3 2 3" xfId="35974"/>
    <cellStyle name="Calculation 24 2 2 3 3" xfId="20279"/>
    <cellStyle name="Calculation 24 2 2 3 3 2" xfId="41466"/>
    <cellStyle name="Calculation 24 2 2 3 4" xfId="30783"/>
    <cellStyle name="Calculation 24 2 2 3_Table 2A-1_EFT (Annual)" xfId="14683"/>
    <cellStyle name="Calculation 24 2 2 4" xfId="10730"/>
    <cellStyle name="Calculation 24 2 2 4 2" xfId="22846"/>
    <cellStyle name="Calculation 24 2 2 4 2 2" xfId="44032"/>
    <cellStyle name="Calculation 24 2 2 4 3" xfId="33428"/>
    <cellStyle name="Calculation 24 2 2 5" xfId="17733"/>
    <cellStyle name="Calculation 24 2 2 5 2" xfId="38920"/>
    <cellStyle name="Calculation 24 2 2 6" xfId="28040"/>
    <cellStyle name="Calculation 24 2 2_Table 2A-1_EFT (Annual)" xfId="6531"/>
    <cellStyle name="Calculation 24 2 3" xfId="1087"/>
    <cellStyle name="Calculation 24 2 3 2" xfId="4648"/>
    <cellStyle name="Calculation 24 2 3 2 2" xfId="12908"/>
    <cellStyle name="Calculation 24 2 3 2 2 2" xfId="24914"/>
    <cellStyle name="Calculation 24 2 3 2 2 2 2" xfId="46100"/>
    <cellStyle name="Calculation 24 2 3 2 2 3" xfId="35496"/>
    <cellStyle name="Calculation 24 2 3 2 3" xfId="19801"/>
    <cellStyle name="Calculation 24 2 3 2 3 2" xfId="40988"/>
    <cellStyle name="Calculation 24 2 3 2 4" xfId="30305"/>
    <cellStyle name="Calculation 24 2 3 2_Table 2A-1_EFT (Annual)" xfId="14682"/>
    <cellStyle name="Calculation 24 2 3 3" xfId="10252"/>
    <cellStyle name="Calculation 24 2 3 3 2" xfId="22368"/>
    <cellStyle name="Calculation 24 2 3 3 2 2" xfId="43554"/>
    <cellStyle name="Calculation 24 2 3 3 3" xfId="32950"/>
    <cellStyle name="Calculation 24 2 3 4" xfId="17255"/>
    <cellStyle name="Calculation 24 2 3 4 2" xfId="38442"/>
    <cellStyle name="Calculation 24 2 3 5" xfId="27562"/>
    <cellStyle name="Calculation 24 2 3_Table 2A-1_EFT (Annual)" xfId="6533"/>
    <cellStyle name="Calculation 24 2 4" xfId="2304"/>
    <cellStyle name="Calculation 24 2 4 2" xfId="5865"/>
    <cellStyle name="Calculation 24 2 4 2 2" xfId="14080"/>
    <cellStyle name="Calculation 24 2 4 2 2 2" xfId="26068"/>
    <cellStyle name="Calculation 24 2 4 2 2 2 2" xfId="47254"/>
    <cellStyle name="Calculation 24 2 4 2 2 3" xfId="36650"/>
    <cellStyle name="Calculation 24 2 4 2 3" xfId="20955"/>
    <cellStyle name="Calculation 24 2 4 2 3 2" xfId="42142"/>
    <cellStyle name="Calculation 24 2 4 2 4" xfId="31522"/>
    <cellStyle name="Calculation 24 2 4 2_Table 2A-1_EFT (Annual)" xfId="14681"/>
    <cellStyle name="Calculation 24 2 4 3" xfId="11424"/>
    <cellStyle name="Calculation 24 2 4 3 2" xfId="23522"/>
    <cellStyle name="Calculation 24 2 4 3 2 2" xfId="44708"/>
    <cellStyle name="Calculation 24 2 4 3 3" xfId="34104"/>
    <cellStyle name="Calculation 24 2 4 4" xfId="18409"/>
    <cellStyle name="Calculation 24 2 4 4 2" xfId="39596"/>
    <cellStyle name="Calculation 24 2 4 5" xfId="28779"/>
    <cellStyle name="Calculation 24 2 4_Table 2A-1_EFT (Annual)" xfId="6534"/>
    <cellStyle name="Calculation 24 2 5" xfId="4158"/>
    <cellStyle name="Calculation 24 2 5 2" xfId="12482"/>
    <cellStyle name="Calculation 24 2 5 2 2" xfId="24504"/>
    <cellStyle name="Calculation 24 2 5 2 2 2" xfId="45690"/>
    <cellStyle name="Calculation 24 2 5 2 3" xfId="35086"/>
    <cellStyle name="Calculation 24 2 5 3" xfId="19391"/>
    <cellStyle name="Calculation 24 2 5 3 2" xfId="40578"/>
    <cellStyle name="Calculation 24 2 5 4" xfId="29846"/>
    <cellStyle name="Calculation 24 2 5_Table 2A-1_EFT (Annual)" xfId="14680"/>
    <cellStyle name="Calculation 24 2 6" xfId="9821"/>
    <cellStyle name="Calculation 24 2 6 2" xfId="21958"/>
    <cellStyle name="Calculation 24 2 6 2 2" xfId="43144"/>
    <cellStyle name="Calculation 24 2 6 3" xfId="32540"/>
    <cellStyle name="Calculation 24 2 7" xfId="16845"/>
    <cellStyle name="Calculation 24 2 7 2" xfId="38032"/>
    <cellStyle name="Calculation 24 2 8" xfId="27103"/>
    <cellStyle name="Calculation 24 2_Table 2A-1_EFT (Annual)" xfId="2937"/>
    <cellStyle name="Calculation 24 3" xfId="424"/>
    <cellStyle name="Calculation 24 3 2" xfId="1407"/>
    <cellStyle name="Calculation 24 3 2 2" xfId="2677"/>
    <cellStyle name="Calculation 24 3 2 2 2" xfId="6238"/>
    <cellStyle name="Calculation 24 3 2 2 2 2" xfId="14432"/>
    <cellStyle name="Calculation 24 3 2 2 2 2 2" xfId="26404"/>
    <cellStyle name="Calculation 24 3 2 2 2 2 2 2" xfId="47590"/>
    <cellStyle name="Calculation 24 3 2 2 2 2 3" xfId="36986"/>
    <cellStyle name="Calculation 24 3 2 2 2 3" xfId="21291"/>
    <cellStyle name="Calculation 24 3 2 2 2 3 2" xfId="42478"/>
    <cellStyle name="Calculation 24 3 2 2 2 4" xfId="31894"/>
    <cellStyle name="Calculation 24 3 2 2 2_Table 2A-1_EFT (Annual)" xfId="14679"/>
    <cellStyle name="Calculation 24 3 2 2 3" xfId="11774"/>
    <cellStyle name="Calculation 24 3 2 2 3 2" xfId="23858"/>
    <cellStyle name="Calculation 24 3 2 2 3 2 2" xfId="45044"/>
    <cellStyle name="Calculation 24 3 2 2 3 3" xfId="34440"/>
    <cellStyle name="Calculation 24 3 2 2 4" xfId="18745"/>
    <cellStyle name="Calculation 24 3 2 2 4 2" xfId="39932"/>
    <cellStyle name="Calculation 24 3 2 2 5" xfId="29151"/>
    <cellStyle name="Calculation 24 3 2 2_Table 2A-1_EFT (Annual)" xfId="6536"/>
    <cellStyle name="Calculation 24 3 2 3" xfId="4968"/>
    <cellStyle name="Calculation 24 3 2 3 2" xfId="13228"/>
    <cellStyle name="Calculation 24 3 2 3 2 2" xfId="25234"/>
    <cellStyle name="Calculation 24 3 2 3 2 2 2" xfId="46420"/>
    <cellStyle name="Calculation 24 3 2 3 2 3" xfId="35816"/>
    <cellStyle name="Calculation 24 3 2 3 3" xfId="20121"/>
    <cellStyle name="Calculation 24 3 2 3 3 2" xfId="41308"/>
    <cellStyle name="Calculation 24 3 2 3 4" xfId="30625"/>
    <cellStyle name="Calculation 24 3 2 3_Table 2A-1_EFT (Annual)" xfId="14678"/>
    <cellStyle name="Calculation 24 3 2 4" xfId="10572"/>
    <cellStyle name="Calculation 24 3 2 4 2" xfId="22688"/>
    <cellStyle name="Calculation 24 3 2 4 2 2" xfId="43874"/>
    <cellStyle name="Calculation 24 3 2 4 3" xfId="33270"/>
    <cellStyle name="Calculation 24 3 2 5" xfId="17575"/>
    <cellStyle name="Calculation 24 3 2 5 2" xfId="38762"/>
    <cellStyle name="Calculation 24 3 2 6" xfId="27882"/>
    <cellStyle name="Calculation 24 3 2_Table 2A-1_EFT (Annual)" xfId="6535"/>
    <cellStyle name="Calculation 24 3 3" xfId="953"/>
    <cellStyle name="Calculation 24 3 3 2" xfId="4514"/>
    <cellStyle name="Calculation 24 3 3 2 2" xfId="12776"/>
    <cellStyle name="Calculation 24 3 3 2 2 2" xfId="24786"/>
    <cellStyle name="Calculation 24 3 3 2 2 2 2" xfId="45972"/>
    <cellStyle name="Calculation 24 3 3 2 2 3" xfId="35368"/>
    <cellStyle name="Calculation 24 3 3 2 3" xfId="19673"/>
    <cellStyle name="Calculation 24 3 3 2 3 2" xfId="40860"/>
    <cellStyle name="Calculation 24 3 3 2 4" xfId="30171"/>
    <cellStyle name="Calculation 24 3 3 2_Table 2A-1_EFT (Annual)" xfId="14677"/>
    <cellStyle name="Calculation 24 3 3 3" xfId="10123"/>
    <cellStyle name="Calculation 24 3 3 3 2" xfId="22240"/>
    <cellStyle name="Calculation 24 3 3 3 2 2" xfId="43426"/>
    <cellStyle name="Calculation 24 3 3 3 3" xfId="32822"/>
    <cellStyle name="Calculation 24 3 3 4" xfId="17127"/>
    <cellStyle name="Calculation 24 3 3 4 2" xfId="38314"/>
    <cellStyle name="Calculation 24 3 3 5" xfId="27428"/>
    <cellStyle name="Calculation 24 3 3_Table 2A-1_EFT (Annual)" xfId="6537"/>
    <cellStyle name="Calculation 24 3 4" xfId="2146"/>
    <cellStyle name="Calculation 24 3 4 2" xfId="5707"/>
    <cellStyle name="Calculation 24 3 4 2 2" xfId="13922"/>
    <cellStyle name="Calculation 24 3 4 2 2 2" xfId="25910"/>
    <cellStyle name="Calculation 24 3 4 2 2 2 2" xfId="47096"/>
    <cellStyle name="Calculation 24 3 4 2 2 3" xfId="36492"/>
    <cellStyle name="Calculation 24 3 4 2 3" xfId="20797"/>
    <cellStyle name="Calculation 24 3 4 2 3 2" xfId="41984"/>
    <cellStyle name="Calculation 24 3 4 2 4" xfId="31364"/>
    <cellStyle name="Calculation 24 3 4 2_Table 2A-1_EFT (Annual)" xfId="14676"/>
    <cellStyle name="Calculation 24 3 4 3" xfId="11266"/>
    <cellStyle name="Calculation 24 3 4 3 2" xfId="23364"/>
    <cellStyle name="Calculation 24 3 4 3 2 2" xfId="44550"/>
    <cellStyle name="Calculation 24 3 4 3 3" xfId="33946"/>
    <cellStyle name="Calculation 24 3 4 4" xfId="18251"/>
    <cellStyle name="Calculation 24 3 4 4 2" xfId="39438"/>
    <cellStyle name="Calculation 24 3 4 5" xfId="28621"/>
    <cellStyle name="Calculation 24 3 4_Table 2A-1_EFT (Annual)" xfId="6538"/>
    <cellStyle name="Calculation 24 3 5" xfId="3994"/>
    <cellStyle name="Calculation 24 3 5 2" xfId="12322"/>
    <cellStyle name="Calculation 24 3 5 2 2" xfId="24346"/>
    <cellStyle name="Calculation 24 3 5 2 2 2" xfId="45532"/>
    <cellStyle name="Calculation 24 3 5 2 3" xfId="34928"/>
    <cellStyle name="Calculation 24 3 5 3" xfId="19233"/>
    <cellStyle name="Calculation 24 3 5 3 2" xfId="40420"/>
    <cellStyle name="Calculation 24 3 5 4" xfId="29682"/>
    <cellStyle name="Calculation 24 3 5_Table 2A-1_EFT (Annual)" xfId="14675"/>
    <cellStyle name="Calculation 24 3 6" xfId="9659"/>
    <cellStyle name="Calculation 24 3 6 2" xfId="21800"/>
    <cellStyle name="Calculation 24 3 6 2 2" xfId="42986"/>
    <cellStyle name="Calculation 24 3 6 3" xfId="32382"/>
    <cellStyle name="Calculation 24 3 7" xfId="16687"/>
    <cellStyle name="Calculation 24 3 7 2" xfId="37874"/>
    <cellStyle name="Calculation 24 3 8" xfId="26939"/>
    <cellStyle name="Calculation 24 3_Table 2A-1_EFT (Annual)" xfId="2938"/>
    <cellStyle name="Calculation 24 4" xfId="1243"/>
    <cellStyle name="Calculation 24 4 2" xfId="2513"/>
    <cellStyle name="Calculation 24 4 2 2" xfId="6074"/>
    <cellStyle name="Calculation 24 4 2 2 2" xfId="14268"/>
    <cellStyle name="Calculation 24 4 2 2 2 2" xfId="26240"/>
    <cellStyle name="Calculation 24 4 2 2 2 2 2" xfId="47426"/>
    <cellStyle name="Calculation 24 4 2 2 2 3" xfId="36822"/>
    <cellStyle name="Calculation 24 4 2 2 3" xfId="21127"/>
    <cellStyle name="Calculation 24 4 2 2 3 2" xfId="42314"/>
    <cellStyle name="Calculation 24 4 2 2 4" xfId="31730"/>
    <cellStyle name="Calculation 24 4 2 2_Table 2A-1_EFT (Annual)" xfId="14674"/>
    <cellStyle name="Calculation 24 4 2 3" xfId="11610"/>
    <cellStyle name="Calculation 24 4 2 3 2" xfId="23694"/>
    <cellStyle name="Calculation 24 4 2 3 2 2" xfId="44880"/>
    <cellStyle name="Calculation 24 4 2 3 3" xfId="34276"/>
    <cellStyle name="Calculation 24 4 2 4" xfId="18581"/>
    <cellStyle name="Calculation 24 4 2 4 2" xfId="39768"/>
    <cellStyle name="Calculation 24 4 2 5" xfId="28987"/>
    <cellStyle name="Calculation 24 4 2_Table 2A-1_EFT (Annual)" xfId="6540"/>
    <cellStyle name="Calculation 24 4 3" xfId="4804"/>
    <cellStyle name="Calculation 24 4 3 2" xfId="13064"/>
    <cellStyle name="Calculation 24 4 3 2 2" xfId="25070"/>
    <cellStyle name="Calculation 24 4 3 2 2 2" xfId="46256"/>
    <cellStyle name="Calculation 24 4 3 2 3" xfId="35652"/>
    <cellStyle name="Calculation 24 4 3 3" xfId="19957"/>
    <cellStyle name="Calculation 24 4 3 3 2" xfId="41144"/>
    <cellStyle name="Calculation 24 4 3 4" xfId="30461"/>
    <cellStyle name="Calculation 24 4 3_Table 2A-1_EFT (Annual)" xfId="14673"/>
    <cellStyle name="Calculation 24 4 4" xfId="10408"/>
    <cellStyle name="Calculation 24 4 4 2" xfId="22524"/>
    <cellStyle name="Calculation 24 4 4 2 2" xfId="43710"/>
    <cellStyle name="Calculation 24 4 4 3" xfId="33106"/>
    <cellStyle name="Calculation 24 4 5" xfId="17411"/>
    <cellStyle name="Calculation 24 4 5 2" xfId="38598"/>
    <cellStyle name="Calculation 24 4 6" xfId="27718"/>
    <cellStyle name="Calculation 24 4_Table 2A-1_EFT (Annual)" xfId="6539"/>
    <cellStyle name="Calculation 24 5" xfId="796"/>
    <cellStyle name="Calculation 24 5 2" xfId="4357"/>
    <cellStyle name="Calculation 24 5 2 2" xfId="12637"/>
    <cellStyle name="Calculation 24 5 2 2 2" xfId="24654"/>
    <cellStyle name="Calculation 24 5 2 2 2 2" xfId="45840"/>
    <cellStyle name="Calculation 24 5 2 2 3" xfId="35236"/>
    <cellStyle name="Calculation 24 5 2 3" xfId="19541"/>
    <cellStyle name="Calculation 24 5 2 3 2" xfId="40728"/>
    <cellStyle name="Calculation 24 5 2 4" xfId="30014"/>
    <cellStyle name="Calculation 24 5 2_Table 2A-1_EFT (Annual)" xfId="14672"/>
    <cellStyle name="Calculation 24 5 3" xfId="9985"/>
    <cellStyle name="Calculation 24 5 3 2" xfId="22108"/>
    <cellStyle name="Calculation 24 5 3 2 2" xfId="43294"/>
    <cellStyle name="Calculation 24 5 3 3" xfId="32690"/>
    <cellStyle name="Calculation 24 5 4" xfId="16995"/>
    <cellStyle name="Calculation 24 5 4 2" xfId="38182"/>
    <cellStyle name="Calculation 24 5 5" xfId="27271"/>
    <cellStyle name="Calculation 24 5_Table 2A-1_EFT (Annual)" xfId="6541"/>
    <cellStyle name="Calculation 24 6" xfId="1982"/>
    <cellStyle name="Calculation 24 6 2" xfId="5543"/>
    <cellStyle name="Calculation 24 6 2 2" xfId="13758"/>
    <cellStyle name="Calculation 24 6 2 2 2" xfId="25746"/>
    <cellStyle name="Calculation 24 6 2 2 2 2" xfId="46932"/>
    <cellStyle name="Calculation 24 6 2 2 3" xfId="36328"/>
    <cellStyle name="Calculation 24 6 2 3" xfId="20633"/>
    <cellStyle name="Calculation 24 6 2 3 2" xfId="41820"/>
    <cellStyle name="Calculation 24 6 2 4" xfId="31200"/>
    <cellStyle name="Calculation 24 6 2_Table 2A-1_EFT (Annual)" xfId="14671"/>
    <cellStyle name="Calculation 24 6 3" xfId="11102"/>
    <cellStyle name="Calculation 24 6 3 2" xfId="23200"/>
    <cellStyle name="Calculation 24 6 3 2 2" xfId="44386"/>
    <cellStyle name="Calculation 24 6 3 3" xfId="33782"/>
    <cellStyle name="Calculation 24 6 4" xfId="18087"/>
    <cellStyle name="Calculation 24 6 4 2" xfId="39274"/>
    <cellStyle name="Calculation 24 6 5" xfId="28457"/>
    <cellStyle name="Calculation 24 6_Table 2A-1_EFT (Annual)" xfId="6542"/>
    <cellStyle name="Calculation 24 7" xfId="3784"/>
    <cellStyle name="Calculation 24 7 2" xfId="12152"/>
    <cellStyle name="Calculation 24 7 2 2" xfId="24182"/>
    <cellStyle name="Calculation 24 7 2 2 2" xfId="45368"/>
    <cellStyle name="Calculation 24 7 2 3" xfId="34764"/>
    <cellStyle name="Calculation 24 7 3" xfId="19069"/>
    <cellStyle name="Calculation 24 7 3 2" xfId="40256"/>
    <cellStyle name="Calculation 24 7 4" xfId="29493"/>
    <cellStyle name="Calculation 24 7_Table 2A-1_EFT (Annual)" xfId="14670"/>
    <cellStyle name="Calculation 24 8" xfId="9471"/>
    <cellStyle name="Calculation 24 8 2" xfId="21636"/>
    <cellStyle name="Calculation 24 8 2 2" xfId="42822"/>
    <cellStyle name="Calculation 24 8 3" xfId="32218"/>
    <cellStyle name="Calculation 24 9" xfId="16523"/>
    <cellStyle name="Calculation 24 9 2" xfId="37710"/>
    <cellStyle name="Calculation 24_Table 2A-1_EFT (Annual)" xfId="2936"/>
    <cellStyle name="Calculation 25" xfId="231"/>
    <cellStyle name="Calculation 25 10" xfId="26786"/>
    <cellStyle name="Calculation 25 2" xfId="618"/>
    <cellStyle name="Calculation 25 2 2" xfId="1595"/>
    <cellStyle name="Calculation 25 2 2 2" xfId="2865"/>
    <cellStyle name="Calculation 25 2 2 2 2" xfId="6426"/>
    <cellStyle name="Calculation 25 2 2 2 2 2" xfId="14620"/>
    <cellStyle name="Calculation 25 2 2 2 2 2 2" xfId="26592"/>
    <cellStyle name="Calculation 25 2 2 2 2 2 2 2" xfId="47778"/>
    <cellStyle name="Calculation 25 2 2 2 2 2 3" xfId="37174"/>
    <cellStyle name="Calculation 25 2 2 2 2 3" xfId="21479"/>
    <cellStyle name="Calculation 25 2 2 2 2 3 2" xfId="42666"/>
    <cellStyle name="Calculation 25 2 2 2 2 4" xfId="32082"/>
    <cellStyle name="Calculation 25 2 2 2 2_Table 2A-1_EFT (Annual)" xfId="14669"/>
    <cellStyle name="Calculation 25 2 2 2 3" xfId="11962"/>
    <cellStyle name="Calculation 25 2 2 2 3 2" xfId="24046"/>
    <cellStyle name="Calculation 25 2 2 2 3 2 2" xfId="45232"/>
    <cellStyle name="Calculation 25 2 2 2 3 3" xfId="34628"/>
    <cellStyle name="Calculation 25 2 2 2 4" xfId="18933"/>
    <cellStyle name="Calculation 25 2 2 2 4 2" xfId="40120"/>
    <cellStyle name="Calculation 25 2 2 2 5" xfId="29339"/>
    <cellStyle name="Calculation 25 2 2 2_Table 2A-1_EFT (Annual)" xfId="6544"/>
    <cellStyle name="Calculation 25 2 2 3" xfId="5156"/>
    <cellStyle name="Calculation 25 2 2 3 2" xfId="13416"/>
    <cellStyle name="Calculation 25 2 2 3 2 2" xfId="25422"/>
    <cellStyle name="Calculation 25 2 2 3 2 2 2" xfId="46608"/>
    <cellStyle name="Calculation 25 2 2 3 2 3" xfId="36004"/>
    <cellStyle name="Calculation 25 2 2 3 3" xfId="20309"/>
    <cellStyle name="Calculation 25 2 2 3 3 2" xfId="41496"/>
    <cellStyle name="Calculation 25 2 2 3 4" xfId="30813"/>
    <cellStyle name="Calculation 25 2 2 3_Table 2A-1_EFT (Annual)" xfId="14668"/>
    <cellStyle name="Calculation 25 2 2 4" xfId="10760"/>
    <cellStyle name="Calculation 25 2 2 4 2" xfId="22876"/>
    <cellStyle name="Calculation 25 2 2 4 2 2" xfId="44062"/>
    <cellStyle name="Calculation 25 2 2 4 3" xfId="33458"/>
    <cellStyle name="Calculation 25 2 2 5" xfId="17763"/>
    <cellStyle name="Calculation 25 2 2 5 2" xfId="38950"/>
    <cellStyle name="Calculation 25 2 2 6" xfId="28070"/>
    <cellStyle name="Calculation 25 2 2_Table 2A-1_EFT (Annual)" xfId="6543"/>
    <cellStyle name="Calculation 25 2 3" xfId="1111"/>
    <cellStyle name="Calculation 25 2 3 2" xfId="4672"/>
    <cellStyle name="Calculation 25 2 3 2 2" xfId="12932"/>
    <cellStyle name="Calculation 25 2 3 2 2 2" xfId="24938"/>
    <cellStyle name="Calculation 25 2 3 2 2 2 2" xfId="46124"/>
    <cellStyle name="Calculation 25 2 3 2 2 3" xfId="35520"/>
    <cellStyle name="Calculation 25 2 3 2 3" xfId="19825"/>
    <cellStyle name="Calculation 25 2 3 2 3 2" xfId="41012"/>
    <cellStyle name="Calculation 25 2 3 2 4" xfId="30329"/>
    <cellStyle name="Calculation 25 2 3 2_Table 2A-1_EFT (Annual)" xfId="14667"/>
    <cellStyle name="Calculation 25 2 3 3" xfId="10276"/>
    <cellStyle name="Calculation 25 2 3 3 2" xfId="22392"/>
    <cellStyle name="Calculation 25 2 3 3 2 2" xfId="43578"/>
    <cellStyle name="Calculation 25 2 3 3 3" xfId="32974"/>
    <cellStyle name="Calculation 25 2 3 4" xfId="17279"/>
    <cellStyle name="Calculation 25 2 3 4 2" xfId="38466"/>
    <cellStyle name="Calculation 25 2 3 5" xfId="27586"/>
    <cellStyle name="Calculation 25 2 3_Table 2A-1_EFT (Annual)" xfId="6545"/>
    <cellStyle name="Calculation 25 2 4" xfId="2334"/>
    <cellStyle name="Calculation 25 2 4 2" xfId="5895"/>
    <cellStyle name="Calculation 25 2 4 2 2" xfId="14110"/>
    <cellStyle name="Calculation 25 2 4 2 2 2" xfId="26098"/>
    <cellStyle name="Calculation 25 2 4 2 2 2 2" xfId="47284"/>
    <cellStyle name="Calculation 25 2 4 2 2 3" xfId="36680"/>
    <cellStyle name="Calculation 25 2 4 2 3" xfId="20985"/>
    <cellStyle name="Calculation 25 2 4 2 3 2" xfId="42172"/>
    <cellStyle name="Calculation 25 2 4 2 4" xfId="31552"/>
    <cellStyle name="Calculation 25 2 4 2_Table 2A-1_EFT (Annual)" xfId="14666"/>
    <cellStyle name="Calculation 25 2 4 3" xfId="11454"/>
    <cellStyle name="Calculation 25 2 4 3 2" xfId="23552"/>
    <cellStyle name="Calculation 25 2 4 3 2 2" xfId="44738"/>
    <cellStyle name="Calculation 25 2 4 3 3" xfId="34134"/>
    <cellStyle name="Calculation 25 2 4 4" xfId="18439"/>
    <cellStyle name="Calculation 25 2 4 4 2" xfId="39626"/>
    <cellStyle name="Calculation 25 2 4 5" xfId="28809"/>
    <cellStyle name="Calculation 25 2 4_Table 2A-1_EFT (Annual)" xfId="6546"/>
    <cellStyle name="Calculation 25 2 5" xfId="4188"/>
    <cellStyle name="Calculation 25 2 5 2" xfId="12512"/>
    <cellStyle name="Calculation 25 2 5 2 2" xfId="24534"/>
    <cellStyle name="Calculation 25 2 5 2 2 2" xfId="45720"/>
    <cellStyle name="Calculation 25 2 5 2 3" xfId="35116"/>
    <cellStyle name="Calculation 25 2 5 3" xfId="19421"/>
    <cellStyle name="Calculation 25 2 5 3 2" xfId="40608"/>
    <cellStyle name="Calculation 25 2 5 4" xfId="29876"/>
    <cellStyle name="Calculation 25 2 5_Table 2A-1_EFT (Annual)" xfId="14665"/>
    <cellStyle name="Calculation 25 2 6" xfId="9851"/>
    <cellStyle name="Calculation 25 2 6 2" xfId="21988"/>
    <cellStyle name="Calculation 25 2 6 2 2" xfId="43174"/>
    <cellStyle name="Calculation 25 2 6 3" xfId="32570"/>
    <cellStyle name="Calculation 25 2 7" xfId="16875"/>
    <cellStyle name="Calculation 25 2 7 2" xfId="38062"/>
    <cellStyle name="Calculation 25 2 8" xfId="27133"/>
    <cellStyle name="Calculation 25 2_Table 2A-1_EFT (Annual)" xfId="2940"/>
    <cellStyle name="Calculation 25 3" xfId="458"/>
    <cellStyle name="Calculation 25 3 2" xfId="1435"/>
    <cellStyle name="Calculation 25 3 2 2" xfId="2705"/>
    <cellStyle name="Calculation 25 3 2 2 2" xfId="6266"/>
    <cellStyle name="Calculation 25 3 2 2 2 2" xfId="14460"/>
    <cellStyle name="Calculation 25 3 2 2 2 2 2" xfId="26432"/>
    <cellStyle name="Calculation 25 3 2 2 2 2 2 2" xfId="47618"/>
    <cellStyle name="Calculation 25 3 2 2 2 2 3" xfId="37014"/>
    <cellStyle name="Calculation 25 3 2 2 2 3" xfId="21319"/>
    <cellStyle name="Calculation 25 3 2 2 2 3 2" xfId="42506"/>
    <cellStyle name="Calculation 25 3 2 2 2 4" xfId="31922"/>
    <cellStyle name="Calculation 25 3 2 2 2_Table 2A-1_EFT (Annual)" xfId="14664"/>
    <cellStyle name="Calculation 25 3 2 2 3" xfId="11802"/>
    <cellStyle name="Calculation 25 3 2 2 3 2" xfId="23886"/>
    <cellStyle name="Calculation 25 3 2 2 3 2 2" xfId="45072"/>
    <cellStyle name="Calculation 25 3 2 2 3 3" xfId="34468"/>
    <cellStyle name="Calculation 25 3 2 2 4" xfId="18773"/>
    <cellStyle name="Calculation 25 3 2 2 4 2" xfId="39960"/>
    <cellStyle name="Calculation 25 3 2 2 5" xfId="29179"/>
    <cellStyle name="Calculation 25 3 2 2_Table 2A-1_EFT (Annual)" xfId="6548"/>
    <cellStyle name="Calculation 25 3 2 3" xfId="4996"/>
    <cellStyle name="Calculation 25 3 2 3 2" xfId="13256"/>
    <cellStyle name="Calculation 25 3 2 3 2 2" xfId="25262"/>
    <cellStyle name="Calculation 25 3 2 3 2 2 2" xfId="46448"/>
    <cellStyle name="Calculation 25 3 2 3 2 3" xfId="35844"/>
    <cellStyle name="Calculation 25 3 2 3 3" xfId="20149"/>
    <cellStyle name="Calculation 25 3 2 3 3 2" xfId="41336"/>
    <cellStyle name="Calculation 25 3 2 3 4" xfId="30653"/>
    <cellStyle name="Calculation 25 3 2 3_Table 2A-1_EFT (Annual)" xfId="14663"/>
    <cellStyle name="Calculation 25 3 2 4" xfId="10600"/>
    <cellStyle name="Calculation 25 3 2 4 2" xfId="22716"/>
    <cellStyle name="Calculation 25 3 2 4 2 2" xfId="43902"/>
    <cellStyle name="Calculation 25 3 2 4 3" xfId="33298"/>
    <cellStyle name="Calculation 25 3 2 5" xfId="17603"/>
    <cellStyle name="Calculation 25 3 2 5 2" xfId="38790"/>
    <cellStyle name="Calculation 25 3 2 6" xfId="27910"/>
    <cellStyle name="Calculation 25 3 2_Table 2A-1_EFT (Annual)" xfId="6547"/>
    <cellStyle name="Calculation 25 3 3" xfId="982"/>
    <cellStyle name="Calculation 25 3 3 2" xfId="4543"/>
    <cellStyle name="Calculation 25 3 3 2 2" xfId="12803"/>
    <cellStyle name="Calculation 25 3 3 2 2 2" xfId="24809"/>
    <cellStyle name="Calculation 25 3 3 2 2 2 2" xfId="45995"/>
    <cellStyle name="Calculation 25 3 3 2 2 3" xfId="35391"/>
    <cellStyle name="Calculation 25 3 3 2 3" xfId="19696"/>
    <cellStyle name="Calculation 25 3 3 2 3 2" xfId="40883"/>
    <cellStyle name="Calculation 25 3 3 2 4" xfId="30200"/>
    <cellStyle name="Calculation 25 3 3 2_Table 2A-1_EFT (Annual)" xfId="14662"/>
    <cellStyle name="Calculation 25 3 3 3" xfId="10147"/>
    <cellStyle name="Calculation 25 3 3 3 2" xfId="22263"/>
    <cellStyle name="Calculation 25 3 3 3 2 2" xfId="43449"/>
    <cellStyle name="Calculation 25 3 3 3 3" xfId="32845"/>
    <cellStyle name="Calculation 25 3 3 4" xfId="17150"/>
    <cellStyle name="Calculation 25 3 3 4 2" xfId="38337"/>
    <cellStyle name="Calculation 25 3 3 5" xfId="27457"/>
    <cellStyle name="Calculation 25 3 3_Table 2A-1_EFT (Annual)" xfId="6549"/>
    <cellStyle name="Calculation 25 3 4" xfId="2174"/>
    <cellStyle name="Calculation 25 3 4 2" xfId="5735"/>
    <cellStyle name="Calculation 25 3 4 2 2" xfId="13950"/>
    <cellStyle name="Calculation 25 3 4 2 2 2" xfId="25938"/>
    <cellStyle name="Calculation 25 3 4 2 2 2 2" xfId="47124"/>
    <cellStyle name="Calculation 25 3 4 2 2 3" xfId="36520"/>
    <cellStyle name="Calculation 25 3 4 2 3" xfId="20825"/>
    <cellStyle name="Calculation 25 3 4 2 3 2" xfId="42012"/>
    <cellStyle name="Calculation 25 3 4 2 4" xfId="31392"/>
    <cellStyle name="Calculation 25 3 4 2_Table 2A-1_EFT (Annual)" xfId="14661"/>
    <cellStyle name="Calculation 25 3 4 3" xfId="11294"/>
    <cellStyle name="Calculation 25 3 4 3 2" xfId="23392"/>
    <cellStyle name="Calculation 25 3 4 3 2 2" xfId="44578"/>
    <cellStyle name="Calculation 25 3 4 3 3" xfId="33974"/>
    <cellStyle name="Calculation 25 3 4 4" xfId="18279"/>
    <cellStyle name="Calculation 25 3 4 4 2" xfId="39466"/>
    <cellStyle name="Calculation 25 3 4 5" xfId="28649"/>
    <cellStyle name="Calculation 25 3 4_Table 2A-1_EFT (Annual)" xfId="6550"/>
    <cellStyle name="Calculation 25 3 5" xfId="4028"/>
    <cellStyle name="Calculation 25 3 5 2" xfId="12352"/>
    <cellStyle name="Calculation 25 3 5 2 2" xfId="24374"/>
    <cellStyle name="Calculation 25 3 5 2 2 2" xfId="45560"/>
    <cellStyle name="Calculation 25 3 5 2 3" xfId="34956"/>
    <cellStyle name="Calculation 25 3 5 3" xfId="19261"/>
    <cellStyle name="Calculation 25 3 5 3 2" xfId="40448"/>
    <cellStyle name="Calculation 25 3 5 4" xfId="29716"/>
    <cellStyle name="Calculation 25 3 5_Table 2A-1_EFT (Annual)" xfId="14660"/>
    <cellStyle name="Calculation 25 3 6" xfId="9691"/>
    <cellStyle name="Calculation 25 3 6 2" xfId="21828"/>
    <cellStyle name="Calculation 25 3 6 2 2" xfId="43014"/>
    <cellStyle name="Calculation 25 3 6 3" xfId="32410"/>
    <cellStyle name="Calculation 25 3 7" xfId="16715"/>
    <cellStyle name="Calculation 25 3 7 2" xfId="37902"/>
    <cellStyle name="Calculation 25 3 8" xfId="26973"/>
    <cellStyle name="Calculation 25 3_Table 2A-1_EFT (Annual)" xfId="2941"/>
    <cellStyle name="Calculation 25 4" xfId="1273"/>
    <cellStyle name="Calculation 25 4 2" xfId="2543"/>
    <cellStyle name="Calculation 25 4 2 2" xfId="6104"/>
    <cellStyle name="Calculation 25 4 2 2 2" xfId="14298"/>
    <cellStyle name="Calculation 25 4 2 2 2 2" xfId="26270"/>
    <cellStyle name="Calculation 25 4 2 2 2 2 2" xfId="47456"/>
    <cellStyle name="Calculation 25 4 2 2 2 3" xfId="36852"/>
    <cellStyle name="Calculation 25 4 2 2 3" xfId="21157"/>
    <cellStyle name="Calculation 25 4 2 2 3 2" xfId="42344"/>
    <cellStyle name="Calculation 25 4 2 2 4" xfId="31760"/>
    <cellStyle name="Calculation 25 4 2 2_Table 2A-1_EFT (Annual)" xfId="14659"/>
    <cellStyle name="Calculation 25 4 2 3" xfId="11640"/>
    <cellStyle name="Calculation 25 4 2 3 2" xfId="23724"/>
    <cellStyle name="Calculation 25 4 2 3 2 2" xfId="44910"/>
    <cellStyle name="Calculation 25 4 2 3 3" xfId="34306"/>
    <cellStyle name="Calculation 25 4 2 4" xfId="18611"/>
    <cellStyle name="Calculation 25 4 2 4 2" xfId="39798"/>
    <cellStyle name="Calculation 25 4 2 5" xfId="29017"/>
    <cellStyle name="Calculation 25 4 2_Table 2A-1_EFT (Annual)" xfId="6552"/>
    <cellStyle name="Calculation 25 4 3" xfId="4834"/>
    <cellStyle name="Calculation 25 4 3 2" xfId="13094"/>
    <cellStyle name="Calculation 25 4 3 2 2" xfId="25100"/>
    <cellStyle name="Calculation 25 4 3 2 2 2" xfId="46286"/>
    <cellStyle name="Calculation 25 4 3 2 3" xfId="35682"/>
    <cellStyle name="Calculation 25 4 3 3" xfId="19987"/>
    <cellStyle name="Calculation 25 4 3 3 2" xfId="41174"/>
    <cellStyle name="Calculation 25 4 3 4" xfId="30491"/>
    <cellStyle name="Calculation 25 4 3_Table 2A-1_EFT (Annual)" xfId="14658"/>
    <cellStyle name="Calculation 25 4 4" xfId="10438"/>
    <cellStyle name="Calculation 25 4 4 2" xfId="22554"/>
    <cellStyle name="Calculation 25 4 4 2 2" xfId="43740"/>
    <cellStyle name="Calculation 25 4 4 3" xfId="33136"/>
    <cellStyle name="Calculation 25 4 5" xfId="17441"/>
    <cellStyle name="Calculation 25 4 5 2" xfId="38628"/>
    <cellStyle name="Calculation 25 4 6" xfId="27748"/>
    <cellStyle name="Calculation 25 4_Table 2A-1_EFT (Annual)" xfId="6551"/>
    <cellStyle name="Calculation 25 5" xfId="826"/>
    <cellStyle name="Calculation 25 5 2" xfId="4387"/>
    <cellStyle name="Calculation 25 5 2 2" xfId="12661"/>
    <cellStyle name="Calculation 25 5 2 2 2" xfId="24678"/>
    <cellStyle name="Calculation 25 5 2 2 2 2" xfId="45864"/>
    <cellStyle name="Calculation 25 5 2 2 3" xfId="35260"/>
    <cellStyle name="Calculation 25 5 2 3" xfId="19565"/>
    <cellStyle name="Calculation 25 5 2 3 2" xfId="40752"/>
    <cellStyle name="Calculation 25 5 2 4" xfId="30044"/>
    <cellStyle name="Calculation 25 5 2_Table 2A-1_EFT (Annual)" xfId="14657"/>
    <cellStyle name="Calculation 25 5 3" xfId="10010"/>
    <cellStyle name="Calculation 25 5 3 2" xfId="22132"/>
    <cellStyle name="Calculation 25 5 3 2 2" xfId="43318"/>
    <cellStyle name="Calculation 25 5 3 3" xfId="32714"/>
    <cellStyle name="Calculation 25 5 4" xfId="17019"/>
    <cellStyle name="Calculation 25 5 4 2" xfId="38206"/>
    <cellStyle name="Calculation 25 5 5" xfId="27301"/>
    <cellStyle name="Calculation 25 5_Table 2A-1_EFT (Annual)" xfId="6553"/>
    <cellStyle name="Calculation 25 6" xfId="2012"/>
    <cellStyle name="Calculation 25 6 2" xfId="5573"/>
    <cellStyle name="Calculation 25 6 2 2" xfId="13788"/>
    <cellStyle name="Calculation 25 6 2 2 2" xfId="25776"/>
    <cellStyle name="Calculation 25 6 2 2 2 2" xfId="46962"/>
    <cellStyle name="Calculation 25 6 2 2 3" xfId="36358"/>
    <cellStyle name="Calculation 25 6 2 3" xfId="20663"/>
    <cellStyle name="Calculation 25 6 2 3 2" xfId="41850"/>
    <cellStyle name="Calculation 25 6 2 4" xfId="31230"/>
    <cellStyle name="Calculation 25 6 2_Table 2A-1_EFT (Annual)" xfId="14656"/>
    <cellStyle name="Calculation 25 6 3" xfId="11132"/>
    <cellStyle name="Calculation 25 6 3 2" xfId="23230"/>
    <cellStyle name="Calculation 25 6 3 2 2" xfId="44416"/>
    <cellStyle name="Calculation 25 6 3 3" xfId="33812"/>
    <cellStyle name="Calculation 25 6 4" xfId="18117"/>
    <cellStyle name="Calculation 25 6 4 2" xfId="39304"/>
    <cellStyle name="Calculation 25 6 5" xfId="28487"/>
    <cellStyle name="Calculation 25 6_Table 2A-1_EFT (Annual)" xfId="6554"/>
    <cellStyle name="Calculation 25 7" xfId="3820"/>
    <cellStyle name="Calculation 25 7 2" xfId="12183"/>
    <cellStyle name="Calculation 25 7 2 2" xfId="24212"/>
    <cellStyle name="Calculation 25 7 2 2 2" xfId="45398"/>
    <cellStyle name="Calculation 25 7 2 3" xfId="34794"/>
    <cellStyle name="Calculation 25 7 3" xfId="19099"/>
    <cellStyle name="Calculation 25 7 3 2" xfId="40286"/>
    <cellStyle name="Calculation 25 7 4" xfId="29529"/>
    <cellStyle name="Calculation 25 7_Table 2A-1_EFT (Annual)" xfId="14655"/>
    <cellStyle name="Calculation 25 8" xfId="9502"/>
    <cellStyle name="Calculation 25 8 2" xfId="21666"/>
    <cellStyle name="Calculation 25 8 2 2" xfId="42852"/>
    <cellStyle name="Calculation 25 8 3" xfId="32248"/>
    <cellStyle name="Calculation 25 9" xfId="16553"/>
    <cellStyle name="Calculation 25 9 2" xfId="37740"/>
    <cellStyle name="Calculation 25_Table 2A-1_EFT (Annual)" xfId="2939"/>
    <cellStyle name="Calculation 26" xfId="226"/>
    <cellStyle name="Calculation 26 10" xfId="26781"/>
    <cellStyle name="Calculation 26 2" xfId="617"/>
    <cellStyle name="Calculation 26 2 2" xfId="1594"/>
    <cellStyle name="Calculation 26 2 2 2" xfId="2864"/>
    <cellStyle name="Calculation 26 2 2 2 2" xfId="6425"/>
    <cellStyle name="Calculation 26 2 2 2 2 2" xfId="14619"/>
    <cellStyle name="Calculation 26 2 2 2 2 2 2" xfId="26591"/>
    <cellStyle name="Calculation 26 2 2 2 2 2 2 2" xfId="47777"/>
    <cellStyle name="Calculation 26 2 2 2 2 2 3" xfId="37173"/>
    <cellStyle name="Calculation 26 2 2 2 2 3" xfId="21478"/>
    <cellStyle name="Calculation 26 2 2 2 2 3 2" xfId="42665"/>
    <cellStyle name="Calculation 26 2 2 2 2 4" xfId="32081"/>
    <cellStyle name="Calculation 26 2 2 2 2_Table 2A-1_EFT (Annual)" xfId="14654"/>
    <cellStyle name="Calculation 26 2 2 2 3" xfId="11961"/>
    <cellStyle name="Calculation 26 2 2 2 3 2" xfId="24045"/>
    <cellStyle name="Calculation 26 2 2 2 3 2 2" xfId="45231"/>
    <cellStyle name="Calculation 26 2 2 2 3 3" xfId="34627"/>
    <cellStyle name="Calculation 26 2 2 2 4" xfId="18932"/>
    <cellStyle name="Calculation 26 2 2 2 4 2" xfId="40119"/>
    <cellStyle name="Calculation 26 2 2 2 5" xfId="29338"/>
    <cellStyle name="Calculation 26 2 2 2_Table 2A-1_EFT (Annual)" xfId="6556"/>
    <cellStyle name="Calculation 26 2 2 3" xfId="5155"/>
    <cellStyle name="Calculation 26 2 2 3 2" xfId="13415"/>
    <cellStyle name="Calculation 26 2 2 3 2 2" xfId="25421"/>
    <cellStyle name="Calculation 26 2 2 3 2 2 2" xfId="46607"/>
    <cellStyle name="Calculation 26 2 2 3 2 3" xfId="36003"/>
    <cellStyle name="Calculation 26 2 2 3 3" xfId="20308"/>
    <cellStyle name="Calculation 26 2 2 3 3 2" xfId="41495"/>
    <cellStyle name="Calculation 26 2 2 3 4" xfId="30812"/>
    <cellStyle name="Calculation 26 2 2 3_Table 2A-1_EFT (Annual)" xfId="14653"/>
    <cellStyle name="Calculation 26 2 2 4" xfId="10759"/>
    <cellStyle name="Calculation 26 2 2 4 2" xfId="22875"/>
    <cellStyle name="Calculation 26 2 2 4 2 2" xfId="44061"/>
    <cellStyle name="Calculation 26 2 2 4 3" xfId="33457"/>
    <cellStyle name="Calculation 26 2 2 5" xfId="17762"/>
    <cellStyle name="Calculation 26 2 2 5 2" xfId="38949"/>
    <cellStyle name="Calculation 26 2 2 6" xfId="28069"/>
    <cellStyle name="Calculation 26 2 2_Table 2A-1_EFT (Annual)" xfId="6555"/>
    <cellStyle name="Calculation 26 2 3" xfId="1110"/>
    <cellStyle name="Calculation 26 2 3 2" xfId="4671"/>
    <cellStyle name="Calculation 26 2 3 2 2" xfId="12931"/>
    <cellStyle name="Calculation 26 2 3 2 2 2" xfId="24937"/>
    <cellStyle name="Calculation 26 2 3 2 2 2 2" xfId="46123"/>
    <cellStyle name="Calculation 26 2 3 2 2 3" xfId="35519"/>
    <cellStyle name="Calculation 26 2 3 2 3" xfId="19824"/>
    <cellStyle name="Calculation 26 2 3 2 3 2" xfId="41011"/>
    <cellStyle name="Calculation 26 2 3 2 4" xfId="30328"/>
    <cellStyle name="Calculation 26 2 3 2_Table 2A-1_EFT (Annual)" xfId="14652"/>
    <cellStyle name="Calculation 26 2 3 3" xfId="10275"/>
    <cellStyle name="Calculation 26 2 3 3 2" xfId="22391"/>
    <cellStyle name="Calculation 26 2 3 3 2 2" xfId="43577"/>
    <cellStyle name="Calculation 26 2 3 3 3" xfId="32973"/>
    <cellStyle name="Calculation 26 2 3 4" xfId="17278"/>
    <cellStyle name="Calculation 26 2 3 4 2" xfId="38465"/>
    <cellStyle name="Calculation 26 2 3 5" xfId="27585"/>
    <cellStyle name="Calculation 26 2 3_Table 2A-1_EFT (Annual)" xfId="6557"/>
    <cellStyle name="Calculation 26 2 4" xfId="2333"/>
    <cellStyle name="Calculation 26 2 4 2" xfId="5894"/>
    <cellStyle name="Calculation 26 2 4 2 2" xfId="14109"/>
    <cellStyle name="Calculation 26 2 4 2 2 2" xfId="26097"/>
    <cellStyle name="Calculation 26 2 4 2 2 2 2" xfId="47283"/>
    <cellStyle name="Calculation 26 2 4 2 2 3" xfId="36679"/>
    <cellStyle name="Calculation 26 2 4 2 3" xfId="20984"/>
    <cellStyle name="Calculation 26 2 4 2 3 2" xfId="42171"/>
    <cellStyle name="Calculation 26 2 4 2 4" xfId="31551"/>
    <cellStyle name="Calculation 26 2 4 2_Table 2A-1_EFT (Annual)" xfId="14651"/>
    <cellStyle name="Calculation 26 2 4 3" xfId="11453"/>
    <cellStyle name="Calculation 26 2 4 3 2" xfId="23551"/>
    <cellStyle name="Calculation 26 2 4 3 2 2" xfId="44737"/>
    <cellStyle name="Calculation 26 2 4 3 3" xfId="34133"/>
    <cellStyle name="Calculation 26 2 4 4" xfId="18438"/>
    <cellStyle name="Calculation 26 2 4 4 2" xfId="39625"/>
    <cellStyle name="Calculation 26 2 4 5" xfId="28808"/>
    <cellStyle name="Calculation 26 2 4_Table 2A-1_EFT (Annual)" xfId="6558"/>
    <cellStyle name="Calculation 26 2 5" xfId="4187"/>
    <cellStyle name="Calculation 26 2 5 2" xfId="12511"/>
    <cellStyle name="Calculation 26 2 5 2 2" xfId="24533"/>
    <cellStyle name="Calculation 26 2 5 2 2 2" xfId="45719"/>
    <cellStyle name="Calculation 26 2 5 2 3" xfId="35115"/>
    <cellStyle name="Calculation 26 2 5 3" xfId="19420"/>
    <cellStyle name="Calculation 26 2 5 3 2" xfId="40607"/>
    <cellStyle name="Calculation 26 2 5 4" xfId="29875"/>
    <cellStyle name="Calculation 26 2 5_Table 2A-1_EFT (Annual)" xfId="14650"/>
    <cellStyle name="Calculation 26 2 6" xfId="9850"/>
    <cellStyle name="Calculation 26 2 6 2" xfId="21987"/>
    <cellStyle name="Calculation 26 2 6 2 2" xfId="43173"/>
    <cellStyle name="Calculation 26 2 6 3" xfId="32569"/>
    <cellStyle name="Calculation 26 2 7" xfId="16874"/>
    <cellStyle name="Calculation 26 2 7 2" xfId="38061"/>
    <cellStyle name="Calculation 26 2 8" xfId="27132"/>
    <cellStyle name="Calculation 26 2_Table 2A-1_EFT (Annual)" xfId="2943"/>
    <cellStyle name="Calculation 26 3" xfId="453"/>
    <cellStyle name="Calculation 26 3 2" xfId="1434"/>
    <cellStyle name="Calculation 26 3 2 2" xfId="2704"/>
    <cellStyle name="Calculation 26 3 2 2 2" xfId="6265"/>
    <cellStyle name="Calculation 26 3 2 2 2 2" xfId="14459"/>
    <cellStyle name="Calculation 26 3 2 2 2 2 2" xfId="26431"/>
    <cellStyle name="Calculation 26 3 2 2 2 2 2 2" xfId="47617"/>
    <cellStyle name="Calculation 26 3 2 2 2 2 3" xfId="37013"/>
    <cellStyle name="Calculation 26 3 2 2 2 3" xfId="21318"/>
    <cellStyle name="Calculation 26 3 2 2 2 3 2" xfId="42505"/>
    <cellStyle name="Calculation 26 3 2 2 2 4" xfId="31921"/>
    <cellStyle name="Calculation 26 3 2 2 2_Table 2A-1_EFT (Annual)" xfId="14649"/>
    <cellStyle name="Calculation 26 3 2 2 3" xfId="11801"/>
    <cellStyle name="Calculation 26 3 2 2 3 2" xfId="23885"/>
    <cellStyle name="Calculation 26 3 2 2 3 2 2" xfId="45071"/>
    <cellStyle name="Calculation 26 3 2 2 3 3" xfId="34467"/>
    <cellStyle name="Calculation 26 3 2 2 4" xfId="18772"/>
    <cellStyle name="Calculation 26 3 2 2 4 2" xfId="39959"/>
    <cellStyle name="Calculation 26 3 2 2 5" xfId="29178"/>
    <cellStyle name="Calculation 26 3 2 2_Table 2A-1_EFT (Annual)" xfId="6560"/>
    <cellStyle name="Calculation 26 3 2 3" xfId="4995"/>
    <cellStyle name="Calculation 26 3 2 3 2" xfId="13255"/>
    <cellStyle name="Calculation 26 3 2 3 2 2" xfId="25261"/>
    <cellStyle name="Calculation 26 3 2 3 2 2 2" xfId="46447"/>
    <cellStyle name="Calculation 26 3 2 3 2 3" xfId="35843"/>
    <cellStyle name="Calculation 26 3 2 3 3" xfId="20148"/>
    <cellStyle name="Calculation 26 3 2 3 3 2" xfId="41335"/>
    <cellStyle name="Calculation 26 3 2 3 4" xfId="30652"/>
    <cellStyle name="Calculation 26 3 2 3_Table 2A-1_EFT (Annual)" xfId="14648"/>
    <cellStyle name="Calculation 26 3 2 4" xfId="10599"/>
    <cellStyle name="Calculation 26 3 2 4 2" xfId="22715"/>
    <cellStyle name="Calculation 26 3 2 4 2 2" xfId="43901"/>
    <cellStyle name="Calculation 26 3 2 4 3" xfId="33297"/>
    <cellStyle name="Calculation 26 3 2 5" xfId="17602"/>
    <cellStyle name="Calculation 26 3 2 5 2" xfId="38789"/>
    <cellStyle name="Calculation 26 3 2 6" xfId="27909"/>
    <cellStyle name="Calculation 26 3 2_Table 2A-1_EFT (Annual)" xfId="6559"/>
    <cellStyle name="Calculation 26 3 3" xfId="977"/>
    <cellStyle name="Calculation 26 3 3 2" xfId="4538"/>
    <cellStyle name="Calculation 26 3 3 2 2" xfId="12800"/>
    <cellStyle name="Calculation 26 3 3 2 2 2" xfId="24808"/>
    <cellStyle name="Calculation 26 3 3 2 2 2 2" xfId="45994"/>
    <cellStyle name="Calculation 26 3 3 2 2 3" xfId="35390"/>
    <cellStyle name="Calculation 26 3 3 2 3" xfId="19695"/>
    <cellStyle name="Calculation 26 3 3 2 3 2" xfId="40882"/>
    <cellStyle name="Calculation 26 3 3 2 4" xfId="30195"/>
    <cellStyle name="Calculation 26 3 3 2_Table 2A-1_EFT (Annual)" xfId="14647"/>
    <cellStyle name="Calculation 26 3 3 3" xfId="10145"/>
    <cellStyle name="Calculation 26 3 3 3 2" xfId="22262"/>
    <cellStyle name="Calculation 26 3 3 3 2 2" xfId="43448"/>
    <cellStyle name="Calculation 26 3 3 3 3" xfId="32844"/>
    <cellStyle name="Calculation 26 3 3 4" xfId="17149"/>
    <cellStyle name="Calculation 26 3 3 4 2" xfId="38336"/>
    <cellStyle name="Calculation 26 3 3 5" xfId="27452"/>
    <cellStyle name="Calculation 26 3 3_Table 2A-1_EFT (Annual)" xfId="6561"/>
    <cellStyle name="Calculation 26 3 4" xfId="2173"/>
    <cellStyle name="Calculation 26 3 4 2" xfId="5734"/>
    <cellStyle name="Calculation 26 3 4 2 2" xfId="13949"/>
    <cellStyle name="Calculation 26 3 4 2 2 2" xfId="25937"/>
    <cellStyle name="Calculation 26 3 4 2 2 2 2" xfId="47123"/>
    <cellStyle name="Calculation 26 3 4 2 2 3" xfId="36519"/>
    <cellStyle name="Calculation 26 3 4 2 3" xfId="20824"/>
    <cellStyle name="Calculation 26 3 4 2 3 2" xfId="42011"/>
    <cellStyle name="Calculation 26 3 4 2 4" xfId="31391"/>
    <cellStyle name="Calculation 26 3 4 2_Table 2A-1_EFT (Annual)" xfId="14646"/>
    <cellStyle name="Calculation 26 3 4 3" xfId="11293"/>
    <cellStyle name="Calculation 26 3 4 3 2" xfId="23391"/>
    <cellStyle name="Calculation 26 3 4 3 2 2" xfId="44577"/>
    <cellStyle name="Calculation 26 3 4 3 3" xfId="33973"/>
    <cellStyle name="Calculation 26 3 4 4" xfId="18278"/>
    <cellStyle name="Calculation 26 3 4 4 2" xfId="39465"/>
    <cellStyle name="Calculation 26 3 4 5" xfId="28648"/>
    <cellStyle name="Calculation 26 3 4_Table 2A-1_EFT (Annual)" xfId="6562"/>
    <cellStyle name="Calculation 26 3 5" xfId="4023"/>
    <cellStyle name="Calculation 26 3 5 2" xfId="12349"/>
    <cellStyle name="Calculation 26 3 5 2 2" xfId="24373"/>
    <cellStyle name="Calculation 26 3 5 2 2 2" xfId="45559"/>
    <cellStyle name="Calculation 26 3 5 2 3" xfId="34955"/>
    <cellStyle name="Calculation 26 3 5 3" xfId="19260"/>
    <cellStyle name="Calculation 26 3 5 3 2" xfId="40447"/>
    <cellStyle name="Calculation 26 3 5 4" xfId="29711"/>
    <cellStyle name="Calculation 26 3 5_Table 2A-1_EFT (Annual)" xfId="9350"/>
    <cellStyle name="Calculation 26 3 6" xfId="9688"/>
    <cellStyle name="Calculation 26 3 6 2" xfId="21827"/>
    <cellStyle name="Calculation 26 3 6 2 2" xfId="43013"/>
    <cellStyle name="Calculation 26 3 6 3" xfId="32409"/>
    <cellStyle name="Calculation 26 3 7" xfId="16714"/>
    <cellStyle name="Calculation 26 3 7 2" xfId="37901"/>
    <cellStyle name="Calculation 26 3 8" xfId="26968"/>
    <cellStyle name="Calculation 26 3_Table 2A-1_EFT (Annual)" xfId="2944"/>
    <cellStyle name="Calculation 26 4" xfId="1272"/>
    <cellStyle name="Calculation 26 4 2" xfId="2542"/>
    <cellStyle name="Calculation 26 4 2 2" xfId="6103"/>
    <cellStyle name="Calculation 26 4 2 2 2" xfId="14297"/>
    <cellStyle name="Calculation 26 4 2 2 2 2" xfId="26269"/>
    <cellStyle name="Calculation 26 4 2 2 2 2 2" xfId="47455"/>
    <cellStyle name="Calculation 26 4 2 2 2 3" xfId="36851"/>
    <cellStyle name="Calculation 26 4 2 2 3" xfId="21156"/>
    <cellStyle name="Calculation 26 4 2 2 3 2" xfId="42343"/>
    <cellStyle name="Calculation 26 4 2 2 4" xfId="31759"/>
    <cellStyle name="Calculation 26 4 2 2_Table 2A-1_EFT (Annual)" xfId="9349"/>
    <cellStyle name="Calculation 26 4 2 3" xfId="11639"/>
    <cellStyle name="Calculation 26 4 2 3 2" xfId="23723"/>
    <cellStyle name="Calculation 26 4 2 3 2 2" xfId="44909"/>
    <cellStyle name="Calculation 26 4 2 3 3" xfId="34305"/>
    <cellStyle name="Calculation 26 4 2 4" xfId="18610"/>
    <cellStyle name="Calculation 26 4 2 4 2" xfId="39797"/>
    <cellStyle name="Calculation 26 4 2 5" xfId="29016"/>
    <cellStyle name="Calculation 26 4 2_Table 2A-1_EFT (Annual)" xfId="6564"/>
    <cellStyle name="Calculation 26 4 3" xfId="4833"/>
    <cellStyle name="Calculation 26 4 3 2" xfId="13093"/>
    <cellStyle name="Calculation 26 4 3 2 2" xfId="25099"/>
    <cellStyle name="Calculation 26 4 3 2 2 2" xfId="46285"/>
    <cellStyle name="Calculation 26 4 3 2 3" xfId="35681"/>
    <cellStyle name="Calculation 26 4 3 3" xfId="19986"/>
    <cellStyle name="Calculation 26 4 3 3 2" xfId="41173"/>
    <cellStyle name="Calculation 26 4 3 4" xfId="30490"/>
    <cellStyle name="Calculation 26 4 3_Table 2A-1_EFT (Annual)" xfId="12038"/>
    <cellStyle name="Calculation 26 4 4" xfId="10437"/>
    <cellStyle name="Calculation 26 4 4 2" xfId="22553"/>
    <cellStyle name="Calculation 26 4 4 2 2" xfId="43739"/>
    <cellStyle name="Calculation 26 4 4 3" xfId="33135"/>
    <cellStyle name="Calculation 26 4 5" xfId="17440"/>
    <cellStyle name="Calculation 26 4 5 2" xfId="38627"/>
    <cellStyle name="Calculation 26 4 6" xfId="27747"/>
    <cellStyle name="Calculation 26 4_Table 2A-1_EFT (Annual)" xfId="6563"/>
    <cellStyle name="Calculation 26 5" xfId="821"/>
    <cellStyle name="Calculation 26 5 2" xfId="4382"/>
    <cellStyle name="Calculation 26 5 2 2" xfId="12660"/>
    <cellStyle name="Calculation 26 5 2 2 2" xfId="24677"/>
    <cellStyle name="Calculation 26 5 2 2 2 2" xfId="45863"/>
    <cellStyle name="Calculation 26 5 2 2 3" xfId="35259"/>
    <cellStyle name="Calculation 26 5 2 3" xfId="19564"/>
    <cellStyle name="Calculation 26 5 2 3 2" xfId="40751"/>
    <cellStyle name="Calculation 26 5 2 4" xfId="30039"/>
    <cellStyle name="Calculation 26 5 2_Table 2A-1_EFT (Annual)" xfId="10787"/>
    <cellStyle name="Calculation 26 5 3" xfId="10008"/>
    <cellStyle name="Calculation 26 5 3 2" xfId="22131"/>
    <cellStyle name="Calculation 26 5 3 2 2" xfId="43317"/>
    <cellStyle name="Calculation 26 5 3 3" xfId="32713"/>
    <cellStyle name="Calculation 26 5 4" xfId="17018"/>
    <cellStyle name="Calculation 26 5 4 2" xfId="38205"/>
    <cellStyle name="Calculation 26 5 5" xfId="27296"/>
    <cellStyle name="Calculation 26 5_Table 2A-1_EFT (Annual)" xfId="6565"/>
    <cellStyle name="Calculation 26 6" xfId="2011"/>
    <cellStyle name="Calculation 26 6 2" xfId="5572"/>
    <cellStyle name="Calculation 26 6 2 2" xfId="13787"/>
    <cellStyle name="Calculation 26 6 2 2 2" xfId="25775"/>
    <cellStyle name="Calculation 26 6 2 2 2 2" xfId="46961"/>
    <cellStyle name="Calculation 26 6 2 2 3" xfId="36357"/>
    <cellStyle name="Calculation 26 6 2 3" xfId="20662"/>
    <cellStyle name="Calculation 26 6 2 3 2" xfId="41849"/>
    <cellStyle name="Calculation 26 6 2 4" xfId="31229"/>
    <cellStyle name="Calculation 26 6 2_Table 2A-1_EFT (Annual)" xfId="12037"/>
    <cellStyle name="Calculation 26 6 3" xfId="11131"/>
    <cellStyle name="Calculation 26 6 3 2" xfId="23229"/>
    <cellStyle name="Calculation 26 6 3 2 2" xfId="44415"/>
    <cellStyle name="Calculation 26 6 3 3" xfId="33811"/>
    <cellStyle name="Calculation 26 6 4" xfId="18116"/>
    <cellStyle name="Calculation 26 6 4 2" xfId="39303"/>
    <cellStyle name="Calculation 26 6 5" xfId="28486"/>
    <cellStyle name="Calculation 26 6_Table 2A-1_EFT (Annual)" xfId="6566"/>
    <cellStyle name="Calculation 26 7" xfId="3815"/>
    <cellStyle name="Calculation 26 7 2" xfId="12181"/>
    <cellStyle name="Calculation 26 7 2 2" xfId="24211"/>
    <cellStyle name="Calculation 26 7 2 2 2" xfId="45397"/>
    <cellStyle name="Calculation 26 7 2 3" xfId="34793"/>
    <cellStyle name="Calculation 26 7 3" xfId="19098"/>
    <cellStyle name="Calculation 26 7 3 2" xfId="40285"/>
    <cellStyle name="Calculation 26 7 4" xfId="29524"/>
    <cellStyle name="Calculation 26 7_Table 2A-1_EFT (Annual)" xfId="10894"/>
    <cellStyle name="Calculation 26 8" xfId="9500"/>
    <cellStyle name="Calculation 26 8 2" xfId="21665"/>
    <cellStyle name="Calculation 26 8 2 2" xfId="42851"/>
    <cellStyle name="Calculation 26 8 3" xfId="32247"/>
    <cellStyle name="Calculation 26 9" xfId="16552"/>
    <cellStyle name="Calculation 26 9 2" xfId="37739"/>
    <cellStyle name="Calculation 26_Table 2A-1_EFT (Annual)" xfId="2942"/>
    <cellStyle name="Calculation 27" xfId="222"/>
    <cellStyle name="Calculation 27 10" xfId="26777"/>
    <cellStyle name="Calculation 27 2" xfId="615"/>
    <cellStyle name="Calculation 27 2 2" xfId="1592"/>
    <cellStyle name="Calculation 27 2 2 2" xfId="2862"/>
    <cellStyle name="Calculation 27 2 2 2 2" xfId="6423"/>
    <cellStyle name="Calculation 27 2 2 2 2 2" xfId="14617"/>
    <cellStyle name="Calculation 27 2 2 2 2 2 2" xfId="26589"/>
    <cellStyle name="Calculation 27 2 2 2 2 2 2 2" xfId="47775"/>
    <cellStyle name="Calculation 27 2 2 2 2 2 3" xfId="37171"/>
    <cellStyle name="Calculation 27 2 2 2 2 3" xfId="21476"/>
    <cellStyle name="Calculation 27 2 2 2 2 3 2" xfId="42663"/>
    <cellStyle name="Calculation 27 2 2 2 2 4" xfId="32079"/>
    <cellStyle name="Calculation 27 2 2 2 2_Table 2A-1_EFT (Annual)" xfId="10829"/>
    <cellStyle name="Calculation 27 2 2 2 3" xfId="11959"/>
    <cellStyle name="Calculation 27 2 2 2 3 2" xfId="24043"/>
    <cellStyle name="Calculation 27 2 2 2 3 2 2" xfId="45229"/>
    <cellStyle name="Calculation 27 2 2 2 3 3" xfId="34625"/>
    <cellStyle name="Calculation 27 2 2 2 4" xfId="18930"/>
    <cellStyle name="Calculation 27 2 2 2 4 2" xfId="40117"/>
    <cellStyle name="Calculation 27 2 2 2 5" xfId="29336"/>
    <cellStyle name="Calculation 27 2 2 2_Table 2A-1_EFT (Annual)" xfId="6568"/>
    <cellStyle name="Calculation 27 2 2 3" xfId="5153"/>
    <cellStyle name="Calculation 27 2 2 3 2" xfId="13413"/>
    <cellStyle name="Calculation 27 2 2 3 2 2" xfId="25419"/>
    <cellStyle name="Calculation 27 2 2 3 2 2 2" xfId="46605"/>
    <cellStyle name="Calculation 27 2 2 3 2 3" xfId="36001"/>
    <cellStyle name="Calculation 27 2 2 3 3" xfId="20306"/>
    <cellStyle name="Calculation 27 2 2 3 3 2" xfId="41493"/>
    <cellStyle name="Calculation 27 2 2 3 4" xfId="30810"/>
    <cellStyle name="Calculation 27 2 2 3_Table 2A-1_EFT (Annual)" xfId="12682"/>
    <cellStyle name="Calculation 27 2 2 4" xfId="10757"/>
    <cellStyle name="Calculation 27 2 2 4 2" xfId="22873"/>
    <cellStyle name="Calculation 27 2 2 4 2 2" xfId="44059"/>
    <cellStyle name="Calculation 27 2 2 4 3" xfId="33455"/>
    <cellStyle name="Calculation 27 2 2 5" xfId="17760"/>
    <cellStyle name="Calculation 27 2 2 5 2" xfId="38947"/>
    <cellStyle name="Calculation 27 2 2 6" xfId="28067"/>
    <cellStyle name="Calculation 27 2 2_Table 2A-1_EFT (Annual)" xfId="6567"/>
    <cellStyle name="Calculation 27 2 3" xfId="1108"/>
    <cellStyle name="Calculation 27 2 3 2" xfId="4669"/>
    <cellStyle name="Calculation 27 2 3 2 2" xfId="12929"/>
    <cellStyle name="Calculation 27 2 3 2 2 2" xfId="24935"/>
    <cellStyle name="Calculation 27 2 3 2 2 2 2" xfId="46121"/>
    <cellStyle name="Calculation 27 2 3 2 2 3" xfId="35517"/>
    <cellStyle name="Calculation 27 2 3 2 3" xfId="19822"/>
    <cellStyle name="Calculation 27 2 3 2 3 2" xfId="41009"/>
    <cellStyle name="Calculation 27 2 3 2 4" xfId="30326"/>
    <cellStyle name="Calculation 27 2 3 2_Table 2A-1_EFT (Annual)" xfId="11491"/>
    <cellStyle name="Calculation 27 2 3 3" xfId="10273"/>
    <cellStyle name="Calculation 27 2 3 3 2" xfId="22389"/>
    <cellStyle name="Calculation 27 2 3 3 2 2" xfId="43575"/>
    <cellStyle name="Calculation 27 2 3 3 3" xfId="32971"/>
    <cellStyle name="Calculation 27 2 3 4" xfId="17276"/>
    <cellStyle name="Calculation 27 2 3 4 2" xfId="38463"/>
    <cellStyle name="Calculation 27 2 3 5" xfId="27583"/>
    <cellStyle name="Calculation 27 2 3_Table 2A-1_EFT (Annual)" xfId="6569"/>
    <cellStyle name="Calculation 27 2 4" xfId="2331"/>
    <cellStyle name="Calculation 27 2 4 2" xfId="5892"/>
    <cellStyle name="Calculation 27 2 4 2 2" xfId="14107"/>
    <cellStyle name="Calculation 27 2 4 2 2 2" xfId="26095"/>
    <cellStyle name="Calculation 27 2 4 2 2 2 2" xfId="47281"/>
    <cellStyle name="Calculation 27 2 4 2 2 3" xfId="36677"/>
    <cellStyle name="Calculation 27 2 4 2 3" xfId="20982"/>
    <cellStyle name="Calculation 27 2 4 2 3 2" xfId="42169"/>
    <cellStyle name="Calculation 27 2 4 2 4" xfId="31549"/>
    <cellStyle name="Calculation 27 2 4 2_Table 2A-1_EFT (Annual)" xfId="12034"/>
    <cellStyle name="Calculation 27 2 4 3" xfId="11451"/>
    <cellStyle name="Calculation 27 2 4 3 2" xfId="23549"/>
    <cellStyle name="Calculation 27 2 4 3 2 2" xfId="44735"/>
    <cellStyle name="Calculation 27 2 4 3 3" xfId="34131"/>
    <cellStyle name="Calculation 27 2 4 4" xfId="18436"/>
    <cellStyle name="Calculation 27 2 4 4 2" xfId="39623"/>
    <cellStyle name="Calculation 27 2 4 5" xfId="28806"/>
    <cellStyle name="Calculation 27 2 4_Table 2A-1_EFT (Annual)" xfId="6570"/>
    <cellStyle name="Calculation 27 2 5" xfId="4185"/>
    <cellStyle name="Calculation 27 2 5 2" xfId="12509"/>
    <cellStyle name="Calculation 27 2 5 2 2" xfId="24531"/>
    <cellStyle name="Calculation 27 2 5 2 2 2" xfId="45717"/>
    <cellStyle name="Calculation 27 2 5 2 3" xfId="35113"/>
    <cellStyle name="Calculation 27 2 5 3" xfId="19418"/>
    <cellStyle name="Calculation 27 2 5 3 2" xfId="40605"/>
    <cellStyle name="Calculation 27 2 5 4" xfId="29873"/>
    <cellStyle name="Calculation 27 2 5_Table 2A-1_EFT (Annual)" xfId="12036"/>
    <cellStyle name="Calculation 27 2 6" xfId="9848"/>
    <cellStyle name="Calculation 27 2 6 2" xfId="21985"/>
    <cellStyle name="Calculation 27 2 6 2 2" xfId="43171"/>
    <cellStyle name="Calculation 27 2 6 3" xfId="32567"/>
    <cellStyle name="Calculation 27 2 7" xfId="16872"/>
    <cellStyle name="Calculation 27 2 7 2" xfId="38059"/>
    <cellStyle name="Calculation 27 2 8" xfId="27130"/>
    <cellStyle name="Calculation 27 2_Table 2A-1_EFT (Annual)" xfId="2946"/>
    <cellStyle name="Calculation 27 3" xfId="449"/>
    <cellStyle name="Calculation 27 3 2" xfId="1432"/>
    <cellStyle name="Calculation 27 3 2 2" xfId="2702"/>
    <cellStyle name="Calculation 27 3 2 2 2" xfId="6263"/>
    <cellStyle name="Calculation 27 3 2 2 2 2" xfId="14457"/>
    <cellStyle name="Calculation 27 3 2 2 2 2 2" xfId="26429"/>
    <cellStyle name="Calculation 27 3 2 2 2 2 2 2" xfId="47615"/>
    <cellStyle name="Calculation 27 3 2 2 2 2 3" xfId="37011"/>
    <cellStyle name="Calculation 27 3 2 2 2 3" xfId="21316"/>
    <cellStyle name="Calculation 27 3 2 2 2 3 2" xfId="42503"/>
    <cellStyle name="Calculation 27 3 2 2 2 4" xfId="31919"/>
    <cellStyle name="Calculation 27 3 2 2 2_Table 2A-1_EFT (Annual)" xfId="12035"/>
    <cellStyle name="Calculation 27 3 2 2 3" xfId="11799"/>
    <cellStyle name="Calculation 27 3 2 2 3 2" xfId="23883"/>
    <cellStyle name="Calculation 27 3 2 2 3 2 2" xfId="45069"/>
    <cellStyle name="Calculation 27 3 2 2 3 3" xfId="34465"/>
    <cellStyle name="Calculation 27 3 2 2 4" xfId="18770"/>
    <cellStyle name="Calculation 27 3 2 2 4 2" xfId="39957"/>
    <cellStyle name="Calculation 27 3 2 2 5" xfId="29176"/>
    <cellStyle name="Calculation 27 3 2 2_Table 2A-1_EFT (Annual)" xfId="6572"/>
    <cellStyle name="Calculation 27 3 2 3" xfId="4993"/>
    <cellStyle name="Calculation 27 3 2 3 2" xfId="13253"/>
    <cellStyle name="Calculation 27 3 2 3 2 2" xfId="25259"/>
    <cellStyle name="Calculation 27 3 2 3 2 2 2" xfId="46445"/>
    <cellStyle name="Calculation 27 3 2 3 2 3" xfId="35841"/>
    <cellStyle name="Calculation 27 3 2 3 3" xfId="20146"/>
    <cellStyle name="Calculation 27 3 2 3 3 2" xfId="41333"/>
    <cellStyle name="Calculation 27 3 2 3 4" xfId="30650"/>
    <cellStyle name="Calculation 27 3 2 3_Table 2A-1_EFT (Annual)" xfId="11486"/>
    <cellStyle name="Calculation 27 3 2 4" xfId="10597"/>
    <cellStyle name="Calculation 27 3 2 4 2" xfId="22713"/>
    <cellStyle name="Calculation 27 3 2 4 2 2" xfId="43899"/>
    <cellStyle name="Calculation 27 3 2 4 3" xfId="33295"/>
    <cellStyle name="Calculation 27 3 2 5" xfId="17600"/>
    <cellStyle name="Calculation 27 3 2 5 2" xfId="38787"/>
    <cellStyle name="Calculation 27 3 2 6" xfId="27907"/>
    <cellStyle name="Calculation 27 3 2_Table 2A-1_EFT (Annual)" xfId="6571"/>
    <cellStyle name="Calculation 27 3 3" xfId="973"/>
    <cellStyle name="Calculation 27 3 3 2" xfId="4534"/>
    <cellStyle name="Calculation 27 3 3 2 2" xfId="12796"/>
    <cellStyle name="Calculation 27 3 3 2 2 2" xfId="24806"/>
    <cellStyle name="Calculation 27 3 3 2 2 2 2" xfId="45992"/>
    <cellStyle name="Calculation 27 3 3 2 2 3" xfId="35388"/>
    <cellStyle name="Calculation 27 3 3 2 3" xfId="19693"/>
    <cellStyle name="Calculation 27 3 3 2 3 2" xfId="40880"/>
    <cellStyle name="Calculation 27 3 3 2 4" xfId="30191"/>
    <cellStyle name="Calculation 27 3 3 2_Table 2A-1_EFT (Annual)" xfId="12236"/>
    <cellStyle name="Calculation 27 3 3 3" xfId="10143"/>
    <cellStyle name="Calculation 27 3 3 3 2" xfId="22260"/>
    <cellStyle name="Calculation 27 3 3 3 2 2" xfId="43446"/>
    <cellStyle name="Calculation 27 3 3 3 3" xfId="32842"/>
    <cellStyle name="Calculation 27 3 3 4" xfId="17147"/>
    <cellStyle name="Calculation 27 3 3 4 2" xfId="38334"/>
    <cellStyle name="Calculation 27 3 3 5" xfId="27448"/>
    <cellStyle name="Calculation 27 3 3_Table 2A-1_EFT (Annual)" xfId="6573"/>
    <cellStyle name="Calculation 27 3 4" xfId="2171"/>
    <cellStyle name="Calculation 27 3 4 2" xfId="5732"/>
    <cellStyle name="Calculation 27 3 4 2 2" xfId="13947"/>
    <cellStyle name="Calculation 27 3 4 2 2 2" xfId="25935"/>
    <cellStyle name="Calculation 27 3 4 2 2 2 2" xfId="47121"/>
    <cellStyle name="Calculation 27 3 4 2 2 3" xfId="36517"/>
    <cellStyle name="Calculation 27 3 4 2 3" xfId="20822"/>
    <cellStyle name="Calculation 27 3 4 2 3 2" xfId="42009"/>
    <cellStyle name="Calculation 27 3 4 2 4" xfId="31389"/>
    <cellStyle name="Calculation 27 3 4 2_Table 2A-1_EFT (Annual)" xfId="10837"/>
    <cellStyle name="Calculation 27 3 4 3" xfId="11291"/>
    <cellStyle name="Calculation 27 3 4 3 2" xfId="23389"/>
    <cellStyle name="Calculation 27 3 4 3 2 2" xfId="44575"/>
    <cellStyle name="Calculation 27 3 4 3 3" xfId="33971"/>
    <cellStyle name="Calculation 27 3 4 4" xfId="18276"/>
    <cellStyle name="Calculation 27 3 4 4 2" xfId="39463"/>
    <cellStyle name="Calculation 27 3 4 5" xfId="28646"/>
    <cellStyle name="Calculation 27 3 4_Table 2A-1_EFT (Annual)" xfId="6574"/>
    <cellStyle name="Calculation 27 3 5" xfId="4019"/>
    <cellStyle name="Calculation 27 3 5 2" xfId="12347"/>
    <cellStyle name="Calculation 27 3 5 2 2" xfId="24371"/>
    <cellStyle name="Calculation 27 3 5 2 2 2" xfId="45557"/>
    <cellStyle name="Calculation 27 3 5 2 3" xfId="34953"/>
    <cellStyle name="Calculation 27 3 5 3" xfId="19258"/>
    <cellStyle name="Calculation 27 3 5 3 2" xfId="40445"/>
    <cellStyle name="Calculation 27 3 5 4" xfId="29707"/>
    <cellStyle name="Calculation 27 3 5_Table 2A-1_EFT (Annual)" xfId="12704"/>
    <cellStyle name="Calculation 27 3 6" xfId="9684"/>
    <cellStyle name="Calculation 27 3 6 2" xfId="21825"/>
    <cellStyle name="Calculation 27 3 6 2 2" xfId="43011"/>
    <cellStyle name="Calculation 27 3 6 3" xfId="32407"/>
    <cellStyle name="Calculation 27 3 7" xfId="16712"/>
    <cellStyle name="Calculation 27 3 7 2" xfId="37899"/>
    <cellStyle name="Calculation 27 3 8" xfId="26964"/>
    <cellStyle name="Calculation 27 3_Table 2A-1_EFT (Annual)" xfId="2947"/>
    <cellStyle name="Calculation 27 4" xfId="1270"/>
    <cellStyle name="Calculation 27 4 2" xfId="2540"/>
    <cellStyle name="Calculation 27 4 2 2" xfId="6101"/>
    <cellStyle name="Calculation 27 4 2 2 2" xfId="14295"/>
    <cellStyle name="Calculation 27 4 2 2 2 2" xfId="26267"/>
    <cellStyle name="Calculation 27 4 2 2 2 2 2" xfId="47453"/>
    <cellStyle name="Calculation 27 4 2 2 2 3" xfId="36849"/>
    <cellStyle name="Calculation 27 4 2 2 3" xfId="21154"/>
    <cellStyle name="Calculation 27 4 2 2 3 2" xfId="42341"/>
    <cellStyle name="Calculation 27 4 2 2 4" xfId="31757"/>
    <cellStyle name="Calculation 27 4 2 2_Table 2A-1_EFT (Annual)" xfId="10051"/>
    <cellStyle name="Calculation 27 4 2 3" xfId="11637"/>
    <cellStyle name="Calculation 27 4 2 3 2" xfId="23721"/>
    <cellStyle name="Calculation 27 4 2 3 2 2" xfId="44907"/>
    <cellStyle name="Calculation 27 4 2 3 3" xfId="34303"/>
    <cellStyle name="Calculation 27 4 2 4" xfId="18608"/>
    <cellStyle name="Calculation 27 4 2 4 2" xfId="39795"/>
    <cellStyle name="Calculation 27 4 2 5" xfId="29014"/>
    <cellStyle name="Calculation 27 4 2_Table 2A-1_EFT (Annual)" xfId="6576"/>
    <cellStyle name="Calculation 27 4 3" xfId="4831"/>
    <cellStyle name="Calculation 27 4 3 2" xfId="13091"/>
    <cellStyle name="Calculation 27 4 3 2 2" xfId="25097"/>
    <cellStyle name="Calculation 27 4 3 2 2 2" xfId="46283"/>
    <cellStyle name="Calculation 27 4 3 2 3" xfId="35679"/>
    <cellStyle name="Calculation 27 4 3 3" xfId="19984"/>
    <cellStyle name="Calculation 27 4 3 3 2" xfId="41171"/>
    <cellStyle name="Calculation 27 4 3 4" xfId="30488"/>
    <cellStyle name="Calculation 27 4 3_Table 2A-1_EFT (Annual)" xfId="9382"/>
    <cellStyle name="Calculation 27 4 4" xfId="10435"/>
    <cellStyle name="Calculation 27 4 4 2" xfId="22551"/>
    <cellStyle name="Calculation 27 4 4 2 2" xfId="43737"/>
    <cellStyle name="Calculation 27 4 4 3" xfId="33133"/>
    <cellStyle name="Calculation 27 4 5" xfId="17438"/>
    <cellStyle name="Calculation 27 4 5 2" xfId="38625"/>
    <cellStyle name="Calculation 27 4 6" xfId="27745"/>
    <cellStyle name="Calculation 27 4_Table 2A-1_EFT (Annual)" xfId="6575"/>
    <cellStyle name="Calculation 27 5" xfId="817"/>
    <cellStyle name="Calculation 27 5 2" xfId="4378"/>
    <cellStyle name="Calculation 27 5 2 2" xfId="12658"/>
    <cellStyle name="Calculation 27 5 2 2 2" xfId="24675"/>
    <cellStyle name="Calculation 27 5 2 2 2 2" xfId="45861"/>
    <cellStyle name="Calculation 27 5 2 2 3" xfId="35257"/>
    <cellStyle name="Calculation 27 5 2 3" xfId="19562"/>
    <cellStyle name="Calculation 27 5 2 3 2" xfId="40749"/>
    <cellStyle name="Calculation 27 5 2 4" xfId="30035"/>
    <cellStyle name="Calculation 27 5 2_Table 2A-1_EFT (Annual)" xfId="12026"/>
    <cellStyle name="Calculation 27 5 3" xfId="10006"/>
    <cellStyle name="Calculation 27 5 3 2" xfId="22129"/>
    <cellStyle name="Calculation 27 5 3 2 2" xfId="43315"/>
    <cellStyle name="Calculation 27 5 3 3" xfId="32711"/>
    <cellStyle name="Calculation 27 5 4" xfId="17016"/>
    <cellStyle name="Calculation 27 5 4 2" xfId="38203"/>
    <cellStyle name="Calculation 27 5 5" xfId="27292"/>
    <cellStyle name="Calculation 27 5_Table 2A-1_EFT (Annual)" xfId="6577"/>
    <cellStyle name="Calculation 27 6" xfId="2009"/>
    <cellStyle name="Calculation 27 6 2" xfId="5570"/>
    <cellStyle name="Calculation 27 6 2 2" xfId="13785"/>
    <cellStyle name="Calculation 27 6 2 2 2" xfId="25773"/>
    <cellStyle name="Calculation 27 6 2 2 2 2" xfId="46959"/>
    <cellStyle name="Calculation 27 6 2 2 3" xfId="36355"/>
    <cellStyle name="Calculation 27 6 2 3" xfId="20660"/>
    <cellStyle name="Calculation 27 6 2 3 2" xfId="41847"/>
    <cellStyle name="Calculation 27 6 2 4" xfId="31227"/>
    <cellStyle name="Calculation 27 6 2_Table 2A-1_EFT (Annual)" xfId="13446"/>
    <cellStyle name="Calculation 27 6 3" xfId="11129"/>
    <cellStyle name="Calculation 27 6 3 2" xfId="23227"/>
    <cellStyle name="Calculation 27 6 3 2 2" xfId="44413"/>
    <cellStyle name="Calculation 27 6 3 3" xfId="33809"/>
    <cellStyle name="Calculation 27 6 4" xfId="18114"/>
    <cellStyle name="Calculation 27 6 4 2" xfId="39301"/>
    <cellStyle name="Calculation 27 6 5" xfId="28484"/>
    <cellStyle name="Calculation 27 6_Table 2A-1_EFT (Annual)" xfId="6578"/>
    <cellStyle name="Calculation 27 7" xfId="3811"/>
    <cellStyle name="Calculation 27 7 2" xfId="12179"/>
    <cellStyle name="Calculation 27 7 2 2" xfId="24209"/>
    <cellStyle name="Calculation 27 7 2 2 2" xfId="45395"/>
    <cellStyle name="Calculation 27 7 2 3" xfId="34791"/>
    <cellStyle name="Calculation 27 7 3" xfId="19096"/>
    <cellStyle name="Calculation 27 7 3 2" xfId="40283"/>
    <cellStyle name="Calculation 27 7 4" xfId="29520"/>
    <cellStyle name="Calculation 27 7_Table 2A-1_EFT (Annual)" xfId="12033"/>
    <cellStyle name="Calculation 27 8" xfId="9498"/>
    <cellStyle name="Calculation 27 8 2" xfId="21663"/>
    <cellStyle name="Calculation 27 8 2 2" xfId="42849"/>
    <cellStyle name="Calculation 27 8 3" xfId="32245"/>
    <cellStyle name="Calculation 27 9" xfId="16550"/>
    <cellStyle name="Calculation 27 9 2" xfId="37737"/>
    <cellStyle name="Calculation 27_Table 2A-1_EFT (Annual)" xfId="2945"/>
    <cellStyle name="Calculation 28" xfId="217"/>
    <cellStyle name="Calculation 28 10" xfId="26772"/>
    <cellStyle name="Calculation 28 2" xfId="610"/>
    <cellStyle name="Calculation 28 2 2" xfId="1587"/>
    <cellStyle name="Calculation 28 2 2 2" xfId="2857"/>
    <cellStyle name="Calculation 28 2 2 2 2" xfId="6418"/>
    <cellStyle name="Calculation 28 2 2 2 2 2" xfId="14612"/>
    <cellStyle name="Calculation 28 2 2 2 2 2 2" xfId="26584"/>
    <cellStyle name="Calculation 28 2 2 2 2 2 2 2" xfId="47770"/>
    <cellStyle name="Calculation 28 2 2 2 2 2 3" xfId="37166"/>
    <cellStyle name="Calculation 28 2 2 2 2 3" xfId="21471"/>
    <cellStyle name="Calculation 28 2 2 2 2 3 2" xfId="42658"/>
    <cellStyle name="Calculation 28 2 2 2 2 4" xfId="32074"/>
    <cellStyle name="Calculation 28 2 2 2 2_Table 2A-1_EFT (Annual)" xfId="12030"/>
    <cellStyle name="Calculation 28 2 2 2 3" xfId="11954"/>
    <cellStyle name="Calculation 28 2 2 2 3 2" xfId="24038"/>
    <cellStyle name="Calculation 28 2 2 2 3 2 2" xfId="45224"/>
    <cellStyle name="Calculation 28 2 2 2 3 3" xfId="34620"/>
    <cellStyle name="Calculation 28 2 2 2 4" xfId="18925"/>
    <cellStyle name="Calculation 28 2 2 2 4 2" xfId="40112"/>
    <cellStyle name="Calculation 28 2 2 2 5" xfId="29331"/>
    <cellStyle name="Calculation 28 2 2 2_Table 2A-1_EFT (Annual)" xfId="6580"/>
    <cellStyle name="Calculation 28 2 2 3" xfId="5148"/>
    <cellStyle name="Calculation 28 2 2 3 2" xfId="13408"/>
    <cellStyle name="Calculation 28 2 2 3 2 2" xfId="25414"/>
    <cellStyle name="Calculation 28 2 2 3 2 2 2" xfId="46600"/>
    <cellStyle name="Calculation 28 2 2 3 2 3" xfId="35996"/>
    <cellStyle name="Calculation 28 2 2 3 3" xfId="20301"/>
    <cellStyle name="Calculation 28 2 2 3 3 2" xfId="41488"/>
    <cellStyle name="Calculation 28 2 2 3 4" xfId="30805"/>
    <cellStyle name="Calculation 28 2 2 3_Table 2A-1_EFT (Annual)" xfId="12032"/>
    <cellStyle name="Calculation 28 2 2 4" xfId="10752"/>
    <cellStyle name="Calculation 28 2 2 4 2" xfId="22868"/>
    <cellStyle name="Calculation 28 2 2 4 2 2" xfId="44054"/>
    <cellStyle name="Calculation 28 2 2 4 3" xfId="33450"/>
    <cellStyle name="Calculation 28 2 2 5" xfId="17755"/>
    <cellStyle name="Calculation 28 2 2 5 2" xfId="38942"/>
    <cellStyle name="Calculation 28 2 2 6" xfId="28062"/>
    <cellStyle name="Calculation 28 2 2_Table 2A-1_EFT (Annual)" xfId="6579"/>
    <cellStyle name="Calculation 28 2 3" xfId="1105"/>
    <cellStyle name="Calculation 28 2 3 2" xfId="4666"/>
    <cellStyle name="Calculation 28 2 3 2 2" xfId="12926"/>
    <cellStyle name="Calculation 28 2 3 2 2 2" xfId="24932"/>
    <cellStyle name="Calculation 28 2 3 2 2 2 2" xfId="46118"/>
    <cellStyle name="Calculation 28 2 3 2 2 3" xfId="35514"/>
    <cellStyle name="Calculation 28 2 3 2 3" xfId="19819"/>
    <cellStyle name="Calculation 28 2 3 2 3 2" xfId="41006"/>
    <cellStyle name="Calculation 28 2 3 2 4" xfId="30323"/>
    <cellStyle name="Calculation 28 2 3 2_Table 2A-1_EFT (Annual)" xfId="12031"/>
    <cellStyle name="Calculation 28 2 3 3" xfId="10270"/>
    <cellStyle name="Calculation 28 2 3 3 2" xfId="22386"/>
    <cellStyle name="Calculation 28 2 3 3 2 2" xfId="43572"/>
    <cellStyle name="Calculation 28 2 3 3 3" xfId="32968"/>
    <cellStyle name="Calculation 28 2 3 4" xfId="17273"/>
    <cellStyle name="Calculation 28 2 3 4 2" xfId="38460"/>
    <cellStyle name="Calculation 28 2 3 5" xfId="27580"/>
    <cellStyle name="Calculation 28 2 3_Table 2A-1_EFT (Annual)" xfId="6581"/>
    <cellStyle name="Calculation 28 2 4" xfId="2326"/>
    <cellStyle name="Calculation 28 2 4 2" xfId="5887"/>
    <cellStyle name="Calculation 28 2 4 2 2" xfId="14102"/>
    <cellStyle name="Calculation 28 2 4 2 2 2" xfId="26090"/>
    <cellStyle name="Calculation 28 2 4 2 2 2 2" xfId="47276"/>
    <cellStyle name="Calculation 28 2 4 2 2 3" xfId="36672"/>
    <cellStyle name="Calculation 28 2 4 2 3" xfId="20977"/>
    <cellStyle name="Calculation 28 2 4 2 3 2" xfId="42164"/>
    <cellStyle name="Calculation 28 2 4 2 4" xfId="31544"/>
    <cellStyle name="Calculation 28 2 4 2_Table 2A-1_EFT (Annual)" xfId="14148"/>
    <cellStyle name="Calculation 28 2 4 3" xfId="11446"/>
    <cellStyle name="Calculation 28 2 4 3 2" xfId="23544"/>
    <cellStyle name="Calculation 28 2 4 3 2 2" xfId="44730"/>
    <cellStyle name="Calculation 28 2 4 3 3" xfId="34126"/>
    <cellStyle name="Calculation 28 2 4 4" xfId="18431"/>
    <cellStyle name="Calculation 28 2 4 4 2" xfId="39618"/>
    <cellStyle name="Calculation 28 2 4 5" xfId="28801"/>
    <cellStyle name="Calculation 28 2 4_Table 2A-1_EFT (Annual)" xfId="6582"/>
    <cellStyle name="Calculation 28 2 5" xfId="4180"/>
    <cellStyle name="Calculation 28 2 5 2" xfId="12504"/>
    <cellStyle name="Calculation 28 2 5 2 2" xfId="24526"/>
    <cellStyle name="Calculation 28 2 5 2 2 2" xfId="45712"/>
    <cellStyle name="Calculation 28 2 5 2 3" xfId="35108"/>
    <cellStyle name="Calculation 28 2 5 3" xfId="19413"/>
    <cellStyle name="Calculation 28 2 5 3 2" xfId="40600"/>
    <cellStyle name="Calculation 28 2 5 4" xfId="29868"/>
    <cellStyle name="Calculation 28 2 5_Table 2A-1_EFT (Annual)" xfId="10032"/>
    <cellStyle name="Calculation 28 2 6" xfId="9843"/>
    <cellStyle name="Calculation 28 2 6 2" xfId="21980"/>
    <cellStyle name="Calculation 28 2 6 2 2" xfId="43166"/>
    <cellStyle name="Calculation 28 2 6 3" xfId="32562"/>
    <cellStyle name="Calculation 28 2 7" xfId="16867"/>
    <cellStyle name="Calculation 28 2 7 2" xfId="38054"/>
    <cellStyle name="Calculation 28 2 8" xfId="27125"/>
    <cellStyle name="Calculation 28 2_Table 2A-1_EFT (Annual)" xfId="2949"/>
    <cellStyle name="Calculation 28 3" xfId="445"/>
    <cellStyle name="Calculation 28 3 2" xfId="1428"/>
    <cellStyle name="Calculation 28 3 2 2" xfId="2698"/>
    <cellStyle name="Calculation 28 3 2 2 2" xfId="6259"/>
    <cellStyle name="Calculation 28 3 2 2 2 2" xfId="14453"/>
    <cellStyle name="Calculation 28 3 2 2 2 2 2" xfId="26425"/>
    <cellStyle name="Calculation 28 3 2 2 2 2 2 2" xfId="47611"/>
    <cellStyle name="Calculation 28 3 2 2 2 2 3" xfId="37007"/>
    <cellStyle name="Calculation 28 3 2 2 2 3" xfId="21312"/>
    <cellStyle name="Calculation 28 3 2 2 2 3 2" xfId="42499"/>
    <cellStyle name="Calculation 28 3 2 2 2 4" xfId="31915"/>
    <cellStyle name="Calculation 28 3 2 2 2_Table 2A-1_EFT (Annual)" xfId="13477"/>
    <cellStyle name="Calculation 28 3 2 2 3" xfId="11795"/>
    <cellStyle name="Calculation 28 3 2 2 3 2" xfId="23879"/>
    <cellStyle name="Calculation 28 3 2 2 3 2 2" xfId="45065"/>
    <cellStyle name="Calculation 28 3 2 2 3 3" xfId="34461"/>
    <cellStyle name="Calculation 28 3 2 2 4" xfId="18766"/>
    <cellStyle name="Calculation 28 3 2 2 4 2" xfId="39953"/>
    <cellStyle name="Calculation 28 3 2 2 5" xfId="29172"/>
    <cellStyle name="Calculation 28 3 2 2_Table 2A-1_EFT (Annual)" xfId="6584"/>
    <cellStyle name="Calculation 28 3 2 3" xfId="4989"/>
    <cellStyle name="Calculation 28 3 2 3 2" xfId="13249"/>
    <cellStyle name="Calculation 28 3 2 3 2 2" xfId="25255"/>
    <cellStyle name="Calculation 28 3 2 3 2 2 2" xfId="46441"/>
    <cellStyle name="Calculation 28 3 2 3 2 3" xfId="35837"/>
    <cellStyle name="Calculation 28 3 2 3 3" xfId="20142"/>
    <cellStyle name="Calculation 28 3 2 3 3 2" xfId="41329"/>
    <cellStyle name="Calculation 28 3 2 3 4" xfId="30646"/>
    <cellStyle name="Calculation 28 3 2 3_Table 2A-1_EFT (Annual)" xfId="12029"/>
    <cellStyle name="Calculation 28 3 2 4" xfId="10593"/>
    <cellStyle name="Calculation 28 3 2 4 2" xfId="22709"/>
    <cellStyle name="Calculation 28 3 2 4 2 2" xfId="43895"/>
    <cellStyle name="Calculation 28 3 2 4 3" xfId="33291"/>
    <cellStyle name="Calculation 28 3 2 5" xfId="17596"/>
    <cellStyle name="Calculation 28 3 2 5 2" xfId="38783"/>
    <cellStyle name="Calculation 28 3 2 6" xfId="27903"/>
    <cellStyle name="Calculation 28 3 2_Table 2A-1_EFT (Annual)" xfId="6583"/>
    <cellStyle name="Calculation 28 3 3" xfId="970"/>
    <cellStyle name="Calculation 28 3 3 2" xfId="4531"/>
    <cellStyle name="Calculation 28 3 3 2 2" xfId="12793"/>
    <cellStyle name="Calculation 28 3 3 2 2 2" xfId="24803"/>
    <cellStyle name="Calculation 28 3 3 2 2 2 2" xfId="45989"/>
    <cellStyle name="Calculation 28 3 3 2 2 3" xfId="35385"/>
    <cellStyle name="Calculation 28 3 3 2 3" xfId="19690"/>
    <cellStyle name="Calculation 28 3 3 2 3 2" xfId="40877"/>
    <cellStyle name="Calculation 28 3 3 2 4" xfId="30188"/>
    <cellStyle name="Calculation 28 3 3 2_Table 2A-1_EFT (Annual)" xfId="14144"/>
    <cellStyle name="Calculation 28 3 3 3" xfId="10140"/>
    <cellStyle name="Calculation 28 3 3 3 2" xfId="22257"/>
    <cellStyle name="Calculation 28 3 3 3 2 2" xfId="43443"/>
    <cellStyle name="Calculation 28 3 3 3 3" xfId="32839"/>
    <cellStyle name="Calculation 28 3 3 4" xfId="17144"/>
    <cellStyle name="Calculation 28 3 3 4 2" xfId="38331"/>
    <cellStyle name="Calculation 28 3 3 5" xfId="27445"/>
    <cellStyle name="Calculation 28 3 3_Table 2A-1_EFT (Annual)" xfId="6585"/>
    <cellStyle name="Calculation 28 3 4" xfId="2167"/>
    <cellStyle name="Calculation 28 3 4 2" xfId="5728"/>
    <cellStyle name="Calculation 28 3 4 2 2" xfId="13943"/>
    <cellStyle name="Calculation 28 3 4 2 2 2" xfId="25931"/>
    <cellStyle name="Calculation 28 3 4 2 2 2 2" xfId="47117"/>
    <cellStyle name="Calculation 28 3 4 2 2 3" xfId="36513"/>
    <cellStyle name="Calculation 28 3 4 2 3" xfId="20818"/>
    <cellStyle name="Calculation 28 3 4 2 3 2" xfId="42005"/>
    <cellStyle name="Calculation 28 3 4 2 4" xfId="31385"/>
    <cellStyle name="Calculation 28 3 4 2_Table 2A-1_EFT (Annual)" xfId="12027"/>
    <cellStyle name="Calculation 28 3 4 3" xfId="11287"/>
    <cellStyle name="Calculation 28 3 4 3 2" xfId="23385"/>
    <cellStyle name="Calculation 28 3 4 3 2 2" xfId="44571"/>
    <cellStyle name="Calculation 28 3 4 3 3" xfId="33967"/>
    <cellStyle name="Calculation 28 3 4 4" xfId="18272"/>
    <cellStyle name="Calculation 28 3 4 4 2" xfId="39459"/>
    <cellStyle name="Calculation 28 3 4 5" xfId="28642"/>
    <cellStyle name="Calculation 28 3 4_Table 2A-1_EFT (Annual)" xfId="6586"/>
    <cellStyle name="Calculation 28 3 5" xfId="4015"/>
    <cellStyle name="Calculation 28 3 5 2" xfId="12343"/>
    <cellStyle name="Calculation 28 3 5 2 2" xfId="24367"/>
    <cellStyle name="Calculation 28 3 5 2 2 2" xfId="45553"/>
    <cellStyle name="Calculation 28 3 5 2 3" xfId="34949"/>
    <cellStyle name="Calculation 28 3 5 3" xfId="19254"/>
    <cellStyle name="Calculation 28 3 5 3 2" xfId="40441"/>
    <cellStyle name="Calculation 28 3 5 4" xfId="29703"/>
    <cellStyle name="Calculation 28 3 5_Table 2A-1_EFT (Annual)" xfId="12028"/>
    <cellStyle name="Calculation 28 3 6" xfId="9680"/>
    <cellStyle name="Calculation 28 3 6 2" xfId="21821"/>
    <cellStyle name="Calculation 28 3 6 2 2" xfId="43007"/>
    <cellStyle name="Calculation 28 3 6 3" xfId="32403"/>
    <cellStyle name="Calculation 28 3 7" xfId="16708"/>
    <cellStyle name="Calculation 28 3 7 2" xfId="37895"/>
    <cellStyle name="Calculation 28 3 8" xfId="26960"/>
    <cellStyle name="Calculation 28 3_Table 2A-1_EFT (Annual)" xfId="2950"/>
    <cellStyle name="Calculation 28 4" xfId="1265"/>
    <cellStyle name="Calculation 28 4 2" xfId="2535"/>
    <cellStyle name="Calculation 28 4 2 2" xfId="6096"/>
    <cellStyle name="Calculation 28 4 2 2 2" xfId="14290"/>
    <cellStyle name="Calculation 28 4 2 2 2 2" xfId="26262"/>
    <cellStyle name="Calculation 28 4 2 2 2 2 2" xfId="47448"/>
    <cellStyle name="Calculation 28 4 2 2 2 3" xfId="36844"/>
    <cellStyle name="Calculation 28 4 2 2 3" xfId="21149"/>
    <cellStyle name="Calculation 28 4 2 2 3 2" xfId="42336"/>
    <cellStyle name="Calculation 28 4 2 2 4" xfId="31752"/>
    <cellStyle name="Calculation 28 4 2 2_Table 2A-1_EFT (Annual)" xfId="12798"/>
    <cellStyle name="Calculation 28 4 2 3" xfId="11632"/>
    <cellStyle name="Calculation 28 4 2 3 2" xfId="23716"/>
    <cellStyle name="Calculation 28 4 2 3 2 2" xfId="44902"/>
    <cellStyle name="Calculation 28 4 2 3 3" xfId="34298"/>
    <cellStyle name="Calculation 28 4 2 4" xfId="18603"/>
    <cellStyle name="Calculation 28 4 2 4 2" xfId="39790"/>
    <cellStyle name="Calculation 28 4 2 5" xfId="29009"/>
    <cellStyle name="Calculation 28 4 2_Table 2A-1_EFT (Annual)" xfId="6588"/>
    <cellStyle name="Calculation 28 4 3" xfId="4826"/>
    <cellStyle name="Calculation 28 4 3 2" xfId="13086"/>
    <cellStyle name="Calculation 28 4 3 2 2" xfId="25092"/>
    <cellStyle name="Calculation 28 4 3 2 2 2" xfId="46278"/>
    <cellStyle name="Calculation 28 4 3 2 3" xfId="35674"/>
    <cellStyle name="Calculation 28 4 3 3" xfId="19979"/>
    <cellStyle name="Calculation 28 4 3 3 2" xfId="41166"/>
    <cellStyle name="Calculation 28 4 3 4" xfId="30483"/>
    <cellStyle name="Calculation 28 4 3_Table 2A-1_EFT (Annual)" xfId="14154"/>
    <cellStyle name="Calculation 28 4 4" xfId="10430"/>
    <cellStyle name="Calculation 28 4 4 2" xfId="22546"/>
    <cellStyle name="Calculation 28 4 4 2 2" xfId="43732"/>
    <cellStyle name="Calculation 28 4 4 3" xfId="33128"/>
    <cellStyle name="Calculation 28 4 5" xfId="17433"/>
    <cellStyle name="Calculation 28 4 5 2" xfId="38620"/>
    <cellStyle name="Calculation 28 4 6" xfId="27740"/>
    <cellStyle name="Calculation 28 4_Table 2A-1_EFT (Annual)" xfId="6587"/>
    <cellStyle name="Calculation 28 5" xfId="814"/>
    <cellStyle name="Calculation 28 5 2" xfId="4375"/>
    <cellStyle name="Calculation 28 5 2 2" xfId="12655"/>
    <cellStyle name="Calculation 28 5 2 2 2" xfId="24672"/>
    <cellStyle name="Calculation 28 5 2 2 2 2" xfId="45858"/>
    <cellStyle name="Calculation 28 5 2 2 3" xfId="35254"/>
    <cellStyle name="Calculation 28 5 2 3" xfId="19559"/>
    <cellStyle name="Calculation 28 5 2 3 2" xfId="40746"/>
    <cellStyle name="Calculation 28 5 2 4" xfId="30032"/>
    <cellStyle name="Calculation 28 5 2_Table 2A-1_EFT (Annual)" xfId="9686"/>
    <cellStyle name="Calculation 28 5 3" xfId="10003"/>
    <cellStyle name="Calculation 28 5 3 2" xfId="22126"/>
    <cellStyle name="Calculation 28 5 3 2 2" xfId="43312"/>
    <cellStyle name="Calculation 28 5 3 3" xfId="32708"/>
    <cellStyle name="Calculation 28 5 4" xfId="17013"/>
    <cellStyle name="Calculation 28 5 4 2" xfId="38200"/>
    <cellStyle name="Calculation 28 5 5" xfId="27289"/>
    <cellStyle name="Calculation 28 5_Table 2A-1_EFT (Annual)" xfId="6589"/>
    <cellStyle name="Calculation 28 6" xfId="2004"/>
    <cellStyle name="Calculation 28 6 2" xfId="5565"/>
    <cellStyle name="Calculation 28 6 2 2" xfId="13780"/>
    <cellStyle name="Calculation 28 6 2 2 2" xfId="25768"/>
    <cellStyle name="Calculation 28 6 2 2 2 2" xfId="46954"/>
    <cellStyle name="Calculation 28 6 2 2 3" xfId="36350"/>
    <cellStyle name="Calculation 28 6 2 3" xfId="20655"/>
    <cellStyle name="Calculation 28 6 2 3 2" xfId="41842"/>
    <cellStyle name="Calculation 28 6 2 4" xfId="31222"/>
    <cellStyle name="Calculation 28 6 2_Table 2A-1_EFT (Annual)" xfId="12017"/>
    <cellStyle name="Calculation 28 6 3" xfId="11124"/>
    <cellStyle name="Calculation 28 6 3 2" xfId="23222"/>
    <cellStyle name="Calculation 28 6 3 2 2" xfId="44408"/>
    <cellStyle name="Calculation 28 6 3 3" xfId="33804"/>
    <cellStyle name="Calculation 28 6 4" xfId="18109"/>
    <cellStyle name="Calculation 28 6 4 2" xfId="39296"/>
    <cellStyle name="Calculation 28 6 5" xfId="28479"/>
    <cellStyle name="Calculation 28 6_Table 2A-1_EFT (Annual)" xfId="6590"/>
    <cellStyle name="Calculation 28 7" xfId="3806"/>
    <cellStyle name="Calculation 28 7 2" xfId="12174"/>
    <cellStyle name="Calculation 28 7 2 2" xfId="24204"/>
    <cellStyle name="Calculation 28 7 2 2 2" xfId="45390"/>
    <cellStyle name="Calculation 28 7 2 3" xfId="34786"/>
    <cellStyle name="Calculation 28 7 3" xfId="19091"/>
    <cellStyle name="Calculation 28 7 3 2" xfId="40278"/>
    <cellStyle name="Calculation 28 7 4" xfId="29515"/>
    <cellStyle name="Calculation 28 7_Table 2A-1_EFT (Annual)" xfId="12025"/>
    <cellStyle name="Calculation 28 8" xfId="9493"/>
    <cellStyle name="Calculation 28 8 2" xfId="21658"/>
    <cellStyle name="Calculation 28 8 2 2" xfId="42844"/>
    <cellStyle name="Calculation 28 8 3" xfId="32240"/>
    <cellStyle name="Calculation 28 9" xfId="16545"/>
    <cellStyle name="Calculation 28 9 2" xfId="37732"/>
    <cellStyle name="Calculation 28_Table 2A-1_EFT (Annual)" xfId="2948"/>
    <cellStyle name="Calculation 29" xfId="246"/>
    <cellStyle name="Calculation 29 10" xfId="26801"/>
    <cellStyle name="Calculation 29 2" xfId="633"/>
    <cellStyle name="Calculation 29 2 2" xfId="1610"/>
    <cellStyle name="Calculation 29 2 2 2" xfId="2880"/>
    <cellStyle name="Calculation 29 2 2 2 2" xfId="6441"/>
    <cellStyle name="Calculation 29 2 2 2 2 2" xfId="14635"/>
    <cellStyle name="Calculation 29 2 2 2 2 2 2" xfId="26607"/>
    <cellStyle name="Calculation 29 2 2 2 2 2 2 2" xfId="47793"/>
    <cellStyle name="Calculation 29 2 2 2 2 2 3" xfId="37189"/>
    <cellStyle name="Calculation 29 2 2 2 2 3" xfId="21494"/>
    <cellStyle name="Calculation 29 2 2 2 2 3 2" xfId="42681"/>
    <cellStyle name="Calculation 29 2 2 2 2 4" xfId="32097"/>
    <cellStyle name="Calculation 29 2 2 2 2_Table 2A-1_EFT (Annual)" xfId="13551"/>
    <cellStyle name="Calculation 29 2 2 2 3" xfId="11977"/>
    <cellStyle name="Calculation 29 2 2 2 3 2" xfId="24061"/>
    <cellStyle name="Calculation 29 2 2 2 3 2 2" xfId="45247"/>
    <cellStyle name="Calculation 29 2 2 2 3 3" xfId="34643"/>
    <cellStyle name="Calculation 29 2 2 2 4" xfId="18948"/>
    <cellStyle name="Calculation 29 2 2 2 4 2" xfId="40135"/>
    <cellStyle name="Calculation 29 2 2 2 5" xfId="29354"/>
    <cellStyle name="Calculation 29 2 2 2_Table 2A-1_EFT (Annual)" xfId="6592"/>
    <cellStyle name="Calculation 29 2 2 3" xfId="5171"/>
    <cellStyle name="Calculation 29 2 2 3 2" xfId="13431"/>
    <cellStyle name="Calculation 29 2 2 3 2 2" xfId="25437"/>
    <cellStyle name="Calculation 29 2 2 3 2 2 2" xfId="46623"/>
    <cellStyle name="Calculation 29 2 2 3 2 3" xfId="36019"/>
    <cellStyle name="Calculation 29 2 2 3 3" xfId="20324"/>
    <cellStyle name="Calculation 29 2 2 3 3 2" xfId="41511"/>
    <cellStyle name="Calculation 29 2 2 3 4" xfId="30828"/>
    <cellStyle name="Calculation 29 2 2 3_Table 2A-1_EFT (Annual)" xfId="9879"/>
    <cellStyle name="Calculation 29 2 2 4" xfId="10775"/>
    <cellStyle name="Calculation 29 2 2 4 2" xfId="22891"/>
    <cellStyle name="Calculation 29 2 2 4 2 2" xfId="44077"/>
    <cellStyle name="Calculation 29 2 2 4 3" xfId="33473"/>
    <cellStyle name="Calculation 29 2 2 5" xfId="17778"/>
    <cellStyle name="Calculation 29 2 2 5 2" xfId="38965"/>
    <cellStyle name="Calculation 29 2 2 6" xfId="28085"/>
    <cellStyle name="Calculation 29 2 2_Table 2A-1_EFT (Annual)" xfId="6591"/>
    <cellStyle name="Calculation 29 2 3" xfId="1123"/>
    <cellStyle name="Calculation 29 2 3 2" xfId="4684"/>
    <cellStyle name="Calculation 29 2 3 2 2" xfId="12944"/>
    <cellStyle name="Calculation 29 2 3 2 2 2" xfId="24950"/>
    <cellStyle name="Calculation 29 2 3 2 2 2 2" xfId="46136"/>
    <cellStyle name="Calculation 29 2 3 2 2 3" xfId="35532"/>
    <cellStyle name="Calculation 29 2 3 2 3" xfId="19837"/>
    <cellStyle name="Calculation 29 2 3 2 3 2" xfId="41024"/>
    <cellStyle name="Calculation 29 2 3 2 4" xfId="30341"/>
    <cellStyle name="Calculation 29 2 3 2_Table 2A-1_EFT (Annual)" xfId="12024"/>
    <cellStyle name="Calculation 29 2 3 3" xfId="10288"/>
    <cellStyle name="Calculation 29 2 3 3 2" xfId="22404"/>
    <cellStyle name="Calculation 29 2 3 3 2 2" xfId="43590"/>
    <cellStyle name="Calculation 29 2 3 3 3" xfId="32986"/>
    <cellStyle name="Calculation 29 2 3 4" xfId="17291"/>
    <cellStyle name="Calculation 29 2 3 4 2" xfId="38478"/>
    <cellStyle name="Calculation 29 2 3 5" xfId="27598"/>
    <cellStyle name="Calculation 29 2 3_Table 2A-1_EFT (Annual)" xfId="6593"/>
    <cellStyle name="Calculation 29 2 4" xfId="2349"/>
    <cellStyle name="Calculation 29 2 4 2" xfId="5910"/>
    <cellStyle name="Calculation 29 2 4 2 2" xfId="14125"/>
    <cellStyle name="Calculation 29 2 4 2 2 2" xfId="26113"/>
    <cellStyle name="Calculation 29 2 4 2 2 2 2" xfId="47299"/>
    <cellStyle name="Calculation 29 2 4 2 2 3" xfId="36695"/>
    <cellStyle name="Calculation 29 2 4 2 3" xfId="21000"/>
    <cellStyle name="Calculation 29 2 4 2 3 2" xfId="42187"/>
    <cellStyle name="Calculation 29 2 4 2 4" xfId="31567"/>
    <cellStyle name="Calculation 29 2 4 2_Table 2A-1_EFT (Annual)" xfId="12022"/>
    <cellStyle name="Calculation 29 2 4 3" xfId="11469"/>
    <cellStyle name="Calculation 29 2 4 3 2" xfId="23567"/>
    <cellStyle name="Calculation 29 2 4 3 2 2" xfId="44753"/>
    <cellStyle name="Calculation 29 2 4 3 3" xfId="34149"/>
    <cellStyle name="Calculation 29 2 4 4" xfId="18454"/>
    <cellStyle name="Calculation 29 2 4 4 2" xfId="39641"/>
    <cellStyle name="Calculation 29 2 4 5" xfId="28824"/>
    <cellStyle name="Calculation 29 2 4_Table 2A-1_EFT (Annual)" xfId="6594"/>
    <cellStyle name="Calculation 29 2 5" xfId="4203"/>
    <cellStyle name="Calculation 29 2 5 2" xfId="12527"/>
    <cellStyle name="Calculation 29 2 5 2 2" xfId="24549"/>
    <cellStyle name="Calculation 29 2 5 2 2 2" xfId="45735"/>
    <cellStyle name="Calculation 29 2 5 2 3" xfId="35131"/>
    <cellStyle name="Calculation 29 2 5 3" xfId="19436"/>
    <cellStyle name="Calculation 29 2 5 3 2" xfId="40623"/>
    <cellStyle name="Calculation 29 2 5 4" xfId="29891"/>
    <cellStyle name="Calculation 29 2 5_Table 2A-1_EFT (Annual)" xfId="12023"/>
    <cellStyle name="Calculation 29 2 6" xfId="9866"/>
    <cellStyle name="Calculation 29 2 6 2" xfId="22003"/>
    <cellStyle name="Calculation 29 2 6 2 2" xfId="43189"/>
    <cellStyle name="Calculation 29 2 6 3" xfId="32585"/>
    <cellStyle name="Calculation 29 2 7" xfId="16890"/>
    <cellStyle name="Calculation 29 2 7 2" xfId="38077"/>
    <cellStyle name="Calculation 29 2 8" xfId="27148"/>
    <cellStyle name="Calculation 29 2_Table 2A-1_EFT (Annual)" xfId="2952"/>
    <cellStyle name="Calculation 29 3" xfId="472"/>
    <cellStyle name="Calculation 29 3 2" xfId="1449"/>
    <cellStyle name="Calculation 29 3 2 2" xfId="2719"/>
    <cellStyle name="Calculation 29 3 2 2 2" xfId="6280"/>
    <cellStyle name="Calculation 29 3 2 2 2 2" xfId="14474"/>
    <cellStyle name="Calculation 29 3 2 2 2 2 2" xfId="26446"/>
    <cellStyle name="Calculation 29 3 2 2 2 2 2 2" xfId="47632"/>
    <cellStyle name="Calculation 29 3 2 2 2 2 3" xfId="37028"/>
    <cellStyle name="Calculation 29 3 2 2 2 3" xfId="21333"/>
    <cellStyle name="Calculation 29 3 2 2 2 3 2" xfId="42520"/>
    <cellStyle name="Calculation 29 3 2 2 2 4" xfId="31936"/>
    <cellStyle name="Calculation 29 3 2 2 2_Table 2A-1_EFT (Annual)" xfId="12018"/>
    <cellStyle name="Calculation 29 3 2 2 3" xfId="11816"/>
    <cellStyle name="Calculation 29 3 2 2 3 2" xfId="23900"/>
    <cellStyle name="Calculation 29 3 2 2 3 2 2" xfId="45086"/>
    <cellStyle name="Calculation 29 3 2 2 3 3" xfId="34482"/>
    <cellStyle name="Calculation 29 3 2 2 4" xfId="18787"/>
    <cellStyle name="Calculation 29 3 2 2 4 2" xfId="39974"/>
    <cellStyle name="Calculation 29 3 2 2 5" xfId="29193"/>
    <cellStyle name="Calculation 29 3 2 2_Table 2A-1_EFT (Annual)" xfId="6596"/>
    <cellStyle name="Calculation 29 3 2 3" xfId="5010"/>
    <cellStyle name="Calculation 29 3 2 3 2" xfId="13270"/>
    <cellStyle name="Calculation 29 3 2 3 2 2" xfId="25276"/>
    <cellStyle name="Calculation 29 3 2 3 2 2 2" xfId="46462"/>
    <cellStyle name="Calculation 29 3 2 3 2 3" xfId="35858"/>
    <cellStyle name="Calculation 29 3 2 3 3" xfId="20163"/>
    <cellStyle name="Calculation 29 3 2 3 3 2" xfId="41350"/>
    <cellStyle name="Calculation 29 3 2 3 4" xfId="30667"/>
    <cellStyle name="Calculation 29 3 2 3_Table 2A-1_EFT (Annual)" xfId="12021"/>
    <cellStyle name="Calculation 29 3 2 4" xfId="10614"/>
    <cellStyle name="Calculation 29 3 2 4 2" xfId="22730"/>
    <cellStyle name="Calculation 29 3 2 4 2 2" xfId="43916"/>
    <cellStyle name="Calculation 29 3 2 4 3" xfId="33312"/>
    <cellStyle name="Calculation 29 3 2 5" xfId="17617"/>
    <cellStyle name="Calculation 29 3 2 5 2" xfId="38804"/>
    <cellStyle name="Calculation 29 3 2 6" xfId="27924"/>
    <cellStyle name="Calculation 29 3 2_Table 2A-1_EFT (Annual)" xfId="6595"/>
    <cellStyle name="Calculation 29 3 3" xfId="993"/>
    <cellStyle name="Calculation 29 3 3 2" xfId="4554"/>
    <cellStyle name="Calculation 29 3 3 2 2" xfId="12814"/>
    <cellStyle name="Calculation 29 3 3 2 2 2" xfId="24820"/>
    <cellStyle name="Calculation 29 3 3 2 2 2 2" xfId="46006"/>
    <cellStyle name="Calculation 29 3 3 2 2 3" xfId="35402"/>
    <cellStyle name="Calculation 29 3 3 2 3" xfId="19707"/>
    <cellStyle name="Calculation 29 3 3 2 3 2" xfId="40894"/>
    <cellStyle name="Calculation 29 3 3 2 4" xfId="30211"/>
    <cellStyle name="Calculation 29 3 3 2_Table 2A-1_EFT (Annual)" xfId="12020"/>
    <cellStyle name="Calculation 29 3 3 3" xfId="10158"/>
    <cellStyle name="Calculation 29 3 3 3 2" xfId="22274"/>
    <cellStyle name="Calculation 29 3 3 3 2 2" xfId="43460"/>
    <cellStyle name="Calculation 29 3 3 3 3" xfId="32856"/>
    <cellStyle name="Calculation 29 3 3 4" xfId="17161"/>
    <cellStyle name="Calculation 29 3 3 4 2" xfId="38348"/>
    <cellStyle name="Calculation 29 3 3 5" xfId="27468"/>
    <cellStyle name="Calculation 29 3 3_Table 2A-1_EFT (Annual)" xfId="6597"/>
    <cellStyle name="Calculation 29 3 4" xfId="2188"/>
    <cellStyle name="Calculation 29 3 4 2" xfId="5749"/>
    <cellStyle name="Calculation 29 3 4 2 2" xfId="13964"/>
    <cellStyle name="Calculation 29 3 4 2 2 2" xfId="25952"/>
    <cellStyle name="Calculation 29 3 4 2 2 2 2" xfId="47138"/>
    <cellStyle name="Calculation 29 3 4 2 2 3" xfId="36534"/>
    <cellStyle name="Calculation 29 3 4 2 3" xfId="20839"/>
    <cellStyle name="Calculation 29 3 4 2 3 2" xfId="42026"/>
    <cellStyle name="Calculation 29 3 4 2 4" xfId="31406"/>
    <cellStyle name="Calculation 29 3 4 2_Table 2A-1_EFT (Annual)" xfId="14142"/>
    <cellStyle name="Calculation 29 3 4 3" xfId="11308"/>
    <cellStyle name="Calculation 29 3 4 3 2" xfId="23406"/>
    <cellStyle name="Calculation 29 3 4 3 2 2" xfId="44592"/>
    <cellStyle name="Calculation 29 3 4 3 3" xfId="33988"/>
    <cellStyle name="Calculation 29 3 4 4" xfId="18293"/>
    <cellStyle name="Calculation 29 3 4 4 2" xfId="39480"/>
    <cellStyle name="Calculation 29 3 4 5" xfId="28663"/>
    <cellStyle name="Calculation 29 3 4_Table 2A-1_EFT (Annual)" xfId="6598"/>
    <cellStyle name="Calculation 29 3 5" xfId="4042"/>
    <cellStyle name="Calculation 29 3 5 2" xfId="12366"/>
    <cellStyle name="Calculation 29 3 5 2 2" xfId="24388"/>
    <cellStyle name="Calculation 29 3 5 2 2 2" xfId="45574"/>
    <cellStyle name="Calculation 29 3 5 2 3" xfId="34970"/>
    <cellStyle name="Calculation 29 3 5 3" xfId="19275"/>
    <cellStyle name="Calculation 29 3 5 3 2" xfId="40462"/>
    <cellStyle name="Calculation 29 3 5 4" xfId="29730"/>
    <cellStyle name="Calculation 29 3 5_Table 2A-1_EFT (Annual)" xfId="9912"/>
    <cellStyle name="Calculation 29 3 6" xfId="9705"/>
    <cellStyle name="Calculation 29 3 6 2" xfId="21842"/>
    <cellStyle name="Calculation 29 3 6 2 2" xfId="43028"/>
    <cellStyle name="Calculation 29 3 6 3" xfId="32424"/>
    <cellStyle name="Calculation 29 3 7" xfId="16729"/>
    <cellStyle name="Calculation 29 3 7 2" xfId="37916"/>
    <cellStyle name="Calculation 29 3 8" xfId="26987"/>
    <cellStyle name="Calculation 29 3_Table 2A-1_EFT (Annual)" xfId="2953"/>
    <cellStyle name="Calculation 29 4" xfId="1288"/>
    <cellStyle name="Calculation 29 4 2" xfId="2558"/>
    <cellStyle name="Calculation 29 4 2 2" xfId="6119"/>
    <cellStyle name="Calculation 29 4 2 2 2" xfId="14313"/>
    <cellStyle name="Calculation 29 4 2 2 2 2" xfId="26285"/>
    <cellStyle name="Calculation 29 4 2 2 2 2 2" xfId="47471"/>
    <cellStyle name="Calculation 29 4 2 2 2 3" xfId="36867"/>
    <cellStyle name="Calculation 29 4 2 2 3" xfId="21172"/>
    <cellStyle name="Calculation 29 4 2 2 3 2" xfId="42359"/>
    <cellStyle name="Calculation 29 4 2 2 4" xfId="31775"/>
    <cellStyle name="Calculation 29 4 2 2_Table 2A-1_EFT (Annual)" xfId="13493"/>
    <cellStyle name="Calculation 29 4 2 3" xfId="11655"/>
    <cellStyle name="Calculation 29 4 2 3 2" xfId="23739"/>
    <cellStyle name="Calculation 29 4 2 3 2 2" xfId="44925"/>
    <cellStyle name="Calculation 29 4 2 3 3" xfId="34321"/>
    <cellStyle name="Calculation 29 4 2 4" xfId="18626"/>
    <cellStyle name="Calculation 29 4 2 4 2" xfId="39813"/>
    <cellStyle name="Calculation 29 4 2 5" xfId="29032"/>
    <cellStyle name="Calculation 29 4 2_Table 2A-1_EFT (Annual)" xfId="6600"/>
    <cellStyle name="Calculation 29 4 3" xfId="4849"/>
    <cellStyle name="Calculation 29 4 3 2" xfId="13109"/>
    <cellStyle name="Calculation 29 4 3 2 2" xfId="25115"/>
    <cellStyle name="Calculation 29 4 3 2 2 2" xfId="46301"/>
    <cellStyle name="Calculation 29 4 3 2 3" xfId="35697"/>
    <cellStyle name="Calculation 29 4 3 3" xfId="20002"/>
    <cellStyle name="Calculation 29 4 3 3 2" xfId="41189"/>
    <cellStyle name="Calculation 29 4 3 4" xfId="30506"/>
    <cellStyle name="Calculation 29 4 3_Table 2A-1_EFT (Annual)" xfId="12019"/>
    <cellStyle name="Calculation 29 4 4" xfId="10453"/>
    <cellStyle name="Calculation 29 4 4 2" xfId="22569"/>
    <cellStyle name="Calculation 29 4 4 2 2" xfId="43755"/>
    <cellStyle name="Calculation 29 4 4 3" xfId="33151"/>
    <cellStyle name="Calculation 29 4 5" xfId="17456"/>
    <cellStyle name="Calculation 29 4 5 2" xfId="38643"/>
    <cellStyle name="Calculation 29 4 6" xfId="27763"/>
    <cellStyle name="Calculation 29 4_Table 2A-1_EFT (Annual)" xfId="6599"/>
    <cellStyle name="Calculation 29 5" xfId="838"/>
    <cellStyle name="Calculation 29 5 2" xfId="4399"/>
    <cellStyle name="Calculation 29 5 2 2" xfId="12673"/>
    <cellStyle name="Calculation 29 5 2 2 2" xfId="24690"/>
    <cellStyle name="Calculation 29 5 2 2 2 2" xfId="45876"/>
    <cellStyle name="Calculation 29 5 2 2 3" xfId="35272"/>
    <cellStyle name="Calculation 29 5 2 3" xfId="19577"/>
    <cellStyle name="Calculation 29 5 2 3 2" xfId="40764"/>
    <cellStyle name="Calculation 29 5 2 4" xfId="30056"/>
    <cellStyle name="Calculation 29 5 2_Table 2A-1_EFT (Annual)" xfId="14152"/>
    <cellStyle name="Calculation 29 5 3" xfId="10022"/>
    <cellStyle name="Calculation 29 5 3 2" xfId="22144"/>
    <cellStyle name="Calculation 29 5 3 2 2" xfId="43330"/>
    <cellStyle name="Calculation 29 5 3 3" xfId="32726"/>
    <cellStyle name="Calculation 29 5 4" xfId="17031"/>
    <cellStyle name="Calculation 29 5 4 2" xfId="38218"/>
    <cellStyle name="Calculation 29 5 5" xfId="27313"/>
    <cellStyle name="Calculation 29 5_Table 2A-1_EFT (Annual)" xfId="6601"/>
    <cellStyle name="Calculation 29 6" xfId="2027"/>
    <cellStyle name="Calculation 29 6 2" xfId="5588"/>
    <cellStyle name="Calculation 29 6 2 2" xfId="13803"/>
    <cellStyle name="Calculation 29 6 2 2 2" xfId="25791"/>
    <cellStyle name="Calculation 29 6 2 2 2 2" xfId="46977"/>
    <cellStyle name="Calculation 29 6 2 2 3" xfId="36373"/>
    <cellStyle name="Calculation 29 6 2 3" xfId="20678"/>
    <cellStyle name="Calculation 29 6 2 3 2" xfId="41865"/>
    <cellStyle name="Calculation 29 6 2 4" xfId="31245"/>
    <cellStyle name="Calculation 29 6 2_Table 2A-1_EFT (Annual)" xfId="9573"/>
    <cellStyle name="Calculation 29 6 3" xfId="11147"/>
    <cellStyle name="Calculation 29 6 3 2" xfId="23245"/>
    <cellStyle name="Calculation 29 6 3 2 2" xfId="44431"/>
    <cellStyle name="Calculation 29 6 3 3" xfId="33827"/>
    <cellStyle name="Calculation 29 6 4" xfId="18132"/>
    <cellStyle name="Calculation 29 6 4 2" xfId="39319"/>
    <cellStyle name="Calculation 29 6 5" xfId="28502"/>
    <cellStyle name="Calculation 29 6_Table 2A-1_EFT (Annual)" xfId="6602"/>
    <cellStyle name="Calculation 29 7" xfId="3835"/>
    <cellStyle name="Calculation 29 7 2" xfId="12198"/>
    <cellStyle name="Calculation 29 7 2 2" xfId="24227"/>
    <cellStyle name="Calculation 29 7 2 2 2" xfId="45413"/>
    <cellStyle name="Calculation 29 7 2 3" xfId="34809"/>
    <cellStyle name="Calculation 29 7 3" xfId="19114"/>
    <cellStyle name="Calculation 29 7 3 2" xfId="40301"/>
    <cellStyle name="Calculation 29 7 4" xfId="29544"/>
    <cellStyle name="Calculation 29 7_Table 2A-1_EFT (Annual)" xfId="9354"/>
    <cellStyle name="Calculation 29 8" xfId="9517"/>
    <cellStyle name="Calculation 29 8 2" xfId="21681"/>
    <cellStyle name="Calculation 29 8 2 2" xfId="42867"/>
    <cellStyle name="Calculation 29 8 3" xfId="32263"/>
    <cellStyle name="Calculation 29 9" xfId="16568"/>
    <cellStyle name="Calculation 29 9 2" xfId="37755"/>
    <cellStyle name="Calculation 29_Table 2A-1_EFT (Annual)" xfId="2951"/>
    <cellStyle name="Calculation 3" xfId="82"/>
    <cellStyle name="Calculation 3 10" xfId="21522"/>
    <cellStyle name="Calculation 3 10 2" xfId="42709"/>
    <cellStyle name="Calculation 3 11" xfId="26638"/>
    <cellStyle name="Calculation 3 2" xfId="481"/>
    <cellStyle name="Calculation 3 2 2" xfId="1458"/>
    <cellStyle name="Calculation 3 2 2 2" xfId="2728"/>
    <cellStyle name="Calculation 3 2 2 2 2" xfId="6289"/>
    <cellStyle name="Calculation 3 2 2 2 2 2" xfId="14483"/>
    <cellStyle name="Calculation 3 2 2 2 2 2 2" xfId="26455"/>
    <cellStyle name="Calculation 3 2 2 2 2 2 2 2" xfId="47641"/>
    <cellStyle name="Calculation 3 2 2 2 2 2 3" xfId="37037"/>
    <cellStyle name="Calculation 3 2 2 2 2 3" xfId="21342"/>
    <cellStyle name="Calculation 3 2 2 2 2 3 2" xfId="42529"/>
    <cellStyle name="Calculation 3 2 2 2 2 4" xfId="31945"/>
    <cellStyle name="Calculation 3 2 2 2 2_Table 2A-1_EFT (Annual)" xfId="12015"/>
    <cellStyle name="Calculation 3 2 2 2 3" xfId="11825"/>
    <cellStyle name="Calculation 3 2 2 2 3 2" xfId="23909"/>
    <cellStyle name="Calculation 3 2 2 2 3 2 2" xfId="45095"/>
    <cellStyle name="Calculation 3 2 2 2 3 3" xfId="34491"/>
    <cellStyle name="Calculation 3 2 2 2 4" xfId="18796"/>
    <cellStyle name="Calculation 3 2 2 2 4 2" xfId="39983"/>
    <cellStyle name="Calculation 3 2 2 2 5" xfId="29202"/>
    <cellStyle name="Calculation 3 2 2 2_Table 2A-1_EFT (Annual)" xfId="6604"/>
    <cellStyle name="Calculation 3 2 2 3" xfId="5019"/>
    <cellStyle name="Calculation 3 2 2 3 2" xfId="13279"/>
    <cellStyle name="Calculation 3 2 2 3 2 2" xfId="25285"/>
    <cellStyle name="Calculation 3 2 2 3 2 2 2" xfId="46471"/>
    <cellStyle name="Calculation 3 2 2 3 2 3" xfId="35867"/>
    <cellStyle name="Calculation 3 2 2 3 3" xfId="20172"/>
    <cellStyle name="Calculation 3 2 2 3 3 2" xfId="41359"/>
    <cellStyle name="Calculation 3 2 2 3 4" xfId="30676"/>
    <cellStyle name="Calculation 3 2 2 3_Table 2A-1_EFT (Annual)" xfId="12016"/>
    <cellStyle name="Calculation 3 2 2 4" xfId="10623"/>
    <cellStyle name="Calculation 3 2 2 4 2" xfId="22739"/>
    <cellStyle name="Calculation 3 2 2 4 2 2" xfId="43925"/>
    <cellStyle name="Calculation 3 2 2 4 3" xfId="33321"/>
    <cellStyle name="Calculation 3 2 2 5" xfId="17626"/>
    <cellStyle name="Calculation 3 2 2 5 2" xfId="38813"/>
    <cellStyle name="Calculation 3 2 2 6" xfId="27933"/>
    <cellStyle name="Calculation 3 2 2_Table 2A-1_EFT (Annual)" xfId="6603"/>
    <cellStyle name="Calculation 3 2 3" xfId="1001"/>
    <cellStyle name="Calculation 3 2 3 2" xfId="4562"/>
    <cellStyle name="Calculation 3 2 3 2 2" xfId="12822"/>
    <cellStyle name="Calculation 3 2 3 2 2 2" xfId="24828"/>
    <cellStyle name="Calculation 3 2 3 2 2 2 2" xfId="46014"/>
    <cellStyle name="Calculation 3 2 3 2 2 3" xfId="35410"/>
    <cellStyle name="Calculation 3 2 3 2 3" xfId="19715"/>
    <cellStyle name="Calculation 3 2 3 2 3 2" xfId="40902"/>
    <cellStyle name="Calculation 3 2 3 2 4" xfId="30219"/>
    <cellStyle name="Calculation 3 2 3 2_Table 2A-1_EFT (Annual)" xfId="9878"/>
    <cellStyle name="Calculation 3 2 3 3" xfId="10166"/>
    <cellStyle name="Calculation 3 2 3 3 2" xfId="22282"/>
    <cellStyle name="Calculation 3 2 3 3 2 2" xfId="43468"/>
    <cellStyle name="Calculation 3 2 3 3 3" xfId="32864"/>
    <cellStyle name="Calculation 3 2 3 4" xfId="17169"/>
    <cellStyle name="Calculation 3 2 3 4 2" xfId="38356"/>
    <cellStyle name="Calculation 3 2 3 5" xfId="27476"/>
    <cellStyle name="Calculation 3 2 3_Table 2A-1_EFT (Annual)" xfId="6605"/>
    <cellStyle name="Calculation 3 2 4" xfId="2197"/>
    <cellStyle name="Calculation 3 2 4 2" xfId="5758"/>
    <cellStyle name="Calculation 3 2 4 2 2" xfId="13973"/>
    <cellStyle name="Calculation 3 2 4 2 2 2" xfId="25961"/>
    <cellStyle name="Calculation 3 2 4 2 2 2 2" xfId="47147"/>
    <cellStyle name="Calculation 3 2 4 2 2 3" xfId="36543"/>
    <cellStyle name="Calculation 3 2 4 2 3" xfId="20848"/>
    <cellStyle name="Calculation 3 2 4 2 3 2" xfId="42035"/>
    <cellStyle name="Calculation 3 2 4 2 4" xfId="31415"/>
    <cellStyle name="Calculation 3 2 4 2_Table 2A-1_EFT (Annual)" xfId="12014"/>
    <cellStyle name="Calculation 3 2 4 3" xfId="11317"/>
    <cellStyle name="Calculation 3 2 4 3 2" xfId="23415"/>
    <cellStyle name="Calculation 3 2 4 3 2 2" xfId="44601"/>
    <cellStyle name="Calculation 3 2 4 3 3" xfId="33997"/>
    <cellStyle name="Calculation 3 2 4 4" xfId="18302"/>
    <cellStyle name="Calculation 3 2 4 4 2" xfId="39489"/>
    <cellStyle name="Calculation 3 2 4 5" xfId="28672"/>
    <cellStyle name="Calculation 3 2 4_Table 2A-1_EFT (Annual)" xfId="6606"/>
    <cellStyle name="Calculation 3 2 5" xfId="4051"/>
    <cellStyle name="Calculation 3 2 5 2" xfId="12375"/>
    <cellStyle name="Calculation 3 2 5 2 2" xfId="24397"/>
    <cellStyle name="Calculation 3 2 5 2 2 2" xfId="45583"/>
    <cellStyle name="Calculation 3 2 5 2 3" xfId="34979"/>
    <cellStyle name="Calculation 3 2 5 3" xfId="19284"/>
    <cellStyle name="Calculation 3 2 5 3 2" xfId="40471"/>
    <cellStyle name="Calculation 3 2 5 4" xfId="29739"/>
    <cellStyle name="Calculation 3 2 5_Table 2A-1_EFT (Annual)" xfId="10830"/>
    <cellStyle name="Calculation 3 2 6" xfId="9714"/>
    <cellStyle name="Calculation 3 2 6 2" xfId="21851"/>
    <cellStyle name="Calculation 3 2 6 2 2" xfId="43037"/>
    <cellStyle name="Calculation 3 2 6 3" xfId="32433"/>
    <cellStyle name="Calculation 3 2 7" xfId="16738"/>
    <cellStyle name="Calculation 3 2 7 2" xfId="37925"/>
    <cellStyle name="Calculation 3 2 8" xfId="26996"/>
    <cellStyle name="Calculation 3 2_Table 2A-1_EFT (Annual)" xfId="2955"/>
    <cellStyle name="Calculation 3 3" xfId="314"/>
    <cellStyle name="Calculation 3 3 2" xfId="1302"/>
    <cellStyle name="Calculation 3 3 2 2" xfId="2572"/>
    <cellStyle name="Calculation 3 3 2 2 2" xfId="6133"/>
    <cellStyle name="Calculation 3 3 2 2 2 2" xfId="14327"/>
    <cellStyle name="Calculation 3 3 2 2 2 2 2" xfId="26299"/>
    <cellStyle name="Calculation 3 3 2 2 2 2 2 2" xfId="47485"/>
    <cellStyle name="Calculation 3 3 2 2 2 2 3" xfId="36881"/>
    <cellStyle name="Calculation 3 3 2 2 2 3" xfId="21186"/>
    <cellStyle name="Calculation 3 3 2 2 2 3 2" xfId="42373"/>
    <cellStyle name="Calculation 3 3 2 2 2 4" xfId="31789"/>
    <cellStyle name="Calculation 3 3 2 2 2_Table 2A-1_EFT (Annual)" xfId="11492"/>
    <cellStyle name="Calculation 3 3 2 2 3" xfId="11669"/>
    <cellStyle name="Calculation 3 3 2 2 3 2" xfId="23753"/>
    <cellStyle name="Calculation 3 3 2 2 3 2 2" xfId="44939"/>
    <cellStyle name="Calculation 3 3 2 2 3 3" xfId="34335"/>
    <cellStyle name="Calculation 3 3 2 2 4" xfId="18640"/>
    <cellStyle name="Calculation 3 3 2 2 4 2" xfId="39827"/>
    <cellStyle name="Calculation 3 3 2 2 5" xfId="29046"/>
    <cellStyle name="Calculation 3 3 2 2_Table 2A-1_EFT (Annual)" xfId="6608"/>
    <cellStyle name="Calculation 3 3 2 3" xfId="4863"/>
    <cellStyle name="Calculation 3 3 2 3 2" xfId="13123"/>
    <cellStyle name="Calculation 3 3 2 3 2 2" xfId="25129"/>
    <cellStyle name="Calculation 3 3 2 3 2 2 2" xfId="46315"/>
    <cellStyle name="Calculation 3 3 2 3 2 3" xfId="35711"/>
    <cellStyle name="Calculation 3 3 2 3 3" xfId="20016"/>
    <cellStyle name="Calculation 3 3 2 3 3 2" xfId="41203"/>
    <cellStyle name="Calculation 3 3 2 3 4" xfId="30520"/>
    <cellStyle name="Calculation 3 3 2 3_Table 2A-1_EFT (Annual)" xfId="9545"/>
    <cellStyle name="Calculation 3 3 2 4" xfId="10467"/>
    <cellStyle name="Calculation 3 3 2 4 2" xfId="22583"/>
    <cellStyle name="Calculation 3 3 2 4 2 2" xfId="43769"/>
    <cellStyle name="Calculation 3 3 2 4 3" xfId="33165"/>
    <cellStyle name="Calculation 3 3 2 5" xfId="17470"/>
    <cellStyle name="Calculation 3 3 2 5 2" xfId="38657"/>
    <cellStyle name="Calculation 3 3 2 6" xfId="27777"/>
    <cellStyle name="Calculation 3 3 2_Table 2A-1_EFT (Annual)" xfId="6607"/>
    <cellStyle name="Calculation 3 3 3" xfId="864"/>
    <cellStyle name="Calculation 3 3 3 2" xfId="4425"/>
    <cellStyle name="Calculation 3 3 3 2 2" xfId="12690"/>
    <cellStyle name="Calculation 3 3 3 2 2 2" xfId="24702"/>
    <cellStyle name="Calculation 3 3 3 2 2 2 2" xfId="45888"/>
    <cellStyle name="Calculation 3 3 3 2 2 3" xfId="35284"/>
    <cellStyle name="Calculation 3 3 3 2 3" xfId="19589"/>
    <cellStyle name="Calculation 3 3 3 2 3 2" xfId="40776"/>
    <cellStyle name="Calculation 3 3 3 2 4" xfId="30082"/>
    <cellStyle name="Calculation 3 3 3 2_Table 2A-1_EFT (Annual)" xfId="12013"/>
    <cellStyle name="Calculation 3 3 3 3" xfId="10037"/>
    <cellStyle name="Calculation 3 3 3 3 2" xfId="22156"/>
    <cellStyle name="Calculation 3 3 3 3 2 2" xfId="43342"/>
    <cellStyle name="Calculation 3 3 3 3 3" xfId="32738"/>
    <cellStyle name="Calculation 3 3 3 4" xfId="17043"/>
    <cellStyle name="Calculation 3 3 3 4 2" xfId="38230"/>
    <cellStyle name="Calculation 3 3 3 5" xfId="27339"/>
    <cellStyle name="Calculation 3 3 3_Table 2A-1_EFT (Annual)" xfId="6609"/>
    <cellStyle name="Calculation 3 3 4" xfId="2041"/>
    <cellStyle name="Calculation 3 3 4 2" xfId="5602"/>
    <cellStyle name="Calculation 3 3 4 2 2" xfId="13817"/>
    <cellStyle name="Calculation 3 3 4 2 2 2" xfId="25805"/>
    <cellStyle name="Calculation 3 3 4 2 2 2 2" xfId="46991"/>
    <cellStyle name="Calculation 3 3 4 2 2 3" xfId="36387"/>
    <cellStyle name="Calculation 3 3 4 2 3" xfId="20692"/>
    <cellStyle name="Calculation 3 3 4 2 3 2" xfId="41879"/>
    <cellStyle name="Calculation 3 3 4 2 4" xfId="31259"/>
    <cellStyle name="Calculation 3 3 4 2_Table 2A-1_EFT (Annual)" xfId="12011"/>
    <cellStyle name="Calculation 3 3 4 3" xfId="11161"/>
    <cellStyle name="Calculation 3 3 4 3 2" xfId="23259"/>
    <cellStyle name="Calculation 3 3 4 3 2 2" xfId="44445"/>
    <cellStyle name="Calculation 3 3 4 3 3" xfId="33841"/>
    <cellStyle name="Calculation 3 3 4 4" xfId="18146"/>
    <cellStyle name="Calculation 3 3 4 4 2" xfId="39333"/>
    <cellStyle name="Calculation 3 3 4 5" xfId="28516"/>
    <cellStyle name="Calculation 3 3 4_Table 2A-1_EFT (Annual)" xfId="6610"/>
    <cellStyle name="Calculation 3 3 5" xfId="3884"/>
    <cellStyle name="Calculation 3 3 5 2" xfId="12216"/>
    <cellStyle name="Calculation 3 3 5 2 2" xfId="24241"/>
    <cellStyle name="Calculation 3 3 5 2 2 2" xfId="45427"/>
    <cellStyle name="Calculation 3 3 5 2 3" xfId="34823"/>
    <cellStyle name="Calculation 3 3 5 3" xfId="19128"/>
    <cellStyle name="Calculation 3 3 5 3 2" xfId="40315"/>
    <cellStyle name="Calculation 3 3 5 4" xfId="29572"/>
    <cellStyle name="Calculation 3 3 5_Table 2A-1_EFT (Annual)" xfId="12012"/>
    <cellStyle name="Calculation 3 3 6" xfId="9553"/>
    <cellStyle name="Calculation 3 3 6 2" xfId="21695"/>
    <cellStyle name="Calculation 3 3 6 2 2" xfId="42881"/>
    <cellStyle name="Calculation 3 3 6 3" xfId="32277"/>
    <cellStyle name="Calculation 3 3 7" xfId="16582"/>
    <cellStyle name="Calculation 3 3 7 2" xfId="37769"/>
    <cellStyle name="Calculation 3 3 8" xfId="26829"/>
    <cellStyle name="Calculation 3 3_Table 2A-1_EFT (Annual)" xfId="2956"/>
    <cellStyle name="Calculation 3 4" xfId="1136"/>
    <cellStyle name="Calculation 3 4 2" xfId="2406"/>
    <cellStyle name="Calculation 3 4 2 2" xfId="5967"/>
    <cellStyle name="Calculation 3 4 2 2 2" xfId="14161"/>
    <cellStyle name="Calculation 3 4 2 2 2 2" xfId="26133"/>
    <cellStyle name="Calculation 3 4 2 2 2 2 2" xfId="47319"/>
    <cellStyle name="Calculation 3 4 2 2 2 3" xfId="36715"/>
    <cellStyle name="Calculation 3 4 2 2 3" xfId="21020"/>
    <cellStyle name="Calculation 3 4 2 2 3 2" xfId="42207"/>
    <cellStyle name="Calculation 3 4 2 2 4" xfId="31623"/>
    <cellStyle name="Calculation 3 4 2 2_Table 2A-1_EFT (Annual)" xfId="12008"/>
    <cellStyle name="Calculation 3 4 2 3" xfId="11503"/>
    <cellStyle name="Calculation 3 4 2 3 2" xfId="23587"/>
    <cellStyle name="Calculation 3 4 2 3 2 2" xfId="44773"/>
    <cellStyle name="Calculation 3 4 2 3 3" xfId="34169"/>
    <cellStyle name="Calculation 3 4 2 4" xfId="18474"/>
    <cellStyle name="Calculation 3 4 2 4 2" xfId="39661"/>
    <cellStyle name="Calculation 3 4 2 5" xfId="28880"/>
    <cellStyle name="Calculation 3 4 2_Table 2A-1_EFT (Annual)" xfId="6612"/>
    <cellStyle name="Calculation 3 4 3" xfId="4697"/>
    <cellStyle name="Calculation 3 4 3 2" xfId="12957"/>
    <cellStyle name="Calculation 3 4 3 2 2" xfId="24963"/>
    <cellStyle name="Calculation 3 4 3 2 2 2" xfId="46149"/>
    <cellStyle name="Calculation 3 4 3 2 3" xfId="35545"/>
    <cellStyle name="Calculation 3 4 3 3" xfId="19850"/>
    <cellStyle name="Calculation 3 4 3 3 2" xfId="41037"/>
    <cellStyle name="Calculation 3 4 3 4" xfId="30354"/>
    <cellStyle name="Calculation 3 4 3_Table 2A-1_EFT (Annual)" xfId="12010"/>
    <cellStyle name="Calculation 3 4 4" xfId="10301"/>
    <cellStyle name="Calculation 3 4 4 2" xfId="22417"/>
    <cellStyle name="Calculation 3 4 4 2 2" xfId="43603"/>
    <cellStyle name="Calculation 3 4 4 3" xfId="32999"/>
    <cellStyle name="Calculation 3 4 5" xfId="17304"/>
    <cellStyle name="Calculation 3 4 5 2" xfId="38491"/>
    <cellStyle name="Calculation 3 4 6" xfId="27611"/>
    <cellStyle name="Calculation 3 4_Table 2A-1_EFT (Annual)" xfId="6611"/>
    <cellStyle name="Calculation 3 5" xfId="705"/>
    <cellStyle name="Calculation 3 5 2" xfId="4266"/>
    <cellStyle name="Calculation 3 5 2 2" xfId="12550"/>
    <cellStyle name="Calculation 3 5 2 2 2" xfId="24568"/>
    <cellStyle name="Calculation 3 5 2 2 2 2" xfId="45754"/>
    <cellStyle name="Calculation 3 5 2 2 3" xfId="35150"/>
    <cellStyle name="Calculation 3 5 2 3" xfId="19455"/>
    <cellStyle name="Calculation 3 5 2 3 2" xfId="40642"/>
    <cellStyle name="Calculation 3 5 2 4" xfId="29923"/>
    <cellStyle name="Calculation 3 5 2_Table 2A-1_EFT (Annual)" xfId="12009"/>
    <cellStyle name="Calculation 3 5 3" xfId="9897"/>
    <cellStyle name="Calculation 3 5 3 2" xfId="22022"/>
    <cellStyle name="Calculation 3 5 3 2 2" xfId="43208"/>
    <cellStyle name="Calculation 3 5 3 3" xfId="32604"/>
    <cellStyle name="Calculation 3 5 4" xfId="16909"/>
    <cellStyle name="Calculation 3 5 4 2" xfId="38096"/>
    <cellStyle name="Calculation 3 5 5" xfId="27180"/>
    <cellStyle name="Calculation 3 5_Table 2A-1_EFT (Annual)" xfId="6613"/>
    <cellStyle name="Calculation 3 6" xfId="1875"/>
    <cellStyle name="Calculation 3 6 2" xfId="5436"/>
    <cellStyle name="Calculation 3 6 2 2" xfId="13651"/>
    <cellStyle name="Calculation 3 6 2 2 2" xfId="25639"/>
    <cellStyle name="Calculation 3 6 2 2 2 2" xfId="46825"/>
    <cellStyle name="Calculation 3 6 2 2 3" xfId="36221"/>
    <cellStyle name="Calculation 3 6 2 3" xfId="20526"/>
    <cellStyle name="Calculation 3 6 2 3 2" xfId="41713"/>
    <cellStyle name="Calculation 3 6 2 4" xfId="31093"/>
    <cellStyle name="Calculation 3 6 2_Table 2A-1_EFT (Annual)" xfId="14151"/>
    <cellStyle name="Calculation 3 6 3" xfId="10995"/>
    <cellStyle name="Calculation 3 6 3 2" xfId="23093"/>
    <cellStyle name="Calculation 3 6 3 2 2" xfId="44279"/>
    <cellStyle name="Calculation 3 6 3 3" xfId="33675"/>
    <cellStyle name="Calculation 3 6 4" xfId="17980"/>
    <cellStyle name="Calculation 3 6 4 2" xfId="39167"/>
    <cellStyle name="Calculation 3 6 5" xfId="28350"/>
    <cellStyle name="Calculation 3 6_Table 2A-1_EFT (Annual)" xfId="6614"/>
    <cellStyle name="Calculation 3 7" xfId="3671"/>
    <cellStyle name="Calculation 3 7 2" xfId="12044"/>
    <cellStyle name="Calculation 3 7 2 2" xfId="24075"/>
    <cellStyle name="Calculation 3 7 2 2 2" xfId="45261"/>
    <cellStyle name="Calculation 3 7 2 3" xfId="34657"/>
    <cellStyle name="Calculation 3 7 3" xfId="18962"/>
    <cellStyle name="Calculation 3 7 3 2" xfId="40149"/>
    <cellStyle name="Calculation 3 7 4" xfId="29381"/>
    <cellStyle name="Calculation 3 7_Table 2A-1_EFT (Annual)" xfId="10052"/>
    <cellStyle name="Calculation 3 8" xfId="9361"/>
    <cellStyle name="Calculation 3 8 2" xfId="21529"/>
    <cellStyle name="Calculation 3 8 2 2" xfId="42715"/>
    <cellStyle name="Calculation 3 8 3" xfId="32111"/>
    <cellStyle name="Calculation 3 9" xfId="16416"/>
    <cellStyle name="Calculation 3 9 2" xfId="37603"/>
    <cellStyle name="Calculation 3_Table 2A-1_EFT (Annual)" xfId="2954"/>
    <cellStyle name="Calculation 30" xfId="243"/>
    <cellStyle name="Calculation 30 10" xfId="26798"/>
    <cellStyle name="Calculation 30 2" xfId="630"/>
    <cellStyle name="Calculation 30 2 2" xfId="1607"/>
    <cellStyle name="Calculation 30 2 2 2" xfId="2877"/>
    <cellStyle name="Calculation 30 2 2 2 2" xfId="6438"/>
    <cellStyle name="Calculation 30 2 2 2 2 2" xfId="14632"/>
    <cellStyle name="Calculation 30 2 2 2 2 2 2" xfId="26604"/>
    <cellStyle name="Calculation 30 2 2 2 2 2 2 2" xfId="47790"/>
    <cellStyle name="Calculation 30 2 2 2 2 2 3" xfId="37186"/>
    <cellStyle name="Calculation 30 2 2 2 2 3" xfId="21491"/>
    <cellStyle name="Calculation 30 2 2 2 2 3 2" xfId="42678"/>
    <cellStyle name="Calculation 30 2 2 2 2 4" xfId="32094"/>
    <cellStyle name="Calculation 30 2 2 2 2_Table 2A-1_EFT (Annual)" xfId="12007"/>
    <cellStyle name="Calculation 30 2 2 2 3" xfId="11974"/>
    <cellStyle name="Calculation 30 2 2 2 3 2" xfId="24058"/>
    <cellStyle name="Calculation 30 2 2 2 3 2 2" xfId="45244"/>
    <cellStyle name="Calculation 30 2 2 2 3 3" xfId="34640"/>
    <cellStyle name="Calculation 30 2 2 2 4" xfId="18945"/>
    <cellStyle name="Calculation 30 2 2 2 4 2" xfId="40132"/>
    <cellStyle name="Calculation 30 2 2 2 5" xfId="29351"/>
    <cellStyle name="Calculation 30 2 2 2_Table 2A-1_EFT (Annual)" xfId="6616"/>
    <cellStyle name="Calculation 30 2 2 3" xfId="5168"/>
    <cellStyle name="Calculation 30 2 2 3 2" xfId="13428"/>
    <cellStyle name="Calculation 30 2 2 3 2 2" xfId="25434"/>
    <cellStyle name="Calculation 30 2 2 3 2 2 2" xfId="46620"/>
    <cellStyle name="Calculation 30 2 2 3 2 3" xfId="36016"/>
    <cellStyle name="Calculation 30 2 2 3 3" xfId="20321"/>
    <cellStyle name="Calculation 30 2 2 3 3 2" xfId="41508"/>
    <cellStyle name="Calculation 30 2 2 3 4" xfId="30825"/>
    <cellStyle name="Calculation 30 2 2 3_Table 2A-1_EFT (Annual)" xfId="10788"/>
    <cellStyle name="Calculation 30 2 2 4" xfId="10772"/>
    <cellStyle name="Calculation 30 2 2 4 2" xfId="22888"/>
    <cellStyle name="Calculation 30 2 2 4 2 2" xfId="44074"/>
    <cellStyle name="Calculation 30 2 2 4 3" xfId="33470"/>
    <cellStyle name="Calculation 30 2 2 5" xfId="17775"/>
    <cellStyle name="Calculation 30 2 2 5 2" xfId="38962"/>
    <cellStyle name="Calculation 30 2 2 6" xfId="28082"/>
    <cellStyle name="Calculation 30 2 2_Table 2A-1_EFT (Annual)" xfId="6615"/>
    <cellStyle name="Calculation 30 2 3" xfId="1120"/>
    <cellStyle name="Calculation 30 2 3 2" xfId="4681"/>
    <cellStyle name="Calculation 30 2 3 2 2" xfId="12941"/>
    <cellStyle name="Calculation 30 2 3 2 2 2" xfId="24947"/>
    <cellStyle name="Calculation 30 2 3 2 2 2 2" xfId="46133"/>
    <cellStyle name="Calculation 30 2 3 2 2 3" xfId="35529"/>
    <cellStyle name="Calculation 30 2 3 2 3" xfId="19834"/>
    <cellStyle name="Calculation 30 2 3 2 3 2" xfId="41021"/>
    <cellStyle name="Calculation 30 2 3 2 4" xfId="30338"/>
    <cellStyle name="Calculation 30 2 3 2_Table 2A-1_EFT (Annual)" xfId="12006"/>
    <cellStyle name="Calculation 30 2 3 3" xfId="10285"/>
    <cellStyle name="Calculation 30 2 3 3 2" xfId="22401"/>
    <cellStyle name="Calculation 30 2 3 3 2 2" xfId="43587"/>
    <cellStyle name="Calculation 30 2 3 3 3" xfId="32983"/>
    <cellStyle name="Calculation 30 2 3 4" xfId="17288"/>
    <cellStyle name="Calculation 30 2 3 4 2" xfId="38475"/>
    <cellStyle name="Calculation 30 2 3 5" xfId="27595"/>
    <cellStyle name="Calculation 30 2 3_Table 2A-1_EFT (Annual)" xfId="6617"/>
    <cellStyle name="Calculation 30 2 4" xfId="2346"/>
    <cellStyle name="Calculation 30 2 4 2" xfId="5907"/>
    <cellStyle name="Calculation 30 2 4 2 2" xfId="14122"/>
    <cellStyle name="Calculation 30 2 4 2 2 2" xfId="26110"/>
    <cellStyle name="Calculation 30 2 4 2 2 2 2" xfId="47296"/>
    <cellStyle name="Calculation 30 2 4 2 2 3" xfId="36692"/>
    <cellStyle name="Calculation 30 2 4 2 3" xfId="20997"/>
    <cellStyle name="Calculation 30 2 4 2 3 2" xfId="42184"/>
    <cellStyle name="Calculation 30 2 4 2 4" xfId="31564"/>
    <cellStyle name="Calculation 30 2 4 2_Table 2A-1_EFT (Annual)" xfId="9877"/>
    <cellStyle name="Calculation 30 2 4 3" xfId="11466"/>
    <cellStyle name="Calculation 30 2 4 3 2" xfId="23564"/>
    <cellStyle name="Calculation 30 2 4 3 2 2" xfId="44750"/>
    <cellStyle name="Calculation 30 2 4 3 3" xfId="34146"/>
    <cellStyle name="Calculation 30 2 4 4" xfId="18451"/>
    <cellStyle name="Calculation 30 2 4 4 2" xfId="39638"/>
    <cellStyle name="Calculation 30 2 4 5" xfId="28821"/>
    <cellStyle name="Calculation 30 2 4_Table 2A-1_EFT (Annual)" xfId="6618"/>
    <cellStyle name="Calculation 30 2 5" xfId="4200"/>
    <cellStyle name="Calculation 30 2 5 2" xfId="12524"/>
    <cellStyle name="Calculation 30 2 5 2 2" xfId="24546"/>
    <cellStyle name="Calculation 30 2 5 2 2 2" xfId="45732"/>
    <cellStyle name="Calculation 30 2 5 2 3" xfId="35128"/>
    <cellStyle name="Calculation 30 2 5 3" xfId="19433"/>
    <cellStyle name="Calculation 30 2 5 3 2" xfId="40620"/>
    <cellStyle name="Calculation 30 2 5 4" xfId="29888"/>
    <cellStyle name="Calculation 30 2 5_Table 2A-1_EFT (Annual)" xfId="12210"/>
    <cellStyle name="Calculation 30 2 6" xfId="9863"/>
    <cellStyle name="Calculation 30 2 6 2" xfId="22000"/>
    <cellStyle name="Calculation 30 2 6 2 2" xfId="43186"/>
    <cellStyle name="Calculation 30 2 6 3" xfId="32582"/>
    <cellStyle name="Calculation 30 2 7" xfId="16887"/>
    <cellStyle name="Calculation 30 2 7 2" xfId="38074"/>
    <cellStyle name="Calculation 30 2 8" xfId="27145"/>
    <cellStyle name="Calculation 30 2_Table 2A-1_EFT (Annual)" xfId="2958"/>
    <cellStyle name="Calculation 30 3" xfId="469"/>
    <cellStyle name="Calculation 30 3 2" xfId="1446"/>
    <cellStyle name="Calculation 30 3 2 2" xfId="2716"/>
    <cellStyle name="Calculation 30 3 2 2 2" xfId="6277"/>
    <cellStyle name="Calculation 30 3 2 2 2 2" xfId="14471"/>
    <cellStyle name="Calculation 30 3 2 2 2 2 2" xfId="26443"/>
    <cellStyle name="Calculation 30 3 2 2 2 2 2 2" xfId="47629"/>
    <cellStyle name="Calculation 30 3 2 2 2 2 3" xfId="37025"/>
    <cellStyle name="Calculation 30 3 2 2 2 3" xfId="21330"/>
    <cellStyle name="Calculation 30 3 2 2 2 3 2" xfId="42517"/>
    <cellStyle name="Calculation 30 3 2 2 2 4" xfId="31933"/>
    <cellStyle name="Calculation 30 3 2 2 2_Table 2A-1_EFT (Annual)" xfId="12683"/>
    <cellStyle name="Calculation 30 3 2 2 3" xfId="11813"/>
    <cellStyle name="Calculation 30 3 2 2 3 2" xfId="23897"/>
    <cellStyle name="Calculation 30 3 2 2 3 2 2" xfId="45083"/>
    <cellStyle name="Calculation 30 3 2 2 3 3" xfId="34479"/>
    <cellStyle name="Calculation 30 3 2 2 4" xfId="18784"/>
    <cellStyle name="Calculation 30 3 2 2 4 2" xfId="39971"/>
    <cellStyle name="Calculation 30 3 2 2 5" xfId="29190"/>
    <cellStyle name="Calculation 30 3 2 2_Table 2A-1_EFT (Annual)" xfId="6620"/>
    <cellStyle name="Calculation 30 3 2 3" xfId="5007"/>
    <cellStyle name="Calculation 30 3 2 3 2" xfId="13267"/>
    <cellStyle name="Calculation 30 3 2 3 2 2" xfId="25273"/>
    <cellStyle name="Calculation 30 3 2 3 2 2 2" xfId="46459"/>
    <cellStyle name="Calculation 30 3 2 3 2 3" xfId="35855"/>
    <cellStyle name="Calculation 30 3 2 3 3" xfId="20160"/>
    <cellStyle name="Calculation 30 3 2 3 3 2" xfId="41347"/>
    <cellStyle name="Calculation 30 3 2 3 4" xfId="30664"/>
    <cellStyle name="Calculation 30 3 2 3_Table 2A-1_EFT (Annual)" xfId="14146"/>
    <cellStyle name="Calculation 30 3 2 4" xfId="10611"/>
    <cellStyle name="Calculation 30 3 2 4 2" xfId="22727"/>
    <cellStyle name="Calculation 30 3 2 4 2 2" xfId="43913"/>
    <cellStyle name="Calculation 30 3 2 4 3" xfId="33309"/>
    <cellStyle name="Calculation 30 3 2 5" xfId="17614"/>
    <cellStyle name="Calculation 30 3 2 5 2" xfId="38801"/>
    <cellStyle name="Calculation 30 3 2 6" xfId="27921"/>
    <cellStyle name="Calculation 30 3 2_Table 2A-1_EFT (Annual)" xfId="6619"/>
    <cellStyle name="Calculation 30 3 3" xfId="990"/>
    <cellStyle name="Calculation 30 3 3 2" xfId="4551"/>
    <cellStyle name="Calculation 30 3 3 2 2" xfId="12811"/>
    <cellStyle name="Calculation 30 3 3 2 2 2" xfId="24817"/>
    <cellStyle name="Calculation 30 3 3 2 2 2 2" xfId="46003"/>
    <cellStyle name="Calculation 30 3 3 2 2 3" xfId="35399"/>
    <cellStyle name="Calculation 30 3 3 2 3" xfId="19704"/>
    <cellStyle name="Calculation 30 3 3 2 3 2" xfId="40891"/>
    <cellStyle name="Calculation 30 3 3 2 4" xfId="30208"/>
    <cellStyle name="Calculation 30 3 3 2_Table 2A-1_EFT (Annual)" xfId="9544"/>
    <cellStyle name="Calculation 30 3 3 3" xfId="10155"/>
    <cellStyle name="Calculation 30 3 3 3 2" xfId="22271"/>
    <cellStyle name="Calculation 30 3 3 3 2 2" xfId="43457"/>
    <cellStyle name="Calculation 30 3 3 3 3" xfId="32853"/>
    <cellStyle name="Calculation 30 3 3 4" xfId="17158"/>
    <cellStyle name="Calculation 30 3 3 4 2" xfId="38345"/>
    <cellStyle name="Calculation 30 3 3 5" xfId="27465"/>
    <cellStyle name="Calculation 30 3 3_Table 2A-1_EFT (Annual)" xfId="6621"/>
    <cellStyle name="Calculation 30 3 4" xfId="2185"/>
    <cellStyle name="Calculation 30 3 4 2" xfId="5746"/>
    <cellStyle name="Calculation 30 3 4 2 2" xfId="13961"/>
    <cellStyle name="Calculation 30 3 4 2 2 2" xfId="25949"/>
    <cellStyle name="Calculation 30 3 4 2 2 2 2" xfId="47135"/>
    <cellStyle name="Calculation 30 3 4 2 2 3" xfId="36531"/>
    <cellStyle name="Calculation 30 3 4 2 3" xfId="20836"/>
    <cellStyle name="Calculation 30 3 4 2 3 2" xfId="42023"/>
    <cellStyle name="Calculation 30 3 4 2 4" xfId="31403"/>
    <cellStyle name="Calculation 30 3 4 2_Table 2A-1_EFT (Annual)" xfId="12005"/>
    <cellStyle name="Calculation 30 3 4 3" xfId="11305"/>
    <cellStyle name="Calculation 30 3 4 3 2" xfId="23403"/>
    <cellStyle name="Calculation 30 3 4 3 2 2" xfId="44589"/>
    <cellStyle name="Calculation 30 3 4 3 3" xfId="33985"/>
    <cellStyle name="Calculation 30 3 4 4" xfId="18290"/>
    <cellStyle name="Calculation 30 3 4 4 2" xfId="39477"/>
    <cellStyle name="Calculation 30 3 4 5" xfId="28660"/>
    <cellStyle name="Calculation 30 3 4_Table 2A-1_EFT (Annual)" xfId="6622"/>
    <cellStyle name="Calculation 30 3 5" xfId="4039"/>
    <cellStyle name="Calculation 30 3 5 2" xfId="12363"/>
    <cellStyle name="Calculation 30 3 5 2 2" xfId="24385"/>
    <cellStyle name="Calculation 30 3 5 2 2 2" xfId="45571"/>
    <cellStyle name="Calculation 30 3 5 2 3" xfId="34967"/>
    <cellStyle name="Calculation 30 3 5 3" xfId="19272"/>
    <cellStyle name="Calculation 30 3 5 3 2" xfId="40459"/>
    <cellStyle name="Calculation 30 3 5 4" xfId="29727"/>
    <cellStyle name="Calculation 30 3 5_Table 2A-1_EFT (Annual)" xfId="10799"/>
    <cellStyle name="Calculation 30 3 6" xfId="9702"/>
    <cellStyle name="Calculation 30 3 6 2" xfId="21839"/>
    <cellStyle name="Calculation 30 3 6 2 2" xfId="43025"/>
    <cellStyle name="Calculation 30 3 6 3" xfId="32421"/>
    <cellStyle name="Calculation 30 3 7" xfId="16726"/>
    <cellStyle name="Calculation 30 3 7 2" xfId="37913"/>
    <cellStyle name="Calculation 30 3 8" xfId="26984"/>
    <cellStyle name="Calculation 30 3_Table 2A-1_EFT (Annual)" xfId="2959"/>
    <cellStyle name="Calculation 30 4" xfId="1285"/>
    <cellStyle name="Calculation 30 4 2" xfId="2555"/>
    <cellStyle name="Calculation 30 4 2 2" xfId="6116"/>
    <cellStyle name="Calculation 30 4 2 2 2" xfId="14310"/>
    <cellStyle name="Calculation 30 4 2 2 2 2" xfId="26282"/>
    <cellStyle name="Calculation 30 4 2 2 2 2 2" xfId="47468"/>
    <cellStyle name="Calculation 30 4 2 2 2 3" xfId="36864"/>
    <cellStyle name="Calculation 30 4 2 2 3" xfId="21169"/>
    <cellStyle name="Calculation 30 4 2 2 3 2" xfId="42356"/>
    <cellStyle name="Calculation 30 4 2 2 4" xfId="31772"/>
    <cellStyle name="Calculation 30 4 2 2_Table 2A-1_EFT (Annual)" xfId="14141"/>
    <cellStyle name="Calculation 30 4 2 3" xfId="11652"/>
    <cellStyle name="Calculation 30 4 2 3 2" xfId="23736"/>
    <cellStyle name="Calculation 30 4 2 3 2 2" xfId="44922"/>
    <cellStyle name="Calculation 30 4 2 3 3" xfId="34318"/>
    <cellStyle name="Calculation 30 4 2 4" xfId="18623"/>
    <cellStyle name="Calculation 30 4 2 4 2" xfId="39810"/>
    <cellStyle name="Calculation 30 4 2 5" xfId="29029"/>
    <cellStyle name="Calculation 30 4 2_Table 2A-1_EFT (Annual)" xfId="6624"/>
    <cellStyle name="Calculation 30 4 3" xfId="4846"/>
    <cellStyle name="Calculation 30 4 3 2" xfId="13106"/>
    <cellStyle name="Calculation 30 4 3 2 2" xfId="25112"/>
    <cellStyle name="Calculation 30 4 3 2 2 2" xfId="46298"/>
    <cellStyle name="Calculation 30 4 3 2 3" xfId="35694"/>
    <cellStyle name="Calculation 30 4 3 3" xfId="19999"/>
    <cellStyle name="Calculation 30 4 3 3 2" xfId="41186"/>
    <cellStyle name="Calculation 30 4 3 4" xfId="30503"/>
    <cellStyle name="Calculation 30 4 3_Table 2A-1_EFT (Annual)" xfId="9911"/>
    <cellStyle name="Calculation 30 4 4" xfId="10450"/>
    <cellStyle name="Calculation 30 4 4 2" xfId="22566"/>
    <cellStyle name="Calculation 30 4 4 2 2" xfId="43752"/>
    <cellStyle name="Calculation 30 4 4 3" xfId="33148"/>
    <cellStyle name="Calculation 30 4 5" xfId="17453"/>
    <cellStyle name="Calculation 30 4 5 2" xfId="38640"/>
    <cellStyle name="Calculation 30 4 6" xfId="27760"/>
    <cellStyle name="Calculation 30 4_Table 2A-1_EFT (Annual)" xfId="6623"/>
    <cellStyle name="Calculation 30 5" xfId="835"/>
    <cellStyle name="Calculation 30 5 2" xfId="4396"/>
    <cellStyle name="Calculation 30 5 2 2" xfId="12670"/>
    <cellStyle name="Calculation 30 5 2 2 2" xfId="24687"/>
    <cellStyle name="Calculation 30 5 2 2 2 2" xfId="45873"/>
    <cellStyle name="Calculation 30 5 2 2 3" xfId="35269"/>
    <cellStyle name="Calculation 30 5 2 3" xfId="19574"/>
    <cellStyle name="Calculation 30 5 2 3 2" xfId="40761"/>
    <cellStyle name="Calculation 30 5 2 4" xfId="30053"/>
    <cellStyle name="Calculation 30 5 2_Table 2A-1_EFT (Annual)" xfId="12004"/>
    <cellStyle name="Calculation 30 5 3" xfId="10019"/>
    <cellStyle name="Calculation 30 5 3 2" xfId="22141"/>
    <cellStyle name="Calculation 30 5 3 2 2" xfId="43327"/>
    <cellStyle name="Calculation 30 5 3 3" xfId="32723"/>
    <cellStyle name="Calculation 30 5 4" xfId="17028"/>
    <cellStyle name="Calculation 30 5 4 2" xfId="38215"/>
    <cellStyle name="Calculation 30 5 5" xfId="27310"/>
    <cellStyle name="Calculation 30 5_Table 2A-1_EFT (Annual)" xfId="6625"/>
    <cellStyle name="Calculation 30 6" xfId="2024"/>
    <cellStyle name="Calculation 30 6 2" xfId="5585"/>
    <cellStyle name="Calculation 30 6 2 2" xfId="13800"/>
    <cellStyle name="Calculation 30 6 2 2 2" xfId="25788"/>
    <cellStyle name="Calculation 30 6 2 2 2 2" xfId="46974"/>
    <cellStyle name="Calculation 30 6 2 2 3" xfId="36370"/>
    <cellStyle name="Calculation 30 6 2 3" xfId="20675"/>
    <cellStyle name="Calculation 30 6 2 3 2" xfId="41862"/>
    <cellStyle name="Calculation 30 6 2 4" xfId="31242"/>
    <cellStyle name="Calculation 30 6 2_Table 2A-1_EFT (Annual)" xfId="12002"/>
    <cellStyle name="Calculation 30 6 3" xfId="11144"/>
    <cellStyle name="Calculation 30 6 3 2" xfId="23242"/>
    <cellStyle name="Calculation 30 6 3 2 2" xfId="44428"/>
    <cellStyle name="Calculation 30 6 3 3" xfId="33824"/>
    <cellStyle name="Calculation 30 6 4" xfId="18129"/>
    <cellStyle name="Calculation 30 6 4 2" xfId="39316"/>
    <cellStyle name="Calculation 30 6 5" xfId="28499"/>
    <cellStyle name="Calculation 30 6_Table 2A-1_EFT (Annual)" xfId="6626"/>
    <cellStyle name="Calculation 30 7" xfId="3832"/>
    <cellStyle name="Calculation 30 7 2" xfId="12195"/>
    <cellStyle name="Calculation 30 7 2 2" xfId="24224"/>
    <cellStyle name="Calculation 30 7 2 2 2" xfId="45410"/>
    <cellStyle name="Calculation 30 7 2 3" xfId="34806"/>
    <cellStyle name="Calculation 30 7 3" xfId="19111"/>
    <cellStyle name="Calculation 30 7 3 2" xfId="40298"/>
    <cellStyle name="Calculation 30 7 4" xfId="29541"/>
    <cellStyle name="Calculation 30 7_Table 2A-1_EFT (Annual)" xfId="12003"/>
    <cellStyle name="Calculation 30 8" xfId="9514"/>
    <cellStyle name="Calculation 30 8 2" xfId="21678"/>
    <cellStyle name="Calculation 30 8 2 2" xfId="42864"/>
    <cellStyle name="Calculation 30 8 3" xfId="32260"/>
    <cellStyle name="Calculation 30 9" xfId="16565"/>
    <cellStyle name="Calculation 30 9 2" xfId="37752"/>
    <cellStyle name="Calculation 30_Table 2A-1_EFT (Annual)" xfId="2957"/>
    <cellStyle name="Calculation 31" xfId="191"/>
    <cellStyle name="Calculation 31 10" xfId="26746"/>
    <cellStyle name="Calculation 31 2" xfId="584"/>
    <cellStyle name="Calculation 31 2 2" xfId="1561"/>
    <cellStyle name="Calculation 31 2 2 2" xfId="2831"/>
    <cellStyle name="Calculation 31 2 2 2 2" xfId="6392"/>
    <cellStyle name="Calculation 31 2 2 2 2 2" xfId="14586"/>
    <cellStyle name="Calculation 31 2 2 2 2 2 2" xfId="26558"/>
    <cellStyle name="Calculation 31 2 2 2 2 2 2 2" xfId="47744"/>
    <cellStyle name="Calculation 31 2 2 2 2 2 3" xfId="37140"/>
    <cellStyle name="Calculation 31 2 2 2 2 3" xfId="21445"/>
    <cellStyle name="Calculation 31 2 2 2 2 3 2" xfId="42632"/>
    <cellStyle name="Calculation 31 2 2 2 2 4" xfId="32048"/>
    <cellStyle name="Calculation 31 2 2 2 2_Table 2A-1_EFT (Annual)" xfId="9353"/>
    <cellStyle name="Calculation 31 2 2 2 3" xfId="11928"/>
    <cellStyle name="Calculation 31 2 2 2 3 2" xfId="24012"/>
    <cellStyle name="Calculation 31 2 2 2 3 2 2" xfId="45198"/>
    <cellStyle name="Calculation 31 2 2 2 3 3" xfId="34594"/>
    <cellStyle name="Calculation 31 2 2 2 4" xfId="18899"/>
    <cellStyle name="Calculation 31 2 2 2 4 2" xfId="40086"/>
    <cellStyle name="Calculation 31 2 2 2 5" xfId="29305"/>
    <cellStyle name="Calculation 31 2 2 2_Table 2A-1_EFT (Annual)" xfId="6628"/>
    <cellStyle name="Calculation 31 2 2 3" xfId="5122"/>
    <cellStyle name="Calculation 31 2 2 3 2" xfId="13382"/>
    <cellStyle name="Calculation 31 2 2 3 2 2" xfId="25388"/>
    <cellStyle name="Calculation 31 2 2 3 2 2 2" xfId="46574"/>
    <cellStyle name="Calculation 31 2 2 3 2 3" xfId="35970"/>
    <cellStyle name="Calculation 31 2 2 3 3" xfId="20275"/>
    <cellStyle name="Calculation 31 2 2 3 3 2" xfId="41462"/>
    <cellStyle name="Calculation 31 2 2 3 4" xfId="30779"/>
    <cellStyle name="Calculation 31 2 2 3_Table 2A-1_EFT (Annual)" xfId="12001"/>
    <cellStyle name="Calculation 31 2 2 4" xfId="10726"/>
    <cellStyle name="Calculation 31 2 2 4 2" xfId="22842"/>
    <cellStyle name="Calculation 31 2 2 4 2 2" xfId="44028"/>
    <cellStyle name="Calculation 31 2 2 4 3" xfId="33424"/>
    <cellStyle name="Calculation 31 2 2 5" xfId="17729"/>
    <cellStyle name="Calculation 31 2 2 5 2" xfId="38916"/>
    <cellStyle name="Calculation 31 2 2 6" xfId="28036"/>
    <cellStyle name="Calculation 31 2 2_Table 2A-1_EFT (Annual)" xfId="6627"/>
    <cellStyle name="Calculation 31 2 3" xfId="1083"/>
    <cellStyle name="Calculation 31 2 3 2" xfId="4644"/>
    <cellStyle name="Calculation 31 2 3 2 2" xfId="12904"/>
    <cellStyle name="Calculation 31 2 3 2 2 2" xfId="24910"/>
    <cellStyle name="Calculation 31 2 3 2 2 2 2" xfId="46096"/>
    <cellStyle name="Calculation 31 2 3 2 2 3" xfId="35492"/>
    <cellStyle name="Calculation 31 2 3 2 3" xfId="19797"/>
    <cellStyle name="Calculation 31 2 3 2 3 2" xfId="40984"/>
    <cellStyle name="Calculation 31 2 3 2 4" xfId="30301"/>
    <cellStyle name="Calculation 31 2 3 2_Table 2A-1_EFT (Annual)" xfId="9355"/>
    <cellStyle name="Calculation 31 2 3 3" xfId="10248"/>
    <cellStyle name="Calculation 31 2 3 3 2" xfId="22364"/>
    <cellStyle name="Calculation 31 2 3 3 2 2" xfId="43550"/>
    <cellStyle name="Calculation 31 2 3 3 3" xfId="32946"/>
    <cellStyle name="Calculation 31 2 3 4" xfId="17251"/>
    <cellStyle name="Calculation 31 2 3 4 2" xfId="38438"/>
    <cellStyle name="Calculation 31 2 3 5" xfId="27558"/>
    <cellStyle name="Calculation 31 2 3_Table 2A-1_EFT (Annual)" xfId="6629"/>
    <cellStyle name="Calculation 31 2 4" xfId="2300"/>
    <cellStyle name="Calculation 31 2 4 2" xfId="5861"/>
    <cellStyle name="Calculation 31 2 4 2 2" xfId="14076"/>
    <cellStyle name="Calculation 31 2 4 2 2 2" xfId="26064"/>
    <cellStyle name="Calculation 31 2 4 2 2 2 2" xfId="47250"/>
    <cellStyle name="Calculation 31 2 4 2 2 3" xfId="36646"/>
    <cellStyle name="Calculation 31 2 4 2 3" xfId="20951"/>
    <cellStyle name="Calculation 31 2 4 2 3 2" xfId="42138"/>
    <cellStyle name="Calculation 31 2 4 2 4" xfId="31518"/>
    <cellStyle name="Calculation 31 2 4 2_Table 2A-1_EFT (Annual)" xfId="13442"/>
    <cellStyle name="Calculation 31 2 4 3" xfId="11420"/>
    <cellStyle name="Calculation 31 2 4 3 2" xfId="23518"/>
    <cellStyle name="Calculation 31 2 4 3 2 2" xfId="44704"/>
    <cellStyle name="Calculation 31 2 4 3 3" xfId="34100"/>
    <cellStyle name="Calculation 31 2 4 4" xfId="18405"/>
    <cellStyle name="Calculation 31 2 4 4 2" xfId="39592"/>
    <cellStyle name="Calculation 31 2 4 5" xfId="28775"/>
    <cellStyle name="Calculation 31 2 4_Table 2A-1_EFT (Annual)" xfId="6630"/>
    <cellStyle name="Calculation 31 2 5" xfId="4154"/>
    <cellStyle name="Calculation 31 2 5 2" xfId="12478"/>
    <cellStyle name="Calculation 31 2 5 2 2" xfId="24500"/>
    <cellStyle name="Calculation 31 2 5 2 2 2" xfId="45686"/>
    <cellStyle name="Calculation 31 2 5 2 3" xfId="35082"/>
    <cellStyle name="Calculation 31 2 5 3" xfId="19387"/>
    <cellStyle name="Calculation 31 2 5 3 2" xfId="40574"/>
    <cellStyle name="Calculation 31 2 5 4" xfId="29842"/>
    <cellStyle name="Calculation 31 2 5_Table 2A-1_EFT (Annual)" xfId="11480"/>
    <cellStyle name="Calculation 31 2 6" xfId="9817"/>
    <cellStyle name="Calculation 31 2 6 2" xfId="21954"/>
    <cellStyle name="Calculation 31 2 6 2 2" xfId="43140"/>
    <cellStyle name="Calculation 31 2 6 3" xfId="32536"/>
    <cellStyle name="Calculation 31 2 7" xfId="16841"/>
    <cellStyle name="Calculation 31 2 7 2" xfId="38028"/>
    <cellStyle name="Calculation 31 2 8" xfId="27099"/>
    <cellStyle name="Calculation 31 2_Table 2A-1_EFT (Annual)" xfId="2961"/>
    <cellStyle name="Calculation 31 3" xfId="421"/>
    <cellStyle name="Calculation 31 3 2" xfId="1404"/>
    <cellStyle name="Calculation 31 3 2 2" xfId="2674"/>
    <cellStyle name="Calculation 31 3 2 2 2" xfId="6235"/>
    <cellStyle name="Calculation 31 3 2 2 2 2" xfId="14429"/>
    <cellStyle name="Calculation 31 3 2 2 2 2 2" xfId="26401"/>
    <cellStyle name="Calculation 31 3 2 2 2 2 2 2" xfId="47587"/>
    <cellStyle name="Calculation 31 3 2 2 2 2 3" xfId="36983"/>
    <cellStyle name="Calculation 31 3 2 2 2 3" xfId="21288"/>
    <cellStyle name="Calculation 31 3 2 2 2 3 2" xfId="42475"/>
    <cellStyle name="Calculation 31 3 2 2 2 4" xfId="31891"/>
    <cellStyle name="Calculation 31 3 2 2 2_Table 2A-1_EFT (Annual)" xfId="13482"/>
    <cellStyle name="Calculation 31 3 2 2 3" xfId="11771"/>
    <cellStyle name="Calculation 31 3 2 2 3 2" xfId="23855"/>
    <cellStyle name="Calculation 31 3 2 2 3 2 2" xfId="45041"/>
    <cellStyle name="Calculation 31 3 2 2 3 3" xfId="34437"/>
    <cellStyle name="Calculation 31 3 2 2 4" xfId="18742"/>
    <cellStyle name="Calculation 31 3 2 2 4 2" xfId="39929"/>
    <cellStyle name="Calculation 31 3 2 2 5" xfId="29148"/>
    <cellStyle name="Calculation 31 3 2 2_Table 2A-1_EFT (Annual)" xfId="6632"/>
    <cellStyle name="Calculation 31 3 2 3" xfId="4965"/>
    <cellStyle name="Calculation 31 3 2 3 2" xfId="13225"/>
    <cellStyle name="Calculation 31 3 2 3 2 2" xfId="25231"/>
    <cellStyle name="Calculation 31 3 2 3 2 2 2" xfId="46417"/>
    <cellStyle name="Calculation 31 3 2 3 2 3" xfId="35813"/>
    <cellStyle name="Calculation 31 3 2 3 3" xfId="20118"/>
    <cellStyle name="Calculation 31 3 2 3 3 2" xfId="41305"/>
    <cellStyle name="Calculation 31 3 2 3 4" xfId="30622"/>
    <cellStyle name="Calculation 31 3 2 3_Table 2A-1_EFT (Annual)" xfId="12000"/>
    <cellStyle name="Calculation 31 3 2 4" xfId="10569"/>
    <cellStyle name="Calculation 31 3 2 4 2" xfId="22685"/>
    <cellStyle name="Calculation 31 3 2 4 2 2" xfId="43871"/>
    <cellStyle name="Calculation 31 3 2 4 3" xfId="33267"/>
    <cellStyle name="Calculation 31 3 2 5" xfId="17572"/>
    <cellStyle name="Calculation 31 3 2 5 2" xfId="38759"/>
    <cellStyle name="Calculation 31 3 2 6" xfId="27879"/>
    <cellStyle name="Calculation 31 3 2_Table 2A-1_EFT (Annual)" xfId="6631"/>
    <cellStyle name="Calculation 31 3 3" xfId="950"/>
    <cellStyle name="Calculation 31 3 3 2" xfId="4511"/>
    <cellStyle name="Calculation 31 3 3 2 2" xfId="12773"/>
    <cellStyle name="Calculation 31 3 3 2 2 2" xfId="24783"/>
    <cellStyle name="Calculation 31 3 3 2 2 2 2" xfId="45969"/>
    <cellStyle name="Calculation 31 3 3 2 2 3" xfId="35365"/>
    <cellStyle name="Calculation 31 3 3 2 3" xfId="19670"/>
    <cellStyle name="Calculation 31 3 3 2 3 2" xfId="40857"/>
    <cellStyle name="Calculation 31 3 3 2 4" xfId="30168"/>
    <cellStyle name="Calculation 31 3 3 2_Table 2A-1_EFT (Annual)" xfId="14145"/>
    <cellStyle name="Calculation 31 3 3 3" xfId="10120"/>
    <cellStyle name="Calculation 31 3 3 3 2" xfId="22237"/>
    <cellStyle name="Calculation 31 3 3 3 2 2" xfId="43423"/>
    <cellStyle name="Calculation 31 3 3 3 3" xfId="32819"/>
    <cellStyle name="Calculation 31 3 3 4" xfId="17124"/>
    <cellStyle name="Calculation 31 3 3 4 2" xfId="38311"/>
    <cellStyle name="Calculation 31 3 3 5" xfId="27425"/>
    <cellStyle name="Calculation 31 3 3_Table 2A-1_EFT (Annual)" xfId="6633"/>
    <cellStyle name="Calculation 31 3 4" xfId="2143"/>
    <cellStyle name="Calculation 31 3 4 2" xfId="5704"/>
    <cellStyle name="Calculation 31 3 4 2 2" xfId="13919"/>
    <cellStyle name="Calculation 31 3 4 2 2 2" xfId="25907"/>
    <cellStyle name="Calculation 31 3 4 2 2 2 2" xfId="47093"/>
    <cellStyle name="Calculation 31 3 4 2 2 3" xfId="36489"/>
    <cellStyle name="Calculation 31 3 4 2 3" xfId="20794"/>
    <cellStyle name="Calculation 31 3 4 2 3 2" xfId="41981"/>
    <cellStyle name="Calculation 31 3 4 2 4" xfId="31361"/>
    <cellStyle name="Calculation 31 3 4 2_Table 2A-1_EFT (Annual)" xfId="9523"/>
    <cellStyle name="Calculation 31 3 4 3" xfId="11263"/>
    <cellStyle name="Calculation 31 3 4 3 2" xfId="23361"/>
    <cellStyle name="Calculation 31 3 4 3 2 2" xfId="44547"/>
    <cellStyle name="Calculation 31 3 4 3 3" xfId="33943"/>
    <cellStyle name="Calculation 31 3 4 4" xfId="18248"/>
    <cellStyle name="Calculation 31 3 4 4 2" xfId="39435"/>
    <cellStyle name="Calculation 31 3 4 5" xfId="28618"/>
    <cellStyle name="Calculation 31 3 4_Table 2A-1_EFT (Annual)" xfId="6634"/>
    <cellStyle name="Calculation 31 3 5" xfId="3991"/>
    <cellStyle name="Calculation 31 3 5 2" xfId="12319"/>
    <cellStyle name="Calculation 31 3 5 2 2" xfId="24343"/>
    <cellStyle name="Calculation 31 3 5 2 2 2" xfId="45529"/>
    <cellStyle name="Calculation 31 3 5 2 3" xfId="34925"/>
    <cellStyle name="Calculation 31 3 5 3" xfId="19230"/>
    <cellStyle name="Calculation 31 3 5 3 2" xfId="40417"/>
    <cellStyle name="Calculation 31 3 5 4" xfId="29679"/>
    <cellStyle name="Calculation 31 3 5_Table 2A-1_EFT (Annual)" xfId="11996"/>
    <cellStyle name="Calculation 31 3 6" xfId="9656"/>
    <cellStyle name="Calculation 31 3 6 2" xfId="21797"/>
    <cellStyle name="Calculation 31 3 6 2 2" xfId="42983"/>
    <cellStyle name="Calculation 31 3 6 3" xfId="32379"/>
    <cellStyle name="Calculation 31 3 7" xfId="16684"/>
    <cellStyle name="Calculation 31 3 7 2" xfId="37871"/>
    <cellStyle name="Calculation 31 3 8" xfId="26936"/>
    <cellStyle name="Calculation 31 3_Table 2A-1_EFT (Annual)" xfId="2962"/>
    <cellStyle name="Calculation 31 4" xfId="1239"/>
    <cellStyle name="Calculation 31 4 2" xfId="2509"/>
    <cellStyle name="Calculation 31 4 2 2" xfId="6070"/>
    <cellStyle name="Calculation 31 4 2 2 2" xfId="14264"/>
    <cellStyle name="Calculation 31 4 2 2 2 2" xfId="26236"/>
    <cellStyle name="Calculation 31 4 2 2 2 2 2" xfId="47422"/>
    <cellStyle name="Calculation 31 4 2 2 2 3" xfId="36818"/>
    <cellStyle name="Calculation 31 4 2 2 3" xfId="21123"/>
    <cellStyle name="Calculation 31 4 2 2 3 2" xfId="42310"/>
    <cellStyle name="Calculation 31 4 2 2 4" xfId="31726"/>
    <cellStyle name="Calculation 31 4 2 2_Table 2A-1_EFT (Annual)" xfId="10791"/>
    <cellStyle name="Calculation 31 4 2 3" xfId="11606"/>
    <cellStyle name="Calculation 31 4 2 3 2" xfId="23690"/>
    <cellStyle name="Calculation 31 4 2 3 2 2" xfId="44876"/>
    <cellStyle name="Calculation 31 4 2 3 3" xfId="34272"/>
    <cellStyle name="Calculation 31 4 2 4" xfId="18577"/>
    <cellStyle name="Calculation 31 4 2 4 2" xfId="39764"/>
    <cellStyle name="Calculation 31 4 2 5" xfId="28983"/>
    <cellStyle name="Calculation 31 4 2_Table 2A-1_EFT (Annual)" xfId="6636"/>
    <cellStyle name="Calculation 31 4 3" xfId="4800"/>
    <cellStyle name="Calculation 31 4 3 2" xfId="13060"/>
    <cellStyle name="Calculation 31 4 3 2 2" xfId="25066"/>
    <cellStyle name="Calculation 31 4 3 2 2 2" xfId="46252"/>
    <cellStyle name="Calculation 31 4 3 2 3" xfId="35648"/>
    <cellStyle name="Calculation 31 4 3 3" xfId="19953"/>
    <cellStyle name="Calculation 31 4 3 3 2" xfId="41140"/>
    <cellStyle name="Calculation 31 4 3 4" xfId="30457"/>
    <cellStyle name="Calculation 31 4 3_Table 2A-1_EFT (Annual)" xfId="12541"/>
    <cellStyle name="Calculation 31 4 4" xfId="10404"/>
    <cellStyle name="Calculation 31 4 4 2" xfId="22520"/>
    <cellStyle name="Calculation 31 4 4 2 2" xfId="43706"/>
    <cellStyle name="Calculation 31 4 4 3" xfId="33102"/>
    <cellStyle name="Calculation 31 4 5" xfId="17407"/>
    <cellStyle name="Calculation 31 4 5 2" xfId="38594"/>
    <cellStyle name="Calculation 31 4 6" xfId="27714"/>
    <cellStyle name="Calculation 31 4_Table 2A-1_EFT (Annual)" xfId="6635"/>
    <cellStyle name="Calculation 31 5" xfId="792"/>
    <cellStyle name="Calculation 31 5 2" xfId="4353"/>
    <cellStyle name="Calculation 31 5 2 2" xfId="12633"/>
    <cellStyle name="Calculation 31 5 2 2 2" xfId="24650"/>
    <cellStyle name="Calculation 31 5 2 2 2 2" xfId="45836"/>
    <cellStyle name="Calculation 31 5 2 2 3" xfId="35232"/>
    <cellStyle name="Calculation 31 5 2 3" xfId="19537"/>
    <cellStyle name="Calculation 31 5 2 3 2" xfId="40724"/>
    <cellStyle name="Calculation 31 5 2 4" xfId="30010"/>
    <cellStyle name="Calculation 31 5 2_Table 2A-1_EFT (Annual)" xfId="10897"/>
    <cellStyle name="Calculation 31 5 3" xfId="9981"/>
    <cellStyle name="Calculation 31 5 3 2" xfId="22104"/>
    <cellStyle name="Calculation 31 5 3 2 2" xfId="43290"/>
    <cellStyle name="Calculation 31 5 3 3" xfId="32686"/>
    <cellStyle name="Calculation 31 5 4" xfId="16991"/>
    <cellStyle name="Calculation 31 5 4 2" xfId="38178"/>
    <cellStyle name="Calculation 31 5 5" xfId="27267"/>
    <cellStyle name="Calculation 31 5_Table 2A-1_EFT (Annual)" xfId="6637"/>
    <cellStyle name="Calculation 31 6" xfId="1978"/>
    <cellStyle name="Calculation 31 6 2" xfId="5539"/>
    <cellStyle name="Calculation 31 6 2 2" xfId="13754"/>
    <cellStyle name="Calculation 31 6 2 2 2" xfId="25742"/>
    <cellStyle name="Calculation 31 6 2 2 2 2" xfId="46928"/>
    <cellStyle name="Calculation 31 6 2 2 3" xfId="36324"/>
    <cellStyle name="Calculation 31 6 2 3" xfId="20629"/>
    <cellStyle name="Calculation 31 6 2 3 2" xfId="41816"/>
    <cellStyle name="Calculation 31 6 2 4" xfId="31196"/>
    <cellStyle name="Calculation 31 6 2_Table 2A-1_EFT (Annual)" xfId="12212"/>
    <cellStyle name="Calculation 31 6 3" xfId="11098"/>
    <cellStyle name="Calculation 31 6 3 2" xfId="23196"/>
    <cellStyle name="Calculation 31 6 3 2 2" xfId="44382"/>
    <cellStyle name="Calculation 31 6 3 3" xfId="33778"/>
    <cellStyle name="Calculation 31 6 4" xfId="18083"/>
    <cellStyle name="Calculation 31 6 4 2" xfId="39270"/>
    <cellStyle name="Calculation 31 6 5" xfId="28453"/>
    <cellStyle name="Calculation 31 6_Table 2A-1_EFT (Annual)" xfId="6638"/>
    <cellStyle name="Calculation 31 7" xfId="3780"/>
    <cellStyle name="Calculation 31 7 2" xfId="12148"/>
    <cellStyle name="Calculation 31 7 2 2" xfId="24178"/>
    <cellStyle name="Calculation 31 7 2 2 2" xfId="45364"/>
    <cellStyle name="Calculation 31 7 2 3" xfId="34760"/>
    <cellStyle name="Calculation 31 7 3" xfId="19065"/>
    <cellStyle name="Calculation 31 7 3 2" xfId="40252"/>
    <cellStyle name="Calculation 31 7 4" xfId="29489"/>
    <cellStyle name="Calculation 31 7_Table 2A-1_EFT (Annual)" xfId="13485"/>
    <cellStyle name="Calculation 31 8" xfId="9467"/>
    <cellStyle name="Calculation 31 8 2" xfId="21632"/>
    <cellStyle name="Calculation 31 8 2 2" xfId="42818"/>
    <cellStyle name="Calculation 31 8 3" xfId="32214"/>
    <cellStyle name="Calculation 31 9" xfId="16519"/>
    <cellStyle name="Calculation 31 9 2" xfId="37706"/>
    <cellStyle name="Calculation 31_Table 2A-1_EFT (Annual)" xfId="2960"/>
    <cellStyle name="Calculation 32" xfId="247"/>
    <cellStyle name="Calculation 32 10" xfId="26802"/>
    <cellStyle name="Calculation 32 2" xfId="634"/>
    <cellStyle name="Calculation 32 2 2" xfId="1611"/>
    <cellStyle name="Calculation 32 2 2 2" xfId="2881"/>
    <cellStyle name="Calculation 32 2 2 2 2" xfId="6442"/>
    <cellStyle name="Calculation 32 2 2 2 2 2" xfId="14636"/>
    <cellStyle name="Calculation 32 2 2 2 2 2 2" xfId="26608"/>
    <cellStyle name="Calculation 32 2 2 2 2 2 2 2" xfId="47794"/>
    <cellStyle name="Calculation 32 2 2 2 2 2 3" xfId="37190"/>
    <cellStyle name="Calculation 32 2 2 2 2 3" xfId="21495"/>
    <cellStyle name="Calculation 32 2 2 2 2 3 2" xfId="42682"/>
    <cellStyle name="Calculation 32 2 2 2 2 4" xfId="32098"/>
    <cellStyle name="Calculation 32 2 2 2 2_Table 2A-1_EFT (Annual)" xfId="11495"/>
    <cellStyle name="Calculation 32 2 2 2 3" xfId="11978"/>
    <cellStyle name="Calculation 32 2 2 2 3 2" xfId="24062"/>
    <cellStyle name="Calculation 32 2 2 2 3 2 2" xfId="45248"/>
    <cellStyle name="Calculation 32 2 2 2 3 3" xfId="34644"/>
    <cellStyle name="Calculation 32 2 2 2 4" xfId="18949"/>
    <cellStyle name="Calculation 32 2 2 2 4 2" xfId="40136"/>
    <cellStyle name="Calculation 32 2 2 2 5" xfId="29355"/>
    <cellStyle name="Calculation 32 2 2 2_Table 2A-1_EFT (Annual)" xfId="6640"/>
    <cellStyle name="Calculation 32 2 2 3" xfId="5172"/>
    <cellStyle name="Calculation 32 2 2 3 2" xfId="13432"/>
    <cellStyle name="Calculation 32 2 2 3 2 2" xfId="25438"/>
    <cellStyle name="Calculation 32 2 2 3 2 2 2" xfId="46624"/>
    <cellStyle name="Calculation 32 2 2 3 2 3" xfId="36020"/>
    <cellStyle name="Calculation 32 2 2 3 3" xfId="20325"/>
    <cellStyle name="Calculation 32 2 2 3 3 2" xfId="41512"/>
    <cellStyle name="Calculation 32 2 2 3 4" xfId="30829"/>
    <cellStyle name="Calculation 32 2 2 3_Table 2A-1_EFT (Annual)" xfId="9549"/>
    <cellStyle name="Calculation 32 2 2 4" xfId="10776"/>
    <cellStyle name="Calculation 32 2 2 4 2" xfId="22892"/>
    <cellStyle name="Calculation 32 2 2 4 2 2" xfId="44078"/>
    <cellStyle name="Calculation 32 2 2 4 3" xfId="33474"/>
    <cellStyle name="Calculation 32 2 2 5" xfId="17779"/>
    <cellStyle name="Calculation 32 2 2 5 2" xfId="38966"/>
    <cellStyle name="Calculation 32 2 2 6" xfId="28086"/>
    <cellStyle name="Calculation 32 2 2_Table 2A-1_EFT (Annual)" xfId="6639"/>
    <cellStyle name="Calculation 32 2 3" xfId="1124"/>
    <cellStyle name="Calculation 32 2 3 2" xfId="4685"/>
    <cellStyle name="Calculation 32 2 3 2 2" xfId="12945"/>
    <cellStyle name="Calculation 32 2 3 2 2 2" xfId="24951"/>
    <cellStyle name="Calculation 32 2 3 2 2 2 2" xfId="46137"/>
    <cellStyle name="Calculation 32 2 3 2 2 3" xfId="35533"/>
    <cellStyle name="Calculation 32 2 3 2 3" xfId="19838"/>
    <cellStyle name="Calculation 32 2 3 2 3 2" xfId="41025"/>
    <cellStyle name="Calculation 32 2 3 2 4" xfId="30342"/>
    <cellStyle name="Calculation 32 2 3 2_Table 2A-1_EFT (Annual)" xfId="11999"/>
    <cellStyle name="Calculation 32 2 3 3" xfId="10289"/>
    <cellStyle name="Calculation 32 2 3 3 2" xfId="22405"/>
    <cellStyle name="Calculation 32 2 3 3 2 2" xfId="43591"/>
    <cellStyle name="Calculation 32 2 3 3 3" xfId="32987"/>
    <cellStyle name="Calculation 32 2 3 4" xfId="17292"/>
    <cellStyle name="Calculation 32 2 3 4 2" xfId="38479"/>
    <cellStyle name="Calculation 32 2 3 5" xfId="27599"/>
    <cellStyle name="Calculation 32 2 3_Table 2A-1_EFT (Annual)" xfId="6641"/>
    <cellStyle name="Calculation 32 2 4" xfId="2350"/>
    <cellStyle name="Calculation 32 2 4 2" xfId="5911"/>
    <cellStyle name="Calculation 32 2 4 2 2" xfId="14126"/>
    <cellStyle name="Calculation 32 2 4 2 2 2" xfId="26114"/>
    <cellStyle name="Calculation 32 2 4 2 2 2 2" xfId="47300"/>
    <cellStyle name="Calculation 32 2 4 2 2 3" xfId="36696"/>
    <cellStyle name="Calculation 32 2 4 2 3" xfId="21001"/>
    <cellStyle name="Calculation 32 2 4 2 3 2" xfId="42188"/>
    <cellStyle name="Calculation 32 2 4 2 4" xfId="31568"/>
    <cellStyle name="Calculation 32 2 4 2_Table 2A-1_EFT (Annual)" xfId="11997"/>
    <cellStyle name="Calculation 32 2 4 3" xfId="11470"/>
    <cellStyle name="Calculation 32 2 4 3 2" xfId="23568"/>
    <cellStyle name="Calculation 32 2 4 3 2 2" xfId="44754"/>
    <cellStyle name="Calculation 32 2 4 3 3" xfId="34150"/>
    <cellStyle name="Calculation 32 2 4 4" xfId="18455"/>
    <cellStyle name="Calculation 32 2 4 4 2" xfId="39642"/>
    <cellStyle name="Calculation 32 2 4 5" xfId="28825"/>
    <cellStyle name="Calculation 32 2 4_Table 2A-1_EFT (Annual)" xfId="6642"/>
    <cellStyle name="Calculation 32 2 5" xfId="4204"/>
    <cellStyle name="Calculation 32 2 5 2" xfId="12528"/>
    <cellStyle name="Calculation 32 2 5 2 2" xfId="24550"/>
    <cellStyle name="Calculation 32 2 5 2 2 2" xfId="45736"/>
    <cellStyle name="Calculation 32 2 5 2 3" xfId="35132"/>
    <cellStyle name="Calculation 32 2 5 3" xfId="19437"/>
    <cellStyle name="Calculation 32 2 5 3 2" xfId="40624"/>
    <cellStyle name="Calculation 32 2 5 4" xfId="29892"/>
    <cellStyle name="Calculation 32 2 5_Table 2A-1_EFT (Annual)" xfId="11998"/>
    <cellStyle name="Calculation 32 2 6" xfId="9867"/>
    <cellStyle name="Calculation 32 2 6 2" xfId="22004"/>
    <cellStyle name="Calculation 32 2 6 2 2" xfId="43190"/>
    <cellStyle name="Calculation 32 2 6 3" xfId="32586"/>
    <cellStyle name="Calculation 32 2 7" xfId="16891"/>
    <cellStyle name="Calculation 32 2 7 2" xfId="38078"/>
    <cellStyle name="Calculation 32 2 8" xfId="27149"/>
    <cellStyle name="Calculation 32 2_Table 2A-1_EFT (Annual)" xfId="2964"/>
    <cellStyle name="Calculation 32 3" xfId="473"/>
    <cellStyle name="Calculation 32 3 2" xfId="1450"/>
    <cellStyle name="Calculation 32 3 2 2" xfId="2720"/>
    <cellStyle name="Calculation 32 3 2 2 2" xfId="6281"/>
    <cellStyle name="Calculation 32 3 2 2 2 2" xfId="14475"/>
    <cellStyle name="Calculation 32 3 2 2 2 2 2" xfId="26447"/>
    <cellStyle name="Calculation 32 3 2 2 2 2 2 2" xfId="47633"/>
    <cellStyle name="Calculation 32 3 2 2 2 2 3" xfId="37029"/>
    <cellStyle name="Calculation 32 3 2 2 2 3" xfId="21334"/>
    <cellStyle name="Calculation 32 3 2 2 2 3 2" xfId="42521"/>
    <cellStyle name="Calculation 32 3 2 2 2 4" xfId="31937"/>
    <cellStyle name="Calculation 32 3 2 2 2_Table 2A-1_EFT (Annual)" xfId="12351"/>
    <cellStyle name="Calculation 32 3 2 2 3" xfId="11817"/>
    <cellStyle name="Calculation 32 3 2 2 3 2" xfId="23901"/>
    <cellStyle name="Calculation 32 3 2 2 3 2 2" xfId="45087"/>
    <cellStyle name="Calculation 32 3 2 2 3 3" xfId="34483"/>
    <cellStyle name="Calculation 32 3 2 2 4" xfId="18788"/>
    <cellStyle name="Calculation 32 3 2 2 4 2" xfId="39975"/>
    <cellStyle name="Calculation 32 3 2 2 5" xfId="29194"/>
    <cellStyle name="Calculation 32 3 2 2_Table 2A-1_EFT (Annual)" xfId="6644"/>
    <cellStyle name="Calculation 32 3 2 3" xfId="5011"/>
    <cellStyle name="Calculation 32 3 2 3 2" xfId="13271"/>
    <cellStyle name="Calculation 32 3 2 3 2 2" xfId="25277"/>
    <cellStyle name="Calculation 32 3 2 3 2 2 2" xfId="46463"/>
    <cellStyle name="Calculation 32 3 2 3 2 3" xfId="35859"/>
    <cellStyle name="Calculation 32 3 2 3 3" xfId="20164"/>
    <cellStyle name="Calculation 32 3 2 3 3 2" xfId="41351"/>
    <cellStyle name="Calculation 32 3 2 3 4" xfId="30668"/>
    <cellStyle name="Calculation 32 3 2 3_Table 2A-1_EFT (Annual)" xfId="13515"/>
    <cellStyle name="Calculation 32 3 2 4" xfId="10615"/>
    <cellStyle name="Calculation 32 3 2 4 2" xfId="22731"/>
    <cellStyle name="Calculation 32 3 2 4 2 2" xfId="43917"/>
    <cellStyle name="Calculation 32 3 2 4 3" xfId="33313"/>
    <cellStyle name="Calculation 32 3 2 5" xfId="17618"/>
    <cellStyle name="Calculation 32 3 2 5 2" xfId="38805"/>
    <cellStyle name="Calculation 32 3 2 6" xfId="27925"/>
    <cellStyle name="Calculation 32 3 2_Table 2A-1_EFT (Annual)" xfId="6643"/>
    <cellStyle name="Calculation 32 3 3" xfId="994"/>
    <cellStyle name="Calculation 32 3 3 2" xfId="4555"/>
    <cellStyle name="Calculation 32 3 3 2 2" xfId="12815"/>
    <cellStyle name="Calculation 32 3 3 2 2 2" xfId="24821"/>
    <cellStyle name="Calculation 32 3 3 2 2 2 2" xfId="46007"/>
    <cellStyle name="Calculation 32 3 3 2 2 3" xfId="35403"/>
    <cellStyle name="Calculation 32 3 3 2 3" xfId="19708"/>
    <cellStyle name="Calculation 32 3 3 2 3 2" xfId="40895"/>
    <cellStyle name="Calculation 32 3 3 2 4" xfId="30212"/>
    <cellStyle name="Calculation 32 3 3 2_Table 2A-1_EFT (Annual)" xfId="12802"/>
    <cellStyle name="Calculation 32 3 3 3" xfId="10159"/>
    <cellStyle name="Calculation 32 3 3 3 2" xfId="22275"/>
    <cellStyle name="Calculation 32 3 3 3 2 2" xfId="43461"/>
    <cellStyle name="Calculation 32 3 3 3 3" xfId="32857"/>
    <cellStyle name="Calculation 32 3 3 4" xfId="17162"/>
    <cellStyle name="Calculation 32 3 3 4 2" xfId="38349"/>
    <cellStyle name="Calculation 32 3 3 5" xfId="27469"/>
    <cellStyle name="Calculation 32 3 3_Table 2A-1_EFT (Annual)" xfId="6645"/>
    <cellStyle name="Calculation 32 3 4" xfId="2189"/>
    <cellStyle name="Calculation 32 3 4 2" xfId="5750"/>
    <cellStyle name="Calculation 32 3 4 2 2" xfId="13965"/>
    <cellStyle name="Calculation 32 3 4 2 2 2" xfId="25953"/>
    <cellStyle name="Calculation 32 3 4 2 2 2 2" xfId="47139"/>
    <cellStyle name="Calculation 32 3 4 2 2 3" xfId="36535"/>
    <cellStyle name="Calculation 32 3 4 2 3" xfId="20840"/>
    <cellStyle name="Calculation 32 3 4 2 3 2" xfId="42027"/>
    <cellStyle name="Calculation 32 3 4 2 4" xfId="31407"/>
    <cellStyle name="Calculation 32 3 4 2_Table 2A-1_EFT (Annual)" xfId="11498"/>
    <cellStyle name="Calculation 32 3 4 3" xfId="11309"/>
    <cellStyle name="Calculation 32 3 4 3 2" xfId="23407"/>
    <cellStyle name="Calculation 32 3 4 3 2 2" xfId="44593"/>
    <cellStyle name="Calculation 32 3 4 3 3" xfId="33989"/>
    <cellStyle name="Calculation 32 3 4 4" xfId="18294"/>
    <cellStyle name="Calculation 32 3 4 4 2" xfId="39481"/>
    <cellStyle name="Calculation 32 3 4 5" xfId="28664"/>
    <cellStyle name="Calculation 32 3 4_Table 2A-1_EFT (Annual)" xfId="6646"/>
    <cellStyle name="Calculation 32 3 5" xfId="4043"/>
    <cellStyle name="Calculation 32 3 5 2" xfId="12367"/>
    <cellStyle name="Calculation 32 3 5 2 2" xfId="24389"/>
    <cellStyle name="Calculation 32 3 5 2 2 2" xfId="45575"/>
    <cellStyle name="Calculation 32 3 5 2 3" xfId="34971"/>
    <cellStyle name="Calculation 32 3 5 3" xfId="19276"/>
    <cellStyle name="Calculation 32 3 5 3 2" xfId="40463"/>
    <cellStyle name="Calculation 32 3 5 4" xfId="29731"/>
    <cellStyle name="Calculation 32 3 5_Table 2A-1_EFT (Annual)" xfId="9690"/>
    <cellStyle name="Calculation 32 3 6" xfId="9706"/>
    <cellStyle name="Calculation 32 3 6 2" xfId="21843"/>
    <cellStyle name="Calculation 32 3 6 2 2" xfId="43029"/>
    <cellStyle name="Calculation 32 3 6 3" xfId="32425"/>
    <cellStyle name="Calculation 32 3 7" xfId="16730"/>
    <cellStyle name="Calculation 32 3 7 2" xfId="37917"/>
    <cellStyle name="Calculation 32 3 8" xfId="26988"/>
    <cellStyle name="Calculation 32 3_Table 2A-1_EFT (Annual)" xfId="2965"/>
    <cellStyle name="Calculation 32 4" xfId="1289"/>
    <cellStyle name="Calculation 32 4 2" xfId="2559"/>
    <cellStyle name="Calculation 32 4 2 2" xfId="6120"/>
    <cellStyle name="Calculation 32 4 2 2 2" xfId="14314"/>
    <cellStyle name="Calculation 32 4 2 2 2 2" xfId="26286"/>
    <cellStyle name="Calculation 32 4 2 2 2 2 2" xfId="47472"/>
    <cellStyle name="Calculation 32 4 2 2 2 3" xfId="36868"/>
    <cellStyle name="Calculation 32 4 2 2 3" xfId="21173"/>
    <cellStyle name="Calculation 32 4 2 2 3 2" xfId="42360"/>
    <cellStyle name="Calculation 32 4 2 2 4" xfId="31776"/>
    <cellStyle name="Calculation 32 4 2 2_Table 2A-1_EFT (Annual)" xfId="12039"/>
    <cellStyle name="Calculation 32 4 2 3" xfId="11656"/>
    <cellStyle name="Calculation 32 4 2 3 2" xfId="23740"/>
    <cellStyle name="Calculation 32 4 2 3 2 2" xfId="44926"/>
    <cellStyle name="Calculation 32 4 2 3 3" xfId="34322"/>
    <cellStyle name="Calculation 32 4 2 4" xfId="18627"/>
    <cellStyle name="Calculation 32 4 2 4 2" xfId="39814"/>
    <cellStyle name="Calculation 32 4 2 5" xfId="29033"/>
    <cellStyle name="Calculation 32 4 2_Table 2A-1_EFT (Annual)" xfId="6648"/>
    <cellStyle name="Calculation 32 4 3" xfId="4850"/>
    <cellStyle name="Calculation 32 4 3 2" xfId="13110"/>
    <cellStyle name="Calculation 32 4 3 2 2" xfId="25116"/>
    <cellStyle name="Calculation 32 4 3 2 2 2" xfId="46302"/>
    <cellStyle name="Calculation 32 4 3 2 3" xfId="35698"/>
    <cellStyle name="Calculation 32 4 3 3" xfId="20003"/>
    <cellStyle name="Calculation 32 4 3 3 2" xfId="41190"/>
    <cellStyle name="Calculation 32 4 3 4" xfId="30507"/>
    <cellStyle name="Calculation 32 4 3_Table 2A-1_EFT (Annual)" xfId="13448"/>
    <cellStyle name="Calculation 32 4 4" xfId="10454"/>
    <cellStyle name="Calculation 32 4 4 2" xfId="22570"/>
    <cellStyle name="Calculation 32 4 4 2 2" xfId="43756"/>
    <cellStyle name="Calculation 32 4 4 3" xfId="33152"/>
    <cellStyle name="Calculation 32 4 5" xfId="17457"/>
    <cellStyle name="Calculation 32 4 5 2" xfId="38644"/>
    <cellStyle name="Calculation 32 4 6" xfId="27764"/>
    <cellStyle name="Calculation 32 4_Table 2A-1_EFT (Annual)" xfId="6647"/>
    <cellStyle name="Calculation 32 5" xfId="839"/>
    <cellStyle name="Calculation 32 5 2" xfId="4400"/>
    <cellStyle name="Calculation 32 5 2 2" xfId="12674"/>
    <cellStyle name="Calculation 32 5 2 2 2" xfId="24691"/>
    <cellStyle name="Calculation 32 5 2 2 2 2" xfId="45877"/>
    <cellStyle name="Calculation 32 5 2 2 3" xfId="35273"/>
    <cellStyle name="Calculation 32 5 2 3" xfId="19578"/>
    <cellStyle name="Calculation 32 5 2 3 2" xfId="40765"/>
    <cellStyle name="Calculation 32 5 2 4" xfId="30057"/>
    <cellStyle name="Calculation 32 5 2_Table 2A-1_EFT (Annual)" xfId="12540"/>
    <cellStyle name="Calculation 32 5 3" xfId="10023"/>
    <cellStyle name="Calculation 32 5 3 2" xfId="22145"/>
    <cellStyle name="Calculation 32 5 3 2 2" xfId="43331"/>
    <cellStyle name="Calculation 32 5 3 3" xfId="32727"/>
    <cellStyle name="Calculation 32 5 4" xfId="17032"/>
    <cellStyle name="Calculation 32 5 4 2" xfId="38219"/>
    <cellStyle name="Calculation 32 5 5" xfId="27314"/>
    <cellStyle name="Calculation 32 5_Table 2A-1_EFT (Annual)" xfId="6649"/>
    <cellStyle name="Calculation 32 6" xfId="2028"/>
    <cellStyle name="Calculation 32 6 2" xfId="5589"/>
    <cellStyle name="Calculation 32 6 2 2" xfId="13804"/>
    <cellStyle name="Calculation 32 6 2 2 2" xfId="25792"/>
    <cellStyle name="Calculation 32 6 2 2 2 2" xfId="46978"/>
    <cellStyle name="Calculation 32 6 2 2 3" xfId="36374"/>
    <cellStyle name="Calculation 32 6 2 3" xfId="20679"/>
    <cellStyle name="Calculation 32 6 2 3 2" xfId="41866"/>
    <cellStyle name="Calculation 32 6 2 4" xfId="31246"/>
    <cellStyle name="Calculation 32 6 2_Table 2A-1_EFT (Annual)" xfId="10896"/>
    <cellStyle name="Calculation 32 6 3" xfId="11148"/>
    <cellStyle name="Calculation 32 6 3 2" xfId="23246"/>
    <cellStyle name="Calculation 32 6 3 2 2" xfId="44432"/>
    <cellStyle name="Calculation 32 6 3 3" xfId="33828"/>
    <cellStyle name="Calculation 32 6 4" xfId="18133"/>
    <cellStyle name="Calculation 32 6 4 2" xfId="39320"/>
    <cellStyle name="Calculation 32 6 5" xfId="28503"/>
    <cellStyle name="Calculation 32 6_Table 2A-1_EFT (Annual)" xfId="6650"/>
    <cellStyle name="Calculation 32 7" xfId="3836"/>
    <cellStyle name="Calculation 32 7 2" xfId="12199"/>
    <cellStyle name="Calculation 32 7 2 2" xfId="24228"/>
    <cellStyle name="Calculation 32 7 2 2 2" xfId="45414"/>
    <cellStyle name="Calculation 32 7 2 3" xfId="34810"/>
    <cellStyle name="Calculation 32 7 3" xfId="19115"/>
    <cellStyle name="Calculation 32 7 3 2" xfId="40302"/>
    <cellStyle name="Calculation 32 7 4" xfId="29545"/>
    <cellStyle name="Calculation 32 7_Table 2A-1_EFT (Annual)" xfId="11995"/>
    <cellStyle name="Calculation 32 8" xfId="9518"/>
    <cellStyle name="Calculation 32 8 2" xfId="21682"/>
    <cellStyle name="Calculation 32 8 2 2" xfId="42868"/>
    <cellStyle name="Calculation 32 8 3" xfId="32264"/>
    <cellStyle name="Calculation 32 9" xfId="16569"/>
    <cellStyle name="Calculation 32 9 2" xfId="37756"/>
    <cellStyle name="Calculation 32_Table 2A-1_EFT (Annual)" xfId="2963"/>
    <cellStyle name="Calculation 33" xfId="225"/>
    <cellStyle name="Calculation 33 10" xfId="26780"/>
    <cellStyle name="Calculation 33 2" xfId="616"/>
    <cellStyle name="Calculation 33 2 2" xfId="1593"/>
    <cellStyle name="Calculation 33 2 2 2" xfId="2863"/>
    <cellStyle name="Calculation 33 2 2 2 2" xfId="6424"/>
    <cellStyle name="Calculation 33 2 2 2 2 2" xfId="14618"/>
    <cellStyle name="Calculation 33 2 2 2 2 2 2" xfId="26590"/>
    <cellStyle name="Calculation 33 2 2 2 2 2 2 2" xfId="47776"/>
    <cellStyle name="Calculation 33 2 2 2 2 2 3" xfId="37172"/>
    <cellStyle name="Calculation 33 2 2 2 2 3" xfId="21477"/>
    <cellStyle name="Calculation 33 2 2 2 2 3 2" xfId="42664"/>
    <cellStyle name="Calculation 33 2 2 2 2 4" xfId="32080"/>
    <cellStyle name="Calculation 33 2 2 2 2_Table 2A-1_EFT (Annual)" xfId="12685"/>
    <cellStyle name="Calculation 33 2 2 2 3" xfId="11960"/>
    <cellStyle name="Calculation 33 2 2 2 3 2" xfId="24044"/>
    <cellStyle name="Calculation 33 2 2 2 3 2 2" xfId="45230"/>
    <cellStyle name="Calculation 33 2 2 2 3 3" xfId="34626"/>
    <cellStyle name="Calculation 33 2 2 2 4" xfId="18931"/>
    <cellStyle name="Calculation 33 2 2 2 4 2" xfId="40118"/>
    <cellStyle name="Calculation 33 2 2 2 5" xfId="29337"/>
    <cellStyle name="Calculation 33 2 2 2_Table 2A-1_EFT (Annual)" xfId="6652"/>
    <cellStyle name="Calculation 33 2 2 3" xfId="5154"/>
    <cellStyle name="Calculation 33 2 2 3 2" xfId="13414"/>
    <cellStyle name="Calculation 33 2 2 3 2 2" xfId="25420"/>
    <cellStyle name="Calculation 33 2 2 3 2 2 2" xfId="46606"/>
    <cellStyle name="Calculation 33 2 2 3 2 3" xfId="36002"/>
    <cellStyle name="Calculation 33 2 2 3 3" xfId="20307"/>
    <cellStyle name="Calculation 33 2 2 3 3 2" xfId="41494"/>
    <cellStyle name="Calculation 33 2 2 3 4" xfId="30811"/>
    <cellStyle name="Calculation 33 2 2 3_Table 2A-1_EFT (Annual)" xfId="14150"/>
    <cellStyle name="Calculation 33 2 2 4" xfId="10758"/>
    <cellStyle name="Calculation 33 2 2 4 2" xfId="22874"/>
    <cellStyle name="Calculation 33 2 2 4 2 2" xfId="44060"/>
    <cellStyle name="Calculation 33 2 2 4 3" xfId="33456"/>
    <cellStyle name="Calculation 33 2 2 5" xfId="17761"/>
    <cellStyle name="Calculation 33 2 2 5 2" xfId="38948"/>
    <cellStyle name="Calculation 33 2 2 6" xfId="28068"/>
    <cellStyle name="Calculation 33 2 2_Table 2A-1_EFT (Annual)" xfId="6651"/>
    <cellStyle name="Calculation 33 2 3" xfId="1109"/>
    <cellStyle name="Calculation 33 2 3 2" xfId="4670"/>
    <cellStyle name="Calculation 33 2 3 2 2" xfId="12930"/>
    <cellStyle name="Calculation 33 2 3 2 2 2" xfId="24936"/>
    <cellStyle name="Calculation 33 2 3 2 2 2 2" xfId="46122"/>
    <cellStyle name="Calculation 33 2 3 2 2 3" xfId="35518"/>
    <cellStyle name="Calculation 33 2 3 2 3" xfId="19823"/>
    <cellStyle name="Calculation 33 2 3 2 3 2" xfId="41010"/>
    <cellStyle name="Calculation 33 2 3 2 4" xfId="30327"/>
    <cellStyle name="Calculation 33 2 3 2_Table 2A-1_EFT (Annual)" xfId="9548"/>
    <cellStyle name="Calculation 33 2 3 3" xfId="10274"/>
    <cellStyle name="Calculation 33 2 3 3 2" xfId="22390"/>
    <cellStyle name="Calculation 33 2 3 3 2 2" xfId="43576"/>
    <cellStyle name="Calculation 33 2 3 3 3" xfId="32972"/>
    <cellStyle name="Calculation 33 2 3 4" xfId="17277"/>
    <cellStyle name="Calculation 33 2 3 4 2" xfId="38464"/>
    <cellStyle name="Calculation 33 2 3 5" xfId="27584"/>
    <cellStyle name="Calculation 33 2 3_Table 2A-1_EFT (Annual)" xfId="6653"/>
    <cellStyle name="Calculation 33 2 4" xfId="2332"/>
    <cellStyle name="Calculation 33 2 4 2" xfId="5893"/>
    <cellStyle name="Calculation 33 2 4 2 2" xfId="14108"/>
    <cellStyle name="Calculation 33 2 4 2 2 2" xfId="26096"/>
    <cellStyle name="Calculation 33 2 4 2 2 2 2" xfId="47282"/>
    <cellStyle name="Calculation 33 2 4 2 2 3" xfId="36678"/>
    <cellStyle name="Calculation 33 2 4 2 3" xfId="20983"/>
    <cellStyle name="Calculation 33 2 4 2 3 2" xfId="42170"/>
    <cellStyle name="Calculation 33 2 4 2 4" xfId="31550"/>
    <cellStyle name="Calculation 33 2 4 2_Table 2A-1_EFT (Annual)" xfId="11994"/>
    <cellStyle name="Calculation 33 2 4 3" xfId="11452"/>
    <cellStyle name="Calculation 33 2 4 3 2" xfId="23550"/>
    <cellStyle name="Calculation 33 2 4 3 2 2" xfId="44736"/>
    <cellStyle name="Calculation 33 2 4 3 3" xfId="34132"/>
    <cellStyle name="Calculation 33 2 4 4" xfId="18437"/>
    <cellStyle name="Calculation 33 2 4 4 2" xfId="39624"/>
    <cellStyle name="Calculation 33 2 4 5" xfId="28807"/>
    <cellStyle name="Calculation 33 2 4_Table 2A-1_EFT (Annual)" xfId="6654"/>
    <cellStyle name="Calculation 33 2 5" xfId="4186"/>
    <cellStyle name="Calculation 33 2 5 2" xfId="12510"/>
    <cellStyle name="Calculation 33 2 5 2 2" xfId="24532"/>
    <cellStyle name="Calculation 33 2 5 2 2 2" xfId="45718"/>
    <cellStyle name="Calculation 33 2 5 2 3" xfId="35114"/>
    <cellStyle name="Calculation 33 2 5 3" xfId="19419"/>
    <cellStyle name="Calculation 33 2 5 3 2" xfId="40606"/>
    <cellStyle name="Calculation 33 2 5 4" xfId="29874"/>
    <cellStyle name="Calculation 33 2 5_Table 2A-1_EFT (Annual)" xfId="10822"/>
    <cellStyle name="Calculation 33 2 6" xfId="9849"/>
    <cellStyle name="Calculation 33 2 6 2" xfId="21986"/>
    <cellStyle name="Calculation 33 2 6 2 2" xfId="43172"/>
    <cellStyle name="Calculation 33 2 6 3" xfId="32568"/>
    <cellStyle name="Calculation 33 2 7" xfId="16873"/>
    <cellStyle name="Calculation 33 2 7 2" xfId="38060"/>
    <cellStyle name="Calculation 33 2 8" xfId="27131"/>
    <cellStyle name="Calculation 33 2_Table 2A-1_EFT (Annual)" xfId="2967"/>
    <cellStyle name="Calculation 33 3" xfId="452"/>
    <cellStyle name="Calculation 33 3 2" xfId="1433"/>
    <cellStyle name="Calculation 33 3 2 2" xfId="2703"/>
    <cellStyle name="Calculation 33 3 2 2 2" xfId="6264"/>
    <cellStyle name="Calculation 33 3 2 2 2 2" xfId="14458"/>
    <cellStyle name="Calculation 33 3 2 2 2 2 2" xfId="26430"/>
    <cellStyle name="Calculation 33 3 2 2 2 2 2 2" xfId="47616"/>
    <cellStyle name="Calculation 33 3 2 2 2 2 3" xfId="37012"/>
    <cellStyle name="Calculation 33 3 2 2 2 3" xfId="21317"/>
    <cellStyle name="Calculation 33 3 2 2 2 3 2" xfId="42504"/>
    <cellStyle name="Calculation 33 3 2 2 2 4" xfId="31920"/>
    <cellStyle name="Calculation 33 3 2 2 2_Table 2A-1_EFT (Annual)" xfId="11489"/>
    <cellStyle name="Calculation 33 3 2 2 3" xfId="11800"/>
    <cellStyle name="Calculation 33 3 2 2 3 2" xfId="23884"/>
    <cellStyle name="Calculation 33 3 2 2 3 2 2" xfId="45070"/>
    <cellStyle name="Calculation 33 3 2 2 3 3" xfId="34466"/>
    <cellStyle name="Calculation 33 3 2 2 4" xfId="18771"/>
    <cellStyle name="Calculation 33 3 2 2 4 2" xfId="39958"/>
    <cellStyle name="Calculation 33 3 2 2 5" xfId="29177"/>
    <cellStyle name="Calculation 33 3 2 2_Table 2A-1_EFT (Annual)" xfId="6656"/>
    <cellStyle name="Calculation 33 3 2 3" xfId="4994"/>
    <cellStyle name="Calculation 33 3 2 3 2" xfId="13254"/>
    <cellStyle name="Calculation 33 3 2 3 2 2" xfId="25260"/>
    <cellStyle name="Calculation 33 3 2 3 2 2 2" xfId="46446"/>
    <cellStyle name="Calculation 33 3 2 3 2 3" xfId="35842"/>
    <cellStyle name="Calculation 33 3 2 3 3" xfId="20147"/>
    <cellStyle name="Calculation 33 3 2 3 3 2" xfId="41334"/>
    <cellStyle name="Calculation 33 3 2 3 4" xfId="30651"/>
    <cellStyle name="Calculation 33 3 2 3_Table 2A-1_EFT (Annual)" xfId="11993"/>
    <cellStyle name="Calculation 33 3 2 4" xfId="10598"/>
    <cellStyle name="Calculation 33 3 2 4 2" xfId="22714"/>
    <cellStyle name="Calculation 33 3 2 4 2 2" xfId="43900"/>
    <cellStyle name="Calculation 33 3 2 4 3" xfId="33296"/>
    <cellStyle name="Calculation 33 3 2 5" xfId="17601"/>
    <cellStyle name="Calculation 33 3 2 5 2" xfId="38788"/>
    <cellStyle name="Calculation 33 3 2 6" xfId="27908"/>
    <cellStyle name="Calculation 33 3 2_Table 2A-1_EFT (Annual)" xfId="6655"/>
    <cellStyle name="Calculation 33 3 3" xfId="976"/>
    <cellStyle name="Calculation 33 3 3 2" xfId="4537"/>
    <cellStyle name="Calculation 33 3 3 2 2" xfId="12799"/>
    <cellStyle name="Calculation 33 3 3 2 2 2" xfId="24807"/>
    <cellStyle name="Calculation 33 3 3 2 2 2 2" xfId="45993"/>
    <cellStyle name="Calculation 33 3 3 2 2 3" xfId="35389"/>
    <cellStyle name="Calculation 33 3 3 2 3" xfId="19694"/>
    <cellStyle name="Calculation 33 3 3 2 3 2" xfId="40881"/>
    <cellStyle name="Calculation 33 3 3 2 4" xfId="30194"/>
    <cellStyle name="Calculation 33 3 3 2_Table 2A-1_EFT (Annual)" xfId="13514"/>
    <cellStyle name="Calculation 33 3 3 3" xfId="10144"/>
    <cellStyle name="Calculation 33 3 3 3 2" xfId="22261"/>
    <cellStyle name="Calculation 33 3 3 3 2 2" xfId="43447"/>
    <cellStyle name="Calculation 33 3 3 3 3" xfId="32843"/>
    <cellStyle name="Calculation 33 3 3 4" xfId="17148"/>
    <cellStyle name="Calculation 33 3 3 4 2" xfId="38335"/>
    <cellStyle name="Calculation 33 3 3 5" xfId="27451"/>
    <cellStyle name="Calculation 33 3 3_Table 2A-1_EFT (Annual)" xfId="6657"/>
    <cellStyle name="Calculation 33 3 4" xfId="2172"/>
    <cellStyle name="Calculation 33 3 4 2" xfId="5733"/>
    <cellStyle name="Calculation 33 3 4 2 2" xfId="13948"/>
    <cellStyle name="Calculation 33 3 4 2 2 2" xfId="25936"/>
    <cellStyle name="Calculation 33 3 4 2 2 2 2" xfId="47122"/>
    <cellStyle name="Calculation 33 3 4 2 2 3" xfId="36518"/>
    <cellStyle name="Calculation 33 3 4 2 3" xfId="20823"/>
    <cellStyle name="Calculation 33 3 4 2 3 2" xfId="42010"/>
    <cellStyle name="Calculation 33 3 4 2 4" xfId="31390"/>
    <cellStyle name="Calculation 33 3 4 2_Table 2A-1_EFT (Annual)" xfId="12801"/>
    <cellStyle name="Calculation 33 3 4 3" xfId="11292"/>
    <cellStyle name="Calculation 33 3 4 3 2" xfId="23390"/>
    <cellStyle name="Calculation 33 3 4 3 2 2" xfId="44576"/>
    <cellStyle name="Calculation 33 3 4 3 3" xfId="33972"/>
    <cellStyle name="Calculation 33 3 4 4" xfId="18277"/>
    <cellStyle name="Calculation 33 3 4 4 2" xfId="39464"/>
    <cellStyle name="Calculation 33 3 4 5" xfId="28647"/>
    <cellStyle name="Calculation 33 3 4_Table 2A-1_EFT (Annual)" xfId="6658"/>
    <cellStyle name="Calculation 33 3 5" xfId="4022"/>
    <cellStyle name="Calculation 33 3 5 2" xfId="12348"/>
    <cellStyle name="Calculation 33 3 5 2 2" xfId="24372"/>
    <cellStyle name="Calculation 33 3 5 2 2 2" xfId="45558"/>
    <cellStyle name="Calculation 33 3 5 2 3" xfId="34954"/>
    <cellStyle name="Calculation 33 3 5 3" xfId="19259"/>
    <cellStyle name="Calculation 33 3 5 3 2" xfId="40446"/>
    <cellStyle name="Calculation 33 3 5 4" xfId="29710"/>
    <cellStyle name="Calculation 33 3 5_Table 2A-1_EFT (Annual)" xfId="14156"/>
    <cellStyle name="Calculation 33 3 6" xfId="9687"/>
    <cellStyle name="Calculation 33 3 6 2" xfId="21826"/>
    <cellStyle name="Calculation 33 3 6 2 2" xfId="43012"/>
    <cellStyle name="Calculation 33 3 6 3" xfId="32408"/>
    <cellStyle name="Calculation 33 3 7" xfId="16713"/>
    <cellStyle name="Calculation 33 3 7 2" xfId="37900"/>
    <cellStyle name="Calculation 33 3 8" xfId="26967"/>
    <cellStyle name="Calculation 33 3_Table 2A-1_EFT (Annual)" xfId="2968"/>
    <cellStyle name="Calculation 33 4" xfId="1271"/>
    <cellStyle name="Calculation 33 4 2" xfId="2541"/>
    <cellStyle name="Calculation 33 4 2 2" xfId="6102"/>
    <cellStyle name="Calculation 33 4 2 2 2" xfId="14296"/>
    <cellStyle name="Calculation 33 4 2 2 2 2" xfId="26268"/>
    <cellStyle name="Calculation 33 4 2 2 2 2 2" xfId="47454"/>
    <cellStyle name="Calculation 33 4 2 2 2 3" xfId="36850"/>
    <cellStyle name="Calculation 33 4 2 2 3" xfId="21155"/>
    <cellStyle name="Calculation 33 4 2 2 3 2" xfId="42342"/>
    <cellStyle name="Calculation 33 4 2 2 4" xfId="31758"/>
    <cellStyle name="Calculation 33 4 2 2_Table 2A-1_EFT (Annual)" xfId="9501"/>
    <cellStyle name="Calculation 33 4 2 3" xfId="11638"/>
    <cellStyle name="Calculation 33 4 2 3 2" xfId="23722"/>
    <cellStyle name="Calculation 33 4 2 3 2 2" xfId="44908"/>
    <cellStyle name="Calculation 33 4 2 3 3" xfId="34304"/>
    <cellStyle name="Calculation 33 4 2 4" xfId="18609"/>
    <cellStyle name="Calculation 33 4 2 4 2" xfId="39796"/>
    <cellStyle name="Calculation 33 4 2 5" xfId="29015"/>
    <cellStyle name="Calculation 33 4 2_Table 2A-1_EFT (Annual)" xfId="6660"/>
    <cellStyle name="Calculation 33 4 3" xfId="4832"/>
    <cellStyle name="Calculation 33 4 3 2" xfId="13092"/>
    <cellStyle name="Calculation 33 4 3 2 2" xfId="25098"/>
    <cellStyle name="Calculation 33 4 3 2 2 2" xfId="46284"/>
    <cellStyle name="Calculation 33 4 3 2 3" xfId="35680"/>
    <cellStyle name="Calculation 33 4 3 3" xfId="19985"/>
    <cellStyle name="Calculation 33 4 3 3 2" xfId="41172"/>
    <cellStyle name="Calculation 33 4 3 4" xfId="30489"/>
    <cellStyle name="Calculation 33 4 3_Table 2A-1_EFT (Annual)" xfId="11988"/>
    <cellStyle name="Calculation 33 4 4" xfId="10436"/>
    <cellStyle name="Calculation 33 4 4 2" xfId="22552"/>
    <cellStyle name="Calculation 33 4 4 2 2" xfId="43738"/>
    <cellStyle name="Calculation 33 4 4 3" xfId="33134"/>
    <cellStyle name="Calculation 33 4 5" xfId="17439"/>
    <cellStyle name="Calculation 33 4 5 2" xfId="38626"/>
    <cellStyle name="Calculation 33 4 6" xfId="27746"/>
    <cellStyle name="Calculation 33 4_Table 2A-1_EFT (Annual)" xfId="6659"/>
    <cellStyle name="Calculation 33 5" xfId="820"/>
    <cellStyle name="Calculation 33 5 2" xfId="4381"/>
    <cellStyle name="Calculation 33 5 2 2" xfId="12659"/>
    <cellStyle name="Calculation 33 5 2 2 2" xfId="24676"/>
    <cellStyle name="Calculation 33 5 2 2 2 2" xfId="45862"/>
    <cellStyle name="Calculation 33 5 2 2 3" xfId="35258"/>
    <cellStyle name="Calculation 33 5 2 3" xfId="19563"/>
    <cellStyle name="Calculation 33 5 2 3 2" xfId="40750"/>
    <cellStyle name="Calculation 33 5 2 4" xfId="30038"/>
    <cellStyle name="Calculation 33 5 2_Table 2A-1_EFT (Annual)" xfId="13447"/>
    <cellStyle name="Calculation 33 5 3" xfId="10007"/>
    <cellStyle name="Calculation 33 5 3 2" xfId="22130"/>
    <cellStyle name="Calculation 33 5 3 2 2" xfId="43316"/>
    <cellStyle name="Calculation 33 5 3 3" xfId="32712"/>
    <cellStyle name="Calculation 33 5 4" xfId="17017"/>
    <cellStyle name="Calculation 33 5 4 2" xfId="38204"/>
    <cellStyle name="Calculation 33 5 5" xfId="27295"/>
    <cellStyle name="Calculation 33 5_Table 2A-1_EFT (Annual)" xfId="6661"/>
    <cellStyle name="Calculation 33 6" xfId="2010"/>
    <cellStyle name="Calculation 33 6 2" xfId="5571"/>
    <cellStyle name="Calculation 33 6 2 2" xfId="13786"/>
    <cellStyle name="Calculation 33 6 2 2 2" xfId="25774"/>
    <cellStyle name="Calculation 33 6 2 2 2 2" xfId="46960"/>
    <cellStyle name="Calculation 33 6 2 2 3" xfId="36356"/>
    <cellStyle name="Calculation 33 6 2 3" xfId="20661"/>
    <cellStyle name="Calculation 33 6 2 3 2" xfId="41848"/>
    <cellStyle name="Calculation 33 6 2 4" xfId="31228"/>
    <cellStyle name="Calculation 33 6 2_Table 2A-1_EFT (Annual)" xfId="12539"/>
    <cellStyle name="Calculation 33 6 3" xfId="11130"/>
    <cellStyle name="Calculation 33 6 3 2" xfId="23228"/>
    <cellStyle name="Calculation 33 6 3 2 2" xfId="44414"/>
    <cellStyle name="Calculation 33 6 3 3" xfId="33810"/>
    <cellStyle name="Calculation 33 6 4" xfId="18115"/>
    <cellStyle name="Calculation 33 6 4 2" xfId="39302"/>
    <cellStyle name="Calculation 33 6 5" xfId="28485"/>
    <cellStyle name="Calculation 33 6_Table 2A-1_EFT (Annual)" xfId="6662"/>
    <cellStyle name="Calculation 33 7" xfId="3814"/>
    <cellStyle name="Calculation 33 7 2" xfId="12180"/>
    <cellStyle name="Calculation 33 7 2 2" xfId="24210"/>
    <cellStyle name="Calculation 33 7 2 2 2" xfId="45396"/>
    <cellStyle name="Calculation 33 7 2 3" xfId="34792"/>
    <cellStyle name="Calculation 33 7 3" xfId="19097"/>
    <cellStyle name="Calculation 33 7 3 2" xfId="40284"/>
    <cellStyle name="Calculation 33 7 4" xfId="29523"/>
    <cellStyle name="Calculation 33 7_Table 2A-1_EFT (Annual)" xfId="13553"/>
    <cellStyle name="Calculation 33 8" xfId="9499"/>
    <cellStyle name="Calculation 33 8 2" xfId="21664"/>
    <cellStyle name="Calculation 33 8 2 2" xfId="42850"/>
    <cellStyle name="Calculation 33 8 3" xfId="32246"/>
    <cellStyle name="Calculation 33 9" xfId="16551"/>
    <cellStyle name="Calculation 33 9 2" xfId="37738"/>
    <cellStyle name="Calculation 33_Table 2A-1_EFT (Annual)" xfId="2966"/>
    <cellStyle name="Calculation 34" xfId="233"/>
    <cellStyle name="Calculation 34 2" xfId="620"/>
    <cellStyle name="Calculation 34 2 2" xfId="1597"/>
    <cellStyle name="Calculation 34 2 2 2" xfId="2867"/>
    <cellStyle name="Calculation 34 2 2 2 2" xfId="6428"/>
    <cellStyle name="Calculation 34 2 2 2 2 2" xfId="14622"/>
    <cellStyle name="Calculation 34 2 2 2 2 2 2" xfId="26594"/>
    <cellStyle name="Calculation 34 2 2 2 2 2 2 2" xfId="47780"/>
    <cellStyle name="Calculation 34 2 2 2 2 2 3" xfId="37176"/>
    <cellStyle name="Calculation 34 2 2 2 2 3" xfId="21481"/>
    <cellStyle name="Calculation 34 2 2 2 2 3 2" xfId="42668"/>
    <cellStyle name="Calculation 34 2 2 2 2 4" xfId="32084"/>
    <cellStyle name="Calculation 34 2 2 2 2_Table 2A-1_EFT (Annual)" xfId="13484"/>
    <cellStyle name="Calculation 34 2 2 2 3" xfId="11964"/>
    <cellStyle name="Calculation 34 2 2 2 3 2" xfId="24048"/>
    <cellStyle name="Calculation 34 2 2 2 3 2 2" xfId="45234"/>
    <cellStyle name="Calculation 34 2 2 2 3 3" xfId="34630"/>
    <cellStyle name="Calculation 34 2 2 2 4" xfId="18935"/>
    <cellStyle name="Calculation 34 2 2 2 4 2" xfId="40122"/>
    <cellStyle name="Calculation 34 2 2 2 5" xfId="29341"/>
    <cellStyle name="Calculation 34 2 2 2_Table 2A-1_EFT (Annual)" xfId="6664"/>
    <cellStyle name="Calculation 34 2 2 3" xfId="5158"/>
    <cellStyle name="Calculation 34 2 2 3 2" xfId="13418"/>
    <cellStyle name="Calculation 34 2 2 3 2 2" xfId="25424"/>
    <cellStyle name="Calculation 34 2 2 3 2 2 2" xfId="46610"/>
    <cellStyle name="Calculation 34 2 2 3 2 3" xfId="36006"/>
    <cellStyle name="Calculation 34 2 2 3 3" xfId="20311"/>
    <cellStyle name="Calculation 34 2 2 3 3 2" xfId="41498"/>
    <cellStyle name="Calculation 34 2 2 3 4" xfId="30815"/>
    <cellStyle name="Calculation 34 2 2 3_Table 2A-1_EFT (Annual)" xfId="11992"/>
    <cellStyle name="Calculation 34 2 2 4" xfId="10762"/>
    <cellStyle name="Calculation 34 2 2 4 2" xfId="22878"/>
    <cellStyle name="Calculation 34 2 2 4 2 2" xfId="44064"/>
    <cellStyle name="Calculation 34 2 2 4 3" xfId="33460"/>
    <cellStyle name="Calculation 34 2 2 5" xfId="17765"/>
    <cellStyle name="Calculation 34 2 2 5 2" xfId="38952"/>
    <cellStyle name="Calculation 34 2 2 6" xfId="28072"/>
    <cellStyle name="Calculation 34 2 2_Table 2A-1_EFT (Annual)" xfId="6663"/>
    <cellStyle name="Calculation 34 2 3" xfId="1112"/>
    <cellStyle name="Calculation 34 2 3 2" xfId="4673"/>
    <cellStyle name="Calculation 34 2 3 2 2" xfId="12933"/>
    <cellStyle name="Calculation 34 2 3 2 2 2" xfId="24939"/>
    <cellStyle name="Calculation 34 2 3 2 2 2 2" xfId="46125"/>
    <cellStyle name="Calculation 34 2 3 2 2 3" xfId="35521"/>
    <cellStyle name="Calculation 34 2 3 2 3" xfId="19826"/>
    <cellStyle name="Calculation 34 2 3 2 3 2" xfId="41013"/>
    <cellStyle name="Calculation 34 2 3 2 4" xfId="30330"/>
    <cellStyle name="Calculation 34 2 3 2_Table 2A-1_EFT (Annual)" xfId="14149"/>
    <cellStyle name="Calculation 34 2 3 3" xfId="10277"/>
    <cellStyle name="Calculation 34 2 3 3 2" xfId="22393"/>
    <cellStyle name="Calculation 34 2 3 3 2 2" xfId="43579"/>
    <cellStyle name="Calculation 34 2 3 3 3" xfId="32975"/>
    <cellStyle name="Calculation 34 2 3 4" xfId="17280"/>
    <cellStyle name="Calculation 34 2 3 4 2" xfId="38467"/>
    <cellStyle name="Calculation 34 2 3 5" xfId="27587"/>
    <cellStyle name="Calculation 34 2 3_Table 2A-1_EFT (Annual)" xfId="6665"/>
    <cellStyle name="Calculation 34 2 4" xfId="2336"/>
    <cellStyle name="Calculation 34 2 4 2" xfId="5897"/>
    <cellStyle name="Calculation 34 2 4 2 2" xfId="14112"/>
    <cellStyle name="Calculation 34 2 4 2 2 2" xfId="26100"/>
    <cellStyle name="Calculation 34 2 4 2 2 2 2" xfId="47286"/>
    <cellStyle name="Calculation 34 2 4 2 2 3" xfId="36682"/>
    <cellStyle name="Calculation 34 2 4 2 3" xfId="20987"/>
    <cellStyle name="Calculation 34 2 4 2 3 2" xfId="42174"/>
    <cellStyle name="Calculation 34 2 4 2 4" xfId="31554"/>
    <cellStyle name="Calculation 34 2 4 2_Table 2A-1_EFT (Annual)" xfId="9547"/>
    <cellStyle name="Calculation 34 2 4 3" xfId="11456"/>
    <cellStyle name="Calculation 34 2 4 3 2" xfId="23554"/>
    <cellStyle name="Calculation 34 2 4 3 2 2" xfId="44740"/>
    <cellStyle name="Calculation 34 2 4 3 3" xfId="34136"/>
    <cellStyle name="Calculation 34 2 4 4" xfId="18441"/>
    <cellStyle name="Calculation 34 2 4 4 2" xfId="39628"/>
    <cellStyle name="Calculation 34 2 4 5" xfId="28811"/>
    <cellStyle name="Calculation 34 2 4_Table 2A-1_EFT (Annual)" xfId="6666"/>
    <cellStyle name="Calculation 34 2 5" xfId="4190"/>
    <cellStyle name="Calculation 34 2 5 2" xfId="12514"/>
    <cellStyle name="Calculation 34 2 5 2 2" xfId="24536"/>
    <cellStyle name="Calculation 34 2 5 2 2 2" xfId="45722"/>
    <cellStyle name="Calculation 34 2 5 2 3" xfId="35118"/>
    <cellStyle name="Calculation 34 2 5 3" xfId="19423"/>
    <cellStyle name="Calculation 34 2 5 3 2" xfId="40610"/>
    <cellStyle name="Calculation 34 2 5 4" xfId="29878"/>
    <cellStyle name="Calculation 34 2 5_Table 2A-1_EFT (Annual)" xfId="12182"/>
    <cellStyle name="Calculation 34 2 6" xfId="9853"/>
    <cellStyle name="Calculation 34 2 6 2" xfId="21990"/>
    <cellStyle name="Calculation 34 2 6 2 2" xfId="43176"/>
    <cellStyle name="Calculation 34 2 6 3" xfId="32572"/>
    <cellStyle name="Calculation 34 2 7" xfId="16877"/>
    <cellStyle name="Calculation 34 2 7 2" xfId="38064"/>
    <cellStyle name="Calculation 34 2 8" xfId="27135"/>
    <cellStyle name="Calculation 34 2_Table 2A-1_EFT (Annual)" xfId="2970"/>
    <cellStyle name="Calculation 34 3" xfId="1275"/>
    <cellStyle name="Calculation 34 3 2" xfId="2545"/>
    <cellStyle name="Calculation 34 3 2 2" xfId="6106"/>
    <cellStyle name="Calculation 34 3 2 2 2" xfId="14300"/>
    <cellStyle name="Calculation 34 3 2 2 2 2" xfId="26272"/>
    <cellStyle name="Calculation 34 3 2 2 2 2 2" xfId="47458"/>
    <cellStyle name="Calculation 34 3 2 2 2 3" xfId="36854"/>
    <cellStyle name="Calculation 34 3 2 2 3" xfId="21159"/>
    <cellStyle name="Calculation 34 3 2 2 3 2" xfId="42346"/>
    <cellStyle name="Calculation 34 3 2 2 4" xfId="31762"/>
    <cellStyle name="Calculation 34 3 2 2_Table 2A-1_EFT (Annual)" xfId="11990"/>
    <cellStyle name="Calculation 34 3 2 3" xfId="11642"/>
    <cellStyle name="Calculation 34 3 2 3 2" xfId="23726"/>
    <cellStyle name="Calculation 34 3 2 3 2 2" xfId="44912"/>
    <cellStyle name="Calculation 34 3 2 3 3" xfId="34308"/>
    <cellStyle name="Calculation 34 3 2 4" xfId="18613"/>
    <cellStyle name="Calculation 34 3 2 4 2" xfId="39800"/>
    <cellStyle name="Calculation 34 3 2 5" xfId="29019"/>
    <cellStyle name="Calculation 34 3 2_Table 2A-1_EFT (Annual)" xfId="6668"/>
    <cellStyle name="Calculation 34 3 3" xfId="4836"/>
    <cellStyle name="Calculation 34 3 3 2" xfId="13096"/>
    <cellStyle name="Calculation 34 3 3 2 2" xfId="25102"/>
    <cellStyle name="Calculation 34 3 3 2 2 2" xfId="46288"/>
    <cellStyle name="Calculation 34 3 3 2 3" xfId="35684"/>
    <cellStyle name="Calculation 34 3 3 3" xfId="19989"/>
    <cellStyle name="Calculation 34 3 3 3 2" xfId="41176"/>
    <cellStyle name="Calculation 34 3 3 4" xfId="30493"/>
    <cellStyle name="Calculation 34 3 3_Table 2A-1_EFT (Annual)" xfId="11991"/>
    <cellStyle name="Calculation 34 3 4" xfId="10440"/>
    <cellStyle name="Calculation 34 3 4 2" xfId="22556"/>
    <cellStyle name="Calculation 34 3 4 2 2" xfId="43742"/>
    <cellStyle name="Calculation 34 3 4 3" xfId="33138"/>
    <cellStyle name="Calculation 34 3 5" xfId="17443"/>
    <cellStyle name="Calculation 34 3 5 2" xfId="38630"/>
    <cellStyle name="Calculation 34 3 6" xfId="27750"/>
    <cellStyle name="Calculation 34 3_Table 2A-1_EFT (Annual)" xfId="6667"/>
    <cellStyle name="Calculation 34 4" xfId="827"/>
    <cellStyle name="Calculation 34 4 2" xfId="4388"/>
    <cellStyle name="Calculation 34 4 2 2" xfId="12662"/>
    <cellStyle name="Calculation 34 4 2 2 2" xfId="24679"/>
    <cellStyle name="Calculation 34 4 2 2 2 2" xfId="45865"/>
    <cellStyle name="Calculation 34 4 2 2 3" xfId="35261"/>
    <cellStyle name="Calculation 34 4 2 3" xfId="19566"/>
    <cellStyle name="Calculation 34 4 2 3 2" xfId="40753"/>
    <cellStyle name="Calculation 34 4 2 4" xfId="30045"/>
    <cellStyle name="Calculation 34 4 2_Table 2A-1_EFT (Annual)" xfId="10009"/>
    <cellStyle name="Calculation 34 4 3" xfId="10011"/>
    <cellStyle name="Calculation 34 4 3 2" xfId="22133"/>
    <cellStyle name="Calculation 34 4 3 2 2" xfId="43319"/>
    <cellStyle name="Calculation 34 4 3 3" xfId="32715"/>
    <cellStyle name="Calculation 34 4 4" xfId="17020"/>
    <cellStyle name="Calculation 34 4 4 2" xfId="38207"/>
    <cellStyle name="Calculation 34 4 5" xfId="27302"/>
    <cellStyle name="Calculation 34 4_Table 2A-1_EFT (Annual)" xfId="6669"/>
    <cellStyle name="Calculation 34 5" xfId="2014"/>
    <cellStyle name="Calculation 34 5 2" xfId="5575"/>
    <cellStyle name="Calculation 34 5 2 2" xfId="13790"/>
    <cellStyle name="Calculation 34 5 2 2 2" xfId="25778"/>
    <cellStyle name="Calculation 34 5 2 2 2 2" xfId="46964"/>
    <cellStyle name="Calculation 34 5 2 2 3" xfId="36360"/>
    <cellStyle name="Calculation 34 5 2 3" xfId="20665"/>
    <cellStyle name="Calculation 34 5 2 3 2" xfId="41852"/>
    <cellStyle name="Calculation 34 5 2 4" xfId="31232"/>
    <cellStyle name="Calculation 34 5 2_Table 2A-1_EFT (Annual)" xfId="11989"/>
    <cellStyle name="Calculation 34 5 3" xfId="11134"/>
    <cellStyle name="Calculation 34 5 3 2" xfId="23232"/>
    <cellStyle name="Calculation 34 5 3 2 2" xfId="44418"/>
    <cellStyle name="Calculation 34 5 3 3" xfId="33814"/>
    <cellStyle name="Calculation 34 5 4" xfId="18119"/>
    <cellStyle name="Calculation 34 5 4 2" xfId="39306"/>
    <cellStyle name="Calculation 34 5 5" xfId="28489"/>
    <cellStyle name="Calculation 34 5_Table 2A-1_EFT (Annual)" xfId="6670"/>
    <cellStyle name="Calculation 34 6" xfId="3822"/>
    <cellStyle name="Calculation 34 6 2" xfId="12185"/>
    <cellStyle name="Calculation 34 6 2 2" xfId="24214"/>
    <cellStyle name="Calculation 34 6 2 2 2" xfId="45400"/>
    <cellStyle name="Calculation 34 6 2 3" xfId="34796"/>
    <cellStyle name="Calculation 34 6 3" xfId="19101"/>
    <cellStyle name="Calculation 34 6 3 2" xfId="40288"/>
    <cellStyle name="Calculation 34 6 4" xfId="29531"/>
    <cellStyle name="Calculation 34 6_Table 2A-1_EFT (Annual)" xfId="10858"/>
    <cellStyle name="Calculation 34 7" xfId="9504"/>
    <cellStyle name="Calculation 34 7 2" xfId="21668"/>
    <cellStyle name="Calculation 34 7 2 2" xfId="42854"/>
    <cellStyle name="Calculation 34 7 3" xfId="32250"/>
    <cellStyle name="Calculation 34 8" xfId="16555"/>
    <cellStyle name="Calculation 34 8 2" xfId="37742"/>
    <cellStyle name="Calculation 34 9" xfId="26788"/>
    <cellStyle name="Calculation 34_Table 2A-1_EFT (Annual)" xfId="2969"/>
    <cellStyle name="Calculation 35" xfId="279"/>
    <cellStyle name="Calculation 35 2" xfId="1294"/>
    <cellStyle name="Calculation 35 2 2" xfId="2564"/>
    <cellStyle name="Calculation 35 2 2 2" xfId="6125"/>
    <cellStyle name="Calculation 35 2 2 2 2" xfId="14319"/>
    <cellStyle name="Calculation 35 2 2 2 2 2" xfId="26291"/>
    <cellStyle name="Calculation 35 2 2 2 2 2 2" xfId="47477"/>
    <cellStyle name="Calculation 35 2 2 2 2 3" xfId="36873"/>
    <cellStyle name="Calculation 35 2 2 2 3" xfId="21178"/>
    <cellStyle name="Calculation 35 2 2 2 3 2" xfId="42365"/>
    <cellStyle name="Calculation 35 2 2 2 4" xfId="31781"/>
    <cellStyle name="Calculation 35 2 2 2_Table 2A-1_EFT (Annual)" xfId="11497"/>
    <cellStyle name="Calculation 35 2 2 3" xfId="11661"/>
    <cellStyle name="Calculation 35 2 2 3 2" xfId="23745"/>
    <cellStyle name="Calculation 35 2 2 3 2 2" xfId="44931"/>
    <cellStyle name="Calculation 35 2 2 3 3" xfId="34327"/>
    <cellStyle name="Calculation 35 2 2 4" xfId="18632"/>
    <cellStyle name="Calculation 35 2 2 4 2" xfId="39819"/>
    <cellStyle name="Calculation 35 2 2 5" xfId="29038"/>
    <cellStyle name="Calculation 35 2 2_Table 2A-1_EFT (Annual)" xfId="6672"/>
    <cellStyle name="Calculation 35 2 3" xfId="4855"/>
    <cellStyle name="Calculation 35 2 3 2" xfId="13115"/>
    <cellStyle name="Calculation 35 2 3 2 2" xfId="25121"/>
    <cellStyle name="Calculation 35 2 3 2 2 2" xfId="46307"/>
    <cellStyle name="Calculation 35 2 3 2 3" xfId="35703"/>
    <cellStyle name="Calculation 35 2 3 3" xfId="20008"/>
    <cellStyle name="Calculation 35 2 3 3 2" xfId="41195"/>
    <cellStyle name="Calculation 35 2 3 4" xfId="30512"/>
    <cellStyle name="Calculation 35 2 3_Table 2A-1_EFT (Annual)" xfId="9689"/>
    <cellStyle name="Calculation 35 2 4" xfId="10459"/>
    <cellStyle name="Calculation 35 2 4 2" xfId="22575"/>
    <cellStyle name="Calculation 35 2 4 2 2" xfId="43761"/>
    <cellStyle name="Calculation 35 2 4 3" xfId="33157"/>
    <cellStyle name="Calculation 35 2 5" xfId="17462"/>
    <cellStyle name="Calculation 35 2 5 2" xfId="38649"/>
    <cellStyle name="Calculation 35 2 6" xfId="27769"/>
    <cellStyle name="Calculation 35 2_Table 2A-1_EFT (Annual)" xfId="6671"/>
    <cellStyle name="Calculation 35 3" xfId="844"/>
    <cellStyle name="Calculation 35 3 2" xfId="4405"/>
    <cellStyle name="Calculation 35 3 2 2" xfId="12678"/>
    <cellStyle name="Calculation 35 3 2 2 2" xfId="24695"/>
    <cellStyle name="Calculation 35 3 2 2 2 2" xfId="45881"/>
    <cellStyle name="Calculation 35 3 2 2 3" xfId="35277"/>
    <cellStyle name="Calculation 35 3 2 3" xfId="19582"/>
    <cellStyle name="Calculation 35 3 2 3 2" xfId="40769"/>
    <cellStyle name="Calculation 35 3 2 4" xfId="30062"/>
    <cellStyle name="Calculation 35 3 2_Table 2A-1_EFT (Annual)" xfId="9332"/>
    <cellStyle name="Calculation 35 3 3" xfId="10027"/>
    <cellStyle name="Calculation 35 3 3 2" xfId="22149"/>
    <cellStyle name="Calculation 35 3 3 2 2" xfId="43335"/>
    <cellStyle name="Calculation 35 3 3 3" xfId="32731"/>
    <cellStyle name="Calculation 35 3 4" xfId="17036"/>
    <cellStyle name="Calculation 35 3 4 2" xfId="38223"/>
    <cellStyle name="Calculation 35 3 5" xfId="27319"/>
    <cellStyle name="Calculation 35 3_Table 2A-1_EFT (Annual)" xfId="6673"/>
    <cellStyle name="Calculation 35 4" xfId="2033"/>
    <cellStyle name="Calculation 35 4 2" xfId="5594"/>
    <cellStyle name="Calculation 35 4 2 2" xfId="13809"/>
    <cellStyle name="Calculation 35 4 2 2 2" xfId="25797"/>
    <cellStyle name="Calculation 35 4 2 2 2 2" xfId="46983"/>
    <cellStyle name="Calculation 35 4 2 2 3" xfId="36379"/>
    <cellStyle name="Calculation 35 4 2 3" xfId="20684"/>
    <cellStyle name="Calculation 35 4 2 3 2" xfId="41871"/>
    <cellStyle name="Calculation 35 4 2 4" xfId="31251"/>
    <cellStyle name="Calculation 35 4 2_Table 2A-1_EFT (Annual)" xfId="9348"/>
    <cellStyle name="Calculation 35 4 3" xfId="11153"/>
    <cellStyle name="Calculation 35 4 3 2" xfId="23251"/>
    <cellStyle name="Calculation 35 4 3 2 2" xfId="44437"/>
    <cellStyle name="Calculation 35 4 3 3" xfId="33833"/>
    <cellStyle name="Calculation 35 4 4" xfId="18138"/>
    <cellStyle name="Calculation 35 4 4 2" xfId="39325"/>
    <cellStyle name="Calculation 35 4 5" xfId="28508"/>
    <cellStyle name="Calculation 35 4_Table 2A-1_EFT (Annual)" xfId="6674"/>
    <cellStyle name="Calculation 35 5" xfId="3856"/>
    <cellStyle name="Calculation 35 5 2" xfId="12204"/>
    <cellStyle name="Calculation 35 5 2 2" xfId="24233"/>
    <cellStyle name="Calculation 35 5 2 2 2" xfId="45419"/>
    <cellStyle name="Calculation 35 5 2 3" xfId="34815"/>
    <cellStyle name="Calculation 35 5 3" xfId="19120"/>
    <cellStyle name="Calculation 35 5 3 2" xfId="40307"/>
    <cellStyle name="Calculation 35 5 4" xfId="29551"/>
    <cellStyle name="Calculation 35 5_Table 2A-1_EFT (Annual)" xfId="9540"/>
    <cellStyle name="Calculation 35 6" xfId="9533"/>
    <cellStyle name="Calculation 35 6 2" xfId="21687"/>
    <cellStyle name="Calculation 35 6 2 2" xfId="42873"/>
    <cellStyle name="Calculation 35 6 3" xfId="32269"/>
    <cellStyle name="Calculation 35 7" xfId="16574"/>
    <cellStyle name="Calculation 35 7 2" xfId="37761"/>
    <cellStyle name="Calculation 35 8" xfId="26808"/>
    <cellStyle name="Calculation 35_Table 2A-1_EFT (Annual)" xfId="2971"/>
    <cellStyle name="Calculation 36" xfId="643"/>
    <cellStyle name="Calculation 36 2" xfId="1620"/>
    <cellStyle name="Calculation 36 2 2" xfId="2890"/>
    <cellStyle name="Calculation 36 2 2 2" xfId="6451"/>
    <cellStyle name="Calculation 36 2 2 2 2" xfId="14645"/>
    <cellStyle name="Calculation 36 2 2 2 2 2" xfId="26617"/>
    <cellStyle name="Calculation 36 2 2 2 2 2 2" xfId="47803"/>
    <cellStyle name="Calculation 36 2 2 2 2 3" xfId="37199"/>
    <cellStyle name="Calculation 36 2 2 2 3" xfId="21504"/>
    <cellStyle name="Calculation 36 2 2 2 3 2" xfId="42691"/>
    <cellStyle name="Calculation 36 2 2 2 4" xfId="32107"/>
    <cellStyle name="Calculation 36 2 2 2_Table 2A-1_EFT (Annual)" xfId="9347"/>
    <cellStyle name="Calculation 36 2 2 3" xfId="11987"/>
    <cellStyle name="Calculation 36 2 2 3 2" xfId="24071"/>
    <cellStyle name="Calculation 36 2 2 3 2 2" xfId="45257"/>
    <cellStyle name="Calculation 36 2 2 3 3" xfId="34653"/>
    <cellStyle name="Calculation 36 2 2 4" xfId="18958"/>
    <cellStyle name="Calculation 36 2 2 4 2" xfId="40145"/>
    <cellStyle name="Calculation 36 2 2 5" xfId="29364"/>
    <cellStyle name="Calculation 36 2 2_Table 2A-1_EFT (Annual)" xfId="6676"/>
    <cellStyle name="Calculation 36 2 3" xfId="5181"/>
    <cellStyle name="Calculation 36 2 3 2" xfId="13441"/>
    <cellStyle name="Calculation 36 2 3 2 2" xfId="25447"/>
    <cellStyle name="Calculation 36 2 3 2 2 2" xfId="46633"/>
    <cellStyle name="Calculation 36 2 3 2 3" xfId="36029"/>
    <cellStyle name="Calculation 36 2 3 3" xfId="20334"/>
    <cellStyle name="Calculation 36 2 3 3 2" xfId="41521"/>
    <cellStyle name="Calculation 36 2 3 4" xfId="30838"/>
    <cellStyle name="Calculation 36 2 3_Table 2A-1_EFT (Annual)" xfId="9538"/>
    <cellStyle name="Calculation 36 2 4" xfId="10785"/>
    <cellStyle name="Calculation 36 2 4 2" xfId="22901"/>
    <cellStyle name="Calculation 36 2 4 2 2" xfId="44087"/>
    <cellStyle name="Calculation 36 2 4 3" xfId="33483"/>
    <cellStyle name="Calculation 36 2 5" xfId="17788"/>
    <cellStyle name="Calculation 36 2 5 2" xfId="38975"/>
    <cellStyle name="Calculation 36 2 6" xfId="28095"/>
    <cellStyle name="Calculation 36 2_Table 2A-1_EFT (Annual)" xfId="6675"/>
    <cellStyle name="Calculation 36 3" xfId="1132"/>
    <cellStyle name="Calculation 36 3 2" xfId="4693"/>
    <cellStyle name="Calculation 36 3 2 2" xfId="12953"/>
    <cellStyle name="Calculation 36 3 2 2 2" xfId="24959"/>
    <cellStyle name="Calculation 36 3 2 2 2 2" xfId="46145"/>
    <cellStyle name="Calculation 36 3 2 2 3" xfId="35541"/>
    <cellStyle name="Calculation 36 3 2 3" xfId="19846"/>
    <cellStyle name="Calculation 36 3 2 3 2" xfId="41033"/>
    <cellStyle name="Calculation 36 3 2 4" xfId="30350"/>
    <cellStyle name="Calculation 36 3 2_Table 2A-1_EFT (Annual)" xfId="9537"/>
    <cellStyle name="Calculation 36 3 3" xfId="10297"/>
    <cellStyle name="Calculation 36 3 3 2" xfId="22413"/>
    <cellStyle name="Calculation 36 3 3 2 2" xfId="43599"/>
    <cellStyle name="Calculation 36 3 3 3" xfId="32995"/>
    <cellStyle name="Calculation 36 3 4" xfId="17300"/>
    <cellStyle name="Calculation 36 3 4 2" xfId="38487"/>
    <cellStyle name="Calculation 36 3 5" xfId="27607"/>
    <cellStyle name="Calculation 36 3_Table 2A-1_EFT (Annual)" xfId="6677"/>
    <cellStyle name="Calculation 36 4" xfId="2359"/>
    <cellStyle name="Calculation 36 4 2" xfId="5920"/>
    <cellStyle name="Calculation 36 4 2 2" xfId="14135"/>
    <cellStyle name="Calculation 36 4 2 2 2" xfId="26123"/>
    <cellStyle name="Calculation 36 4 2 2 2 2" xfId="47309"/>
    <cellStyle name="Calculation 36 4 2 2 3" xfId="36705"/>
    <cellStyle name="Calculation 36 4 2 3" xfId="21010"/>
    <cellStyle name="Calculation 36 4 2 3 2" xfId="42197"/>
    <cellStyle name="Calculation 36 4 2 4" xfId="31577"/>
    <cellStyle name="Calculation 36 4 2_Table 2A-1_EFT (Annual)" xfId="9536"/>
    <cellStyle name="Calculation 36 4 3" xfId="11479"/>
    <cellStyle name="Calculation 36 4 3 2" xfId="23577"/>
    <cellStyle name="Calculation 36 4 3 2 2" xfId="44763"/>
    <cellStyle name="Calculation 36 4 3 3" xfId="34159"/>
    <cellStyle name="Calculation 36 4 4" xfId="18464"/>
    <cellStyle name="Calculation 36 4 4 2" xfId="39651"/>
    <cellStyle name="Calculation 36 4 5" xfId="28834"/>
    <cellStyle name="Calculation 36 4_Table 2A-1_EFT (Annual)" xfId="6678"/>
    <cellStyle name="Calculation 36 5" xfId="4213"/>
    <cellStyle name="Calculation 36 5 2" xfId="12537"/>
    <cellStyle name="Calculation 36 5 2 2" xfId="24559"/>
    <cellStyle name="Calculation 36 5 2 2 2" xfId="45745"/>
    <cellStyle name="Calculation 36 5 2 3" xfId="35141"/>
    <cellStyle name="Calculation 36 5 3" xfId="19446"/>
    <cellStyle name="Calculation 36 5 3 2" xfId="40633"/>
    <cellStyle name="Calculation 36 5 4" xfId="29901"/>
    <cellStyle name="Calculation 36 5_Table 2A-1_EFT (Annual)" xfId="9888"/>
    <cellStyle name="Calculation 36 6" xfId="9876"/>
    <cellStyle name="Calculation 36 6 2" xfId="22013"/>
    <cellStyle name="Calculation 36 6 2 2" xfId="43199"/>
    <cellStyle name="Calculation 36 6 3" xfId="32595"/>
    <cellStyle name="Calculation 36 7" xfId="16900"/>
    <cellStyle name="Calculation 36 7 2" xfId="38087"/>
    <cellStyle name="Calculation 36 8" xfId="27158"/>
    <cellStyle name="Calculation 36_Table 2A-1_EFT (Annual)" xfId="2972"/>
    <cellStyle name="Calculation 37" xfId="683"/>
    <cellStyle name="Calculation 37 2" xfId="2361"/>
    <cellStyle name="Calculation 37 2 2" xfId="5922"/>
    <cellStyle name="Calculation 37 2 2 2" xfId="14136"/>
    <cellStyle name="Calculation 37 2 2 2 2" xfId="26124"/>
    <cellStyle name="Calculation 37 2 2 2 2 2" xfId="47310"/>
    <cellStyle name="Calculation 37 2 2 2 3" xfId="36706"/>
    <cellStyle name="Calculation 37 2 2 3" xfId="21011"/>
    <cellStyle name="Calculation 37 2 2 3 2" xfId="42198"/>
    <cellStyle name="Calculation 37 2 2 4" xfId="31578"/>
    <cellStyle name="Calculation 37 2 2_Table 2A-1_EFT (Annual)" xfId="9535"/>
    <cellStyle name="Calculation 37 2 3" xfId="11481"/>
    <cellStyle name="Calculation 37 2 3 2" xfId="23578"/>
    <cellStyle name="Calculation 37 2 3 2 2" xfId="44764"/>
    <cellStyle name="Calculation 37 2 3 3" xfId="34160"/>
    <cellStyle name="Calculation 37 2 4" xfId="18465"/>
    <cellStyle name="Calculation 37 2 4 2" xfId="39652"/>
    <cellStyle name="Calculation 37 2 5" xfId="28835"/>
    <cellStyle name="Calculation 37 2_Table 2A-1_EFT (Annual)" xfId="6680"/>
    <cellStyle name="Calculation 37 3" xfId="4249"/>
    <cellStyle name="Calculation 37 3 2" xfId="12542"/>
    <cellStyle name="Calculation 37 3 2 2" xfId="24560"/>
    <cellStyle name="Calculation 37 3 2 2 2" xfId="45746"/>
    <cellStyle name="Calculation 37 3 2 3" xfId="35142"/>
    <cellStyle name="Calculation 37 3 3" xfId="19447"/>
    <cellStyle name="Calculation 37 3 3 2" xfId="40634"/>
    <cellStyle name="Calculation 37 3 4" xfId="29915"/>
    <cellStyle name="Calculation 37 3_Table 2A-1_EFT (Annual)" xfId="9887"/>
    <cellStyle name="Calculation 37 4" xfId="9885"/>
    <cellStyle name="Calculation 37 4 2" xfId="22014"/>
    <cellStyle name="Calculation 37 4 2 2" xfId="43200"/>
    <cellStyle name="Calculation 37 4 3" xfId="32596"/>
    <cellStyle name="Calculation 37 5" xfId="16901"/>
    <cellStyle name="Calculation 37 5 2" xfId="38088"/>
    <cellStyle name="Calculation 37 6" xfId="27172"/>
    <cellStyle name="Calculation 37_Table 2A-1_EFT (Annual)" xfId="6679"/>
    <cellStyle name="Calculation 38" xfId="15997"/>
    <cellStyle name="Calculation 38 2" xfId="37201"/>
    <cellStyle name="Calculation 39" xfId="47805"/>
    <cellStyle name="Calculation 4" xfId="121"/>
    <cellStyle name="Calculation 4 10" xfId="21505"/>
    <cellStyle name="Calculation 4 10 2" xfId="42692"/>
    <cellStyle name="Calculation 4 11" xfId="26676"/>
    <cellStyle name="Calculation 4 2" xfId="514"/>
    <cellStyle name="Calculation 4 2 2" xfId="1491"/>
    <cellStyle name="Calculation 4 2 2 2" xfId="2761"/>
    <cellStyle name="Calculation 4 2 2 2 2" xfId="6322"/>
    <cellStyle name="Calculation 4 2 2 2 2 2" xfId="14516"/>
    <cellStyle name="Calculation 4 2 2 2 2 2 2" xfId="26488"/>
    <cellStyle name="Calculation 4 2 2 2 2 2 2 2" xfId="47674"/>
    <cellStyle name="Calculation 4 2 2 2 2 2 3" xfId="37070"/>
    <cellStyle name="Calculation 4 2 2 2 2 3" xfId="21375"/>
    <cellStyle name="Calculation 4 2 2 2 2 3 2" xfId="42562"/>
    <cellStyle name="Calculation 4 2 2 2 2 4" xfId="31978"/>
    <cellStyle name="Calculation 4 2 2 2 2_Table 2A-1_EFT (Annual)" xfId="9346"/>
    <cellStyle name="Calculation 4 2 2 2 3" xfId="11858"/>
    <cellStyle name="Calculation 4 2 2 2 3 2" xfId="23942"/>
    <cellStyle name="Calculation 4 2 2 2 3 2 2" xfId="45128"/>
    <cellStyle name="Calculation 4 2 2 2 3 3" xfId="34524"/>
    <cellStyle name="Calculation 4 2 2 2 4" xfId="18829"/>
    <cellStyle name="Calculation 4 2 2 2 4 2" xfId="40016"/>
    <cellStyle name="Calculation 4 2 2 2 5" xfId="29235"/>
    <cellStyle name="Calculation 4 2 2 2_Table 2A-1_EFT (Annual)" xfId="6682"/>
    <cellStyle name="Calculation 4 2 2 3" xfId="5052"/>
    <cellStyle name="Calculation 4 2 2 3 2" xfId="13312"/>
    <cellStyle name="Calculation 4 2 2 3 2 2" xfId="25318"/>
    <cellStyle name="Calculation 4 2 2 3 2 2 2" xfId="46504"/>
    <cellStyle name="Calculation 4 2 2 3 2 3" xfId="35900"/>
    <cellStyle name="Calculation 4 2 2 3 3" xfId="20205"/>
    <cellStyle name="Calculation 4 2 2 3 3 2" xfId="41392"/>
    <cellStyle name="Calculation 4 2 2 3 4" xfId="30709"/>
    <cellStyle name="Calculation 4 2 2 3_Table 2A-1_EFT (Annual)" xfId="9534"/>
    <cellStyle name="Calculation 4 2 2 4" xfId="10656"/>
    <cellStyle name="Calculation 4 2 2 4 2" xfId="22772"/>
    <cellStyle name="Calculation 4 2 2 4 2 2" xfId="43958"/>
    <cellStyle name="Calculation 4 2 2 4 3" xfId="33354"/>
    <cellStyle name="Calculation 4 2 2 5" xfId="17659"/>
    <cellStyle name="Calculation 4 2 2 5 2" xfId="38846"/>
    <cellStyle name="Calculation 4 2 2 6" xfId="27966"/>
    <cellStyle name="Calculation 4 2 2_Table 2A-1_EFT (Annual)" xfId="6681"/>
    <cellStyle name="Calculation 4 2 3" xfId="1025"/>
    <cellStyle name="Calculation 4 2 3 2" xfId="4586"/>
    <cellStyle name="Calculation 4 2 3 2 2" xfId="12846"/>
    <cellStyle name="Calculation 4 2 3 2 2 2" xfId="24852"/>
    <cellStyle name="Calculation 4 2 3 2 2 2 2" xfId="46038"/>
    <cellStyle name="Calculation 4 2 3 2 2 3" xfId="35434"/>
    <cellStyle name="Calculation 4 2 3 2 3" xfId="19739"/>
    <cellStyle name="Calculation 4 2 3 2 3 2" xfId="40926"/>
    <cellStyle name="Calculation 4 2 3 2 4" xfId="30243"/>
    <cellStyle name="Calculation 4 2 3 2_Table 2A-1_EFT (Annual)" xfId="10790"/>
    <cellStyle name="Calculation 4 2 3 3" xfId="10190"/>
    <cellStyle name="Calculation 4 2 3 3 2" xfId="22306"/>
    <cellStyle name="Calculation 4 2 3 3 2 2" xfId="43492"/>
    <cellStyle name="Calculation 4 2 3 3 3" xfId="32888"/>
    <cellStyle name="Calculation 4 2 3 4" xfId="17193"/>
    <cellStyle name="Calculation 4 2 3 4 2" xfId="38380"/>
    <cellStyle name="Calculation 4 2 3 5" xfId="27500"/>
    <cellStyle name="Calculation 4 2 3_Table 2A-1_EFT (Annual)" xfId="6683"/>
    <cellStyle name="Calculation 4 2 4" xfId="2230"/>
    <cellStyle name="Calculation 4 2 4 2" xfId="5791"/>
    <cellStyle name="Calculation 4 2 4 2 2" xfId="14006"/>
    <cellStyle name="Calculation 4 2 4 2 2 2" xfId="25994"/>
    <cellStyle name="Calculation 4 2 4 2 2 2 2" xfId="47180"/>
    <cellStyle name="Calculation 4 2 4 2 2 3" xfId="36576"/>
    <cellStyle name="Calculation 4 2 4 2 3" xfId="20881"/>
    <cellStyle name="Calculation 4 2 4 2 3 2" xfId="42068"/>
    <cellStyle name="Calculation 4 2 4 2 4" xfId="31448"/>
    <cellStyle name="Calculation 4 2 4 2_Table 2A-1_EFT (Annual)" xfId="10895"/>
    <cellStyle name="Calculation 4 2 4 3" xfId="11350"/>
    <cellStyle name="Calculation 4 2 4 3 2" xfId="23448"/>
    <cellStyle name="Calculation 4 2 4 3 2 2" xfId="44634"/>
    <cellStyle name="Calculation 4 2 4 3 3" xfId="34030"/>
    <cellStyle name="Calculation 4 2 4 4" xfId="18335"/>
    <cellStyle name="Calculation 4 2 4 4 2" xfId="39522"/>
    <cellStyle name="Calculation 4 2 4 5" xfId="28705"/>
    <cellStyle name="Calculation 4 2 4_Table 2A-1_EFT (Annual)" xfId="6684"/>
    <cellStyle name="Calculation 4 2 5" xfId="4084"/>
    <cellStyle name="Calculation 4 2 5 2" xfId="12408"/>
    <cellStyle name="Calculation 4 2 5 2 2" xfId="24430"/>
    <cellStyle name="Calculation 4 2 5 2 2 2" xfId="45616"/>
    <cellStyle name="Calculation 4 2 5 2 3" xfId="35012"/>
    <cellStyle name="Calculation 4 2 5 3" xfId="19317"/>
    <cellStyle name="Calculation 4 2 5 3 2" xfId="40504"/>
    <cellStyle name="Calculation 4 2 5 4" xfId="29772"/>
    <cellStyle name="Calculation 4 2 5_Table 2A-1_EFT (Annual)" xfId="12211"/>
    <cellStyle name="Calculation 4 2 6" xfId="9747"/>
    <cellStyle name="Calculation 4 2 6 2" xfId="21884"/>
    <cellStyle name="Calculation 4 2 6 2 2" xfId="43070"/>
    <cellStyle name="Calculation 4 2 6 3" xfId="32466"/>
    <cellStyle name="Calculation 4 2 7" xfId="16771"/>
    <cellStyle name="Calculation 4 2 7 2" xfId="37958"/>
    <cellStyle name="Calculation 4 2 8" xfId="27029"/>
    <cellStyle name="Calculation 4 2_Table 2A-1_EFT (Annual)" xfId="2974"/>
    <cellStyle name="Calculation 4 3" xfId="352"/>
    <cellStyle name="Calculation 4 3 2" xfId="1335"/>
    <cellStyle name="Calculation 4 3 2 2" xfId="2605"/>
    <cellStyle name="Calculation 4 3 2 2 2" xfId="6166"/>
    <cellStyle name="Calculation 4 3 2 2 2 2" xfId="14360"/>
    <cellStyle name="Calculation 4 3 2 2 2 2 2" xfId="26332"/>
    <cellStyle name="Calculation 4 3 2 2 2 2 2 2" xfId="47518"/>
    <cellStyle name="Calculation 4 3 2 2 2 2 3" xfId="36914"/>
    <cellStyle name="Calculation 4 3 2 2 2 3" xfId="21219"/>
    <cellStyle name="Calculation 4 3 2 2 2 3 2" xfId="42406"/>
    <cellStyle name="Calculation 4 3 2 2 2 4" xfId="31822"/>
    <cellStyle name="Calculation 4 3 2 2 2_Table 2A-1_EFT (Annual)" xfId="11494"/>
    <cellStyle name="Calculation 4 3 2 2 3" xfId="11702"/>
    <cellStyle name="Calculation 4 3 2 2 3 2" xfId="23786"/>
    <cellStyle name="Calculation 4 3 2 2 3 2 2" xfId="44972"/>
    <cellStyle name="Calculation 4 3 2 2 3 3" xfId="34368"/>
    <cellStyle name="Calculation 4 3 2 2 4" xfId="18673"/>
    <cellStyle name="Calculation 4 3 2 2 4 2" xfId="39860"/>
    <cellStyle name="Calculation 4 3 2 2 5" xfId="29079"/>
    <cellStyle name="Calculation 4 3 2 2_Table 2A-1_EFT (Annual)" xfId="6686"/>
    <cellStyle name="Calculation 4 3 2 3" xfId="4896"/>
    <cellStyle name="Calculation 4 3 2 3 2" xfId="13156"/>
    <cellStyle name="Calculation 4 3 2 3 2 2" xfId="25162"/>
    <cellStyle name="Calculation 4 3 2 3 2 2 2" xfId="46348"/>
    <cellStyle name="Calculation 4 3 2 3 2 3" xfId="35744"/>
    <cellStyle name="Calculation 4 3 2 3 3" xfId="20049"/>
    <cellStyle name="Calculation 4 3 2 3 3 2" xfId="41236"/>
    <cellStyle name="Calculation 4 3 2 3 4" xfId="30553"/>
    <cellStyle name="Calculation 4 3 2 3_Table 2A-1_EFT (Annual)" xfId="9546"/>
    <cellStyle name="Calculation 4 3 2 4" xfId="10500"/>
    <cellStyle name="Calculation 4 3 2 4 2" xfId="22616"/>
    <cellStyle name="Calculation 4 3 2 4 2 2" xfId="43802"/>
    <cellStyle name="Calculation 4 3 2 4 3" xfId="33198"/>
    <cellStyle name="Calculation 4 3 2 5" xfId="17503"/>
    <cellStyle name="Calculation 4 3 2 5 2" xfId="38690"/>
    <cellStyle name="Calculation 4 3 2 6" xfId="27810"/>
    <cellStyle name="Calculation 4 3 2_Table 2A-1_EFT (Annual)" xfId="6685"/>
    <cellStyle name="Calculation 4 3 3" xfId="893"/>
    <cellStyle name="Calculation 4 3 3 2" xfId="4454"/>
    <cellStyle name="Calculation 4 3 3 2 2" xfId="12716"/>
    <cellStyle name="Calculation 4 3 3 2 2 2" xfId="24726"/>
    <cellStyle name="Calculation 4 3 3 2 2 2 2" xfId="45912"/>
    <cellStyle name="Calculation 4 3 3 2 2 3" xfId="35308"/>
    <cellStyle name="Calculation 4 3 3 2 3" xfId="19613"/>
    <cellStyle name="Calculation 4 3 3 2 3 2" xfId="40800"/>
    <cellStyle name="Calculation 4 3 3 2 4" xfId="30111"/>
    <cellStyle name="Calculation 4 3 3 2_Table 2A-1_EFT (Annual)" xfId="10821"/>
    <cellStyle name="Calculation 4 3 3 3" xfId="10063"/>
    <cellStyle name="Calculation 4 3 3 3 2" xfId="22180"/>
    <cellStyle name="Calculation 4 3 3 3 2 2" xfId="43366"/>
    <cellStyle name="Calculation 4 3 3 3 3" xfId="32762"/>
    <cellStyle name="Calculation 4 3 3 4" xfId="17067"/>
    <cellStyle name="Calculation 4 3 3 4 2" xfId="38254"/>
    <cellStyle name="Calculation 4 3 3 5" xfId="27368"/>
    <cellStyle name="Calculation 4 3 3_Table 2A-1_EFT (Annual)" xfId="6687"/>
    <cellStyle name="Calculation 4 3 4" xfId="2074"/>
    <cellStyle name="Calculation 4 3 4 2" xfId="5635"/>
    <cellStyle name="Calculation 4 3 4 2 2" xfId="13850"/>
    <cellStyle name="Calculation 4 3 4 2 2 2" xfId="25838"/>
    <cellStyle name="Calculation 4 3 4 2 2 2 2" xfId="47024"/>
    <cellStyle name="Calculation 4 3 4 2 2 3" xfId="36420"/>
    <cellStyle name="Calculation 4 3 4 2 3" xfId="20725"/>
    <cellStyle name="Calculation 4 3 4 2 3 2" xfId="41912"/>
    <cellStyle name="Calculation 4 3 4 2 4" xfId="31292"/>
    <cellStyle name="Calculation 4 3 4 2_Table 2A-1_EFT (Annual)" xfId="11488"/>
    <cellStyle name="Calculation 4 3 4 3" xfId="11194"/>
    <cellStyle name="Calculation 4 3 4 3 2" xfId="23292"/>
    <cellStyle name="Calculation 4 3 4 3 2 2" xfId="44478"/>
    <cellStyle name="Calculation 4 3 4 3 3" xfId="33874"/>
    <cellStyle name="Calculation 4 3 4 4" xfId="18179"/>
    <cellStyle name="Calculation 4 3 4 4 2" xfId="39366"/>
    <cellStyle name="Calculation 4 3 4 5" xfId="28549"/>
    <cellStyle name="Calculation 4 3 4_Table 2A-1_EFT (Annual)" xfId="6688"/>
    <cellStyle name="Calculation 4 3 5" xfId="3922"/>
    <cellStyle name="Calculation 4 3 5 2" xfId="12250"/>
    <cellStyle name="Calculation 4 3 5 2 2" xfId="24274"/>
    <cellStyle name="Calculation 4 3 5 2 2 2" xfId="45460"/>
    <cellStyle name="Calculation 4 3 5 2 3" xfId="34856"/>
    <cellStyle name="Calculation 4 3 5 3" xfId="19161"/>
    <cellStyle name="Calculation 4 3 5 3 2" xfId="40348"/>
    <cellStyle name="Calculation 4 3 5 4" xfId="29610"/>
    <cellStyle name="Calculation 4 3 5_Table 2A-1_EFT (Annual)" xfId="12350"/>
    <cellStyle name="Calculation 4 3 6" xfId="9587"/>
    <cellStyle name="Calculation 4 3 6 2" xfId="21728"/>
    <cellStyle name="Calculation 4 3 6 2 2" xfId="42914"/>
    <cellStyle name="Calculation 4 3 6 3" xfId="32310"/>
    <cellStyle name="Calculation 4 3 7" xfId="16615"/>
    <cellStyle name="Calculation 4 3 7 2" xfId="37802"/>
    <cellStyle name="Calculation 4 3 8" xfId="26867"/>
    <cellStyle name="Calculation 4 3_Table 2A-1_EFT (Annual)" xfId="2975"/>
    <cellStyle name="Calculation 4 4" xfId="1169"/>
    <cellStyle name="Calculation 4 4 2" xfId="2439"/>
    <cellStyle name="Calculation 4 4 2 2" xfId="6000"/>
    <cellStyle name="Calculation 4 4 2 2 2" xfId="14194"/>
    <cellStyle name="Calculation 4 4 2 2 2 2" xfId="26166"/>
    <cellStyle name="Calculation 4 4 2 2 2 2 2" xfId="47352"/>
    <cellStyle name="Calculation 4 4 2 2 2 3" xfId="36748"/>
    <cellStyle name="Calculation 4 4 2 2 3" xfId="21053"/>
    <cellStyle name="Calculation 4 4 2 2 3 2" xfId="42240"/>
    <cellStyle name="Calculation 4 4 2 2 4" xfId="31656"/>
    <cellStyle name="Calculation 4 4 2 2_Table 2A-1_EFT (Annual)" xfId="14155"/>
    <cellStyle name="Calculation 4 4 2 3" xfId="11536"/>
    <cellStyle name="Calculation 4 4 2 3 2" xfId="23620"/>
    <cellStyle name="Calculation 4 4 2 3 2 2" xfId="44806"/>
    <cellStyle name="Calculation 4 4 2 3 3" xfId="34202"/>
    <cellStyle name="Calculation 4 4 2 4" xfId="18507"/>
    <cellStyle name="Calculation 4 4 2 4 2" xfId="39694"/>
    <cellStyle name="Calculation 4 4 2 5" xfId="28913"/>
    <cellStyle name="Calculation 4 4 2_Table 2A-1_EFT (Annual)" xfId="6690"/>
    <cellStyle name="Calculation 4 4 3" xfId="4730"/>
    <cellStyle name="Calculation 4 4 3 2" xfId="12990"/>
    <cellStyle name="Calculation 4 4 3 2 2" xfId="24996"/>
    <cellStyle name="Calculation 4 4 3 2 2 2" xfId="46182"/>
    <cellStyle name="Calculation 4 4 3 2 3" xfId="35578"/>
    <cellStyle name="Calculation 4 4 3 3" xfId="19883"/>
    <cellStyle name="Calculation 4 4 3 3 2" xfId="41070"/>
    <cellStyle name="Calculation 4 4 3 4" xfId="30387"/>
    <cellStyle name="Calculation 4 4 3_Table 2A-1_EFT (Annual)" xfId="10146"/>
    <cellStyle name="Calculation 4 4 4" xfId="10334"/>
    <cellStyle name="Calculation 4 4 4 2" xfId="22450"/>
    <cellStyle name="Calculation 4 4 4 2 2" xfId="43636"/>
    <cellStyle name="Calculation 4 4 4 3" xfId="33032"/>
    <cellStyle name="Calculation 4 4 5" xfId="17337"/>
    <cellStyle name="Calculation 4 4 5 2" xfId="38524"/>
    <cellStyle name="Calculation 4 4 6" xfId="27644"/>
    <cellStyle name="Calculation 4 4_Table 2A-1_EFT (Annual)" xfId="6689"/>
    <cellStyle name="Calculation 4 5" xfId="734"/>
    <cellStyle name="Calculation 4 5 2" xfId="4295"/>
    <cellStyle name="Calculation 4 5 2 2" xfId="12575"/>
    <cellStyle name="Calculation 4 5 2 2 2" xfId="24592"/>
    <cellStyle name="Calculation 4 5 2 2 2 2" xfId="45778"/>
    <cellStyle name="Calculation 4 5 2 2 3" xfId="35174"/>
    <cellStyle name="Calculation 4 5 2 3" xfId="19479"/>
    <cellStyle name="Calculation 4 5 2 3 2" xfId="40666"/>
    <cellStyle name="Calculation 4 5 2 4" xfId="29952"/>
    <cellStyle name="Calculation 4 5 2_Table 2A-1_EFT (Annual)" xfId="9357"/>
    <cellStyle name="Calculation 4 5 3" xfId="9923"/>
    <cellStyle name="Calculation 4 5 3 2" xfId="22046"/>
    <cellStyle name="Calculation 4 5 3 2 2" xfId="43232"/>
    <cellStyle name="Calculation 4 5 3 3" xfId="32628"/>
    <cellStyle name="Calculation 4 5 4" xfId="16933"/>
    <cellStyle name="Calculation 4 5 4 2" xfId="38120"/>
    <cellStyle name="Calculation 4 5 5" xfId="27209"/>
    <cellStyle name="Calculation 4 5_Table 2A-1_EFT (Annual)" xfId="6691"/>
    <cellStyle name="Calculation 4 6" xfId="1796"/>
    <cellStyle name="Calculation 4 6 2" xfId="5357"/>
    <cellStyle name="Calculation 4 6 2 2" xfId="13572"/>
    <cellStyle name="Calculation 4 6 2 2 2" xfId="25560"/>
    <cellStyle name="Calculation 4 6 2 2 2 2" xfId="46746"/>
    <cellStyle name="Calculation 4 6 2 2 3" xfId="36142"/>
    <cellStyle name="Calculation 4 6 2 3" xfId="20447"/>
    <cellStyle name="Calculation 4 6 2 3 2" xfId="41634"/>
    <cellStyle name="Calculation 4 6 2 4" xfId="31014"/>
    <cellStyle name="Calculation 4 6 2_Table 2A-1_EFT (Annual)" xfId="10789"/>
    <cellStyle name="Calculation 4 6 3" xfId="10916"/>
    <cellStyle name="Calculation 4 6 3 2" xfId="23014"/>
    <cellStyle name="Calculation 4 6 3 2 2" xfId="44200"/>
    <cellStyle name="Calculation 4 6 3 3" xfId="33596"/>
    <cellStyle name="Calculation 4 6 4" xfId="17901"/>
    <cellStyle name="Calculation 4 6 4 2" xfId="39088"/>
    <cellStyle name="Calculation 4 6 5" xfId="28271"/>
    <cellStyle name="Calculation 4 6_Table 2A-1_EFT (Annual)" xfId="6692"/>
    <cellStyle name="Calculation 4 7" xfId="3710"/>
    <cellStyle name="Calculation 4 7 2" xfId="12078"/>
    <cellStyle name="Calculation 4 7 2 2" xfId="24108"/>
    <cellStyle name="Calculation 4 7 2 2 2" xfId="45294"/>
    <cellStyle name="Calculation 4 7 2 3" xfId="34690"/>
    <cellStyle name="Calculation 4 7 3" xfId="18995"/>
    <cellStyle name="Calculation 4 7 3 2" xfId="40182"/>
    <cellStyle name="Calculation 4 7 4" xfId="29419"/>
    <cellStyle name="Calculation 4 7_Table 2A-1_EFT (Annual)" xfId="13552"/>
    <cellStyle name="Calculation 4 8" xfId="9397"/>
    <cellStyle name="Calculation 4 8 2" xfId="21562"/>
    <cellStyle name="Calculation 4 8 2 2" xfId="42748"/>
    <cellStyle name="Calculation 4 8 3" xfId="32144"/>
    <cellStyle name="Calculation 4 9" xfId="16449"/>
    <cellStyle name="Calculation 4 9 2" xfId="37636"/>
    <cellStyle name="Calculation 4_Table 2A-1_EFT (Annual)" xfId="2973"/>
    <cellStyle name="Calculation 5" xfId="110"/>
    <cellStyle name="Calculation 5 10" xfId="21511"/>
    <cellStyle name="Calculation 5 10 2" xfId="42698"/>
    <cellStyle name="Calculation 5 11" xfId="26665"/>
    <cellStyle name="Calculation 5 2" xfId="503"/>
    <cellStyle name="Calculation 5 2 2" xfId="1480"/>
    <cellStyle name="Calculation 5 2 2 2" xfId="2750"/>
    <cellStyle name="Calculation 5 2 2 2 2" xfId="6311"/>
    <cellStyle name="Calculation 5 2 2 2 2 2" xfId="14505"/>
    <cellStyle name="Calculation 5 2 2 2 2 2 2" xfId="26477"/>
    <cellStyle name="Calculation 5 2 2 2 2 2 2 2" xfId="47663"/>
    <cellStyle name="Calculation 5 2 2 2 2 2 3" xfId="37059"/>
    <cellStyle name="Calculation 5 2 2 2 2 3" xfId="21364"/>
    <cellStyle name="Calculation 5 2 2 2 2 3 2" xfId="42551"/>
    <cellStyle name="Calculation 5 2 2 2 2 4" xfId="31967"/>
    <cellStyle name="Calculation 5 2 2 2 2_Table 2A-1_EFT (Annual)" xfId="12684"/>
    <cellStyle name="Calculation 5 2 2 2 3" xfId="11847"/>
    <cellStyle name="Calculation 5 2 2 2 3 2" xfId="23931"/>
    <cellStyle name="Calculation 5 2 2 2 3 2 2" xfId="45117"/>
    <cellStyle name="Calculation 5 2 2 2 3 3" xfId="34513"/>
    <cellStyle name="Calculation 5 2 2 2 4" xfId="18818"/>
    <cellStyle name="Calculation 5 2 2 2 4 2" xfId="40005"/>
    <cellStyle name="Calculation 5 2 2 2 5" xfId="29224"/>
    <cellStyle name="Calculation 5 2 2 2_Table 2A-1_EFT (Annual)" xfId="6694"/>
    <cellStyle name="Calculation 5 2 2 3" xfId="5041"/>
    <cellStyle name="Calculation 5 2 2 3 2" xfId="13301"/>
    <cellStyle name="Calculation 5 2 2 3 2 2" xfId="25307"/>
    <cellStyle name="Calculation 5 2 2 3 2 2 2" xfId="46493"/>
    <cellStyle name="Calculation 5 2 2 3 2 3" xfId="35889"/>
    <cellStyle name="Calculation 5 2 2 3 3" xfId="20194"/>
    <cellStyle name="Calculation 5 2 2 3 3 2" xfId="41381"/>
    <cellStyle name="Calculation 5 2 2 3 4" xfId="30698"/>
    <cellStyle name="Calculation 5 2 2 3_Table 2A-1_EFT (Annual)" xfId="11493"/>
    <cellStyle name="Calculation 5 2 2 4" xfId="10645"/>
    <cellStyle name="Calculation 5 2 2 4 2" xfId="22761"/>
    <cellStyle name="Calculation 5 2 2 4 2 2" xfId="43947"/>
    <cellStyle name="Calculation 5 2 2 4 3" xfId="33343"/>
    <cellStyle name="Calculation 5 2 2 5" xfId="17648"/>
    <cellStyle name="Calculation 5 2 2 5 2" xfId="38835"/>
    <cellStyle name="Calculation 5 2 2 6" xfId="27955"/>
    <cellStyle name="Calculation 5 2 2_Table 2A-1_EFT (Annual)" xfId="6693"/>
    <cellStyle name="Calculation 5 2 3" xfId="1017"/>
    <cellStyle name="Calculation 5 2 3 2" xfId="4578"/>
    <cellStyle name="Calculation 5 2 3 2 2" xfId="12838"/>
    <cellStyle name="Calculation 5 2 3 2 2 2" xfId="24844"/>
    <cellStyle name="Calculation 5 2 3 2 2 2 2" xfId="46030"/>
    <cellStyle name="Calculation 5 2 3 2 2 3" xfId="35426"/>
    <cellStyle name="Calculation 5 2 3 2 3" xfId="19731"/>
    <cellStyle name="Calculation 5 2 3 2 3 2" xfId="40918"/>
    <cellStyle name="Calculation 5 2 3 2 4" xfId="30235"/>
    <cellStyle name="Calculation 5 2 3 2_Table 2A-1_EFT (Annual)" xfId="12064"/>
    <cellStyle name="Calculation 5 2 3 3" xfId="10182"/>
    <cellStyle name="Calculation 5 2 3 3 2" xfId="22298"/>
    <cellStyle name="Calculation 5 2 3 3 2 2" xfId="43484"/>
    <cellStyle name="Calculation 5 2 3 3 3" xfId="32880"/>
    <cellStyle name="Calculation 5 2 3 4" xfId="17185"/>
    <cellStyle name="Calculation 5 2 3 4 2" xfId="38372"/>
    <cellStyle name="Calculation 5 2 3 5" xfId="27492"/>
    <cellStyle name="Calculation 5 2 3_Table 2A-1_EFT (Annual)" xfId="6695"/>
    <cellStyle name="Calculation 5 2 4" xfId="2219"/>
    <cellStyle name="Calculation 5 2 4 2" xfId="5780"/>
    <cellStyle name="Calculation 5 2 4 2 2" xfId="13995"/>
    <cellStyle name="Calculation 5 2 4 2 2 2" xfId="25983"/>
    <cellStyle name="Calculation 5 2 4 2 2 2 2" xfId="47169"/>
    <cellStyle name="Calculation 5 2 4 2 2 3" xfId="36565"/>
    <cellStyle name="Calculation 5 2 4 2 3" xfId="20870"/>
    <cellStyle name="Calculation 5 2 4 2 3 2" xfId="42057"/>
    <cellStyle name="Calculation 5 2 4 2 4" xfId="31437"/>
    <cellStyle name="Calculation 5 2 4 2_Table 2A-1_EFT (Annual)" xfId="12564"/>
    <cellStyle name="Calculation 5 2 4 3" xfId="11339"/>
    <cellStyle name="Calculation 5 2 4 3 2" xfId="23437"/>
    <cellStyle name="Calculation 5 2 4 3 2 2" xfId="44623"/>
    <cellStyle name="Calculation 5 2 4 3 3" xfId="34019"/>
    <cellStyle name="Calculation 5 2 4 4" xfId="18324"/>
    <cellStyle name="Calculation 5 2 4 4 2" xfId="39511"/>
    <cellStyle name="Calculation 5 2 4 5" xfId="28694"/>
    <cellStyle name="Calculation 5 2 4_Table 2A-1_EFT (Annual)" xfId="6696"/>
    <cellStyle name="Calculation 5 2 5" xfId="4073"/>
    <cellStyle name="Calculation 5 2 5 2" xfId="12397"/>
    <cellStyle name="Calculation 5 2 5 2 2" xfId="24419"/>
    <cellStyle name="Calculation 5 2 5 2 2 2" xfId="45605"/>
    <cellStyle name="Calculation 5 2 5 2 3" xfId="35001"/>
    <cellStyle name="Calculation 5 2 5 3" xfId="19306"/>
    <cellStyle name="Calculation 5 2 5 3 2" xfId="40493"/>
    <cellStyle name="Calculation 5 2 5 4" xfId="29761"/>
    <cellStyle name="Calculation 5 2 5_Table 2A-1_EFT (Annual)" xfId="11487"/>
    <cellStyle name="Calculation 5 2 6" xfId="9736"/>
    <cellStyle name="Calculation 5 2 6 2" xfId="21873"/>
    <cellStyle name="Calculation 5 2 6 2 2" xfId="43059"/>
    <cellStyle name="Calculation 5 2 6 3" xfId="32455"/>
    <cellStyle name="Calculation 5 2 7" xfId="16760"/>
    <cellStyle name="Calculation 5 2 7 2" xfId="37947"/>
    <cellStyle name="Calculation 5 2 8" xfId="27018"/>
    <cellStyle name="Calculation 5 2_Table 2A-1_EFT (Annual)" xfId="2977"/>
    <cellStyle name="Calculation 5 3" xfId="341"/>
    <cellStyle name="Calculation 5 3 2" xfId="1324"/>
    <cellStyle name="Calculation 5 3 2 2" xfId="2594"/>
    <cellStyle name="Calculation 5 3 2 2 2" xfId="6155"/>
    <cellStyle name="Calculation 5 3 2 2 2 2" xfId="14349"/>
    <cellStyle name="Calculation 5 3 2 2 2 2 2" xfId="26321"/>
    <cellStyle name="Calculation 5 3 2 2 2 2 2 2" xfId="47507"/>
    <cellStyle name="Calculation 5 3 2 2 2 2 3" xfId="36903"/>
    <cellStyle name="Calculation 5 3 2 2 2 3" xfId="21208"/>
    <cellStyle name="Calculation 5 3 2 2 2 3 2" xfId="42395"/>
    <cellStyle name="Calculation 5 3 2 2 2 4" xfId="31811"/>
    <cellStyle name="Calculation 5 3 2 2 2_Table 2A-1_EFT (Annual)" xfId="12705"/>
    <cellStyle name="Calculation 5 3 2 2 3" xfId="11691"/>
    <cellStyle name="Calculation 5 3 2 2 3 2" xfId="23775"/>
    <cellStyle name="Calculation 5 3 2 2 3 2 2" xfId="44961"/>
    <cellStyle name="Calculation 5 3 2 2 3 3" xfId="34357"/>
    <cellStyle name="Calculation 5 3 2 2 4" xfId="18662"/>
    <cellStyle name="Calculation 5 3 2 2 4 2" xfId="39849"/>
    <cellStyle name="Calculation 5 3 2 2 5" xfId="29068"/>
    <cellStyle name="Calculation 5 3 2 2_Table 2A-1_EFT (Annual)" xfId="6698"/>
    <cellStyle name="Calculation 5 3 2 3" xfId="4885"/>
    <cellStyle name="Calculation 5 3 2 3 2" xfId="13145"/>
    <cellStyle name="Calculation 5 3 2 3 2 2" xfId="25151"/>
    <cellStyle name="Calculation 5 3 2 3 2 2 2" xfId="46337"/>
    <cellStyle name="Calculation 5 3 2 3 2 3" xfId="35733"/>
    <cellStyle name="Calculation 5 3 2 3 3" xfId="20038"/>
    <cellStyle name="Calculation 5 3 2 3 3 2" xfId="41225"/>
    <cellStyle name="Calculation 5 3 2 3 4" xfId="30542"/>
    <cellStyle name="Calculation 5 3 2 3_Table 2A-1_EFT (Annual)" xfId="11496"/>
    <cellStyle name="Calculation 5 3 2 4" xfId="10489"/>
    <cellStyle name="Calculation 5 3 2 4 2" xfId="22605"/>
    <cellStyle name="Calculation 5 3 2 4 2 2" xfId="43791"/>
    <cellStyle name="Calculation 5 3 2 4 3" xfId="33187"/>
    <cellStyle name="Calculation 5 3 2 5" xfId="17492"/>
    <cellStyle name="Calculation 5 3 2 5 2" xfId="38679"/>
    <cellStyle name="Calculation 5 3 2 6" xfId="27799"/>
    <cellStyle name="Calculation 5 3 2_Table 2A-1_EFT (Annual)" xfId="6697"/>
    <cellStyle name="Calculation 5 3 3" xfId="885"/>
    <cellStyle name="Calculation 5 3 3 2" xfId="4446"/>
    <cellStyle name="Calculation 5 3 3 2 2" xfId="12708"/>
    <cellStyle name="Calculation 5 3 3 2 2 2" xfId="24718"/>
    <cellStyle name="Calculation 5 3 3 2 2 2 2" xfId="45904"/>
    <cellStyle name="Calculation 5 3 3 2 2 3" xfId="35300"/>
    <cellStyle name="Calculation 5 3 3 2 3" xfId="19605"/>
    <cellStyle name="Calculation 5 3 3 2 3 2" xfId="40792"/>
    <cellStyle name="Calculation 5 3 3 2 4" xfId="30103"/>
    <cellStyle name="Calculation 5 3 3 2_Table 2A-1_EFT (Annual)" xfId="9383"/>
    <cellStyle name="Calculation 5 3 3 3" xfId="10055"/>
    <cellStyle name="Calculation 5 3 3 3 2" xfId="22172"/>
    <cellStyle name="Calculation 5 3 3 3 2 2" xfId="43358"/>
    <cellStyle name="Calculation 5 3 3 3 3" xfId="32754"/>
    <cellStyle name="Calculation 5 3 3 4" xfId="17059"/>
    <cellStyle name="Calculation 5 3 3 4 2" xfId="38246"/>
    <cellStyle name="Calculation 5 3 3 5" xfId="27360"/>
    <cellStyle name="Calculation 5 3 3_Table 2A-1_EFT (Annual)" xfId="6699"/>
    <cellStyle name="Calculation 5 3 4" xfId="2063"/>
    <cellStyle name="Calculation 5 3 4 2" xfId="5624"/>
    <cellStyle name="Calculation 5 3 4 2 2" xfId="13839"/>
    <cellStyle name="Calculation 5 3 4 2 2 2" xfId="25827"/>
    <cellStyle name="Calculation 5 3 4 2 2 2 2" xfId="47013"/>
    <cellStyle name="Calculation 5 3 4 2 2 3" xfId="36409"/>
    <cellStyle name="Calculation 5 3 4 2 3" xfId="20714"/>
    <cellStyle name="Calculation 5 3 4 2 3 2" xfId="41901"/>
    <cellStyle name="Calculation 5 3 4 2 4" xfId="31281"/>
    <cellStyle name="Calculation 5 3 4 2_Table 2A-1_EFT (Annual)" xfId="13444"/>
    <cellStyle name="Calculation 5 3 4 3" xfId="11183"/>
    <cellStyle name="Calculation 5 3 4 3 2" xfId="23281"/>
    <cellStyle name="Calculation 5 3 4 3 2 2" xfId="44467"/>
    <cellStyle name="Calculation 5 3 4 3 3" xfId="33863"/>
    <cellStyle name="Calculation 5 3 4 4" xfId="18168"/>
    <cellStyle name="Calculation 5 3 4 4 2" xfId="39355"/>
    <cellStyle name="Calculation 5 3 4 5" xfId="28538"/>
    <cellStyle name="Calculation 5 3 4_Table 2A-1_EFT (Annual)" xfId="6700"/>
    <cellStyle name="Calculation 5 3 5" xfId="3911"/>
    <cellStyle name="Calculation 5 3 5 2" xfId="12239"/>
    <cellStyle name="Calculation 5 3 5 2 2" xfId="24263"/>
    <cellStyle name="Calculation 5 3 5 2 2 2" xfId="45449"/>
    <cellStyle name="Calculation 5 3 5 2 3" xfId="34845"/>
    <cellStyle name="Calculation 5 3 5 3" xfId="19150"/>
    <cellStyle name="Calculation 5 3 5 3 2" xfId="40337"/>
    <cellStyle name="Calculation 5 3 5 4" xfId="29599"/>
    <cellStyle name="Calculation 5 3 5_Table 2A-1_EFT (Annual)" xfId="12538"/>
    <cellStyle name="Calculation 5 3 6" xfId="9576"/>
    <cellStyle name="Calculation 5 3 6 2" xfId="21717"/>
    <cellStyle name="Calculation 5 3 6 2 2" xfId="42903"/>
    <cellStyle name="Calculation 5 3 6 3" xfId="32299"/>
    <cellStyle name="Calculation 5 3 7" xfId="16604"/>
    <cellStyle name="Calculation 5 3 7 2" xfId="37791"/>
    <cellStyle name="Calculation 5 3 8" xfId="26856"/>
    <cellStyle name="Calculation 5 3_Table 2A-1_EFT (Annual)" xfId="2978"/>
    <cellStyle name="Calculation 5 4" xfId="1158"/>
    <cellStyle name="Calculation 5 4 2" xfId="2428"/>
    <cellStyle name="Calculation 5 4 2 2" xfId="5989"/>
    <cellStyle name="Calculation 5 4 2 2 2" xfId="14183"/>
    <cellStyle name="Calculation 5 4 2 2 2 2" xfId="26155"/>
    <cellStyle name="Calculation 5 4 2 2 2 2 2" xfId="47341"/>
    <cellStyle name="Calculation 5 4 2 2 2 3" xfId="36737"/>
    <cellStyle name="Calculation 5 4 2 2 3" xfId="21042"/>
    <cellStyle name="Calculation 5 4 2 2 3 2" xfId="42229"/>
    <cellStyle name="Calculation 5 4 2 2 4" xfId="31645"/>
    <cellStyle name="Calculation 5 4 2 2_Table 2A-1_EFT (Annual)" xfId="12209"/>
    <cellStyle name="Calculation 5 4 2 3" xfId="11525"/>
    <cellStyle name="Calculation 5 4 2 3 2" xfId="23609"/>
    <cellStyle name="Calculation 5 4 2 3 2 2" xfId="44795"/>
    <cellStyle name="Calculation 5 4 2 3 3" xfId="34191"/>
    <cellStyle name="Calculation 5 4 2 4" xfId="18496"/>
    <cellStyle name="Calculation 5 4 2 4 2" xfId="39683"/>
    <cellStyle name="Calculation 5 4 2 5" xfId="28902"/>
    <cellStyle name="Calculation 5 4 2_Table 2A-1_EFT (Annual)" xfId="6702"/>
    <cellStyle name="Calculation 5 4 3" xfId="4719"/>
    <cellStyle name="Calculation 5 4 3 2" xfId="12979"/>
    <cellStyle name="Calculation 5 4 3 2 2" xfId="24985"/>
    <cellStyle name="Calculation 5 4 3 2 2 2" xfId="46171"/>
    <cellStyle name="Calculation 5 4 3 2 3" xfId="35567"/>
    <cellStyle name="Calculation 5 4 3 3" xfId="19872"/>
    <cellStyle name="Calculation 5 4 3 3 2" xfId="41059"/>
    <cellStyle name="Calculation 5 4 3 4" xfId="30376"/>
    <cellStyle name="Calculation 5 4 3_Table 2A-1_EFT (Annual)" xfId="10828"/>
    <cellStyle name="Calculation 5 4 4" xfId="10323"/>
    <cellStyle name="Calculation 5 4 4 2" xfId="22439"/>
    <cellStyle name="Calculation 5 4 4 2 2" xfId="43625"/>
    <cellStyle name="Calculation 5 4 4 3" xfId="33021"/>
    <cellStyle name="Calculation 5 4 5" xfId="17326"/>
    <cellStyle name="Calculation 5 4 5 2" xfId="38513"/>
    <cellStyle name="Calculation 5 4 6" xfId="27633"/>
    <cellStyle name="Calculation 5 4_Table 2A-1_EFT (Annual)" xfId="6701"/>
    <cellStyle name="Calculation 5 5" xfId="726"/>
    <cellStyle name="Calculation 5 5 2" xfId="4287"/>
    <cellStyle name="Calculation 5 5 2 2" xfId="12567"/>
    <cellStyle name="Calculation 5 5 2 2 2" xfId="24584"/>
    <cellStyle name="Calculation 5 5 2 2 2 2" xfId="45770"/>
    <cellStyle name="Calculation 5 5 2 2 3" xfId="35166"/>
    <cellStyle name="Calculation 5 5 2 3" xfId="19471"/>
    <cellStyle name="Calculation 5 5 2 3 2" xfId="40658"/>
    <cellStyle name="Calculation 5 5 2 4" xfId="29944"/>
    <cellStyle name="Calculation 5 5 2_Table 2A-1_EFT (Annual)" xfId="11490"/>
    <cellStyle name="Calculation 5 5 3" xfId="9915"/>
    <cellStyle name="Calculation 5 5 3 2" xfId="22038"/>
    <cellStyle name="Calculation 5 5 3 2 2" xfId="43224"/>
    <cellStyle name="Calculation 5 5 3 3" xfId="32620"/>
    <cellStyle name="Calculation 5 5 4" xfId="16925"/>
    <cellStyle name="Calculation 5 5 4 2" xfId="38112"/>
    <cellStyle name="Calculation 5 5 5" xfId="27201"/>
    <cellStyle name="Calculation 5 5_Table 2A-1_EFT (Annual)" xfId="6703"/>
    <cellStyle name="Calculation 5 6" xfId="1869"/>
    <cellStyle name="Calculation 5 6 2" xfId="5430"/>
    <cellStyle name="Calculation 5 6 2 2" xfId="13645"/>
    <cellStyle name="Calculation 5 6 2 2 2" xfId="25633"/>
    <cellStyle name="Calculation 5 6 2 2 2 2" xfId="46819"/>
    <cellStyle name="Calculation 5 6 2 2 3" xfId="36215"/>
    <cellStyle name="Calculation 5 6 2 3" xfId="20520"/>
    <cellStyle name="Calculation 5 6 2 3 2" xfId="41707"/>
    <cellStyle name="Calculation 5 6 2 4" xfId="31087"/>
    <cellStyle name="Calculation 5 6 2_Table 2A-1_EFT (Annual)" xfId="12040"/>
    <cellStyle name="Calculation 5 6 3" xfId="10989"/>
    <cellStyle name="Calculation 5 6 3 2" xfId="23087"/>
    <cellStyle name="Calculation 5 6 3 2 2" xfId="44273"/>
    <cellStyle name="Calculation 5 6 3 3" xfId="33669"/>
    <cellStyle name="Calculation 5 6 4" xfId="17974"/>
    <cellStyle name="Calculation 5 6 4 2" xfId="39161"/>
    <cellStyle name="Calculation 5 6 5" xfId="28344"/>
    <cellStyle name="Calculation 5 6_Table 2A-1_EFT (Annual)" xfId="6704"/>
    <cellStyle name="Calculation 5 7" xfId="3699"/>
    <cellStyle name="Calculation 5 7 2" xfId="12067"/>
    <cellStyle name="Calculation 5 7 2 2" xfId="24097"/>
    <cellStyle name="Calculation 5 7 2 2 2" xfId="45283"/>
    <cellStyle name="Calculation 5 7 2 3" xfId="34679"/>
    <cellStyle name="Calculation 5 7 3" xfId="18984"/>
    <cellStyle name="Calculation 5 7 3 2" xfId="40171"/>
    <cellStyle name="Calculation 5 7 4" xfId="29408"/>
    <cellStyle name="Calculation 5 7_Table 2A-1_EFT (Annual)" xfId="10792"/>
    <cellStyle name="Calculation 5 8" xfId="9386"/>
    <cellStyle name="Calculation 5 8 2" xfId="21551"/>
    <cellStyle name="Calculation 5 8 2 2" xfId="42737"/>
    <cellStyle name="Calculation 5 8 3" xfId="32133"/>
    <cellStyle name="Calculation 5 9" xfId="16438"/>
    <cellStyle name="Calculation 5 9 2" xfId="37625"/>
    <cellStyle name="Calculation 5_Table 2A-1_EFT (Annual)" xfId="2976"/>
    <cellStyle name="Calculation 6" xfId="84"/>
    <cellStyle name="Calculation 6 10" xfId="26640"/>
    <cellStyle name="Calculation 6 2" xfId="483"/>
    <cellStyle name="Calculation 6 2 2" xfId="1460"/>
    <cellStyle name="Calculation 6 2 2 2" xfId="2730"/>
    <cellStyle name="Calculation 6 2 2 2 2" xfId="6291"/>
    <cellStyle name="Calculation 6 2 2 2 2 2" xfId="14485"/>
    <cellStyle name="Calculation 6 2 2 2 2 2 2" xfId="26457"/>
    <cellStyle name="Calculation 6 2 2 2 2 2 2 2" xfId="47643"/>
    <cellStyle name="Calculation 6 2 2 2 2 2 3" xfId="37039"/>
    <cellStyle name="Calculation 6 2 2 2 2 3" xfId="21344"/>
    <cellStyle name="Calculation 6 2 2 2 2 3 2" xfId="42531"/>
    <cellStyle name="Calculation 6 2 2 2 2 4" xfId="31947"/>
    <cellStyle name="Calculation 6 2 2 2 2_Table 2A-1_EFT (Annual)" xfId="13486"/>
    <cellStyle name="Calculation 6 2 2 2 3" xfId="11827"/>
    <cellStyle name="Calculation 6 2 2 2 3 2" xfId="23911"/>
    <cellStyle name="Calculation 6 2 2 2 3 2 2" xfId="45097"/>
    <cellStyle name="Calculation 6 2 2 2 3 3" xfId="34493"/>
    <cellStyle name="Calculation 6 2 2 2 4" xfId="18798"/>
    <cellStyle name="Calculation 6 2 2 2 4 2" xfId="39985"/>
    <cellStyle name="Calculation 6 2 2 2 5" xfId="29204"/>
    <cellStyle name="Calculation 6 2 2 2_Table 2A-1_EFT (Annual)" xfId="6706"/>
    <cellStyle name="Calculation 6 2 2 3" xfId="5021"/>
    <cellStyle name="Calculation 6 2 2 3 2" xfId="13281"/>
    <cellStyle name="Calculation 6 2 2 3 2 2" xfId="25287"/>
    <cellStyle name="Calculation 6 2 2 3 2 2 2" xfId="46473"/>
    <cellStyle name="Calculation 6 2 2 3 2 3" xfId="35869"/>
    <cellStyle name="Calculation 6 2 2 3 3" xfId="20174"/>
    <cellStyle name="Calculation 6 2 2 3 3 2" xfId="41361"/>
    <cellStyle name="Calculation 6 2 2 3 4" xfId="30678"/>
    <cellStyle name="Calculation 6 2 2 3_Table 2A-1_EFT (Annual)" xfId="12686"/>
    <cellStyle name="Calculation 6 2 2 4" xfId="10625"/>
    <cellStyle name="Calculation 6 2 2 4 2" xfId="22741"/>
    <cellStyle name="Calculation 6 2 2 4 2 2" xfId="43927"/>
    <cellStyle name="Calculation 6 2 2 4 3" xfId="33323"/>
    <cellStyle name="Calculation 6 2 2 5" xfId="17628"/>
    <cellStyle name="Calculation 6 2 2 5 2" xfId="38815"/>
    <cellStyle name="Calculation 6 2 2 6" xfId="27935"/>
    <cellStyle name="Calculation 6 2 2_Table 2A-1_EFT (Annual)" xfId="6705"/>
    <cellStyle name="Calculation 6 2 3" xfId="1003"/>
    <cellStyle name="Calculation 6 2 3 2" xfId="4564"/>
    <cellStyle name="Calculation 6 2 3 2 2" xfId="12824"/>
    <cellStyle name="Calculation 6 2 3 2 2 2" xfId="24830"/>
    <cellStyle name="Calculation 6 2 3 2 2 2 2" xfId="46016"/>
    <cellStyle name="Calculation 6 2 3 2 2 3" xfId="35412"/>
    <cellStyle name="Calculation 6 2 3 2 3" xfId="19717"/>
    <cellStyle name="Calculation 6 2 3 2 3 2" xfId="40904"/>
    <cellStyle name="Calculation 6 2 3 2 4" xfId="30221"/>
    <cellStyle name="Calculation 6 2 3 2_Table 2A-1_EFT (Annual)" xfId="10033"/>
    <cellStyle name="Calculation 6 2 3 3" xfId="10168"/>
    <cellStyle name="Calculation 6 2 3 3 2" xfId="22284"/>
    <cellStyle name="Calculation 6 2 3 3 2 2" xfId="43470"/>
    <cellStyle name="Calculation 6 2 3 3 3" xfId="32866"/>
    <cellStyle name="Calculation 6 2 3 4" xfId="17171"/>
    <cellStyle name="Calculation 6 2 3 4 2" xfId="38358"/>
    <cellStyle name="Calculation 6 2 3 5" xfId="27478"/>
    <cellStyle name="Calculation 6 2 3_Table 2A-1_EFT (Annual)" xfId="6707"/>
    <cellStyle name="Calculation 6 2 4" xfId="2199"/>
    <cellStyle name="Calculation 6 2 4 2" xfId="5760"/>
    <cellStyle name="Calculation 6 2 4 2 2" xfId="13975"/>
    <cellStyle name="Calculation 6 2 4 2 2 2" xfId="25963"/>
    <cellStyle name="Calculation 6 2 4 2 2 2 2" xfId="47149"/>
    <cellStyle name="Calculation 6 2 4 2 2 3" xfId="36545"/>
    <cellStyle name="Calculation 6 2 4 2 3" xfId="20850"/>
    <cellStyle name="Calculation 6 2 4 2 3 2" xfId="42037"/>
    <cellStyle name="Calculation 6 2 4 2 4" xfId="31417"/>
    <cellStyle name="Calculation 6 2 4 2_Table 2A-1_EFT (Annual)" xfId="9356"/>
    <cellStyle name="Calculation 6 2 4 3" xfId="11319"/>
    <cellStyle name="Calculation 6 2 4 3 2" xfId="23417"/>
    <cellStyle name="Calculation 6 2 4 3 2 2" xfId="44603"/>
    <cellStyle name="Calculation 6 2 4 3 3" xfId="33999"/>
    <cellStyle name="Calculation 6 2 4 4" xfId="18304"/>
    <cellStyle name="Calculation 6 2 4 4 2" xfId="39491"/>
    <cellStyle name="Calculation 6 2 4 5" xfId="28674"/>
    <cellStyle name="Calculation 6 2 4_Table 2A-1_EFT (Annual)" xfId="6708"/>
    <cellStyle name="Calculation 6 2 5" xfId="4053"/>
    <cellStyle name="Calculation 6 2 5 2" xfId="12377"/>
    <cellStyle name="Calculation 6 2 5 2 2" xfId="24399"/>
    <cellStyle name="Calculation 6 2 5 2 2 2" xfId="45585"/>
    <cellStyle name="Calculation 6 2 5 2 3" xfId="34981"/>
    <cellStyle name="Calculation 6 2 5 3" xfId="19286"/>
    <cellStyle name="Calculation 6 2 5 3 2" xfId="40473"/>
    <cellStyle name="Calculation 6 2 5 4" xfId="29741"/>
    <cellStyle name="Calculation 6 2 5_Table 2A-1_EFT (Annual)" xfId="9376"/>
    <cellStyle name="Calculation 6 2 6" xfId="9716"/>
    <cellStyle name="Calculation 6 2 6 2" xfId="21853"/>
    <cellStyle name="Calculation 6 2 6 2 2" xfId="43039"/>
    <cellStyle name="Calculation 6 2 6 3" xfId="32435"/>
    <cellStyle name="Calculation 6 2 7" xfId="16740"/>
    <cellStyle name="Calculation 6 2 7 2" xfId="37927"/>
    <cellStyle name="Calculation 6 2 8" xfId="26998"/>
    <cellStyle name="Calculation 6 2_Table 2A-1_EFT (Annual)" xfId="2980"/>
    <cellStyle name="Calculation 6 3" xfId="316"/>
    <cellStyle name="Calculation 6 3 2" xfId="1304"/>
    <cellStyle name="Calculation 6 3 2 2" xfId="2574"/>
    <cellStyle name="Calculation 6 3 2 2 2" xfId="6135"/>
    <cellStyle name="Calculation 6 3 2 2 2 2" xfId="14329"/>
    <cellStyle name="Calculation 6 3 2 2 2 2 2" xfId="26301"/>
    <cellStyle name="Calculation 6 3 2 2 2 2 2 2" xfId="47487"/>
    <cellStyle name="Calculation 6 3 2 2 2 2 3" xfId="36883"/>
    <cellStyle name="Calculation 6 3 2 2 2 3" xfId="21188"/>
    <cellStyle name="Calculation 6 3 2 2 2 3 2" xfId="42375"/>
    <cellStyle name="Calculation 6 3 2 2 2 4" xfId="31791"/>
    <cellStyle name="Calculation 6 3 2 2 2_Table 2A-1_EFT (Annual)" xfId="9345"/>
    <cellStyle name="Calculation 6 3 2 2 3" xfId="11671"/>
    <cellStyle name="Calculation 6 3 2 2 3 2" xfId="23755"/>
    <cellStyle name="Calculation 6 3 2 2 3 2 2" xfId="44941"/>
    <cellStyle name="Calculation 6 3 2 2 3 3" xfId="34337"/>
    <cellStyle name="Calculation 6 3 2 2 4" xfId="18642"/>
    <cellStyle name="Calculation 6 3 2 2 4 2" xfId="39829"/>
    <cellStyle name="Calculation 6 3 2 2 5" xfId="29048"/>
    <cellStyle name="Calculation 6 3 2 2_Table 2A-1_EFT (Annual)" xfId="6710"/>
    <cellStyle name="Calculation 6 3 2 3" xfId="4865"/>
    <cellStyle name="Calculation 6 3 2 3 2" xfId="13125"/>
    <cellStyle name="Calculation 6 3 2 3 2 2" xfId="25131"/>
    <cellStyle name="Calculation 6 3 2 3 2 2 2" xfId="46317"/>
    <cellStyle name="Calculation 6 3 2 3 2 3" xfId="35713"/>
    <cellStyle name="Calculation 6 3 2 3 3" xfId="20018"/>
    <cellStyle name="Calculation 6 3 2 3 3 2" xfId="41205"/>
    <cellStyle name="Calculation 6 3 2 3 4" xfId="30522"/>
    <cellStyle name="Calculation 6 3 2 3_Table 2A-1_EFT (Annual)" xfId="9886"/>
    <cellStyle name="Calculation 6 3 2 4" xfId="10469"/>
    <cellStyle name="Calculation 6 3 2 4 2" xfId="22585"/>
    <cellStyle name="Calculation 6 3 2 4 2 2" xfId="43771"/>
    <cellStyle name="Calculation 6 3 2 4 3" xfId="33167"/>
    <cellStyle name="Calculation 6 3 2 5" xfId="17472"/>
    <cellStyle name="Calculation 6 3 2 5 2" xfId="38659"/>
    <cellStyle name="Calculation 6 3 2 6" xfId="27779"/>
    <cellStyle name="Calculation 6 3 2_Table 2A-1_EFT (Annual)" xfId="6709"/>
    <cellStyle name="Calculation 6 3 3" xfId="866"/>
    <cellStyle name="Calculation 6 3 3 2" xfId="4427"/>
    <cellStyle name="Calculation 6 3 3 2 2" xfId="12692"/>
    <cellStyle name="Calculation 6 3 3 2 2 2" xfId="24704"/>
    <cellStyle name="Calculation 6 3 3 2 2 2 2" xfId="45890"/>
    <cellStyle name="Calculation 6 3 3 2 2 3" xfId="35286"/>
    <cellStyle name="Calculation 6 3 3 2 3" xfId="19591"/>
    <cellStyle name="Calculation 6 3 3 2 3 2" xfId="40778"/>
    <cellStyle name="Calculation 6 3 3 2 4" xfId="30084"/>
    <cellStyle name="Calculation 6 3 3 2_Table 2A-1_EFT (Annual)" xfId="9344"/>
    <cellStyle name="Calculation 6 3 3 3" xfId="10039"/>
    <cellStyle name="Calculation 6 3 3 3 2" xfId="22158"/>
    <cellStyle name="Calculation 6 3 3 3 2 2" xfId="43344"/>
    <cellStyle name="Calculation 6 3 3 3 3" xfId="32740"/>
    <cellStyle name="Calculation 6 3 3 4" xfId="17045"/>
    <cellStyle name="Calculation 6 3 3 4 2" xfId="38232"/>
    <cellStyle name="Calculation 6 3 3 5" xfId="27341"/>
    <cellStyle name="Calculation 6 3 3_Table 2A-1_EFT (Annual)" xfId="6711"/>
    <cellStyle name="Calculation 6 3 4" xfId="2043"/>
    <cellStyle name="Calculation 6 3 4 2" xfId="5604"/>
    <cellStyle name="Calculation 6 3 4 2 2" xfId="13819"/>
    <cellStyle name="Calculation 6 3 4 2 2 2" xfId="25807"/>
    <cellStyle name="Calculation 6 3 4 2 2 2 2" xfId="46993"/>
    <cellStyle name="Calculation 6 3 4 2 2 3" xfId="36389"/>
    <cellStyle name="Calculation 6 3 4 2 3" xfId="20694"/>
    <cellStyle name="Calculation 6 3 4 2 3 2" xfId="41881"/>
    <cellStyle name="Calculation 6 3 4 2 4" xfId="31261"/>
    <cellStyle name="Calculation 6 3 4 2_Table 2A-1_EFT (Annual)" xfId="9343"/>
    <cellStyle name="Calculation 6 3 4 3" xfId="11163"/>
    <cellStyle name="Calculation 6 3 4 3 2" xfId="23261"/>
    <cellStyle name="Calculation 6 3 4 3 2 2" xfId="44447"/>
    <cellStyle name="Calculation 6 3 4 3 3" xfId="33843"/>
    <cellStyle name="Calculation 6 3 4 4" xfId="18148"/>
    <cellStyle name="Calculation 6 3 4 4 2" xfId="39335"/>
    <cellStyle name="Calculation 6 3 4 5" xfId="28518"/>
    <cellStyle name="Calculation 6 3 4_Table 2A-1_EFT (Annual)" xfId="6712"/>
    <cellStyle name="Calculation 6 3 5" xfId="3886"/>
    <cellStyle name="Calculation 6 3 5 2" xfId="12218"/>
    <cellStyle name="Calculation 6 3 5 2 2" xfId="24243"/>
    <cellStyle name="Calculation 6 3 5 2 2 2" xfId="45429"/>
    <cellStyle name="Calculation 6 3 5 2 3" xfId="34825"/>
    <cellStyle name="Calculation 6 3 5 3" xfId="19130"/>
    <cellStyle name="Calculation 6 3 5 3 2" xfId="40317"/>
    <cellStyle name="Calculation 6 3 5 4" xfId="29574"/>
    <cellStyle name="Calculation 6 3 5_Table 2A-1_EFT (Annual)" xfId="9532"/>
    <cellStyle name="Calculation 6 3 6" xfId="9555"/>
    <cellStyle name="Calculation 6 3 6 2" xfId="21697"/>
    <cellStyle name="Calculation 6 3 6 2 2" xfId="42883"/>
    <cellStyle name="Calculation 6 3 6 3" xfId="32279"/>
    <cellStyle name="Calculation 6 3 7" xfId="16584"/>
    <cellStyle name="Calculation 6 3 7 2" xfId="37771"/>
    <cellStyle name="Calculation 6 3 8" xfId="26831"/>
    <cellStyle name="Calculation 6 3_Table 2A-1_EFT (Annual)" xfId="2981"/>
    <cellStyle name="Calculation 6 4" xfId="1138"/>
    <cellStyle name="Calculation 6 4 2" xfId="2408"/>
    <cellStyle name="Calculation 6 4 2 2" xfId="5969"/>
    <cellStyle name="Calculation 6 4 2 2 2" xfId="14163"/>
    <cellStyle name="Calculation 6 4 2 2 2 2" xfId="26135"/>
    <cellStyle name="Calculation 6 4 2 2 2 2 2" xfId="47321"/>
    <cellStyle name="Calculation 6 4 2 2 2 3" xfId="36717"/>
    <cellStyle name="Calculation 6 4 2 2 3" xfId="21022"/>
    <cellStyle name="Calculation 6 4 2 2 3 2" xfId="42209"/>
    <cellStyle name="Calculation 6 4 2 2 4" xfId="31625"/>
    <cellStyle name="Calculation 6 4 2 2_Table 2A-1_EFT (Annual)" xfId="9342"/>
    <cellStyle name="Calculation 6 4 2 3" xfId="11505"/>
    <cellStyle name="Calculation 6 4 2 3 2" xfId="23589"/>
    <cellStyle name="Calculation 6 4 2 3 2 2" xfId="44775"/>
    <cellStyle name="Calculation 6 4 2 3 3" xfId="34171"/>
    <cellStyle name="Calculation 6 4 2 4" xfId="18476"/>
    <cellStyle name="Calculation 6 4 2 4 2" xfId="39663"/>
    <cellStyle name="Calculation 6 4 2 5" xfId="28882"/>
    <cellStyle name="Calculation 6 4 2_Table 2A-1_EFT (Annual)" xfId="6714"/>
    <cellStyle name="Calculation 6 4 3" xfId="4699"/>
    <cellStyle name="Calculation 6 4 3 2" xfId="12959"/>
    <cellStyle name="Calculation 6 4 3 2 2" xfId="24965"/>
    <cellStyle name="Calculation 6 4 3 2 2 2" xfId="46151"/>
    <cellStyle name="Calculation 6 4 3 2 3" xfId="35547"/>
    <cellStyle name="Calculation 6 4 3 3" xfId="19852"/>
    <cellStyle name="Calculation 6 4 3 3 2" xfId="41039"/>
    <cellStyle name="Calculation 6 4 3 4" xfId="30356"/>
    <cellStyle name="Calculation 6 4 3_Table 2A-1_EFT (Annual)" xfId="9531"/>
    <cellStyle name="Calculation 6 4 4" xfId="10303"/>
    <cellStyle name="Calculation 6 4 4 2" xfId="22419"/>
    <cellStyle name="Calculation 6 4 4 2 2" xfId="43605"/>
    <cellStyle name="Calculation 6 4 4 3" xfId="33001"/>
    <cellStyle name="Calculation 6 4 5" xfId="17306"/>
    <cellStyle name="Calculation 6 4 5 2" xfId="38493"/>
    <cellStyle name="Calculation 6 4 6" xfId="27613"/>
    <cellStyle name="Calculation 6 4_Table 2A-1_EFT (Annual)" xfId="6713"/>
    <cellStyle name="Calculation 6 5" xfId="707"/>
    <cellStyle name="Calculation 6 5 2" xfId="4268"/>
    <cellStyle name="Calculation 6 5 2 2" xfId="12552"/>
    <cellStyle name="Calculation 6 5 2 2 2" xfId="24570"/>
    <cellStyle name="Calculation 6 5 2 2 2 2" xfId="45756"/>
    <cellStyle name="Calculation 6 5 2 2 3" xfId="35152"/>
    <cellStyle name="Calculation 6 5 2 3" xfId="19457"/>
    <cellStyle name="Calculation 6 5 2 3 2" xfId="40644"/>
    <cellStyle name="Calculation 6 5 2 4" xfId="29925"/>
    <cellStyle name="Calculation 6 5 2_Table 2A-1_EFT (Annual)" xfId="9530"/>
    <cellStyle name="Calculation 6 5 3" xfId="9899"/>
    <cellStyle name="Calculation 6 5 3 2" xfId="22024"/>
    <cellStyle name="Calculation 6 5 3 2 2" xfId="43210"/>
    <cellStyle name="Calculation 6 5 3 3" xfId="32606"/>
    <cellStyle name="Calculation 6 5 4" xfId="16911"/>
    <cellStyle name="Calculation 6 5 4 2" xfId="38098"/>
    <cellStyle name="Calculation 6 5 5" xfId="27182"/>
    <cellStyle name="Calculation 6 5_Table 2A-1_EFT (Annual)" xfId="6715"/>
    <cellStyle name="Calculation 6 6" xfId="1841"/>
    <cellStyle name="Calculation 6 6 2" xfId="5402"/>
    <cellStyle name="Calculation 6 6 2 2" xfId="13617"/>
    <cellStyle name="Calculation 6 6 2 2 2" xfId="25605"/>
    <cellStyle name="Calculation 6 6 2 2 2 2" xfId="46791"/>
    <cellStyle name="Calculation 6 6 2 2 3" xfId="36187"/>
    <cellStyle name="Calculation 6 6 2 3" xfId="20492"/>
    <cellStyle name="Calculation 6 6 2 3 2" xfId="41679"/>
    <cellStyle name="Calculation 6 6 2 4" xfId="31059"/>
    <cellStyle name="Calculation 6 6 2_Table 2A-1_EFT (Annual)" xfId="9529"/>
    <cellStyle name="Calculation 6 6 3" xfId="10961"/>
    <cellStyle name="Calculation 6 6 3 2" xfId="23059"/>
    <cellStyle name="Calculation 6 6 3 2 2" xfId="44245"/>
    <cellStyle name="Calculation 6 6 3 3" xfId="33641"/>
    <cellStyle name="Calculation 6 6 4" xfId="17946"/>
    <cellStyle name="Calculation 6 6 4 2" xfId="39133"/>
    <cellStyle name="Calculation 6 6 5" xfId="28316"/>
    <cellStyle name="Calculation 6 6_Table 2A-1_EFT (Annual)" xfId="6716"/>
    <cellStyle name="Calculation 6 7" xfId="3673"/>
    <cellStyle name="Calculation 6 7 2" xfId="12046"/>
    <cellStyle name="Calculation 6 7 2 2" xfId="24077"/>
    <cellStyle name="Calculation 6 7 2 2 2" xfId="45263"/>
    <cellStyle name="Calculation 6 7 2 3" xfId="34659"/>
    <cellStyle name="Calculation 6 7 3" xfId="18964"/>
    <cellStyle name="Calculation 6 7 3 2" xfId="40151"/>
    <cellStyle name="Calculation 6 7 4" xfId="29383"/>
    <cellStyle name="Calculation 6 7_Table 2A-1_EFT (Annual)" xfId="9884"/>
    <cellStyle name="Calculation 6 8" xfId="9363"/>
    <cellStyle name="Calculation 6 8 2" xfId="21531"/>
    <cellStyle name="Calculation 6 8 2 2" xfId="42717"/>
    <cellStyle name="Calculation 6 8 3" xfId="32113"/>
    <cellStyle name="Calculation 6 9" xfId="16418"/>
    <cellStyle name="Calculation 6 9 2" xfId="37605"/>
    <cellStyle name="Calculation 6_Table 2A-1_EFT (Annual)" xfId="2979"/>
    <cellStyle name="Calculation 7" xfId="125"/>
    <cellStyle name="Calculation 7 10" xfId="26680"/>
    <cellStyle name="Calculation 7 2" xfId="518"/>
    <cellStyle name="Calculation 7 2 2" xfId="1495"/>
    <cellStyle name="Calculation 7 2 2 2" xfId="2765"/>
    <cellStyle name="Calculation 7 2 2 2 2" xfId="6326"/>
    <cellStyle name="Calculation 7 2 2 2 2 2" xfId="14520"/>
    <cellStyle name="Calculation 7 2 2 2 2 2 2" xfId="26492"/>
    <cellStyle name="Calculation 7 2 2 2 2 2 2 2" xfId="47678"/>
    <cellStyle name="Calculation 7 2 2 2 2 2 3" xfId="37074"/>
    <cellStyle name="Calculation 7 2 2 2 2 3" xfId="21379"/>
    <cellStyle name="Calculation 7 2 2 2 2 3 2" xfId="42566"/>
    <cellStyle name="Calculation 7 2 2 2 2 4" xfId="31982"/>
    <cellStyle name="Calculation 7 2 2 2 2_Table 2A-1_EFT (Annual)" xfId="9883"/>
    <cellStyle name="Calculation 7 2 2 2 3" xfId="11862"/>
    <cellStyle name="Calculation 7 2 2 2 3 2" xfId="23946"/>
    <cellStyle name="Calculation 7 2 2 2 3 2 2" xfId="45132"/>
    <cellStyle name="Calculation 7 2 2 2 3 3" xfId="34528"/>
    <cellStyle name="Calculation 7 2 2 2 4" xfId="18833"/>
    <cellStyle name="Calculation 7 2 2 2 4 2" xfId="40020"/>
    <cellStyle name="Calculation 7 2 2 2 5" xfId="29239"/>
    <cellStyle name="Calculation 7 2 2 2_Table 2A-1_EFT (Annual)" xfId="6718"/>
    <cellStyle name="Calculation 7 2 2 3" xfId="5056"/>
    <cellStyle name="Calculation 7 2 2 3 2" xfId="13316"/>
    <cellStyle name="Calculation 7 2 2 3 2 2" xfId="25322"/>
    <cellStyle name="Calculation 7 2 2 3 2 2 2" xfId="46508"/>
    <cellStyle name="Calculation 7 2 2 3 2 3" xfId="35904"/>
    <cellStyle name="Calculation 7 2 2 3 3" xfId="20209"/>
    <cellStyle name="Calculation 7 2 2 3 3 2" xfId="41396"/>
    <cellStyle name="Calculation 7 2 2 3 4" xfId="30713"/>
    <cellStyle name="Calculation 7 2 2 3_Table 2A-1_EFT (Annual)" xfId="9341"/>
    <cellStyle name="Calculation 7 2 2 4" xfId="10660"/>
    <cellStyle name="Calculation 7 2 2 4 2" xfId="22776"/>
    <cellStyle name="Calculation 7 2 2 4 2 2" xfId="43962"/>
    <cellStyle name="Calculation 7 2 2 4 3" xfId="33358"/>
    <cellStyle name="Calculation 7 2 2 5" xfId="17663"/>
    <cellStyle name="Calculation 7 2 2 5 2" xfId="38850"/>
    <cellStyle name="Calculation 7 2 2 6" xfId="27970"/>
    <cellStyle name="Calculation 7 2 2_Table 2A-1_EFT (Annual)" xfId="6717"/>
    <cellStyle name="Calculation 7 2 3" xfId="1028"/>
    <cellStyle name="Calculation 7 2 3 2" xfId="4589"/>
    <cellStyle name="Calculation 7 2 3 2 2" xfId="12849"/>
    <cellStyle name="Calculation 7 2 3 2 2 2" xfId="24855"/>
    <cellStyle name="Calculation 7 2 3 2 2 2 2" xfId="46041"/>
    <cellStyle name="Calculation 7 2 3 2 2 3" xfId="35437"/>
    <cellStyle name="Calculation 7 2 3 2 3" xfId="19742"/>
    <cellStyle name="Calculation 7 2 3 2 3 2" xfId="40929"/>
    <cellStyle name="Calculation 7 2 3 2 4" xfId="30246"/>
    <cellStyle name="Calculation 7 2 3 2_Table 2A-1_EFT (Annual)" xfId="9340"/>
    <cellStyle name="Calculation 7 2 3 3" xfId="10193"/>
    <cellStyle name="Calculation 7 2 3 3 2" xfId="22309"/>
    <cellStyle name="Calculation 7 2 3 3 2 2" xfId="43495"/>
    <cellStyle name="Calculation 7 2 3 3 3" xfId="32891"/>
    <cellStyle name="Calculation 7 2 3 4" xfId="17196"/>
    <cellStyle name="Calculation 7 2 3 4 2" xfId="38383"/>
    <cellStyle name="Calculation 7 2 3 5" xfId="27503"/>
    <cellStyle name="Calculation 7 2 3_Table 2A-1_EFT (Annual)" xfId="6719"/>
    <cellStyle name="Calculation 7 2 4" xfId="2234"/>
    <cellStyle name="Calculation 7 2 4 2" xfId="5795"/>
    <cellStyle name="Calculation 7 2 4 2 2" xfId="14010"/>
    <cellStyle name="Calculation 7 2 4 2 2 2" xfId="25998"/>
    <cellStyle name="Calculation 7 2 4 2 2 2 2" xfId="47184"/>
    <cellStyle name="Calculation 7 2 4 2 2 3" xfId="36580"/>
    <cellStyle name="Calculation 7 2 4 2 3" xfId="20885"/>
    <cellStyle name="Calculation 7 2 4 2 3 2" xfId="42072"/>
    <cellStyle name="Calculation 7 2 4 2 4" xfId="31452"/>
    <cellStyle name="Calculation 7 2 4 2_Table 2A-1_EFT (Annual)" xfId="9339"/>
    <cellStyle name="Calculation 7 2 4 3" xfId="11354"/>
    <cellStyle name="Calculation 7 2 4 3 2" xfId="23452"/>
    <cellStyle name="Calculation 7 2 4 3 2 2" xfId="44638"/>
    <cellStyle name="Calculation 7 2 4 3 3" xfId="34034"/>
    <cellStyle name="Calculation 7 2 4 4" xfId="18339"/>
    <cellStyle name="Calculation 7 2 4 4 2" xfId="39526"/>
    <cellStyle name="Calculation 7 2 4 5" xfId="28709"/>
    <cellStyle name="Calculation 7 2 4_Table 2A-1_EFT (Annual)" xfId="6720"/>
    <cellStyle name="Calculation 7 2 5" xfId="4088"/>
    <cellStyle name="Calculation 7 2 5 2" xfId="12412"/>
    <cellStyle name="Calculation 7 2 5 2 2" xfId="24434"/>
    <cellStyle name="Calculation 7 2 5 2 2 2" xfId="45620"/>
    <cellStyle name="Calculation 7 2 5 2 3" xfId="35016"/>
    <cellStyle name="Calculation 7 2 5 3" xfId="19321"/>
    <cellStyle name="Calculation 7 2 5 3 2" xfId="40508"/>
    <cellStyle name="Calculation 7 2 5 4" xfId="29776"/>
    <cellStyle name="Calculation 7 2 5_Table 2A-1_EFT (Annual)" xfId="9528"/>
    <cellStyle name="Calculation 7 2 6" xfId="9751"/>
    <cellStyle name="Calculation 7 2 6 2" xfId="21888"/>
    <cellStyle name="Calculation 7 2 6 2 2" xfId="43074"/>
    <cellStyle name="Calculation 7 2 6 3" xfId="32470"/>
    <cellStyle name="Calculation 7 2 7" xfId="16775"/>
    <cellStyle name="Calculation 7 2 7 2" xfId="37962"/>
    <cellStyle name="Calculation 7 2 8" xfId="27033"/>
    <cellStyle name="Calculation 7 2_Table 2A-1_EFT (Annual)" xfId="2983"/>
    <cellStyle name="Calculation 7 3" xfId="356"/>
    <cellStyle name="Calculation 7 3 2" xfId="1339"/>
    <cellStyle name="Calculation 7 3 2 2" xfId="2609"/>
    <cellStyle name="Calculation 7 3 2 2 2" xfId="6170"/>
    <cellStyle name="Calculation 7 3 2 2 2 2" xfId="14364"/>
    <cellStyle name="Calculation 7 3 2 2 2 2 2" xfId="26336"/>
    <cellStyle name="Calculation 7 3 2 2 2 2 2 2" xfId="47522"/>
    <cellStyle name="Calculation 7 3 2 2 2 2 3" xfId="36918"/>
    <cellStyle name="Calculation 7 3 2 2 2 3" xfId="21223"/>
    <cellStyle name="Calculation 7 3 2 2 2 3 2" xfId="42410"/>
    <cellStyle name="Calculation 7 3 2 2 2 4" xfId="31826"/>
    <cellStyle name="Calculation 7 3 2 2 2_Table 2A-1_EFT (Annual)" xfId="9882"/>
    <cellStyle name="Calculation 7 3 2 2 3" xfId="11706"/>
    <cellStyle name="Calculation 7 3 2 2 3 2" xfId="23790"/>
    <cellStyle name="Calculation 7 3 2 2 3 2 2" xfId="44976"/>
    <cellStyle name="Calculation 7 3 2 2 3 3" xfId="34372"/>
    <cellStyle name="Calculation 7 3 2 2 4" xfId="18677"/>
    <cellStyle name="Calculation 7 3 2 2 4 2" xfId="39864"/>
    <cellStyle name="Calculation 7 3 2 2 5" xfId="29083"/>
    <cellStyle name="Calculation 7 3 2 2_Table 2A-1_EFT (Annual)" xfId="6722"/>
    <cellStyle name="Calculation 7 3 2 3" xfId="4900"/>
    <cellStyle name="Calculation 7 3 2 3 2" xfId="13160"/>
    <cellStyle name="Calculation 7 3 2 3 2 2" xfId="25166"/>
    <cellStyle name="Calculation 7 3 2 3 2 2 2" xfId="46352"/>
    <cellStyle name="Calculation 7 3 2 3 2 3" xfId="35748"/>
    <cellStyle name="Calculation 7 3 2 3 3" xfId="20053"/>
    <cellStyle name="Calculation 7 3 2 3 3 2" xfId="41240"/>
    <cellStyle name="Calculation 7 3 2 3 4" xfId="30557"/>
    <cellStyle name="Calculation 7 3 2 3_Table 2A-1_EFT (Annual)" xfId="9338"/>
    <cellStyle name="Calculation 7 3 2 4" xfId="10504"/>
    <cellStyle name="Calculation 7 3 2 4 2" xfId="22620"/>
    <cellStyle name="Calculation 7 3 2 4 2 2" xfId="43806"/>
    <cellStyle name="Calculation 7 3 2 4 3" xfId="33202"/>
    <cellStyle name="Calculation 7 3 2 5" xfId="17507"/>
    <cellStyle name="Calculation 7 3 2 5 2" xfId="38694"/>
    <cellStyle name="Calculation 7 3 2 6" xfId="27814"/>
    <cellStyle name="Calculation 7 3 2_Table 2A-1_EFT (Annual)" xfId="6721"/>
    <cellStyle name="Calculation 7 3 3" xfId="896"/>
    <cellStyle name="Calculation 7 3 3 2" xfId="4457"/>
    <cellStyle name="Calculation 7 3 3 2 2" xfId="12719"/>
    <cellStyle name="Calculation 7 3 3 2 2 2" xfId="24729"/>
    <cellStyle name="Calculation 7 3 3 2 2 2 2" xfId="45915"/>
    <cellStyle name="Calculation 7 3 3 2 2 3" xfId="35311"/>
    <cellStyle name="Calculation 7 3 3 2 3" xfId="19616"/>
    <cellStyle name="Calculation 7 3 3 2 3 2" xfId="40803"/>
    <cellStyle name="Calculation 7 3 3 2 4" xfId="30114"/>
    <cellStyle name="Calculation 7 3 3 2_Table 2A-1_EFT (Annual)" xfId="9337"/>
    <cellStyle name="Calculation 7 3 3 3" xfId="10066"/>
    <cellStyle name="Calculation 7 3 3 3 2" xfId="22183"/>
    <cellStyle name="Calculation 7 3 3 3 2 2" xfId="43369"/>
    <cellStyle name="Calculation 7 3 3 3 3" xfId="32765"/>
    <cellStyle name="Calculation 7 3 3 4" xfId="17070"/>
    <cellStyle name="Calculation 7 3 3 4 2" xfId="38257"/>
    <cellStyle name="Calculation 7 3 3 5" xfId="27371"/>
    <cellStyle name="Calculation 7 3 3_Table 2A-1_EFT (Annual)" xfId="6723"/>
    <cellStyle name="Calculation 7 3 4" xfId="2078"/>
    <cellStyle name="Calculation 7 3 4 2" xfId="5639"/>
    <cellStyle name="Calculation 7 3 4 2 2" xfId="13854"/>
    <cellStyle name="Calculation 7 3 4 2 2 2" xfId="25842"/>
    <cellStyle name="Calculation 7 3 4 2 2 2 2" xfId="47028"/>
    <cellStyle name="Calculation 7 3 4 2 2 3" xfId="36424"/>
    <cellStyle name="Calculation 7 3 4 2 3" xfId="20729"/>
    <cellStyle name="Calculation 7 3 4 2 3 2" xfId="41916"/>
    <cellStyle name="Calculation 7 3 4 2 4" xfId="31296"/>
    <cellStyle name="Calculation 7 3 4 2_Table 2A-1_EFT (Annual)" xfId="9336"/>
    <cellStyle name="Calculation 7 3 4 3" xfId="11198"/>
    <cellStyle name="Calculation 7 3 4 3 2" xfId="23296"/>
    <cellStyle name="Calculation 7 3 4 3 2 2" xfId="44482"/>
    <cellStyle name="Calculation 7 3 4 3 3" xfId="33878"/>
    <cellStyle name="Calculation 7 3 4 4" xfId="18183"/>
    <cellStyle name="Calculation 7 3 4 4 2" xfId="39370"/>
    <cellStyle name="Calculation 7 3 4 5" xfId="28553"/>
    <cellStyle name="Calculation 7 3 4_Table 2A-1_EFT (Annual)" xfId="6724"/>
    <cellStyle name="Calculation 7 3 5" xfId="3926"/>
    <cellStyle name="Calculation 7 3 5 2" xfId="12254"/>
    <cellStyle name="Calculation 7 3 5 2 2" xfId="24278"/>
    <cellStyle name="Calculation 7 3 5 2 2 2" xfId="45464"/>
    <cellStyle name="Calculation 7 3 5 2 3" xfId="34860"/>
    <cellStyle name="Calculation 7 3 5 3" xfId="19165"/>
    <cellStyle name="Calculation 7 3 5 3 2" xfId="40352"/>
    <cellStyle name="Calculation 7 3 5 4" xfId="29614"/>
    <cellStyle name="Calculation 7 3 5_Table 2A-1_EFT (Annual)" xfId="9527"/>
    <cellStyle name="Calculation 7 3 6" xfId="9591"/>
    <cellStyle name="Calculation 7 3 6 2" xfId="21732"/>
    <cellStyle name="Calculation 7 3 6 2 2" xfId="42918"/>
    <cellStyle name="Calculation 7 3 6 3" xfId="32314"/>
    <cellStyle name="Calculation 7 3 7" xfId="16619"/>
    <cellStyle name="Calculation 7 3 7 2" xfId="37806"/>
    <cellStyle name="Calculation 7 3 8" xfId="26871"/>
    <cellStyle name="Calculation 7 3_Table 2A-1_EFT (Annual)" xfId="2984"/>
    <cellStyle name="Calculation 7 4" xfId="1173"/>
    <cellStyle name="Calculation 7 4 2" xfId="2443"/>
    <cellStyle name="Calculation 7 4 2 2" xfId="6004"/>
    <cellStyle name="Calculation 7 4 2 2 2" xfId="14198"/>
    <cellStyle name="Calculation 7 4 2 2 2 2" xfId="26170"/>
    <cellStyle name="Calculation 7 4 2 2 2 2 2" xfId="47356"/>
    <cellStyle name="Calculation 7 4 2 2 2 3" xfId="36752"/>
    <cellStyle name="Calculation 7 4 2 2 3" xfId="21057"/>
    <cellStyle name="Calculation 7 4 2 2 3 2" xfId="42244"/>
    <cellStyle name="Calculation 7 4 2 2 4" xfId="31660"/>
    <cellStyle name="Calculation 7 4 2 2_Table 2A-1_EFT (Annual)" xfId="9335"/>
    <cellStyle name="Calculation 7 4 2 3" xfId="11540"/>
    <cellStyle name="Calculation 7 4 2 3 2" xfId="23624"/>
    <cellStyle name="Calculation 7 4 2 3 2 2" xfId="44810"/>
    <cellStyle name="Calculation 7 4 2 3 3" xfId="34206"/>
    <cellStyle name="Calculation 7 4 2 4" xfId="18511"/>
    <cellStyle name="Calculation 7 4 2 4 2" xfId="39698"/>
    <cellStyle name="Calculation 7 4 2 5" xfId="28917"/>
    <cellStyle name="Calculation 7 4 2_Table 2A-1_EFT (Annual)" xfId="6726"/>
    <cellStyle name="Calculation 7 4 3" xfId="4734"/>
    <cellStyle name="Calculation 7 4 3 2" xfId="12994"/>
    <cellStyle name="Calculation 7 4 3 2 2" xfId="25000"/>
    <cellStyle name="Calculation 7 4 3 2 2 2" xfId="46186"/>
    <cellStyle name="Calculation 7 4 3 2 3" xfId="35582"/>
    <cellStyle name="Calculation 7 4 3 3" xfId="19887"/>
    <cellStyle name="Calculation 7 4 3 3 2" xfId="41074"/>
    <cellStyle name="Calculation 7 4 3 4" xfId="30391"/>
    <cellStyle name="Calculation 7 4 3_Table 2A-1_EFT (Annual)" xfId="9526"/>
    <cellStyle name="Calculation 7 4 4" xfId="10338"/>
    <cellStyle name="Calculation 7 4 4 2" xfId="22454"/>
    <cellStyle name="Calculation 7 4 4 2 2" xfId="43640"/>
    <cellStyle name="Calculation 7 4 4 3" xfId="33036"/>
    <cellStyle name="Calculation 7 4 5" xfId="17341"/>
    <cellStyle name="Calculation 7 4 5 2" xfId="38528"/>
    <cellStyle name="Calculation 7 4 6" xfId="27648"/>
    <cellStyle name="Calculation 7 4_Table 2A-1_EFT (Annual)" xfId="6725"/>
    <cellStyle name="Calculation 7 5" xfId="737"/>
    <cellStyle name="Calculation 7 5 2" xfId="4298"/>
    <cellStyle name="Calculation 7 5 2 2" xfId="12578"/>
    <cellStyle name="Calculation 7 5 2 2 2" xfId="24595"/>
    <cellStyle name="Calculation 7 5 2 2 2 2" xfId="45781"/>
    <cellStyle name="Calculation 7 5 2 2 3" xfId="35177"/>
    <cellStyle name="Calculation 7 5 2 3" xfId="19482"/>
    <cellStyle name="Calculation 7 5 2 3 2" xfId="40669"/>
    <cellStyle name="Calculation 7 5 2 4" xfId="29955"/>
    <cellStyle name="Calculation 7 5 2_Table 2A-1_EFT (Annual)" xfId="9525"/>
    <cellStyle name="Calculation 7 5 3" xfId="9926"/>
    <cellStyle name="Calculation 7 5 3 2" xfId="22049"/>
    <cellStyle name="Calculation 7 5 3 2 2" xfId="43235"/>
    <cellStyle name="Calculation 7 5 3 3" xfId="32631"/>
    <cellStyle name="Calculation 7 5 4" xfId="16936"/>
    <cellStyle name="Calculation 7 5 4 2" xfId="38123"/>
    <cellStyle name="Calculation 7 5 5" xfId="27212"/>
    <cellStyle name="Calculation 7 5_Table 2A-1_EFT (Annual)" xfId="6727"/>
    <cellStyle name="Calculation 7 6" xfId="1794"/>
    <cellStyle name="Calculation 7 6 2" xfId="5355"/>
    <cellStyle name="Calculation 7 6 2 2" xfId="13570"/>
    <cellStyle name="Calculation 7 6 2 2 2" xfId="25558"/>
    <cellStyle name="Calculation 7 6 2 2 2 2" xfId="46744"/>
    <cellStyle name="Calculation 7 6 2 2 3" xfId="36140"/>
    <cellStyle name="Calculation 7 6 2 3" xfId="20445"/>
    <cellStyle name="Calculation 7 6 2 3 2" xfId="41632"/>
    <cellStyle name="Calculation 7 6 2 4" xfId="31012"/>
    <cellStyle name="Calculation 7 6 2_Table 2A-1_EFT (Annual)" xfId="9524"/>
    <cellStyle name="Calculation 7 6 3" xfId="10914"/>
    <cellStyle name="Calculation 7 6 3 2" xfId="23012"/>
    <cellStyle name="Calculation 7 6 3 2 2" xfId="44198"/>
    <cellStyle name="Calculation 7 6 3 3" xfId="33594"/>
    <cellStyle name="Calculation 7 6 4" xfId="17899"/>
    <cellStyle name="Calculation 7 6 4 2" xfId="39086"/>
    <cellStyle name="Calculation 7 6 5" xfId="28269"/>
    <cellStyle name="Calculation 7 6_Table 2A-1_EFT (Annual)" xfId="6728"/>
    <cellStyle name="Calculation 7 7" xfId="3714"/>
    <cellStyle name="Calculation 7 7 2" xfId="12082"/>
    <cellStyle name="Calculation 7 7 2 2" xfId="24112"/>
    <cellStyle name="Calculation 7 7 2 2 2" xfId="45298"/>
    <cellStyle name="Calculation 7 7 2 3" xfId="34694"/>
    <cellStyle name="Calculation 7 7 3" xfId="18999"/>
    <cellStyle name="Calculation 7 7 3 2" xfId="40186"/>
    <cellStyle name="Calculation 7 7 4" xfId="29423"/>
    <cellStyle name="Calculation 7 7_Table 2A-1_EFT (Annual)" xfId="9881"/>
    <cellStyle name="Calculation 7 8" xfId="9401"/>
    <cellStyle name="Calculation 7 8 2" xfId="21566"/>
    <cellStyle name="Calculation 7 8 2 2" xfId="42752"/>
    <cellStyle name="Calculation 7 8 3" xfId="32148"/>
    <cellStyle name="Calculation 7 9" xfId="16453"/>
    <cellStyle name="Calculation 7 9 2" xfId="37640"/>
    <cellStyle name="Calculation 7_Table 2A-1_EFT (Annual)" xfId="2982"/>
    <cellStyle name="Calculation 8" xfId="87"/>
    <cellStyle name="Calculation 8 10" xfId="26643"/>
    <cellStyle name="Calculation 8 2" xfId="486"/>
    <cellStyle name="Calculation 8 2 2" xfId="1463"/>
    <cellStyle name="Calculation 8 2 2 2" xfId="2733"/>
    <cellStyle name="Calculation 8 2 2 2 2" xfId="6294"/>
    <cellStyle name="Calculation 8 2 2 2 2 2" xfId="14488"/>
    <cellStyle name="Calculation 8 2 2 2 2 2 2" xfId="26460"/>
    <cellStyle name="Calculation 8 2 2 2 2 2 2 2" xfId="47646"/>
    <cellStyle name="Calculation 8 2 2 2 2 2 3" xfId="37042"/>
    <cellStyle name="Calculation 8 2 2 2 2 3" xfId="21347"/>
    <cellStyle name="Calculation 8 2 2 2 2 3 2" xfId="42534"/>
    <cellStyle name="Calculation 8 2 2 2 2 4" xfId="31950"/>
    <cellStyle name="Calculation 8 2 2 2 2_Table 2A-1_EFT (Annual)" xfId="9880"/>
    <cellStyle name="Calculation 8 2 2 2 3" xfId="11830"/>
    <cellStyle name="Calculation 8 2 2 2 3 2" xfId="23914"/>
    <cellStyle name="Calculation 8 2 2 2 3 2 2" xfId="45100"/>
    <cellStyle name="Calculation 8 2 2 2 3 3" xfId="34496"/>
    <cellStyle name="Calculation 8 2 2 2 4" xfId="18801"/>
    <cellStyle name="Calculation 8 2 2 2 4 2" xfId="39988"/>
    <cellStyle name="Calculation 8 2 2 2 5" xfId="29207"/>
    <cellStyle name="Calculation 8 2 2 2_Table 2A-1_EFT (Annual)" xfId="6730"/>
    <cellStyle name="Calculation 8 2 2 3" xfId="5024"/>
    <cellStyle name="Calculation 8 2 2 3 2" xfId="13284"/>
    <cellStyle name="Calculation 8 2 2 3 2 2" xfId="25290"/>
    <cellStyle name="Calculation 8 2 2 3 2 2 2" xfId="46476"/>
    <cellStyle name="Calculation 8 2 2 3 2 3" xfId="35872"/>
    <cellStyle name="Calculation 8 2 2 3 3" xfId="20177"/>
    <cellStyle name="Calculation 8 2 2 3 3 2" xfId="41364"/>
    <cellStyle name="Calculation 8 2 2 3 4" xfId="30681"/>
    <cellStyle name="Calculation 8 2 2 3_Table 2A-1_EFT (Annual)" xfId="9334"/>
    <cellStyle name="Calculation 8 2 2 4" xfId="10628"/>
    <cellStyle name="Calculation 8 2 2 4 2" xfId="22744"/>
    <cellStyle name="Calculation 8 2 2 4 2 2" xfId="43930"/>
    <cellStyle name="Calculation 8 2 2 4 3" xfId="33326"/>
    <cellStyle name="Calculation 8 2 2 5" xfId="17631"/>
    <cellStyle name="Calculation 8 2 2 5 2" xfId="38818"/>
    <cellStyle name="Calculation 8 2 2 6" xfId="27938"/>
    <cellStyle name="Calculation 8 2 2_Table 2A-1_EFT (Annual)" xfId="6729"/>
    <cellStyle name="Calculation 8 2 3" xfId="1004"/>
    <cellStyle name="Calculation 8 2 3 2" xfId="4565"/>
    <cellStyle name="Calculation 8 2 3 2 2" xfId="12825"/>
    <cellStyle name="Calculation 8 2 3 2 2 2" xfId="24831"/>
    <cellStyle name="Calculation 8 2 3 2 2 2 2" xfId="46017"/>
    <cellStyle name="Calculation 8 2 3 2 2 3" xfId="35413"/>
    <cellStyle name="Calculation 8 2 3 2 3" xfId="19718"/>
    <cellStyle name="Calculation 8 2 3 2 3 2" xfId="40905"/>
    <cellStyle name="Calculation 8 2 3 2 4" xfId="30222"/>
    <cellStyle name="Calculation 8 2 3 2_Table 2A-1_EFT (Annual)" xfId="9333"/>
    <cellStyle name="Calculation 8 2 3 3" xfId="10169"/>
    <cellStyle name="Calculation 8 2 3 3 2" xfId="22285"/>
    <cellStyle name="Calculation 8 2 3 3 2 2" xfId="43471"/>
    <cellStyle name="Calculation 8 2 3 3 3" xfId="32867"/>
    <cellStyle name="Calculation 8 2 3 4" xfId="17172"/>
    <cellStyle name="Calculation 8 2 3 4 2" xfId="38359"/>
    <cellStyle name="Calculation 8 2 3 5" xfId="27479"/>
    <cellStyle name="Calculation 8 2 3_Table 2A-1_EFT (Annual)" xfId="6731"/>
    <cellStyle name="Calculation 8 2 4" xfId="2202"/>
    <cellStyle name="Calculation 8 2 4 2" xfId="5763"/>
    <cellStyle name="Calculation 8 2 4 2 2" xfId="13978"/>
    <cellStyle name="Calculation 8 2 4 2 2 2" xfId="25966"/>
    <cellStyle name="Calculation 8 2 4 2 2 2 2" xfId="47152"/>
    <cellStyle name="Calculation 8 2 4 2 2 3" xfId="36548"/>
    <cellStyle name="Calculation 8 2 4 2 3" xfId="20853"/>
    <cellStyle name="Calculation 8 2 4 2 3 2" xfId="42040"/>
    <cellStyle name="Calculation 8 2 4 2 4" xfId="31420"/>
    <cellStyle name="Calculation 8 2 4 2_Table 2A-1_EFT (Annual)" xfId="14899"/>
    <cellStyle name="Calculation 8 2 4 3" xfId="11322"/>
    <cellStyle name="Calculation 8 2 4 3 2" xfId="23420"/>
    <cellStyle name="Calculation 8 2 4 3 2 2" xfId="44606"/>
    <cellStyle name="Calculation 8 2 4 3 3" xfId="34002"/>
    <cellStyle name="Calculation 8 2 4 4" xfId="18307"/>
    <cellStyle name="Calculation 8 2 4 4 2" xfId="39494"/>
    <cellStyle name="Calculation 8 2 4 5" xfId="28677"/>
    <cellStyle name="Calculation 8 2 4_Table 2A-1_EFT (Annual)" xfId="6732"/>
    <cellStyle name="Calculation 8 2 5" xfId="4056"/>
    <cellStyle name="Calculation 8 2 5 2" xfId="12380"/>
    <cellStyle name="Calculation 8 2 5 2 2" xfId="24402"/>
    <cellStyle name="Calculation 8 2 5 2 2 2" xfId="45588"/>
    <cellStyle name="Calculation 8 2 5 2 3" xfId="34984"/>
    <cellStyle name="Calculation 8 2 5 3" xfId="19289"/>
    <cellStyle name="Calculation 8 2 5 3 2" xfId="40476"/>
    <cellStyle name="Calculation 8 2 5 4" xfId="29744"/>
    <cellStyle name="Calculation 8 2 5_Table 2A-1_EFT (Annual)" xfId="14900"/>
    <cellStyle name="Calculation 8 2 6" xfId="9719"/>
    <cellStyle name="Calculation 8 2 6 2" xfId="21856"/>
    <cellStyle name="Calculation 8 2 6 2 2" xfId="43042"/>
    <cellStyle name="Calculation 8 2 6 3" xfId="32438"/>
    <cellStyle name="Calculation 8 2 7" xfId="16743"/>
    <cellStyle name="Calculation 8 2 7 2" xfId="37930"/>
    <cellStyle name="Calculation 8 2 8" xfId="27001"/>
    <cellStyle name="Calculation 8 2_Table 2A-1_EFT (Annual)" xfId="2986"/>
    <cellStyle name="Calculation 8 3" xfId="319"/>
    <cellStyle name="Calculation 8 3 2" xfId="1307"/>
    <cellStyle name="Calculation 8 3 2 2" xfId="2577"/>
    <cellStyle name="Calculation 8 3 2 2 2" xfId="6138"/>
    <cellStyle name="Calculation 8 3 2 2 2 2" xfId="14332"/>
    <cellStyle name="Calculation 8 3 2 2 2 2 2" xfId="26304"/>
    <cellStyle name="Calculation 8 3 2 2 2 2 2 2" xfId="47490"/>
    <cellStyle name="Calculation 8 3 2 2 2 2 3" xfId="36886"/>
    <cellStyle name="Calculation 8 3 2 2 2 3" xfId="21191"/>
    <cellStyle name="Calculation 8 3 2 2 2 3 2" xfId="42378"/>
    <cellStyle name="Calculation 8 3 2 2 2 4" xfId="31794"/>
    <cellStyle name="Calculation 8 3 2 2 2_Table 2A-1_EFT (Annual)" xfId="14901"/>
    <cellStyle name="Calculation 8 3 2 2 3" xfId="11674"/>
    <cellStyle name="Calculation 8 3 2 2 3 2" xfId="23758"/>
    <cellStyle name="Calculation 8 3 2 2 3 2 2" xfId="44944"/>
    <cellStyle name="Calculation 8 3 2 2 3 3" xfId="34340"/>
    <cellStyle name="Calculation 8 3 2 2 4" xfId="18645"/>
    <cellStyle name="Calculation 8 3 2 2 4 2" xfId="39832"/>
    <cellStyle name="Calculation 8 3 2 2 5" xfId="29051"/>
    <cellStyle name="Calculation 8 3 2 2_Table 2A-1_EFT (Annual)" xfId="6734"/>
    <cellStyle name="Calculation 8 3 2 3" xfId="4868"/>
    <cellStyle name="Calculation 8 3 2 3 2" xfId="13128"/>
    <cellStyle name="Calculation 8 3 2 3 2 2" xfId="25134"/>
    <cellStyle name="Calculation 8 3 2 3 2 2 2" xfId="46320"/>
    <cellStyle name="Calculation 8 3 2 3 2 3" xfId="35716"/>
    <cellStyle name="Calculation 8 3 2 3 3" xfId="20021"/>
    <cellStyle name="Calculation 8 3 2 3 3 2" xfId="41208"/>
    <cellStyle name="Calculation 8 3 2 3 4" xfId="30525"/>
    <cellStyle name="Calculation 8 3 2 3_Table 2A-1_EFT (Annual)" xfId="14902"/>
    <cellStyle name="Calculation 8 3 2 4" xfId="10472"/>
    <cellStyle name="Calculation 8 3 2 4 2" xfId="22588"/>
    <cellStyle name="Calculation 8 3 2 4 2 2" xfId="43774"/>
    <cellStyle name="Calculation 8 3 2 4 3" xfId="33170"/>
    <cellStyle name="Calculation 8 3 2 5" xfId="17475"/>
    <cellStyle name="Calculation 8 3 2 5 2" xfId="38662"/>
    <cellStyle name="Calculation 8 3 2 6" xfId="27782"/>
    <cellStyle name="Calculation 8 3 2_Table 2A-1_EFT (Annual)" xfId="6733"/>
    <cellStyle name="Calculation 8 3 3" xfId="867"/>
    <cellStyle name="Calculation 8 3 3 2" xfId="4428"/>
    <cellStyle name="Calculation 8 3 3 2 2" xfId="12693"/>
    <cellStyle name="Calculation 8 3 3 2 2 2" xfId="24705"/>
    <cellStyle name="Calculation 8 3 3 2 2 2 2" xfId="45891"/>
    <cellStyle name="Calculation 8 3 3 2 2 3" xfId="35287"/>
    <cellStyle name="Calculation 8 3 3 2 3" xfId="19592"/>
    <cellStyle name="Calculation 8 3 3 2 3 2" xfId="40779"/>
    <cellStyle name="Calculation 8 3 3 2 4" xfId="30085"/>
    <cellStyle name="Calculation 8 3 3 2_Table 2A-1_EFT (Annual)" xfId="14903"/>
    <cellStyle name="Calculation 8 3 3 3" xfId="10040"/>
    <cellStyle name="Calculation 8 3 3 3 2" xfId="22159"/>
    <cellStyle name="Calculation 8 3 3 3 2 2" xfId="43345"/>
    <cellStyle name="Calculation 8 3 3 3 3" xfId="32741"/>
    <cellStyle name="Calculation 8 3 3 4" xfId="17046"/>
    <cellStyle name="Calculation 8 3 3 4 2" xfId="38233"/>
    <cellStyle name="Calculation 8 3 3 5" xfId="27342"/>
    <cellStyle name="Calculation 8 3 3_Table 2A-1_EFT (Annual)" xfId="6735"/>
    <cellStyle name="Calculation 8 3 4" xfId="2046"/>
    <cellStyle name="Calculation 8 3 4 2" xfId="5607"/>
    <cellStyle name="Calculation 8 3 4 2 2" xfId="13822"/>
    <cellStyle name="Calculation 8 3 4 2 2 2" xfId="25810"/>
    <cellStyle name="Calculation 8 3 4 2 2 2 2" xfId="46996"/>
    <cellStyle name="Calculation 8 3 4 2 2 3" xfId="36392"/>
    <cellStyle name="Calculation 8 3 4 2 3" xfId="20697"/>
    <cellStyle name="Calculation 8 3 4 2 3 2" xfId="41884"/>
    <cellStyle name="Calculation 8 3 4 2 4" xfId="31264"/>
    <cellStyle name="Calculation 8 3 4 2_Table 2A-1_EFT (Annual)" xfId="14904"/>
    <cellStyle name="Calculation 8 3 4 3" xfId="11166"/>
    <cellStyle name="Calculation 8 3 4 3 2" xfId="23264"/>
    <cellStyle name="Calculation 8 3 4 3 2 2" xfId="44450"/>
    <cellStyle name="Calculation 8 3 4 3 3" xfId="33846"/>
    <cellStyle name="Calculation 8 3 4 4" xfId="18151"/>
    <cellStyle name="Calculation 8 3 4 4 2" xfId="39338"/>
    <cellStyle name="Calculation 8 3 4 5" xfId="28521"/>
    <cellStyle name="Calculation 8 3 4_Table 2A-1_EFT (Annual)" xfId="6736"/>
    <cellStyle name="Calculation 8 3 5" xfId="3889"/>
    <cellStyle name="Calculation 8 3 5 2" xfId="12221"/>
    <cellStyle name="Calculation 8 3 5 2 2" xfId="24246"/>
    <cellStyle name="Calculation 8 3 5 2 2 2" xfId="45432"/>
    <cellStyle name="Calculation 8 3 5 2 3" xfId="34828"/>
    <cellStyle name="Calculation 8 3 5 3" xfId="19133"/>
    <cellStyle name="Calculation 8 3 5 3 2" xfId="40320"/>
    <cellStyle name="Calculation 8 3 5 4" xfId="29577"/>
    <cellStyle name="Calculation 8 3 5_Table 2A-1_EFT (Annual)" xfId="14905"/>
    <cellStyle name="Calculation 8 3 6" xfId="9558"/>
    <cellStyle name="Calculation 8 3 6 2" xfId="21700"/>
    <cellStyle name="Calculation 8 3 6 2 2" xfId="42886"/>
    <cellStyle name="Calculation 8 3 6 3" xfId="32282"/>
    <cellStyle name="Calculation 8 3 7" xfId="16587"/>
    <cellStyle name="Calculation 8 3 7 2" xfId="37774"/>
    <cellStyle name="Calculation 8 3 8" xfId="26834"/>
    <cellStyle name="Calculation 8 3_Table 2A-1_EFT (Annual)" xfId="2987"/>
    <cellStyle name="Calculation 8 4" xfId="1141"/>
    <cellStyle name="Calculation 8 4 2" xfId="2411"/>
    <cellStyle name="Calculation 8 4 2 2" xfId="5972"/>
    <cellStyle name="Calculation 8 4 2 2 2" xfId="14166"/>
    <cellStyle name="Calculation 8 4 2 2 2 2" xfId="26138"/>
    <cellStyle name="Calculation 8 4 2 2 2 2 2" xfId="47324"/>
    <cellStyle name="Calculation 8 4 2 2 2 3" xfId="36720"/>
    <cellStyle name="Calculation 8 4 2 2 3" xfId="21025"/>
    <cellStyle name="Calculation 8 4 2 2 3 2" xfId="42212"/>
    <cellStyle name="Calculation 8 4 2 2 4" xfId="31628"/>
    <cellStyle name="Calculation 8 4 2 2_Table 2A-1_EFT (Annual)" xfId="14906"/>
    <cellStyle name="Calculation 8 4 2 3" xfId="11508"/>
    <cellStyle name="Calculation 8 4 2 3 2" xfId="23592"/>
    <cellStyle name="Calculation 8 4 2 3 2 2" xfId="44778"/>
    <cellStyle name="Calculation 8 4 2 3 3" xfId="34174"/>
    <cellStyle name="Calculation 8 4 2 4" xfId="18479"/>
    <cellStyle name="Calculation 8 4 2 4 2" xfId="39666"/>
    <cellStyle name="Calculation 8 4 2 5" xfId="28885"/>
    <cellStyle name="Calculation 8 4 2_Table 2A-1_EFT (Annual)" xfId="6738"/>
    <cellStyle name="Calculation 8 4 3" xfId="4702"/>
    <cellStyle name="Calculation 8 4 3 2" xfId="12962"/>
    <cellStyle name="Calculation 8 4 3 2 2" xfId="24968"/>
    <cellStyle name="Calculation 8 4 3 2 2 2" xfId="46154"/>
    <cellStyle name="Calculation 8 4 3 2 3" xfId="35550"/>
    <cellStyle name="Calculation 8 4 3 3" xfId="19855"/>
    <cellStyle name="Calculation 8 4 3 3 2" xfId="41042"/>
    <cellStyle name="Calculation 8 4 3 4" xfId="30359"/>
    <cellStyle name="Calculation 8 4 3_Table 2A-1_EFT (Annual)" xfId="14907"/>
    <cellStyle name="Calculation 8 4 4" xfId="10306"/>
    <cellStyle name="Calculation 8 4 4 2" xfId="22422"/>
    <cellStyle name="Calculation 8 4 4 2 2" xfId="43608"/>
    <cellStyle name="Calculation 8 4 4 3" xfId="33004"/>
    <cellStyle name="Calculation 8 4 5" xfId="17309"/>
    <cellStyle name="Calculation 8 4 5 2" xfId="38496"/>
    <cellStyle name="Calculation 8 4 6" xfId="27616"/>
    <cellStyle name="Calculation 8 4_Table 2A-1_EFT (Annual)" xfId="6737"/>
    <cellStyle name="Calculation 8 5" xfId="708"/>
    <cellStyle name="Calculation 8 5 2" xfId="4269"/>
    <cellStyle name="Calculation 8 5 2 2" xfId="12553"/>
    <cellStyle name="Calculation 8 5 2 2 2" xfId="24571"/>
    <cellStyle name="Calculation 8 5 2 2 2 2" xfId="45757"/>
    <cellStyle name="Calculation 8 5 2 2 3" xfId="35153"/>
    <cellStyle name="Calculation 8 5 2 3" xfId="19458"/>
    <cellStyle name="Calculation 8 5 2 3 2" xfId="40645"/>
    <cellStyle name="Calculation 8 5 2 4" xfId="29926"/>
    <cellStyle name="Calculation 8 5 2_Table 2A-1_EFT (Annual)" xfId="14908"/>
    <cellStyle name="Calculation 8 5 3" xfId="9900"/>
    <cellStyle name="Calculation 8 5 3 2" xfId="22025"/>
    <cellStyle name="Calculation 8 5 3 2 2" xfId="43211"/>
    <cellStyle name="Calculation 8 5 3 3" xfId="32607"/>
    <cellStyle name="Calculation 8 5 4" xfId="16912"/>
    <cellStyle name="Calculation 8 5 4 2" xfId="38099"/>
    <cellStyle name="Calculation 8 5 5" xfId="27183"/>
    <cellStyle name="Calculation 8 5_Table 2A-1_EFT (Annual)" xfId="6739"/>
    <cellStyle name="Calculation 8 6" xfId="1874"/>
    <cellStyle name="Calculation 8 6 2" xfId="5435"/>
    <cellStyle name="Calculation 8 6 2 2" xfId="13650"/>
    <cellStyle name="Calculation 8 6 2 2 2" xfId="25638"/>
    <cellStyle name="Calculation 8 6 2 2 2 2" xfId="46824"/>
    <cellStyle name="Calculation 8 6 2 2 3" xfId="36220"/>
    <cellStyle name="Calculation 8 6 2 3" xfId="20525"/>
    <cellStyle name="Calculation 8 6 2 3 2" xfId="41712"/>
    <cellStyle name="Calculation 8 6 2 4" xfId="31092"/>
    <cellStyle name="Calculation 8 6 2_Table 2A-1_EFT (Annual)" xfId="14909"/>
    <cellStyle name="Calculation 8 6 3" xfId="10994"/>
    <cellStyle name="Calculation 8 6 3 2" xfId="23092"/>
    <cellStyle name="Calculation 8 6 3 2 2" xfId="44278"/>
    <cellStyle name="Calculation 8 6 3 3" xfId="33674"/>
    <cellStyle name="Calculation 8 6 4" xfId="17979"/>
    <cellStyle name="Calculation 8 6 4 2" xfId="39166"/>
    <cellStyle name="Calculation 8 6 5" xfId="28349"/>
    <cellStyle name="Calculation 8 6_Table 2A-1_EFT (Annual)" xfId="6740"/>
    <cellStyle name="Calculation 8 7" xfId="3676"/>
    <cellStyle name="Calculation 8 7 2" xfId="12049"/>
    <cellStyle name="Calculation 8 7 2 2" xfId="24080"/>
    <cellStyle name="Calculation 8 7 2 2 2" xfId="45266"/>
    <cellStyle name="Calculation 8 7 2 3" xfId="34662"/>
    <cellStyle name="Calculation 8 7 3" xfId="18967"/>
    <cellStyle name="Calculation 8 7 3 2" xfId="40154"/>
    <cellStyle name="Calculation 8 7 4" xfId="29386"/>
    <cellStyle name="Calculation 8 7_Table 2A-1_EFT (Annual)" xfId="14910"/>
    <cellStyle name="Calculation 8 8" xfId="9366"/>
    <cellStyle name="Calculation 8 8 2" xfId="21534"/>
    <cellStyle name="Calculation 8 8 2 2" xfId="42720"/>
    <cellStyle name="Calculation 8 8 3" xfId="32116"/>
    <cellStyle name="Calculation 8 9" xfId="16421"/>
    <cellStyle name="Calculation 8 9 2" xfId="37608"/>
    <cellStyle name="Calculation 8_Table 2A-1_EFT (Annual)" xfId="2985"/>
    <cellStyle name="Calculation 9" xfId="95"/>
    <cellStyle name="Calculation 9 10" xfId="26651"/>
    <cellStyle name="Calculation 9 2" xfId="494"/>
    <cellStyle name="Calculation 9 2 2" xfId="1471"/>
    <cellStyle name="Calculation 9 2 2 2" xfId="2741"/>
    <cellStyle name="Calculation 9 2 2 2 2" xfId="6302"/>
    <cellStyle name="Calculation 9 2 2 2 2 2" xfId="14496"/>
    <cellStyle name="Calculation 9 2 2 2 2 2 2" xfId="26468"/>
    <cellStyle name="Calculation 9 2 2 2 2 2 2 2" xfId="47654"/>
    <cellStyle name="Calculation 9 2 2 2 2 2 3" xfId="37050"/>
    <cellStyle name="Calculation 9 2 2 2 2 3" xfId="21355"/>
    <cellStyle name="Calculation 9 2 2 2 2 3 2" xfId="42542"/>
    <cellStyle name="Calculation 9 2 2 2 2 4" xfId="31958"/>
    <cellStyle name="Calculation 9 2 2 2 2_Table 2A-1_EFT (Annual)" xfId="14911"/>
    <cellStyle name="Calculation 9 2 2 2 3" xfId="11838"/>
    <cellStyle name="Calculation 9 2 2 2 3 2" xfId="23922"/>
    <cellStyle name="Calculation 9 2 2 2 3 2 2" xfId="45108"/>
    <cellStyle name="Calculation 9 2 2 2 3 3" xfId="34504"/>
    <cellStyle name="Calculation 9 2 2 2 4" xfId="18809"/>
    <cellStyle name="Calculation 9 2 2 2 4 2" xfId="39996"/>
    <cellStyle name="Calculation 9 2 2 2 5" xfId="29215"/>
    <cellStyle name="Calculation 9 2 2 2_Table 2A-1_EFT (Annual)" xfId="6742"/>
    <cellStyle name="Calculation 9 2 2 3" xfId="5032"/>
    <cellStyle name="Calculation 9 2 2 3 2" xfId="13292"/>
    <cellStyle name="Calculation 9 2 2 3 2 2" xfId="25298"/>
    <cellStyle name="Calculation 9 2 2 3 2 2 2" xfId="46484"/>
    <cellStyle name="Calculation 9 2 2 3 2 3" xfId="35880"/>
    <cellStyle name="Calculation 9 2 2 3 3" xfId="20185"/>
    <cellStyle name="Calculation 9 2 2 3 3 2" xfId="41372"/>
    <cellStyle name="Calculation 9 2 2 3 4" xfId="30689"/>
    <cellStyle name="Calculation 9 2 2 3_Table 2A-1_EFT (Annual)" xfId="14912"/>
    <cellStyle name="Calculation 9 2 2 4" xfId="10636"/>
    <cellStyle name="Calculation 9 2 2 4 2" xfId="22752"/>
    <cellStyle name="Calculation 9 2 2 4 2 2" xfId="43938"/>
    <cellStyle name="Calculation 9 2 2 4 3" xfId="33334"/>
    <cellStyle name="Calculation 9 2 2 5" xfId="17639"/>
    <cellStyle name="Calculation 9 2 2 5 2" xfId="38826"/>
    <cellStyle name="Calculation 9 2 2 6" xfId="27946"/>
    <cellStyle name="Calculation 9 2 2_Table 2A-1_EFT (Annual)" xfId="6741"/>
    <cellStyle name="Calculation 9 2 3" xfId="1010"/>
    <cellStyle name="Calculation 9 2 3 2" xfId="4571"/>
    <cellStyle name="Calculation 9 2 3 2 2" xfId="12831"/>
    <cellStyle name="Calculation 9 2 3 2 2 2" xfId="24837"/>
    <cellStyle name="Calculation 9 2 3 2 2 2 2" xfId="46023"/>
    <cellStyle name="Calculation 9 2 3 2 2 3" xfId="35419"/>
    <cellStyle name="Calculation 9 2 3 2 3" xfId="19724"/>
    <cellStyle name="Calculation 9 2 3 2 3 2" xfId="40911"/>
    <cellStyle name="Calculation 9 2 3 2 4" xfId="30228"/>
    <cellStyle name="Calculation 9 2 3 2_Table 2A-1_EFT (Annual)" xfId="14913"/>
    <cellStyle name="Calculation 9 2 3 3" xfId="10175"/>
    <cellStyle name="Calculation 9 2 3 3 2" xfId="22291"/>
    <cellStyle name="Calculation 9 2 3 3 2 2" xfId="43477"/>
    <cellStyle name="Calculation 9 2 3 3 3" xfId="32873"/>
    <cellStyle name="Calculation 9 2 3 4" xfId="17178"/>
    <cellStyle name="Calculation 9 2 3 4 2" xfId="38365"/>
    <cellStyle name="Calculation 9 2 3 5" xfId="27485"/>
    <cellStyle name="Calculation 9 2 3_Table 2A-1_EFT (Annual)" xfId="6743"/>
    <cellStyle name="Calculation 9 2 4" xfId="2210"/>
    <cellStyle name="Calculation 9 2 4 2" xfId="5771"/>
    <cellStyle name="Calculation 9 2 4 2 2" xfId="13986"/>
    <cellStyle name="Calculation 9 2 4 2 2 2" xfId="25974"/>
    <cellStyle name="Calculation 9 2 4 2 2 2 2" xfId="47160"/>
    <cellStyle name="Calculation 9 2 4 2 2 3" xfId="36556"/>
    <cellStyle name="Calculation 9 2 4 2 3" xfId="20861"/>
    <cellStyle name="Calculation 9 2 4 2 3 2" xfId="42048"/>
    <cellStyle name="Calculation 9 2 4 2 4" xfId="31428"/>
    <cellStyle name="Calculation 9 2 4 2_Table 2A-1_EFT (Annual)" xfId="14914"/>
    <cellStyle name="Calculation 9 2 4 3" xfId="11330"/>
    <cellStyle name="Calculation 9 2 4 3 2" xfId="23428"/>
    <cellStyle name="Calculation 9 2 4 3 2 2" xfId="44614"/>
    <cellStyle name="Calculation 9 2 4 3 3" xfId="34010"/>
    <cellStyle name="Calculation 9 2 4 4" xfId="18315"/>
    <cellStyle name="Calculation 9 2 4 4 2" xfId="39502"/>
    <cellStyle name="Calculation 9 2 4 5" xfId="28685"/>
    <cellStyle name="Calculation 9 2 4_Table 2A-1_EFT (Annual)" xfId="6744"/>
    <cellStyle name="Calculation 9 2 5" xfId="4064"/>
    <cellStyle name="Calculation 9 2 5 2" xfId="12388"/>
    <cellStyle name="Calculation 9 2 5 2 2" xfId="24410"/>
    <cellStyle name="Calculation 9 2 5 2 2 2" xfId="45596"/>
    <cellStyle name="Calculation 9 2 5 2 3" xfId="34992"/>
    <cellStyle name="Calculation 9 2 5 3" xfId="19297"/>
    <cellStyle name="Calculation 9 2 5 3 2" xfId="40484"/>
    <cellStyle name="Calculation 9 2 5 4" xfId="29752"/>
    <cellStyle name="Calculation 9 2 5_Table 2A-1_EFT (Annual)" xfId="14915"/>
    <cellStyle name="Calculation 9 2 6" xfId="9727"/>
    <cellStyle name="Calculation 9 2 6 2" xfId="21864"/>
    <cellStyle name="Calculation 9 2 6 2 2" xfId="43050"/>
    <cellStyle name="Calculation 9 2 6 3" xfId="32446"/>
    <cellStyle name="Calculation 9 2 7" xfId="16751"/>
    <cellStyle name="Calculation 9 2 7 2" xfId="37938"/>
    <cellStyle name="Calculation 9 2 8" xfId="27009"/>
    <cellStyle name="Calculation 9 2_Table 2A-1_EFT (Annual)" xfId="2989"/>
    <cellStyle name="Calculation 9 3" xfId="327"/>
    <cellStyle name="Calculation 9 3 2" xfId="1315"/>
    <cellStyle name="Calculation 9 3 2 2" xfId="2585"/>
    <cellStyle name="Calculation 9 3 2 2 2" xfId="6146"/>
    <cellStyle name="Calculation 9 3 2 2 2 2" xfId="14340"/>
    <cellStyle name="Calculation 9 3 2 2 2 2 2" xfId="26312"/>
    <cellStyle name="Calculation 9 3 2 2 2 2 2 2" xfId="47498"/>
    <cellStyle name="Calculation 9 3 2 2 2 2 3" xfId="36894"/>
    <cellStyle name="Calculation 9 3 2 2 2 3" xfId="21199"/>
    <cellStyle name="Calculation 9 3 2 2 2 3 2" xfId="42386"/>
    <cellStyle name="Calculation 9 3 2 2 2 4" xfId="31802"/>
    <cellStyle name="Calculation 9 3 2 2 2_Table 2A-1_EFT (Annual)" xfId="14916"/>
    <cellStyle name="Calculation 9 3 2 2 3" xfId="11682"/>
    <cellStyle name="Calculation 9 3 2 2 3 2" xfId="23766"/>
    <cellStyle name="Calculation 9 3 2 2 3 2 2" xfId="44952"/>
    <cellStyle name="Calculation 9 3 2 2 3 3" xfId="34348"/>
    <cellStyle name="Calculation 9 3 2 2 4" xfId="18653"/>
    <cellStyle name="Calculation 9 3 2 2 4 2" xfId="39840"/>
    <cellStyle name="Calculation 9 3 2 2 5" xfId="29059"/>
    <cellStyle name="Calculation 9 3 2 2_Table 2A-1_EFT (Annual)" xfId="6746"/>
    <cellStyle name="Calculation 9 3 2 3" xfId="4876"/>
    <cellStyle name="Calculation 9 3 2 3 2" xfId="13136"/>
    <cellStyle name="Calculation 9 3 2 3 2 2" xfId="25142"/>
    <cellStyle name="Calculation 9 3 2 3 2 2 2" xfId="46328"/>
    <cellStyle name="Calculation 9 3 2 3 2 3" xfId="35724"/>
    <cellStyle name="Calculation 9 3 2 3 3" xfId="20029"/>
    <cellStyle name="Calculation 9 3 2 3 3 2" xfId="41216"/>
    <cellStyle name="Calculation 9 3 2 3 4" xfId="30533"/>
    <cellStyle name="Calculation 9 3 2 3_Table 2A-1_EFT (Annual)" xfId="14917"/>
    <cellStyle name="Calculation 9 3 2 4" xfId="10480"/>
    <cellStyle name="Calculation 9 3 2 4 2" xfId="22596"/>
    <cellStyle name="Calculation 9 3 2 4 2 2" xfId="43782"/>
    <cellStyle name="Calculation 9 3 2 4 3" xfId="33178"/>
    <cellStyle name="Calculation 9 3 2 5" xfId="17483"/>
    <cellStyle name="Calculation 9 3 2 5 2" xfId="38670"/>
    <cellStyle name="Calculation 9 3 2 6" xfId="27790"/>
    <cellStyle name="Calculation 9 3 2_Table 2A-1_EFT (Annual)" xfId="6745"/>
    <cellStyle name="Calculation 9 3 3" xfId="873"/>
    <cellStyle name="Calculation 9 3 3 2" xfId="4434"/>
    <cellStyle name="Calculation 9 3 3 2 2" xfId="12699"/>
    <cellStyle name="Calculation 9 3 3 2 2 2" xfId="24711"/>
    <cellStyle name="Calculation 9 3 3 2 2 2 2" xfId="45897"/>
    <cellStyle name="Calculation 9 3 3 2 2 3" xfId="35293"/>
    <cellStyle name="Calculation 9 3 3 2 3" xfId="19598"/>
    <cellStyle name="Calculation 9 3 3 2 3 2" xfId="40785"/>
    <cellStyle name="Calculation 9 3 3 2 4" xfId="30091"/>
    <cellStyle name="Calculation 9 3 3 2_Table 2A-1_EFT (Annual)" xfId="14918"/>
    <cellStyle name="Calculation 9 3 3 3" xfId="10046"/>
    <cellStyle name="Calculation 9 3 3 3 2" xfId="22165"/>
    <cellStyle name="Calculation 9 3 3 3 2 2" xfId="43351"/>
    <cellStyle name="Calculation 9 3 3 3 3" xfId="32747"/>
    <cellStyle name="Calculation 9 3 3 4" xfId="17052"/>
    <cellStyle name="Calculation 9 3 3 4 2" xfId="38239"/>
    <cellStyle name="Calculation 9 3 3 5" xfId="27348"/>
    <cellStyle name="Calculation 9 3 3_Table 2A-1_EFT (Annual)" xfId="6747"/>
    <cellStyle name="Calculation 9 3 4" xfId="2054"/>
    <cellStyle name="Calculation 9 3 4 2" xfId="5615"/>
    <cellStyle name="Calculation 9 3 4 2 2" xfId="13830"/>
    <cellStyle name="Calculation 9 3 4 2 2 2" xfId="25818"/>
    <cellStyle name="Calculation 9 3 4 2 2 2 2" xfId="47004"/>
    <cellStyle name="Calculation 9 3 4 2 2 3" xfId="36400"/>
    <cellStyle name="Calculation 9 3 4 2 3" xfId="20705"/>
    <cellStyle name="Calculation 9 3 4 2 3 2" xfId="41892"/>
    <cellStyle name="Calculation 9 3 4 2 4" xfId="31272"/>
    <cellStyle name="Calculation 9 3 4 2_Table 2A-1_EFT (Annual)" xfId="14919"/>
    <cellStyle name="Calculation 9 3 4 3" xfId="11174"/>
    <cellStyle name="Calculation 9 3 4 3 2" xfId="23272"/>
    <cellStyle name="Calculation 9 3 4 3 2 2" xfId="44458"/>
    <cellStyle name="Calculation 9 3 4 3 3" xfId="33854"/>
    <cellStyle name="Calculation 9 3 4 4" xfId="18159"/>
    <cellStyle name="Calculation 9 3 4 4 2" xfId="39346"/>
    <cellStyle name="Calculation 9 3 4 5" xfId="28529"/>
    <cellStyle name="Calculation 9 3 4_Table 2A-1_EFT (Annual)" xfId="6748"/>
    <cellStyle name="Calculation 9 3 5" xfId="3897"/>
    <cellStyle name="Calculation 9 3 5 2" xfId="12229"/>
    <cellStyle name="Calculation 9 3 5 2 2" xfId="24254"/>
    <cellStyle name="Calculation 9 3 5 2 2 2" xfId="45440"/>
    <cellStyle name="Calculation 9 3 5 2 3" xfId="34836"/>
    <cellStyle name="Calculation 9 3 5 3" xfId="19141"/>
    <cellStyle name="Calculation 9 3 5 3 2" xfId="40328"/>
    <cellStyle name="Calculation 9 3 5 4" xfId="29585"/>
    <cellStyle name="Calculation 9 3 5_Table 2A-1_EFT (Annual)" xfId="14920"/>
    <cellStyle name="Calculation 9 3 6" xfId="9566"/>
    <cellStyle name="Calculation 9 3 6 2" xfId="21708"/>
    <cellStyle name="Calculation 9 3 6 2 2" xfId="42894"/>
    <cellStyle name="Calculation 9 3 6 3" xfId="32290"/>
    <cellStyle name="Calculation 9 3 7" xfId="16595"/>
    <cellStyle name="Calculation 9 3 7 2" xfId="37782"/>
    <cellStyle name="Calculation 9 3 8" xfId="26842"/>
    <cellStyle name="Calculation 9 3_Table 2A-1_EFT (Annual)" xfId="2990"/>
    <cellStyle name="Calculation 9 4" xfId="1149"/>
    <cellStyle name="Calculation 9 4 2" xfId="2419"/>
    <cellStyle name="Calculation 9 4 2 2" xfId="5980"/>
    <cellStyle name="Calculation 9 4 2 2 2" xfId="14174"/>
    <cellStyle name="Calculation 9 4 2 2 2 2" xfId="26146"/>
    <cellStyle name="Calculation 9 4 2 2 2 2 2" xfId="47332"/>
    <cellStyle name="Calculation 9 4 2 2 2 3" xfId="36728"/>
    <cellStyle name="Calculation 9 4 2 2 3" xfId="21033"/>
    <cellStyle name="Calculation 9 4 2 2 3 2" xfId="42220"/>
    <cellStyle name="Calculation 9 4 2 2 4" xfId="31636"/>
    <cellStyle name="Calculation 9 4 2 2_Table 2A-1_EFT (Annual)" xfId="14921"/>
    <cellStyle name="Calculation 9 4 2 3" xfId="11516"/>
    <cellStyle name="Calculation 9 4 2 3 2" xfId="23600"/>
    <cellStyle name="Calculation 9 4 2 3 2 2" xfId="44786"/>
    <cellStyle name="Calculation 9 4 2 3 3" xfId="34182"/>
    <cellStyle name="Calculation 9 4 2 4" xfId="18487"/>
    <cellStyle name="Calculation 9 4 2 4 2" xfId="39674"/>
    <cellStyle name="Calculation 9 4 2 5" xfId="28893"/>
    <cellStyle name="Calculation 9 4 2_Table 2A-1_EFT (Annual)" xfId="6750"/>
    <cellStyle name="Calculation 9 4 3" xfId="4710"/>
    <cellStyle name="Calculation 9 4 3 2" xfId="12970"/>
    <cellStyle name="Calculation 9 4 3 2 2" xfId="24976"/>
    <cellStyle name="Calculation 9 4 3 2 2 2" xfId="46162"/>
    <cellStyle name="Calculation 9 4 3 2 3" xfId="35558"/>
    <cellStyle name="Calculation 9 4 3 3" xfId="19863"/>
    <cellStyle name="Calculation 9 4 3 3 2" xfId="41050"/>
    <cellStyle name="Calculation 9 4 3 4" xfId="30367"/>
    <cellStyle name="Calculation 9 4 3_Table 2A-1_EFT (Annual)" xfId="14922"/>
    <cellStyle name="Calculation 9 4 4" xfId="10314"/>
    <cellStyle name="Calculation 9 4 4 2" xfId="22430"/>
    <cellStyle name="Calculation 9 4 4 2 2" xfId="43616"/>
    <cellStyle name="Calculation 9 4 4 3" xfId="33012"/>
    <cellStyle name="Calculation 9 4 5" xfId="17317"/>
    <cellStyle name="Calculation 9 4 5 2" xfId="38504"/>
    <cellStyle name="Calculation 9 4 6" xfId="27624"/>
    <cellStyle name="Calculation 9 4_Table 2A-1_EFT (Annual)" xfId="6749"/>
    <cellStyle name="Calculation 9 5" xfId="714"/>
    <cellStyle name="Calculation 9 5 2" xfId="4275"/>
    <cellStyle name="Calculation 9 5 2 2" xfId="12559"/>
    <cellStyle name="Calculation 9 5 2 2 2" xfId="24577"/>
    <cellStyle name="Calculation 9 5 2 2 2 2" xfId="45763"/>
    <cellStyle name="Calculation 9 5 2 2 3" xfId="35159"/>
    <cellStyle name="Calculation 9 5 2 3" xfId="19464"/>
    <cellStyle name="Calculation 9 5 2 3 2" xfId="40651"/>
    <cellStyle name="Calculation 9 5 2 4" xfId="29932"/>
    <cellStyle name="Calculation 9 5 2_Table 2A-1_EFT (Annual)" xfId="14923"/>
    <cellStyle name="Calculation 9 5 3" xfId="9906"/>
    <cellStyle name="Calculation 9 5 3 2" xfId="22031"/>
    <cellStyle name="Calculation 9 5 3 2 2" xfId="43217"/>
    <cellStyle name="Calculation 9 5 3 3" xfId="32613"/>
    <cellStyle name="Calculation 9 5 4" xfId="16918"/>
    <cellStyle name="Calculation 9 5 4 2" xfId="38105"/>
    <cellStyle name="Calculation 9 5 5" xfId="27189"/>
    <cellStyle name="Calculation 9 5_Table 2A-1_EFT (Annual)" xfId="6751"/>
    <cellStyle name="Calculation 9 6" xfId="1811"/>
    <cellStyle name="Calculation 9 6 2" xfId="5372"/>
    <cellStyle name="Calculation 9 6 2 2" xfId="13587"/>
    <cellStyle name="Calculation 9 6 2 2 2" xfId="25575"/>
    <cellStyle name="Calculation 9 6 2 2 2 2" xfId="46761"/>
    <cellStyle name="Calculation 9 6 2 2 3" xfId="36157"/>
    <cellStyle name="Calculation 9 6 2 3" xfId="20462"/>
    <cellStyle name="Calculation 9 6 2 3 2" xfId="41649"/>
    <cellStyle name="Calculation 9 6 2 4" xfId="31029"/>
    <cellStyle name="Calculation 9 6 2_Table 2A-1_EFT (Annual)" xfId="14924"/>
    <cellStyle name="Calculation 9 6 3" xfId="10931"/>
    <cellStyle name="Calculation 9 6 3 2" xfId="23029"/>
    <cellStyle name="Calculation 9 6 3 2 2" xfId="44215"/>
    <cellStyle name="Calculation 9 6 3 3" xfId="33611"/>
    <cellStyle name="Calculation 9 6 4" xfId="17916"/>
    <cellStyle name="Calculation 9 6 4 2" xfId="39103"/>
    <cellStyle name="Calculation 9 6 5" xfId="28286"/>
    <cellStyle name="Calculation 9 6_Table 2A-1_EFT (Annual)" xfId="6752"/>
    <cellStyle name="Calculation 9 7" xfId="3684"/>
    <cellStyle name="Calculation 9 7 2" xfId="12057"/>
    <cellStyle name="Calculation 9 7 2 2" xfId="24088"/>
    <cellStyle name="Calculation 9 7 2 2 2" xfId="45274"/>
    <cellStyle name="Calculation 9 7 2 3" xfId="34670"/>
    <cellStyle name="Calculation 9 7 3" xfId="18975"/>
    <cellStyle name="Calculation 9 7 3 2" xfId="40162"/>
    <cellStyle name="Calculation 9 7 4" xfId="29394"/>
    <cellStyle name="Calculation 9 7_Table 2A-1_EFT (Annual)" xfId="14925"/>
    <cellStyle name="Calculation 9 8" xfId="9374"/>
    <cellStyle name="Calculation 9 8 2" xfId="21542"/>
    <cellStyle name="Calculation 9 8 2 2" xfId="42728"/>
    <cellStyle name="Calculation 9 8 3" xfId="32124"/>
    <cellStyle name="Calculation 9 9" xfId="16429"/>
    <cellStyle name="Calculation 9 9 2" xfId="37616"/>
    <cellStyle name="Calculation 9_Table 2A-1_EFT (Annual)" xfId="2988"/>
    <cellStyle name="Check Cell" xfId="27" builtinId="23" customBuiltin="1"/>
    <cellStyle name="Check Cell 2" xfId="280"/>
    <cellStyle name="Check Cell 3" xfId="684"/>
    <cellStyle name="Check Cell 4" xfId="15998"/>
    <cellStyle name="Comma" xfId="28" builtinId="3"/>
    <cellStyle name="Comma 10" xfId="15999"/>
    <cellStyle name="Comma 2" xfId="29"/>
    <cellStyle name="Comma 2 2" xfId="68"/>
    <cellStyle name="Comma 3" xfId="30"/>
    <cellStyle name="Comma 3 2" xfId="54"/>
    <cellStyle name="Comma 4" xfId="31"/>
    <cellStyle name="Comma 4 2" xfId="97"/>
    <cellStyle name="Comma 5" xfId="57"/>
    <cellStyle name="Comma 5 10" xfId="47810"/>
    <cellStyle name="Comma 5 2" xfId="65"/>
    <cellStyle name="Comma 5 3" xfId="78"/>
    <cellStyle name="Comma 5 3 2" xfId="310"/>
    <cellStyle name="Comma 5 3 2 2" xfId="860"/>
    <cellStyle name="Comma 5 3 2 2 2" xfId="2390"/>
    <cellStyle name="Comma 5 3 2 2 2 2" xfId="5951"/>
    <cellStyle name="Comma 5 3 2 2 2 2 2" xfId="16399"/>
    <cellStyle name="Comma 5 3 2 2 2 2 2 2" xfId="37588"/>
    <cellStyle name="Comma 5 3 2 2 2 2 3" xfId="31607"/>
    <cellStyle name="Comma 5 3 2 2 2 3" xfId="16201"/>
    <cellStyle name="Comma 5 3 2 2 2 3 2" xfId="37391"/>
    <cellStyle name="Comma 5 3 2 2 2 4" xfId="28864"/>
    <cellStyle name="Comma 5 3 2 2 3" xfId="4421"/>
    <cellStyle name="Comma 5 3 2 2 3 2" xfId="16299"/>
    <cellStyle name="Comma 5 3 2 2 3 2 2" xfId="37489"/>
    <cellStyle name="Comma 5 3 2 2 3 3" xfId="30078"/>
    <cellStyle name="Comma 5 3 2 2 4" xfId="16102"/>
    <cellStyle name="Comma 5 3 2 2 4 2" xfId="37292"/>
    <cellStyle name="Comma 5 3 2 2 5" xfId="27335"/>
    <cellStyle name="Comma 5 3 2 3" xfId="1692"/>
    <cellStyle name="Comma 5 3 2 3 2" xfId="5253"/>
    <cellStyle name="Comma 5 3 2 3 2 2" xfId="16350"/>
    <cellStyle name="Comma 5 3 2 3 2 2 2" xfId="37539"/>
    <cellStyle name="Comma 5 3 2 3 2 3" xfId="30910"/>
    <cellStyle name="Comma 5 3 2 3 3" xfId="16152"/>
    <cellStyle name="Comma 5 3 2 3 3 2" xfId="37342"/>
    <cellStyle name="Comma 5 3 2 3 4" xfId="28167"/>
    <cellStyle name="Comma 5 3 2 4" xfId="3880"/>
    <cellStyle name="Comma 5 3 2 4 2" xfId="16250"/>
    <cellStyle name="Comma 5 3 2 4 2 2" xfId="37440"/>
    <cellStyle name="Comma 5 3 2 4 3" xfId="29568"/>
    <cellStyle name="Comma 5 3 2 5" xfId="16053"/>
    <cellStyle name="Comma 5 3 2 5 2" xfId="37243"/>
    <cellStyle name="Comma 5 3 2 6" xfId="26825"/>
    <cellStyle name="Comma 5 3 3" xfId="656"/>
    <cellStyle name="Comma 5 3 3 2" xfId="1777"/>
    <cellStyle name="Comma 5 3 3 2 2" xfId="5338"/>
    <cellStyle name="Comma 5 3 3 2 2 2" xfId="16374"/>
    <cellStyle name="Comma 5 3 3 2 2 2 2" xfId="37563"/>
    <cellStyle name="Comma 5 3 3 2 2 3" xfId="30995"/>
    <cellStyle name="Comma 5 3 3 2 3" xfId="16176"/>
    <cellStyle name="Comma 5 3 3 2 3 2" xfId="37366"/>
    <cellStyle name="Comma 5 3 3 2 4" xfId="28252"/>
    <cellStyle name="Comma 5 3 3 3" xfId="4226"/>
    <cellStyle name="Comma 5 3 3 3 2" xfId="16274"/>
    <cellStyle name="Comma 5 3 3 3 2 2" xfId="37464"/>
    <cellStyle name="Comma 5 3 3 3 3" xfId="29914"/>
    <cellStyle name="Comma 5 3 3 4" xfId="16077"/>
    <cellStyle name="Comma 5 3 3 4 2" xfId="37267"/>
    <cellStyle name="Comma 5 3 3 5" xfId="27171"/>
    <cellStyle name="Comma 5 3 4" xfId="1635"/>
    <cellStyle name="Comma 5 3 4 2" xfId="5196"/>
    <cellStyle name="Comma 5 3 4 2 2" xfId="16325"/>
    <cellStyle name="Comma 5 3 4 2 2 2" xfId="37514"/>
    <cellStyle name="Comma 5 3 4 2 3" xfId="30853"/>
    <cellStyle name="Comma 5 3 4 3" xfId="16127"/>
    <cellStyle name="Comma 5 3 4 3 2" xfId="37317"/>
    <cellStyle name="Comma 5 3 4 4" xfId="28110"/>
    <cellStyle name="Comma 5 3 5" xfId="3667"/>
    <cellStyle name="Comma 5 3 5 2" xfId="16225"/>
    <cellStyle name="Comma 5 3 5 2 2" xfId="37415"/>
    <cellStyle name="Comma 5 3 5 3" xfId="29377"/>
    <cellStyle name="Comma 5 3 6" xfId="16028"/>
    <cellStyle name="Comma 5 3 6 2" xfId="37218"/>
    <cellStyle name="Comma 5 3 7" xfId="26634"/>
    <cellStyle name="Comma 5 3 8" xfId="47822"/>
    <cellStyle name="Comma 5 4" xfId="298"/>
    <cellStyle name="Comma 5 4 2" xfId="848"/>
    <cellStyle name="Comma 5 4 2 2" xfId="2378"/>
    <cellStyle name="Comma 5 4 2 2 2" xfId="5939"/>
    <cellStyle name="Comma 5 4 2 2 2 2" xfId="16387"/>
    <cellStyle name="Comma 5 4 2 2 2 2 2" xfId="37576"/>
    <cellStyle name="Comma 5 4 2 2 2 3" xfId="31595"/>
    <cellStyle name="Comma 5 4 2 2 3" xfId="16189"/>
    <cellStyle name="Comma 5 4 2 2 3 2" xfId="37379"/>
    <cellStyle name="Comma 5 4 2 2 4" xfId="28852"/>
    <cellStyle name="Comma 5 4 2 3" xfId="4409"/>
    <cellStyle name="Comma 5 4 2 3 2" xfId="16287"/>
    <cellStyle name="Comma 5 4 2 3 2 2" xfId="37477"/>
    <cellStyle name="Comma 5 4 2 3 3" xfId="30066"/>
    <cellStyle name="Comma 5 4 2 4" xfId="16090"/>
    <cellStyle name="Comma 5 4 2 4 2" xfId="37280"/>
    <cellStyle name="Comma 5 4 2 5" xfId="27323"/>
    <cellStyle name="Comma 5 4 3" xfId="1680"/>
    <cellStyle name="Comma 5 4 3 2" xfId="5241"/>
    <cellStyle name="Comma 5 4 3 2 2" xfId="16338"/>
    <cellStyle name="Comma 5 4 3 2 2 2" xfId="37527"/>
    <cellStyle name="Comma 5 4 3 2 3" xfId="30898"/>
    <cellStyle name="Comma 5 4 3 3" xfId="16140"/>
    <cellStyle name="Comma 5 4 3 3 2" xfId="37330"/>
    <cellStyle name="Comma 5 4 3 4" xfId="28155"/>
    <cellStyle name="Comma 5 4 4" xfId="3868"/>
    <cellStyle name="Comma 5 4 4 2" xfId="16238"/>
    <cellStyle name="Comma 5 4 4 2 2" xfId="37428"/>
    <cellStyle name="Comma 5 4 4 3" xfId="29556"/>
    <cellStyle name="Comma 5 4 5" xfId="16041"/>
    <cellStyle name="Comma 5 4 5 2" xfId="37231"/>
    <cellStyle name="Comma 5 4 6" xfId="26813"/>
    <cellStyle name="Comma 5 5" xfId="644"/>
    <cellStyle name="Comma 5 5 2" xfId="1765"/>
    <cellStyle name="Comma 5 5 2 2" xfId="5326"/>
    <cellStyle name="Comma 5 5 2 2 2" xfId="16362"/>
    <cellStyle name="Comma 5 5 2 2 2 2" xfId="37551"/>
    <cellStyle name="Comma 5 5 2 2 3" xfId="30983"/>
    <cellStyle name="Comma 5 5 2 3" xfId="16164"/>
    <cellStyle name="Comma 5 5 2 3 2" xfId="37354"/>
    <cellStyle name="Comma 5 5 2 4" xfId="28240"/>
    <cellStyle name="Comma 5 5 3" xfId="4214"/>
    <cellStyle name="Comma 5 5 3 2" xfId="16262"/>
    <cellStyle name="Comma 5 5 3 2 2" xfId="37452"/>
    <cellStyle name="Comma 5 5 3 3" xfId="29902"/>
    <cellStyle name="Comma 5 5 4" xfId="16065"/>
    <cellStyle name="Comma 5 5 4 2" xfId="37255"/>
    <cellStyle name="Comma 5 5 5" xfId="27159"/>
    <cellStyle name="Comma 5 6" xfId="1623"/>
    <cellStyle name="Comma 5 6 2" xfId="5184"/>
    <cellStyle name="Comma 5 6 2 2" xfId="16313"/>
    <cellStyle name="Comma 5 6 2 2 2" xfId="37502"/>
    <cellStyle name="Comma 5 6 2 3" xfId="30841"/>
    <cellStyle name="Comma 5 6 3" xfId="16115"/>
    <cellStyle name="Comma 5 6 3 2" xfId="37305"/>
    <cellStyle name="Comma 5 6 4" xfId="28098"/>
    <cellStyle name="Comma 5 7" xfId="3649"/>
    <cellStyle name="Comma 5 7 2" xfId="16213"/>
    <cellStyle name="Comma 5 7 2 2" xfId="37403"/>
    <cellStyle name="Comma 5 7 3" xfId="29365"/>
    <cellStyle name="Comma 5 8" xfId="16016"/>
    <cellStyle name="Comma 5 8 2" xfId="37206"/>
    <cellStyle name="Comma 5 9" xfId="26622"/>
    <cellStyle name="Comma 6" xfId="63"/>
    <cellStyle name="Comma 6 2" xfId="107"/>
    <cellStyle name="Comma 6 2 2" xfId="338"/>
    <cellStyle name="Comma 6 2 2 2" xfId="882"/>
    <cellStyle name="Comma 6 2 2 2 2" xfId="2395"/>
    <cellStyle name="Comma 6 2 2 2 2 2" xfId="5956"/>
    <cellStyle name="Comma 6 2 2 2 2 2 2" xfId="16404"/>
    <cellStyle name="Comma 6 2 2 2 2 2 2 2" xfId="37593"/>
    <cellStyle name="Comma 6 2 2 2 2 2 3" xfId="31612"/>
    <cellStyle name="Comma 6 2 2 2 2 3" xfId="16206"/>
    <cellStyle name="Comma 6 2 2 2 2 3 2" xfId="37396"/>
    <cellStyle name="Comma 6 2 2 2 2 4" xfId="28869"/>
    <cellStyle name="Comma 6 2 2 2 3" xfId="4443"/>
    <cellStyle name="Comma 6 2 2 2 3 2" xfId="16304"/>
    <cellStyle name="Comma 6 2 2 2 3 2 2" xfId="37494"/>
    <cellStyle name="Comma 6 2 2 2 3 3" xfId="30100"/>
    <cellStyle name="Comma 6 2 2 2 4" xfId="16107"/>
    <cellStyle name="Comma 6 2 2 2 4 2" xfId="37297"/>
    <cellStyle name="Comma 6 2 2 2 5" xfId="27357"/>
    <cellStyle name="Comma 6 2 2 3" xfId="1703"/>
    <cellStyle name="Comma 6 2 2 3 2" xfId="5264"/>
    <cellStyle name="Comma 6 2 2 3 2 2" xfId="16355"/>
    <cellStyle name="Comma 6 2 2 3 2 2 2" xfId="37544"/>
    <cellStyle name="Comma 6 2 2 3 2 3" xfId="30921"/>
    <cellStyle name="Comma 6 2 2 3 3" xfId="16157"/>
    <cellStyle name="Comma 6 2 2 3 3 2" xfId="37347"/>
    <cellStyle name="Comma 6 2 2 3 4" xfId="28178"/>
    <cellStyle name="Comma 6 2 2 4" xfId="3908"/>
    <cellStyle name="Comma 6 2 2 4 2" xfId="16255"/>
    <cellStyle name="Comma 6 2 2 4 2 2" xfId="37445"/>
    <cellStyle name="Comma 6 2 2 4 3" xfId="29596"/>
    <cellStyle name="Comma 6 2 2 5" xfId="16058"/>
    <cellStyle name="Comma 6 2 2 5 2" xfId="37248"/>
    <cellStyle name="Comma 6 2 2 6" xfId="26853"/>
    <cellStyle name="Comma 6 2 3" xfId="723"/>
    <cellStyle name="Comma 6 2 3 2" xfId="2370"/>
    <cellStyle name="Comma 6 2 3 2 2" xfId="5931"/>
    <cellStyle name="Comma 6 2 3 2 2 2" xfId="16379"/>
    <cellStyle name="Comma 6 2 3 2 2 2 2" xfId="37568"/>
    <cellStyle name="Comma 6 2 3 2 2 3" xfId="31587"/>
    <cellStyle name="Comma 6 2 3 2 3" xfId="16181"/>
    <cellStyle name="Comma 6 2 3 2 3 2" xfId="37371"/>
    <cellStyle name="Comma 6 2 3 2 4" xfId="28844"/>
    <cellStyle name="Comma 6 2 3 3" xfId="4284"/>
    <cellStyle name="Comma 6 2 3 3 2" xfId="16279"/>
    <cellStyle name="Comma 6 2 3 3 2 2" xfId="37469"/>
    <cellStyle name="Comma 6 2 3 3 3" xfId="29941"/>
    <cellStyle name="Comma 6 2 3 4" xfId="16082"/>
    <cellStyle name="Comma 6 2 3 4 2" xfId="37272"/>
    <cellStyle name="Comma 6 2 3 5" xfId="27198"/>
    <cellStyle name="Comma 6 2 4" xfId="1646"/>
    <cellStyle name="Comma 6 2 4 2" xfId="5207"/>
    <cellStyle name="Comma 6 2 4 2 2" xfId="16330"/>
    <cellStyle name="Comma 6 2 4 2 2 2" xfId="37519"/>
    <cellStyle name="Comma 6 2 4 2 3" xfId="30864"/>
    <cellStyle name="Comma 6 2 4 3" xfId="16132"/>
    <cellStyle name="Comma 6 2 4 3 2" xfId="37322"/>
    <cellStyle name="Comma 6 2 4 4" xfId="28121"/>
    <cellStyle name="Comma 6 2 5" xfId="3696"/>
    <cellStyle name="Comma 6 2 5 2" xfId="16230"/>
    <cellStyle name="Comma 6 2 5 2 2" xfId="37420"/>
    <cellStyle name="Comma 6 2 5 3" xfId="29405"/>
    <cellStyle name="Comma 6 2 6" xfId="16033"/>
    <cellStyle name="Comma 6 2 6 2" xfId="37223"/>
    <cellStyle name="Comma 6 2 7" xfId="26662"/>
    <cellStyle name="Comma 6 3" xfId="303"/>
    <cellStyle name="Comma 6 3 2" xfId="853"/>
    <cellStyle name="Comma 6 3 2 2" xfId="2383"/>
    <cellStyle name="Comma 6 3 2 2 2" xfId="5944"/>
    <cellStyle name="Comma 6 3 2 2 2 2" xfId="16392"/>
    <cellStyle name="Comma 6 3 2 2 2 2 2" xfId="37581"/>
    <cellStyle name="Comma 6 3 2 2 2 3" xfId="31600"/>
    <cellStyle name="Comma 6 3 2 2 3" xfId="16194"/>
    <cellStyle name="Comma 6 3 2 2 3 2" xfId="37384"/>
    <cellStyle name="Comma 6 3 2 2 4" xfId="28857"/>
    <cellStyle name="Comma 6 3 2 3" xfId="4414"/>
    <cellStyle name="Comma 6 3 2 3 2" xfId="16292"/>
    <cellStyle name="Comma 6 3 2 3 2 2" xfId="37482"/>
    <cellStyle name="Comma 6 3 2 3 3" xfId="30071"/>
    <cellStyle name="Comma 6 3 2 4" xfId="16095"/>
    <cellStyle name="Comma 6 3 2 4 2" xfId="37285"/>
    <cellStyle name="Comma 6 3 2 5" xfId="27328"/>
    <cellStyle name="Comma 6 3 3" xfId="1685"/>
    <cellStyle name="Comma 6 3 3 2" xfId="5246"/>
    <cellStyle name="Comma 6 3 3 2 2" xfId="16343"/>
    <cellStyle name="Comma 6 3 3 2 2 2" xfId="37532"/>
    <cellStyle name="Comma 6 3 3 2 3" xfId="30903"/>
    <cellStyle name="Comma 6 3 3 3" xfId="16145"/>
    <cellStyle name="Comma 6 3 3 3 2" xfId="37335"/>
    <cellStyle name="Comma 6 3 3 4" xfId="28160"/>
    <cellStyle name="Comma 6 3 4" xfId="3873"/>
    <cellStyle name="Comma 6 3 4 2" xfId="16243"/>
    <cellStyle name="Comma 6 3 4 2 2" xfId="37433"/>
    <cellStyle name="Comma 6 3 4 3" xfId="29561"/>
    <cellStyle name="Comma 6 3 5" xfId="16046"/>
    <cellStyle name="Comma 6 3 5 2" xfId="37236"/>
    <cellStyle name="Comma 6 3 6" xfId="26818"/>
    <cellStyle name="Comma 6 4" xfId="649"/>
    <cellStyle name="Comma 6 4 2" xfId="1770"/>
    <cellStyle name="Comma 6 4 2 2" xfId="5331"/>
    <cellStyle name="Comma 6 4 2 2 2" xfId="16367"/>
    <cellStyle name="Comma 6 4 2 2 2 2" xfId="37556"/>
    <cellStyle name="Comma 6 4 2 2 3" xfId="30988"/>
    <cellStyle name="Comma 6 4 2 3" xfId="16169"/>
    <cellStyle name="Comma 6 4 2 3 2" xfId="37359"/>
    <cellStyle name="Comma 6 4 2 4" xfId="28245"/>
    <cellStyle name="Comma 6 4 3" xfId="4219"/>
    <cellStyle name="Comma 6 4 3 2" xfId="16267"/>
    <cellStyle name="Comma 6 4 3 2 2" xfId="37457"/>
    <cellStyle name="Comma 6 4 3 3" xfId="29907"/>
    <cellStyle name="Comma 6 4 4" xfId="16070"/>
    <cellStyle name="Comma 6 4 4 2" xfId="37260"/>
    <cellStyle name="Comma 6 4 5" xfId="27164"/>
    <cellStyle name="Comma 6 5" xfId="1628"/>
    <cellStyle name="Comma 6 5 2" xfId="5189"/>
    <cellStyle name="Comma 6 5 2 2" xfId="16318"/>
    <cellStyle name="Comma 6 5 2 2 2" xfId="37507"/>
    <cellStyle name="Comma 6 5 2 3" xfId="30846"/>
    <cellStyle name="Comma 6 5 3" xfId="16120"/>
    <cellStyle name="Comma 6 5 3 2" xfId="37310"/>
    <cellStyle name="Comma 6 5 4" xfId="28103"/>
    <cellStyle name="Comma 6 6" xfId="3654"/>
    <cellStyle name="Comma 6 6 2" xfId="16218"/>
    <cellStyle name="Comma 6 6 2 2" xfId="37408"/>
    <cellStyle name="Comma 6 6 3" xfId="29370"/>
    <cellStyle name="Comma 6 7" xfId="16021"/>
    <cellStyle name="Comma 6 7 2" xfId="37211"/>
    <cellStyle name="Comma 6 8" xfId="26627"/>
    <cellStyle name="Comma 6 9" xfId="47815"/>
    <cellStyle name="Comma 7" xfId="72"/>
    <cellStyle name="Comma 7 2" xfId="227"/>
    <cellStyle name="Comma 7 2 2" xfId="454"/>
    <cellStyle name="Comma 7 2 2 2" xfId="978"/>
    <cellStyle name="Comma 7 2 2 2 2" xfId="2398"/>
    <cellStyle name="Comma 7 2 2 2 2 2" xfId="5959"/>
    <cellStyle name="Comma 7 2 2 2 2 2 2" xfId="16407"/>
    <cellStyle name="Comma 7 2 2 2 2 2 2 2" xfId="37596"/>
    <cellStyle name="Comma 7 2 2 2 2 2 3" xfId="31615"/>
    <cellStyle name="Comma 7 2 2 2 2 3" xfId="16209"/>
    <cellStyle name="Comma 7 2 2 2 2 3 2" xfId="37399"/>
    <cellStyle name="Comma 7 2 2 2 2 4" xfId="28872"/>
    <cellStyle name="Comma 7 2 2 2 3" xfId="4539"/>
    <cellStyle name="Comma 7 2 2 2 3 2" xfId="16307"/>
    <cellStyle name="Comma 7 2 2 2 3 2 2" xfId="37497"/>
    <cellStyle name="Comma 7 2 2 2 3 3" xfId="30196"/>
    <cellStyle name="Comma 7 2 2 2 4" xfId="16110"/>
    <cellStyle name="Comma 7 2 2 2 4 2" xfId="37300"/>
    <cellStyle name="Comma 7 2 2 2 5" xfId="27453"/>
    <cellStyle name="Comma 7 2 2 3" xfId="1726"/>
    <cellStyle name="Comma 7 2 2 3 2" xfId="5287"/>
    <cellStyle name="Comma 7 2 2 3 2 2" xfId="16358"/>
    <cellStyle name="Comma 7 2 2 3 2 2 2" xfId="37547"/>
    <cellStyle name="Comma 7 2 2 3 2 3" xfId="30944"/>
    <cellStyle name="Comma 7 2 2 3 3" xfId="16160"/>
    <cellStyle name="Comma 7 2 2 3 3 2" xfId="37350"/>
    <cellStyle name="Comma 7 2 2 3 4" xfId="28201"/>
    <cellStyle name="Comma 7 2 2 4" xfId="4024"/>
    <cellStyle name="Comma 7 2 2 4 2" xfId="16258"/>
    <cellStyle name="Comma 7 2 2 4 2 2" xfId="37448"/>
    <cellStyle name="Comma 7 2 2 4 3" xfId="29712"/>
    <cellStyle name="Comma 7 2 2 5" xfId="16061"/>
    <cellStyle name="Comma 7 2 2 5 2" xfId="37251"/>
    <cellStyle name="Comma 7 2 2 6" xfId="26969"/>
    <cellStyle name="Comma 7 2 3" xfId="822"/>
    <cellStyle name="Comma 7 2 3 2" xfId="2373"/>
    <cellStyle name="Comma 7 2 3 2 2" xfId="5934"/>
    <cellStyle name="Comma 7 2 3 2 2 2" xfId="16382"/>
    <cellStyle name="Comma 7 2 3 2 2 2 2" xfId="37571"/>
    <cellStyle name="Comma 7 2 3 2 2 3" xfId="31590"/>
    <cellStyle name="Comma 7 2 3 2 3" xfId="16184"/>
    <cellStyle name="Comma 7 2 3 2 3 2" xfId="37374"/>
    <cellStyle name="Comma 7 2 3 2 4" xfId="28847"/>
    <cellStyle name="Comma 7 2 3 3" xfId="4383"/>
    <cellStyle name="Comma 7 2 3 3 2" xfId="16282"/>
    <cellStyle name="Comma 7 2 3 3 2 2" xfId="37472"/>
    <cellStyle name="Comma 7 2 3 3 3" xfId="30040"/>
    <cellStyle name="Comma 7 2 3 4" xfId="16085"/>
    <cellStyle name="Comma 7 2 3 4 2" xfId="37275"/>
    <cellStyle name="Comma 7 2 3 5" xfId="27297"/>
    <cellStyle name="Comma 7 2 4" xfId="1670"/>
    <cellStyle name="Comma 7 2 4 2" xfId="5231"/>
    <cellStyle name="Comma 7 2 4 2 2" xfId="16333"/>
    <cellStyle name="Comma 7 2 4 2 2 2" xfId="37522"/>
    <cellStyle name="Comma 7 2 4 2 3" xfId="30888"/>
    <cellStyle name="Comma 7 2 4 3" xfId="16135"/>
    <cellStyle name="Comma 7 2 4 3 2" xfId="37325"/>
    <cellStyle name="Comma 7 2 4 4" xfId="28145"/>
    <cellStyle name="Comma 7 2 5" xfId="3816"/>
    <cellStyle name="Comma 7 2 5 2" xfId="16233"/>
    <cellStyle name="Comma 7 2 5 2 2" xfId="37423"/>
    <cellStyle name="Comma 7 2 5 3" xfId="29525"/>
    <cellStyle name="Comma 7 2 6" xfId="16036"/>
    <cellStyle name="Comma 7 2 6 2" xfId="37226"/>
    <cellStyle name="Comma 7 2 7" xfId="26782"/>
    <cellStyle name="Comma 7 3" xfId="306"/>
    <cellStyle name="Comma 7 3 2" xfId="856"/>
    <cellStyle name="Comma 7 3 2 2" xfId="2386"/>
    <cellStyle name="Comma 7 3 2 2 2" xfId="5947"/>
    <cellStyle name="Comma 7 3 2 2 2 2" xfId="16395"/>
    <cellStyle name="Comma 7 3 2 2 2 2 2" xfId="37584"/>
    <cellStyle name="Comma 7 3 2 2 2 3" xfId="31603"/>
    <cellStyle name="Comma 7 3 2 2 3" xfId="16197"/>
    <cellStyle name="Comma 7 3 2 2 3 2" xfId="37387"/>
    <cellStyle name="Comma 7 3 2 2 4" xfId="28860"/>
    <cellStyle name="Comma 7 3 2 3" xfId="4417"/>
    <cellStyle name="Comma 7 3 2 3 2" xfId="16295"/>
    <cellStyle name="Comma 7 3 2 3 2 2" xfId="37485"/>
    <cellStyle name="Comma 7 3 2 3 3" xfId="30074"/>
    <cellStyle name="Comma 7 3 2 4" xfId="16098"/>
    <cellStyle name="Comma 7 3 2 4 2" xfId="37288"/>
    <cellStyle name="Comma 7 3 2 5" xfId="27331"/>
    <cellStyle name="Comma 7 3 3" xfId="1688"/>
    <cellStyle name="Comma 7 3 3 2" xfId="5249"/>
    <cellStyle name="Comma 7 3 3 2 2" xfId="16346"/>
    <cellStyle name="Comma 7 3 3 2 2 2" xfId="37535"/>
    <cellStyle name="Comma 7 3 3 2 3" xfId="30906"/>
    <cellStyle name="Comma 7 3 3 3" xfId="16148"/>
    <cellStyle name="Comma 7 3 3 3 2" xfId="37338"/>
    <cellStyle name="Comma 7 3 3 4" xfId="28163"/>
    <cellStyle name="Comma 7 3 4" xfId="3876"/>
    <cellStyle name="Comma 7 3 4 2" xfId="16246"/>
    <cellStyle name="Comma 7 3 4 2 2" xfId="37436"/>
    <cellStyle name="Comma 7 3 4 3" xfId="29564"/>
    <cellStyle name="Comma 7 3 5" xfId="16049"/>
    <cellStyle name="Comma 7 3 5 2" xfId="37239"/>
    <cellStyle name="Comma 7 3 6" xfId="26821"/>
    <cellStyle name="Comma 7 4" xfId="652"/>
    <cellStyle name="Comma 7 4 2" xfId="1773"/>
    <cellStyle name="Comma 7 4 2 2" xfId="5334"/>
    <cellStyle name="Comma 7 4 2 2 2" xfId="16370"/>
    <cellStyle name="Comma 7 4 2 2 2 2" xfId="37559"/>
    <cellStyle name="Comma 7 4 2 2 3" xfId="30991"/>
    <cellStyle name="Comma 7 4 2 3" xfId="16172"/>
    <cellStyle name="Comma 7 4 2 3 2" xfId="37362"/>
    <cellStyle name="Comma 7 4 2 4" xfId="28248"/>
    <cellStyle name="Comma 7 4 3" xfId="4222"/>
    <cellStyle name="Comma 7 4 3 2" xfId="16270"/>
    <cellStyle name="Comma 7 4 3 2 2" xfId="37460"/>
    <cellStyle name="Comma 7 4 3 3" xfId="29910"/>
    <cellStyle name="Comma 7 4 4" xfId="16073"/>
    <cellStyle name="Comma 7 4 4 2" xfId="37263"/>
    <cellStyle name="Comma 7 4 5" xfId="27167"/>
    <cellStyle name="Comma 7 5" xfId="1631"/>
    <cellStyle name="Comma 7 5 2" xfId="5192"/>
    <cellStyle name="Comma 7 5 2 2" xfId="16321"/>
    <cellStyle name="Comma 7 5 2 2 2" xfId="37510"/>
    <cellStyle name="Comma 7 5 2 3" xfId="30849"/>
    <cellStyle name="Comma 7 5 3" xfId="16123"/>
    <cellStyle name="Comma 7 5 3 2" xfId="37313"/>
    <cellStyle name="Comma 7 5 4" xfId="28106"/>
    <cellStyle name="Comma 7 6" xfId="3663"/>
    <cellStyle name="Comma 7 6 2" xfId="16221"/>
    <cellStyle name="Comma 7 6 2 2" xfId="37411"/>
    <cellStyle name="Comma 7 6 3" xfId="29373"/>
    <cellStyle name="Comma 7 7" xfId="16024"/>
    <cellStyle name="Comma 7 7 2" xfId="37214"/>
    <cellStyle name="Comma 7 8" xfId="26630"/>
    <cellStyle name="Comma 7 9" xfId="47818"/>
    <cellStyle name="Comma 8" xfId="281"/>
    <cellStyle name="Comma 9" xfId="685"/>
    <cellStyle name="Currency" xfId="32" builtinId="4"/>
    <cellStyle name="Currency 2" xfId="33"/>
    <cellStyle name="Currency 2 2" xfId="67"/>
    <cellStyle name="Currency 3" xfId="34"/>
    <cellStyle name="Currency 3 2" xfId="56"/>
    <cellStyle name="Currency 4" xfId="282"/>
    <cellStyle name="Currency 5" xfId="686"/>
    <cellStyle name="Currency 6" xfId="16000"/>
    <cellStyle name="Explanatory Text" xfId="35" builtinId="53" customBuiltin="1"/>
    <cellStyle name="Explanatory Text 2" xfId="283"/>
    <cellStyle name="Explanatory Text 3" xfId="687"/>
    <cellStyle name="Explanatory Text 4" xfId="16001"/>
    <cellStyle name="Good" xfId="36" builtinId="26" customBuiltin="1"/>
    <cellStyle name="Good 2" xfId="284"/>
    <cellStyle name="Good 3" xfId="688"/>
    <cellStyle name="Good 4" xfId="16002"/>
    <cellStyle name="Heading 1" xfId="37" builtinId="16" customBuiltin="1"/>
    <cellStyle name="Heading 1 2" xfId="285"/>
    <cellStyle name="Heading 1 3" xfId="689"/>
    <cellStyle name="Heading 1 4" xfId="16003"/>
    <cellStyle name="Heading 2" xfId="38" builtinId="17" customBuiltin="1"/>
    <cellStyle name="Heading 2 2" xfId="286"/>
    <cellStyle name="Heading 2 3" xfId="690"/>
    <cellStyle name="Heading 2 4" xfId="16004"/>
    <cellStyle name="Heading 3" xfId="39" builtinId="18" customBuiltin="1"/>
    <cellStyle name="Heading 3 2" xfId="287"/>
    <cellStyle name="Heading 3 3" xfId="691"/>
    <cellStyle name="Heading 3 4" xfId="16005"/>
    <cellStyle name="Heading 4" xfId="40" builtinId="19" customBuiltin="1"/>
    <cellStyle name="Heading 4 2" xfId="288"/>
    <cellStyle name="Heading 4 3" xfId="692"/>
    <cellStyle name="Heading 4 4" xfId="16006"/>
    <cellStyle name="Input" xfId="41" builtinId="20" customBuiltin="1"/>
    <cellStyle name="Input 10" xfId="134"/>
    <cellStyle name="Input 10 10" xfId="26689"/>
    <cellStyle name="Input 10 2" xfId="527"/>
    <cellStyle name="Input 10 2 2" xfId="1504"/>
    <cellStyle name="Input 10 2 2 2" xfId="2774"/>
    <cellStyle name="Input 10 2 2 2 2" xfId="6335"/>
    <cellStyle name="Input 10 2 2 2 2 2" xfId="14529"/>
    <cellStyle name="Input 10 2 2 2 2 2 2" xfId="26501"/>
    <cellStyle name="Input 10 2 2 2 2 2 2 2" xfId="47687"/>
    <cellStyle name="Input 10 2 2 2 2 2 3" xfId="37083"/>
    <cellStyle name="Input 10 2 2 2 2 3" xfId="21388"/>
    <cellStyle name="Input 10 2 2 2 2 3 2" xfId="42575"/>
    <cellStyle name="Input 10 2 2 2 2 4" xfId="31991"/>
    <cellStyle name="Input 10 2 2 2 2_Table 2A-1_EFT (Annual)" xfId="14926"/>
    <cellStyle name="Input 10 2 2 2 3" xfId="11871"/>
    <cellStyle name="Input 10 2 2 2 3 2" xfId="23955"/>
    <cellStyle name="Input 10 2 2 2 3 2 2" xfId="45141"/>
    <cellStyle name="Input 10 2 2 2 3 3" xfId="34537"/>
    <cellStyle name="Input 10 2 2 2 4" xfId="18842"/>
    <cellStyle name="Input 10 2 2 2 4 2" xfId="40029"/>
    <cellStyle name="Input 10 2 2 2 5" xfId="29248"/>
    <cellStyle name="Input 10 2 2 2_Table 2A-1_EFT (Annual)" xfId="6754"/>
    <cellStyle name="Input 10 2 2 3" xfId="5065"/>
    <cellStyle name="Input 10 2 2 3 2" xfId="13325"/>
    <cellStyle name="Input 10 2 2 3 2 2" xfId="25331"/>
    <cellStyle name="Input 10 2 2 3 2 2 2" xfId="46517"/>
    <cellStyle name="Input 10 2 2 3 2 3" xfId="35913"/>
    <cellStyle name="Input 10 2 2 3 3" xfId="20218"/>
    <cellStyle name="Input 10 2 2 3 3 2" xfId="41405"/>
    <cellStyle name="Input 10 2 2 3 4" xfId="30722"/>
    <cellStyle name="Input 10 2 2 3_Table 2A-1_EFT (Annual)" xfId="14927"/>
    <cellStyle name="Input 10 2 2 4" xfId="10669"/>
    <cellStyle name="Input 10 2 2 4 2" xfId="22785"/>
    <cellStyle name="Input 10 2 2 4 2 2" xfId="43971"/>
    <cellStyle name="Input 10 2 2 4 3" xfId="33367"/>
    <cellStyle name="Input 10 2 2 5" xfId="17672"/>
    <cellStyle name="Input 10 2 2 5 2" xfId="38859"/>
    <cellStyle name="Input 10 2 2 6" xfId="27979"/>
    <cellStyle name="Input 10 2 2_Table 2A-1_EFT (Annual)" xfId="6753"/>
    <cellStyle name="Input 10 2 3" xfId="1037"/>
    <cellStyle name="Input 10 2 3 2" xfId="4598"/>
    <cellStyle name="Input 10 2 3 2 2" xfId="12858"/>
    <cellStyle name="Input 10 2 3 2 2 2" xfId="24864"/>
    <cellStyle name="Input 10 2 3 2 2 2 2" xfId="46050"/>
    <cellStyle name="Input 10 2 3 2 2 3" xfId="35446"/>
    <cellStyle name="Input 10 2 3 2 3" xfId="19751"/>
    <cellStyle name="Input 10 2 3 2 3 2" xfId="40938"/>
    <cellStyle name="Input 10 2 3 2 4" xfId="30255"/>
    <cellStyle name="Input 10 2 3 2_Table 2A-1_EFT (Annual)" xfId="14928"/>
    <cellStyle name="Input 10 2 3 3" xfId="10202"/>
    <cellStyle name="Input 10 2 3 3 2" xfId="22318"/>
    <cellStyle name="Input 10 2 3 3 2 2" xfId="43504"/>
    <cellStyle name="Input 10 2 3 3 3" xfId="32900"/>
    <cellStyle name="Input 10 2 3 4" xfId="17205"/>
    <cellStyle name="Input 10 2 3 4 2" xfId="38392"/>
    <cellStyle name="Input 10 2 3 5" xfId="27512"/>
    <cellStyle name="Input 10 2 3_Table 2A-1_EFT (Annual)" xfId="6755"/>
    <cellStyle name="Input 10 2 4" xfId="2243"/>
    <cellStyle name="Input 10 2 4 2" xfId="5804"/>
    <cellStyle name="Input 10 2 4 2 2" xfId="14019"/>
    <cellStyle name="Input 10 2 4 2 2 2" xfId="26007"/>
    <cellStyle name="Input 10 2 4 2 2 2 2" xfId="47193"/>
    <cellStyle name="Input 10 2 4 2 2 3" xfId="36589"/>
    <cellStyle name="Input 10 2 4 2 3" xfId="20894"/>
    <cellStyle name="Input 10 2 4 2 3 2" xfId="42081"/>
    <cellStyle name="Input 10 2 4 2 4" xfId="31461"/>
    <cellStyle name="Input 10 2 4 2_Table 2A-1_EFT (Annual)" xfId="14929"/>
    <cellStyle name="Input 10 2 4 3" xfId="11363"/>
    <cellStyle name="Input 10 2 4 3 2" xfId="23461"/>
    <cellStyle name="Input 10 2 4 3 2 2" xfId="44647"/>
    <cellStyle name="Input 10 2 4 3 3" xfId="34043"/>
    <cellStyle name="Input 10 2 4 4" xfId="18348"/>
    <cellStyle name="Input 10 2 4 4 2" xfId="39535"/>
    <cellStyle name="Input 10 2 4 5" xfId="28718"/>
    <cellStyle name="Input 10 2 4_Table 2A-1_EFT (Annual)" xfId="6756"/>
    <cellStyle name="Input 10 2 5" xfId="4097"/>
    <cellStyle name="Input 10 2 5 2" xfId="12421"/>
    <cellStyle name="Input 10 2 5 2 2" xfId="24443"/>
    <cellStyle name="Input 10 2 5 2 2 2" xfId="45629"/>
    <cellStyle name="Input 10 2 5 2 3" xfId="35025"/>
    <cellStyle name="Input 10 2 5 3" xfId="19330"/>
    <cellStyle name="Input 10 2 5 3 2" xfId="40517"/>
    <cellStyle name="Input 10 2 5 4" xfId="29785"/>
    <cellStyle name="Input 10 2 5_Table 2A-1_EFT (Annual)" xfId="14930"/>
    <cellStyle name="Input 10 2 6" xfId="9760"/>
    <cellStyle name="Input 10 2 6 2" xfId="21897"/>
    <cellStyle name="Input 10 2 6 2 2" xfId="43083"/>
    <cellStyle name="Input 10 2 6 3" xfId="32479"/>
    <cellStyle name="Input 10 2 7" xfId="16784"/>
    <cellStyle name="Input 10 2 7 2" xfId="37971"/>
    <cellStyle name="Input 10 2 8" xfId="27042"/>
    <cellStyle name="Input 10 2_Table 2A-1_EFT (Annual)" xfId="2992"/>
    <cellStyle name="Input 10 3" xfId="365"/>
    <cellStyle name="Input 10 3 2" xfId="1348"/>
    <cellStyle name="Input 10 3 2 2" xfId="2618"/>
    <cellStyle name="Input 10 3 2 2 2" xfId="6179"/>
    <cellStyle name="Input 10 3 2 2 2 2" xfId="14373"/>
    <cellStyle name="Input 10 3 2 2 2 2 2" xfId="26345"/>
    <cellStyle name="Input 10 3 2 2 2 2 2 2" xfId="47531"/>
    <cellStyle name="Input 10 3 2 2 2 2 3" xfId="36927"/>
    <cellStyle name="Input 10 3 2 2 2 3" xfId="21232"/>
    <cellStyle name="Input 10 3 2 2 2 3 2" xfId="42419"/>
    <cellStyle name="Input 10 3 2 2 2 4" xfId="31835"/>
    <cellStyle name="Input 10 3 2 2 2_Table 2A-1_EFT (Annual)" xfId="14931"/>
    <cellStyle name="Input 10 3 2 2 3" xfId="11715"/>
    <cellStyle name="Input 10 3 2 2 3 2" xfId="23799"/>
    <cellStyle name="Input 10 3 2 2 3 2 2" xfId="44985"/>
    <cellStyle name="Input 10 3 2 2 3 3" xfId="34381"/>
    <cellStyle name="Input 10 3 2 2 4" xfId="18686"/>
    <cellStyle name="Input 10 3 2 2 4 2" xfId="39873"/>
    <cellStyle name="Input 10 3 2 2 5" xfId="29092"/>
    <cellStyle name="Input 10 3 2 2_Table 2A-1_EFT (Annual)" xfId="6758"/>
    <cellStyle name="Input 10 3 2 3" xfId="4909"/>
    <cellStyle name="Input 10 3 2 3 2" xfId="13169"/>
    <cellStyle name="Input 10 3 2 3 2 2" xfId="25175"/>
    <cellStyle name="Input 10 3 2 3 2 2 2" xfId="46361"/>
    <cellStyle name="Input 10 3 2 3 2 3" xfId="35757"/>
    <cellStyle name="Input 10 3 2 3 3" xfId="20062"/>
    <cellStyle name="Input 10 3 2 3 3 2" xfId="41249"/>
    <cellStyle name="Input 10 3 2 3 4" xfId="30566"/>
    <cellStyle name="Input 10 3 2 3_Table 2A-1_EFT (Annual)" xfId="14932"/>
    <cellStyle name="Input 10 3 2 4" xfId="10513"/>
    <cellStyle name="Input 10 3 2 4 2" xfId="22629"/>
    <cellStyle name="Input 10 3 2 4 2 2" xfId="43815"/>
    <cellStyle name="Input 10 3 2 4 3" xfId="33211"/>
    <cellStyle name="Input 10 3 2 5" xfId="17516"/>
    <cellStyle name="Input 10 3 2 5 2" xfId="38703"/>
    <cellStyle name="Input 10 3 2 6" xfId="27823"/>
    <cellStyle name="Input 10 3 2_Table 2A-1_EFT (Annual)" xfId="6757"/>
    <cellStyle name="Input 10 3 3" xfId="905"/>
    <cellStyle name="Input 10 3 3 2" xfId="4466"/>
    <cellStyle name="Input 10 3 3 2 2" xfId="12728"/>
    <cellStyle name="Input 10 3 3 2 2 2" xfId="24738"/>
    <cellStyle name="Input 10 3 3 2 2 2 2" xfId="45924"/>
    <cellStyle name="Input 10 3 3 2 2 3" xfId="35320"/>
    <cellStyle name="Input 10 3 3 2 3" xfId="19625"/>
    <cellStyle name="Input 10 3 3 2 3 2" xfId="40812"/>
    <cellStyle name="Input 10 3 3 2 4" xfId="30123"/>
    <cellStyle name="Input 10 3 3 2_Table 2A-1_EFT (Annual)" xfId="14933"/>
    <cellStyle name="Input 10 3 3 3" xfId="10075"/>
    <cellStyle name="Input 10 3 3 3 2" xfId="22192"/>
    <cellStyle name="Input 10 3 3 3 2 2" xfId="43378"/>
    <cellStyle name="Input 10 3 3 3 3" xfId="32774"/>
    <cellStyle name="Input 10 3 3 4" xfId="17079"/>
    <cellStyle name="Input 10 3 3 4 2" xfId="38266"/>
    <cellStyle name="Input 10 3 3 5" xfId="27380"/>
    <cellStyle name="Input 10 3 3_Table 2A-1_EFT (Annual)" xfId="6759"/>
    <cellStyle name="Input 10 3 4" xfId="2087"/>
    <cellStyle name="Input 10 3 4 2" xfId="5648"/>
    <cellStyle name="Input 10 3 4 2 2" xfId="13863"/>
    <cellStyle name="Input 10 3 4 2 2 2" xfId="25851"/>
    <cellStyle name="Input 10 3 4 2 2 2 2" xfId="47037"/>
    <cellStyle name="Input 10 3 4 2 2 3" xfId="36433"/>
    <cellStyle name="Input 10 3 4 2 3" xfId="20738"/>
    <cellStyle name="Input 10 3 4 2 3 2" xfId="41925"/>
    <cellStyle name="Input 10 3 4 2 4" xfId="31305"/>
    <cellStyle name="Input 10 3 4 2_Table 2A-1_EFT (Annual)" xfId="14934"/>
    <cellStyle name="Input 10 3 4 3" xfId="11207"/>
    <cellStyle name="Input 10 3 4 3 2" xfId="23305"/>
    <cellStyle name="Input 10 3 4 3 2 2" xfId="44491"/>
    <cellStyle name="Input 10 3 4 3 3" xfId="33887"/>
    <cellStyle name="Input 10 3 4 4" xfId="18192"/>
    <cellStyle name="Input 10 3 4 4 2" xfId="39379"/>
    <cellStyle name="Input 10 3 4 5" xfId="28562"/>
    <cellStyle name="Input 10 3 4_Table 2A-1_EFT (Annual)" xfId="6760"/>
    <cellStyle name="Input 10 3 5" xfId="3935"/>
    <cellStyle name="Input 10 3 5 2" xfId="12263"/>
    <cellStyle name="Input 10 3 5 2 2" xfId="24287"/>
    <cellStyle name="Input 10 3 5 2 2 2" xfId="45473"/>
    <cellStyle name="Input 10 3 5 2 3" xfId="34869"/>
    <cellStyle name="Input 10 3 5 3" xfId="19174"/>
    <cellStyle name="Input 10 3 5 3 2" xfId="40361"/>
    <cellStyle name="Input 10 3 5 4" xfId="29623"/>
    <cellStyle name="Input 10 3 5_Table 2A-1_EFT (Annual)" xfId="14935"/>
    <cellStyle name="Input 10 3 6" xfId="9600"/>
    <cellStyle name="Input 10 3 6 2" xfId="21741"/>
    <cellStyle name="Input 10 3 6 2 2" xfId="42927"/>
    <cellStyle name="Input 10 3 6 3" xfId="32323"/>
    <cellStyle name="Input 10 3 7" xfId="16628"/>
    <cellStyle name="Input 10 3 7 2" xfId="37815"/>
    <cellStyle name="Input 10 3 8" xfId="26880"/>
    <cellStyle name="Input 10 3_Table 2A-1_EFT (Annual)" xfId="2993"/>
    <cellStyle name="Input 10 4" xfId="1182"/>
    <cellStyle name="Input 10 4 2" xfId="2452"/>
    <cellStyle name="Input 10 4 2 2" xfId="6013"/>
    <cellStyle name="Input 10 4 2 2 2" xfId="14207"/>
    <cellStyle name="Input 10 4 2 2 2 2" xfId="26179"/>
    <cellStyle name="Input 10 4 2 2 2 2 2" xfId="47365"/>
    <cellStyle name="Input 10 4 2 2 2 3" xfId="36761"/>
    <cellStyle name="Input 10 4 2 2 3" xfId="21066"/>
    <cellStyle name="Input 10 4 2 2 3 2" xfId="42253"/>
    <cellStyle name="Input 10 4 2 2 4" xfId="31669"/>
    <cellStyle name="Input 10 4 2 2_Table 2A-1_EFT (Annual)" xfId="14936"/>
    <cellStyle name="Input 10 4 2 3" xfId="11549"/>
    <cellStyle name="Input 10 4 2 3 2" xfId="23633"/>
    <cellStyle name="Input 10 4 2 3 2 2" xfId="44819"/>
    <cellStyle name="Input 10 4 2 3 3" xfId="34215"/>
    <cellStyle name="Input 10 4 2 4" xfId="18520"/>
    <cellStyle name="Input 10 4 2 4 2" xfId="39707"/>
    <cellStyle name="Input 10 4 2 5" xfId="28926"/>
    <cellStyle name="Input 10 4 2_Table 2A-1_EFT (Annual)" xfId="6762"/>
    <cellStyle name="Input 10 4 3" xfId="4743"/>
    <cellStyle name="Input 10 4 3 2" xfId="13003"/>
    <cellStyle name="Input 10 4 3 2 2" xfId="25009"/>
    <cellStyle name="Input 10 4 3 2 2 2" xfId="46195"/>
    <cellStyle name="Input 10 4 3 2 3" xfId="35591"/>
    <cellStyle name="Input 10 4 3 3" xfId="19896"/>
    <cellStyle name="Input 10 4 3 3 2" xfId="41083"/>
    <cellStyle name="Input 10 4 3 4" xfId="30400"/>
    <cellStyle name="Input 10 4 3_Table 2A-1_EFT (Annual)" xfId="14937"/>
    <cellStyle name="Input 10 4 4" xfId="10347"/>
    <cellStyle name="Input 10 4 4 2" xfId="22463"/>
    <cellStyle name="Input 10 4 4 2 2" xfId="43649"/>
    <cellStyle name="Input 10 4 4 3" xfId="33045"/>
    <cellStyle name="Input 10 4 5" xfId="17350"/>
    <cellStyle name="Input 10 4 5 2" xfId="38537"/>
    <cellStyle name="Input 10 4 6" xfId="27657"/>
    <cellStyle name="Input 10 4_Table 2A-1_EFT (Annual)" xfId="6761"/>
    <cellStyle name="Input 10 5" xfId="746"/>
    <cellStyle name="Input 10 5 2" xfId="4307"/>
    <cellStyle name="Input 10 5 2 2" xfId="12587"/>
    <cellStyle name="Input 10 5 2 2 2" xfId="24604"/>
    <cellStyle name="Input 10 5 2 2 2 2" xfId="45790"/>
    <cellStyle name="Input 10 5 2 2 3" xfId="35186"/>
    <cellStyle name="Input 10 5 2 3" xfId="19491"/>
    <cellStyle name="Input 10 5 2 3 2" xfId="40678"/>
    <cellStyle name="Input 10 5 2 4" xfId="29964"/>
    <cellStyle name="Input 10 5 2_Table 2A-1_EFT (Annual)" xfId="14938"/>
    <cellStyle name="Input 10 5 3" xfId="9935"/>
    <cellStyle name="Input 10 5 3 2" xfId="22058"/>
    <cellStyle name="Input 10 5 3 2 2" xfId="43244"/>
    <cellStyle name="Input 10 5 3 3" xfId="32640"/>
    <cellStyle name="Input 10 5 4" xfId="16945"/>
    <cellStyle name="Input 10 5 4 2" xfId="38132"/>
    <cellStyle name="Input 10 5 5" xfId="27221"/>
    <cellStyle name="Input 10 5_Table 2A-1_EFT (Annual)" xfId="6763"/>
    <cellStyle name="Input 10 6" xfId="1857"/>
    <cellStyle name="Input 10 6 2" xfId="5418"/>
    <cellStyle name="Input 10 6 2 2" xfId="13633"/>
    <cellStyle name="Input 10 6 2 2 2" xfId="25621"/>
    <cellStyle name="Input 10 6 2 2 2 2" xfId="46807"/>
    <cellStyle name="Input 10 6 2 2 3" xfId="36203"/>
    <cellStyle name="Input 10 6 2 3" xfId="20508"/>
    <cellStyle name="Input 10 6 2 3 2" xfId="41695"/>
    <cellStyle name="Input 10 6 2 4" xfId="31075"/>
    <cellStyle name="Input 10 6 2_Table 2A-1_EFT (Annual)" xfId="14939"/>
    <cellStyle name="Input 10 6 3" xfId="10977"/>
    <cellStyle name="Input 10 6 3 2" xfId="23075"/>
    <cellStyle name="Input 10 6 3 2 2" xfId="44261"/>
    <cellStyle name="Input 10 6 3 3" xfId="33657"/>
    <cellStyle name="Input 10 6 4" xfId="17962"/>
    <cellStyle name="Input 10 6 4 2" xfId="39149"/>
    <cellStyle name="Input 10 6 5" xfId="28332"/>
    <cellStyle name="Input 10 6_Table 2A-1_EFT (Annual)" xfId="6764"/>
    <cellStyle name="Input 10 7" xfId="3723"/>
    <cellStyle name="Input 10 7 2" xfId="12091"/>
    <cellStyle name="Input 10 7 2 2" xfId="24121"/>
    <cellStyle name="Input 10 7 2 2 2" xfId="45307"/>
    <cellStyle name="Input 10 7 2 3" xfId="34703"/>
    <cellStyle name="Input 10 7 3" xfId="19008"/>
    <cellStyle name="Input 10 7 3 2" xfId="40195"/>
    <cellStyle name="Input 10 7 4" xfId="29432"/>
    <cellStyle name="Input 10 7_Table 2A-1_EFT (Annual)" xfId="14940"/>
    <cellStyle name="Input 10 8" xfId="9410"/>
    <cellStyle name="Input 10 8 2" xfId="21575"/>
    <cellStyle name="Input 10 8 2 2" xfId="42761"/>
    <cellStyle name="Input 10 8 3" xfId="32157"/>
    <cellStyle name="Input 10 9" xfId="16462"/>
    <cellStyle name="Input 10 9 2" xfId="37649"/>
    <cellStyle name="Input 10_Table 2A-1_EFT (Annual)" xfId="2991"/>
    <cellStyle name="Input 11" xfId="126"/>
    <cellStyle name="Input 11 10" xfId="26681"/>
    <cellStyle name="Input 11 2" xfId="519"/>
    <cellStyle name="Input 11 2 2" xfId="1496"/>
    <cellStyle name="Input 11 2 2 2" xfId="2766"/>
    <cellStyle name="Input 11 2 2 2 2" xfId="6327"/>
    <cellStyle name="Input 11 2 2 2 2 2" xfId="14521"/>
    <cellStyle name="Input 11 2 2 2 2 2 2" xfId="26493"/>
    <cellStyle name="Input 11 2 2 2 2 2 2 2" xfId="47679"/>
    <cellStyle name="Input 11 2 2 2 2 2 3" xfId="37075"/>
    <cellStyle name="Input 11 2 2 2 2 3" xfId="21380"/>
    <cellStyle name="Input 11 2 2 2 2 3 2" xfId="42567"/>
    <cellStyle name="Input 11 2 2 2 2 4" xfId="31983"/>
    <cellStyle name="Input 11 2 2 2 2_Table 2A-1_EFT (Annual)" xfId="14941"/>
    <cellStyle name="Input 11 2 2 2 3" xfId="11863"/>
    <cellStyle name="Input 11 2 2 2 3 2" xfId="23947"/>
    <cellStyle name="Input 11 2 2 2 3 2 2" xfId="45133"/>
    <cellStyle name="Input 11 2 2 2 3 3" xfId="34529"/>
    <cellStyle name="Input 11 2 2 2 4" xfId="18834"/>
    <cellStyle name="Input 11 2 2 2 4 2" xfId="40021"/>
    <cellStyle name="Input 11 2 2 2 5" xfId="29240"/>
    <cellStyle name="Input 11 2 2 2_Table 2A-1_EFT (Annual)" xfId="6766"/>
    <cellStyle name="Input 11 2 2 3" xfId="5057"/>
    <cellStyle name="Input 11 2 2 3 2" xfId="13317"/>
    <cellStyle name="Input 11 2 2 3 2 2" xfId="25323"/>
    <cellStyle name="Input 11 2 2 3 2 2 2" xfId="46509"/>
    <cellStyle name="Input 11 2 2 3 2 3" xfId="35905"/>
    <cellStyle name="Input 11 2 2 3 3" xfId="20210"/>
    <cellStyle name="Input 11 2 2 3 3 2" xfId="41397"/>
    <cellStyle name="Input 11 2 2 3 4" xfId="30714"/>
    <cellStyle name="Input 11 2 2 3_Table 2A-1_EFT (Annual)" xfId="14942"/>
    <cellStyle name="Input 11 2 2 4" xfId="10661"/>
    <cellStyle name="Input 11 2 2 4 2" xfId="22777"/>
    <cellStyle name="Input 11 2 2 4 2 2" xfId="43963"/>
    <cellStyle name="Input 11 2 2 4 3" xfId="33359"/>
    <cellStyle name="Input 11 2 2 5" xfId="17664"/>
    <cellStyle name="Input 11 2 2 5 2" xfId="38851"/>
    <cellStyle name="Input 11 2 2 6" xfId="27971"/>
    <cellStyle name="Input 11 2 2_Table 2A-1_EFT (Annual)" xfId="6765"/>
    <cellStyle name="Input 11 2 3" xfId="1029"/>
    <cellStyle name="Input 11 2 3 2" xfId="4590"/>
    <cellStyle name="Input 11 2 3 2 2" xfId="12850"/>
    <cellStyle name="Input 11 2 3 2 2 2" xfId="24856"/>
    <cellStyle name="Input 11 2 3 2 2 2 2" xfId="46042"/>
    <cellStyle name="Input 11 2 3 2 2 3" xfId="35438"/>
    <cellStyle name="Input 11 2 3 2 3" xfId="19743"/>
    <cellStyle name="Input 11 2 3 2 3 2" xfId="40930"/>
    <cellStyle name="Input 11 2 3 2 4" xfId="30247"/>
    <cellStyle name="Input 11 2 3 2_Table 2A-1_EFT (Annual)" xfId="14943"/>
    <cellStyle name="Input 11 2 3 3" xfId="10194"/>
    <cellStyle name="Input 11 2 3 3 2" xfId="22310"/>
    <cellStyle name="Input 11 2 3 3 2 2" xfId="43496"/>
    <cellStyle name="Input 11 2 3 3 3" xfId="32892"/>
    <cellStyle name="Input 11 2 3 4" xfId="17197"/>
    <cellStyle name="Input 11 2 3 4 2" xfId="38384"/>
    <cellStyle name="Input 11 2 3 5" xfId="27504"/>
    <cellStyle name="Input 11 2 3_Table 2A-1_EFT (Annual)" xfId="6767"/>
    <cellStyle name="Input 11 2 4" xfId="2235"/>
    <cellStyle name="Input 11 2 4 2" xfId="5796"/>
    <cellStyle name="Input 11 2 4 2 2" xfId="14011"/>
    <cellStyle name="Input 11 2 4 2 2 2" xfId="25999"/>
    <cellStyle name="Input 11 2 4 2 2 2 2" xfId="47185"/>
    <cellStyle name="Input 11 2 4 2 2 3" xfId="36581"/>
    <cellStyle name="Input 11 2 4 2 3" xfId="20886"/>
    <cellStyle name="Input 11 2 4 2 3 2" xfId="42073"/>
    <cellStyle name="Input 11 2 4 2 4" xfId="31453"/>
    <cellStyle name="Input 11 2 4 2_Table 2A-1_EFT (Annual)" xfId="14944"/>
    <cellStyle name="Input 11 2 4 3" xfId="11355"/>
    <cellStyle name="Input 11 2 4 3 2" xfId="23453"/>
    <cellStyle name="Input 11 2 4 3 2 2" xfId="44639"/>
    <cellStyle name="Input 11 2 4 3 3" xfId="34035"/>
    <cellStyle name="Input 11 2 4 4" xfId="18340"/>
    <cellStyle name="Input 11 2 4 4 2" xfId="39527"/>
    <cellStyle name="Input 11 2 4 5" xfId="28710"/>
    <cellStyle name="Input 11 2 4_Table 2A-1_EFT (Annual)" xfId="6768"/>
    <cellStyle name="Input 11 2 5" xfId="4089"/>
    <cellStyle name="Input 11 2 5 2" xfId="12413"/>
    <cellStyle name="Input 11 2 5 2 2" xfId="24435"/>
    <cellStyle name="Input 11 2 5 2 2 2" xfId="45621"/>
    <cellStyle name="Input 11 2 5 2 3" xfId="35017"/>
    <cellStyle name="Input 11 2 5 3" xfId="19322"/>
    <cellStyle name="Input 11 2 5 3 2" xfId="40509"/>
    <cellStyle name="Input 11 2 5 4" xfId="29777"/>
    <cellStyle name="Input 11 2 5_Table 2A-1_EFT (Annual)" xfId="14945"/>
    <cellStyle name="Input 11 2 6" xfId="9752"/>
    <cellStyle name="Input 11 2 6 2" xfId="21889"/>
    <cellStyle name="Input 11 2 6 2 2" xfId="43075"/>
    <cellStyle name="Input 11 2 6 3" xfId="32471"/>
    <cellStyle name="Input 11 2 7" xfId="16776"/>
    <cellStyle name="Input 11 2 7 2" xfId="37963"/>
    <cellStyle name="Input 11 2 8" xfId="27034"/>
    <cellStyle name="Input 11 2_Table 2A-1_EFT (Annual)" xfId="2995"/>
    <cellStyle name="Input 11 3" xfId="357"/>
    <cellStyle name="Input 11 3 2" xfId="1340"/>
    <cellStyle name="Input 11 3 2 2" xfId="2610"/>
    <cellStyle name="Input 11 3 2 2 2" xfId="6171"/>
    <cellStyle name="Input 11 3 2 2 2 2" xfId="14365"/>
    <cellStyle name="Input 11 3 2 2 2 2 2" xfId="26337"/>
    <cellStyle name="Input 11 3 2 2 2 2 2 2" xfId="47523"/>
    <cellStyle name="Input 11 3 2 2 2 2 3" xfId="36919"/>
    <cellStyle name="Input 11 3 2 2 2 3" xfId="21224"/>
    <cellStyle name="Input 11 3 2 2 2 3 2" xfId="42411"/>
    <cellStyle name="Input 11 3 2 2 2 4" xfId="31827"/>
    <cellStyle name="Input 11 3 2 2 2_Table 2A-1_EFT (Annual)" xfId="14946"/>
    <cellStyle name="Input 11 3 2 2 3" xfId="11707"/>
    <cellStyle name="Input 11 3 2 2 3 2" xfId="23791"/>
    <cellStyle name="Input 11 3 2 2 3 2 2" xfId="44977"/>
    <cellStyle name="Input 11 3 2 2 3 3" xfId="34373"/>
    <cellStyle name="Input 11 3 2 2 4" xfId="18678"/>
    <cellStyle name="Input 11 3 2 2 4 2" xfId="39865"/>
    <cellStyle name="Input 11 3 2 2 5" xfId="29084"/>
    <cellStyle name="Input 11 3 2 2_Table 2A-1_EFT (Annual)" xfId="6770"/>
    <cellStyle name="Input 11 3 2 3" xfId="4901"/>
    <cellStyle name="Input 11 3 2 3 2" xfId="13161"/>
    <cellStyle name="Input 11 3 2 3 2 2" xfId="25167"/>
    <cellStyle name="Input 11 3 2 3 2 2 2" xfId="46353"/>
    <cellStyle name="Input 11 3 2 3 2 3" xfId="35749"/>
    <cellStyle name="Input 11 3 2 3 3" xfId="20054"/>
    <cellStyle name="Input 11 3 2 3 3 2" xfId="41241"/>
    <cellStyle name="Input 11 3 2 3 4" xfId="30558"/>
    <cellStyle name="Input 11 3 2 3_Table 2A-1_EFT (Annual)" xfId="14947"/>
    <cellStyle name="Input 11 3 2 4" xfId="10505"/>
    <cellStyle name="Input 11 3 2 4 2" xfId="22621"/>
    <cellStyle name="Input 11 3 2 4 2 2" xfId="43807"/>
    <cellStyle name="Input 11 3 2 4 3" xfId="33203"/>
    <cellStyle name="Input 11 3 2 5" xfId="17508"/>
    <cellStyle name="Input 11 3 2 5 2" xfId="38695"/>
    <cellStyle name="Input 11 3 2 6" xfId="27815"/>
    <cellStyle name="Input 11 3 2_Table 2A-1_EFT (Annual)" xfId="6769"/>
    <cellStyle name="Input 11 3 3" xfId="897"/>
    <cellStyle name="Input 11 3 3 2" xfId="4458"/>
    <cellStyle name="Input 11 3 3 2 2" xfId="12720"/>
    <cellStyle name="Input 11 3 3 2 2 2" xfId="24730"/>
    <cellStyle name="Input 11 3 3 2 2 2 2" xfId="45916"/>
    <cellStyle name="Input 11 3 3 2 2 3" xfId="35312"/>
    <cellStyle name="Input 11 3 3 2 3" xfId="19617"/>
    <cellStyle name="Input 11 3 3 2 3 2" xfId="40804"/>
    <cellStyle name="Input 11 3 3 2 4" xfId="30115"/>
    <cellStyle name="Input 11 3 3 2_Table 2A-1_EFT (Annual)" xfId="14948"/>
    <cellStyle name="Input 11 3 3 3" xfId="10067"/>
    <cellStyle name="Input 11 3 3 3 2" xfId="22184"/>
    <cellStyle name="Input 11 3 3 3 2 2" xfId="43370"/>
    <cellStyle name="Input 11 3 3 3 3" xfId="32766"/>
    <cellStyle name="Input 11 3 3 4" xfId="17071"/>
    <cellStyle name="Input 11 3 3 4 2" xfId="38258"/>
    <cellStyle name="Input 11 3 3 5" xfId="27372"/>
    <cellStyle name="Input 11 3 3_Table 2A-1_EFT (Annual)" xfId="6771"/>
    <cellStyle name="Input 11 3 4" xfId="2079"/>
    <cellStyle name="Input 11 3 4 2" xfId="5640"/>
    <cellStyle name="Input 11 3 4 2 2" xfId="13855"/>
    <cellStyle name="Input 11 3 4 2 2 2" xfId="25843"/>
    <cellStyle name="Input 11 3 4 2 2 2 2" xfId="47029"/>
    <cellStyle name="Input 11 3 4 2 2 3" xfId="36425"/>
    <cellStyle name="Input 11 3 4 2 3" xfId="20730"/>
    <cellStyle name="Input 11 3 4 2 3 2" xfId="41917"/>
    <cellStyle name="Input 11 3 4 2 4" xfId="31297"/>
    <cellStyle name="Input 11 3 4 2_Table 2A-1_EFT (Annual)" xfId="14949"/>
    <cellStyle name="Input 11 3 4 3" xfId="11199"/>
    <cellStyle name="Input 11 3 4 3 2" xfId="23297"/>
    <cellStyle name="Input 11 3 4 3 2 2" xfId="44483"/>
    <cellStyle name="Input 11 3 4 3 3" xfId="33879"/>
    <cellStyle name="Input 11 3 4 4" xfId="18184"/>
    <cellStyle name="Input 11 3 4 4 2" xfId="39371"/>
    <cellStyle name="Input 11 3 4 5" xfId="28554"/>
    <cellStyle name="Input 11 3 4_Table 2A-1_EFT (Annual)" xfId="6772"/>
    <cellStyle name="Input 11 3 5" xfId="3927"/>
    <cellStyle name="Input 11 3 5 2" xfId="12255"/>
    <cellStyle name="Input 11 3 5 2 2" xfId="24279"/>
    <cellStyle name="Input 11 3 5 2 2 2" xfId="45465"/>
    <cellStyle name="Input 11 3 5 2 3" xfId="34861"/>
    <cellStyle name="Input 11 3 5 3" xfId="19166"/>
    <cellStyle name="Input 11 3 5 3 2" xfId="40353"/>
    <cellStyle name="Input 11 3 5 4" xfId="29615"/>
    <cellStyle name="Input 11 3 5_Table 2A-1_EFT (Annual)" xfId="14950"/>
    <cellStyle name="Input 11 3 6" xfId="9592"/>
    <cellStyle name="Input 11 3 6 2" xfId="21733"/>
    <cellStyle name="Input 11 3 6 2 2" xfId="42919"/>
    <cellStyle name="Input 11 3 6 3" xfId="32315"/>
    <cellStyle name="Input 11 3 7" xfId="16620"/>
    <cellStyle name="Input 11 3 7 2" xfId="37807"/>
    <cellStyle name="Input 11 3 8" xfId="26872"/>
    <cellStyle name="Input 11 3_Table 2A-1_EFT (Annual)" xfId="2996"/>
    <cellStyle name="Input 11 4" xfId="1174"/>
    <cellStyle name="Input 11 4 2" xfId="2444"/>
    <cellStyle name="Input 11 4 2 2" xfId="6005"/>
    <cellStyle name="Input 11 4 2 2 2" xfId="14199"/>
    <cellStyle name="Input 11 4 2 2 2 2" xfId="26171"/>
    <cellStyle name="Input 11 4 2 2 2 2 2" xfId="47357"/>
    <cellStyle name="Input 11 4 2 2 2 3" xfId="36753"/>
    <cellStyle name="Input 11 4 2 2 3" xfId="21058"/>
    <cellStyle name="Input 11 4 2 2 3 2" xfId="42245"/>
    <cellStyle name="Input 11 4 2 2 4" xfId="31661"/>
    <cellStyle name="Input 11 4 2 2_Table 2A-1_EFT (Annual)" xfId="14951"/>
    <cellStyle name="Input 11 4 2 3" xfId="11541"/>
    <cellStyle name="Input 11 4 2 3 2" xfId="23625"/>
    <cellStyle name="Input 11 4 2 3 2 2" xfId="44811"/>
    <cellStyle name="Input 11 4 2 3 3" xfId="34207"/>
    <cellStyle name="Input 11 4 2 4" xfId="18512"/>
    <cellStyle name="Input 11 4 2 4 2" xfId="39699"/>
    <cellStyle name="Input 11 4 2 5" xfId="28918"/>
    <cellStyle name="Input 11 4 2_Table 2A-1_EFT (Annual)" xfId="6774"/>
    <cellStyle name="Input 11 4 3" xfId="4735"/>
    <cellStyle name="Input 11 4 3 2" xfId="12995"/>
    <cellStyle name="Input 11 4 3 2 2" xfId="25001"/>
    <cellStyle name="Input 11 4 3 2 2 2" xfId="46187"/>
    <cellStyle name="Input 11 4 3 2 3" xfId="35583"/>
    <cellStyle name="Input 11 4 3 3" xfId="19888"/>
    <cellStyle name="Input 11 4 3 3 2" xfId="41075"/>
    <cellStyle name="Input 11 4 3 4" xfId="30392"/>
    <cellStyle name="Input 11 4 3_Table 2A-1_EFT (Annual)" xfId="14952"/>
    <cellStyle name="Input 11 4 4" xfId="10339"/>
    <cellStyle name="Input 11 4 4 2" xfId="22455"/>
    <cellStyle name="Input 11 4 4 2 2" xfId="43641"/>
    <cellStyle name="Input 11 4 4 3" xfId="33037"/>
    <cellStyle name="Input 11 4 5" xfId="17342"/>
    <cellStyle name="Input 11 4 5 2" xfId="38529"/>
    <cellStyle name="Input 11 4 6" xfId="27649"/>
    <cellStyle name="Input 11 4_Table 2A-1_EFT (Annual)" xfId="6773"/>
    <cellStyle name="Input 11 5" xfId="738"/>
    <cellStyle name="Input 11 5 2" xfId="4299"/>
    <cellStyle name="Input 11 5 2 2" xfId="12579"/>
    <cellStyle name="Input 11 5 2 2 2" xfId="24596"/>
    <cellStyle name="Input 11 5 2 2 2 2" xfId="45782"/>
    <cellStyle name="Input 11 5 2 2 3" xfId="35178"/>
    <cellStyle name="Input 11 5 2 3" xfId="19483"/>
    <cellStyle name="Input 11 5 2 3 2" xfId="40670"/>
    <cellStyle name="Input 11 5 2 4" xfId="29956"/>
    <cellStyle name="Input 11 5 2_Table 2A-1_EFT (Annual)" xfId="14953"/>
    <cellStyle name="Input 11 5 3" xfId="9927"/>
    <cellStyle name="Input 11 5 3 2" xfId="22050"/>
    <cellStyle name="Input 11 5 3 2 2" xfId="43236"/>
    <cellStyle name="Input 11 5 3 3" xfId="32632"/>
    <cellStyle name="Input 11 5 4" xfId="16937"/>
    <cellStyle name="Input 11 5 4 2" xfId="38124"/>
    <cellStyle name="Input 11 5 5" xfId="27213"/>
    <cellStyle name="Input 11 5_Table 2A-1_EFT (Annual)" xfId="6775"/>
    <cellStyle name="Input 11 6" xfId="1861"/>
    <cellStyle name="Input 11 6 2" xfId="5422"/>
    <cellStyle name="Input 11 6 2 2" xfId="13637"/>
    <cellStyle name="Input 11 6 2 2 2" xfId="25625"/>
    <cellStyle name="Input 11 6 2 2 2 2" xfId="46811"/>
    <cellStyle name="Input 11 6 2 2 3" xfId="36207"/>
    <cellStyle name="Input 11 6 2 3" xfId="20512"/>
    <cellStyle name="Input 11 6 2 3 2" xfId="41699"/>
    <cellStyle name="Input 11 6 2 4" xfId="31079"/>
    <cellStyle name="Input 11 6 2_Table 2A-1_EFT (Annual)" xfId="14954"/>
    <cellStyle name="Input 11 6 3" xfId="10981"/>
    <cellStyle name="Input 11 6 3 2" xfId="23079"/>
    <cellStyle name="Input 11 6 3 2 2" xfId="44265"/>
    <cellStyle name="Input 11 6 3 3" xfId="33661"/>
    <cellStyle name="Input 11 6 4" xfId="17966"/>
    <cellStyle name="Input 11 6 4 2" xfId="39153"/>
    <cellStyle name="Input 11 6 5" xfId="28336"/>
    <cellStyle name="Input 11 6_Table 2A-1_EFT (Annual)" xfId="6776"/>
    <cellStyle name="Input 11 7" xfId="3715"/>
    <cellStyle name="Input 11 7 2" xfId="12083"/>
    <cellStyle name="Input 11 7 2 2" xfId="24113"/>
    <cellStyle name="Input 11 7 2 2 2" xfId="45299"/>
    <cellStyle name="Input 11 7 2 3" xfId="34695"/>
    <cellStyle name="Input 11 7 3" xfId="19000"/>
    <cellStyle name="Input 11 7 3 2" xfId="40187"/>
    <cellStyle name="Input 11 7 4" xfId="29424"/>
    <cellStyle name="Input 11 7_Table 2A-1_EFT (Annual)" xfId="14955"/>
    <cellStyle name="Input 11 8" xfId="9402"/>
    <cellStyle name="Input 11 8 2" xfId="21567"/>
    <cellStyle name="Input 11 8 2 2" xfId="42753"/>
    <cellStyle name="Input 11 8 3" xfId="32149"/>
    <cellStyle name="Input 11 9" xfId="16454"/>
    <cellStyle name="Input 11 9 2" xfId="37641"/>
    <cellStyle name="Input 11_Table 2A-1_EFT (Annual)" xfId="2994"/>
    <cellStyle name="Input 12" xfId="140"/>
    <cellStyle name="Input 12 10" xfId="26695"/>
    <cellStyle name="Input 12 2" xfId="533"/>
    <cellStyle name="Input 12 2 2" xfId="1510"/>
    <cellStyle name="Input 12 2 2 2" xfId="2780"/>
    <cellStyle name="Input 12 2 2 2 2" xfId="6341"/>
    <cellStyle name="Input 12 2 2 2 2 2" xfId="14535"/>
    <cellStyle name="Input 12 2 2 2 2 2 2" xfId="26507"/>
    <cellStyle name="Input 12 2 2 2 2 2 2 2" xfId="47693"/>
    <cellStyle name="Input 12 2 2 2 2 2 3" xfId="37089"/>
    <cellStyle name="Input 12 2 2 2 2 3" xfId="21394"/>
    <cellStyle name="Input 12 2 2 2 2 3 2" xfId="42581"/>
    <cellStyle name="Input 12 2 2 2 2 4" xfId="31997"/>
    <cellStyle name="Input 12 2 2 2 2_Table 2A-1_EFT (Annual)" xfId="14956"/>
    <cellStyle name="Input 12 2 2 2 3" xfId="11877"/>
    <cellStyle name="Input 12 2 2 2 3 2" xfId="23961"/>
    <cellStyle name="Input 12 2 2 2 3 2 2" xfId="45147"/>
    <cellStyle name="Input 12 2 2 2 3 3" xfId="34543"/>
    <cellStyle name="Input 12 2 2 2 4" xfId="18848"/>
    <cellStyle name="Input 12 2 2 2 4 2" xfId="40035"/>
    <cellStyle name="Input 12 2 2 2 5" xfId="29254"/>
    <cellStyle name="Input 12 2 2 2_Table 2A-1_EFT (Annual)" xfId="6778"/>
    <cellStyle name="Input 12 2 2 3" xfId="5071"/>
    <cellStyle name="Input 12 2 2 3 2" xfId="13331"/>
    <cellStyle name="Input 12 2 2 3 2 2" xfId="25337"/>
    <cellStyle name="Input 12 2 2 3 2 2 2" xfId="46523"/>
    <cellStyle name="Input 12 2 2 3 2 3" xfId="35919"/>
    <cellStyle name="Input 12 2 2 3 3" xfId="20224"/>
    <cellStyle name="Input 12 2 2 3 3 2" xfId="41411"/>
    <cellStyle name="Input 12 2 2 3 4" xfId="30728"/>
    <cellStyle name="Input 12 2 2 3_Table 2A-1_EFT (Annual)" xfId="14957"/>
    <cellStyle name="Input 12 2 2 4" xfId="10675"/>
    <cellStyle name="Input 12 2 2 4 2" xfId="22791"/>
    <cellStyle name="Input 12 2 2 4 2 2" xfId="43977"/>
    <cellStyle name="Input 12 2 2 4 3" xfId="33373"/>
    <cellStyle name="Input 12 2 2 5" xfId="17678"/>
    <cellStyle name="Input 12 2 2 5 2" xfId="38865"/>
    <cellStyle name="Input 12 2 2 6" xfId="27985"/>
    <cellStyle name="Input 12 2 2_Table 2A-1_EFT (Annual)" xfId="6777"/>
    <cellStyle name="Input 12 2 3" xfId="1042"/>
    <cellStyle name="Input 12 2 3 2" xfId="4603"/>
    <cellStyle name="Input 12 2 3 2 2" xfId="12863"/>
    <cellStyle name="Input 12 2 3 2 2 2" xfId="24869"/>
    <cellStyle name="Input 12 2 3 2 2 2 2" xfId="46055"/>
    <cellStyle name="Input 12 2 3 2 2 3" xfId="35451"/>
    <cellStyle name="Input 12 2 3 2 3" xfId="19756"/>
    <cellStyle name="Input 12 2 3 2 3 2" xfId="40943"/>
    <cellStyle name="Input 12 2 3 2 4" xfId="30260"/>
    <cellStyle name="Input 12 2 3 2_Table 2A-1_EFT (Annual)" xfId="14958"/>
    <cellStyle name="Input 12 2 3 3" xfId="10207"/>
    <cellStyle name="Input 12 2 3 3 2" xfId="22323"/>
    <cellStyle name="Input 12 2 3 3 2 2" xfId="43509"/>
    <cellStyle name="Input 12 2 3 3 3" xfId="32905"/>
    <cellStyle name="Input 12 2 3 4" xfId="17210"/>
    <cellStyle name="Input 12 2 3 4 2" xfId="38397"/>
    <cellStyle name="Input 12 2 3 5" xfId="27517"/>
    <cellStyle name="Input 12 2 3_Table 2A-1_EFT (Annual)" xfId="6779"/>
    <cellStyle name="Input 12 2 4" xfId="2249"/>
    <cellStyle name="Input 12 2 4 2" xfId="5810"/>
    <cellStyle name="Input 12 2 4 2 2" xfId="14025"/>
    <cellStyle name="Input 12 2 4 2 2 2" xfId="26013"/>
    <cellStyle name="Input 12 2 4 2 2 2 2" xfId="47199"/>
    <cellStyle name="Input 12 2 4 2 2 3" xfId="36595"/>
    <cellStyle name="Input 12 2 4 2 3" xfId="20900"/>
    <cellStyle name="Input 12 2 4 2 3 2" xfId="42087"/>
    <cellStyle name="Input 12 2 4 2 4" xfId="31467"/>
    <cellStyle name="Input 12 2 4 2_Table 2A-1_EFT (Annual)" xfId="14959"/>
    <cellStyle name="Input 12 2 4 3" xfId="11369"/>
    <cellStyle name="Input 12 2 4 3 2" xfId="23467"/>
    <cellStyle name="Input 12 2 4 3 2 2" xfId="44653"/>
    <cellStyle name="Input 12 2 4 3 3" xfId="34049"/>
    <cellStyle name="Input 12 2 4 4" xfId="18354"/>
    <cellStyle name="Input 12 2 4 4 2" xfId="39541"/>
    <cellStyle name="Input 12 2 4 5" xfId="28724"/>
    <cellStyle name="Input 12 2 4_Table 2A-1_EFT (Annual)" xfId="6780"/>
    <cellStyle name="Input 12 2 5" xfId="4103"/>
    <cellStyle name="Input 12 2 5 2" xfId="12427"/>
    <cellStyle name="Input 12 2 5 2 2" xfId="24449"/>
    <cellStyle name="Input 12 2 5 2 2 2" xfId="45635"/>
    <cellStyle name="Input 12 2 5 2 3" xfId="35031"/>
    <cellStyle name="Input 12 2 5 3" xfId="19336"/>
    <cellStyle name="Input 12 2 5 3 2" xfId="40523"/>
    <cellStyle name="Input 12 2 5 4" xfId="29791"/>
    <cellStyle name="Input 12 2 5_Table 2A-1_EFT (Annual)" xfId="14960"/>
    <cellStyle name="Input 12 2 6" xfId="9766"/>
    <cellStyle name="Input 12 2 6 2" xfId="21903"/>
    <cellStyle name="Input 12 2 6 2 2" xfId="43089"/>
    <cellStyle name="Input 12 2 6 3" xfId="32485"/>
    <cellStyle name="Input 12 2 7" xfId="16790"/>
    <cellStyle name="Input 12 2 7 2" xfId="37977"/>
    <cellStyle name="Input 12 2 8" xfId="27048"/>
    <cellStyle name="Input 12 2_Table 2A-1_EFT (Annual)" xfId="2998"/>
    <cellStyle name="Input 12 3" xfId="371"/>
    <cellStyle name="Input 12 3 2" xfId="1354"/>
    <cellStyle name="Input 12 3 2 2" xfId="2624"/>
    <cellStyle name="Input 12 3 2 2 2" xfId="6185"/>
    <cellStyle name="Input 12 3 2 2 2 2" xfId="14379"/>
    <cellStyle name="Input 12 3 2 2 2 2 2" xfId="26351"/>
    <cellStyle name="Input 12 3 2 2 2 2 2 2" xfId="47537"/>
    <cellStyle name="Input 12 3 2 2 2 2 3" xfId="36933"/>
    <cellStyle name="Input 12 3 2 2 2 3" xfId="21238"/>
    <cellStyle name="Input 12 3 2 2 2 3 2" xfId="42425"/>
    <cellStyle name="Input 12 3 2 2 2 4" xfId="31841"/>
    <cellStyle name="Input 12 3 2 2 2_Table 2A-1_EFT (Annual)" xfId="14961"/>
    <cellStyle name="Input 12 3 2 2 3" xfId="11721"/>
    <cellStyle name="Input 12 3 2 2 3 2" xfId="23805"/>
    <cellStyle name="Input 12 3 2 2 3 2 2" xfId="44991"/>
    <cellStyle name="Input 12 3 2 2 3 3" xfId="34387"/>
    <cellStyle name="Input 12 3 2 2 4" xfId="18692"/>
    <cellStyle name="Input 12 3 2 2 4 2" xfId="39879"/>
    <cellStyle name="Input 12 3 2 2 5" xfId="29098"/>
    <cellStyle name="Input 12 3 2 2_Table 2A-1_EFT (Annual)" xfId="6782"/>
    <cellStyle name="Input 12 3 2 3" xfId="4915"/>
    <cellStyle name="Input 12 3 2 3 2" xfId="13175"/>
    <cellStyle name="Input 12 3 2 3 2 2" xfId="25181"/>
    <cellStyle name="Input 12 3 2 3 2 2 2" xfId="46367"/>
    <cellStyle name="Input 12 3 2 3 2 3" xfId="35763"/>
    <cellStyle name="Input 12 3 2 3 3" xfId="20068"/>
    <cellStyle name="Input 12 3 2 3 3 2" xfId="41255"/>
    <cellStyle name="Input 12 3 2 3 4" xfId="30572"/>
    <cellStyle name="Input 12 3 2 3_Table 2A-1_EFT (Annual)" xfId="14962"/>
    <cellStyle name="Input 12 3 2 4" xfId="10519"/>
    <cellStyle name="Input 12 3 2 4 2" xfId="22635"/>
    <cellStyle name="Input 12 3 2 4 2 2" xfId="43821"/>
    <cellStyle name="Input 12 3 2 4 3" xfId="33217"/>
    <cellStyle name="Input 12 3 2 5" xfId="17522"/>
    <cellStyle name="Input 12 3 2 5 2" xfId="38709"/>
    <cellStyle name="Input 12 3 2 6" xfId="27829"/>
    <cellStyle name="Input 12 3 2_Table 2A-1_EFT (Annual)" xfId="6781"/>
    <cellStyle name="Input 12 3 3" xfId="910"/>
    <cellStyle name="Input 12 3 3 2" xfId="4471"/>
    <cellStyle name="Input 12 3 3 2 2" xfId="12733"/>
    <cellStyle name="Input 12 3 3 2 2 2" xfId="24743"/>
    <cellStyle name="Input 12 3 3 2 2 2 2" xfId="45929"/>
    <cellStyle name="Input 12 3 3 2 2 3" xfId="35325"/>
    <cellStyle name="Input 12 3 3 2 3" xfId="19630"/>
    <cellStyle name="Input 12 3 3 2 3 2" xfId="40817"/>
    <cellStyle name="Input 12 3 3 2 4" xfId="30128"/>
    <cellStyle name="Input 12 3 3 2_Table 2A-1_EFT (Annual)" xfId="14963"/>
    <cellStyle name="Input 12 3 3 3" xfId="10080"/>
    <cellStyle name="Input 12 3 3 3 2" xfId="22197"/>
    <cellStyle name="Input 12 3 3 3 2 2" xfId="43383"/>
    <cellStyle name="Input 12 3 3 3 3" xfId="32779"/>
    <cellStyle name="Input 12 3 3 4" xfId="17084"/>
    <cellStyle name="Input 12 3 3 4 2" xfId="38271"/>
    <cellStyle name="Input 12 3 3 5" xfId="27385"/>
    <cellStyle name="Input 12 3 3_Table 2A-1_EFT (Annual)" xfId="6783"/>
    <cellStyle name="Input 12 3 4" xfId="2093"/>
    <cellStyle name="Input 12 3 4 2" xfId="5654"/>
    <cellStyle name="Input 12 3 4 2 2" xfId="13869"/>
    <cellStyle name="Input 12 3 4 2 2 2" xfId="25857"/>
    <cellStyle name="Input 12 3 4 2 2 2 2" xfId="47043"/>
    <cellStyle name="Input 12 3 4 2 2 3" xfId="36439"/>
    <cellStyle name="Input 12 3 4 2 3" xfId="20744"/>
    <cellStyle name="Input 12 3 4 2 3 2" xfId="41931"/>
    <cellStyle name="Input 12 3 4 2 4" xfId="31311"/>
    <cellStyle name="Input 12 3 4 2_Table 2A-1_EFT (Annual)" xfId="14964"/>
    <cellStyle name="Input 12 3 4 3" xfId="11213"/>
    <cellStyle name="Input 12 3 4 3 2" xfId="23311"/>
    <cellStyle name="Input 12 3 4 3 2 2" xfId="44497"/>
    <cellStyle name="Input 12 3 4 3 3" xfId="33893"/>
    <cellStyle name="Input 12 3 4 4" xfId="18198"/>
    <cellStyle name="Input 12 3 4 4 2" xfId="39385"/>
    <cellStyle name="Input 12 3 4 5" xfId="28568"/>
    <cellStyle name="Input 12 3 4_Table 2A-1_EFT (Annual)" xfId="6784"/>
    <cellStyle name="Input 12 3 5" xfId="3941"/>
    <cellStyle name="Input 12 3 5 2" xfId="12269"/>
    <cellStyle name="Input 12 3 5 2 2" xfId="24293"/>
    <cellStyle name="Input 12 3 5 2 2 2" xfId="45479"/>
    <cellStyle name="Input 12 3 5 2 3" xfId="34875"/>
    <cellStyle name="Input 12 3 5 3" xfId="19180"/>
    <cellStyle name="Input 12 3 5 3 2" xfId="40367"/>
    <cellStyle name="Input 12 3 5 4" xfId="29629"/>
    <cellStyle name="Input 12 3 5_Table 2A-1_EFT (Annual)" xfId="14965"/>
    <cellStyle name="Input 12 3 6" xfId="9606"/>
    <cellStyle name="Input 12 3 6 2" xfId="21747"/>
    <cellStyle name="Input 12 3 6 2 2" xfId="42933"/>
    <cellStyle name="Input 12 3 6 3" xfId="32329"/>
    <cellStyle name="Input 12 3 7" xfId="16634"/>
    <cellStyle name="Input 12 3 7 2" xfId="37821"/>
    <cellStyle name="Input 12 3 8" xfId="26886"/>
    <cellStyle name="Input 12 3_Table 2A-1_EFT (Annual)" xfId="2999"/>
    <cellStyle name="Input 12 4" xfId="1188"/>
    <cellStyle name="Input 12 4 2" xfId="2458"/>
    <cellStyle name="Input 12 4 2 2" xfId="6019"/>
    <cellStyle name="Input 12 4 2 2 2" xfId="14213"/>
    <cellStyle name="Input 12 4 2 2 2 2" xfId="26185"/>
    <cellStyle name="Input 12 4 2 2 2 2 2" xfId="47371"/>
    <cellStyle name="Input 12 4 2 2 2 3" xfId="36767"/>
    <cellStyle name="Input 12 4 2 2 3" xfId="21072"/>
    <cellStyle name="Input 12 4 2 2 3 2" xfId="42259"/>
    <cellStyle name="Input 12 4 2 2 4" xfId="31675"/>
    <cellStyle name="Input 12 4 2 2_Table 2A-1_EFT (Annual)" xfId="14966"/>
    <cellStyle name="Input 12 4 2 3" xfId="11555"/>
    <cellStyle name="Input 12 4 2 3 2" xfId="23639"/>
    <cellStyle name="Input 12 4 2 3 2 2" xfId="44825"/>
    <cellStyle name="Input 12 4 2 3 3" xfId="34221"/>
    <cellStyle name="Input 12 4 2 4" xfId="18526"/>
    <cellStyle name="Input 12 4 2 4 2" xfId="39713"/>
    <cellStyle name="Input 12 4 2 5" xfId="28932"/>
    <cellStyle name="Input 12 4 2_Table 2A-1_EFT (Annual)" xfId="6786"/>
    <cellStyle name="Input 12 4 3" xfId="4749"/>
    <cellStyle name="Input 12 4 3 2" xfId="13009"/>
    <cellStyle name="Input 12 4 3 2 2" xfId="25015"/>
    <cellStyle name="Input 12 4 3 2 2 2" xfId="46201"/>
    <cellStyle name="Input 12 4 3 2 3" xfId="35597"/>
    <cellStyle name="Input 12 4 3 3" xfId="19902"/>
    <cellStyle name="Input 12 4 3 3 2" xfId="41089"/>
    <cellStyle name="Input 12 4 3 4" xfId="30406"/>
    <cellStyle name="Input 12 4 3_Table 2A-1_EFT (Annual)" xfId="14967"/>
    <cellStyle name="Input 12 4 4" xfId="10353"/>
    <cellStyle name="Input 12 4 4 2" xfId="22469"/>
    <cellStyle name="Input 12 4 4 2 2" xfId="43655"/>
    <cellStyle name="Input 12 4 4 3" xfId="33051"/>
    <cellStyle name="Input 12 4 5" xfId="17356"/>
    <cellStyle name="Input 12 4 5 2" xfId="38543"/>
    <cellStyle name="Input 12 4 6" xfId="27663"/>
    <cellStyle name="Input 12 4_Table 2A-1_EFT (Annual)" xfId="6785"/>
    <cellStyle name="Input 12 5" xfId="751"/>
    <cellStyle name="Input 12 5 2" xfId="4312"/>
    <cellStyle name="Input 12 5 2 2" xfId="12592"/>
    <cellStyle name="Input 12 5 2 2 2" xfId="24609"/>
    <cellStyle name="Input 12 5 2 2 2 2" xfId="45795"/>
    <cellStyle name="Input 12 5 2 2 3" xfId="35191"/>
    <cellStyle name="Input 12 5 2 3" xfId="19496"/>
    <cellStyle name="Input 12 5 2 3 2" xfId="40683"/>
    <cellStyle name="Input 12 5 2 4" xfId="29969"/>
    <cellStyle name="Input 12 5 2_Table 2A-1_EFT (Annual)" xfId="14968"/>
    <cellStyle name="Input 12 5 3" xfId="9940"/>
    <cellStyle name="Input 12 5 3 2" xfId="22063"/>
    <cellStyle name="Input 12 5 3 2 2" xfId="43249"/>
    <cellStyle name="Input 12 5 3 3" xfId="32645"/>
    <cellStyle name="Input 12 5 4" xfId="16950"/>
    <cellStyle name="Input 12 5 4 2" xfId="38137"/>
    <cellStyle name="Input 12 5 5" xfId="27226"/>
    <cellStyle name="Input 12 5_Table 2A-1_EFT (Annual)" xfId="6787"/>
    <cellStyle name="Input 12 6" xfId="1854"/>
    <cellStyle name="Input 12 6 2" xfId="5415"/>
    <cellStyle name="Input 12 6 2 2" xfId="13630"/>
    <cellStyle name="Input 12 6 2 2 2" xfId="25618"/>
    <cellStyle name="Input 12 6 2 2 2 2" xfId="46804"/>
    <cellStyle name="Input 12 6 2 2 3" xfId="36200"/>
    <cellStyle name="Input 12 6 2 3" xfId="20505"/>
    <cellStyle name="Input 12 6 2 3 2" xfId="41692"/>
    <cellStyle name="Input 12 6 2 4" xfId="31072"/>
    <cellStyle name="Input 12 6 2_Table 2A-1_EFT (Annual)" xfId="14969"/>
    <cellStyle name="Input 12 6 3" xfId="10974"/>
    <cellStyle name="Input 12 6 3 2" xfId="23072"/>
    <cellStyle name="Input 12 6 3 2 2" xfId="44258"/>
    <cellStyle name="Input 12 6 3 3" xfId="33654"/>
    <cellStyle name="Input 12 6 4" xfId="17959"/>
    <cellStyle name="Input 12 6 4 2" xfId="39146"/>
    <cellStyle name="Input 12 6 5" xfId="28329"/>
    <cellStyle name="Input 12 6_Table 2A-1_EFT (Annual)" xfId="6788"/>
    <cellStyle name="Input 12 7" xfId="3729"/>
    <cellStyle name="Input 12 7 2" xfId="12097"/>
    <cellStyle name="Input 12 7 2 2" xfId="24127"/>
    <cellStyle name="Input 12 7 2 2 2" xfId="45313"/>
    <cellStyle name="Input 12 7 2 3" xfId="34709"/>
    <cellStyle name="Input 12 7 3" xfId="19014"/>
    <cellStyle name="Input 12 7 3 2" xfId="40201"/>
    <cellStyle name="Input 12 7 4" xfId="29438"/>
    <cellStyle name="Input 12 7_Table 2A-1_EFT (Annual)" xfId="14970"/>
    <cellStyle name="Input 12 8" xfId="9416"/>
    <cellStyle name="Input 12 8 2" xfId="21581"/>
    <cellStyle name="Input 12 8 2 2" xfId="42767"/>
    <cellStyle name="Input 12 8 3" xfId="32163"/>
    <cellStyle name="Input 12 9" xfId="16468"/>
    <cellStyle name="Input 12 9 2" xfId="37655"/>
    <cellStyle name="Input 12_Table 2A-1_EFT (Annual)" xfId="2997"/>
    <cellStyle name="Input 13" xfId="148"/>
    <cellStyle name="Input 13 10" xfId="26703"/>
    <cellStyle name="Input 13 2" xfId="541"/>
    <cellStyle name="Input 13 2 2" xfId="1518"/>
    <cellStyle name="Input 13 2 2 2" xfId="2788"/>
    <cellStyle name="Input 13 2 2 2 2" xfId="6349"/>
    <cellStyle name="Input 13 2 2 2 2 2" xfId="14543"/>
    <cellStyle name="Input 13 2 2 2 2 2 2" xfId="26515"/>
    <cellStyle name="Input 13 2 2 2 2 2 2 2" xfId="47701"/>
    <cellStyle name="Input 13 2 2 2 2 2 3" xfId="37097"/>
    <cellStyle name="Input 13 2 2 2 2 3" xfId="21402"/>
    <cellStyle name="Input 13 2 2 2 2 3 2" xfId="42589"/>
    <cellStyle name="Input 13 2 2 2 2 4" xfId="32005"/>
    <cellStyle name="Input 13 2 2 2 2_Table 2A-1_EFT (Annual)" xfId="14971"/>
    <cellStyle name="Input 13 2 2 2 3" xfId="11885"/>
    <cellStyle name="Input 13 2 2 2 3 2" xfId="23969"/>
    <cellStyle name="Input 13 2 2 2 3 2 2" xfId="45155"/>
    <cellStyle name="Input 13 2 2 2 3 3" xfId="34551"/>
    <cellStyle name="Input 13 2 2 2 4" xfId="18856"/>
    <cellStyle name="Input 13 2 2 2 4 2" xfId="40043"/>
    <cellStyle name="Input 13 2 2 2 5" xfId="29262"/>
    <cellStyle name="Input 13 2 2 2_Table 2A-1_EFT (Annual)" xfId="6790"/>
    <cellStyle name="Input 13 2 2 3" xfId="5079"/>
    <cellStyle name="Input 13 2 2 3 2" xfId="13339"/>
    <cellStyle name="Input 13 2 2 3 2 2" xfId="25345"/>
    <cellStyle name="Input 13 2 2 3 2 2 2" xfId="46531"/>
    <cellStyle name="Input 13 2 2 3 2 3" xfId="35927"/>
    <cellStyle name="Input 13 2 2 3 3" xfId="20232"/>
    <cellStyle name="Input 13 2 2 3 3 2" xfId="41419"/>
    <cellStyle name="Input 13 2 2 3 4" xfId="30736"/>
    <cellStyle name="Input 13 2 2 3_Table 2A-1_EFT (Annual)" xfId="14972"/>
    <cellStyle name="Input 13 2 2 4" xfId="10683"/>
    <cellStyle name="Input 13 2 2 4 2" xfId="22799"/>
    <cellStyle name="Input 13 2 2 4 2 2" xfId="43985"/>
    <cellStyle name="Input 13 2 2 4 3" xfId="33381"/>
    <cellStyle name="Input 13 2 2 5" xfId="17686"/>
    <cellStyle name="Input 13 2 2 5 2" xfId="38873"/>
    <cellStyle name="Input 13 2 2 6" xfId="27993"/>
    <cellStyle name="Input 13 2 2_Table 2A-1_EFT (Annual)" xfId="6789"/>
    <cellStyle name="Input 13 2 3" xfId="1049"/>
    <cellStyle name="Input 13 2 3 2" xfId="4610"/>
    <cellStyle name="Input 13 2 3 2 2" xfId="12870"/>
    <cellStyle name="Input 13 2 3 2 2 2" xfId="24876"/>
    <cellStyle name="Input 13 2 3 2 2 2 2" xfId="46062"/>
    <cellStyle name="Input 13 2 3 2 2 3" xfId="35458"/>
    <cellStyle name="Input 13 2 3 2 3" xfId="19763"/>
    <cellStyle name="Input 13 2 3 2 3 2" xfId="40950"/>
    <cellStyle name="Input 13 2 3 2 4" xfId="30267"/>
    <cellStyle name="Input 13 2 3 2_Table 2A-1_EFT (Annual)" xfId="14973"/>
    <cellStyle name="Input 13 2 3 3" xfId="10214"/>
    <cellStyle name="Input 13 2 3 3 2" xfId="22330"/>
    <cellStyle name="Input 13 2 3 3 2 2" xfId="43516"/>
    <cellStyle name="Input 13 2 3 3 3" xfId="32912"/>
    <cellStyle name="Input 13 2 3 4" xfId="17217"/>
    <cellStyle name="Input 13 2 3 4 2" xfId="38404"/>
    <cellStyle name="Input 13 2 3 5" xfId="27524"/>
    <cellStyle name="Input 13 2 3_Table 2A-1_EFT (Annual)" xfId="6791"/>
    <cellStyle name="Input 13 2 4" xfId="2257"/>
    <cellStyle name="Input 13 2 4 2" xfId="5818"/>
    <cellStyle name="Input 13 2 4 2 2" xfId="14033"/>
    <cellStyle name="Input 13 2 4 2 2 2" xfId="26021"/>
    <cellStyle name="Input 13 2 4 2 2 2 2" xfId="47207"/>
    <cellStyle name="Input 13 2 4 2 2 3" xfId="36603"/>
    <cellStyle name="Input 13 2 4 2 3" xfId="20908"/>
    <cellStyle name="Input 13 2 4 2 3 2" xfId="42095"/>
    <cellStyle name="Input 13 2 4 2 4" xfId="31475"/>
    <cellStyle name="Input 13 2 4 2_Table 2A-1_EFT (Annual)" xfId="14974"/>
    <cellStyle name="Input 13 2 4 3" xfId="11377"/>
    <cellStyle name="Input 13 2 4 3 2" xfId="23475"/>
    <cellStyle name="Input 13 2 4 3 2 2" xfId="44661"/>
    <cellStyle name="Input 13 2 4 3 3" xfId="34057"/>
    <cellStyle name="Input 13 2 4 4" xfId="18362"/>
    <cellStyle name="Input 13 2 4 4 2" xfId="39549"/>
    <cellStyle name="Input 13 2 4 5" xfId="28732"/>
    <cellStyle name="Input 13 2 4_Table 2A-1_EFT (Annual)" xfId="6792"/>
    <cellStyle name="Input 13 2 5" xfId="4111"/>
    <cellStyle name="Input 13 2 5 2" xfId="12435"/>
    <cellStyle name="Input 13 2 5 2 2" xfId="24457"/>
    <cellStyle name="Input 13 2 5 2 2 2" xfId="45643"/>
    <cellStyle name="Input 13 2 5 2 3" xfId="35039"/>
    <cellStyle name="Input 13 2 5 3" xfId="19344"/>
    <cellStyle name="Input 13 2 5 3 2" xfId="40531"/>
    <cellStyle name="Input 13 2 5 4" xfId="29799"/>
    <cellStyle name="Input 13 2 5_Table 2A-1_EFT (Annual)" xfId="14975"/>
    <cellStyle name="Input 13 2 6" xfId="9774"/>
    <cellStyle name="Input 13 2 6 2" xfId="21911"/>
    <cellStyle name="Input 13 2 6 2 2" xfId="43097"/>
    <cellStyle name="Input 13 2 6 3" xfId="32493"/>
    <cellStyle name="Input 13 2 7" xfId="16798"/>
    <cellStyle name="Input 13 2 7 2" xfId="37985"/>
    <cellStyle name="Input 13 2 8" xfId="27056"/>
    <cellStyle name="Input 13 2_Table 2A-1_EFT (Annual)" xfId="3001"/>
    <cellStyle name="Input 13 3" xfId="379"/>
    <cellStyle name="Input 13 3 2" xfId="1362"/>
    <cellStyle name="Input 13 3 2 2" xfId="2632"/>
    <cellStyle name="Input 13 3 2 2 2" xfId="6193"/>
    <cellStyle name="Input 13 3 2 2 2 2" xfId="14387"/>
    <cellStyle name="Input 13 3 2 2 2 2 2" xfId="26359"/>
    <cellStyle name="Input 13 3 2 2 2 2 2 2" xfId="47545"/>
    <cellStyle name="Input 13 3 2 2 2 2 3" xfId="36941"/>
    <cellStyle name="Input 13 3 2 2 2 3" xfId="21246"/>
    <cellStyle name="Input 13 3 2 2 2 3 2" xfId="42433"/>
    <cellStyle name="Input 13 3 2 2 2 4" xfId="31849"/>
    <cellStyle name="Input 13 3 2 2 2_Table 2A-1_EFT (Annual)" xfId="14976"/>
    <cellStyle name="Input 13 3 2 2 3" xfId="11729"/>
    <cellStyle name="Input 13 3 2 2 3 2" xfId="23813"/>
    <cellStyle name="Input 13 3 2 2 3 2 2" xfId="44999"/>
    <cellStyle name="Input 13 3 2 2 3 3" xfId="34395"/>
    <cellStyle name="Input 13 3 2 2 4" xfId="18700"/>
    <cellStyle name="Input 13 3 2 2 4 2" xfId="39887"/>
    <cellStyle name="Input 13 3 2 2 5" xfId="29106"/>
    <cellStyle name="Input 13 3 2 2_Table 2A-1_EFT (Annual)" xfId="6794"/>
    <cellStyle name="Input 13 3 2 3" xfId="4923"/>
    <cellStyle name="Input 13 3 2 3 2" xfId="13183"/>
    <cellStyle name="Input 13 3 2 3 2 2" xfId="25189"/>
    <cellStyle name="Input 13 3 2 3 2 2 2" xfId="46375"/>
    <cellStyle name="Input 13 3 2 3 2 3" xfId="35771"/>
    <cellStyle name="Input 13 3 2 3 3" xfId="20076"/>
    <cellStyle name="Input 13 3 2 3 3 2" xfId="41263"/>
    <cellStyle name="Input 13 3 2 3 4" xfId="30580"/>
    <cellStyle name="Input 13 3 2 3_Table 2A-1_EFT (Annual)" xfId="14977"/>
    <cellStyle name="Input 13 3 2 4" xfId="10527"/>
    <cellStyle name="Input 13 3 2 4 2" xfId="22643"/>
    <cellStyle name="Input 13 3 2 4 2 2" xfId="43829"/>
    <cellStyle name="Input 13 3 2 4 3" xfId="33225"/>
    <cellStyle name="Input 13 3 2 5" xfId="17530"/>
    <cellStyle name="Input 13 3 2 5 2" xfId="38717"/>
    <cellStyle name="Input 13 3 2 6" xfId="27837"/>
    <cellStyle name="Input 13 3 2_Table 2A-1_EFT (Annual)" xfId="6793"/>
    <cellStyle name="Input 13 3 3" xfId="917"/>
    <cellStyle name="Input 13 3 3 2" xfId="4478"/>
    <cellStyle name="Input 13 3 3 2 2" xfId="12740"/>
    <cellStyle name="Input 13 3 3 2 2 2" xfId="24750"/>
    <cellStyle name="Input 13 3 3 2 2 2 2" xfId="45936"/>
    <cellStyle name="Input 13 3 3 2 2 3" xfId="35332"/>
    <cellStyle name="Input 13 3 3 2 3" xfId="19637"/>
    <cellStyle name="Input 13 3 3 2 3 2" xfId="40824"/>
    <cellStyle name="Input 13 3 3 2 4" xfId="30135"/>
    <cellStyle name="Input 13 3 3 2_Table 2A-1_EFT (Annual)" xfId="14978"/>
    <cellStyle name="Input 13 3 3 3" xfId="10087"/>
    <cellStyle name="Input 13 3 3 3 2" xfId="22204"/>
    <cellStyle name="Input 13 3 3 3 2 2" xfId="43390"/>
    <cellStyle name="Input 13 3 3 3 3" xfId="32786"/>
    <cellStyle name="Input 13 3 3 4" xfId="17091"/>
    <cellStyle name="Input 13 3 3 4 2" xfId="38278"/>
    <cellStyle name="Input 13 3 3 5" xfId="27392"/>
    <cellStyle name="Input 13 3 3_Table 2A-1_EFT (Annual)" xfId="6795"/>
    <cellStyle name="Input 13 3 4" xfId="2101"/>
    <cellStyle name="Input 13 3 4 2" xfId="5662"/>
    <cellStyle name="Input 13 3 4 2 2" xfId="13877"/>
    <cellStyle name="Input 13 3 4 2 2 2" xfId="25865"/>
    <cellStyle name="Input 13 3 4 2 2 2 2" xfId="47051"/>
    <cellStyle name="Input 13 3 4 2 2 3" xfId="36447"/>
    <cellStyle name="Input 13 3 4 2 3" xfId="20752"/>
    <cellStyle name="Input 13 3 4 2 3 2" xfId="41939"/>
    <cellStyle name="Input 13 3 4 2 4" xfId="31319"/>
    <cellStyle name="Input 13 3 4 2_Table 2A-1_EFT (Annual)" xfId="14979"/>
    <cellStyle name="Input 13 3 4 3" xfId="11221"/>
    <cellStyle name="Input 13 3 4 3 2" xfId="23319"/>
    <cellStyle name="Input 13 3 4 3 2 2" xfId="44505"/>
    <cellStyle name="Input 13 3 4 3 3" xfId="33901"/>
    <cellStyle name="Input 13 3 4 4" xfId="18206"/>
    <cellStyle name="Input 13 3 4 4 2" xfId="39393"/>
    <cellStyle name="Input 13 3 4 5" xfId="28576"/>
    <cellStyle name="Input 13 3 4_Table 2A-1_EFT (Annual)" xfId="6796"/>
    <cellStyle name="Input 13 3 5" xfId="3949"/>
    <cellStyle name="Input 13 3 5 2" xfId="12277"/>
    <cellStyle name="Input 13 3 5 2 2" xfId="24301"/>
    <cellStyle name="Input 13 3 5 2 2 2" xfId="45487"/>
    <cellStyle name="Input 13 3 5 2 3" xfId="34883"/>
    <cellStyle name="Input 13 3 5 3" xfId="19188"/>
    <cellStyle name="Input 13 3 5 3 2" xfId="40375"/>
    <cellStyle name="Input 13 3 5 4" xfId="29637"/>
    <cellStyle name="Input 13 3 5_Table 2A-1_EFT (Annual)" xfId="14980"/>
    <cellStyle name="Input 13 3 6" xfId="9614"/>
    <cellStyle name="Input 13 3 6 2" xfId="21755"/>
    <cellStyle name="Input 13 3 6 2 2" xfId="42941"/>
    <cellStyle name="Input 13 3 6 3" xfId="32337"/>
    <cellStyle name="Input 13 3 7" xfId="16642"/>
    <cellStyle name="Input 13 3 7 2" xfId="37829"/>
    <cellStyle name="Input 13 3 8" xfId="26894"/>
    <cellStyle name="Input 13 3_Table 2A-1_EFT (Annual)" xfId="3002"/>
    <cellStyle name="Input 13 4" xfId="1196"/>
    <cellStyle name="Input 13 4 2" xfId="2466"/>
    <cellStyle name="Input 13 4 2 2" xfId="6027"/>
    <cellStyle name="Input 13 4 2 2 2" xfId="14221"/>
    <cellStyle name="Input 13 4 2 2 2 2" xfId="26193"/>
    <cellStyle name="Input 13 4 2 2 2 2 2" xfId="47379"/>
    <cellStyle name="Input 13 4 2 2 2 3" xfId="36775"/>
    <cellStyle name="Input 13 4 2 2 3" xfId="21080"/>
    <cellStyle name="Input 13 4 2 2 3 2" xfId="42267"/>
    <cellStyle name="Input 13 4 2 2 4" xfId="31683"/>
    <cellStyle name="Input 13 4 2 2_Table 2A-1_EFT (Annual)" xfId="14981"/>
    <cellStyle name="Input 13 4 2 3" xfId="11563"/>
    <cellStyle name="Input 13 4 2 3 2" xfId="23647"/>
    <cellStyle name="Input 13 4 2 3 2 2" xfId="44833"/>
    <cellStyle name="Input 13 4 2 3 3" xfId="34229"/>
    <cellStyle name="Input 13 4 2 4" xfId="18534"/>
    <cellStyle name="Input 13 4 2 4 2" xfId="39721"/>
    <cellStyle name="Input 13 4 2 5" xfId="28940"/>
    <cellStyle name="Input 13 4 2_Table 2A-1_EFT (Annual)" xfId="6798"/>
    <cellStyle name="Input 13 4 3" xfId="4757"/>
    <cellStyle name="Input 13 4 3 2" xfId="13017"/>
    <cellStyle name="Input 13 4 3 2 2" xfId="25023"/>
    <cellStyle name="Input 13 4 3 2 2 2" xfId="46209"/>
    <cellStyle name="Input 13 4 3 2 3" xfId="35605"/>
    <cellStyle name="Input 13 4 3 3" xfId="19910"/>
    <cellStyle name="Input 13 4 3 3 2" xfId="41097"/>
    <cellStyle name="Input 13 4 3 4" xfId="30414"/>
    <cellStyle name="Input 13 4 3_Table 2A-1_EFT (Annual)" xfId="14982"/>
    <cellStyle name="Input 13 4 4" xfId="10361"/>
    <cellStyle name="Input 13 4 4 2" xfId="22477"/>
    <cellStyle name="Input 13 4 4 2 2" xfId="43663"/>
    <cellStyle name="Input 13 4 4 3" xfId="33059"/>
    <cellStyle name="Input 13 4 5" xfId="17364"/>
    <cellStyle name="Input 13 4 5 2" xfId="38551"/>
    <cellStyle name="Input 13 4 6" xfId="27671"/>
    <cellStyle name="Input 13 4_Table 2A-1_EFT (Annual)" xfId="6797"/>
    <cellStyle name="Input 13 5" xfId="758"/>
    <cellStyle name="Input 13 5 2" xfId="4319"/>
    <cellStyle name="Input 13 5 2 2" xfId="12599"/>
    <cellStyle name="Input 13 5 2 2 2" xfId="24616"/>
    <cellStyle name="Input 13 5 2 2 2 2" xfId="45802"/>
    <cellStyle name="Input 13 5 2 2 3" xfId="35198"/>
    <cellStyle name="Input 13 5 2 3" xfId="19503"/>
    <cellStyle name="Input 13 5 2 3 2" xfId="40690"/>
    <cellStyle name="Input 13 5 2 4" xfId="29976"/>
    <cellStyle name="Input 13 5 2_Table 2A-1_EFT (Annual)" xfId="14983"/>
    <cellStyle name="Input 13 5 3" xfId="9947"/>
    <cellStyle name="Input 13 5 3 2" xfId="22070"/>
    <cellStyle name="Input 13 5 3 2 2" xfId="43256"/>
    <cellStyle name="Input 13 5 3 3" xfId="32652"/>
    <cellStyle name="Input 13 5 4" xfId="16957"/>
    <cellStyle name="Input 13 5 4 2" xfId="38144"/>
    <cellStyle name="Input 13 5 5" xfId="27233"/>
    <cellStyle name="Input 13 5_Table 2A-1_EFT (Annual)" xfId="6799"/>
    <cellStyle name="Input 13 6" xfId="1850"/>
    <cellStyle name="Input 13 6 2" xfId="5411"/>
    <cellStyle name="Input 13 6 2 2" xfId="13626"/>
    <cellStyle name="Input 13 6 2 2 2" xfId="25614"/>
    <cellStyle name="Input 13 6 2 2 2 2" xfId="46800"/>
    <cellStyle name="Input 13 6 2 2 3" xfId="36196"/>
    <cellStyle name="Input 13 6 2 3" xfId="20501"/>
    <cellStyle name="Input 13 6 2 3 2" xfId="41688"/>
    <cellStyle name="Input 13 6 2 4" xfId="31068"/>
    <cellStyle name="Input 13 6 2_Table 2A-1_EFT (Annual)" xfId="14984"/>
    <cellStyle name="Input 13 6 3" xfId="10970"/>
    <cellStyle name="Input 13 6 3 2" xfId="23068"/>
    <cellStyle name="Input 13 6 3 2 2" xfId="44254"/>
    <cellStyle name="Input 13 6 3 3" xfId="33650"/>
    <cellStyle name="Input 13 6 4" xfId="17955"/>
    <cellStyle name="Input 13 6 4 2" xfId="39142"/>
    <cellStyle name="Input 13 6 5" xfId="28325"/>
    <cellStyle name="Input 13 6_Table 2A-1_EFT (Annual)" xfId="6800"/>
    <cellStyle name="Input 13 7" xfId="3737"/>
    <cellStyle name="Input 13 7 2" xfId="12105"/>
    <cellStyle name="Input 13 7 2 2" xfId="24135"/>
    <cellStyle name="Input 13 7 2 2 2" xfId="45321"/>
    <cellStyle name="Input 13 7 2 3" xfId="34717"/>
    <cellStyle name="Input 13 7 3" xfId="19022"/>
    <cellStyle name="Input 13 7 3 2" xfId="40209"/>
    <cellStyle name="Input 13 7 4" xfId="29446"/>
    <cellStyle name="Input 13 7_Table 2A-1_EFT (Annual)" xfId="14985"/>
    <cellStyle name="Input 13 8" xfId="9424"/>
    <cellStyle name="Input 13 8 2" xfId="21589"/>
    <cellStyle name="Input 13 8 2 2" xfId="42775"/>
    <cellStyle name="Input 13 8 3" xfId="32171"/>
    <cellStyle name="Input 13 9" xfId="16476"/>
    <cellStyle name="Input 13 9 2" xfId="37663"/>
    <cellStyle name="Input 13_Table 2A-1_EFT (Annual)" xfId="3000"/>
    <cellStyle name="Input 14" xfId="159"/>
    <cellStyle name="Input 14 10" xfId="26714"/>
    <cellStyle name="Input 14 2" xfId="552"/>
    <cellStyle name="Input 14 2 2" xfId="1529"/>
    <cellStyle name="Input 14 2 2 2" xfId="2799"/>
    <cellStyle name="Input 14 2 2 2 2" xfId="6360"/>
    <cellStyle name="Input 14 2 2 2 2 2" xfId="14554"/>
    <cellStyle name="Input 14 2 2 2 2 2 2" xfId="26526"/>
    <cellStyle name="Input 14 2 2 2 2 2 2 2" xfId="47712"/>
    <cellStyle name="Input 14 2 2 2 2 2 3" xfId="37108"/>
    <cellStyle name="Input 14 2 2 2 2 3" xfId="21413"/>
    <cellStyle name="Input 14 2 2 2 2 3 2" xfId="42600"/>
    <cellStyle name="Input 14 2 2 2 2 4" xfId="32016"/>
    <cellStyle name="Input 14 2 2 2 2_Table 2A-1_EFT (Annual)" xfId="14986"/>
    <cellStyle name="Input 14 2 2 2 3" xfId="11896"/>
    <cellStyle name="Input 14 2 2 2 3 2" xfId="23980"/>
    <cellStyle name="Input 14 2 2 2 3 2 2" xfId="45166"/>
    <cellStyle name="Input 14 2 2 2 3 3" xfId="34562"/>
    <cellStyle name="Input 14 2 2 2 4" xfId="18867"/>
    <cellStyle name="Input 14 2 2 2 4 2" xfId="40054"/>
    <cellStyle name="Input 14 2 2 2 5" xfId="29273"/>
    <cellStyle name="Input 14 2 2 2_Table 2A-1_EFT (Annual)" xfId="6802"/>
    <cellStyle name="Input 14 2 2 3" xfId="5090"/>
    <cellStyle name="Input 14 2 2 3 2" xfId="13350"/>
    <cellStyle name="Input 14 2 2 3 2 2" xfId="25356"/>
    <cellStyle name="Input 14 2 2 3 2 2 2" xfId="46542"/>
    <cellStyle name="Input 14 2 2 3 2 3" xfId="35938"/>
    <cellStyle name="Input 14 2 2 3 3" xfId="20243"/>
    <cellStyle name="Input 14 2 2 3 3 2" xfId="41430"/>
    <cellStyle name="Input 14 2 2 3 4" xfId="30747"/>
    <cellStyle name="Input 14 2 2 3_Table 2A-1_EFT (Annual)" xfId="14987"/>
    <cellStyle name="Input 14 2 2 4" xfId="10694"/>
    <cellStyle name="Input 14 2 2 4 2" xfId="22810"/>
    <cellStyle name="Input 14 2 2 4 2 2" xfId="43996"/>
    <cellStyle name="Input 14 2 2 4 3" xfId="33392"/>
    <cellStyle name="Input 14 2 2 5" xfId="17697"/>
    <cellStyle name="Input 14 2 2 5 2" xfId="38884"/>
    <cellStyle name="Input 14 2 2 6" xfId="28004"/>
    <cellStyle name="Input 14 2 2_Table 2A-1_EFT (Annual)" xfId="6801"/>
    <cellStyle name="Input 14 2 3" xfId="1057"/>
    <cellStyle name="Input 14 2 3 2" xfId="4618"/>
    <cellStyle name="Input 14 2 3 2 2" xfId="12878"/>
    <cellStyle name="Input 14 2 3 2 2 2" xfId="24884"/>
    <cellStyle name="Input 14 2 3 2 2 2 2" xfId="46070"/>
    <cellStyle name="Input 14 2 3 2 2 3" xfId="35466"/>
    <cellStyle name="Input 14 2 3 2 3" xfId="19771"/>
    <cellStyle name="Input 14 2 3 2 3 2" xfId="40958"/>
    <cellStyle name="Input 14 2 3 2 4" xfId="30275"/>
    <cellStyle name="Input 14 2 3 2_Table 2A-1_EFT (Annual)" xfId="14988"/>
    <cellStyle name="Input 14 2 3 3" xfId="10222"/>
    <cellStyle name="Input 14 2 3 3 2" xfId="22338"/>
    <cellStyle name="Input 14 2 3 3 2 2" xfId="43524"/>
    <cellStyle name="Input 14 2 3 3 3" xfId="32920"/>
    <cellStyle name="Input 14 2 3 4" xfId="17225"/>
    <cellStyle name="Input 14 2 3 4 2" xfId="38412"/>
    <cellStyle name="Input 14 2 3 5" xfId="27532"/>
    <cellStyle name="Input 14 2 3_Table 2A-1_EFT (Annual)" xfId="6803"/>
    <cellStyle name="Input 14 2 4" xfId="2268"/>
    <cellStyle name="Input 14 2 4 2" xfId="5829"/>
    <cellStyle name="Input 14 2 4 2 2" xfId="14044"/>
    <cellStyle name="Input 14 2 4 2 2 2" xfId="26032"/>
    <cellStyle name="Input 14 2 4 2 2 2 2" xfId="47218"/>
    <cellStyle name="Input 14 2 4 2 2 3" xfId="36614"/>
    <cellStyle name="Input 14 2 4 2 3" xfId="20919"/>
    <cellStyle name="Input 14 2 4 2 3 2" xfId="42106"/>
    <cellStyle name="Input 14 2 4 2 4" xfId="31486"/>
    <cellStyle name="Input 14 2 4 2_Table 2A-1_EFT (Annual)" xfId="14989"/>
    <cellStyle name="Input 14 2 4 3" xfId="11388"/>
    <cellStyle name="Input 14 2 4 3 2" xfId="23486"/>
    <cellStyle name="Input 14 2 4 3 2 2" xfId="44672"/>
    <cellStyle name="Input 14 2 4 3 3" xfId="34068"/>
    <cellStyle name="Input 14 2 4 4" xfId="18373"/>
    <cellStyle name="Input 14 2 4 4 2" xfId="39560"/>
    <cellStyle name="Input 14 2 4 5" xfId="28743"/>
    <cellStyle name="Input 14 2 4_Table 2A-1_EFT (Annual)" xfId="6804"/>
    <cellStyle name="Input 14 2 5" xfId="4122"/>
    <cellStyle name="Input 14 2 5 2" xfId="12446"/>
    <cellStyle name="Input 14 2 5 2 2" xfId="24468"/>
    <cellStyle name="Input 14 2 5 2 2 2" xfId="45654"/>
    <cellStyle name="Input 14 2 5 2 3" xfId="35050"/>
    <cellStyle name="Input 14 2 5 3" xfId="19355"/>
    <cellStyle name="Input 14 2 5 3 2" xfId="40542"/>
    <cellStyle name="Input 14 2 5 4" xfId="29810"/>
    <cellStyle name="Input 14 2 5_Table 2A-1_EFT (Annual)" xfId="14990"/>
    <cellStyle name="Input 14 2 6" xfId="9785"/>
    <cellStyle name="Input 14 2 6 2" xfId="21922"/>
    <cellStyle name="Input 14 2 6 2 2" xfId="43108"/>
    <cellStyle name="Input 14 2 6 3" xfId="32504"/>
    <cellStyle name="Input 14 2 7" xfId="16809"/>
    <cellStyle name="Input 14 2 7 2" xfId="37996"/>
    <cellStyle name="Input 14 2 8" xfId="27067"/>
    <cellStyle name="Input 14 2_Table 2A-1_EFT (Annual)" xfId="3004"/>
    <cellStyle name="Input 14 3" xfId="390"/>
    <cellStyle name="Input 14 3 2" xfId="1373"/>
    <cellStyle name="Input 14 3 2 2" xfId="2643"/>
    <cellStyle name="Input 14 3 2 2 2" xfId="6204"/>
    <cellStyle name="Input 14 3 2 2 2 2" xfId="14398"/>
    <cellStyle name="Input 14 3 2 2 2 2 2" xfId="26370"/>
    <cellStyle name="Input 14 3 2 2 2 2 2 2" xfId="47556"/>
    <cellStyle name="Input 14 3 2 2 2 2 3" xfId="36952"/>
    <cellStyle name="Input 14 3 2 2 2 3" xfId="21257"/>
    <cellStyle name="Input 14 3 2 2 2 3 2" xfId="42444"/>
    <cellStyle name="Input 14 3 2 2 2 4" xfId="31860"/>
    <cellStyle name="Input 14 3 2 2 2_Table 2A-1_EFT (Annual)" xfId="14991"/>
    <cellStyle name="Input 14 3 2 2 3" xfId="11740"/>
    <cellStyle name="Input 14 3 2 2 3 2" xfId="23824"/>
    <cellStyle name="Input 14 3 2 2 3 2 2" xfId="45010"/>
    <cellStyle name="Input 14 3 2 2 3 3" xfId="34406"/>
    <cellStyle name="Input 14 3 2 2 4" xfId="18711"/>
    <cellStyle name="Input 14 3 2 2 4 2" xfId="39898"/>
    <cellStyle name="Input 14 3 2 2 5" xfId="29117"/>
    <cellStyle name="Input 14 3 2 2_Table 2A-1_EFT (Annual)" xfId="6806"/>
    <cellStyle name="Input 14 3 2 3" xfId="4934"/>
    <cellStyle name="Input 14 3 2 3 2" xfId="13194"/>
    <cellStyle name="Input 14 3 2 3 2 2" xfId="25200"/>
    <cellStyle name="Input 14 3 2 3 2 2 2" xfId="46386"/>
    <cellStyle name="Input 14 3 2 3 2 3" xfId="35782"/>
    <cellStyle name="Input 14 3 2 3 3" xfId="20087"/>
    <cellStyle name="Input 14 3 2 3 3 2" xfId="41274"/>
    <cellStyle name="Input 14 3 2 3 4" xfId="30591"/>
    <cellStyle name="Input 14 3 2 3_Table 2A-1_EFT (Annual)" xfId="14992"/>
    <cellStyle name="Input 14 3 2 4" xfId="10538"/>
    <cellStyle name="Input 14 3 2 4 2" xfId="22654"/>
    <cellStyle name="Input 14 3 2 4 2 2" xfId="43840"/>
    <cellStyle name="Input 14 3 2 4 3" xfId="33236"/>
    <cellStyle name="Input 14 3 2 5" xfId="17541"/>
    <cellStyle name="Input 14 3 2 5 2" xfId="38728"/>
    <cellStyle name="Input 14 3 2 6" xfId="27848"/>
    <cellStyle name="Input 14 3 2_Table 2A-1_EFT (Annual)" xfId="6805"/>
    <cellStyle name="Input 14 3 3" xfId="925"/>
    <cellStyle name="Input 14 3 3 2" xfId="4486"/>
    <cellStyle name="Input 14 3 3 2 2" xfId="12748"/>
    <cellStyle name="Input 14 3 3 2 2 2" xfId="24758"/>
    <cellStyle name="Input 14 3 3 2 2 2 2" xfId="45944"/>
    <cellStyle name="Input 14 3 3 2 2 3" xfId="35340"/>
    <cellStyle name="Input 14 3 3 2 3" xfId="19645"/>
    <cellStyle name="Input 14 3 3 2 3 2" xfId="40832"/>
    <cellStyle name="Input 14 3 3 2 4" xfId="30143"/>
    <cellStyle name="Input 14 3 3 2_Table 2A-1_EFT (Annual)" xfId="14993"/>
    <cellStyle name="Input 14 3 3 3" xfId="10095"/>
    <cellStyle name="Input 14 3 3 3 2" xfId="22212"/>
    <cellStyle name="Input 14 3 3 3 2 2" xfId="43398"/>
    <cellStyle name="Input 14 3 3 3 3" xfId="32794"/>
    <cellStyle name="Input 14 3 3 4" xfId="17099"/>
    <cellStyle name="Input 14 3 3 4 2" xfId="38286"/>
    <cellStyle name="Input 14 3 3 5" xfId="27400"/>
    <cellStyle name="Input 14 3 3_Table 2A-1_EFT (Annual)" xfId="6807"/>
    <cellStyle name="Input 14 3 4" xfId="2112"/>
    <cellStyle name="Input 14 3 4 2" xfId="5673"/>
    <cellStyle name="Input 14 3 4 2 2" xfId="13888"/>
    <cellStyle name="Input 14 3 4 2 2 2" xfId="25876"/>
    <cellStyle name="Input 14 3 4 2 2 2 2" xfId="47062"/>
    <cellStyle name="Input 14 3 4 2 2 3" xfId="36458"/>
    <cellStyle name="Input 14 3 4 2 3" xfId="20763"/>
    <cellStyle name="Input 14 3 4 2 3 2" xfId="41950"/>
    <cellStyle name="Input 14 3 4 2 4" xfId="31330"/>
    <cellStyle name="Input 14 3 4 2_Table 2A-1_EFT (Annual)" xfId="14994"/>
    <cellStyle name="Input 14 3 4 3" xfId="11232"/>
    <cellStyle name="Input 14 3 4 3 2" xfId="23330"/>
    <cellStyle name="Input 14 3 4 3 2 2" xfId="44516"/>
    <cellStyle name="Input 14 3 4 3 3" xfId="33912"/>
    <cellStyle name="Input 14 3 4 4" xfId="18217"/>
    <cellStyle name="Input 14 3 4 4 2" xfId="39404"/>
    <cellStyle name="Input 14 3 4 5" xfId="28587"/>
    <cellStyle name="Input 14 3 4_Table 2A-1_EFT (Annual)" xfId="6808"/>
    <cellStyle name="Input 14 3 5" xfId="3960"/>
    <cellStyle name="Input 14 3 5 2" xfId="12288"/>
    <cellStyle name="Input 14 3 5 2 2" xfId="24312"/>
    <cellStyle name="Input 14 3 5 2 2 2" xfId="45498"/>
    <cellStyle name="Input 14 3 5 2 3" xfId="34894"/>
    <cellStyle name="Input 14 3 5 3" xfId="19199"/>
    <cellStyle name="Input 14 3 5 3 2" xfId="40386"/>
    <cellStyle name="Input 14 3 5 4" xfId="29648"/>
    <cellStyle name="Input 14 3 5_Table 2A-1_EFT (Annual)" xfId="14995"/>
    <cellStyle name="Input 14 3 6" xfId="9625"/>
    <cellStyle name="Input 14 3 6 2" xfId="21766"/>
    <cellStyle name="Input 14 3 6 2 2" xfId="42952"/>
    <cellStyle name="Input 14 3 6 3" xfId="32348"/>
    <cellStyle name="Input 14 3 7" xfId="16653"/>
    <cellStyle name="Input 14 3 7 2" xfId="37840"/>
    <cellStyle name="Input 14 3 8" xfId="26905"/>
    <cellStyle name="Input 14 3_Table 2A-1_EFT (Annual)" xfId="3005"/>
    <cellStyle name="Input 14 4" xfId="1207"/>
    <cellStyle name="Input 14 4 2" xfId="2477"/>
    <cellStyle name="Input 14 4 2 2" xfId="6038"/>
    <cellStyle name="Input 14 4 2 2 2" xfId="14232"/>
    <cellStyle name="Input 14 4 2 2 2 2" xfId="26204"/>
    <cellStyle name="Input 14 4 2 2 2 2 2" xfId="47390"/>
    <cellStyle name="Input 14 4 2 2 2 3" xfId="36786"/>
    <cellStyle name="Input 14 4 2 2 3" xfId="21091"/>
    <cellStyle name="Input 14 4 2 2 3 2" xfId="42278"/>
    <cellStyle name="Input 14 4 2 2 4" xfId="31694"/>
    <cellStyle name="Input 14 4 2 2_Table 2A-1_EFT (Annual)" xfId="14996"/>
    <cellStyle name="Input 14 4 2 3" xfId="11574"/>
    <cellStyle name="Input 14 4 2 3 2" xfId="23658"/>
    <cellStyle name="Input 14 4 2 3 2 2" xfId="44844"/>
    <cellStyle name="Input 14 4 2 3 3" xfId="34240"/>
    <cellStyle name="Input 14 4 2 4" xfId="18545"/>
    <cellStyle name="Input 14 4 2 4 2" xfId="39732"/>
    <cellStyle name="Input 14 4 2 5" xfId="28951"/>
    <cellStyle name="Input 14 4 2_Table 2A-1_EFT (Annual)" xfId="6810"/>
    <cellStyle name="Input 14 4 3" xfId="4768"/>
    <cellStyle name="Input 14 4 3 2" xfId="13028"/>
    <cellStyle name="Input 14 4 3 2 2" xfId="25034"/>
    <cellStyle name="Input 14 4 3 2 2 2" xfId="46220"/>
    <cellStyle name="Input 14 4 3 2 3" xfId="35616"/>
    <cellStyle name="Input 14 4 3 3" xfId="19921"/>
    <cellStyle name="Input 14 4 3 3 2" xfId="41108"/>
    <cellStyle name="Input 14 4 3 4" xfId="30425"/>
    <cellStyle name="Input 14 4 3_Table 2A-1_EFT (Annual)" xfId="14997"/>
    <cellStyle name="Input 14 4 4" xfId="10372"/>
    <cellStyle name="Input 14 4 4 2" xfId="22488"/>
    <cellStyle name="Input 14 4 4 2 2" xfId="43674"/>
    <cellStyle name="Input 14 4 4 3" xfId="33070"/>
    <cellStyle name="Input 14 4 5" xfId="17375"/>
    <cellStyle name="Input 14 4 5 2" xfId="38562"/>
    <cellStyle name="Input 14 4 6" xfId="27682"/>
    <cellStyle name="Input 14 4_Table 2A-1_EFT (Annual)" xfId="6809"/>
    <cellStyle name="Input 14 5" xfId="766"/>
    <cellStyle name="Input 14 5 2" xfId="4327"/>
    <cellStyle name="Input 14 5 2 2" xfId="12607"/>
    <cellStyle name="Input 14 5 2 2 2" xfId="24624"/>
    <cellStyle name="Input 14 5 2 2 2 2" xfId="45810"/>
    <cellStyle name="Input 14 5 2 2 3" xfId="35206"/>
    <cellStyle name="Input 14 5 2 3" xfId="19511"/>
    <cellStyle name="Input 14 5 2 3 2" xfId="40698"/>
    <cellStyle name="Input 14 5 2 4" xfId="29984"/>
    <cellStyle name="Input 14 5 2_Table 2A-1_EFT (Annual)" xfId="14998"/>
    <cellStyle name="Input 14 5 3" xfId="9955"/>
    <cellStyle name="Input 14 5 3 2" xfId="22078"/>
    <cellStyle name="Input 14 5 3 2 2" xfId="43264"/>
    <cellStyle name="Input 14 5 3 3" xfId="32660"/>
    <cellStyle name="Input 14 5 4" xfId="16965"/>
    <cellStyle name="Input 14 5 4 2" xfId="38152"/>
    <cellStyle name="Input 14 5 5" xfId="27241"/>
    <cellStyle name="Input 14 5_Table 2A-1_EFT (Annual)" xfId="6811"/>
    <cellStyle name="Input 14 6" xfId="1946"/>
    <cellStyle name="Input 14 6 2" xfId="5507"/>
    <cellStyle name="Input 14 6 2 2" xfId="13722"/>
    <cellStyle name="Input 14 6 2 2 2" xfId="25710"/>
    <cellStyle name="Input 14 6 2 2 2 2" xfId="46896"/>
    <cellStyle name="Input 14 6 2 2 3" xfId="36292"/>
    <cellStyle name="Input 14 6 2 3" xfId="20597"/>
    <cellStyle name="Input 14 6 2 3 2" xfId="41784"/>
    <cellStyle name="Input 14 6 2 4" xfId="31164"/>
    <cellStyle name="Input 14 6 2_Table 2A-1_EFT (Annual)" xfId="14999"/>
    <cellStyle name="Input 14 6 3" xfId="11066"/>
    <cellStyle name="Input 14 6 3 2" xfId="23164"/>
    <cellStyle name="Input 14 6 3 2 2" xfId="44350"/>
    <cellStyle name="Input 14 6 3 3" xfId="33746"/>
    <cellStyle name="Input 14 6 4" xfId="18051"/>
    <cellStyle name="Input 14 6 4 2" xfId="39238"/>
    <cellStyle name="Input 14 6 5" xfId="28421"/>
    <cellStyle name="Input 14 6_Table 2A-1_EFT (Annual)" xfId="6812"/>
    <cellStyle name="Input 14 7" xfId="3748"/>
    <cellStyle name="Input 14 7 2" xfId="12116"/>
    <cellStyle name="Input 14 7 2 2" xfId="24146"/>
    <cellStyle name="Input 14 7 2 2 2" xfId="45332"/>
    <cellStyle name="Input 14 7 2 3" xfId="34728"/>
    <cellStyle name="Input 14 7 3" xfId="19033"/>
    <cellStyle name="Input 14 7 3 2" xfId="40220"/>
    <cellStyle name="Input 14 7 4" xfId="29457"/>
    <cellStyle name="Input 14 7_Table 2A-1_EFT (Annual)" xfId="15000"/>
    <cellStyle name="Input 14 8" xfId="9435"/>
    <cellStyle name="Input 14 8 2" xfId="21600"/>
    <cellStyle name="Input 14 8 2 2" xfId="42786"/>
    <cellStyle name="Input 14 8 3" xfId="32182"/>
    <cellStyle name="Input 14 9" xfId="16487"/>
    <cellStyle name="Input 14 9 2" xfId="37674"/>
    <cellStyle name="Input 14_Table 2A-1_EFT (Annual)" xfId="3003"/>
    <cellStyle name="Input 15" xfId="161"/>
    <cellStyle name="Input 15 10" xfId="26716"/>
    <cellStyle name="Input 15 2" xfId="554"/>
    <cellStyle name="Input 15 2 2" xfId="1531"/>
    <cellStyle name="Input 15 2 2 2" xfId="2801"/>
    <cellStyle name="Input 15 2 2 2 2" xfId="6362"/>
    <cellStyle name="Input 15 2 2 2 2 2" xfId="14556"/>
    <cellStyle name="Input 15 2 2 2 2 2 2" xfId="26528"/>
    <cellStyle name="Input 15 2 2 2 2 2 2 2" xfId="47714"/>
    <cellStyle name="Input 15 2 2 2 2 2 3" xfId="37110"/>
    <cellStyle name="Input 15 2 2 2 2 3" xfId="21415"/>
    <cellStyle name="Input 15 2 2 2 2 3 2" xfId="42602"/>
    <cellStyle name="Input 15 2 2 2 2 4" xfId="32018"/>
    <cellStyle name="Input 15 2 2 2 2_Table 2A-1_EFT (Annual)" xfId="15001"/>
    <cellStyle name="Input 15 2 2 2 3" xfId="11898"/>
    <cellStyle name="Input 15 2 2 2 3 2" xfId="23982"/>
    <cellStyle name="Input 15 2 2 2 3 2 2" xfId="45168"/>
    <cellStyle name="Input 15 2 2 2 3 3" xfId="34564"/>
    <cellStyle name="Input 15 2 2 2 4" xfId="18869"/>
    <cellStyle name="Input 15 2 2 2 4 2" xfId="40056"/>
    <cellStyle name="Input 15 2 2 2 5" xfId="29275"/>
    <cellStyle name="Input 15 2 2 2_Table 2A-1_EFT (Annual)" xfId="6814"/>
    <cellStyle name="Input 15 2 2 3" xfId="5092"/>
    <cellStyle name="Input 15 2 2 3 2" xfId="13352"/>
    <cellStyle name="Input 15 2 2 3 2 2" xfId="25358"/>
    <cellStyle name="Input 15 2 2 3 2 2 2" xfId="46544"/>
    <cellStyle name="Input 15 2 2 3 2 3" xfId="35940"/>
    <cellStyle name="Input 15 2 2 3 3" xfId="20245"/>
    <cellStyle name="Input 15 2 2 3 3 2" xfId="41432"/>
    <cellStyle name="Input 15 2 2 3 4" xfId="30749"/>
    <cellStyle name="Input 15 2 2 3_Table 2A-1_EFT (Annual)" xfId="15002"/>
    <cellStyle name="Input 15 2 2 4" xfId="10696"/>
    <cellStyle name="Input 15 2 2 4 2" xfId="22812"/>
    <cellStyle name="Input 15 2 2 4 2 2" xfId="43998"/>
    <cellStyle name="Input 15 2 2 4 3" xfId="33394"/>
    <cellStyle name="Input 15 2 2 5" xfId="17699"/>
    <cellStyle name="Input 15 2 2 5 2" xfId="38886"/>
    <cellStyle name="Input 15 2 2 6" xfId="28006"/>
    <cellStyle name="Input 15 2 2_Table 2A-1_EFT (Annual)" xfId="6813"/>
    <cellStyle name="Input 15 2 3" xfId="1059"/>
    <cellStyle name="Input 15 2 3 2" xfId="4620"/>
    <cellStyle name="Input 15 2 3 2 2" xfId="12880"/>
    <cellStyle name="Input 15 2 3 2 2 2" xfId="24886"/>
    <cellStyle name="Input 15 2 3 2 2 2 2" xfId="46072"/>
    <cellStyle name="Input 15 2 3 2 2 3" xfId="35468"/>
    <cellStyle name="Input 15 2 3 2 3" xfId="19773"/>
    <cellStyle name="Input 15 2 3 2 3 2" xfId="40960"/>
    <cellStyle name="Input 15 2 3 2 4" xfId="30277"/>
    <cellStyle name="Input 15 2 3 2_Table 2A-1_EFT (Annual)" xfId="15003"/>
    <cellStyle name="Input 15 2 3 3" xfId="10224"/>
    <cellStyle name="Input 15 2 3 3 2" xfId="22340"/>
    <cellStyle name="Input 15 2 3 3 2 2" xfId="43526"/>
    <cellStyle name="Input 15 2 3 3 3" xfId="32922"/>
    <cellStyle name="Input 15 2 3 4" xfId="17227"/>
    <cellStyle name="Input 15 2 3 4 2" xfId="38414"/>
    <cellStyle name="Input 15 2 3 5" xfId="27534"/>
    <cellStyle name="Input 15 2 3_Table 2A-1_EFT (Annual)" xfId="6815"/>
    <cellStyle name="Input 15 2 4" xfId="2270"/>
    <cellStyle name="Input 15 2 4 2" xfId="5831"/>
    <cellStyle name="Input 15 2 4 2 2" xfId="14046"/>
    <cellStyle name="Input 15 2 4 2 2 2" xfId="26034"/>
    <cellStyle name="Input 15 2 4 2 2 2 2" xfId="47220"/>
    <cellStyle name="Input 15 2 4 2 2 3" xfId="36616"/>
    <cellStyle name="Input 15 2 4 2 3" xfId="20921"/>
    <cellStyle name="Input 15 2 4 2 3 2" xfId="42108"/>
    <cellStyle name="Input 15 2 4 2 4" xfId="31488"/>
    <cellStyle name="Input 15 2 4 2_Table 2A-1_EFT (Annual)" xfId="15004"/>
    <cellStyle name="Input 15 2 4 3" xfId="11390"/>
    <cellStyle name="Input 15 2 4 3 2" xfId="23488"/>
    <cellStyle name="Input 15 2 4 3 2 2" xfId="44674"/>
    <cellStyle name="Input 15 2 4 3 3" xfId="34070"/>
    <cellStyle name="Input 15 2 4 4" xfId="18375"/>
    <cellStyle name="Input 15 2 4 4 2" xfId="39562"/>
    <cellStyle name="Input 15 2 4 5" xfId="28745"/>
    <cellStyle name="Input 15 2 4_Table 2A-1_EFT (Annual)" xfId="6816"/>
    <cellStyle name="Input 15 2 5" xfId="4124"/>
    <cellStyle name="Input 15 2 5 2" xfId="12448"/>
    <cellStyle name="Input 15 2 5 2 2" xfId="24470"/>
    <cellStyle name="Input 15 2 5 2 2 2" xfId="45656"/>
    <cellStyle name="Input 15 2 5 2 3" xfId="35052"/>
    <cellStyle name="Input 15 2 5 3" xfId="19357"/>
    <cellStyle name="Input 15 2 5 3 2" xfId="40544"/>
    <cellStyle name="Input 15 2 5 4" xfId="29812"/>
    <cellStyle name="Input 15 2 5_Table 2A-1_EFT (Annual)" xfId="15005"/>
    <cellStyle name="Input 15 2 6" xfId="9787"/>
    <cellStyle name="Input 15 2 6 2" xfId="21924"/>
    <cellStyle name="Input 15 2 6 2 2" xfId="43110"/>
    <cellStyle name="Input 15 2 6 3" xfId="32506"/>
    <cellStyle name="Input 15 2 7" xfId="16811"/>
    <cellStyle name="Input 15 2 7 2" xfId="37998"/>
    <cellStyle name="Input 15 2 8" xfId="27069"/>
    <cellStyle name="Input 15 2_Table 2A-1_EFT (Annual)" xfId="3007"/>
    <cellStyle name="Input 15 3" xfId="392"/>
    <cellStyle name="Input 15 3 2" xfId="1375"/>
    <cellStyle name="Input 15 3 2 2" xfId="2645"/>
    <cellStyle name="Input 15 3 2 2 2" xfId="6206"/>
    <cellStyle name="Input 15 3 2 2 2 2" xfId="14400"/>
    <cellStyle name="Input 15 3 2 2 2 2 2" xfId="26372"/>
    <cellStyle name="Input 15 3 2 2 2 2 2 2" xfId="47558"/>
    <cellStyle name="Input 15 3 2 2 2 2 3" xfId="36954"/>
    <cellStyle name="Input 15 3 2 2 2 3" xfId="21259"/>
    <cellStyle name="Input 15 3 2 2 2 3 2" xfId="42446"/>
    <cellStyle name="Input 15 3 2 2 2 4" xfId="31862"/>
    <cellStyle name="Input 15 3 2 2 2_Table 2A-1_EFT (Annual)" xfId="15006"/>
    <cellStyle name="Input 15 3 2 2 3" xfId="11742"/>
    <cellStyle name="Input 15 3 2 2 3 2" xfId="23826"/>
    <cellStyle name="Input 15 3 2 2 3 2 2" xfId="45012"/>
    <cellStyle name="Input 15 3 2 2 3 3" xfId="34408"/>
    <cellStyle name="Input 15 3 2 2 4" xfId="18713"/>
    <cellStyle name="Input 15 3 2 2 4 2" xfId="39900"/>
    <cellStyle name="Input 15 3 2 2 5" xfId="29119"/>
    <cellStyle name="Input 15 3 2 2_Table 2A-1_EFT (Annual)" xfId="6818"/>
    <cellStyle name="Input 15 3 2 3" xfId="4936"/>
    <cellStyle name="Input 15 3 2 3 2" xfId="13196"/>
    <cellStyle name="Input 15 3 2 3 2 2" xfId="25202"/>
    <cellStyle name="Input 15 3 2 3 2 2 2" xfId="46388"/>
    <cellStyle name="Input 15 3 2 3 2 3" xfId="35784"/>
    <cellStyle name="Input 15 3 2 3 3" xfId="20089"/>
    <cellStyle name="Input 15 3 2 3 3 2" xfId="41276"/>
    <cellStyle name="Input 15 3 2 3 4" xfId="30593"/>
    <cellStyle name="Input 15 3 2 3_Table 2A-1_EFT (Annual)" xfId="15007"/>
    <cellStyle name="Input 15 3 2 4" xfId="10540"/>
    <cellStyle name="Input 15 3 2 4 2" xfId="22656"/>
    <cellStyle name="Input 15 3 2 4 2 2" xfId="43842"/>
    <cellStyle name="Input 15 3 2 4 3" xfId="33238"/>
    <cellStyle name="Input 15 3 2 5" xfId="17543"/>
    <cellStyle name="Input 15 3 2 5 2" xfId="38730"/>
    <cellStyle name="Input 15 3 2 6" xfId="27850"/>
    <cellStyle name="Input 15 3 2_Table 2A-1_EFT (Annual)" xfId="6817"/>
    <cellStyle name="Input 15 3 3" xfId="927"/>
    <cellStyle name="Input 15 3 3 2" xfId="4488"/>
    <cellStyle name="Input 15 3 3 2 2" xfId="12750"/>
    <cellStyle name="Input 15 3 3 2 2 2" xfId="24760"/>
    <cellStyle name="Input 15 3 3 2 2 2 2" xfId="45946"/>
    <cellStyle name="Input 15 3 3 2 2 3" xfId="35342"/>
    <cellStyle name="Input 15 3 3 2 3" xfId="19647"/>
    <cellStyle name="Input 15 3 3 2 3 2" xfId="40834"/>
    <cellStyle name="Input 15 3 3 2 4" xfId="30145"/>
    <cellStyle name="Input 15 3 3 2_Table 2A-1_EFT (Annual)" xfId="15008"/>
    <cellStyle name="Input 15 3 3 3" xfId="10097"/>
    <cellStyle name="Input 15 3 3 3 2" xfId="22214"/>
    <cellStyle name="Input 15 3 3 3 2 2" xfId="43400"/>
    <cellStyle name="Input 15 3 3 3 3" xfId="32796"/>
    <cellStyle name="Input 15 3 3 4" xfId="17101"/>
    <cellStyle name="Input 15 3 3 4 2" xfId="38288"/>
    <cellStyle name="Input 15 3 3 5" xfId="27402"/>
    <cellStyle name="Input 15 3 3_Table 2A-1_EFT (Annual)" xfId="6819"/>
    <cellStyle name="Input 15 3 4" xfId="2114"/>
    <cellStyle name="Input 15 3 4 2" xfId="5675"/>
    <cellStyle name="Input 15 3 4 2 2" xfId="13890"/>
    <cellStyle name="Input 15 3 4 2 2 2" xfId="25878"/>
    <cellStyle name="Input 15 3 4 2 2 2 2" xfId="47064"/>
    <cellStyle name="Input 15 3 4 2 2 3" xfId="36460"/>
    <cellStyle name="Input 15 3 4 2 3" xfId="20765"/>
    <cellStyle name="Input 15 3 4 2 3 2" xfId="41952"/>
    <cellStyle name="Input 15 3 4 2 4" xfId="31332"/>
    <cellStyle name="Input 15 3 4 2_Table 2A-1_EFT (Annual)" xfId="15009"/>
    <cellStyle name="Input 15 3 4 3" xfId="11234"/>
    <cellStyle name="Input 15 3 4 3 2" xfId="23332"/>
    <cellStyle name="Input 15 3 4 3 2 2" xfId="44518"/>
    <cellStyle name="Input 15 3 4 3 3" xfId="33914"/>
    <cellStyle name="Input 15 3 4 4" xfId="18219"/>
    <cellStyle name="Input 15 3 4 4 2" xfId="39406"/>
    <cellStyle name="Input 15 3 4 5" xfId="28589"/>
    <cellStyle name="Input 15 3 4_Table 2A-1_EFT (Annual)" xfId="6820"/>
    <cellStyle name="Input 15 3 5" xfId="3962"/>
    <cellStyle name="Input 15 3 5 2" xfId="12290"/>
    <cellStyle name="Input 15 3 5 2 2" xfId="24314"/>
    <cellStyle name="Input 15 3 5 2 2 2" xfId="45500"/>
    <cellStyle name="Input 15 3 5 2 3" xfId="34896"/>
    <cellStyle name="Input 15 3 5 3" xfId="19201"/>
    <cellStyle name="Input 15 3 5 3 2" xfId="40388"/>
    <cellStyle name="Input 15 3 5 4" xfId="29650"/>
    <cellStyle name="Input 15 3 5_Table 2A-1_EFT (Annual)" xfId="15010"/>
    <cellStyle name="Input 15 3 6" xfId="9627"/>
    <cellStyle name="Input 15 3 6 2" xfId="21768"/>
    <cellStyle name="Input 15 3 6 2 2" xfId="42954"/>
    <cellStyle name="Input 15 3 6 3" xfId="32350"/>
    <cellStyle name="Input 15 3 7" xfId="16655"/>
    <cellStyle name="Input 15 3 7 2" xfId="37842"/>
    <cellStyle name="Input 15 3 8" xfId="26907"/>
    <cellStyle name="Input 15 3_Table 2A-1_EFT (Annual)" xfId="3008"/>
    <cellStyle name="Input 15 4" xfId="1209"/>
    <cellStyle name="Input 15 4 2" xfId="2479"/>
    <cellStyle name="Input 15 4 2 2" xfId="6040"/>
    <cellStyle name="Input 15 4 2 2 2" xfId="14234"/>
    <cellStyle name="Input 15 4 2 2 2 2" xfId="26206"/>
    <cellStyle name="Input 15 4 2 2 2 2 2" xfId="47392"/>
    <cellStyle name="Input 15 4 2 2 2 3" xfId="36788"/>
    <cellStyle name="Input 15 4 2 2 3" xfId="21093"/>
    <cellStyle name="Input 15 4 2 2 3 2" xfId="42280"/>
    <cellStyle name="Input 15 4 2 2 4" xfId="31696"/>
    <cellStyle name="Input 15 4 2 2_Table 2A-1_EFT (Annual)" xfId="15011"/>
    <cellStyle name="Input 15 4 2 3" xfId="11576"/>
    <cellStyle name="Input 15 4 2 3 2" xfId="23660"/>
    <cellStyle name="Input 15 4 2 3 2 2" xfId="44846"/>
    <cellStyle name="Input 15 4 2 3 3" xfId="34242"/>
    <cellStyle name="Input 15 4 2 4" xfId="18547"/>
    <cellStyle name="Input 15 4 2 4 2" xfId="39734"/>
    <cellStyle name="Input 15 4 2 5" xfId="28953"/>
    <cellStyle name="Input 15 4 2_Table 2A-1_EFT (Annual)" xfId="6822"/>
    <cellStyle name="Input 15 4 3" xfId="4770"/>
    <cellStyle name="Input 15 4 3 2" xfId="13030"/>
    <cellStyle name="Input 15 4 3 2 2" xfId="25036"/>
    <cellStyle name="Input 15 4 3 2 2 2" xfId="46222"/>
    <cellStyle name="Input 15 4 3 2 3" xfId="35618"/>
    <cellStyle name="Input 15 4 3 3" xfId="19923"/>
    <cellStyle name="Input 15 4 3 3 2" xfId="41110"/>
    <cellStyle name="Input 15 4 3 4" xfId="30427"/>
    <cellStyle name="Input 15 4 3_Table 2A-1_EFT (Annual)" xfId="15012"/>
    <cellStyle name="Input 15 4 4" xfId="10374"/>
    <cellStyle name="Input 15 4 4 2" xfId="22490"/>
    <cellStyle name="Input 15 4 4 2 2" xfId="43676"/>
    <cellStyle name="Input 15 4 4 3" xfId="33072"/>
    <cellStyle name="Input 15 4 5" xfId="17377"/>
    <cellStyle name="Input 15 4 5 2" xfId="38564"/>
    <cellStyle name="Input 15 4 6" xfId="27684"/>
    <cellStyle name="Input 15 4_Table 2A-1_EFT (Annual)" xfId="6821"/>
    <cellStyle name="Input 15 5" xfId="768"/>
    <cellStyle name="Input 15 5 2" xfId="4329"/>
    <cellStyle name="Input 15 5 2 2" xfId="12609"/>
    <cellStyle name="Input 15 5 2 2 2" xfId="24626"/>
    <cellStyle name="Input 15 5 2 2 2 2" xfId="45812"/>
    <cellStyle name="Input 15 5 2 2 3" xfId="35208"/>
    <cellStyle name="Input 15 5 2 3" xfId="19513"/>
    <cellStyle name="Input 15 5 2 3 2" xfId="40700"/>
    <cellStyle name="Input 15 5 2 4" xfId="29986"/>
    <cellStyle name="Input 15 5 2_Table 2A-1_EFT (Annual)" xfId="15013"/>
    <cellStyle name="Input 15 5 3" xfId="9957"/>
    <cellStyle name="Input 15 5 3 2" xfId="22080"/>
    <cellStyle name="Input 15 5 3 2 2" xfId="43266"/>
    <cellStyle name="Input 15 5 3 3" xfId="32662"/>
    <cellStyle name="Input 15 5 4" xfId="16967"/>
    <cellStyle name="Input 15 5 4 2" xfId="38154"/>
    <cellStyle name="Input 15 5 5" xfId="27243"/>
    <cellStyle name="Input 15 5_Table 2A-1_EFT (Annual)" xfId="6823"/>
    <cellStyle name="Input 15 6" xfId="1948"/>
    <cellStyle name="Input 15 6 2" xfId="5509"/>
    <cellStyle name="Input 15 6 2 2" xfId="13724"/>
    <cellStyle name="Input 15 6 2 2 2" xfId="25712"/>
    <cellStyle name="Input 15 6 2 2 2 2" xfId="46898"/>
    <cellStyle name="Input 15 6 2 2 3" xfId="36294"/>
    <cellStyle name="Input 15 6 2 3" xfId="20599"/>
    <cellStyle name="Input 15 6 2 3 2" xfId="41786"/>
    <cellStyle name="Input 15 6 2 4" xfId="31166"/>
    <cellStyle name="Input 15 6 2_Table 2A-1_EFT (Annual)" xfId="15014"/>
    <cellStyle name="Input 15 6 3" xfId="11068"/>
    <cellStyle name="Input 15 6 3 2" xfId="23166"/>
    <cellStyle name="Input 15 6 3 2 2" xfId="44352"/>
    <cellStyle name="Input 15 6 3 3" xfId="33748"/>
    <cellStyle name="Input 15 6 4" xfId="18053"/>
    <cellStyle name="Input 15 6 4 2" xfId="39240"/>
    <cellStyle name="Input 15 6 5" xfId="28423"/>
    <cellStyle name="Input 15 6_Table 2A-1_EFT (Annual)" xfId="6824"/>
    <cellStyle name="Input 15 7" xfId="3750"/>
    <cellStyle name="Input 15 7 2" xfId="12118"/>
    <cellStyle name="Input 15 7 2 2" xfId="24148"/>
    <cellStyle name="Input 15 7 2 2 2" xfId="45334"/>
    <cellStyle name="Input 15 7 2 3" xfId="34730"/>
    <cellStyle name="Input 15 7 3" xfId="19035"/>
    <cellStyle name="Input 15 7 3 2" xfId="40222"/>
    <cellStyle name="Input 15 7 4" xfId="29459"/>
    <cellStyle name="Input 15 7_Table 2A-1_EFT (Annual)" xfId="15015"/>
    <cellStyle name="Input 15 8" xfId="9437"/>
    <cellStyle name="Input 15 8 2" xfId="21602"/>
    <cellStyle name="Input 15 8 2 2" xfId="42788"/>
    <cellStyle name="Input 15 8 3" xfId="32184"/>
    <cellStyle name="Input 15 9" xfId="16489"/>
    <cellStyle name="Input 15 9 2" xfId="37676"/>
    <cellStyle name="Input 15_Table 2A-1_EFT (Annual)" xfId="3006"/>
    <cellStyle name="Input 16" xfId="149"/>
    <cellStyle name="Input 16 10" xfId="26704"/>
    <cellStyle name="Input 16 2" xfId="542"/>
    <cellStyle name="Input 16 2 2" xfId="1519"/>
    <cellStyle name="Input 16 2 2 2" xfId="2789"/>
    <cellStyle name="Input 16 2 2 2 2" xfId="6350"/>
    <cellStyle name="Input 16 2 2 2 2 2" xfId="14544"/>
    <cellStyle name="Input 16 2 2 2 2 2 2" xfId="26516"/>
    <cellStyle name="Input 16 2 2 2 2 2 2 2" xfId="47702"/>
    <cellStyle name="Input 16 2 2 2 2 2 3" xfId="37098"/>
    <cellStyle name="Input 16 2 2 2 2 3" xfId="21403"/>
    <cellStyle name="Input 16 2 2 2 2 3 2" xfId="42590"/>
    <cellStyle name="Input 16 2 2 2 2 4" xfId="32006"/>
    <cellStyle name="Input 16 2 2 2 2_Table 2A-1_EFT (Annual)" xfId="15016"/>
    <cellStyle name="Input 16 2 2 2 3" xfId="11886"/>
    <cellStyle name="Input 16 2 2 2 3 2" xfId="23970"/>
    <cellStyle name="Input 16 2 2 2 3 2 2" xfId="45156"/>
    <cellStyle name="Input 16 2 2 2 3 3" xfId="34552"/>
    <cellStyle name="Input 16 2 2 2 4" xfId="18857"/>
    <cellStyle name="Input 16 2 2 2 4 2" xfId="40044"/>
    <cellStyle name="Input 16 2 2 2 5" xfId="29263"/>
    <cellStyle name="Input 16 2 2 2_Table 2A-1_EFT (Annual)" xfId="6826"/>
    <cellStyle name="Input 16 2 2 3" xfId="5080"/>
    <cellStyle name="Input 16 2 2 3 2" xfId="13340"/>
    <cellStyle name="Input 16 2 2 3 2 2" xfId="25346"/>
    <cellStyle name="Input 16 2 2 3 2 2 2" xfId="46532"/>
    <cellStyle name="Input 16 2 2 3 2 3" xfId="35928"/>
    <cellStyle name="Input 16 2 2 3 3" xfId="20233"/>
    <cellStyle name="Input 16 2 2 3 3 2" xfId="41420"/>
    <cellStyle name="Input 16 2 2 3 4" xfId="30737"/>
    <cellStyle name="Input 16 2 2 3_Table 2A-1_EFT (Annual)" xfId="15017"/>
    <cellStyle name="Input 16 2 2 4" xfId="10684"/>
    <cellStyle name="Input 16 2 2 4 2" xfId="22800"/>
    <cellStyle name="Input 16 2 2 4 2 2" xfId="43986"/>
    <cellStyle name="Input 16 2 2 4 3" xfId="33382"/>
    <cellStyle name="Input 16 2 2 5" xfId="17687"/>
    <cellStyle name="Input 16 2 2 5 2" xfId="38874"/>
    <cellStyle name="Input 16 2 2 6" xfId="27994"/>
    <cellStyle name="Input 16 2 2_Table 2A-1_EFT (Annual)" xfId="6825"/>
    <cellStyle name="Input 16 2 3" xfId="1050"/>
    <cellStyle name="Input 16 2 3 2" xfId="4611"/>
    <cellStyle name="Input 16 2 3 2 2" xfId="12871"/>
    <cellStyle name="Input 16 2 3 2 2 2" xfId="24877"/>
    <cellStyle name="Input 16 2 3 2 2 2 2" xfId="46063"/>
    <cellStyle name="Input 16 2 3 2 2 3" xfId="35459"/>
    <cellStyle name="Input 16 2 3 2 3" xfId="19764"/>
    <cellStyle name="Input 16 2 3 2 3 2" xfId="40951"/>
    <cellStyle name="Input 16 2 3 2 4" xfId="30268"/>
    <cellStyle name="Input 16 2 3 2_Table 2A-1_EFT (Annual)" xfId="15018"/>
    <cellStyle name="Input 16 2 3 3" xfId="10215"/>
    <cellStyle name="Input 16 2 3 3 2" xfId="22331"/>
    <cellStyle name="Input 16 2 3 3 2 2" xfId="43517"/>
    <cellStyle name="Input 16 2 3 3 3" xfId="32913"/>
    <cellStyle name="Input 16 2 3 4" xfId="17218"/>
    <cellStyle name="Input 16 2 3 4 2" xfId="38405"/>
    <cellStyle name="Input 16 2 3 5" xfId="27525"/>
    <cellStyle name="Input 16 2 3_Table 2A-1_EFT (Annual)" xfId="6827"/>
    <cellStyle name="Input 16 2 4" xfId="2258"/>
    <cellStyle name="Input 16 2 4 2" xfId="5819"/>
    <cellStyle name="Input 16 2 4 2 2" xfId="14034"/>
    <cellStyle name="Input 16 2 4 2 2 2" xfId="26022"/>
    <cellStyle name="Input 16 2 4 2 2 2 2" xfId="47208"/>
    <cellStyle name="Input 16 2 4 2 2 3" xfId="36604"/>
    <cellStyle name="Input 16 2 4 2 3" xfId="20909"/>
    <cellStyle name="Input 16 2 4 2 3 2" xfId="42096"/>
    <cellStyle name="Input 16 2 4 2 4" xfId="31476"/>
    <cellStyle name="Input 16 2 4 2_Table 2A-1_EFT (Annual)" xfId="15019"/>
    <cellStyle name="Input 16 2 4 3" xfId="11378"/>
    <cellStyle name="Input 16 2 4 3 2" xfId="23476"/>
    <cellStyle name="Input 16 2 4 3 2 2" xfId="44662"/>
    <cellStyle name="Input 16 2 4 3 3" xfId="34058"/>
    <cellStyle name="Input 16 2 4 4" xfId="18363"/>
    <cellStyle name="Input 16 2 4 4 2" xfId="39550"/>
    <cellStyle name="Input 16 2 4 5" xfId="28733"/>
    <cellStyle name="Input 16 2 4_Table 2A-1_EFT (Annual)" xfId="6828"/>
    <cellStyle name="Input 16 2 5" xfId="4112"/>
    <cellStyle name="Input 16 2 5 2" xfId="12436"/>
    <cellStyle name="Input 16 2 5 2 2" xfId="24458"/>
    <cellStyle name="Input 16 2 5 2 2 2" xfId="45644"/>
    <cellStyle name="Input 16 2 5 2 3" xfId="35040"/>
    <cellStyle name="Input 16 2 5 3" xfId="19345"/>
    <cellStyle name="Input 16 2 5 3 2" xfId="40532"/>
    <cellStyle name="Input 16 2 5 4" xfId="29800"/>
    <cellStyle name="Input 16 2 5_Table 2A-1_EFT (Annual)" xfId="15020"/>
    <cellStyle name="Input 16 2 6" xfId="9775"/>
    <cellStyle name="Input 16 2 6 2" xfId="21912"/>
    <cellStyle name="Input 16 2 6 2 2" xfId="43098"/>
    <cellStyle name="Input 16 2 6 3" xfId="32494"/>
    <cellStyle name="Input 16 2 7" xfId="16799"/>
    <cellStyle name="Input 16 2 7 2" xfId="37986"/>
    <cellStyle name="Input 16 2 8" xfId="27057"/>
    <cellStyle name="Input 16 2_Table 2A-1_EFT (Annual)" xfId="3010"/>
    <cellStyle name="Input 16 3" xfId="380"/>
    <cellStyle name="Input 16 3 2" xfId="1363"/>
    <cellStyle name="Input 16 3 2 2" xfId="2633"/>
    <cellStyle name="Input 16 3 2 2 2" xfId="6194"/>
    <cellStyle name="Input 16 3 2 2 2 2" xfId="14388"/>
    <cellStyle name="Input 16 3 2 2 2 2 2" xfId="26360"/>
    <cellStyle name="Input 16 3 2 2 2 2 2 2" xfId="47546"/>
    <cellStyle name="Input 16 3 2 2 2 2 3" xfId="36942"/>
    <cellStyle name="Input 16 3 2 2 2 3" xfId="21247"/>
    <cellStyle name="Input 16 3 2 2 2 3 2" xfId="42434"/>
    <cellStyle name="Input 16 3 2 2 2 4" xfId="31850"/>
    <cellStyle name="Input 16 3 2 2 2_Table 2A-1_EFT (Annual)" xfId="15021"/>
    <cellStyle name="Input 16 3 2 2 3" xfId="11730"/>
    <cellStyle name="Input 16 3 2 2 3 2" xfId="23814"/>
    <cellStyle name="Input 16 3 2 2 3 2 2" xfId="45000"/>
    <cellStyle name="Input 16 3 2 2 3 3" xfId="34396"/>
    <cellStyle name="Input 16 3 2 2 4" xfId="18701"/>
    <cellStyle name="Input 16 3 2 2 4 2" xfId="39888"/>
    <cellStyle name="Input 16 3 2 2 5" xfId="29107"/>
    <cellStyle name="Input 16 3 2 2_Table 2A-1_EFT (Annual)" xfId="6830"/>
    <cellStyle name="Input 16 3 2 3" xfId="4924"/>
    <cellStyle name="Input 16 3 2 3 2" xfId="13184"/>
    <cellStyle name="Input 16 3 2 3 2 2" xfId="25190"/>
    <cellStyle name="Input 16 3 2 3 2 2 2" xfId="46376"/>
    <cellStyle name="Input 16 3 2 3 2 3" xfId="35772"/>
    <cellStyle name="Input 16 3 2 3 3" xfId="20077"/>
    <cellStyle name="Input 16 3 2 3 3 2" xfId="41264"/>
    <cellStyle name="Input 16 3 2 3 4" xfId="30581"/>
    <cellStyle name="Input 16 3 2 3_Table 2A-1_EFT (Annual)" xfId="15022"/>
    <cellStyle name="Input 16 3 2 4" xfId="10528"/>
    <cellStyle name="Input 16 3 2 4 2" xfId="22644"/>
    <cellStyle name="Input 16 3 2 4 2 2" xfId="43830"/>
    <cellStyle name="Input 16 3 2 4 3" xfId="33226"/>
    <cellStyle name="Input 16 3 2 5" xfId="17531"/>
    <cellStyle name="Input 16 3 2 5 2" xfId="38718"/>
    <cellStyle name="Input 16 3 2 6" xfId="27838"/>
    <cellStyle name="Input 16 3 2_Table 2A-1_EFT (Annual)" xfId="6829"/>
    <cellStyle name="Input 16 3 3" xfId="918"/>
    <cellStyle name="Input 16 3 3 2" xfId="4479"/>
    <cellStyle name="Input 16 3 3 2 2" xfId="12741"/>
    <cellStyle name="Input 16 3 3 2 2 2" xfId="24751"/>
    <cellStyle name="Input 16 3 3 2 2 2 2" xfId="45937"/>
    <cellStyle name="Input 16 3 3 2 2 3" xfId="35333"/>
    <cellStyle name="Input 16 3 3 2 3" xfId="19638"/>
    <cellStyle name="Input 16 3 3 2 3 2" xfId="40825"/>
    <cellStyle name="Input 16 3 3 2 4" xfId="30136"/>
    <cellStyle name="Input 16 3 3 2_Table 2A-1_EFT (Annual)" xfId="15023"/>
    <cellStyle name="Input 16 3 3 3" xfId="10088"/>
    <cellStyle name="Input 16 3 3 3 2" xfId="22205"/>
    <cellStyle name="Input 16 3 3 3 2 2" xfId="43391"/>
    <cellStyle name="Input 16 3 3 3 3" xfId="32787"/>
    <cellStyle name="Input 16 3 3 4" xfId="17092"/>
    <cellStyle name="Input 16 3 3 4 2" xfId="38279"/>
    <cellStyle name="Input 16 3 3 5" xfId="27393"/>
    <cellStyle name="Input 16 3 3_Table 2A-1_EFT (Annual)" xfId="6831"/>
    <cellStyle name="Input 16 3 4" xfId="2102"/>
    <cellStyle name="Input 16 3 4 2" xfId="5663"/>
    <cellStyle name="Input 16 3 4 2 2" xfId="13878"/>
    <cellStyle name="Input 16 3 4 2 2 2" xfId="25866"/>
    <cellStyle name="Input 16 3 4 2 2 2 2" xfId="47052"/>
    <cellStyle name="Input 16 3 4 2 2 3" xfId="36448"/>
    <cellStyle name="Input 16 3 4 2 3" xfId="20753"/>
    <cellStyle name="Input 16 3 4 2 3 2" xfId="41940"/>
    <cellStyle name="Input 16 3 4 2 4" xfId="31320"/>
    <cellStyle name="Input 16 3 4 2_Table 2A-1_EFT (Annual)" xfId="15024"/>
    <cellStyle name="Input 16 3 4 3" xfId="11222"/>
    <cellStyle name="Input 16 3 4 3 2" xfId="23320"/>
    <cellStyle name="Input 16 3 4 3 2 2" xfId="44506"/>
    <cellStyle name="Input 16 3 4 3 3" xfId="33902"/>
    <cellStyle name="Input 16 3 4 4" xfId="18207"/>
    <cellStyle name="Input 16 3 4 4 2" xfId="39394"/>
    <cellStyle name="Input 16 3 4 5" xfId="28577"/>
    <cellStyle name="Input 16 3 4_Table 2A-1_EFT (Annual)" xfId="6832"/>
    <cellStyle name="Input 16 3 5" xfId="3950"/>
    <cellStyle name="Input 16 3 5 2" xfId="12278"/>
    <cellStyle name="Input 16 3 5 2 2" xfId="24302"/>
    <cellStyle name="Input 16 3 5 2 2 2" xfId="45488"/>
    <cellStyle name="Input 16 3 5 2 3" xfId="34884"/>
    <cellStyle name="Input 16 3 5 3" xfId="19189"/>
    <cellStyle name="Input 16 3 5 3 2" xfId="40376"/>
    <cellStyle name="Input 16 3 5 4" xfId="29638"/>
    <cellStyle name="Input 16 3 5_Table 2A-1_EFT (Annual)" xfId="15025"/>
    <cellStyle name="Input 16 3 6" xfId="9615"/>
    <cellStyle name="Input 16 3 6 2" xfId="21756"/>
    <cellStyle name="Input 16 3 6 2 2" xfId="42942"/>
    <cellStyle name="Input 16 3 6 3" xfId="32338"/>
    <cellStyle name="Input 16 3 7" xfId="16643"/>
    <cellStyle name="Input 16 3 7 2" xfId="37830"/>
    <cellStyle name="Input 16 3 8" xfId="26895"/>
    <cellStyle name="Input 16 3_Table 2A-1_EFT (Annual)" xfId="3011"/>
    <cellStyle name="Input 16 4" xfId="1197"/>
    <cellStyle name="Input 16 4 2" xfId="2467"/>
    <cellStyle name="Input 16 4 2 2" xfId="6028"/>
    <cellStyle name="Input 16 4 2 2 2" xfId="14222"/>
    <cellStyle name="Input 16 4 2 2 2 2" xfId="26194"/>
    <cellStyle name="Input 16 4 2 2 2 2 2" xfId="47380"/>
    <cellStyle name="Input 16 4 2 2 2 3" xfId="36776"/>
    <cellStyle name="Input 16 4 2 2 3" xfId="21081"/>
    <cellStyle name="Input 16 4 2 2 3 2" xfId="42268"/>
    <cellStyle name="Input 16 4 2 2 4" xfId="31684"/>
    <cellStyle name="Input 16 4 2 2_Table 2A-1_EFT (Annual)" xfId="15026"/>
    <cellStyle name="Input 16 4 2 3" xfId="11564"/>
    <cellStyle name="Input 16 4 2 3 2" xfId="23648"/>
    <cellStyle name="Input 16 4 2 3 2 2" xfId="44834"/>
    <cellStyle name="Input 16 4 2 3 3" xfId="34230"/>
    <cellStyle name="Input 16 4 2 4" xfId="18535"/>
    <cellStyle name="Input 16 4 2 4 2" xfId="39722"/>
    <cellStyle name="Input 16 4 2 5" xfId="28941"/>
    <cellStyle name="Input 16 4 2_Table 2A-1_EFT (Annual)" xfId="6834"/>
    <cellStyle name="Input 16 4 3" xfId="4758"/>
    <cellStyle name="Input 16 4 3 2" xfId="13018"/>
    <cellStyle name="Input 16 4 3 2 2" xfId="25024"/>
    <cellStyle name="Input 16 4 3 2 2 2" xfId="46210"/>
    <cellStyle name="Input 16 4 3 2 3" xfId="35606"/>
    <cellStyle name="Input 16 4 3 3" xfId="19911"/>
    <cellStyle name="Input 16 4 3 3 2" xfId="41098"/>
    <cellStyle name="Input 16 4 3 4" xfId="30415"/>
    <cellStyle name="Input 16 4 3_Table 2A-1_EFT (Annual)" xfId="15027"/>
    <cellStyle name="Input 16 4 4" xfId="10362"/>
    <cellStyle name="Input 16 4 4 2" xfId="22478"/>
    <cellStyle name="Input 16 4 4 2 2" xfId="43664"/>
    <cellStyle name="Input 16 4 4 3" xfId="33060"/>
    <cellStyle name="Input 16 4 5" xfId="17365"/>
    <cellStyle name="Input 16 4 5 2" xfId="38552"/>
    <cellStyle name="Input 16 4 6" xfId="27672"/>
    <cellStyle name="Input 16 4_Table 2A-1_EFT (Annual)" xfId="6833"/>
    <cellStyle name="Input 16 5" xfId="759"/>
    <cellStyle name="Input 16 5 2" xfId="4320"/>
    <cellStyle name="Input 16 5 2 2" xfId="12600"/>
    <cellStyle name="Input 16 5 2 2 2" xfId="24617"/>
    <cellStyle name="Input 16 5 2 2 2 2" xfId="45803"/>
    <cellStyle name="Input 16 5 2 2 3" xfId="35199"/>
    <cellStyle name="Input 16 5 2 3" xfId="19504"/>
    <cellStyle name="Input 16 5 2 3 2" xfId="40691"/>
    <cellStyle name="Input 16 5 2 4" xfId="29977"/>
    <cellStyle name="Input 16 5 2_Table 2A-1_EFT (Annual)" xfId="15028"/>
    <cellStyle name="Input 16 5 3" xfId="9948"/>
    <cellStyle name="Input 16 5 3 2" xfId="22071"/>
    <cellStyle name="Input 16 5 3 2 2" xfId="43257"/>
    <cellStyle name="Input 16 5 3 3" xfId="32653"/>
    <cellStyle name="Input 16 5 4" xfId="16958"/>
    <cellStyle name="Input 16 5 4 2" xfId="38145"/>
    <cellStyle name="Input 16 5 5" xfId="27234"/>
    <cellStyle name="Input 16 5_Table 2A-1_EFT (Annual)" xfId="6835"/>
    <cellStyle name="Input 16 6" xfId="1782"/>
    <cellStyle name="Input 16 6 2" xfId="5343"/>
    <cellStyle name="Input 16 6 2 2" xfId="13558"/>
    <cellStyle name="Input 16 6 2 2 2" xfId="25546"/>
    <cellStyle name="Input 16 6 2 2 2 2" xfId="46732"/>
    <cellStyle name="Input 16 6 2 2 3" xfId="36128"/>
    <cellStyle name="Input 16 6 2 3" xfId="20433"/>
    <cellStyle name="Input 16 6 2 3 2" xfId="41620"/>
    <cellStyle name="Input 16 6 2 4" xfId="31000"/>
    <cellStyle name="Input 16 6 2_Table 2A-1_EFT (Annual)" xfId="15029"/>
    <cellStyle name="Input 16 6 3" xfId="10902"/>
    <cellStyle name="Input 16 6 3 2" xfId="23000"/>
    <cellStyle name="Input 16 6 3 2 2" xfId="44186"/>
    <cellStyle name="Input 16 6 3 3" xfId="33582"/>
    <cellStyle name="Input 16 6 4" xfId="17887"/>
    <cellStyle name="Input 16 6 4 2" xfId="39074"/>
    <cellStyle name="Input 16 6 5" xfId="28257"/>
    <cellStyle name="Input 16 6_Table 2A-1_EFT (Annual)" xfId="6836"/>
    <cellStyle name="Input 16 7" xfId="3738"/>
    <cellStyle name="Input 16 7 2" xfId="12106"/>
    <cellStyle name="Input 16 7 2 2" xfId="24136"/>
    <cellStyle name="Input 16 7 2 2 2" xfId="45322"/>
    <cellStyle name="Input 16 7 2 3" xfId="34718"/>
    <cellStyle name="Input 16 7 3" xfId="19023"/>
    <cellStyle name="Input 16 7 3 2" xfId="40210"/>
    <cellStyle name="Input 16 7 4" xfId="29447"/>
    <cellStyle name="Input 16 7_Table 2A-1_EFT (Annual)" xfId="15030"/>
    <cellStyle name="Input 16 8" xfId="9425"/>
    <cellStyle name="Input 16 8 2" xfId="21590"/>
    <cellStyle name="Input 16 8 2 2" xfId="42776"/>
    <cellStyle name="Input 16 8 3" xfId="32172"/>
    <cellStyle name="Input 16 9" xfId="16477"/>
    <cellStyle name="Input 16 9 2" xfId="37664"/>
    <cellStyle name="Input 16_Table 2A-1_EFT (Annual)" xfId="3009"/>
    <cellStyle name="Input 17" xfId="139"/>
    <cellStyle name="Input 17 10" xfId="26694"/>
    <cellStyle name="Input 17 2" xfId="532"/>
    <cellStyle name="Input 17 2 2" xfId="1509"/>
    <cellStyle name="Input 17 2 2 2" xfId="2779"/>
    <cellStyle name="Input 17 2 2 2 2" xfId="6340"/>
    <cellStyle name="Input 17 2 2 2 2 2" xfId="14534"/>
    <cellStyle name="Input 17 2 2 2 2 2 2" xfId="26506"/>
    <cellStyle name="Input 17 2 2 2 2 2 2 2" xfId="47692"/>
    <cellStyle name="Input 17 2 2 2 2 2 3" xfId="37088"/>
    <cellStyle name="Input 17 2 2 2 2 3" xfId="21393"/>
    <cellStyle name="Input 17 2 2 2 2 3 2" xfId="42580"/>
    <cellStyle name="Input 17 2 2 2 2 4" xfId="31996"/>
    <cellStyle name="Input 17 2 2 2 2_Table 2A-1_EFT (Annual)" xfId="15031"/>
    <cellStyle name="Input 17 2 2 2 3" xfId="11876"/>
    <cellStyle name="Input 17 2 2 2 3 2" xfId="23960"/>
    <cellStyle name="Input 17 2 2 2 3 2 2" xfId="45146"/>
    <cellStyle name="Input 17 2 2 2 3 3" xfId="34542"/>
    <cellStyle name="Input 17 2 2 2 4" xfId="18847"/>
    <cellStyle name="Input 17 2 2 2 4 2" xfId="40034"/>
    <cellStyle name="Input 17 2 2 2 5" xfId="29253"/>
    <cellStyle name="Input 17 2 2 2_Table 2A-1_EFT (Annual)" xfId="6838"/>
    <cellStyle name="Input 17 2 2 3" xfId="5070"/>
    <cellStyle name="Input 17 2 2 3 2" xfId="13330"/>
    <cellStyle name="Input 17 2 2 3 2 2" xfId="25336"/>
    <cellStyle name="Input 17 2 2 3 2 2 2" xfId="46522"/>
    <cellStyle name="Input 17 2 2 3 2 3" xfId="35918"/>
    <cellStyle name="Input 17 2 2 3 3" xfId="20223"/>
    <cellStyle name="Input 17 2 2 3 3 2" xfId="41410"/>
    <cellStyle name="Input 17 2 2 3 4" xfId="30727"/>
    <cellStyle name="Input 17 2 2 3_Table 2A-1_EFT (Annual)" xfId="15032"/>
    <cellStyle name="Input 17 2 2 4" xfId="10674"/>
    <cellStyle name="Input 17 2 2 4 2" xfId="22790"/>
    <cellStyle name="Input 17 2 2 4 2 2" xfId="43976"/>
    <cellStyle name="Input 17 2 2 4 3" xfId="33372"/>
    <cellStyle name="Input 17 2 2 5" xfId="17677"/>
    <cellStyle name="Input 17 2 2 5 2" xfId="38864"/>
    <cellStyle name="Input 17 2 2 6" xfId="27984"/>
    <cellStyle name="Input 17 2 2_Table 2A-1_EFT (Annual)" xfId="6837"/>
    <cellStyle name="Input 17 2 3" xfId="1041"/>
    <cellStyle name="Input 17 2 3 2" xfId="4602"/>
    <cellStyle name="Input 17 2 3 2 2" xfId="12862"/>
    <cellStyle name="Input 17 2 3 2 2 2" xfId="24868"/>
    <cellStyle name="Input 17 2 3 2 2 2 2" xfId="46054"/>
    <cellStyle name="Input 17 2 3 2 2 3" xfId="35450"/>
    <cellStyle name="Input 17 2 3 2 3" xfId="19755"/>
    <cellStyle name="Input 17 2 3 2 3 2" xfId="40942"/>
    <cellStyle name="Input 17 2 3 2 4" xfId="30259"/>
    <cellStyle name="Input 17 2 3 2_Table 2A-1_EFT (Annual)" xfId="15033"/>
    <cellStyle name="Input 17 2 3 3" xfId="10206"/>
    <cellStyle name="Input 17 2 3 3 2" xfId="22322"/>
    <cellStyle name="Input 17 2 3 3 2 2" xfId="43508"/>
    <cellStyle name="Input 17 2 3 3 3" xfId="32904"/>
    <cellStyle name="Input 17 2 3 4" xfId="17209"/>
    <cellStyle name="Input 17 2 3 4 2" xfId="38396"/>
    <cellStyle name="Input 17 2 3 5" xfId="27516"/>
    <cellStyle name="Input 17 2 3_Table 2A-1_EFT (Annual)" xfId="6839"/>
    <cellStyle name="Input 17 2 4" xfId="2248"/>
    <cellStyle name="Input 17 2 4 2" xfId="5809"/>
    <cellStyle name="Input 17 2 4 2 2" xfId="14024"/>
    <cellStyle name="Input 17 2 4 2 2 2" xfId="26012"/>
    <cellStyle name="Input 17 2 4 2 2 2 2" xfId="47198"/>
    <cellStyle name="Input 17 2 4 2 2 3" xfId="36594"/>
    <cellStyle name="Input 17 2 4 2 3" xfId="20899"/>
    <cellStyle name="Input 17 2 4 2 3 2" xfId="42086"/>
    <cellStyle name="Input 17 2 4 2 4" xfId="31466"/>
    <cellStyle name="Input 17 2 4 2_Table 2A-1_EFT (Annual)" xfId="15034"/>
    <cellStyle name="Input 17 2 4 3" xfId="11368"/>
    <cellStyle name="Input 17 2 4 3 2" xfId="23466"/>
    <cellStyle name="Input 17 2 4 3 2 2" xfId="44652"/>
    <cellStyle name="Input 17 2 4 3 3" xfId="34048"/>
    <cellStyle name="Input 17 2 4 4" xfId="18353"/>
    <cellStyle name="Input 17 2 4 4 2" xfId="39540"/>
    <cellStyle name="Input 17 2 4 5" xfId="28723"/>
    <cellStyle name="Input 17 2 4_Table 2A-1_EFT (Annual)" xfId="6840"/>
    <cellStyle name="Input 17 2 5" xfId="4102"/>
    <cellStyle name="Input 17 2 5 2" xfId="12426"/>
    <cellStyle name="Input 17 2 5 2 2" xfId="24448"/>
    <cellStyle name="Input 17 2 5 2 2 2" xfId="45634"/>
    <cellStyle name="Input 17 2 5 2 3" xfId="35030"/>
    <cellStyle name="Input 17 2 5 3" xfId="19335"/>
    <cellStyle name="Input 17 2 5 3 2" xfId="40522"/>
    <cellStyle name="Input 17 2 5 4" xfId="29790"/>
    <cellStyle name="Input 17 2 5_Table 2A-1_EFT (Annual)" xfId="15035"/>
    <cellStyle name="Input 17 2 6" xfId="9765"/>
    <cellStyle name="Input 17 2 6 2" xfId="21902"/>
    <cellStyle name="Input 17 2 6 2 2" xfId="43088"/>
    <cellStyle name="Input 17 2 6 3" xfId="32484"/>
    <cellStyle name="Input 17 2 7" xfId="16789"/>
    <cellStyle name="Input 17 2 7 2" xfId="37976"/>
    <cellStyle name="Input 17 2 8" xfId="27047"/>
    <cellStyle name="Input 17 2_Table 2A-1_EFT (Annual)" xfId="3013"/>
    <cellStyle name="Input 17 3" xfId="370"/>
    <cellStyle name="Input 17 3 2" xfId="1353"/>
    <cellStyle name="Input 17 3 2 2" xfId="2623"/>
    <cellStyle name="Input 17 3 2 2 2" xfId="6184"/>
    <cellStyle name="Input 17 3 2 2 2 2" xfId="14378"/>
    <cellStyle name="Input 17 3 2 2 2 2 2" xfId="26350"/>
    <cellStyle name="Input 17 3 2 2 2 2 2 2" xfId="47536"/>
    <cellStyle name="Input 17 3 2 2 2 2 3" xfId="36932"/>
    <cellStyle name="Input 17 3 2 2 2 3" xfId="21237"/>
    <cellStyle name="Input 17 3 2 2 2 3 2" xfId="42424"/>
    <cellStyle name="Input 17 3 2 2 2 4" xfId="31840"/>
    <cellStyle name="Input 17 3 2 2 2_Table 2A-1_EFT (Annual)" xfId="15036"/>
    <cellStyle name="Input 17 3 2 2 3" xfId="11720"/>
    <cellStyle name="Input 17 3 2 2 3 2" xfId="23804"/>
    <cellStyle name="Input 17 3 2 2 3 2 2" xfId="44990"/>
    <cellStyle name="Input 17 3 2 2 3 3" xfId="34386"/>
    <cellStyle name="Input 17 3 2 2 4" xfId="18691"/>
    <cellStyle name="Input 17 3 2 2 4 2" xfId="39878"/>
    <cellStyle name="Input 17 3 2 2 5" xfId="29097"/>
    <cellStyle name="Input 17 3 2 2_Table 2A-1_EFT (Annual)" xfId="6842"/>
    <cellStyle name="Input 17 3 2 3" xfId="4914"/>
    <cellStyle name="Input 17 3 2 3 2" xfId="13174"/>
    <cellStyle name="Input 17 3 2 3 2 2" xfId="25180"/>
    <cellStyle name="Input 17 3 2 3 2 2 2" xfId="46366"/>
    <cellStyle name="Input 17 3 2 3 2 3" xfId="35762"/>
    <cellStyle name="Input 17 3 2 3 3" xfId="20067"/>
    <cellStyle name="Input 17 3 2 3 3 2" xfId="41254"/>
    <cellStyle name="Input 17 3 2 3 4" xfId="30571"/>
    <cellStyle name="Input 17 3 2 3_Table 2A-1_EFT (Annual)" xfId="15037"/>
    <cellStyle name="Input 17 3 2 4" xfId="10518"/>
    <cellStyle name="Input 17 3 2 4 2" xfId="22634"/>
    <cellStyle name="Input 17 3 2 4 2 2" xfId="43820"/>
    <cellStyle name="Input 17 3 2 4 3" xfId="33216"/>
    <cellStyle name="Input 17 3 2 5" xfId="17521"/>
    <cellStyle name="Input 17 3 2 5 2" xfId="38708"/>
    <cellStyle name="Input 17 3 2 6" xfId="27828"/>
    <cellStyle name="Input 17 3 2_Table 2A-1_EFT (Annual)" xfId="6841"/>
    <cellStyle name="Input 17 3 3" xfId="909"/>
    <cellStyle name="Input 17 3 3 2" xfId="4470"/>
    <cellStyle name="Input 17 3 3 2 2" xfId="12732"/>
    <cellStyle name="Input 17 3 3 2 2 2" xfId="24742"/>
    <cellStyle name="Input 17 3 3 2 2 2 2" xfId="45928"/>
    <cellStyle name="Input 17 3 3 2 2 3" xfId="35324"/>
    <cellStyle name="Input 17 3 3 2 3" xfId="19629"/>
    <cellStyle name="Input 17 3 3 2 3 2" xfId="40816"/>
    <cellStyle name="Input 17 3 3 2 4" xfId="30127"/>
    <cellStyle name="Input 17 3 3 2_Table 2A-1_EFT (Annual)" xfId="15038"/>
    <cellStyle name="Input 17 3 3 3" xfId="10079"/>
    <cellStyle name="Input 17 3 3 3 2" xfId="22196"/>
    <cellStyle name="Input 17 3 3 3 2 2" xfId="43382"/>
    <cellStyle name="Input 17 3 3 3 3" xfId="32778"/>
    <cellStyle name="Input 17 3 3 4" xfId="17083"/>
    <cellStyle name="Input 17 3 3 4 2" xfId="38270"/>
    <cellStyle name="Input 17 3 3 5" xfId="27384"/>
    <cellStyle name="Input 17 3 3_Table 2A-1_EFT (Annual)" xfId="6843"/>
    <cellStyle name="Input 17 3 4" xfId="2092"/>
    <cellStyle name="Input 17 3 4 2" xfId="5653"/>
    <cellStyle name="Input 17 3 4 2 2" xfId="13868"/>
    <cellStyle name="Input 17 3 4 2 2 2" xfId="25856"/>
    <cellStyle name="Input 17 3 4 2 2 2 2" xfId="47042"/>
    <cellStyle name="Input 17 3 4 2 2 3" xfId="36438"/>
    <cellStyle name="Input 17 3 4 2 3" xfId="20743"/>
    <cellStyle name="Input 17 3 4 2 3 2" xfId="41930"/>
    <cellStyle name="Input 17 3 4 2 4" xfId="31310"/>
    <cellStyle name="Input 17 3 4 2_Table 2A-1_EFT (Annual)" xfId="15039"/>
    <cellStyle name="Input 17 3 4 3" xfId="11212"/>
    <cellStyle name="Input 17 3 4 3 2" xfId="23310"/>
    <cellStyle name="Input 17 3 4 3 2 2" xfId="44496"/>
    <cellStyle name="Input 17 3 4 3 3" xfId="33892"/>
    <cellStyle name="Input 17 3 4 4" xfId="18197"/>
    <cellStyle name="Input 17 3 4 4 2" xfId="39384"/>
    <cellStyle name="Input 17 3 4 5" xfId="28567"/>
    <cellStyle name="Input 17 3 4_Table 2A-1_EFT (Annual)" xfId="6844"/>
    <cellStyle name="Input 17 3 5" xfId="3940"/>
    <cellStyle name="Input 17 3 5 2" xfId="12268"/>
    <cellStyle name="Input 17 3 5 2 2" xfId="24292"/>
    <cellStyle name="Input 17 3 5 2 2 2" xfId="45478"/>
    <cellStyle name="Input 17 3 5 2 3" xfId="34874"/>
    <cellStyle name="Input 17 3 5 3" xfId="19179"/>
    <cellStyle name="Input 17 3 5 3 2" xfId="40366"/>
    <cellStyle name="Input 17 3 5 4" xfId="29628"/>
    <cellStyle name="Input 17 3 5_Table 2A-1_EFT (Annual)" xfId="15040"/>
    <cellStyle name="Input 17 3 6" xfId="9605"/>
    <cellStyle name="Input 17 3 6 2" xfId="21746"/>
    <cellStyle name="Input 17 3 6 2 2" xfId="42932"/>
    <cellStyle name="Input 17 3 6 3" xfId="32328"/>
    <cellStyle name="Input 17 3 7" xfId="16633"/>
    <cellStyle name="Input 17 3 7 2" xfId="37820"/>
    <cellStyle name="Input 17 3 8" xfId="26885"/>
    <cellStyle name="Input 17 3_Table 2A-1_EFT (Annual)" xfId="3014"/>
    <cellStyle name="Input 17 4" xfId="1187"/>
    <cellStyle name="Input 17 4 2" xfId="2457"/>
    <cellStyle name="Input 17 4 2 2" xfId="6018"/>
    <cellStyle name="Input 17 4 2 2 2" xfId="14212"/>
    <cellStyle name="Input 17 4 2 2 2 2" xfId="26184"/>
    <cellStyle name="Input 17 4 2 2 2 2 2" xfId="47370"/>
    <cellStyle name="Input 17 4 2 2 2 3" xfId="36766"/>
    <cellStyle name="Input 17 4 2 2 3" xfId="21071"/>
    <cellStyle name="Input 17 4 2 2 3 2" xfId="42258"/>
    <cellStyle name="Input 17 4 2 2 4" xfId="31674"/>
    <cellStyle name="Input 17 4 2 2_Table 2A-1_EFT (Annual)" xfId="15041"/>
    <cellStyle name="Input 17 4 2 3" xfId="11554"/>
    <cellStyle name="Input 17 4 2 3 2" xfId="23638"/>
    <cellStyle name="Input 17 4 2 3 2 2" xfId="44824"/>
    <cellStyle name="Input 17 4 2 3 3" xfId="34220"/>
    <cellStyle name="Input 17 4 2 4" xfId="18525"/>
    <cellStyle name="Input 17 4 2 4 2" xfId="39712"/>
    <cellStyle name="Input 17 4 2 5" xfId="28931"/>
    <cellStyle name="Input 17 4 2_Table 2A-1_EFT (Annual)" xfId="6846"/>
    <cellStyle name="Input 17 4 3" xfId="4748"/>
    <cellStyle name="Input 17 4 3 2" xfId="13008"/>
    <cellStyle name="Input 17 4 3 2 2" xfId="25014"/>
    <cellStyle name="Input 17 4 3 2 2 2" xfId="46200"/>
    <cellStyle name="Input 17 4 3 2 3" xfId="35596"/>
    <cellStyle name="Input 17 4 3 3" xfId="19901"/>
    <cellStyle name="Input 17 4 3 3 2" xfId="41088"/>
    <cellStyle name="Input 17 4 3 4" xfId="30405"/>
    <cellStyle name="Input 17 4 3_Table 2A-1_EFT (Annual)" xfId="15042"/>
    <cellStyle name="Input 17 4 4" xfId="10352"/>
    <cellStyle name="Input 17 4 4 2" xfId="22468"/>
    <cellStyle name="Input 17 4 4 2 2" xfId="43654"/>
    <cellStyle name="Input 17 4 4 3" xfId="33050"/>
    <cellStyle name="Input 17 4 5" xfId="17355"/>
    <cellStyle name="Input 17 4 5 2" xfId="38542"/>
    <cellStyle name="Input 17 4 6" xfId="27662"/>
    <cellStyle name="Input 17 4_Table 2A-1_EFT (Annual)" xfId="6845"/>
    <cellStyle name="Input 17 5" xfId="750"/>
    <cellStyle name="Input 17 5 2" xfId="4311"/>
    <cellStyle name="Input 17 5 2 2" xfId="12591"/>
    <cellStyle name="Input 17 5 2 2 2" xfId="24608"/>
    <cellStyle name="Input 17 5 2 2 2 2" xfId="45794"/>
    <cellStyle name="Input 17 5 2 2 3" xfId="35190"/>
    <cellStyle name="Input 17 5 2 3" xfId="19495"/>
    <cellStyle name="Input 17 5 2 3 2" xfId="40682"/>
    <cellStyle name="Input 17 5 2 4" xfId="29968"/>
    <cellStyle name="Input 17 5 2_Table 2A-1_EFT (Annual)" xfId="15043"/>
    <cellStyle name="Input 17 5 3" xfId="9939"/>
    <cellStyle name="Input 17 5 3 2" xfId="22062"/>
    <cellStyle name="Input 17 5 3 2 2" xfId="43248"/>
    <cellStyle name="Input 17 5 3 3" xfId="32644"/>
    <cellStyle name="Input 17 5 4" xfId="16949"/>
    <cellStyle name="Input 17 5 4 2" xfId="38136"/>
    <cellStyle name="Input 17 5 5" xfId="27225"/>
    <cellStyle name="Input 17 5_Table 2A-1_EFT (Annual)" xfId="6847"/>
    <cellStyle name="Input 17 6" xfId="1787"/>
    <cellStyle name="Input 17 6 2" xfId="5348"/>
    <cellStyle name="Input 17 6 2 2" xfId="13563"/>
    <cellStyle name="Input 17 6 2 2 2" xfId="25551"/>
    <cellStyle name="Input 17 6 2 2 2 2" xfId="46737"/>
    <cellStyle name="Input 17 6 2 2 3" xfId="36133"/>
    <cellStyle name="Input 17 6 2 3" xfId="20438"/>
    <cellStyle name="Input 17 6 2 3 2" xfId="41625"/>
    <cellStyle name="Input 17 6 2 4" xfId="31005"/>
    <cellStyle name="Input 17 6 2_Table 2A-1_EFT (Annual)" xfId="15044"/>
    <cellStyle name="Input 17 6 3" xfId="10907"/>
    <cellStyle name="Input 17 6 3 2" xfId="23005"/>
    <cellStyle name="Input 17 6 3 2 2" xfId="44191"/>
    <cellStyle name="Input 17 6 3 3" xfId="33587"/>
    <cellStyle name="Input 17 6 4" xfId="17892"/>
    <cellStyle name="Input 17 6 4 2" xfId="39079"/>
    <cellStyle name="Input 17 6 5" xfId="28262"/>
    <cellStyle name="Input 17 6_Table 2A-1_EFT (Annual)" xfId="6848"/>
    <cellStyle name="Input 17 7" xfId="3728"/>
    <cellStyle name="Input 17 7 2" xfId="12096"/>
    <cellStyle name="Input 17 7 2 2" xfId="24126"/>
    <cellStyle name="Input 17 7 2 2 2" xfId="45312"/>
    <cellStyle name="Input 17 7 2 3" xfId="34708"/>
    <cellStyle name="Input 17 7 3" xfId="19013"/>
    <cellStyle name="Input 17 7 3 2" xfId="40200"/>
    <cellStyle name="Input 17 7 4" xfId="29437"/>
    <cellStyle name="Input 17 7_Table 2A-1_EFT (Annual)" xfId="15045"/>
    <cellStyle name="Input 17 8" xfId="9415"/>
    <cellStyle name="Input 17 8 2" xfId="21580"/>
    <cellStyle name="Input 17 8 2 2" xfId="42766"/>
    <cellStyle name="Input 17 8 3" xfId="32162"/>
    <cellStyle name="Input 17 9" xfId="16467"/>
    <cellStyle name="Input 17 9 2" xfId="37654"/>
    <cellStyle name="Input 17_Table 2A-1_EFT (Annual)" xfId="3012"/>
    <cellStyle name="Input 18" xfId="170"/>
    <cellStyle name="Input 18 10" xfId="26725"/>
    <cellStyle name="Input 18 2" xfId="563"/>
    <cellStyle name="Input 18 2 2" xfId="1540"/>
    <cellStyle name="Input 18 2 2 2" xfId="2810"/>
    <cellStyle name="Input 18 2 2 2 2" xfId="6371"/>
    <cellStyle name="Input 18 2 2 2 2 2" xfId="14565"/>
    <cellStyle name="Input 18 2 2 2 2 2 2" xfId="26537"/>
    <cellStyle name="Input 18 2 2 2 2 2 2 2" xfId="47723"/>
    <cellStyle name="Input 18 2 2 2 2 2 3" xfId="37119"/>
    <cellStyle name="Input 18 2 2 2 2 3" xfId="21424"/>
    <cellStyle name="Input 18 2 2 2 2 3 2" xfId="42611"/>
    <cellStyle name="Input 18 2 2 2 2 4" xfId="32027"/>
    <cellStyle name="Input 18 2 2 2 2_Table 2A-1_EFT (Annual)" xfId="15046"/>
    <cellStyle name="Input 18 2 2 2 3" xfId="11907"/>
    <cellStyle name="Input 18 2 2 2 3 2" xfId="23991"/>
    <cellStyle name="Input 18 2 2 2 3 2 2" xfId="45177"/>
    <cellStyle name="Input 18 2 2 2 3 3" xfId="34573"/>
    <cellStyle name="Input 18 2 2 2 4" xfId="18878"/>
    <cellStyle name="Input 18 2 2 2 4 2" xfId="40065"/>
    <cellStyle name="Input 18 2 2 2 5" xfId="29284"/>
    <cellStyle name="Input 18 2 2 2_Table 2A-1_EFT (Annual)" xfId="6850"/>
    <cellStyle name="Input 18 2 2 3" xfId="5101"/>
    <cellStyle name="Input 18 2 2 3 2" xfId="13361"/>
    <cellStyle name="Input 18 2 2 3 2 2" xfId="25367"/>
    <cellStyle name="Input 18 2 2 3 2 2 2" xfId="46553"/>
    <cellStyle name="Input 18 2 2 3 2 3" xfId="35949"/>
    <cellStyle name="Input 18 2 2 3 3" xfId="20254"/>
    <cellStyle name="Input 18 2 2 3 3 2" xfId="41441"/>
    <cellStyle name="Input 18 2 2 3 4" xfId="30758"/>
    <cellStyle name="Input 18 2 2 3_Table 2A-1_EFT (Annual)" xfId="15047"/>
    <cellStyle name="Input 18 2 2 4" xfId="10705"/>
    <cellStyle name="Input 18 2 2 4 2" xfId="22821"/>
    <cellStyle name="Input 18 2 2 4 2 2" xfId="44007"/>
    <cellStyle name="Input 18 2 2 4 3" xfId="33403"/>
    <cellStyle name="Input 18 2 2 5" xfId="17708"/>
    <cellStyle name="Input 18 2 2 5 2" xfId="38895"/>
    <cellStyle name="Input 18 2 2 6" xfId="28015"/>
    <cellStyle name="Input 18 2 2_Table 2A-1_EFT (Annual)" xfId="6849"/>
    <cellStyle name="Input 18 2 3" xfId="1066"/>
    <cellStyle name="Input 18 2 3 2" xfId="4627"/>
    <cellStyle name="Input 18 2 3 2 2" xfId="12887"/>
    <cellStyle name="Input 18 2 3 2 2 2" xfId="24893"/>
    <cellStyle name="Input 18 2 3 2 2 2 2" xfId="46079"/>
    <cellStyle name="Input 18 2 3 2 2 3" xfId="35475"/>
    <cellStyle name="Input 18 2 3 2 3" xfId="19780"/>
    <cellStyle name="Input 18 2 3 2 3 2" xfId="40967"/>
    <cellStyle name="Input 18 2 3 2 4" xfId="30284"/>
    <cellStyle name="Input 18 2 3 2_Table 2A-1_EFT (Annual)" xfId="15048"/>
    <cellStyle name="Input 18 2 3 3" xfId="10231"/>
    <cellStyle name="Input 18 2 3 3 2" xfId="22347"/>
    <cellStyle name="Input 18 2 3 3 2 2" xfId="43533"/>
    <cellStyle name="Input 18 2 3 3 3" xfId="32929"/>
    <cellStyle name="Input 18 2 3 4" xfId="17234"/>
    <cellStyle name="Input 18 2 3 4 2" xfId="38421"/>
    <cellStyle name="Input 18 2 3 5" xfId="27541"/>
    <cellStyle name="Input 18 2 3_Table 2A-1_EFT (Annual)" xfId="6851"/>
    <cellStyle name="Input 18 2 4" xfId="2279"/>
    <cellStyle name="Input 18 2 4 2" xfId="5840"/>
    <cellStyle name="Input 18 2 4 2 2" xfId="14055"/>
    <cellStyle name="Input 18 2 4 2 2 2" xfId="26043"/>
    <cellStyle name="Input 18 2 4 2 2 2 2" xfId="47229"/>
    <cellStyle name="Input 18 2 4 2 2 3" xfId="36625"/>
    <cellStyle name="Input 18 2 4 2 3" xfId="20930"/>
    <cellStyle name="Input 18 2 4 2 3 2" xfId="42117"/>
    <cellStyle name="Input 18 2 4 2 4" xfId="31497"/>
    <cellStyle name="Input 18 2 4 2_Table 2A-1_EFT (Annual)" xfId="15049"/>
    <cellStyle name="Input 18 2 4 3" xfId="11399"/>
    <cellStyle name="Input 18 2 4 3 2" xfId="23497"/>
    <cellStyle name="Input 18 2 4 3 2 2" xfId="44683"/>
    <cellStyle name="Input 18 2 4 3 3" xfId="34079"/>
    <cellStyle name="Input 18 2 4 4" xfId="18384"/>
    <cellStyle name="Input 18 2 4 4 2" xfId="39571"/>
    <cellStyle name="Input 18 2 4 5" xfId="28754"/>
    <cellStyle name="Input 18 2 4_Table 2A-1_EFT (Annual)" xfId="6852"/>
    <cellStyle name="Input 18 2 5" xfId="4133"/>
    <cellStyle name="Input 18 2 5 2" xfId="12457"/>
    <cellStyle name="Input 18 2 5 2 2" xfId="24479"/>
    <cellStyle name="Input 18 2 5 2 2 2" xfId="45665"/>
    <cellStyle name="Input 18 2 5 2 3" xfId="35061"/>
    <cellStyle name="Input 18 2 5 3" xfId="19366"/>
    <cellStyle name="Input 18 2 5 3 2" xfId="40553"/>
    <cellStyle name="Input 18 2 5 4" xfId="29821"/>
    <cellStyle name="Input 18 2 5_Table 2A-1_EFT (Annual)" xfId="15050"/>
    <cellStyle name="Input 18 2 6" xfId="9796"/>
    <cellStyle name="Input 18 2 6 2" xfId="21933"/>
    <cellStyle name="Input 18 2 6 2 2" xfId="43119"/>
    <cellStyle name="Input 18 2 6 3" xfId="32515"/>
    <cellStyle name="Input 18 2 7" xfId="16820"/>
    <cellStyle name="Input 18 2 7 2" xfId="38007"/>
    <cellStyle name="Input 18 2 8" xfId="27078"/>
    <cellStyle name="Input 18 2_Table 2A-1_EFT (Annual)" xfId="3016"/>
    <cellStyle name="Input 18 3" xfId="401"/>
    <cellStyle name="Input 18 3 2" xfId="1384"/>
    <cellStyle name="Input 18 3 2 2" xfId="2654"/>
    <cellStyle name="Input 18 3 2 2 2" xfId="6215"/>
    <cellStyle name="Input 18 3 2 2 2 2" xfId="14409"/>
    <cellStyle name="Input 18 3 2 2 2 2 2" xfId="26381"/>
    <cellStyle name="Input 18 3 2 2 2 2 2 2" xfId="47567"/>
    <cellStyle name="Input 18 3 2 2 2 2 3" xfId="36963"/>
    <cellStyle name="Input 18 3 2 2 2 3" xfId="21268"/>
    <cellStyle name="Input 18 3 2 2 2 3 2" xfId="42455"/>
    <cellStyle name="Input 18 3 2 2 2 4" xfId="31871"/>
    <cellStyle name="Input 18 3 2 2 2_Table 2A-1_EFT (Annual)" xfId="15051"/>
    <cellStyle name="Input 18 3 2 2 3" xfId="11751"/>
    <cellStyle name="Input 18 3 2 2 3 2" xfId="23835"/>
    <cellStyle name="Input 18 3 2 2 3 2 2" xfId="45021"/>
    <cellStyle name="Input 18 3 2 2 3 3" xfId="34417"/>
    <cellStyle name="Input 18 3 2 2 4" xfId="18722"/>
    <cellStyle name="Input 18 3 2 2 4 2" xfId="39909"/>
    <cellStyle name="Input 18 3 2 2 5" xfId="29128"/>
    <cellStyle name="Input 18 3 2 2_Table 2A-1_EFT (Annual)" xfId="6854"/>
    <cellStyle name="Input 18 3 2 3" xfId="4945"/>
    <cellStyle name="Input 18 3 2 3 2" xfId="13205"/>
    <cellStyle name="Input 18 3 2 3 2 2" xfId="25211"/>
    <cellStyle name="Input 18 3 2 3 2 2 2" xfId="46397"/>
    <cellStyle name="Input 18 3 2 3 2 3" xfId="35793"/>
    <cellStyle name="Input 18 3 2 3 3" xfId="20098"/>
    <cellStyle name="Input 18 3 2 3 3 2" xfId="41285"/>
    <cellStyle name="Input 18 3 2 3 4" xfId="30602"/>
    <cellStyle name="Input 18 3 2 3_Table 2A-1_EFT (Annual)" xfId="15052"/>
    <cellStyle name="Input 18 3 2 4" xfId="10549"/>
    <cellStyle name="Input 18 3 2 4 2" xfId="22665"/>
    <cellStyle name="Input 18 3 2 4 2 2" xfId="43851"/>
    <cellStyle name="Input 18 3 2 4 3" xfId="33247"/>
    <cellStyle name="Input 18 3 2 5" xfId="17552"/>
    <cellStyle name="Input 18 3 2 5 2" xfId="38739"/>
    <cellStyle name="Input 18 3 2 6" xfId="27859"/>
    <cellStyle name="Input 18 3 2_Table 2A-1_EFT (Annual)" xfId="6853"/>
    <cellStyle name="Input 18 3 3" xfId="934"/>
    <cellStyle name="Input 18 3 3 2" xfId="4495"/>
    <cellStyle name="Input 18 3 3 2 2" xfId="12757"/>
    <cellStyle name="Input 18 3 3 2 2 2" xfId="24767"/>
    <cellStyle name="Input 18 3 3 2 2 2 2" xfId="45953"/>
    <cellStyle name="Input 18 3 3 2 2 3" xfId="35349"/>
    <cellStyle name="Input 18 3 3 2 3" xfId="19654"/>
    <cellStyle name="Input 18 3 3 2 3 2" xfId="40841"/>
    <cellStyle name="Input 18 3 3 2 4" xfId="30152"/>
    <cellStyle name="Input 18 3 3 2_Table 2A-1_EFT (Annual)" xfId="15053"/>
    <cellStyle name="Input 18 3 3 3" xfId="10104"/>
    <cellStyle name="Input 18 3 3 3 2" xfId="22221"/>
    <cellStyle name="Input 18 3 3 3 2 2" xfId="43407"/>
    <cellStyle name="Input 18 3 3 3 3" xfId="32803"/>
    <cellStyle name="Input 18 3 3 4" xfId="17108"/>
    <cellStyle name="Input 18 3 3 4 2" xfId="38295"/>
    <cellStyle name="Input 18 3 3 5" xfId="27409"/>
    <cellStyle name="Input 18 3 3_Table 2A-1_EFT (Annual)" xfId="6855"/>
    <cellStyle name="Input 18 3 4" xfId="2123"/>
    <cellStyle name="Input 18 3 4 2" xfId="5684"/>
    <cellStyle name="Input 18 3 4 2 2" xfId="13899"/>
    <cellStyle name="Input 18 3 4 2 2 2" xfId="25887"/>
    <cellStyle name="Input 18 3 4 2 2 2 2" xfId="47073"/>
    <cellStyle name="Input 18 3 4 2 2 3" xfId="36469"/>
    <cellStyle name="Input 18 3 4 2 3" xfId="20774"/>
    <cellStyle name="Input 18 3 4 2 3 2" xfId="41961"/>
    <cellStyle name="Input 18 3 4 2 4" xfId="31341"/>
    <cellStyle name="Input 18 3 4 2_Table 2A-1_EFT (Annual)" xfId="15054"/>
    <cellStyle name="Input 18 3 4 3" xfId="11243"/>
    <cellStyle name="Input 18 3 4 3 2" xfId="23341"/>
    <cellStyle name="Input 18 3 4 3 2 2" xfId="44527"/>
    <cellStyle name="Input 18 3 4 3 3" xfId="33923"/>
    <cellStyle name="Input 18 3 4 4" xfId="18228"/>
    <cellStyle name="Input 18 3 4 4 2" xfId="39415"/>
    <cellStyle name="Input 18 3 4 5" xfId="28598"/>
    <cellStyle name="Input 18 3 4_Table 2A-1_EFT (Annual)" xfId="6856"/>
    <cellStyle name="Input 18 3 5" xfId="3971"/>
    <cellStyle name="Input 18 3 5 2" xfId="12299"/>
    <cellStyle name="Input 18 3 5 2 2" xfId="24323"/>
    <cellStyle name="Input 18 3 5 2 2 2" xfId="45509"/>
    <cellStyle name="Input 18 3 5 2 3" xfId="34905"/>
    <cellStyle name="Input 18 3 5 3" xfId="19210"/>
    <cellStyle name="Input 18 3 5 3 2" xfId="40397"/>
    <cellStyle name="Input 18 3 5 4" xfId="29659"/>
    <cellStyle name="Input 18 3 5_Table 2A-1_EFT (Annual)" xfId="15055"/>
    <cellStyle name="Input 18 3 6" xfId="9636"/>
    <cellStyle name="Input 18 3 6 2" xfId="21777"/>
    <cellStyle name="Input 18 3 6 2 2" xfId="42963"/>
    <cellStyle name="Input 18 3 6 3" xfId="32359"/>
    <cellStyle name="Input 18 3 7" xfId="16664"/>
    <cellStyle name="Input 18 3 7 2" xfId="37851"/>
    <cellStyle name="Input 18 3 8" xfId="26916"/>
    <cellStyle name="Input 18 3_Table 2A-1_EFT (Annual)" xfId="3017"/>
    <cellStyle name="Input 18 4" xfId="1218"/>
    <cellStyle name="Input 18 4 2" xfId="2488"/>
    <cellStyle name="Input 18 4 2 2" xfId="6049"/>
    <cellStyle name="Input 18 4 2 2 2" xfId="14243"/>
    <cellStyle name="Input 18 4 2 2 2 2" xfId="26215"/>
    <cellStyle name="Input 18 4 2 2 2 2 2" xfId="47401"/>
    <cellStyle name="Input 18 4 2 2 2 3" xfId="36797"/>
    <cellStyle name="Input 18 4 2 2 3" xfId="21102"/>
    <cellStyle name="Input 18 4 2 2 3 2" xfId="42289"/>
    <cellStyle name="Input 18 4 2 2 4" xfId="31705"/>
    <cellStyle name="Input 18 4 2 2_Table 2A-1_EFT (Annual)" xfId="15056"/>
    <cellStyle name="Input 18 4 2 3" xfId="11585"/>
    <cellStyle name="Input 18 4 2 3 2" xfId="23669"/>
    <cellStyle name="Input 18 4 2 3 2 2" xfId="44855"/>
    <cellStyle name="Input 18 4 2 3 3" xfId="34251"/>
    <cellStyle name="Input 18 4 2 4" xfId="18556"/>
    <cellStyle name="Input 18 4 2 4 2" xfId="39743"/>
    <cellStyle name="Input 18 4 2 5" xfId="28962"/>
    <cellStyle name="Input 18 4 2_Table 2A-1_EFT (Annual)" xfId="6858"/>
    <cellStyle name="Input 18 4 3" xfId="4779"/>
    <cellStyle name="Input 18 4 3 2" xfId="13039"/>
    <cellStyle name="Input 18 4 3 2 2" xfId="25045"/>
    <cellStyle name="Input 18 4 3 2 2 2" xfId="46231"/>
    <cellStyle name="Input 18 4 3 2 3" xfId="35627"/>
    <cellStyle name="Input 18 4 3 3" xfId="19932"/>
    <cellStyle name="Input 18 4 3 3 2" xfId="41119"/>
    <cellStyle name="Input 18 4 3 4" xfId="30436"/>
    <cellStyle name="Input 18 4 3_Table 2A-1_EFT (Annual)" xfId="15057"/>
    <cellStyle name="Input 18 4 4" xfId="10383"/>
    <cellStyle name="Input 18 4 4 2" xfId="22499"/>
    <cellStyle name="Input 18 4 4 2 2" xfId="43685"/>
    <cellStyle name="Input 18 4 4 3" xfId="33081"/>
    <cellStyle name="Input 18 4 5" xfId="17386"/>
    <cellStyle name="Input 18 4 5 2" xfId="38573"/>
    <cellStyle name="Input 18 4 6" xfId="27693"/>
    <cellStyle name="Input 18 4_Table 2A-1_EFT (Annual)" xfId="6857"/>
    <cellStyle name="Input 18 5" xfId="775"/>
    <cellStyle name="Input 18 5 2" xfId="4336"/>
    <cellStyle name="Input 18 5 2 2" xfId="12616"/>
    <cellStyle name="Input 18 5 2 2 2" xfId="24633"/>
    <cellStyle name="Input 18 5 2 2 2 2" xfId="45819"/>
    <cellStyle name="Input 18 5 2 2 3" xfId="35215"/>
    <cellStyle name="Input 18 5 2 3" xfId="19520"/>
    <cellStyle name="Input 18 5 2 3 2" xfId="40707"/>
    <cellStyle name="Input 18 5 2 4" xfId="29993"/>
    <cellStyle name="Input 18 5 2_Table 2A-1_EFT (Annual)" xfId="15058"/>
    <cellStyle name="Input 18 5 3" xfId="9964"/>
    <cellStyle name="Input 18 5 3 2" xfId="22087"/>
    <cellStyle name="Input 18 5 3 2 2" xfId="43273"/>
    <cellStyle name="Input 18 5 3 3" xfId="32669"/>
    <cellStyle name="Input 18 5 4" xfId="16974"/>
    <cellStyle name="Input 18 5 4 2" xfId="38161"/>
    <cellStyle name="Input 18 5 5" xfId="27250"/>
    <cellStyle name="Input 18 5_Table 2A-1_EFT (Annual)" xfId="6859"/>
    <cellStyle name="Input 18 6" xfId="1957"/>
    <cellStyle name="Input 18 6 2" xfId="5518"/>
    <cellStyle name="Input 18 6 2 2" xfId="13733"/>
    <cellStyle name="Input 18 6 2 2 2" xfId="25721"/>
    <cellStyle name="Input 18 6 2 2 2 2" xfId="46907"/>
    <cellStyle name="Input 18 6 2 2 3" xfId="36303"/>
    <cellStyle name="Input 18 6 2 3" xfId="20608"/>
    <cellStyle name="Input 18 6 2 3 2" xfId="41795"/>
    <cellStyle name="Input 18 6 2 4" xfId="31175"/>
    <cellStyle name="Input 18 6 2_Table 2A-1_EFT (Annual)" xfId="15059"/>
    <cellStyle name="Input 18 6 3" xfId="11077"/>
    <cellStyle name="Input 18 6 3 2" xfId="23175"/>
    <cellStyle name="Input 18 6 3 2 2" xfId="44361"/>
    <cellStyle name="Input 18 6 3 3" xfId="33757"/>
    <cellStyle name="Input 18 6 4" xfId="18062"/>
    <cellStyle name="Input 18 6 4 2" xfId="39249"/>
    <cellStyle name="Input 18 6 5" xfId="28432"/>
    <cellStyle name="Input 18 6_Table 2A-1_EFT (Annual)" xfId="6860"/>
    <cellStyle name="Input 18 7" xfId="3759"/>
    <cellStyle name="Input 18 7 2" xfId="12127"/>
    <cellStyle name="Input 18 7 2 2" xfId="24157"/>
    <cellStyle name="Input 18 7 2 2 2" xfId="45343"/>
    <cellStyle name="Input 18 7 2 3" xfId="34739"/>
    <cellStyle name="Input 18 7 3" xfId="19044"/>
    <cellStyle name="Input 18 7 3 2" xfId="40231"/>
    <cellStyle name="Input 18 7 4" xfId="29468"/>
    <cellStyle name="Input 18 7_Table 2A-1_EFT (Annual)" xfId="15060"/>
    <cellStyle name="Input 18 8" xfId="9446"/>
    <cellStyle name="Input 18 8 2" xfId="21611"/>
    <cellStyle name="Input 18 8 2 2" xfId="42797"/>
    <cellStyle name="Input 18 8 3" xfId="32193"/>
    <cellStyle name="Input 18 9" xfId="16498"/>
    <cellStyle name="Input 18 9 2" xfId="37685"/>
    <cellStyle name="Input 18_Table 2A-1_EFT (Annual)" xfId="3015"/>
    <cellStyle name="Input 19" xfId="167"/>
    <cellStyle name="Input 19 10" xfId="26722"/>
    <cellStyle name="Input 19 2" xfId="560"/>
    <cellStyle name="Input 19 2 2" xfId="1537"/>
    <cellStyle name="Input 19 2 2 2" xfId="2807"/>
    <cellStyle name="Input 19 2 2 2 2" xfId="6368"/>
    <cellStyle name="Input 19 2 2 2 2 2" xfId="14562"/>
    <cellStyle name="Input 19 2 2 2 2 2 2" xfId="26534"/>
    <cellStyle name="Input 19 2 2 2 2 2 2 2" xfId="47720"/>
    <cellStyle name="Input 19 2 2 2 2 2 3" xfId="37116"/>
    <cellStyle name="Input 19 2 2 2 2 3" xfId="21421"/>
    <cellStyle name="Input 19 2 2 2 2 3 2" xfId="42608"/>
    <cellStyle name="Input 19 2 2 2 2 4" xfId="32024"/>
    <cellStyle name="Input 19 2 2 2 2_Table 2A-1_EFT (Annual)" xfId="15061"/>
    <cellStyle name="Input 19 2 2 2 3" xfId="11904"/>
    <cellStyle name="Input 19 2 2 2 3 2" xfId="23988"/>
    <cellStyle name="Input 19 2 2 2 3 2 2" xfId="45174"/>
    <cellStyle name="Input 19 2 2 2 3 3" xfId="34570"/>
    <cellStyle name="Input 19 2 2 2 4" xfId="18875"/>
    <cellStyle name="Input 19 2 2 2 4 2" xfId="40062"/>
    <cellStyle name="Input 19 2 2 2 5" xfId="29281"/>
    <cellStyle name="Input 19 2 2 2_Table 2A-1_EFT (Annual)" xfId="6862"/>
    <cellStyle name="Input 19 2 2 3" xfId="5098"/>
    <cellStyle name="Input 19 2 2 3 2" xfId="13358"/>
    <cellStyle name="Input 19 2 2 3 2 2" xfId="25364"/>
    <cellStyle name="Input 19 2 2 3 2 2 2" xfId="46550"/>
    <cellStyle name="Input 19 2 2 3 2 3" xfId="35946"/>
    <cellStyle name="Input 19 2 2 3 3" xfId="20251"/>
    <cellStyle name="Input 19 2 2 3 3 2" xfId="41438"/>
    <cellStyle name="Input 19 2 2 3 4" xfId="30755"/>
    <cellStyle name="Input 19 2 2 3_Table 2A-1_EFT (Annual)" xfId="15062"/>
    <cellStyle name="Input 19 2 2 4" xfId="10702"/>
    <cellStyle name="Input 19 2 2 4 2" xfId="22818"/>
    <cellStyle name="Input 19 2 2 4 2 2" xfId="44004"/>
    <cellStyle name="Input 19 2 2 4 3" xfId="33400"/>
    <cellStyle name="Input 19 2 2 5" xfId="17705"/>
    <cellStyle name="Input 19 2 2 5 2" xfId="38892"/>
    <cellStyle name="Input 19 2 2 6" xfId="28012"/>
    <cellStyle name="Input 19 2 2_Table 2A-1_EFT (Annual)" xfId="6861"/>
    <cellStyle name="Input 19 2 3" xfId="1063"/>
    <cellStyle name="Input 19 2 3 2" xfId="4624"/>
    <cellStyle name="Input 19 2 3 2 2" xfId="12884"/>
    <cellStyle name="Input 19 2 3 2 2 2" xfId="24890"/>
    <cellStyle name="Input 19 2 3 2 2 2 2" xfId="46076"/>
    <cellStyle name="Input 19 2 3 2 2 3" xfId="35472"/>
    <cellStyle name="Input 19 2 3 2 3" xfId="19777"/>
    <cellStyle name="Input 19 2 3 2 3 2" xfId="40964"/>
    <cellStyle name="Input 19 2 3 2 4" xfId="30281"/>
    <cellStyle name="Input 19 2 3 2_Table 2A-1_EFT (Annual)" xfId="15063"/>
    <cellStyle name="Input 19 2 3 3" xfId="10228"/>
    <cellStyle name="Input 19 2 3 3 2" xfId="22344"/>
    <cellStyle name="Input 19 2 3 3 2 2" xfId="43530"/>
    <cellStyle name="Input 19 2 3 3 3" xfId="32926"/>
    <cellStyle name="Input 19 2 3 4" xfId="17231"/>
    <cellStyle name="Input 19 2 3 4 2" xfId="38418"/>
    <cellStyle name="Input 19 2 3 5" xfId="27538"/>
    <cellStyle name="Input 19 2 3_Table 2A-1_EFT (Annual)" xfId="6863"/>
    <cellStyle name="Input 19 2 4" xfId="2276"/>
    <cellStyle name="Input 19 2 4 2" xfId="5837"/>
    <cellStyle name="Input 19 2 4 2 2" xfId="14052"/>
    <cellStyle name="Input 19 2 4 2 2 2" xfId="26040"/>
    <cellStyle name="Input 19 2 4 2 2 2 2" xfId="47226"/>
    <cellStyle name="Input 19 2 4 2 2 3" xfId="36622"/>
    <cellStyle name="Input 19 2 4 2 3" xfId="20927"/>
    <cellStyle name="Input 19 2 4 2 3 2" xfId="42114"/>
    <cellStyle name="Input 19 2 4 2 4" xfId="31494"/>
    <cellStyle name="Input 19 2 4 2_Table 2A-1_EFT (Annual)" xfId="15064"/>
    <cellStyle name="Input 19 2 4 3" xfId="11396"/>
    <cellStyle name="Input 19 2 4 3 2" xfId="23494"/>
    <cellStyle name="Input 19 2 4 3 2 2" xfId="44680"/>
    <cellStyle name="Input 19 2 4 3 3" xfId="34076"/>
    <cellStyle name="Input 19 2 4 4" xfId="18381"/>
    <cellStyle name="Input 19 2 4 4 2" xfId="39568"/>
    <cellStyle name="Input 19 2 4 5" xfId="28751"/>
    <cellStyle name="Input 19 2 4_Table 2A-1_EFT (Annual)" xfId="6864"/>
    <cellStyle name="Input 19 2 5" xfId="4130"/>
    <cellStyle name="Input 19 2 5 2" xfId="12454"/>
    <cellStyle name="Input 19 2 5 2 2" xfId="24476"/>
    <cellStyle name="Input 19 2 5 2 2 2" xfId="45662"/>
    <cellStyle name="Input 19 2 5 2 3" xfId="35058"/>
    <cellStyle name="Input 19 2 5 3" xfId="19363"/>
    <cellStyle name="Input 19 2 5 3 2" xfId="40550"/>
    <cellStyle name="Input 19 2 5 4" xfId="29818"/>
    <cellStyle name="Input 19 2 5_Table 2A-1_EFT (Annual)" xfId="15065"/>
    <cellStyle name="Input 19 2 6" xfId="9793"/>
    <cellStyle name="Input 19 2 6 2" xfId="21930"/>
    <cellStyle name="Input 19 2 6 2 2" xfId="43116"/>
    <cellStyle name="Input 19 2 6 3" xfId="32512"/>
    <cellStyle name="Input 19 2 7" xfId="16817"/>
    <cellStyle name="Input 19 2 7 2" xfId="38004"/>
    <cellStyle name="Input 19 2 8" xfId="27075"/>
    <cellStyle name="Input 19 2_Table 2A-1_EFT (Annual)" xfId="3019"/>
    <cellStyle name="Input 19 3" xfId="398"/>
    <cellStyle name="Input 19 3 2" xfId="1381"/>
    <cellStyle name="Input 19 3 2 2" xfId="2651"/>
    <cellStyle name="Input 19 3 2 2 2" xfId="6212"/>
    <cellStyle name="Input 19 3 2 2 2 2" xfId="14406"/>
    <cellStyle name="Input 19 3 2 2 2 2 2" xfId="26378"/>
    <cellStyle name="Input 19 3 2 2 2 2 2 2" xfId="47564"/>
    <cellStyle name="Input 19 3 2 2 2 2 3" xfId="36960"/>
    <cellStyle name="Input 19 3 2 2 2 3" xfId="21265"/>
    <cellStyle name="Input 19 3 2 2 2 3 2" xfId="42452"/>
    <cellStyle name="Input 19 3 2 2 2 4" xfId="31868"/>
    <cellStyle name="Input 19 3 2 2 2_Table 2A-1_EFT (Annual)" xfId="15066"/>
    <cellStyle name="Input 19 3 2 2 3" xfId="11748"/>
    <cellStyle name="Input 19 3 2 2 3 2" xfId="23832"/>
    <cellStyle name="Input 19 3 2 2 3 2 2" xfId="45018"/>
    <cellStyle name="Input 19 3 2 2 3 3" xfId="34414"/>
    <cellStyle name="Input 19 3 2 2 4" xfId="18719"/>
    <cellStyle name="Input 19 3 2 2 4 2" xfId="39906"/>
    <cellStyle name="Input 19 3 2 2 5" xfId="29125"/>
    <cellStyle name="Input 19 3 2 2_Table 2A-1_EFT (Annual)" xfId="6866"/>
    <cellStyle name="Input 19 3 2 3" xfId="4942"/>
    <cellStyle name="Input 19 3 2 3 2" xfId="13202"/>
    <cellStyle name="Input 19 3 2 3 2 2" xfId="25208"/>
    <cellStyle name="Input 19 3 2 3 2 2 2" xfId="46394"/>
    <cellStyle name="Input 19 3 2 3 2 3" xfId="35790"/>
    <cellStyle name="Input 19 3 2 3 3" xfId="20095"/>
    <cellStyle name="Input 19 3 2 3 3 2" xfId="41282"/>
    <cellStyle name="Input 19 3 2 3 4" xfId="30599"/>
    <cellStyle name="Input 19 3 2 3_Table 2A-1_EFT (Annual)" xfId="15067"/>
    <cellStyle name="Input 19 3 2 4" xfId="10546"/>
    <cellStyle name="Input 19 3 2 4 2" xfId="22662"/>
    <cellStyle name="Input 19 3 2 4 2 2" xfId="43848"/>
    <cellStyle name="Input 19 3 2 4 3" xfId="33244"/>
    <cellStyle name="Input 19 3 2 5" xfId="17549"/>
    <cellStyle name="Input 19 3 2 5 2" xfId="38736"/>
    <cellStyle name="Input 19 3 2 6" xfId="27856"/>
    <cellStyle name="Input 19 3 2_Table 2A-1_EFT (Annual)" xfId="6865"/>
    <cellStyle name="Input 19 3 3" xfId="931"/>
    <cellStyle name="Input 19 3 3 2" xfId="4492"/>
    <cellStyle name="Input 19 3 3 2 2" xfId="12754"/>
    <cellStyle name="Input 19 3 3 2 2 2" xfId="24764"/>
    <cellStyle name="Input 19 3 3 2 2 2 2" xfId="45950"/>
    <cellStyle name="Input 19 3 3 2 2 3" xfId="35346"/>
    <cellStyle name="Input 19 3 3 2 3" xfId="19651"/>
    <cellStyle name="Input 19 3 3 2 3 2" xfId="40838"/>
    <cellStyle name="Input 19 3 3 2 4" xfId="30149"/>
    <cellStyle name="Input 19 3 3 2_Table 2A-1_EFT (Annual)" xfId="15068"/>
    <cellStyle name="Input 19 3 3 3" xfId="10101"/>
    <cellStyle name="Input 19 3 3 3 2" xfId="22218"/>
    <cellStyle name="Input 19 3 3 3 2 2" xfId="43404"/>
    <cellStyle name="Input 19 3 3 3 3" xfId="32800"/>
    <cellStyle name="Input 19 3 3 4" xfId="17105"/>
    <cellStyle name="Input 19 3 3 4 2" xfId="38292"/>
    <cellStyle name="Input 19 3 3 5" xfId="27406"/>
    <cellStyle name="Input 19 3 3_Table 2A-1_EFT (Annual)" xfId="6867"/>
    <cellStyle name="Input 19 3 4" xfId="2120"/>
    <cellStyle name="Input 19 3 4 2" xfId="5681"/>
    <cellStyle name="Input 19 3 4 2 2" xfId="13896"/>
    <cellStyle name="Input 19 3 4 2 2 2" xfId="25884"/>
    <cellStyle name="Input 19 3 4 2 2 2 2" xfId="47070"/>
    <cellStyle name="Input 19 3 4 2 2 3" xfId="36466"/>
    <cellStyle name="Input 19 3 4 2 3" xfId="20771"/>
    <cellStyle name="Input 19 3 4 2 3 2" xfId="41958"/>
    <cellStyle name="Input 19 3 4 2 4" xfId="31338"/>
    <cellStyle name="Input 19 3 4 2_Table 2A-1_EFT (Annual)" xfId="15069"/>
    <cellStyle name="Input 19 3 4 3" xfId="11240"/>
    <cellStyle name="Input 19 3 4 3 2" xfId="23338"/>
    <cellStyle name="Input 19 3 4 3 2 2" xfId="44524"/>
    <cellStyle name="Input 19 3 4 3 3" xfId="33920"/>
    <cellStyle name="Input 19 3 4 4" xfId="18225"/>
    <cellStyle name="Input 19 3 4 4 2" xfId="39412"/>
    <cellStyle name="Input 19 3 4 5" xfId="28595"/>
    <cellStyle name="Input 19 3 4_Table 2A-1_EFT (Annual)" xfId="6868"/>
    <cellStyle name="Input 19 3 5" xfId="3968"/>
    <cellStyle name="Input 19 3 5 2" xfId="12296"/>
    <cellStyle name="Input 19 3 5 2 2" xfId="24320"/>
    <cellStyle name="Input 19 3 5 2 2 2" xfId="45506"/>
    <cellStyle name="Input 19 3 5 2 3" xfId="34902"/>
    <cellStyle name="Input 19 3 5 3" xfId="19207"/>
    <cellStyle name="Input 19 3 5 3 2" xfId="40394"/>
    <cellStyle name="Input 19 3 5 4" xfId="29656"/>
    <cellStyle name="Input 19 3 5_Table 2A-1_EFT (Annual)" xfId="15070"/>
    <cellStyle name="Input 19 3 6" xfId="9633"/>
    <cellStyle name="Input 19 3 6 2" xfId="21774"/>
    <cellStyle name="Input 19 3 6 2 2" xfId="42960"/>
    <cellStyle name="Input 19 3 6 3" xfId="32356"/>
    <cellStyle name="Input 19 3 7" xfId="16661"/>
    <cellStyle name="Input 19 3 7 2" xfId="37848"/>
    <cellStyle name="Input 19 3 8" xfId="26913"/>
    <cellStyle name="Input 19 3_Table 2A-1_EFT (Annual)" xfId="3020"/>
    <cellStyle name="Input 19 4" xfId="1215"/>
    <cellStyle name="Input 19 4 2" xfId="2485"/>
    <cellStyle name="Input 19 4 2 2" xfId="6046"/>
    <cellStyle name="Input 19 4 2 2 2" xfId="14240"/>
    <cellStyle name="Input 19 4 2 2 2 2" xfId="26212"/>
    <cellStyle name="Input 19 4 2 2 2 2 2" xfId="47398"/>
    <cellStyle name="Input 19 4 2 2 2 3" xfId="36794"/>
    <cellStyle name="Input 19 4 2 2 3" xfId="21099"/>
    <cellStyle name="Input 19 4 2 2 3 2" xfId="42286"/>
    <cellStyle name="Input 19 4 2 2 4" xfId="31702"/>
    <cellStyle name="Input 19 4 2 2_Table 2A-1_EFT (Annual)" xfId="15071"/>
    <cellStyle name="Input 19 4 2 3" xfId="11582"/>
    <cellStyle name="Input 19 4 2 3 2" xfId="23666"/>
    <cellStyle name="Input 19 4 2 3 2 2" xfId="44852"/>
    <cellStyle name="Input 19 4 2 3 3" xfId="34248"/>
    <cellStyle name="Input 19 4 2 4" xfId="18553"/>
    <cellStyle name="Input 19 4 2 4 2" xfId="39740"/>
    <cellStyle name="Input 19 4 2 5" xfId="28959"/>
    <cellStyle name="Input 19 4 2_Table 2A-1_EFT (Annual)" xfId="6870"/>
    <cellStyle name="Input 19 4 3" xfId="4776"/>
    <cellStyle name="Input 19 4 3 2" xfId="13036"/>
    <cellStyle name="Input 19 4 3 2 2" xfId="25042"/>
    <cellStyle name="Input 19 4 3 2 2 2" xfId="46228"/>
    <cellStyle name="Input 19 4 3 2 3" xfId="35624"/>
    <cellStyle name="Input 19 4 3 3" xfId="19929"/>
    <cellStyle name="Input 19 4 3 3 2" xfId="41116"/>
    <cellStyle name="Input 19 4 3 4" xfId="30433"/>
    <cellStyle name="Input 19 4 3_Table 2A-1_EFT (Annual)" xfId="15072"/>
    <cellStyle name="Input 19 4 4" xfId="10380"/>
    <cellStyle name="Input 19 4 4 2" xfId="22496"/>
    <cellStyle name="Input 19 4 4 2 2" xfId="43682"/>
    <cellStyle name="Input 19 4 4 3" xfId="33078"/>
    <cellStyle name="Input 19 4 5" xfId="17383"/>
    <cellStyle name="Input 19 4 5 2" xfId="38570"/>
    <cellStyle name="Input 19 4 6" xfId="27690"/>
    <cellStyle name="Input 19 4_Table 2A-1_EFT (Annual)" xfId="6869"/>
    <cellStyle name="Input 19 5" xfId="772"/>
    <cellStyle name="Input 19 5 2" xfId="4333"/>
    <cellStyle name="Input 19 5 2 2" xfId="12613"/>
    <cellStyle name="Input 19 5 2 2 2" xfId="24630"/>
    <cellStyle name="Input 19 5 2 2 2 2" xfId="45816"/>
    <cellStyle name="Input 19 5 2 2 3" xfId="35212"/>
    <cellStyle name="Input 19 5 2 3" xfId="19517"/>
    <cellStyle name="Input 19 5 2 3 2" xfId="40704"/>
    <cellStyle name="Input 19 5 2 4" xfId="29990"/>
    <cellStyle name="Input 19 5 2_Table 2A-1_EFT (Annual)" xfId="15073"/>
    <cellStyle name="Input 19 5 3" xfId="9961"/>
    <cellStyle name="Input 19 5 3 2" xfId="22084"/>
    <cellStyle name="Input 19 5 3 2 2" xfId="43270"/>
    <cellStyle name="Input 19 5 3 3" xfId="32666"/>
    <cellStyle name="Input 19 5 4" xfId="16971"/>
    <cellStyle name="Input 19 5 4 2" xfId="38158"/>
    <cellStyle name="Input 19 5 5" xfId="27247"/>
    <cellStyle name="Input 19 5_Table 2A-1_EFT (Annual)" xfId="6871"/>
    <cellStyle name="Input 19 6" xfId="1954"/>
    <cellStyle name="Input 19 6 2" xfId="5515"/>
    <cellStyle name="Input 19 6 2 2" xfId="13730"/>
    <cellStyle name="Input 19 6 2 2 2" xfId="25718"/>
    <cellStyle name="Input 19 6 2 2 2 2" xfId="46904"/>
    <cellStyle name="Input 19 6 2 2 3" xfId="36300"/>
    <cellStyle name="Input 19 6 2 3" xfId="20605"/>
    <cellStyle name="Input 19 6 2 3 2" xfId="41792"/>
    <cellStyle name="Input 19 6 2 4" xfId="31172"/>
    <cellStyle name="Input 19 6 2_Table 2A-1_EFT (Annual)" xfId="15074"/>
    <cellStyle name="Input 19 6 3" xfId="11074"/>
    <cellStyle name="Input 19 6 3 2" xfId="23172"/>
    <cellStyle name="Input 19 6 3 2 2" xfId="44358"/>
    <cellStyle name="Input 19 6 3 3" xfId="33754"/>
    <cellStyle name="Input 19 6 4" xfId="18059"/>
    <cellStyle name="Input 19 6 4 2" xfId="39246"/>
    <cellStyle name="Input 19 6 5" xfId="28429"/>
    <cellStyle name="Input 19 6_Table 2A-1_EFT (Annual)" xfId="6872"/>
    <cellStyle name="Input 19 7" xfId="3756"/>
    <cellStyle name="Input 19 7 2" xfId="12124"/>
    <cellStyle name="Input 19 7 2 2" xfId="24154"/>
    <cellStyle name="Input 19 7 2 2 2" xfId="45340"/>
    <cellStyle name="Input 19 7 2 3" xfId="34736"/>
    <cellStyle name="Input 19 7 3" xfId="19041"/>
    <cellStyle name="Input 19 7 3 2" xfId="40228"/>
    <cellStyle name="Input 19 7 4" xfId="29465"/>
    <cellStyle name="Input 19 7_Table 2A-1_EFT (Annual)" xfId="15075"/>
    <cellStyle name="Input 19 8" xfId="9443"/>
    <cellStyle name="Input 19 8 2" xfId="21608"/>
    <cellStyle name="Input 19 8 2 2" xfId="42794"/>
    <cellStyle name="Input 19 8 3" xfId="32190"/>
    <cellStyle name="Input 19 9" xfId="16495"/>
    <cellStyle name="Input 19 9 2" xfId="37682"/>
    <cellStyle name="Input 19_Table 2A-1_EFT (Annual)" xfId="3018"/>
    <cellStyle name="Input 2" xfId="99"/>
    <cellStyle name="Input 2 10" xfId="21516"/>
    <cellStyle name="Input 2 10 2" xfId="42703"/>
    <cellStyle name="Input 2 11" xfId="26654"/>
    <cellStyle name="Input 2 2" xfId="497"/>
    <cellStyle name="Input 2 2 2" xfId="1474"/>
    <cellStyle name="Input 2 2 2 2" xfId="2744"/>
    <cellStyle name="Input 2 2 2 2 2" xfId="6305"/>
    <cellStyle name="Input 2 2 2 2 2 2" xfId="14499"/>
    <cellStyle name="Input 2 2 2 2 2 2 2" xfId="26471"/>
    <cellStyle name="Input 2 2 2 2 2 2 2 2" xfId="47657"/>
    <cellStyle name="Input 2 2 2 2 2 2 3" xfId="37053"/>
    <cellStyle name="Input 2 2 2 2 2 3" xfId="21358"/>
    <cellStyle name="Input 2 2 2 2 2 3 2" xfId="42545"/>
    <cellStyle name="Input 2 2 2 2 2 4" xfId="31961"/>
    <cellStyle name="Input 2 2 2 2 2_Table 2A-1_EFT (Annual)" xfId="15076"/>
    <cellStyle name="Input 2 2 2 2 3" xfId="11841"/>
    <cellStyle name="Input 2 2 2 2 3 2" xfId="23925"/>
    <cellStyle name="Input 2 2 2 2 3 2 2" xfId="45111"/>
    <cellStyle name="Input 2 2 2 2 3 3" xfId="34507"/>
    <cellStyle name="Input 2 2 2 2 4" xfId="18812"/>
    <cellStyle name="Input 2 2 2 2 4 2" xfId="39999"/>
    <cellStyle name="Input 2 2 2 2 5" xfId="29218"/>
    <cellStyle name="Input 2 2 2 2_Table 2A-1_EFT (Annual)" xfId="6874"/>
    <cellStyle name="Input 2 2 2 3" xfId="5035"/>
    <cellStyle name="Input 2 2 2 3 2" xfId="13295"/>
    <cellStyle name="Input 2 2 2 3 2 2" xfId="25301"/>
    <cellStyle name="Input 2 2 2 3 2 2 2" xfId="46487"/>
    <cellStyle name="Input 2 2 2 3 2 3" xfId="35883"/>
    <cellStyle name="Input 2 2 2 3 3" xfId="20188"/>
    <cellStyle name="Input 2 2 2 3 3 2" xfId="41375"/>
    <cellStyle name="Input 2 2 2 3 4" xfId="30692"/>
    <cellStyle name="Input 2 2 2 3_Table 2A-1_EFT (Annual)" xfId="15077"/>
    <cellStyle name="Input 2 2 2 4" xfId="10639"/>
    <cellStyle name="Input 2 2 2 4 2" xfId="22755"/>
    <cellStyle name="Input 2 2 2 4 2 2" xfId="43941"/>
    <cellStyle name="Input 2 2 2 4 3" xfId="33337"/>
    <cellStyle name="Input 2 2 2 5" xfId="17642"/>
    <cellStyle name="Input 2 2 2 5 2" xfId="38829"/>
    <cellStyle name="Input 2 2 2 6" xfId="27949"/>
    <cellStyle name="Input 2 2 2_Table 2A-1_EFT (Annual)" xfId="6873"/>
    <cellStyle name="Input 2 2 3" xfId="1012"/>
    <cellStyle name="Input 2 2 3 2" xfId="4573"/>
    <cellStyle name="Input 2 2 3 2 2" xfId="12833"/>
    <cellStyle name="Input 2 2 3 2 2 2" xfId="24839"/>
    <cellStyle name="Input 2 2 3 2 2 2 2" xfId="46025"/>
    <cellStyle name="Input 2 2 3 2 2 3" xfId="35421"/>
    <cellStyle name="Input 2 2 3 2 3" xfId="19726"/>
    <cellStyle name="Input 2 2 3 2 3 2" xfId="40913"/>
    <cellStyle name="Input 2 2 3 2 4" xfId="30230"/>
    <cellStyle name="Input 2 2 3 2_Table 2A-1_EFT (Annual)" xfId="15078"/>
    <cellStyle name="Input 2 2 3 3" xfId="10177"/>
    <cellStyle name="Input 2 2 3 3 2" xfId="22293"/>
    <cellStyle name="Input 2 2 3 3 2 2" xfId="43479"/>
    <cellStyle name="Input 2 2 3 3 3" xfId="32875"/>
    <cellStyle name="Input 2 2 3 4" xfId="17180"/>
    <cellStyle name="Input 2 2 3 4 2" xfId="38367"/>
    <cellStyle name="Input 2 2 3 5" xfId="27487"/>
    <cellStyle name="Input 2 2 3_Table 2A-1_EFT (Annual)" xfId="6875"/>
    <cellStyle name="Input 2 2 4" xfId="2213"/>
    <cellStyle name="Input 2 2 4 2" xfId="5774"/>
    <cellStyle name="Input 2 2 4 2 2" xfId="13989"/>
    <cellStyle name="Input 2 2 4 2 2 2" xfId="25977"/>
    <cellStyle name="Input 2 2 4 2 2 2 2" xfId="47163"/>
    <cellStyle name="Input 2 2 4 2 2 3" xfId="36559"/>
    <cellStyle name="Input 2 2 4 2 3" xfId="20864"/>
    <cellStyle name="Input 2 2 4 2 3 2" xfId="42051"/>
    <cellStyle name="Input 2 2 4 2 4" xfId="31431"/>
    <cellStyle name="Input 2 2 4 2_Table 2A-1_EFT (Annual)" xfId="15079"/>
    <cellStyle name="Input 2 2 4 3" xfId="11333"/>
    <cellStyle name="Input 2 2 4 3 2" xfId="23431"/>
    <cellStyle name="Input 2 2 4 3 2 2" xfId="44617"/>
    <cellStyle name="Input 2 2 4 3 3" xfId="34013"/>
    <cellStyle name="Input 2 2 4 4" xfId="18318"/>
    <cellStyle name="Input 2 2 4 4 2" xfId="39505"/>
    <cellStyle name="Input 2 2 4 5" xfId="28688"/>
    <cellStyle name="Input 2 2 4_Table 2A-1_EFT (Annual)" xfId="6876"/>
    <cellStyle name="Input 2 2 5" xfId="4067"/>
    <cellStyle name="Input 2 2 5 2" xfId="12391"/>
    <cellStyle name="Input 2 2 5 2 2" xfId="24413"/>
    <cellStyle name="Input 2 2 5 2 2 2" xfId="45599"/>
    <cellStyle name="Input 2 2 5 2 3" xfId="34995"/>
    <cellStyle name="Input 2 2 5 3" xfId="19300"/>
    <cellStyle name="Input 2 2 5 3 2" xfId="40487"/>
    <cellStyle name="Input 2 2 5 4" xfId="29755"/>
    <cellStyle name="Input 2 2 5_Table 2A-1_EFT (Annual)" xfId="15080"/>
    <cellStyle name="Input 2 2 6" xfId="9730"/>
    <cellStyle name="Input 2 2 6 2" xfId="21867"/>
    <cellStyle name="Input 2 2 6 2 2" xfId="43053"/>
    <cellStyle name="Input 2 2 6 3" xfId="32449"/>
    <cellStyle name="Input 2 2 7" xfId="16754"/>
    <cellStyle name="Input 2 2 7 2" xfId="37941"/>
    <cellStyle name="Input 2 2 8" xfId="27012"/>
    <cellStyle name="Input 2 2_Table 2A-1_EFT (Annual)" xfId="3022"/>
    <cellStyle name="Input 2 3" xfId="330"/>
    <cellStyle name="Input 2 3 2" xfId="1318"/>
    <cellStyle name="Input 2 3 2 2" xfId="2588"/>
    <cellStyle name="Input 2 3 2 2 2" xfId="6149"/>
    <cellStyle name="Input 2 3 2 2 2 2" xfId="14343"/>
    <cellStyle name="Input 2 3 2 2 2 2 2" xfId="26315"/>
    <cellStyle name="Input 2 3 2 2 2 2 2 2" xfId="47501"/>
    <cellStyle name="Input 2 3 2 2 2 2 3" xfId="36897"/>
    <cellStyle name="Input 2 3 2 2 2 3" xfId="21202"/>
    <cellStyle name="Input 2 3 2 2 2 3 2" xfId="42389"/>
    <cellStyle name="Input 2 3 2 2 2 4" xfId="31805"/>
    <cellStyle name="Input 2 3 2 2 2_Table 2A-1_EFT (Annual)" xfId="15081"/>
    <cellStyle name="Input 2 3 2 2 3" xfId="11685"/>
    <cellStyle name="Input 2 3 2 2 3 2" xfId="23769"/>
    <cellStyle name="Input 2 3 2 2 3 2 2" xfId="44955"/>
    <cellStyle name="Input 2 3 2 2 3 3" xfId="34351"/>
    <cellStyle name="Input 2 3 2 2 4" xfId="18656"/>
    <cellStyle name="Input 2 3 2 2 4 2" xfId="39843"/>
    <cellStyle name="Input 2 3 2 2 5" xfId="29062"/>
    <cellStyle name="Input 2 3 2 2_Table 2A-1_EFT (Annual)" xfId="6878"/>
    <cellStyle name="Input 2 3 2 3" xfId="4879"/>
    <cellStyle name="Input 2 3 2 3 2" xfId="13139"/>
    <cellStyle name="Input 2 3 2 3 2 2" xfId="25145"/>
    <cellStyle name="Input 2 3 2 3 2 2 2" xfId="46331"/>
    <cellStyle name="Input 2 3 2 3 2 3" xfId="35727"/>
    <cellStyle name="Input 2 3 2 3 3" xfId="20032"/>
    <cellStyle name="Input 2 3 2 3 3 2" xfId="41219"/>
    <cellStyle name="Input 2 3 2 3 4" xfId="30536"/>
    <cellStyle name="Input 2 3 2 3_Table 2A-1_EFT (Annual)" xfId="15082"/>
    <cellStyle name="Input 2 3 2 4" xfId="10483"/>
    <cellStyle name="Input 2 3 2 4 2" xfId="22599"/>
    <cellStyle name="Input 2 3 2 4 2 2" xfId="43785"/>
    <cellStyle name="Input 2 3 2 4 3" xfId="33181"/>
    <cellStyle name="Input 2 3 2 5" xfId="17486"/>
    <cellStyle name="Input 2 3 2 5 2" xfId="38673"/>
    <cellStyle name="Input 2 3 2 6" xfId="27793"/>
    <cellStyle name="Input 2 3 2_Table 2A-1_EFT (Annual)" xfId="6877"/>
    <cellStyle name="Input 2 3 3" xfId="875"/>
    <cellStyle name="Input 2 3 3 2" xfId="4436"/>
    <cellStyle name="Input 2 3 3 2 2" xfId="12701"/>
    <cellStyle name="Input 2 3 3 2 2 2" xfId="24713"/>
    <cellStyle name="Input 2 3 3 2 2 2 2" xfId="45899"/>
    <cellStyle name="Input 2 3 3 2 2 3" xfId="35295"/>
    <cellStyle name="Input 2 3 3 2 3" xfId="19600"/>
    <cellStyle name="Input 2 3 3 2 3 2" xfId="40787"/>
    <cellStyle name="Input 2 3 3 2 4" xfId="30093"/>
    <cellStyle name="Input 2 3 3 2_Table 2A-1_EFT (Annual)" xfId="15083"/>
    <cellStyle name="Input 2 3 3 3" xfId="10048"/>
    <cellStyle name="Input 2 3 3 3 2" xfId="22167"/>
    <cellStyle name="Input 2 3 3 3 2 2" xfId="43353"/>
    <cellStyle name="Input 2 3 3 3 3" xfId="32749"/>
    <cellStyle name="Input 2 3 3 4" xfId="17054"/>
    <cellStyle name="Input 2 3 3 4 2" xfId="38241"/>
    <cellStyle name="Input 2 3 3 5" xfId="27350"/>
    <cellStyle name="Input 2 3 3_Table 2A-1_EFT (Annual)" xfId="6879"/>
    <cellStyle name="Input 2 3 4" xfId="2057"/>
    <cellStyle name="Input 2 3 4 2" xfId="5618"/>
    <cellStyle name="Input 2 3 4 2 2" xfId="13833"/>
    <cellStyle name="Input 2 3 4 2 2 2" xfId="25821"/>
    <cellStyle name="Input 2 3 4 2 2 2 2" xfId="47007"/>
    <cellStyle name="Input 2 3 4 2 2 3" xfId="36403"/>
    <cellStyle name="Input 2 3 4 2 3" xfId="20708"/>
    <cellStyle name="Input 2 3 4 2 3 2" xfId="41895"/>
    <cellStyle name="Input 2 3 4 2 4" xfId="31275"/>
    <cellStyle name="Input 2 3 4 2_Table 2A-1_EFT (Annual)" xfId="15084"/>
    <cellStyle name="Input 2 3 4 3" xfId="11177"/>
    <cellStyle name="Input 2 3 4 3 2" xfId="23275"/>
    <cellStyle name="Input 2 3 4 3 2 2" xfId="44461"/>
    <cellStyle name="Input 2 3 4 3 3" xfId="33857"/>
    <cellStyle name="Input 2 3 4 4" xfId="18162"/>
    <cellStyle name="Input 2 3 4 4 2" xfId="39349"/>
    <cellStyle name="Input 2 3 4 5" xfId="28532"/>
    <cellStyle name="Input 2 3 4_Table 2A-1_EFT (Annual)" xfId="6880"/>
    <cellStyle name="Input 2 3 5" xfId="3900"/>
    <cellStyle name="Input 2 3 5 2" xfId="12232"/>
    <cellStyle name="Input 2 3 5 2 2" xfId="24257"/>
    <cellStyle name="Input 2 3 5 2 2 2" xfId="45443"/>
    <cellStyle name="Input 2 3 5 2 3" xfId="34839"/>
    <cellStyle name="Input 2 3 5 3" xfId="19144"/>
    <cellStyle name="Input 2 3 5 3 2" xfId="40331"/>
    <cellStyle name="Input 2 3 5 4" xfId="29588"/>
    <cellStyle name="Input 2 3 5_Table 2A-1_EFT (Annual)" xfId="15085"/>
    <cellStyle name="Input 2 3 6" xfId="9569"/>
    <cellStyle name="Input 2 3 6 2" xfId="21711"/>
    <cellStyle name="Input 2 3 6 2 2" xfId="42897"/>
    <cellStyle name="Input 2 3 6 3" xfId="32293"/>
    <cellStyle name="Input 2 3 7" xfId="16598"/>
    <cellStyle name="Input 2 3 7 2" xfId="37785"/>
    <cellStyle name="Input 2 3 8" xfId="26845"/>
    <cellStyle name="Input 2 3_Table 2A-1_EFT (Annual)" xfId="3023"/>
    <cellStyle name="Input 2 4" xfId="1152"/>
    <cellStyle name="Input 2 4 2" xfId="2422"/>
    <cellStyle name="Input 2 4 2 2" xfId="5983"/>
    <cellStyle name="Input 2 4 2 2 2" xfId="14177"/>
    <cellStyle name="Input 2 4 2 2 2 2" xfId="26149"/>
    <cellStyle name="Input 2 4 2 2 2 2 2" xfId="47335"/>
    <cellStyle name="Input 2 4 2 2 2 3" xfId="36731"/>
    <cellStyle name="Input 2 4 2 2 3" xfId="21036"/>
    <cellStyle name="Input 2 4 2 2 3 2" xfId="42223"/>
    <cellStyle name="Input 2 4 2 2 4" xfId="31639"/>
    <cellStyle name="Input 2 4 2 2_Table 2A-1_EFT (Annual)" xfId="15086"/>
    <cellStyle name="Input 2 4 2 3" xfId="11519"/>
    <cellStyle name="Input 2 4 2 3 2" xfId="23603"/>
    <cellStyle name="Input 2 4 2 3 2 2" xfId="44789"/>
    <cellStyle name="Input 2 4 2 3 3" xfId="34185"/>
    <cellStyle name="Input 2 4 2 4" xfId="18490"/>
    <cellStyle name="Input 2 4 2 4 2" xfId="39677"/>
    <cellStyle name="Input 2 4 2 5" xfId="28896"/>
    <cellStyle name="Input 2 4 2_Table 2A-1_EFT (Annual)" xfId="6882"/>
    <cellStyle name="Input 2 4 3" xfId="4713"/>
    <cellStyle name="Input 2 4 3 2" xfId="12973"/>
    <cellStyle name="Input 2 4 3 2 2" xfId="24979"/>
    <cellStyle name="Input 2 4 3 2 2 2" xfId="46165"/>
    <cellStyle name="Input 2 4 3 2 3" xfId="35561"/>
    <cellStyle name="Input 2 4 3 3" xfId="19866"/>
    <cellStyle name="Input 2 4 3 3 2" xfId="41053"/>
    <cellStyle name="Input 2 4 3 4" xfId="30370"/>
    <cellStyle name="Input 2 4 3_Table 2A-1_EFT (Annual)" xfId="15087"/>
    <cellStyle name="Input 2 4 4" xfId="10317"/>
    <cellStyle name="Input 2 4 4 2" xfId="22433"/>
    <cellStyle name="Input 2 4 4 2 2" xfId="43619"/>
    <cellStyle name="Input 2 4 4 3" xfId="33015"/>
    <cellStyle name="Input 2 4 5" xfId="17320"/>
    <cellStyle name="Input 2 4 5 2" xfId="38507"/>
    <cellStyle name="Input 2 4 6" xfId="27627"/>
    <cellStyle name="Input 2 4_Table 2A-1_EFT (Annual)" xfId="6881"/>
    <cellStyle name="Input 2 5" xfId="716"/>
    <cellStyle name="Input 2 5 2" xfId="4277"/>
    <cellStyle name="Input 2 5 2 2" xfId="12561"/>
    <cellStyle name="Input 2 5 2 2 2" xfId="24579"/>
    <cellStyle name="Input 2 5 2 2 2 2" xfId="45765"/>
    <cellStyle name="Input 2 5 2 2 3" xfId="35161"/>
    <cellStyle name="Input 2 5 2 3" xfId="19466"/>
    <cellStyle name="Input 2 5 2 3 2" xfId="40653"/>
    <cellStyle name="Input 2 5 2 4" xfId="29934"/>
    <cellStyle name="Input 2 5 2_Table 2A-1_EFT (Annual)" xfId="15088"/>
    <cellStyle name="Input 2 5 3" xfId="9908"/>
    <cellStyle name="Input 2 5 3 2" xfId="22033"/>
    <cellStyle name="Input 2 5 3 2 2" xfId="43219"/>
    <cellStyle name="Input 2 5 3 3" xfId="32615"/>
    <cellStyle name="Input 2 5 4" xfId="16920"/>
    <cellStyle name="Input 2 5 4 2" xfId="38107"/>
    <cellStyle name="Input 2 5 5" xfId="27191"/>
    <cellStyle name="Input 2 5_Table 2A-1_EFT (Annual)" xfId="6883"/>
    <cellStyle name="Input 2 6" xfId="1804"/>
    <cellStyle name="Input 2 6 2" xfId="5365"/>
    <cellStyle name="Input 2 6 2 2" xfId="13580"/>
    <cellStyle name="Input 2 6 2 2 2" xfId="25568"/>
    <cellStyle name="Input 2 6 2 2 2 2" xfId="46754"/>
    <cellStyle name="Input 2 6 2 2 3" xfId="36150"/>
    <cellStyle name="Input 2 6 2 3" xfId="20455"/>
    <cellStyle name="Input 2 6 2 3 2" xfId="41642"/>
    <cellStyle name="Input 2 6 2 4" xfId="31022"/>
    <cellStyle name="Input 2 6 2_Table 2A-1_EFT (Annual)" xfId="15089"/>
    <cellStyle name="Input 2 6 3" xfId="10924"/>
    <cellStyle name="Input 2 6 3 2" xfId="23022"/>
    <cellStyle name="Input 2 6 3 2 2" xfId="44208"/>
    <cellStyle name="Input 2 6 3 3" xfId="33604"/>
    <cellStyle name="Input 2 6 4" xfId="17909"/>
    <cellStyle name="Input 2 6 4 2" xfId="39096"/>
    <cellStyle name="Input 2 6 5" xfId="28279"/>
    <cellStyle name="Input 2 6_Table 2A-1_EFT (Annual)" xfId="6884"/>
    <cellStyle name="Input 2 7" xfId="3688"/>
    <cellStyle name="Input 2 7 2" xfId="12060"/>
    <cellStyle name="Input 2 7 2 2" xfId="24091"/>
    <cellStyle name="Input 2 7 2 2 2" xfId="45277"/>
    <cellStyle name="Input 2 7 2 3" xfId="34673"/>
    <cellStyle name="Input 2 7 3" xfId="18978"/>
    <cellStyle name="Input 2 7 3 2" xfId="40165"/>
    <cellStyle name="Input 2 7 4" xfId="29397"/>
    <cellStyle name="Input 2 7_Table 2A-1_EFT (Annual)" xfId="15090"/>
    <cellStyle name="Input 2 8" xfId="9378"/>
    <cellStyle name="Input 2 8 2" xfId="21545"/>
    <cellStyle name="Input 2 8 2 2" xfId="42731"/>
    <cellStyle name="Input 2 8 3" xfId="32127"/>
    <cellStyle name="Input 2 9" xfId="16432"/>
    <cellStyle name="Input 2 9 2" xfId="37619"/>
    <cellStyle name="Input 2_Table 2A-1_EFT (Annual)" xfId="3021"/>
    <cellStyle name="Input 20" xfId="169"/>
    <cellStyle name="Input 20 10" xfId="26724"/>
    <cellStyle name="Input 20 2" xfId="562"/>
    <cellStyle name="Input 20 2 2" xfId="1539"/>
    <cellStyle name="Input 20 2 2 2" xfId="2809"/>
    <cellStyle name="Input 20 2 2 2 2" xfId="6370"/>
    <cellStyle name="Input 20 2 2 2 2 2" xfId="14564"/>
    <cellStyle name="Input 20 2 2 2 2 2 2" xfId="26536"/>
    <cellStyle name="Input 20 2 2 2 2 2 2 2" xfId="47722"/>
    <cellStyle name="Input 20 2 2 2 2 2 3" xfId="37118"/>
    <cellStyle name="Input 20 2 2 2 2 3" xfId="21423"/>
    <cellStyle name="Input 20 2 2 2 2 3 2" xfId="42610"/>
    <cellStyle name="Input 20 2 2 2 2 4" xfId="32026"/>
    <cellStyle name="Input 20 2 2 2 2_Table 2A-1_EFT (Annual)" xfId="15091"/>
    <cellStyle name="Input 20 2 2 2 3" xfId="11906"/>
    <cellStyle name="Input 20 2 2 2 3 2" xfId="23990"/>
    <cellStyle name="Input 20 2 2 2 3 2 2" xfId="45176"/>
    <cellStyle name="Input 20 2 2 2 3 3" xfId="34572"/>
    <cellStyle name="Input 20 2 2 2 4" xfId="18877"/>
    <cellStyle name="Input 20 2 2 2 4 2" xfId="40064"/>
    <cellStyle name="Input 20 2 2 2 5" xfId="29283"/>
    <cellStyle name="Input 20 2 2 2_Table 2A-1_EFT (Annual)" xfId="6886"/>
    <cellStyle name="Input 20 2 2 3" xfId="5100"/>
    <cellStyle name="Input 20 2 2 3 2" xfId="13360"/>
    <cellStyle name="Input 20 2 2 3 2 2" xfId="25366"/>
    <cellStyle name="Input 20 2 2 3 2 2 2" xfId="46552"/>
    <cellStyle name="Input 20 2 2 3 2 3" xfId="35948"/>
    <cellStyle name="Input 20 2 2 3 3" xfId="20253"/>
    <cellStyle name="Input 20 2 2 3 3 2" xfId="41440"/>
    <cellStyle name="Input 20 2 2 3 4" xfId="30757"/>
    <cellStyle name="Input 20 2 2 3_Table 2A-1_EFT (Annual)" xfId="15092"/>
    <cellStyle name="Input 20 2 2 4" xfId="10704"/>
    <cellStyle name="Input 20 2 2 4 2" xfId="22820"/>
    <cellStyle name="Input 20 2 2 4 2 2" xfId="44006"/>
    <cellStyle name="Input 20 2 2 4 3" xfId="33402"/>
    <cellStyle name="Input 20 2 2 5" xfId="17707"/>
    <cellStyle name="Input 20 2 2 5 2" xfId="38894"/>
    <cellStyle name="Input 20 2 2 6" xfId="28014"/>
    <cellStyle name="Input 20 2 2_Table 2A-1_EFT (Annual)" xfId="6885"/>
    <cellStyle name="Input 20 2 3" xfId="1065"/>
    <cellStyle name="Input 20 2 3 2" xfId="4626"/>
    <cellStyle name="Input 20 2 3 2 2" xfId="12886"/>
    <cellStyle name="Input 20 2 3 2 2 2" xfId="24892"/>
    <cellStyle name="Input 20 2 3 2 2 2 2" xfId="46078"/>
    <cellStyle name="Input 20 2 3 2 2 3" xfId="35474"/>
    <cellStyle name="Input 20 2 3 2 3" xfId="19779"/>
    <cellStyle name="Input 20 2 3 2 3 2" xfId="40966"/>
    <cellStyle name="Input 20 2 3 2 4" xfId="30283"/>
    <cellStyle name="Input 20 2 3 2_Table 2A-1_EFT (Annual)" xfId="15093"/>
    <cellStyle name="Input 20 2 3 3" xfId="10230"/>
    <cellStyle name="Input 20 2 3 3 2" xfId="22346"/>
    <cellStyle name="Input 20 2 3 3 2 2" xfId="43532"/>
    <cellStyle name="Input 20 2 3 3 3" xfId="32928"/>
    <cellStyle name="Input 20 2 3 4" xfId="17233"/>
    <cellStyle name="Input 20 2 3 4 2" xfId="38420"/>
    <cellStyle name="Input 20 2 3 5" xfId="27540"/>
    <cellStyle name="Input 20 2 3_Table 2A-1_EFT (Annual)" xfId="6887"/>
    <cellStyle name="Input 20 2 4" xfId="2278"/>
    <cellStyle name="Input 20 2 4 2" xfId="5839"/>
    <cellStyle name="Input 20 2 4 2 2" xfId="14054"/>
    <cellStyle name="Input 20 2 4 2 2 2" xfId="26042"/>
    <cellStyle name="Input 20 2 4 2 2 2 2" xfId="47228"/>
    <cellStyle name="Input 20 2 4 2 2 3" xfId="36624"/>
    <cellStyle name="Input 20 2 4 2 3" xfId="20929"/>
    <cellStyle name="Input 20 2 4 2 3 2" xfId="42116"/>
    <cellStyle name="Input 20 2 4 2 4" xfId="31496"/>
    <cellStyle name="Input 20 2 4 2_Table 2A-1_EFT (Annual)" xfId="15094"/>
    <cellStyle name="Input 20 2 4 3" xfId="11398"/>
    <cellStyle name="Input 20 2 4 3 2" xfId="23496"/>
    <cellStyle name="Input 20 2 4 3 2 2" xfId="44682"/>
    <cellStyle name="Input 20 2 4 3 3" xfId="34078"/>
    <cellStyle name="Input 20 2 4 4" xfId="18383"/>
    <cellStyle name="Input 20 2 4 4 2" xfId="39570"/>
    <cellStyle name="Input 20 2 4 5" xfId="28753"/>
    <cellStyle name="Input 20 2 4_Table 2A-1_EFT (Annual)" xfId="6888"/>
    <cellStyle name="Input 20 2 5" xfId="4132"/>
    <cellStyle name="Input 20 2 5 2" xfId="12456"/>
    <cellStyle name="Input 20 2 5 2 2" xfId="24478"/>
    <cellStyle name="Input 20 2 5 2 2 2" xfId="45664"/>
    <cellStyle name="Input 20 2 5 2 3" xfId="35060"/>
    <cellStyle name="Input 20 2 5 3" xfId="19365"/>
    <cellStyle name="Input 20 2 5 3 2" xfId="40552"/>
    <cellStyle name="Input 20 2 5 4" xfId="29820"/>
    <cellStyle name="Input 20 2 5_Table 2A-1_EFT (Annual)" xfId="15095"/>
    <cellStyle name="Input 20 2 6" xfId="9795"/>
    <cellStyle name="Input 20 2 6 2" xfId="21932"/>
    <cellStyle name="Input 20 2 6 2 2" xfId="43118"/>
    <cellStyle name="Input 20 2 6 3" xfId="32514"/>
    <cellStyle name="Input 20 2 7" xfId="16819"/>
    <cellStyle name="Input 20 2 7 2" xfId="38006"/>
    <cellStyle name="Input 20 2 8" xfId="27077"/>
    <cellStyle name="Input 20 2_Table 2A-1_EFT (Annual)" xfId="3025"/>
    <cellStyle name="Input 20 3" xfId="400"/>
    <cellStyle name="Input 20 3 2" xfId="1383"/>
    <cellStyle name="Input 20 3 2 2" xfId="2653"/>
    <cellStyle name="Input 20 3 2 2 2" xfId="6214"/>
    <cellStyle name="Input 20 3 2 2 2 2" xfId="14408"/>
    <cellStyle name="Input 20 3 2 2 2 2 2" xfId="26380"/>
    <cellStyle name="Input 20 3 2 2 2 2 2 2" xfId="47566"/>
    <cellStyle name="Input 20 3 2 2 2 2 3" xfId="36962"/>
    <cellStyle name="Input 20 3 2 2 2 3" xfId="21267"/>
    <cellStyle name="Input 20 3 2 2 2 3 2" xfId="42454"/>
    <cellStyle name="Input 20 3 2 2 2 4" xfId="31870"/>
    <cellStyle name="Input 20 3 2 2 2_Table 2A-1_EFT (Annual)" xfId="15096"/>
    <cellStyle name="Input 20 3 2 2 3" xfId="11750"/>
    <cellStyle name="Input 20 3 2 2 3 2" xfId="23834"/>
    <cellStyle name="Input 20 3 2 2 3 2 2" xfId="45020"/>
    <cellStyle name="Input 20 3 2 2 3 3" xfId="34416"/>
    <cellStyle name="Input 20 3 2 2 4" xfId="18721"/>
    <cellStyle name="Input 20 3 2 2 4 2" xfId="39908"/>
    <cellStyle name="Input 20 3 2 2 5" xfId="29127"/>
    <cellStyle name="Input 20 3 2 2_Table 2A-1_EFT (Annual)" xfId="6890"/>
    <cellStyle name="Input 20 3 2 3" xfId="4944"/>
    <cellStyle name="Input 20 3 2 3 2" xfId="13204"/>
    <cellStyle name="Input 20 3 2 3 2 2" xfId="25210"/>
    <cellStyle name="Input 20 3 2 3 2 2 2" xfId="46396"/>
    <cellStyle name="Input 20 3 2 3 2 3" xfId="35792"/>
    <cellStyle name="Input 20 3 2 3 3" xfId="20097"/>
    <cellStyle name="Input 20 3 2 3 3 2" xfId="41284"/>
    <cellStyle name="Input 20 3 2 3 4" xfId="30601"/>
    <cellStyle name="Input 20 3 2 3_Table 2A-1_EFT (Annual)" xfId="15097"/>
    <cellStyle name="Input 20 3 2 4" xfId="10548"/>
    <cellStyle name="Input 20 3 2 4 2" xfId="22664"/>
    <cellStyle name="Input 20 3 2 4 2 2" xfId="43850"/>
    <cellStyle name="Input 20 3 2 4 3" xfId="33246"/>
    <cellStyle name="Input 20 3 2 5" xfId="17551"/>
    <cellStyle name="Input 20 3 2 5 2" xfId="38738"/>
    <cellStyle name="Input 20 3 2 6" xfId="27858"/>
    <cellStyle name="Input 20 3 2_Table 2A-1_EFT (Annual)" xfId="6889"/>
    <cellStyle name="Input 20 3 3" xfId="933"/>
    <cellStyle name="Input 20 3 3 2" xfId="4494"/>
    <cellStyle name="Input 20 3 3 2 2" xfId="12756"/>
    <cellStyle name="Input 20 3 3 2 2 2" xfId="24766"/>
    <cellStyle name="Input 20 3 3 2 2 2 2" xfId="45952"/>
    <cellStyle name="Input 20 3 3 2 2 3" xfId="35348"/>
    <cellStyle name="Input 20 3 3 2 3" xfId="19653"/>
    <cellStyle name="Input 20 3 3 2 3 2" xfId="40840"/>
    <cellStyle name="Input 20 3 3 2 4" xfId="30151"/>
    <cellStyle name="Input 20 3 3 2_Table 2A-1_EFT (Annual)" xfId="15098"/>
    <cellStyle name="Input 20 3 3 3" xfId="10103"/>
    <cellStyle name="Input 20 3 3 3 2" xfId="22220"/>
    <cellStyle name="Input 20 3 3 3 2 2" xfId="43406"/>
    <cellStyle name="Input 20 3 3 3 3" xfId="32802"/>
    <cellStyle name="Input 20 3 3 4" xfId="17107"/>
    <cellStyle name="Input 20 3 3 4 2" xfId="38294"/>
    <cellStyle name="Input 20 3 3 5" xfId="27408"/>
    <cellStyle name="Input 20 3 3_Table 2A-1_EFT (Annual)" xfId="6891"/>
    <cellStyle name="Input 20 3 4" xfId="2122"/>
    <cellStyle name="Input 20 3 4 2" xfId="5683"/>
    <cellStyle name="Input 20 3 4 2 2" xfId="13898"/>
    <cellStyle name="Input 20 3 4 2 2 2" xfId="25886"/>
    <cellStyle name="Input 20 3 4 2 2 2 2" xfId="47072"/>
    <cellStyle name="Input 20 3 4 2 2 3" xfId="36468"/>
    <cellStyle name="Input 20 3 4 2 3" xfId="20773"/>
    <cellStyle name="Input 20 3 4 2 3 2" xfId="41960"/>
    <cellStyle name="Input 20 3 4 2 4" xfId="31340"/>
    <cellStyle name="Input 20 3 4 2_Table 2A-1_EFT (Annual)" xfId="15099"/>
    <cellStyle name="Input 20 3 4 3" xfId="11242"/>
    <cellStyle name="Input 20 3 4 3 2" xfId="23340"/>
    <cellStyle name="Input 20 3 4 3 2 2" xfId="44526"/>
    <cellStyle name="Input 20 3 4 3 3" xfId="33922"/>
    <cellStyle name="Input 20 3 4 4" xfId="18227"/>
    <cellStyle name="Input 20 3 4 4 2" xfId="39414"/>
    <cellStyle name="Input 20 3 4 5" xfId="28597"/>
    <cellStyle name="Input 20 3 4_Table 2A-1_EFT (Annual)" xfId="6892"/>
    <cellStyle name="Input 20 3 5" xfId="3970"/>
    <cellStyle name="Input 20 3 5 2" xfId="12298"/>
    <cellStyle name="Input 20 3 5 2 2" xfId="24322"/>
    <cellStyle name="Input 20 3 5 2 2 2" xfId="45508"/>
    <cellStyle name="Input 20 3 5 2 3" xfId="34904"/>
    <cellStyle name="Input 20 3 5 3" xfId="19209"/>
    <cellStyle name="Input 20 3 5 3 2" xfId="40396"/>
    <cellStyle name="Input 20 3 5 4" xfId="29658"/>
    <cellStyle name="Input 20 3 5_Table 2A-1_EFT (Annual)" xfId="15100"/>
    <cellStyle name="Input 20 3 6" xfId="9635"/>
    <cellStyle name="Input 20 3 6 2" xfId="21776"/>
    <cellStyle name="Input 20 3 6 2 2" xfId="42962"/>
    <cellStyle name="Input 20 3 6 3" xfId="32358"/>
    <cellStyle name="Input 20 3 7" xfId="16663"/>
    <cellStyle name="Input 20 3 7 2" xfId="37850"/>
    <cellStyle name="Input 20 3 8" xfId="26915"/>
    <cellStyle name="Input 20 3_Table 2A-1_EFT (Annual)" xfId="3026"/>
    <cellStyle name="Input 20 4" xfId="1217"/>
    <cellStyle name="Input 20 4 2" xfId="2487"/>
    <cellStyle name="Input 20 4 2 2" xfId="6048"/>
    <cellStyle name="Input 20 4 2 2 2" xfId="14242"/>
    <cellStyle name="Input 20 4 2 2 2 2" xfId="26214"/>
    <cellStyle name="Input 20 4 2 2 2 2 2" xfId="47400"/>
    <cellStyle name="Input 20 4 2 2 2 3" xfId="36796"/>
    <cellStyle name="Input 20 4 2 2 3" xfId="21101"/>
    <cellStyle name="Input 20 4 2 2 3 2" xfId="42288"/>
    <cellStyle name="Input 20 4 2 2 4" xfId="31704"/>
    <cellStyle name="Input 20 4 2 2_Table 2A-1_EFT (Annual)" xfId="15101"/>
    <cellStyle name="Input 20 4 2 3" xfId="11584"/>
    <cellStyle name="Input 20 4 2 3 2" xfId="23668"/>
    <cellStyle name="Input 20 4 2 3 2 2" xfId="44854"/>
    <cellStyle name="Input 20 4 2 3 3" xfId="34250"/>
    <cellStyle name="Input 20 4 2 4" xfId="18555"/>
    <cellStyle name="Input 20 4 2 4 2" xfId="39742"/>
    <cellStyle name="Input 20 4 2 5" xfId="28961"/>
    <cellStyle name="Input 20 4 2_Table 2A-1_EFT (Annual)" xfId="6894"/>
    <cellStyle name="Input 20 4 3" xfId="4778"/>
    <cellStyle name="Input 20 4 3 2" xfId="13038"/>
    <cellStyle name="Input 20 4 3 2 2" xfId="25044"/>
    <cellStyle name="Input 20 4 3 2 2 2" xfId="46230"/>
    <cellStyle name="Input 20 4 3 2 3" xfId="35626"/>
    <cellStyle name="Input 20 4 3 3" xfId="19931"/>
    <cellStyle name="Input 20 4 3 3 2" xfId="41118"/>
    <cellStyle name="Input 20 4 3 4" xfId="30435"/>
    <cellStyle name="Input 20 4 3_Table 2A-1_EFT (Annual)" xfId="15102"/>
    <cellStyle name="Input 20 4 4" xfId="10382"/>
    <cellStyle name="Input 20 4 4 2" xfId="22498"/>
    <cellStyle name="Input 20 4 4 2 2" xfId="43684"/>
    <cellStyle name="Input 20 4 4 3" xfId="33080"/>
    <cellStyle name="Input 20 4 5" xfId="17385"/>
    <cellStyle name="Input 20 4 5 2" xfId="38572"/>
    <cellStyle name="Input 20 4 6" xfId="27692"/>
    <cellStyle name="Input 20 4_Table 2A-1_EFT (Annual)" xfId="6893"/>
    <cellStyle name="Input 20 5" xfId="774"/>
    <cellStyle name="Input 20 5 2" xfId="4335"/>
    <cellStyle name="Input 20 5 2 2" xfId="12615"/>
    <cellStyle name="Input 20 5 2 2 2" xfId="24632"/>
    <cellStyle name="Input 20 5 2 2 2 2" xfId="45818"/>
    <cellStyle name="Input 20 5 2 2 3" xfId="35214"/>
    <cellStyle name="Input 20 5 2 3" xfId="19519"/>
    <cellStyle name="Input 20 5 2 3 2" xfId="40706"/>
    <cellStyle name="Input 20 5 2 4" xfId="29992"/>
    <cellStyle name="Input 20 5 2_Table 2A-1_EFT (Annual)" xfId="15103"/>
    <cellStyle name="Input 20 5 3" xfId="9963"/>
    <cellStyle name="Input 20 5 3 2" xfId="22086"/>
    <cellStyle name="Input 20 5 3 2 2" xfId="43272"/>
    <cellStyle name="Input 20 5 3 3" xfId="32668"/>
    <cellStyle name="Input 20 5 4" xfId="16973"/>
    <cellStyle name="Input 20 5 4 2" xfId="38160"/>
    <cellStyle name="Input 20 5 5" xfId="27249"/>
    <cellStyle name="Input 20 5_Table 2A-1_EFT (Annual)" xfId="6895"/>
    <cellStyle name="Input 20 6" xfId="1956"/>
    <cellStyle name="Input 20 6 2" xfId="5517"/>
    <cellStyle name="Input 20 6 2 2" xfId="13732"/>
    <cellStyle name="Input 20 6 2 2 2" xfId="25720"/>
    <cellStyle name="Input 20 6 2 2 2 2" xfId="46906"/>
    <cellStyle name="Input 20 6 2 2 3" xfId="36302"/>
    <cellStyle name="Input 20 6 2 3" xfId="20607"/>
    <cellStyle name="Input 20 6 2 3 2" xfId="41794"/>
    <cellStyle name="Input 20 6 2 4" xfId="31174"/>
    <cellStyle name="Input 20 6 2_Table 2A-1_EFT (Annual)" xfId="15104"/>
    <cellStyle name="Input 20 6 3" xfId="11076"/>
    <cellStyle name="Input 20 6 3 2" xfId="23174"/>
    <cellStyle name="Input 20 6 3 2 2" xfId="44360"/>
    <cellStyle name="Input 20 6 3 3" xfId="33756"/>
    <cellStyle name="Input 20 6 4" xfId="18061"/>
    <cellStyle name="Input 20 6 4 2" xfId="39248"/>
    <cellStyle name="Input 20 6 5" xfId="28431"/>
    <cellStyle name="Input 20 6_Table 2A-1_EFT (Annual)" xfId="6896"/>
    <cellStyle name="Input 20 7" xfId="3758"/>
    <cellStyle name="Input 20 7 2" xfId="12126"/>
    <cellStyle name="Input 20 7 2 2" xfId="24156"/>
    <cellStyle name="Input 20 7 2 2 2" xfId="45342"/>
    <cellStyle name="Input 20 7 2 3" xfId="34738"/>
    <cellStyle name="Input 20 7 3" xfId="19043"/>
    <cellStyle name="Input 20 7 3 2" xfId="40230"/>
    <cellStyle name="Input 20 7 4" xfId="29467"/>
    <cellStyle name="Input 20 7_Table 2A-1_EFT (Annual)" xfId="15105"/>
    <cellStyle name="Input 20 8" xfId="9445"/>
    <cellStyle name="Input 20 8 2" xfId="21610"/>
    <cellStyle name="Input 20 8 2 2" xfId="42796"/>
    <cellStyle name="Input 20 8 3" xfId="32192"/>
    <cellStyle name="Input 20 9" xfId="16497"/>
    <cellStyle name="Input 20 9 2" xfId="37684"/>
    <cellStyle name="Input 20_Table 2A-1_EFT (Annual)" xfId="3024"/>
    <cellStyle name="Input 21" xfId="165"/>
    <cellStyle name="Input 21 10" xfId="26720"/>
    <cellStyle name="Input 21 2" xfId="558"/>
    <cellStyle name="Input 21 2 2" xfId="1535"/>
    <cellStyle name="Input 21 2 2 2" xfId="2805"/>
    <cellStyle name="Input 21 2 2 2 2" xfId="6366"/>
    <cellStyle name="Input 21 2 2 2 2 2" xfId="14560"/>
    <cellStyle name="Input 21 2 2 2 2 2 2" xfId="26532"/>
    <cellStyle name="Input 21 2 2 2 2 2 2 2" xfId="47718"/>
    <cellStyle name="Input 21 2 2 2 2 2 3" xfId="37114"/>
    <cellStyle name="Input 21 2 2 2 2 3" xfId="21419"/>
    <cellStyle name="Input 21 2 2 2 2 3 2" xfId="42606"/>
    <cellStyle name="Input 21 2 2 2 2 4" xfId="32022"/>
    <cellStyle name="Input 21 2 2 2 2_Table 2A-1_EFT (Annual)" xfId="15106"/>
    <cellStyle name="Input 21 2 2 2 3" xfId="11902"/>
    <cellStyle name="Input 21 2 2 2 3 2" xfId="23986"/>
    <cellStyle name="Input 21 2 2 2 3 2 2" xfId="45172"/>
    <cellStyle name="Input 21 2 2 2 3 3" xfId="34568"/>
    <cellStyle name="Input 21 2 2 2 4" xfId="18873"/>
    <cellStyle name="Input 21 2 2 2 4 2" xfId="40060"/>
    <cellStyle name="Input 21 2 2 2 5" xfId="29279"/>
    <cellStyle name="Input 21 2 2 2_Table 2A-1_EFT (Annual)" xfId="6898"/>
    <cellStyle name="Input 21 2 2 3" xfId="5096"/>
    <cellStyle name="Input 21 2 2 3 2" xfId="13356"/>
    <cellStyle name="Input 21 2 2 3 2 2" xfId="25362"/>
    <cellStyle name="Input 21 2 2 3 2 2 2" xfId="46548"/>
    <cellStyle name="Input 21 2 2 3 2 3" xfId="35944"/>
    <cellStyle name="Input 21 2 2 3 3" xfId="20249"/>
    <cellStyle name="Input 21 2 2 3 3 2" xfId="41436"/>
    <cellStyle name="Input 21 2 2 3 4" xfId="30753"/>
    <cellStyle name="Input 21 2 2 3_Table 2A-1_EFT (Annual)" xfId="15107"/>
    <cellStyle name="Input 21 2 2 4" xfId="10700"/>
    <cellStyle name="Input 21 2 2 4 2" xfId="22816"/>
    <cellStyle name="Input 21 2 2 4 2 2" xfId="44002"/>
    <cellStyle name="Input 21 2 2 4 3" xfId="33398"/>
    <cellStyle name="Input 21 2 2 5" xfId="17703"/>
    <cellStyle name="Input 21 2 2 5 2" xfId="38890"/>
    <cellStyle name="Input 21 2 2 6" xfId="28010"/>
    <cellStyle name="Input 21 2 2_Table 2A-1_EFT (Annual)" xfId="6897"/>
    <cellStyle name="Input 21 2 3" xfId="1062"/>
    <cellStyle name="Input 21 2 3 2" xfId="4623"/>
    <cellStyle name="Input 21 2 3 2 2" xfId="12883"/>
    <cellStyle name="Input 21 2 3 2 2 2" xfId="24889"/>
    <cellStyle name="Input 21 2 3 2 2 2 2" xfId="46075"/>
    <cellStyle name="Input 21 2 3 2 2 3" xfId="35471"/>
    <cellStyle name="Input 21 2 3 2 3" xfId="19776"/>
    <cellStyle name="Input 21 2 3 2 3 2" xfId="40963"/>
    <cellStyle name="Input 21 2 3 2 4" xfId="30280"/>
    <cellStyle name="Input 21 2 3 2_Table 2A-1_EFT (Annual)" xfId="15108"/>
    <cellStyle name="Input 21 2 3 3" xfId="10227"/>
    <cellStyle name="Input 21 2 3 3 2" xfId="22343"/>
    <cellStyle name="Input 21 2 3 3 2 2" xfId="43529"/>
    <cellStyle name="Input 21 2 3 3 3" xfId="32925"/>
    <cellStyle name="Input 21 2 3 4" xfId="17230"/>
    <cellStyle name="Input 21 2 3 4 2" xfId="38417"/>
    <cellStyle name="Input 21 2 3 5" xfId="27537"/>
    <cellStyle name="Input 21 2 3_Table 2A-1_EFT (Annual)" xfId="6899"/>
    <cellStyle name="Input 21 2 4" xfId="2274"/>
    <cellStyle name="Input 21 2 4 2" xfId="5835"/>
    <cellStyle name="Input 21 2 4 2 2" xfId="14050"/>
    <cellStyle name="Input 21 2 4 2 2 2" xfId="26038"/>
    <cellStyle name="Input 21 2 4 2 2 2 2" xfId="47224"/>
    <cellStyle name="Input 21 2 4 2 2 3" xfId="36620"/>
    <cellStyle name="Input 21 2 4 2 3" xfId="20925"/>
    <cellStyle name="Input 21 2 4 2 3 2" xfId="42112"/>
    <cellStyle name="Input 21 2 4 2 4" xfId="31492"/>
    <cellStyle name="Input 21 2 4 2_Table 2A-1_EFT (Annual)" xfId="15109"/>
    <cellStyle name="Input 21 2 4 3" xfId="11394"/>
    <cellStyle name="Input 21 2 4 3 2" xfId="23492"/>
    <cellStyle name="Input 21 2 4 3 2 2" xfId="44678"/>
    <cellStyle name="Input 21 2 4 3 3" xfId="34074"/>
    <cellStyle name="Input 21 2 4 4" xfId="18379"/>
    <cellStyle name="Input 21 2 4 4 2" xfId="39566"/>
    <cellStyle name="Input 21 2 4 5" xfId="28749"/>
    <cellStyle name="Input 21 2 4_Table 2A-1_EFT (Annual)" xfId="6900"/>
    <cellStyle name="Input 21 2 5" xfId="4128"/>
    <cellStyle name="Input 21 2 5 2" xfId="12452"/>
    <cellStyle name="Input 21 2 5 2 2" xfId="24474"/>
    <cellStyle name="Input 21 2 5 2 2 2" xfId="45660"/>
    <cellStyle name="Input 21 2 5 2 3" xfId="35056"/>
    <cellStyle name="Input 21 2 5 3" xfId="19361"/>
    <cellStyle name="Input 21 2 5 3 2" xfId="40548"/>
    <cellStyle name="Input 21 2 5 4" xfId="29816"/>
    <cellStyle name="Input 21 2 5_Table 2A-1_EFT (Annual)" xfId="15110"/>
    <cellStyle name="Input 21 2 6" xfId="9791"/>
    <cellStyle name="Input 21 2 6 2" xfId="21928"/>
    <cellStyle name="Input 21 2 6 2 2" xfId="43114"/>
    <cellStyle name="Input 21 2 6 3" xfId="32510"/>
    <cellStyle name="Input 21 2 7" xfId="16815"/>
    <cellStyle name="Input 21 2 7 2" xfId="38002"/>
    <cellStyle name="Input 21 2 8" xfId="27073"/>
    <cellStyle name="Input 21 2_Table 2A-1_EFT (Annual)" xfId="3028"/>
    <cellStyle name="Input 21 3" xfId="396"/>
    <cellStyle name="Input 21 3 2" xfId="1379"/>
    <cellStyle name="Input 21 3 2 2" xfId="2649"/>
    <cellStyle name="Input 21 3 2 2 2" xfId="6210"/>
    <cellStyle name="Input 21 3 2 2 2 2" xfId="14404"/>
    <cellStyle name="Input 21 3 2 2 2 2 2" xfId="26376"/>
    <cellStyle name="Input 21 3 2 2 2 2 2 2" xfId="47562"/>
    <cellStyle name="Input 21 3 2 2 2 2 3" xfId="36958"/>
    <cellStyle name="Input 21 3 2 2 2 3" xfId="21263"/>
    <cellStyle name="Input 21 3 2 2 2 3 2" xfId="42450"/>
    <cellStyle name="Input 21 3 2 2 2 4" xfId="31866"/>
    <cellStyle name="Input 21 3 2 2 2_Table 2A-1_EFT (Annual)" xfId="15111"/>
    <cellStyle name="Input 21 3 2 2 3" xfId="11746"/>
    <cellStyle name="Input 21 3 2 2 3 2" xfId="23830"/>
    <cellStyle name="Input 21 3 2 2 3 2 2" xfId="45016"/>
    <cellStyle name="Input 21 3 2 2 3 3" xfId="34412"/>
    <cellStyle name="Input 21 3 2 2 4" xfId="18717"/>
    <cellStyle name="Input 21 3 2 2 4 2" xfId="39904"/>
    <cellStyle name="Input 21 3 2 2 5" xfId="29123"/>
    <cellStyle name="Input 21 3 2 2_Table 2A-1_EFT (Annual)" xfId="6902"/>
    <cellStyle name="Input 21 3 2 3" xfId="4940"/>
    <cellStyle name="Input 21 3 2 3 2" xfId="13200"/>
    <cellStyle name="Input 21 3 2 3 2 2" xfId="25206"/>
    <cellStyle name="Input 21 3 2 3 2 2 2" xfId="46392"/>
    <cellStyle name="Input 21 3 2 3 2 3" xfId="35788"/>
    <cellStyle name="Input 21 3 2 3 3" xfId="20093"/>
    <cellStyle name="Input 21 3 2 3 3 2" xfId="41280"/>
    <cellStyle name="Input 21 3 2 3 4" xfId="30597"/>
    <cellStyle name="Input 21 3 2 3_Table 2A-1_EFT (Annual)" xfId="15112"/>
    <cellStyle name="Input 21 3 2 4" xfId="10544"/>
    <cellStyle name="Input 21 3 2 4 2" xfId="22660"/>
    <cellStyle name="Input 21 3 2 4 2 2" xfId="43846"/>
    <cellStyle name="Input 21 3 2 4 3" xfId="33242"/>
    <cellStyle name="Input 21 3 2 5" xfId="17547"/>
    <cellStyle name="Input 21 3 2 5 2" xfId="38734"/>
    <cellStyle name="Input 21 3 2 6" xfId="27854"/>
    <cellStyle name="Input 21 3 2_Table 2A-1_EFT (Annual)" xfId="6901"/>
    <cellStyle name="Input 21 3 3" xfId="930"/>
    <cellStyle name="Input 21 3 3 2" xfId="4491"/>
    <cellStyle name="Input 21 3 3 2 2" xfId="12753"/>
    <cellStyle name="Input 21 3 3 2 2 2" xfId="24763"/>
    <cellStyle name="Input 21 3 3 2 2 2 2" xfId="45949"/>
    <cellStyle name="Input 21 3 3 2 2 3" xfId="35345"/>
    <cellStyle name="Input 21 3 3 2 3" xfId="19650"/>
    <cellStyle name="Input 21 3 3 2 3 2" xfId="40837"/>
    <cellStyle name="Input 21 3 3 2 4" xfId="30148"/>
    <cellStyle name="Input 21 3 3 2_Table 2A-1_EFT (Annual)" xfId="15113"/>
    <cellStyle name="Input 21 3 3 3" xfId="10100"/>
    <cellStyle name="Input 21 3 3 3 2" xfId="22217"/>
    <cellStyle name="Input 21 3 3 3 2 2" xfId="43403"/>
    <cellStyle name="Input 21 3 3 3 3" xfId="32799"/>
    <cellStyle name="Input 21 3 3 4" xfId="17104"/>
    <cellStyle name="Input 21 3 3 4 2" xfId="38291"/>
    <cellStyle name="Input 21 3 3 5" xfId="27405"/>
    <cellStyle name="Input 21 3 3_Table 2A-1_EFT (Annual)" xfId="6903"/>
    <cellStyle name="Input 21 3 4" xfId="2118"/>
    <cellStyle name="Input 21 3 4 2" xfId="5679"/>
    <cellStyle name="Input 21 3 4 2 2" xfId="13894"/>
    <cellStyle name="Input 21 3 4 2 2 2" xfId="25882"/>
    <cellStyle name="Input 21 3 4 2 2 2 2" xfId="47068"/>
    <cellStyle name="Input 21 3 4 2 2 3" xfId="36464"/>
    <cellStyle name="Input 21 3 4 2 3" xfId="20769"/>
    <cellStyle name="Input 21 3 4 2 3 2" xfId="41956"/>
    <cellStyle name="Input 21 3 4 2 4" xfId="31336"/>
    <cellStyle name="Input 21 3 4 2_Table 2A-1_EFT (Annual)" xfId="15114"/>
    <cellStyle name="Input 21 3 4 3" xfId="11238"/>
    <cellStyle name="Input 21 3 4 3 2" xfId="23336"/>
    <cellStyle name="Input 21 3 4 3 2 2" xfId="44522"/>
    <cellStyle name="Input 21 3 4 3 3" xfId="33918"/>
    <cellStyle name="Input 21 3 4 4" xfId="18223"/>
    <cellStyle name="Input 21 3 4 4 2" xfId="39410"/>
    <cellStyle name="Input 21 3 4 5" xfId="28593"/>
    <cellStyle name="Input 21 3 4_Table 2A-1_EFT (Annual)" xfId="6904"/>
    <cellStyle name="Input 21 3 5" xfId="3966"/>
    <cellStyle name="Input 21 3 5 2" xfId="12294"/>
    <cellStyle name="Input 21 3 5 2 2" xfId="24318"/>
    <cellStyle name="Input 21 3 5 2 2 2" xfId="45504"/>
    <cellStyle name="Input 21 3 5 2 3" xfId="34900"/>
    <cellStyle name="Input 21 3 5 3" xfId="19205"/>
    <cellStyle name="Input 21 3 5 3 2" xfId="40392"/>
    <cellStyle name="Input 21 3 5 4" xfId="29654"/>
    <cellStyle name="Input 21 3 5_Table 2A-1_EFT (Annual)" xfId="15115"/>
    <cellStyle name="Input 21 3 6" xfId="9631"/>
    <cellStyle name="Input 21 3 6 2" xfId="21772"/>
    <cellStyle name="Input 21 3 6 2 2" xfId="42958"/>
    <cellStyle name="Input 21 3 6 3" xfId="32354"/>
    <cellStyle name="Input 21 3 7" xfId="16659"/>
    <cellStyle name="Input 21 3 7 2" xfId="37846"/>
    <cellStyle name="Input 21 3 8" xfId="26911"/>
    <cellStyle name="Input 21 3_Table 2A-1_EFT (Annual)" xfId="3029"/>
    <cellStyle name="Input 21 4" xfId="1213"/>
    <cellStyle name="Input 21 4 2" xfId="2483"/>
    <cellStyle name="Input 21 4 2 2" xfId="6044"/>
    <cellStyle name="Input 21 4 2 2 2" xfId="14238"/>
    <cellStyle name="Input 21 4 2 2 2 2" xfId="26210"/>
    <cellStyle name="Input 21 4 2 2 2 2 2" xfId="47396"/>
    <cellStyle name="Input 21 4 2 2 2 3" xfId="36792"/>
    <cellStyle name="Input 21 4 2 2 3" xfId="21097"/>
    <cellStyle name="Input 21 4 2 2 3 2" xfId="42284"/>
    <cellStyle name="Input 21 4 2 2 4" xfId="31700"/>
    <cellStyle name="Input 21 4 2 2_Table 2A-1_EFT (Annual)" xfId="15116"/>
    <cellStyle name="Input 21 4 2 3" xfId="11580"/>
    <cellStyle name="Input 21 4 2 3 2" xfId="23664"/>
    <cellStyle name="Input 21 4 2 3 2 2" xfId="44850"/>
    <cellStyle name="Input 21 4 2 3 3" xfId="34246"/>
    <cellStyle name="Input 21 4 2 4" xfId="18551"/>
    <cellStyle name="Input 21 4 2 4 2" xfId="39738"/>
    <cellStyle name="Input 21 4 2 5" xfId="28957"/>
    <cellStyle name="Input 21 4 2_Table 2A-1_EFT (Annual)" xfId="6906"/>
    <cellStyle name="Input 21 4 3" xfId="4774"/>
    <cellStyle name="Input 21 4 3 2" xfId="13034"/>
    <cellStyle name="Input 21 4 3 2 2" xfId="25040"/>
    <cellStyle name="Input 21 4 3 2 2 2" xfId="46226"/>
    <cellStyle name="Input 21 4 3 2 3" xfId="35622"/>
    <cellStyle name="Input 21 4 3 3" xfId="19927"/>
    <cellStyle name="Input 21 4 3 3 2" xfId="41114"/>
    <cellStyle name="Input 21 4 3 4" xfId="30431"/>
    <cellStyle name="Input 21 4 3_Table 2A-1_EFT (Annual)" xfId="15117"/>
    <cellStyle name="Input 21 4 4" xfId="10378"/>
    <cellStyle name="Input 21 4 4 2" xfId="22494"/>
    <cellStyle name="Input 21 4 4 2 2" xfId="43680"/>
    <cellStyle name="Input 21 4 4 3" xfId="33076"/>
    <cellStyle name="Input 21 4 5" xfId="17381"/>
    <cellStyle name="Input 21 4 5 2" xfId="38568"/>
    <cellStyle name="Input 21 4 6" xfId="27688"/>
    <cellStyle name="Input 21 4_Table 2A-1_EFT (Annual)" xfId="6905"/>
    <cellStyle name="Input 21 5" xfId="771"/>
    <cellStyle name="Input 21 5 2" xfId="4332"/>
    <cellStyle name="Input 21 5 2 2" xfId="12612"/>
    <cellStyle name="Input 21 5 2 2 2" xfId="24629"/>
    <cellStyle name="Input 21 5 2 2 2 2" xfId="45815"/>
    <cellStyle name="Input 21 5 2 2 3" xfId="35211"/>
    <cellStyle name="Input 21 5 2 3" xfId="19516"/>
    <cellStyle name="Input 21 5 2 3 2" xfId="40703"/>
    <cellStyle name="Input 21 5 2 4" xfId="29989"/>
    <cellStyle name="Input 21 5 2_Table 2A-1_EFT (Annual)" xfId="15118"/>
    <cellStyle name="Input 21 5 3" xfId="9960"/>
    <cellStyle name="Input 21 5 3 2" xfId="22083"/>
    <cellStyle name="Input 21 5 3 2 2" xfId="43269"/>
    <cellStyle name="Input 21 5 3 3" xfId="32665"/>
    <cellStyle name="Input 21 5 4" xfId="16970"/>
    <cellStyle name="Input 21 5 4 2" xfId="38157"/>
    <cellStyle name="Input 21 5 5" xfId="27246"/>
    <cellStyle name="Input 21 5_Table 2A-1_EFT (Annual)" xfId="6907"/>
    <cellStyle name="Input 21 6" xfId="1952"/>
    <cellStyle name="Input 21 6 2" xfId="5513"/>
    <cellStyle name="Input 21 6 2 2" xfId="13728"/>
    <cellStyle name="Input 21 6 2 2 2" xfId="25716"/>
    <cellStyle name="Input 21 6 2 2 2 2" xfId="46902"/>
    <cellStyle name="Input 21 6 2 2 3" xfId="36298"/>
    <cellStyle name="Input 21 6 2 3" xfId="20603"/>
    <cellStyle name="Input 21 6 2 3 2" xfId="41790"/>
    <cellStyle name="Input 21 6 2 4" xfId="31170"/>
    <cellStyle name="Input 21 6 2_Table 2A-1_EFT (Annual)" xfId="15119"/>
    <cellStyle name="Input 21 6 3" xfId="11072"/>
    <cellStyle name="Input 21 6 3 2" xfId="23170"/>
    <cellStyle name="Input 21 6 3 2 2" xfId="44356"/>
    <cellStyle name="Input 21 6 3 3" xfId="33752"/>
    <cellStyle name="Input 21 6 4" xfId="18057"/>
    <cellStyle name="Input 21 6 4 2" xfId="39244"/>
    <cellStyle name="Input 21 6 5" xfId="28427"/>
    <cellStyle name="Input 21 6_Table 2A-1_EFT (Annual)" xfId="6908"/>
    <cellStyle name="Input 21 7" xfId="3754"/>
    <cellStyle name="Input 21 7 2" xfId="12122"/>
    <cellStyle name="Input 21 7 2 2" xfId="24152"/>
    <cellStyle name="Input 21 7 2 2 2" xfId="45338"/>
    <cellStyle name="Input 21 7 2 3" xfId="34734"/>
    <cellStyle name="Input 21 7 3" xfId="19039"/>
    <cellStyle name="Input 21 7 3 2" xfId="40226"/>
    <cellStyle name="Input 21 7 4" xfId="29463"/>
    <cellStyle name="Input 21 7_Table 2A-1_EFT (Annual)" xfId="15120"/>
    <cellStyle name="Input 21 8" xfId="9441"/>
    <cellStyle name="Input 21 8 2" xfId="21606"/>
    <cellStyle name="Input 21 8 2 2" xfId="42792"/>
    <cellStyle name="Input 21 8 3" xfId="32188"/>
    <cellStyle name="Input 21 9" xfId="16493"/>
    <cellStyle name="Input 21 9 2" xfId="37680"/>
    <cellStyle name="Input 21_Table 2A-1_EFT (Annual)" xfId="3027"/>
    <cellStyle name="Input 22" xfId="204"/>
    <cellStyle name="Input 22 10" xfId="26759"/>
    <cellStyle name="Input 22 2" xfId="597"/>
    <cellStyle name="Input 22 2 2" xfId="1574"/>
    <cellStyle name="Input 22 2 2 2" xfId="2844"/>
    <cellStyle name="Input 22 2 2 2 2" xfId="6405"/>
    <cellStyle name="Input 22 2 2 2 2 2" xfId="14599"/>
    <cellStyle name="Input 22 2 2 2 2 2 2" xfId="26571"/>
    <cellStyle name="Input 22 2 2 2 2 2 2 2" xfId="47757"/>
    <cellStyle name="Input 22 2 2 2 2 2 3" xfId="37153"/>
    <cellStyle name="Input 22 2 2 2 2 3" xfId="21458"/>
    <cellStyle name="Input 22 2 2 2 2 3 2" xfId="42645"/>
    <cellStyle name="Input 22 2 2 2 2 4" xfId="32061"/>
    <cellStyle name="Input 22 2 2 2 2_Table 2A-1_EFT (Annual)" xfId="15121"/>
    <cellStyle name="Input 22 2 2 2 3" xfId="11941"/>
    <cellStyle name="Input 22 2 2 2 3 2" xfId="24025"/>
    <cellStyle name="Input 22 2 2 2 3 2 2" xfId="45211"/>
    <cellStyle name="Input 22 2 2 2 3 3" xfId="34607"/>
    <cellStyle name="Input 22 2 2 2 4" xfId="18912"/>
    <cellStyle name="Input 22 2 2 2 4 2" xfId="40099"/>
    <cellStyle name="Input 22 2 2 2 5" xfId="29318"/>
    <cellStyle name="Input 22 2 2 2_Table 2A-1_EFT (Annual)" xfId="6910"/>
    <cellStyle name="Input 22 2 2 3" xfId="5135"/>
    <cellStyle name="Input 22 2 2 3 2" xfId="13395"/>
    <cellStyle name="Input 22 2 2 3 2 2" xfId="25401"/>
    <cellStyle name="Input 22 2 2 3 2 2 2" xfId="46587"/>
    <cellStyle name="Input 22 2 2 3 2 3" xfId="35983"/>
    <cellStyle name="Input 22 2 2 3 3" xfId="20288"/>
    <cellStyle name="Input 22 2 2 3 3 2" xfId="41475"/>
    <cellStyle name="Input 22 2 2 3 4" xfId="30792"/>
    <cellStyle name="Input 22 2 2 3_Table 2A-1_EFT (Annual)" xfId="15122"/>
    <cellStyle name="Input 22 2 2 4" xfId="10739"/>
    <cellStyle name="Input 22 2 2 4 2" xfId="22855"/>
    <cellStyle name="Input 22 2 2 4 2 2" xfId="44041"/>
    <cellStyle name="Input 22 2 2 4 3" xfId="33437"/>
    <cellStyle name="Input 22 2 2 5" xfId="17742"/>
    <cellStyle name="Input 22 2 2 5 2" xfId="38929"/>
    <cellStyle name="Input 22 2 2 6" xfId="28049"/>
    <cellStyle name="Input 22 2 2_Table 2A-1_EFT (Annual)" xfId="6909"/>
    <cellStyle name="Input 22 2 3" xfId="1094"/>
    <cellStyle name="Input 22 2 3 2" xfId="4655"/>
    <cellStyle name="Input 22 2 3 2 2" xfId="12915"/>
    <cellStyle name="Input 22 2 3 2 2 2" xfId="24921"/>
    <cellStyle name="Input 22 2 3 2 2 2 2" xfId="46107"/>
    <cellStyle name="Input 22 2 3 2 2 3" xfId="35503"/>
    <cellStyle name="Input 22 2 3 2 3" xfId="19808"/>
    <cellStyle name="Input 22 2 3 2 3 2" xfId="40995"/>
    <cellStyle name="Input 22 2 3 2 4" xfId="30312"/>
    <cellStyle name="Input 22 2 3 2_Table 2A-1_EFT (Annual)" xfId="15123"/>
    <cellStyle name="Input 22 2 3 3" xfId="10259"/>
    <cellStyle name="Input 22 2 3 3 2" xfId="22375"/>
    <cellStyle name="Input 22 2 3 3 2 2" xfId="43561"/>
    <cellStyle name="Input 22 2 3 3 3" xfId="32957"/>
    <cellStyle name="Input 22 2 3 4" xfId="17262"/>
    <cellStyle name="Input 22 2 3 4 2" xfId="38449"/>
    <cellStyle name="Input 22 2 3 5" xfId="27569"/>
    <cellStyle name="Input 22 2 3_Table 2A-1_EFT (Annual)" xfId="6911"/>
    <cellStyle name="Input 22 2 4" xfId="2313"/>
    <cellStyle name="Input 22 2 4 2" xfId="5874"/>
    <cellStyle name="Input 22 2 4 2 2" xfId="14089"/>
    <cellStyle name="Input 22 2 4 2 2 2" xfId="26077"/>
    <cellStyle name="Input 22 2 4 2 2 2 2" xfId="47263"/>
    <cellStyle name="Input 22 2 4 2 2 3" xfId="36659"/>
    <cellStyle name="Input 22 2 4 2 3" xfId="20964"/>
    <cellStyle name="Input 22 2 4 2 3 2" xfId="42151"/>
    <cellStyle name="Input 22 2 4 2 4" xfId="31531"/>
    <cellStyle name="Input 22 2 4 2_Table 2A-1_EFT (Annual)" xfId="15124"/>
    <cellStyle name="Input 22 2 4 3" xfId="11433"/>
    <cellStyle name="Input 22 2 4 3 2" xfId="23531"/>
    <cellStyle name="Input 22 2 4 3 2 2" xfId="44717"/>
    <cellStyle name="Input 22 2 4 3 3" xfId="34113"/>
    <cellStyle name="Input 22 2 4 4" xfId="18418"/>
    <cellStyle name="Input 22 2 4 4 2" xfId="39605"/>
    <cellStyle name="Input 22 2 4 5" xfId="28788"/>
    <cellStyle name="Input 22 2 4_Table 2A-1_EFT (Annual)" xfId="6912"/>
    <cellStyle name="Input 22 2 5" xfId="4167"/>
    <cellStyle name="Input 22 2 5 2" xfId="12491"/>
    <cellStyle name="Input 22 2 5 2 2" xfId="24513"/>
    <cellStyle name="Input 22 2 5 2 2 2" xfId="45699"/>
    <cellStyle name="Input 22 2 5 2 3" xfId="35095"/>
    <cellStyle name="Input 22 2 5 3" xfId="19400"/>
    <cellStyle name="Input 22 2 5 3 2" xfId="40587"/>
    <cellStyle name="Input 22 2 5 4" xfId="29855"/>
    <cellStyle name="Input 22 2 5_Table 2A-1_EFT (Annual)" xfId="15125"/>
    <cellStyle name="Input 22 2 6" xfId="9830"/>
    <cellStyle name="Input 22 2 6 2" xfId="21967"/>
    <cellStyle name="Input 22 2 6 2 2" xfId="43153"/>
    <cellStyle name="Input 22 2 6 3" xfId="32549"/>
    <cellStyle name="Input 22 2 7" xfId="16854"/>
    <cellStyle name="Input 22 2 7 2" xfId="38041"/>
    <cellStyle name="Input 22 2 8" xfId="27112"/>
    <cellStyle name="Input 22 2_Table 2A-1_EFT (Annual)" xfId="3031"/>
    <cellStyle name="Input 22 3" xfId="433"/>
    <cellStyle name="Input 22 3 2" xfId="1416"/>
    <cellStyle name="Input 22 3 2 2" xfId="2686"/>
    <cellStyle name="Input 22 3 2 2 2" xfId="6247"/>
    <cellStyle name="Input 22 3 2 2 2 2" xfId="14441"/>
    <cellStyle name="Input 22 3 2 2 2 2 2" xfId="26413"/>
    <cellStyle name="Input 22 3 2 2 2 2 2 2" xfId="47599"/>
    <cellStyle name="Input 22 3 2 2 2 2 3" xfId="36995"/>
    <cellStyle name="Input 22 3 2 2 2 3" xfId="21300"/>
    <cellStyle name="Input 22 3 2 2 2 3 2" xfId="42487"/>
    <cellStyle name="Input 22 3 2 2 2 4" xfId="31903"/>
    <cellStyle name="Input 22 3 2 2 2_Table 2A-1_EFT (Annual)" xfId="15126"/>
    <cellStyle name="Input 22 3 2 2 3" xfId="11783"/>
    <cellStyle name="Input 22 3 2 2 3 2" xfId="23867"/>
    <cellStyle name="Input 22 3 2 2 3 2 2" xfId="45053"/>
    <cellStyle name="Input 22 3 2 2 3 3" xfId="34449"/>
    <cellStyle name="Input 22 3 2 2 4" xfId="18754"/>
    <cellStyle name="Input 22 3 2 2 4 2" xfId="39941"/>
    <cellStyle name="Input 22 3 2 2 5" xfId="29160"/>
    <cellStyle name="Input 22 3 2 2_Table 2A-1_EFT (Annual)" xfId="6914"/>
    <cellStyle name="Input 22 3 2 3" xfId="4977"/>
    <cellStyle name="Input 22 3 2 3 2" xfId="13237"/>
    <cellStyle name="Input 22 3 2 3 2 2" xfId="25243"/>
    <cellStyle name="Input 22 3 2 3 2 2 2" xfId="46429"/>
    <cellStyle name="Input 22 3 2 3 2 3" xfId="35825"/>
    <cellStyle name="Input 22 3 2 3 3" xfId="20130"/>
    <cellStyle name="Input 22 3 2 3 3 2" xfId="41317"/>
    <cellStyle name="Input 22 3 2 3 4" xfId="30634"/>
    <cellStyle name="Input 22 3 2 3_Table 2A-1_EFT (Annual)" xfId="15127"/>
    <cellStyle name="Input 22 3 2 4" xfId="10581"/>
    <cellStyle name="Input 22 3 2 4 2" xfId="22697"/>
    <cellStyle name="Input 22 3 2 4 2 2" xfId="43883"/>
    <cellStyle name="Input 22 3 2 4 3" xfId="33279"/>
    <cellStyle name="Input 22 3 2 5" xfId="17584"/>
    <cellStyle name="Input 22 3 2 5 2" xfId="38771"/>
    <cellStyle name="Input 22 3 2 6" xfId="27891"/>
    <cellStyle name="Input 22 3 2_Table 2A-1_EFT (Annual)" xfId="6913"/>
    <cellStyle name="Input 22 3 3" xfId="960"/>
    <cellStyle name="Input 22 3 3 2" xfId="4521"/>
    <cellStyle name="Input 22 3 3 2 2" xfId="12783"/>
    <cellStyle name="Input 22 3 3 2 2 2" xfId="24793"/>
    <cellStyle name="Input 22 3 3 2 2 2 2" xfId="45979"/>
    <cellStyle name="Input 22 3 3 2 2 3" xfId="35375"/>
    <cellStyle name="Input 22 3 3 2 3" xfId="19680"/>
    <cellStyle name="Input 22 3 3 2 3 2" xfId="40867"/>
    <cellStyle name="Input 22 3 3 2 4" xfId="30178"/>
    <cellStyle name="Input 22 3 3 2_Table 2A-1_EFT (Annual)" xfId="15128"/>
    <cellStyle name="Input 22 3 3 3" xfId="10130"/>
    <cellStyle name="Input 22 3 3 3 2" xfId="22247"/>
    <cellStyle name="Input 22 3 3 3 2 2" xfId="43433"/>
    <cellStyle name="Input 22 3 3 3 3" xfId="32829"/>
    <cellStyle name="Input 22 3 3 4" xfId="17134"/>
    <cellStyle name="Input 22 3 3 4 2" xfId="38321"/>
    <cellStyle name="Input 22 3 3 5" xfId="27435"/>
    <cellStyle name="Input 22 3 3_Table 2A-1_EFT (Annual)" xfId="6915"/>
    <cellStyle name="Input 22 3 4" xfId="2155"/>
    <cellStyle name="Input 22 3 4 2" xfId="5716"/>
    <cellStyle name="Input 22 3 4 2 2" xfId="13931"/>
    <cellStyle name="Input 22 3 4 2 2 2" xfId="25919"/>
    <cellStyle name="Input 22 3 4 2 2 2 2" xfId="47105"/>
    <cellStyle name="Input 22 3 4 2 2 3" xfId="36501"/>
    <cellStyle name="Input 22 3 4 2 3" xfId="20806"/>
    <cellStyle name="Input 22 3 4 2 3 2" xfId="41993"/>
    <cellStyle name="Input 22 3 4 2 4" xfId="31373"/>
    <cellStyle name="Input 22 3 4 2_Table 2A-1_EFT (Annual)" xfId="15129"/>
    <cellStyle name="Input 22 3 4 3" xfId="11275"/>
    <cellStyle name="Input 22 3 4 3 2" xfId="23373"/>
    <cellStyle name="Input 22 3 4 3 2 2" xfId="44559"/>
    <cellStyle name="Input 22 3 4 3 3" xfId="33955"/>
    <cellStyle name="Input 22 3 4 4" xfId="18260"/>
    <cellStyle name="Input 22 3 4 4 2" xfId="39447"/>
    <cellStyle name="Input 22 3 4 5" xfId="28630"/>
    <cellStyle name="Input 22 3 4_Table 2A-1_EFT (Annual)" xfId="6916"/>
    <cellStyle name="Input 22 3 5" xfId="4003"/>
    <cellStyle name="Input 22 3 5 2" xfId="12331"/>
    <cellStyle name="Input 22 3 5 2 2" xfId="24355"/>
    <cellStyle name="Input 22 3 5 2 2 2" xfId="45541"/>
    <cellStyle name="Input 22 3 5 2 3" xfId="34937"/>
    <cellStyle name="Input 22 3 5 3" xfId="19242"/>
    <cellStyle name="Input 22 3 5 3 2" xfId="40429"/>
    <cellStyle name="Input 22 3 5 4" xfId="29691"/>
    <cellStyle name="Input 22 3 5_Table 2A-1_EFT (Annual)" xfId="15130"/>
    <cellStyle name="Input 22 3 6" xfId="9668"/>
    <cellStyle name="Input 22 3 6 2" xfId="21809"/>
    <cellStyle name="Input 22 3 6 2 2" xfId="42995"/>
    <cellStyle name="Input 22 3 6 3" xfId="32391"/>
    <cellStyle name="Input 22 3 7" xfId="16696"/>
    <cellStyle name="Input 22 3 7 2" xfId="37883"/>
    <cellStyle name="Input 22 3 8" xfId="26948"/>
    <cellStyle name="Input 22 3_Table 2A-1_EFT (Annual)" xfId="3032"/>
    <cellStyle name="Input 22 4" xfId="1252"/>
    <cellStyle name="Input 22 4 2" xfId="2522"/>
    <cellStyle name="Input 22 4 2 2" xfId="6083"/>
    <cellStyle name="Input 22 4 2 2 2" xfId="14277"/>
    <cellStyle name="Input 22 4 2 2 2 2" xfId="26249"/>
    <cellStyle name="Input 22 4 2 2 2 2 2" xfId="47435"/>
    <cellStyle name="Input 22 4 2 2 2 3" xfId="36831"/>
    <cellStyle name="Input 22 4 2 2 3" xfId="21136"/>
    <cellStyle name="Input 22 4 2 2 3 2" xfId="42323"/>
    <cellStyle name="Input 22 4 2 2 4" xfId="31739"/>
    <cellStyle name="Input 22 4 2 2_Table 2A-1_EFT (Annual)" xfId="15131"/>
    <cellStyle name="Input 22 4 2 3" xfId="11619"/>
    <cellStyle name="Input 22 4 2 3 2" xfId="23703"/>
    <cellStyle name="Input 22 4 2 3 2 2" xfId="44889"/>
    <cellStyle name="Input 22 4 2 3 3" xfId="34285"/>
    <cellStyle name="Input 22 4 2 4" xfId="18590"/>
    <cellStyle name="Input 22 4 2 4 2" xfId="39777"/>
    <cellStyle name="Input 22 4 2 5" xfId="28996"/>
    <cellStyle name="Input 22 4 2_Table 2A-1_EFT (Annual)" xfId="6918"/>
    <cellStyle name="Input 22 4 3" xfId="4813"/>
    <cellStyle name="Input 22 4 3 2" xfId="13073"/>
    <cellStyle name="Input 22 4 3 2 2" xfId="25079"/>
    <cellStyle name="Input 22 4 3 2 2 2" xfId="46265"/>
    <cellStyle name="Input 22 4 3 2 3" xfId="35661"/>
    <cellStyle name="Input 22 4 3 3" xfId="19966"/>
    <cellStyle name="Input 22 4 3 3 2" xfId="41153"/>
    <cellStyle name="Input 22 4 3 4" xfId="30470"/>
    <cellStyle name="Input 22 4 3_Table 2A-1_EFT (Annual)" xfId="15132"/>
    <cellStyle name="Input 22 4 4" xfId="10417"/>
    <cellStyle name="Input 22 4 4 2" xfId="22533"/>
    <cellStyle name="Input 22 4 4 2 2" xfId="43719"/>
    <cellStyle name="Input 22 4 4 3" xfId="33115"/>
    <cellStyle name="Input 22 4 5" xfId="17420"/>
    <cellStyle name="Input 22 4 5 2" xfId="38607"/>
    <cellStyle name="Input 22 4 6" xfId="27727"/>
    <cellStyle name="Input 22 4_Table 2A-1_EFT (Annual)" xfId="6917"/>
    <cellStyle name="Input 22 5" xfId="803"/>
    <cellStyle name="Input 22 5 2" xfId="4364"/>
    <cellStyle name="Input 22 5 2 2" xfId="12644"/>
    <cellStyle name="Input 22 5 2 2 2" xfId="24661"/>
    <cellStyle name="Input 22 5 2 2 2 2" xfId="45847"/>
    <cellStyle name="Input 22 5 2 2 3" xfId="35243"/>
    <cellStyle name="Input 22 5 2 3" xfId="19548"/>
    <cellStyle name="Input 22 5 2 3 2" xfId="40735"/>
    <cellStyle name="Input 22 5 2 4" xfId="30021"/>
    <cellStyle name="Input 22 5 2_Table 2A-1_EFT (Annual)" xfId="15133"/>
    <cellStyle name="Input 22 5 3" xfId="9992"/>
    <cellStyle name="Input 22 5 3 2" xfId="22115"/>
    <cellStyle name="Input 22 5 3 2 2" xfId="43301"/>
    <cellStyle name="Input 22 5 3 3" xfId="32697"/>
    <cellStyle name="Input 22 5 4" xfId="17002"/>
    <cellStyle name="Input 22 5 4 2" xfId="38189"/>
    <cellStyle name="Input 22 5 5" xfId="27278"/>
    <cellStyle name="Input 22 5_Table 2A-1_EFT (Annual)" xfId="6919"/>
    <cellStyle name="Input 22 6" xfId="1991"/>
    <cellStyle name="Input 22 6 2" xfId="5552"/>
    <cellStyle name="Input 22 6 2 2" xfId="13767"/>
    <cellStyle name="Input 22 6 2 2 2" xfId="25755"/>
    <cellStyle name="Input 22 6 2 2 2 2" xfId="46941"/>
    <cellStyle name="Input 22 6 2 2 3" xfId="36337"/>
    <cellStyle name="Input 22 6 2 3" xfId="20642"/>
    <cellStyle name="Input 22 6 2 3 2" xfId="41829"/>
    <cellStyle name="Input 22 6 2 4" xfId="31209"/>
    <cellStyle name="Input 22 6 2_Table 2A-1_EFT (Annual)" xfId="15134"/>
    <cellStyle name="Input 22 6 3" xfId="11111"/>
    <cellStyle name="Input 22 6 3 2" xfId="23209"/>
    <cellStyle name="Input 22 6 3 2 2" xfId="44395"/>
    <cellStyle name="Input 22 6 3 3" xfId="33791"/>
    <cellStyle name="Input 22 6 4" xfId="18096"/>
    <cellStyle name="Input 22 6 4 2" xfId="39283"/>
    <cellStyle name="Input 22 6 5" xfId="28466"/>
    <cellStyle name="Input 22 6_Table 2A-1_EFT (Annual)" xfId="6920"/>
    <cellStyle name="Input 22 7" xfId="3793"/>
    <cellStyle name="Input 22 7 2" xfId="12161"/>
    <cellStyle name="Input 22 7 2 2" xfId="24191"/>
    <cellStyle name="Input 22 7 2 2 2" xfId="45377"/>
    <cellStyle name="Input 22 7 2 3" xfId="34773"/>
    <cellStyle name="Input 22 7 3" xfId="19078"/>
    <cellStyle name="Input 22 7 3 2" xfId="40265"/>
    <cellStyle name="Input 22 7 4" xfId="29502"/>
    <cellStyle name="Input 22 7_Table 2A-1_EFT (Annual)" xfId="15135"/>
    <cellStyle name="Input 22 8" xfId="9480"/>
    <cellStyle name="Input 22 8 2" xfId="21645"/>
    <cellStyle name="Input 22 8 2 2" xfId="42831"/>
    <cellStyle name="Input 22 8 3" xfId="32227"/>
    <cellStyle name="Input 22 9" xfId="16532"/>
    <cellStyle name="Input 22 9 2" xfId="37719"/>
    <cellStyle name="Input 22_Table 2A-1_EFT (Annual)" xfId="3030"/>
    <cellStyle name="Input 23" xfId="189"/>
    <cellStyle name="Input 23 10" xfId="26744"/>
    <cellStyle name="Input 23 2" xfId="582"/>
    <cellStyle name="Input 23 2 2" xfId="1559"/>
    <cellStyle name="Input 23 2 2 2" xfId="2829"/>
    <cellStyle name="Input 23 2 2 2 2" xfId="6390"/>
    <cellStyle name="Input 23 2 2 2 2 2" xfId="14584"/>
    <cellStyle name="Input 23 2 2 2 2 2 2" xfId="26556"/>
    <cellStyle name="Input 23 2 2 2 2 2 2 2" xfId="47742"/>
    <cellStyle name="Input 23 2 2 2 2 2 3" xfId="37138"/>
    <cellStyle name="Input 23 2 2 2 2 3" xfId="21443"/>
    <cellStyle name="Input 23 2 2 2 2 3 2" xfId="42630"/>
    <cellStyle name="Input 23 2 2 2 2 4" xfId="32046"/>
    <cellStyle name="Input 23 2 2 2 2_Table 2A-1_EFT (Annual)" xfId="15136"/>
    <cellStyle name="Input 23 2 2 2 3" xfId="11926"/>
    <cellStyle name="Input 23 2 2 2 3 2" xfId="24010"/>
    <cellStyle name="Input 23 2 2 2 3 2 2" xfId="45196"/>
    <cellStyle name="Input 23 2 2 2 3 3" xfId="34592"/>
    <cellStyle name="Input 23 2 2 2 4" xfId="18897"/>
    <cellStyle name="Input 23 2 2 2 4 2" xfId="40084"/>
    <cellStyle name="Input 23 2 2 2 5" xfId="29303"/>
    <cellStyle name="Input 23 2 2 2_Table 2A-1_EFT (Annual)" xfId="6922"/>
    <cellStyle name="Input 23 2 2 3" xfId="5120"/>
    <cellStyle name="Input 23 2 2 3 2" xfId="13380"/>
    <cellStyle name="Input 23 2 2 3 2 2" xfId="25386"/>
    <cellStyle name="Input 23 2 2 3 2 2 2" xfId="46572"/>
    <cellStyle name="Input 23 2 2 3 2 3" xfId="35968"/>
    <cellStyle name="Input 23 2 2 3 3" xfId="20273"/>
    <cellStyle name="Input 23 2 2 3 3 2" xfId="41460"/>
    <cellStyle name="Input 23 2 2 3 4" xfId="30777"/>
    <cellStyle name="Input 23 2 2 3_Table 2A-1_EFT (Annual)" xfId="15137"/>
    <cellStyle name="Input 23 2 2 4" xfId="10724"/>
    <cellStyle name="Input 23 2 2 4 2" xfId="22840"/>
    <cellStyle name="Input 23 2 2 4 2 2" xfId="44026"/>
    <cellStyle name="Input 23 2 2 4 3" xfId="33422"/>
    <cellStyle name="Input 23 2 2 5" xfId="17727"/>
    <cellStyle name="Input 23 2 2 5 2" xfId="38914"/>
    <cellStyle name="Input 23 2 2 6" xfId="28034"/>
    <cellStyle name="Input 23 2 2_Table 2A-1_EFT (Annual)" xfId="6921"/>
    <cellStyle name="Input 23 2 3" xfId="1082"/>
    <cellStyle name="Input 23 2 3 2" xfId="4643"/>
    <cellStyle name="Input 23 2 3 2 2" xfId="12903"/>
    <cellStyle name="Input 23 2 3 2 2 2" xfId="24909"/>
    <cellStyle name="Input 23 2 3 2 2 2 2" xfId="46095"/>
    <cellStyle name="Input 23 2 3 2 2 3" xfId="35491"/>
    <cellStyle name="Input 23 2 3 2 3" xfId="19796"/>
    <cellStyle name="Input 23 2 3 2 3 2" xfId="40983"/>
    <cellStyle name="Input 23 2 3 2 4" xfId="30300"/>
    <cellStyle name="Input 23 2 3 2_Table 2A-1_EFT (Annual)" xfId="15138"/>
    <cellStyle name="Input 23 2 3 3" xfId="10247"/>
    <cellStyle name="Input 23 2 3 3 2" xfId="22363"/>
    <cellStyle name="Input 23 2 3 3 2 2" xfId="43549"/>
    <cellStyle name="Input 23 2 3 3 3" xfId="32945"/>
    <cellStyle name="Input 23 2 3 4" xfId="17250"/>
    <cellStyle name="Input 23 2 3 4 2" xfId="38437"/>
    <cellStyle name="Input 23 2 3 5" xfId="27557"/>
    <cellStyle name="Input 23 2 3_Table 2A-1_EFT (Annual)" xfId="6923"/>
    <cellStyle name="Input 23 2 4" xfId="2298"/>
    <cellStyle name="Input 23 2 4 2" xfId="5859"/>
    <cellStyle name="Input 23 2 4 2 2" xfId="14074"/>
    <cellStyle name="Input 23 2 4 2 2 2" xfId="26062"/>
    <cellStyle name="Input 23 2 4 2 2 2 2" xfId="47248"/>
    <cellStyle name="Input 23 2 4 2 2 3" xfId="36644"/>
    <cellStyle name="Input 23 2 4 2 3" xfId="20949"/>
    <cellStyle name="Input 23 2 4 2 3 2" xfId="42136"/>
    <cellStyle name="Input 23 2 4 2 4" xfId="31516"/>
    <cellStyle name="Input 23 2 4 2_Table 2A-1_EFT (Annual)" xfId="15139"/>
    <cellStyle name="Input 23 2 4 3" xfId="11418"/>
    <cellStyle name="Input 23 2 4 3 2" xfId="23516"/>
    <cellStyle name="Input 23 2 4 3 2 2" xfId="44702"/>
    <cellStyle name="Input 23 2 4 3 3" xfId="34098"/>
    <cellStyle name="Input 23 2 4 4" xfId="18403"/>
    <cellStyle name="Input 23 2 4 4 2" xfId="39590"/>
    <cellStyle name="Input 23 2 4 5" xfId="28773"/>
    <cellStyle name="Input 23 2 4_Table 2A-1_EFT (Annual)" xfId="6924"/>
    <cellStyle name="Input 23 2 5" xfId="4152"/>
    <cellStyle name="Input 23 2 5 2" xfId="12476"/>
    <cellStyle name="Input 23 2 5 2 2" xfId="24498"/>
    <cellStyle name="Input 23 2 5 2 2 2" xfId="45684"/>
    <cellStyle name="Input 23 2 5 2 3" xfId="35080"/>
    <cellStyle name="Input 23 2 5 3" xfId="19385"/>
    <cellStyle name="Input 23 2 5 3 2" xfId="40572"/>
    <cellStyle name="Input 23 2 5 4" xfId="29840"/>
    <cellStyle name="Input 23 2 5_Table 2A-1_EFT (Annual)" xfId="15140"/>
    <cellStyle name="Input 23 2 6" xfId="9815"/>
    <cellStyle name="Input 23 2 6 2" xfId="21952"/>
    <cellStyle name="Input 23 2 6 2 2" xfId="43138"/>
    <cellStyle name="Input 23 2 6 3" xfId="32534"/>
    <cellStyle name="Input 23 2 7" xfId="16839"/>
    <cellStyle name="Input 23 2 7 2" xfId="38026"/>
    <cellStyle name="Input 23 2 8" xfId="27097"/>
    <cellStyle name="Input 23 2_Table 2A-1_EFT (Annual)" xfId="3034"/>
    <cellStyle name="Input 23 3" xfId="419"/>
    <cellStyle name="Input 23 3 2" xfId="1402"/>
    <cellStyle name="Input 23 3 2 2" xfId="2672"/>
    <cellStyle name="Input 23 3 2 2 2" xfId="6233"/>
    <cellStyle name="Input 23 3 2 2 2 2" xfId="14427"/>
    <cellStyle name="Input 23 3 2 2 2 2 2" xfId="26399"/>
    <cellStyle name="Input 23 3 2 2 2 2 2 2" xfId="47585"/>
    <cellStyle name="Input 23 3 2 2 2 2 3" xfId="36981"/>
    <cellStyle name="Input 23 3 2 2 2 3" xfId="21286"/>
    <cellStyle name="Input 23 3 2 2 2 3 2" xfId="42473"/>
    <cellStyle name="Input 23 3 2 2 2 4" xfId="31889"/>
    <cellStyle name="Input 23 3 2 2 2_Table 2A-1_EFT (Annual)" xfId="15141"/>
    <cellStyle name="Input 23 3 2 2 3" xfId="11769"/>
    <cellStyle name="Input 23 3 2 2 3 2" xfId="23853"/>
    <cellStyle name="Input 23 3 2 2 3 2 2" xfId="45039"/>
    <cellStyle name="Input 23 3 2 2 3 3" xfId="34435"/>
    <cellStyle name="Input 23 3 2 2 4" xfId="18740"/>
    <cellStyle name="Input 23 3 2 2 4 2" xfId="39927"/>
    <cellStyle name="Input 23 3 2 2 5" xfId="29146"/>
    <cellStyle name="Input 23 3 2 2_Table 2A-1_EFT (Annual)" xfId="6926"/>
    <cellStyle name="Input 23 3 2 3" xfId="4963"/>
    <cellStyle name="Input 23 3 2 3 2" xfId="13223"/>
    <cellStyle name="Input 23 3 2 3 2 2" xfId="25229"/>
    <cellStyle name="Input 23 3 2 3 2 2 2" xfId="46415"/>
    <cellStyle name="Input 23 3 2 3 2 3" xfId="35811"/>
    <cellStyle name="Input 23 3 2 3 3" xfId="20116"/>
    <cellStyle name="Input 23 3 2 3 3 2" xfId="41303"/>
    <cellStyle name="Input 23 3 2 3 4" xfId="30620"/>
    <cellStyle name="Input 23 3 2 3_Table 2A-1_EFT (Annual)" xfId="15142"/>
    <cellStyle name="Input 23 3 2 4" xfId="10567"/>
    <cellStyle name="Input 23 3 2 4 2" xfId="22683"/>
    <cellStyle name="Input 23 3 2 4 2 2" xfId="43869"/>
    <cellStyle name="Input 23 3 2 4 3" xfId="33265"/>
    <cellStyle name="Input 23 3 2 5" xfId="17570"/>
    <cellStyle name="Input 23 3 2 5 2" xfId="38757"/>
    <cellStyle name="Input 23 3 2 6" xfId="27877"/>
    <cellStyle name="Input 23 3 2_Table 2A-1_EFT (Annual)" xfId="6925"/>
    <cellStyle name="Input 23 3 3" xfId="949"/>
    <cellStyle name="Input 23 3 3 2" xfId="4510"/>
    <cellStyle name="Input 23 3 3 2 2" xfId="12772"/>
    <cellStyle name="Input 23 3 3 2 2 2" xfId="24782"/>
    <cellStyle name="Input 23 3 3 2 2 2 2" xfId="45968"/>
    <cellStyle name="Input 23 3 3 2 2 3" xfId="35364"/>
    <cellStyle name="Input 23 3 3 2 3" xfId="19669"/>
    <cellStyle name="Input 23 3 3 2 3 2" xfId="40856"/>
    <cellStyle name="Input 23 3 3 2 4" xfId="30167"/>
    <cellStyle name="Input 23 3 3 2_Table 2A-1_EFT (Annual)" xfId="15143"/>
    <cellStyle name="Input 23 3 3 3" xfId="10119"/>
    <cellStyle name="Input 23 3 3 3 2" xfId="22236"/>
    <cellStyle name="Input 23 3 3 3 2 2" xfId="43422"/>
    <cellStyle name="Input 23 3 3 3 3" xfId="32818"/>
    <cellStyle name="Input 23 3 3 4" xfId="17123"/>
    <cellStyle name="Input 23 3 3 4 2" xfId="38310"/>
    <cellStyle name="Input 23 3 3 5" xfId="27424"/>
    <cellStyle name="Input 23 3 3_Table 2A-1_EFT (Annual)" xfId="6927"/>
    <cellStyle name="Input 23 3 4" xfId="2141"/>
    <cellStyle name="Input 23 3 4 2" xfId="5702"/>
    <cellStyle name="Input 23 3 4 2 2" xfId="13917"/>
    <cellStyle name="Input 23 3 4 2 2 2" xfId="25905"/>
    <cellStyle name="Input 23 3 4 2 2 2 2" xfId="47091"/>
    <cellStyle name="Input 23 3 4 2 2 3" xfId="36487"/>
    <cellStyle name="Input 23 3 4 2 3" xfId="20792"/>
    <cellStyle name="Input 23 3 4 2 3 2" xfId="41979"/>
    <cellStyle name="Input 23 3 4 2 4" xfId="31359"/>
    <cellStyle name="Input 23 3 4 2_Table 2A-1_EFT (Annual)" xfId="15144"/>
    <cellStyle name="Input 23 3 4 3" xfId="11261"/>
    <cellStyle name="Input 23 3 4 3 2" xfId="23359"/>
    <cellStyle name="Input 23 3 4 3 2 2" xfId="44545"/>
    <cellStyle name="Input 23 3 4 3 3" xfId="33941"/>
    <cellStyle name="Input 23 3 4 4" xfId="18246"/>
    <cellStyle name="Input 23 3 4 4 2" xfId="39433"/>
    <cellStyle name="Input 23 3 4 5" xfId="28616"/>
    <cellStyle name="Input 23 3 4_Table 2A-1_EFT (Annual)" xfId="6928"/>
    <cellStyle name="Input 23 3 5" xfId="3989"/>
    <cellStyle name="Input 23 3 5 2" xfId="12317"/>
    <cellStyle name="Input 23 3 5 2 2" xfId="24341"/>
    <cellStyle name="Input 23 3 5 2 2 2" xfId="45527"/>
    <cellStyle name="Input 23 3 5 2 3" xfId="34923"/>
    <cellStyle name="Input 23 3 5 3" xfId="19228"/>
    <cellStyle name="Input 23 3 5 3 2" xfId="40415"/>
    <cellStyle name="Input 23 3 5 4" xfId="29677"/>
    <cellStyle name="Input 23 3 5_Table 2A-1_EFT (Annual)" xfId="15145"/>
    <cellStyle name="Input 23 3 6" xfId="9654"/>
    <cellStyle name="Input 23 3 6 2" xfId="21795"/>
    <cellStyle name="Input 23 3 6 2 2" xfId="42981"/>
    <cellStyle name="Input 23 3 6 3" xfId="32377"/>
    <cellStyle name="Input 23 3 7" xfId="16682"/>
    <cellStyle name="Input 23 3 7 2" xfId="37869"/>
    <cellStyle name="Input 23 3 8" xfId="26934"/>
    <cellStyle name="Input 23 3_Table 2A-1_EFT (Annual)" xfId="3035"/>
    <cellStyle name="Input 23 4" xfId="1237"/>
    <cellStyle name="Input 23 4 2" xfId="2507"/>
    <cellStyle name="Input 23 4 2 2" xfId="6068"/>
    <cellStyle name="Input 23 4 2 2 2" xfId="14262"/>
    <cellStyle name="Input 23 4 2 2 2 2" xfId="26234"/>
    <cellStyle name="Input 23 4 2 2 2 2 2" xfId="47420"/>
    <cellStyle name="Input 23 4 2 2 2 3" xfId="36816"/>
    <cellStyle name="Input 23 4 2 2 3" xfId="21121"/>
    <cellStyle name="Input 23 4 2 2 3 2" xfId="42308"/>
    <cellStyle name="Input 23 4 2 2 4" xfId="31724"/>
    <cellStyle name="Input 23 4 2 2_Table 2A-1_EFT (Annual)" xfId="15146"/>
    <cellStyle name="Input 23 4 2 3" xfId="11604"/>
    <cellStyle name="Input 23 4 2 3 2" xfId="23688"/>
    <cellStyle name="Input 23 4 2 3 2 2" xfId="44874"/>
    <cellStyle name="Input 23 4 2 3 3" xfId="34270"/>
    <cellStyle name="Input 23 4 2 4" xfId="18575"/>
    <cellStyle name="Input 23 4 2 4 2" xfId="39762"/>
    <cellStyle name="Input 23 4 2 5" xfId="28981"/>
    <cellStyle name="Input 23 4 2_Table 2A-1_EFT (Annual)" xfId="6930"/>
    <cellStyle name="Input 23 4 3" xfId="4798"/>
    <cellStyle name="Input 23 4 3 2" xfId="13058"/>
    <cellStyle name="Input 23 4 3 2 2" xfId="25064"/>
    <cellStyle name="Input 23 4 3 2 2 2" xfId="46250"/>
    <cellStyle name="Input 23 4 3 2 3" xfId="35646"/>
    <cellStyle name="Input 23 4 3 3" xfId="19951"/>
    <cellStyle name="Input 23 4 3 3 2" xfId="41138"/>
    <cellStyle name="Input 23 4 3 4" xfId="30455"/>
    <cellStyle name="Input 23 4 3_Table 2A-1_EFT (Annual)" xfId="15147"/>
    <cellStyle name="Input 23 4 4" xfId="10402"/>
    <cellStyle name="Input 23 4 4 2" xfId="22518"/>
    <cellStyle name="Input 23 4 4 2 2" xfId="43704"/>
    <cellStyle name="Input 23 4 4 3" xfId="33100"/>
    <cellStyle name="Input 23 4 5" xfId="17405"/>
    <cellStyle name="Input 23 4 5 2" xfId="38592"/>
    <cellStyle name="Input 23 4 6" xfId="27712"/>
    <cellStyle name="Input 23 4_Table 2A-1_EFT (Annual)" xfId="6929"/>
    <cellStyle name="Input 23 5" xfId="791"/>
    <cellStyle name="Input 23 5 2" xfId="4352"/>
    <cellStyle name="Input 23 5 2 2" xfId="12632"/>
    <cellStyle name="Input 23 5 2 2 2" xfId="24649"/>
    <cellStyle name="Input 23 5 2 2 2 2" xfId="45835"/>
    <cellStyle name="Input 23 5 2 2 3" xfId="35231"/>
    <cellStyle name="Input 23 5 2 3" xfId="19536"/>
    <cellStyle name="Input 23 5 2 3 2" xfId="40723"/>
    <cellStyle name="Input 23 5 2 4" xfId="30009"/>
    <cellStyle name="Input 23 5 2_Table 2A-1_EFT (Annual)" xfId="15148"/>
    <cellStyle name="Input 23 5 3" xfId="9980"/>
    <cellStyle name="Input 23 5 3 2" xfId="22103"/>
    <cellStyle name="Input 23 5 3 2 2" xfId="43289"/>
    <cellStyle name="Input 23 5 3 3" xfId="32685"/>
    <cellStyle name="Input 23 5 4" xfId="16990"/>
    <cellStyle name="Input 23 5 4 2" xfId="38177"/>
    <cellStyle name="Input 23 5 5" xfId="27266"/>
    <cellStyle name="Input 23 5_Table 2A-1_EFT (Annual)" xfId="6931"/>
    <cellStyle name="Input 23 6" xfId="1976"/>
    <cellStyle name="Input 23 6 2" xfId="5537"/>
    <cellStyle name="Input 23 6 2 2" xfId="13752"/>
    <cellStyle name="Input 23 6 2 2 2" xfId="25740"/>
    <cellStyle name="Input 23 6 2 2 2 2" xfId="46926"/>
    <cellStyle name="Input 23 6 2 2 3" xfId="36322"/>
    <cellStyle name="Input 23 6 2 3" xfId="20627"/>
    <cellStyle name="Input 23 6 2 3 2" xfId="41814"/>
    <cellStyle name="Input 23 6 2 4" xfId="31194"/>
    <cellStyle name="Input 23 6 2_Table 2A-1_EFT (Annual)" xfId="15149"/>
    <cellStyle name="Input 23 6 3" xfId="11096"/>
    <cellStyle name="Input 23 6 3 2" xfId="23194"/>
    <cellStyle name="Input 23 6 3 2 2" xfId="44380"/>
    <cellStyle name="Input 23 6 3 3" xfId="33776"/>
    <cellStyle name="Input 23 6 4" xfId="18081"/>
    <cellStyle name="Input 23 6 4 2" xfId="39268"/>
    <cellStyle name="Input 23 6 5" xfId="28451"/>
    <cellStyle name="Input 23 6_Table 2A-1_EFT (Annual)" xfId="6932"/>
    <cellStyle name="Input 23 7" xfId="3778"/>
    <cellStyle name="Input 23 7 2" xfId="12146"/>
    <cellStyle name="Input 23 7 2 2" xfId="24176"/>
    <cellStyle name="Input 23 7 2 2 2" xfId="45362"/>
    <cellStyle name="Input 23 7 2 3" xfId="34758"/>
    <cellStyle name="Input 23 7 3" xfId="19063"/>
    <cellStyle name="Input 23 7 3 2" xfId="40250"/>
    <cellStyle name="Input 23 7 4" xfId="29487"/>
    <cellStyle name="Input 23 7_Table 2A-1_EFT (Annual)" xfId="15150"/>
    <cellStyle name="Input 23 8" xfId="9465"/>
    <cellStyle name="Input 23 8 2" xfId="21630"/>
    <cellStyle name="Input 23 8 2 2" xfId="42816"/>
    <cellStyle name="Input 23 8 3" xfId="32212"/>
    <cellStyle name="Input 23 9" xfId="16517"/>
    <cellStyle name="Input 23 9 2" xfId="37704"/>
    <cellStyle name="Input 23_Table 2A-1_EFT (Annual)" xfId="3033"/>
    <cellStyle name="Input 24" xfId="221"/>
    <cellStyle name="Input 24 10" xfId="26776"/>
    <cellStyle name="Input 24 2" xfId="614"/>
    <cellStyle name="Input 24 2 2" xfId="1591"/>
    <cellStyle name="Input 24 2 2 2" xfId="2861"/>
    <cellStyle name="Input 24 2 2 2 2" xfId="6422"/>
    <cellStyle name="Input 24 2 2 2 2 2" xfId="14616"/>
    <cellStyle name="Input 24 2 2 2 2 2 2" xfId="26588"/>
    <cellStyle name="Input 24 2 2 2 2 2 2 2" xfId="47774"/>
    <cellStyle name="Input 24 2 2 2 2 2 3" xfId="37170"/>
    <cellStyle name="Input 24 2 2 2 2 3" xfId="21475"/>
    <cellStyle name="Input 24 2 2 2 2 3 2" xfId="42662"/>
    <cellStyle name="Input 24 2 2 2 2 4" xfId="32078"/>
    <cellStyle name="Input 24 2 2 2 2_Table 2A-1_EFT (Annual)" xfId="15151"/>
    <cellStyle name="Input 24 2 2 2 3" xfId="11958"/>
    <cellStyle name="Input 24 2 2 2 3 2" xfId="24042"/>
    <cellStyle name="Input 24 2 2 2 3 2 2" xfId="45228"/>
    <cellStyle name="Input 24 2 2 2 3 3" xfId="34624"/>
    <cellStyle name="Input 24 2 2 2 4" xfId="18929"/>
    <cellStyle name="Input 24 2 2 2 4 2" xfId="40116"/>
    <cellStyle name="Input 24 2 2 2 5" xfId="29335"/>
    <cellStyle name="Input 24 2 2 2_Table 2A-1_EFT (Annual)" xfId="6934"/>
    <cellStyle name="Input 24 2 2 3" xfId="5152"/>
    <cellStyle name="Input 24 2 2 3 2" xfId="13412"/>
    <cellStyle name="Input 24 2 2 3 2 2" xfId="25418"/>
    <cellStyle name="Input 24 2 2 3 2 2 2" xfId="46604"/>
    <cellStyle name="Input 24 2 2 3 2 3" xfId="36000"/>
    <cellStyle name="Input 24 2 2 3 3" xfId="20305"/>
    <cellStyle name="Input 24 2 2 3 3 2" xfId="41492"/>
    <cellStyle name="Input 24 2 2 3 4" xfId="30809"/>
    <cellStyle name="Input 24 2 2 3_Table 2A-1_EFT (Annual)" xfId="15152"/>
    <cellStyle name="Input 24 2 2 4" xfId="10756"/>
    <cellStyle name="Input 24 2 2 4 2" xfId="22872"/>
    <cellStyle name="Input 24 2 2 4 2 2" xfId="44058"/>
    <cellStyle name="Input 24 2 2 4 3" xfId="33454"/>
    <cellStyle name="Input 24 2 2 5" xfId="17759"/>
    <cellStyle name="Input 24 2 2 5 2" xfId="38946"/>
    <cellStyle name="Input 24 2 2 6" xfId="28066"/>
    <cellStyle name="Input 24 2 2_Table 2A-1_EFT (Annual)" xfId="6933"/>
    <cellStyle name="Input 24 2 3" xfId="1107"/>
    <cellStyle name="Input 24 2 3 2" xfId="4668"/>
    <cellStyle name="Input 24 2 3 2 2" xfId="12928"/>
    <cellStyle name="Input 24 2 3 2 2 2" xfId="24934"/>
    <cellStyle name="Input 24 2 3 2 2 2 2" xfId="46120"/>
    <cellStyle name="Input 24 2 3 2 2 3" xfId="35516"/>
    <cellStyle name="Input 24 2 3 2 3" xfId="19821"/>
    <cellStyle name="Input 24 2 3 2 3 2" xfId="41008"/>
    <cellStyle name="Input 24 2 3 2 4" xfId="30325"/>
    <cellStyle name="Input 24 2 3 2_Table 2A-1_EFT (Annual)" xfId="15153"/>
    <cellStyle name="Input 24 2 3 3" xfId="10272"/>
    <cellStyle name="Input 24 2 3 3 2" xfId="22388"/>
    <cellStyle name="Input 24 2 3 3 2 2" xfId="43574"/>
    <cellStyle name="Input 24 2 3 3 3" xfId="32970"/>
    <cellStyle name="Input 24 2 3 4" xfId="17275"/>
    <cellStyle name="Input 24 2 3 4 2" xfId="38462"/>
    <cellStyle name="Input 24 2 3 5" xfId="27582"/>
    <cellStyle name="Input 24 2 3_Table 2A-1_EFT (Annual)" xfId="6935"/>
    <cellStyle name="Input 24 2 4" xfId="2330"/>
    <cellStyle name="Input 24 2 4 2" xfId="5891"/>
    <cellStyle name="Input 24 2 4 2 2" xfId="14106"/>
    <cellStyle name="Input 24 2 4 2 2 2" xfId="26094"/>
    <cellStyle name="Input 24 2 4 2 2 2 2" xfId="47280"/>
    <cellStyle name="Input 24 2 4 2 2 3" xfId="36676"/>
    <cellStyle name="Input 24 2 4 2 3" xfId="20981"/>
    <cellStyle name="Input 24 2 4 2 3 2" xfId="42168"/>
    <cellStyle name="Input 24 2 4 2 4" xfId="31548"/>
    <cellStyle name="Input 24 2 4 2_Table 2A-1_EFT (Annual)" xfId="15154"/>
    <cellStyle name="Input 24 2 4 3" xfId="11450"/>
    <cellStyle name="Input 24 2 4 3 2" xfId="23548"/>
    <cellStyle name="Input 24 2 4 3 2 2" xfId="44734"/>
    <cellStyle name="Input 24 2 4 3 3" xfId="34130"/>
    <cellStyle name="Input 24 2 4 4" xfId="18435"/>
    <cellStyle name="Input 24 2 4 4 2" xfId="39622"/>
    <cellStyle name="Input 24 2 4 5" xfId="28805"/>
    <cellStyle name="Input 24 2 4_Table 2A-1_EFT (Annual)" xfId="6936"/>
    <cellStyle name="Input 24 2 5" xfId="4184"/>
    <cellStyle name="Input 24 2 5 2" xfId="12508"/>
    <cellStyle name="Input 24 2 5 2 2" xfId="24530"/>
    <cellStyle name="Input 24 2 5 2 2 2" xfId="45716"/>
    <cellStyle name="Input 24 2 5 2 3" xfId="35112"/>
    <cellStyle name="Input 24 2 5 3" xfId="19417"/>
    <cellStyle name="Input 24 2 5 3 2" xfId="40604"/>
    <cellStyle name="Input 24 2 5 4" xfId="29872"/>
    <cellStyle name="Input 24 2 5_Table 2A-1_EFT (Annual)" xfId="15155"/>
    <cellStyle name="Input 24 2 6" xfId="9847"/>
    <cellStyle name="Input 24 2 6 2" xfId="21984"/>
    <cellStyle name="Input 24 2 6 2 2" xfId="43170"/>
    <cellStyle name="Input 24 2 6 3" xfId="32566"/>
    <cellStyle name="Input 24 2 7" xfId="16871"/>
    <cellStyle name="Input 24 2 7 2" xfId="38058"/>
    <cellStyle name="Input 24 2 8" xfId="27129"/>
    <cellStyle name="Input 24 2_Table 2A-1_EFT (Annual)" xfId="3037"/>
    <cellStyle name="Input 24 3" xfId="448"/>
    <cellStyle name="Input 24 3 2" xfId="1431"/>
    <cellStyle name="Input 24 3 2 2" xfId="2701"/>
    <cellStyle name="Input 24 3 2 2 2" xfId="6262"/>
    <cellStyle name="Input 24 3 2 2 2 2" xfId="14456"/>
    <cellStyle name="Input 24 3 2 2 2 2 2" xfId="26428"/>
    <cellStyle name="Input 24 3 2 2 2 2 2 2" xfId="47614"/>
    <cellStyle name="Input 24 3 2 2 2 2 3" xfId="37010"/>
    <cellStyle name="Input 24 3 2 2 2 3" xfId="21315"/>
    <cellStyle name="Input 24 3 2 2 2 3 2" xfId="42502"/>
    <cellStyle name="Input 24 3 2 2 2 4" xfId="31918"/>
    <cellStyle name="Input 24 3 2 2 2_Table 2A-1_EFT (Annual)" xfId="15156"/>
    <cellStyle name="Input 24 3 2 2 3" xfId="11798"/>
    <cellStyle name="Input 24 3 2 2 3 2" xfId="23882"/>
    <cellStyle name="Input 24 3 2 2 3 2 2" xfId="45068"/>
    <cellStyle name="Input 24 3 2 2 3 3" xfId="34464"/>
    <cellStyle name="Input 24 3 2 2 4" xfId="18769"/>
    <cellStyle name="Input 24 3 2 2 4 2" xfId="39956"/>
    <cellStyle name="Input 24 3 2 2 5" xfId="29175"/>
    <cellStyle name="Input 24 3 2 2_Table 2A-1_EFT (Annual)" xfId="6938"/>
    <cellStyle name="Input 24 3 2 3" xfId="4992"/>
    <cellStyle name="Input 24 3 2 3 2" xfId="13252"/>
    <cellStyle name="Input 24 3 2 3 2 2" xfId="25258"/>
    <cellStyle name="Input 24 3 2 3 2 2 2" xfId="46444"/>
    <cellStyle name="Input 24 3 2 3 2 3" xfId="35840"/>
    <cellStyle name="Input 24 3 2 3 3" xfId="20145"/>
    <cellStyle name="Input 24 3 2 3 3 2" xfId="41332"/>
    <cellStyle name="Input 24 3 2 3 4" xfId="30649"/>
    <cellStyle name="Input 24 3 2 3_Table 2A-1_EFT (Annual)" xfId="15157"/>
    <cellStyle name="Input 24 3 2 4" xfId="10596"/>
    <cellStyle name="Input 24 3 2 4 2" xfId="22712"/>
    <cellStyle name="Input 24 3 2 4 2 2" xfId="43898"/>
    <cellStyle name="Input 24 3 2 4 3" xfId="33294"/>
    <cellStyle name="Input 24 3 2 5" xfId="17599"/>
    <cellStyle name="Input 24 3 2 5 2" xfId="38786"/>
    <cellStyle name="Input 24 3 2 6" xfId="27906"/>
    <cellStyle name="Input 24 3 2_Table 2A-1_EFT (Annual)" xfId="6937"/>
    <cellStyle name="Input 24 3 3" xfId="972"/>
    <cellStyle name="Input 24 3 3 2" xfId="4533"/>
    <cellStyle name="Input 24 3 3 2 2" xfId="12795"/>
    <cellStyle name="Input 24 3 3 2 2 2" xfId="24805"/>
    <cellStyle name="Input 24 3 3 2 2 2 2" xfId="45991"/>
    <cellStyle name="Input 24 3 3 2 2 3" xfId="35387"/>
    <cellStyle name="Input 24 3 3 2 3" xfId="19692"/>
    <cellStyle name="Input 24 3 3 2 3 2" xfId="40879"/>
    <cellStyle name="Input 24 3 3 2 4" xfId="30190"/>
    <cellStyle name="Input 24 3 3 2_Table 2A-1_EFT (Annual)" xfId="15158"/>
    <cellStyle name="Input 24 3 3 3" xfId="10142"/>
    <cellStyle name="Input 24 3 3 3 2" xfId="22259"/>
    <cellStyle name="Input 24 3 3 3 2 2" xfId="43445"/>
    <cellStyle name="Input 24 3 3 3 3" xfId="32841"/>
    <cellStyle name="Input 24 3 3 4" xfId="17146"/>
    <cellStyle name="Input 24 3 3 4 2" xfId="38333"/>
    <cellStyle name="Input 24 3 3 5" xfId="27447"/>
    <cellStyle name="Input 24 3 3_Table 2A-1_EFT (Annual)" xfId="6939"/>
    <cellStyle name="Input 24 3 4" xfId="2170"/>
    <cellStyle name="Input 24 3 4 2" xfId="5731"/>
    <cellStyle name="Input 24 3 4 2 2" xfId="13946"/>
    <cellStyle name="Input 24 3 4 2 2 2" xfId="25934"/>
    <cellStyle name="Input 24 3 4 2 2 2 2" xfId="47120"/>
    <cellStyle name="Input 24 3 4 2 2 3" xfId="36516"/>
    <cellStyle name="Input 24 3 4 2 3" xfId="20821"/>
    <cellStyle name="Input 24 3 4 2 3 2" xfId="42008"/>
    <cellStyle name="Input 24 3 4 2 4" xfId="31388"/>
    <cellStyle name="Input 24 3 4 2_Table 2A-1_EFT (Annual)" xfId="15159"/>
    <cellStyle name="Input 24 3 4 3" xfId="11290"/>
    <cellStyle name="Input 24 3 4 3 2" xfId="23388"/>
    <cellStyle name="Input 24 3 4 3 2 2" xfId="44574"/>
    <cellStyle name="Input 24 3 4 3 3" xfId="33970"/>
    <cellStyle name="Input 24 3 4 4" xfId="18275"/>
    <cellStyle name="Input 24 3 4 4 2" xfId="39462"/>
    <cellStyle name="Input 24 3 4 5" xfId="28645"/>
    <cellStyle name="Input 24 3 4_Table 2A-1_EFT (Annual)" xfId="6940"/>
    <cellStyle name="Input 24 3 5" xfId="4018"/>
    <cellStyle name="Input 24 3 5 2" xfId="12346"/>
    <cellStyle name="Input 24 3 5 2 2" xfId="24370"/>
    <cellStyle name="Input 24 3 5 2 2 2" xfId="45556"/>
    <cellStyle name="Input 24 3 5 2 3" xfId="34952"/>
    <cellStyle name="Input 24 3 5 3" xfId="19257"/>
    <cellStyle name="Input 24 3 5 3 2" xfId="40444"/>
    <cellStyle name="Input 24 3 5 4" xfId="29706"/>
    <cellStyle name="Input 24 3 5_Table 2A-1_EFT (Annual)" xfId="15160"/>
    <cellStyle name="Input 24 3 6" xfId="9683"/>
    <cellStyle name="Input 24 3 6 2" xfId="21824"/>
    <cellStyle name="Input 24 3 6 2 2" xfId="43010"/>
    <cellStyle name="Input 24 3 6 3" xfId="32406"/>
    <cellStyle name="Input 24 3 7" xfId="16711"/>
    <cellStyle name="Input 24 3 7 2" xfId="37898"/>
    <cellStyle name="Input 24 3 8" xfId="26963"/>
    <cellStyle name="Input 24 3_Table 2A-1_EFT (Annual)" xfId="3038"/>
    <cellStyle name="Input 24 4" xfId="1269"/>
    <cellStyle name="Input 24 4 2" xfId="2539"/>
    <cellStyle name="Input 24 4 2 2" xfId="6100"/>
    <cellStyle name="Input 24 4 2 2 2" xfId="14294"/>
    <cellStyle name="Input 24 4 2 2 2 2" xfId="26266"/>
    <cellStyle name="Input 24 4 2 2 2 2 2" xfId="47452"/>
    <cellStyle name="Input 24 4 2 2 2 3" xfId="36848"/>
    <cellStyle name="Input 24 4 2 2 3" xfId="21153"/>
    <cellStyle name="Input 24 4 2 2 3 2" xfId="42340"/>
    <cellStyle name="Input 24 4 2 2 4" xfId="31756"/>
    <cellStyle name="Input 24 4 2 2_Table 2A-1_EFT (Annual)" xfId="15161"/>
    <cellStyle name="Input 24 4 2 3" xfId="11636"/>
    <cellStyle name="Input 24 4 2 3 2" xfId="23720"/>
    <cellStyle name="Input 24 4 2 3 2 2" xfId="44906"/>
    <cellStyle name="Input 24 4 2 3 3" xfId="34302"/>
    <cellStyle name="Input 24 4 2 4" xfId="18607"/>
    <cellStyle name="Input 24 4 2 4 2" xfId="39794"/>
    <cellStyle name="Input 24 4 2 5" xfId="29013"/>
    <cellStyle name="Input 24 4 2_Table 2A-1_EFT (Annual)" xfId="6942"/>
    <cellStyle name="Input 24 4 3" xfId="4830"/>
    <cellStyle name="Input 24 4 3 2" xfId="13090"/>
    <cellStyle name="Input 24 4 3 2 2" xfId="25096"/>
    <cellStyle name="Input 24 4 3 2 2 2" xfId="46282"/>
    <cellStyle name="Input 24 4 3 2 3" xfId="35678"/>
    <cellStyle name="Input 24 4 3 3" xfId="19983"/>
    <cellStyle name="Input 24 4 3 3 2" xfId="41170"/>
    <cellStyle name="Input 24 4 3 4" xfId="30487"/>
    <cellStyle name="Input 24 4 3_Table 2A-1_EFT (Annual)" xfId="15162"/>
    <cellStyle name="Input 24 4 4" xfId="10434"/>
    <cellStyle name="Input 24 4 4 2" xfId="22550"/>
    <cellStyle name="Input 24 4 4 2 2" xfId="43736"/>
    <cellStyle name="Input 24 4 4 3" xfId="33132"/>
    <cellStyle name="Input 24 4 5" xfId="17437"/>
    <cellStyle name="Input 24 4 5 2" xfId="38624"/>
    <cellStyle name="Input 24 4 6" xfId="27744"/>
    <cellStyle name="Input 24 4_Table 2A-1_EFT (Annual)" xfId="6941"/>
    <cellStyle name="Input 24 5" xfId="816"/>
    <cellStyle name="Input 24 5 2" xfId="4377"/>
    <cellStyle name="Input 24 5 2 2" xfId="12657"/>
    <cellStyle name="Input 24 5 2 2 2" xfId="24674"/>
    <cellStyle name="Input 24 5 2 2 2 2" xfId="45860"/>
    <cellStyle name="Input 24 5 2 2 3" xfId="35256"/>
    <cellStyle name="Input 24 5 2 3" xfId="19561"/>
    <cellStyle name="Input 24 5 2 3 2" xfId="40748"/>
    <cellStyle name="Input 24 5 2 4" xfId="30034"/>
    <cellStyle name="Input 24 5 2_Table 2A-1_EFT (Annual)" xfId="15163"/>
    <cellStyle name="Input 24 5 3" xfId="10005"/>
    <cellStyle name="Input 24 5 3 2" xfId="22128"/>
    <cellStyle name="Input 24 5 3 2 2" xfId="43314"/>
    <cellStyle name="Input 24 5 3 3" xfId="32710"/>
    <cellStyle name="Input 24 5 4" xfId="17015"/>
    <cellStyle name="Input 24 5 4 2" xfId="38202"/>
    <cellStyle name="Input 24 5 5" xfId="27291"/>
    <cellStyle name="Input 24 5_Table 2A-1_EFT (Annual)" xfId="6943"/>
    <cellStyle name="Input 24 6" xfId="2008"/>
    <cellStyle name="Input 24 6 2" xfId="5569"/>
    <cellStyle name="Input 24 6 2 2" xfId="13784"/>
    <cellStyle name="Input 24 6 2 2 2" xfId="25772"/>
    <cellStyle name="Input 24 6 2 2 2 2" xfId="46958"/>
    <cellStyle name="Input 24 6 2 2 3" xfId="36354"/>
    <cellStyle name="Input 24 6 2 3" xfId="20659"/>
    <cellStyle name="Input 24 6 2 3 2" xfId="41846"/>
    <cellStyle name="Input 24 6 2 4" xfId="31226"/>
    <cellStyle name="Input 24 6 2_Table 2A-1_EFT (Annual)" xfId="15164"/>
    <cellStyle name="Input 24 6 3" xfId="11128"/>
    <cellStyle name="Input 24 6 3 2" xfId="23226"/>
    <cellStyle name="Input 24 6 3 2 2" xfId="44412"/>
    <cellStyle name="Input 24 6 3 3" xfId="33808"/>
    <cellStyle name="Input 24 6 4" xfId="18113"/>
    <cellStyle name="Input 24 6 4 2" xfId="39300"/>
    <cellStyle name="Input 24 6 5" xfId="28483"/>
    <cellStyle name="Input 24 6_Table 2A-1_EFT (Annual)" xfId="6944"/>
    <cellStyle name="Input 24 7" xfId="3810"/>
    <cellStyle name="Input 24 7 2" xfId="12178"/>
    <cellStyle name="Input 24 7 2 2" xfId="24208"/>
    <cellStyle name="Input 24 7 2 2 2" xfId="45394"/>
    <cellStyle name="Input 24 7 2 3" xfId="34790"/>
    <cellStyle name="Input 24 7 3" xfId="19095"/>
    <cellStyle name="Input 24 7 3 2" xfId="40282"/>
    <cellStyle name="Input 24 7 4" xfId="29519"/>
    <cellStyle name="Input 24 7_Table 2A-1_EFT (Annual)" xfId="15165"/>
    <cellStyle name="Input 24 8" xfId="9497"/>
    <cellStyle name="Input 24 8 2" xfId="21662"/>
    <cellStyle name="Input 24 8 2 2" xfId="42848"/>
    <cellStyle name="Input 24 8 3" xfId="32244"/>
    <cellStyle name="Input 24 9" xfId="16549"/>
    <cellStyle name="Input 24 9 2" xfId="37736"/>
    <cellStyle name="Input 24_Table 2A-1_EFT (Annual)" xfId="3036"/>
    <cellStyle name="Input 25" xfId="203"/>
    <cellStyle name="Input 25 10" xfId="26758"/>
    <cellStyle name="Input 25 2" xfId="596"/>
    <cellStyle name="Input 25 2 2" xfId="1573"/>
    <cellStyle name="Input 25 2 2 2" xfId="2843"/>
    <cellStyle name="Input 25 2 2 2 2" xfId="6404"/>
    <cellStyle name="Input 25 2 2 2 2 2" xfId="14598"/>
    <cellStyle name="Input 25 2 2 2 2 2 2" xfId="26570"/>
    <cellStyle name="Input 25 2 2 2 2 2 2 2" xfId="47756"/>
    <cellStyle name="Input 25 2 2 2 2 2 3" xfId="37152"/>
    <cellStyle name="Input 25 2 2 2 2 3" xfId="21457"/>
    <cellStyle name="Input 25 2 2 2 2 3 2" xfId="42644"/>
    <cellStyle name="Input 25 2 2 2 2 4" xfId="32060"/>
    <cellStyle name="Input 25 2 2 2 2_Table 2A-1_EFT (Annual)" xfId="15166"/>
    <cellStyle name="Input 25 2 2 2 3" xfId="11940"/>
    <cellStyle name="Input 25 2 2 2 3 2" xfId="24024"/>
    <cellStyle name="Input 25 2 2 2 3 2 2" xfId="45210"/>
    <cellStyle name="Input 25 2 2 2 3 3" xfId="34606"/>
    <cellStyle name="Input 25 2 2 2 4" xfId="18911"/>
    <cellStyle name="Input 25 2 2 2 4 2" xfId="40098"/>
    <cellStyle name="Input 25 2 2 2 5" xfId="29317"/>
    <cellStyle name="Input 25 2 2 2_Table 2A-1_EFT (Annual)" xfId="6946"/>
    <cellStyle name="Input 25 2 2 3" xfId="5134"/>
    <cellStyle name="Input 25 2 2 3 2" xfId="13394"/>
    <cellStyle name="Input 25 2 2 3 2 2" xfId="25400"/>
    <cellStyle name="Input 25 2 2 3 2 2 2" xfId="46586"/>
    <cellStyle name="Input 25 2 2 3 2 3" xfId="35982"/>
    <cellStyle name="Input 25 2 2 3 3" xfId="20287"/>
    <cellStyle name="Input 25 2 2 3 3 2" xfId="41474"/>
    <cellStyle name="Input 25 2 2 3 4" xfId="30791"/>
    <cellStyle name="Input 25 2 2 3_Table 2A-1_EFT (Annual)" xfId="15167"/>
    <cellStyle name="Input 25 2 2 4" xfId="10738"/>
    <cellStyle name="Input 25 2 2 4 2" xfId="22854"/>
    <cellStyle name="Input 25 2 2 4 2 2" xfId="44040"/>
    <cellStyle name="Input 25 2 2 4 3" xfId="33436"/>
    <cellStyle name="Input 25 2 2 5" xfId="17741"/>
    <cellStyle name="Input 25 2 2 5 2" xfId="38928"/>
    <cellStyle name="Input 25 2 2 6" xfId="28048"/>
    <cellStyle name="Input 25 2 2_Table 2A-1_EFT (Annual)" xfId="6945"/>
    <cellStyle name="Input 25 2 3" xfId="1093"/>
    <cellStyle name="Input 25 2 3 2" xfId="4654"/>
    <cellStyle name="Input 25 2 3 2 2" xfId="12914"/>
    <cellStyle name="Input 25 2 3 2 2 2" xfId="24920"/>
    <cellStyle name="Input 25 2 3 2 2 2 2" xfId="46106"/>
    <cellStyle name="Input 25 2 3 2 2 3" xfId="35502"/>
    <cellStyle name="Input 25 2 3 2 3" xfId="19807"/>
    <cellStyle name="Input 25 2 3 2 3 2" xfId="40994"/>
    <cellStyle name="Input 25 2 3 2 4" xfId="30311"/>
    <cellStyle name="Input 25 2 3 2_Table 2A-1_EFT (Annual)" xfId="15168"/>
    <cellStyle name="Input 25 2 3 3" xfId="10258"/>
    <cellStyle name="Input 25 2 3 3 2" xfId="22374"/>
    <cellStyle name="Input 25 2 3 3 2 2" xfId="43560"/>
    <cellStyle name="Input 25 2 3 3 3" xfId="32956"/>
    <cellStyle name="Input 25 2 3 4" xfId="17261"/>
    <cellStyle name="Input 25 2 3 4 2" xfId="38448"/>
    <cellStyle name="Input 25 2 3 5" xfId="27568"/>
    <cellStyle name="Input 25 2 3_Table 2A-1_EFT (Annual)" xfId="6947"/>
    <cellStyle name="Input 25 2 4" xfId="2312"/>
    <cellStyle name="Input 25 2 4 2" xfId="5873"/>
    <cellStyle name="Input 25 2 4 2 2" xfId="14088"/>
    <cellStyle name="Input 25 2 4 2 2 2" xfId="26076"/>
    <cellStyle name="Input 25 2 4 2 2 2 2" xfId="47262"/>
    <cellStyle name="Input 25 2 4 2 2 3" xfId="36658"/>
    <cellStyle name="Input 25 2 4 2 3" xfId="20963"/>
    <cellStyle name="Input 25 2 4 2 3 2" xfId="42150"/>
    <cellStyle name="Input 25 2 4 2 4" xfId="31530"/>
    <cellStyle name="Input 25 2 4 2_Table 2A-1_EFT (Annual)" xfId="15169"/>
    <cellStyle name="Input 25 2 4 3" xfId="11432"/>
    <cellStyle name="Input 25 2 4 3 2" xfId="23530"/>
    <cellStyle name="Input 25 2 4 3 2 2" xfId="44716"/>
    <cellStyle name="Input 25 2 4 3 3" xfId="34112"/>
    <cellStyle name="Input 25 2 4 4" xfId="18417"/>
    <cellStyle name="Input 25 2 4 4 2" xfId="39604"/>
    <cellStyle name="Input 25 2 4 5" xfId="28787"/>
    <cellStyle name="Input 25 2 4_Table 2A-1_EFT (Annual)" xfId="6948"/>
    <cellStyle name="Input 25 2 5" xfId="4166"/>
    <cellStyle name="Input 25 2 5 2" xfId="12490"/>
    <cellStyle name="Input 25 2 5 2 2" xfId="24512"/>
    <cellStyle name="Input 25 2 5 2 2 2" xfId="45698"/>
    <cellStyle name="Input 25 2 5 2 3" xfId="35094"/>
    <cellStyle name="Input 25 2 5 3" xfId="19399"/>
    <cellStyle name="Input 25 2 5 3 2" xfId="40586"/>
    <cellStyle name="Input 25 2 5 4" xfId="29854"/>
    <cellStyle name="Input 25 2 5_Table 2A-1_EFT (Annual)" xfId="15170"/>
    <cellStyle name="Input 25 2 6" xfId="9829"/>
    <cellStyle name="Input 25 2 6 2" xfId="21966"/>
    <cellStyle name="Input 25 2 6 2 2" xfId="43152"/>
    <cellStyle name="Input 25 2 6 3" xfId="32548"/>
    <cellStyle name="Input 25 2 7" xfId="16853"/>
    <cellStyle name="Input 25 2 7 2" xfId="38040"/>
    <cellStyle name="Input 25 2 8" xfId="27111"/>
    <cellStyle name="Input 25 2_Table 2A-1_EFT (Annual)" xfId="3040"/>
    <cellStyle name="Input 25 3" xfId="432"/>
    <cellStyle name="Input 25 3 2" xfId="1415"/>
    <cellStyle name="Input 25 3 2 2" xfId="2685"/>
    <cellStyle name="Input 25 3 2 2 2" xfId="6246"/>
    <cellStyle name="Input 25 3 2 2 2 2" xfId="14440"/>
    <cellStyle name="Input 25 3 2 2 2 2 2" xfId="26412"/>
    <cellStyle name="Input 25 3 2 2 2 2 2 2" xfId="47598"/>
    <cellStyle name="Input 25 3 2 2 2 2 3" xfId="36994"/>
    <cellStyle name="Input 25 3 2 2 2 3" xfId="21299"/>
    <cellStyle name="Input 25 3 2 2 2 3 2" xfId="42486"/>
    <cellStyle name="Input 25 3 2 2 2 4" xfId="31902"/>
    <cellStyle name="Input 25 3 2 2 2_Table 2A-1_EFT (Annual)" xfId="15171"/>
    <cellStyle name="Input 25 3 2 2 3" xfId="11782"/>
    <cellStyle name="Input 25 3 2 2 3 2" xfId="23866"/>
    <cellStyle name="Input 25 3 2 2 3 2 2" xfId="45052"/>
    <cellStyle name="Input 25 3 2 2 3 3" xfId="34448"/>
    <cellStyle name="Input 25 3 2 2 4" xfId="18753"/>
    <cellStyle name="Input 25 3 2 2 4 2" xfId="39940"/>
    <cellStyle name="Input 25 3 2 2 5" xfId="29159"/>
    <cellStyle name="Input 25 3 2 2_Table 2A-1_EFT (Annual)" xfId="6950"/>
    <cellStyle name="Input 25 3 2 3" xfId="4976"/>
    <cellStyle name="Input 25 3 2 3 2" xfId="13236"/>
    <cellStyle name="Input 25 3 2 3 2 2" xfId="25242"/>
    <cellStyle name="Input 25 3 2 3 2 2 2" xfId="46428"/>
    <cellStyle name="Input 25 3 2 3 2 3" xfId="35824"/>
    <cellStyle name="Input 25 3 2 3 3" xfId="20129"/>
    <cellStyle name="Input 25 3 2 3 3 2" xfId="41316"/>
    <cellStyle name="Input 25 3 2 3 4" xfId="30633"/>
    <cellStyle name="Input 25 3 2 3_Table 2A-1_EFT (Annual)" xfId="15172"/>
    <cellStyle name="Input 25 3 2 4" xfId="10580"/>
    <cellStyle name="Input 25 3 2 4 2" xfId="22696"/>
    <cellStyle name="Input 25 3 2 4 2 2" xfId="43882"/>
    <cellStyle name="Input 25 3 2 4 3" xfId="33278"/>
    <cellStyle name="Input 25 3 2 5" xfId="17583"/>
    <cellStyle name="Input 25 3 2 5 2" xfId="38770"/>
    <cellStyle name="Input 25 3 2 6" xfId="27890"/>
    <cellStyle name="Input 25 3 2_Table 2A-1_EFT (Annual)" xfId="6949"/>
    <cellStyle name="Input 25 3 3" xfId="959"/>
    <cellStyle name="Input 25 3 3 2" xfId="4520"/>
    <cellStyle name="Input 25 3 3 2 2" xfId="12782"/>
    <cellStyle name="Input 25 3 3 2 2 2" xfId="24792"/>
    <cellStyle name="Input 25 3 3 2 2 2 2" xfId="45978"/>
    <cellStyle name="Input 25 3 3 2 2 3" xfId="35374"/>
    <cellStyle name="Input 25 3 3 2 3" xfId="19679"/>
    <cellStyle name="Input 25 3 3 2 3 2" xfId="40866"/>
    <cellStyle name="Input 25 3 3 2 4" xfId="30177"/>
    <cellStyle name="Input 25 3 3 2_Table 2A-1_EFT (Annual)" xfId="15173"/>
    <cellStyle name="Input 25 3 3 3" xfId="10129"/>
    <cellStyle name="Input 25 3 3 3 2" xfId="22246"/>
    <cellStyle name="Input 25 3 3 3 2 2" xfId="43432"/>
    <cellStyle name="Input 25 3 3 3 3" xfId="32828"/>
    <cellStyle name="Input 25 3 3 4" xfId="17133"/>
    <cellStyle name="Input 25 3 3 4 2" xfId="38320"/>
    <cellStyle name="Input 25 3 3 5" xfId="27434"/>
    <cellStyle name="Input 25 3 3_Table 2A-1_EFT (Annual)" xfId="6951"/>
    <cellStyle name="Input 25 3 4" xfId="2154"/>
    <cellStyle name="Input 25 3 4 2" xfId="5715"/>
    <cellStyle name="Input 25 3 4 2 2" xfId="13930"/>
    <cellStyle name="Input 25 3 4 2 2 2" xfId="25918"/>
    <cellStyle name="Input 25 3 4 2 2 2 2" xfId="47104"/>
    <cellStyle name="Input 25 3 4 2 2 3" xfId="36500"/>
    <cellStyle name="Input 25 3 4 2 3" xfId="20805"/>
    <cellStyle name="Input 25 3 4 2 3 2" xfId="41992"/>
    <cellStyle name="Input 25 3 4 2 4" xfId="31372"/>
    <cellStyle name="Input 25 3 4 2_Table 2A-1_EFT (Annual)" xfId="15174"/>
    <cellStyle name="Input 25 3 4 3" xfId="11274"/>
    <cellStyle name="Input 25 3 4 3 2" xfId="23372"/>
    <cellStyle name="Input 25 3 4 3 2 2" xfId="44558"/>
    <cellStyle name="Input 25 3 4 3 3" xfId="33954"/>
    <cellStyle name="Input 25 3 4 4" xfId="18259"/>
    <cellStyle name="Input 25 3 4 4 2" xfId="39446"/>
    <cellStyle name="Input 25 3 4 5" xfId="28629"/>
    <cellStyle name="Input 25 3 4_Table 2A-1_EFT (Annual)" xfId="6952"/>
    <cellStyle name="Input 25 3 5" xfId="4002"/>
    <cellStyle name="Input 25 3 5 2" xfId="12330"/>
    <cellStyle name="Input 25 3 5 2 2" xfId="24354"/>
    <cellStyle name="Input 25 3 5 2 2 2" xfId="45540"/>
    <cellStyle name="Input 25 3 5 2 3" xfId="34936"/>
    <cellStyle name="Input 25 3 5 3" xfId="19241"/>
    <cellStyle name="Input 25 3 5 3 2" xfId="40428"/>
    <cellStyle name="Input 25 3 5 4" xfId="29690"/>
    <cellStyle name="Input 25 3 5_Table 2A-1_EFT (Annual)" xfId="15175"/>
    <cellStyle name="Input 25 3 6" xfId="9667"/>
    <cellStyle name="Input 25 3 6 2" xfId="21808"/>
    <cellStyle name="Input 25 3 6 2 2" xfId="42994"/>
    <cellStyle name="Input 25 3 6 3" xfId="32390"/>
    <cellStyle name="Input 25 3 7" xfId="16695"/>
    <cellStyle name="Input 25 3 7 2" xfId="37882"/>
    <cellStyle name="Input 25 3 8" xfId="26947"/>
    <cellStyle name="Input 25 3_Table 2A-1_EFT (Annual)" xfId="3041"/>
    <cellStyle name="Input 25 4" xfId="1251"/>
    <cellStyle name="Input 25 4 2" xfId="2521"/>
    <cellStyle name="Input 25 4 2 2" xfId="6082"/>
    <cellStyle name="Input 25 4 2 2 2" xfId="14276"/>
    <cellStyle name="Input 25 4 2 2 2 2" xfId="26248"/>
    <cellStyle name="Input 25 4 2 2 2 2 2" xfId="47434"/>
    <cellStyle name="Input 25 4 2 2 2 3" xfId="36830"/>
    <cellStyle name="Input 25 4 2 2 3" xfId="21135"/>
    <cellStyle name="Input 25 4 2 2 3 2" xfId="42322"/>
    <cellStyle name="Input 25 4 2 2 4" xfId="31738"/>
    <cellStyle name="Input 25 4 2 2_Table 2A-1_EFT (Annual)" xfId="15176"/>
    <cellStyle name="Input 25 4 2 3" xfId="11618"/>
    <cellStyle name="Input 25 4 2 3 2" xfId="23702"/>
    <cellStyle name="Input 25 4 2 3 2 2" xfId="44888"/>
    <cellStyle name="Input 25 4 2 3 3" xfId="34284"/>
    <cellStyle name="Input 25 4 2 4" xfId="18589"/>
    <cellStyle name="Input 25 4 2 4 2" xfId="39776"/>
    <cellStyle name="Input 25 4 2 5" xfId="28995"/>
    <cellStyle name="Input 25 4 2_Table 2A-1_EFT (Annual)" xfId="6954"/>
    <cellStyle name="Input 25 4 3" xfId="4812"/>
    <cellStyle name="Input 25 4 3 2" xfId="13072"/>
    <cellStyle name="Input 25 4 3 2 2" xfId="25078"/>
    <cellStyle name="Input 25 4 3 2 2 2" xfId="46264"/>
    <cellStyle name="Input 25 4 3 2 3" xfId="35660"/>
    <cellStyle name="Input 25 4 3 3" xfId="19965"/>
    <cellStyle name="Input 25 4 3 3 2" xfId="41152"/>
    <cellStyle name="Input 25 4 3 4" xfId="30469"/>
    <cellStyle name="Input 25 4 3_Table 2A-1_EFT (Annual)" xfId="15177"/>
    <cellStyle name="Input 25 4 4" xfId="10416"/>
    <cellStyle name="Input 25 4 4 2" xfId="22532"/>
    <cellStyle name="Input 25 4 4 2 2" xfId="43718"/>
    <cellStyle name="Input 25 4 4 3" xfId="33114"/>
    <cellStyle name="Input 25 4 5" xfId="17419"/>
    <cellStyle name="Input 25 4 5 2" xfId="38606"/>
    <cellStyle name="Input 25 4 6" xfId="27726"/>
    <cellStyle name="Input 25 4_Table 2A-1_EFT (Annual)" xfId="6953"/>
    <cellStyle name="Input 25 5" xfId="802"/>
    <cellStyle name="Input 25 5 2" xfId="4363"/>
    <cellStyle name="Input 25 5 2 2" xfId="12643"/>
    <cellStyle name="Input 25 5 2 2 2" xfId="24660"/>
    <cellStyle name="Input 25 5 2 2 2 2" xfId="45846"/>
    <cellStyle name="Input 25 5 2 2 3" xfId="35242"/>
    <cellStyle name="Input 25 5 2 3" xfId="19547"/>
    <cellStyle name="Input 25 5 2 3 2" xfId="40734"/>
    <cellStyle name="Input 25 5 2 4" xfId="30020"/>
    <cellStyle name="Input 25 5 2_Table 2A-1_EFT (Annual)" xfId="15178"/>
    <cellStyle name="Input 25 5 3" xfId="9991"/>
    <cellStyle name="Input 25 5 3 2" xfId="22114"/>
    <cellStyle name="Input 25 5 3 2 2" xfId="43300"/>
    <cellStyle name="Input 25 5 3 3" xfId="32696"/>
    <cellStyle name="Input 25 5 4" xfId="17001"/>
    <cellStyle name="Input 25 5 4 2" xfId="38188"/>
    <cellStyle name="Input 25 5 5" xfId="27277"/>
    <cellStyle name="Input 25 5_Table 2A-1_EFT (Annual)" xfId="6955"/>
    <cellStyle name="Input 25 6" xfId="1990"/>
    <cellStyle name="Input 25 6 2" xfId="5551"/>
    <cellStyle name="Input 25 6 2 2" xfId="13766"/>
    <cellStyle name="Input 25 6 2 2 2" xfId="25754"/>
    <cellStyle name="Input 25 6 2 2 2 2" xfId="46940"/>
    <cellStyle name="Input 25 6 2 2 3" xfId="36336"/>
    <cellStyle name="Input 25 6 2 3" xfId="20641"/>
    <cellStyle name="Input 25 6 2 3 2" xfId="41828"/>
    <cellStyle name="Input 25 6 2 4" xfId="31208"/>
    <cellStyle name="Input 25 6 2_Table 2A-1_EFT (Annual)" xfId="15179"/>
    <cellStyle name="Input 25 6 3" xfId="11110"/>
    <cellStyle name="Input 25 6 3 2" xfId="23208"/>
    <cellStyle name="Input 25 6 3 2 2" xfId="44394"/>
    <cellStyle name="Input 25 6 3 3" xfId="33790"/>
    <cellStyle name="Input 25 6 4" xfId="18095"/>
    <cellStyle name="Input 25 6 4 2" xfId="39282"/>
    <cellStyle name="Input 25 6 5" xfId="28465"/>
    <cellStyle name="Input 25 6_Table 2A-1_EFT (Annual)" xfId="6956"/>
    <cellStyle name="Input 25 7" xfId="3792"/>
    <cellStyle name="Input 25 7 2" xfId="12160"/>
    <cellStyle name="Input 25 7 2 2" xfId="24190"/>
    <cellStyle name="Input 25 7 2 2 2" xfId="45376"/>
    <cellStyle name="Input 25 7 2 3" xfId="34772"/>
    <cellStyle name="Input 25 7 3" xfId="19077"/>
    <cellStyle name="Input 25 7 3 2" xfId="40264"/>
    <cellStyle name="Input 25 7 4" xfId="29501"/>
    <cellStyle name="Input 25 7_Table 2A-1_EFT (Annual)" xfId="15180"/>
    <cellStyle name="Input 25 8" xfId="9479"/>
    <cellStyle name="Input 25 8 2" xfId="21644"/>
    <cellStyle name="Input 25 8 2 2" xfId="42830"/>
    <cellStyle name="Input 25 8 3" xfId="32226"/>
    <cellStyle name="Input 25 9" xfId="16531"/>
    <cellStyle name="Input 25 9 2" xfId="37718"/>
    <cellStyle name="Input 25_Table 2A-1_EFT (Annual)" xfId="3039"/>
    <cellStyle name="Input 26" xfId="219"/>
    <cellStyle name="Input 26 10" xfId="26774"/>
    <cellStyle name="Input 26 2" xfId="612"/>
    <cellStyle name="Input 26 2 2" xfId="1589"/>
    <cellStyle name="Input 26 2 2 2" xfId="2859"/>
    <cellStyle name="Input 26 2 2 2 2" xfId="6420"/>
    <cellStyle name="Input 26 2 2 2 2 2" xfId="14614"/>
    <cellStyle name="Input 26 2 2 2 2 2 2" xfId="26586"/>
    <cellStyle name="Input 26 2 2 2 2 2 2 2" xfId="47772"/>
    <cellStyle name="Input 26 2 2 2 2 2 3" xfId="37168"/>
    <cellStyle name="Input 26 2 2 2 2 3" xfId="21473"/>
    <cellStyle name="Input 26 2 2 2 2 3 2" xfId="42660"/>
    <cellStyle name="Input 26 2 2 2 2 4" xfId="32076"/>
    <cellStyle name="Input 26 2 2 2 2_Table 2A-1_EFT (Annual)" xfId="15181"/>
    <cellStyle name="Input 26 2 2 2 3" xfId="11956"/>
    <cellStyle name="Input 26 2 2 2 3 2" xfId="24040"/>
    <cellStyle name="Input 26 2 2 2 3 2 2" xfId="45226"/>
    <cellStyle name="Input 26 2 2 2 3 3" xfId="34622"/>
    <cellStyle name="Input 26 2 2 2 4" xfId="18927"/>
    <cellStyle name="Input 26 2 2 2 4 2" xfId="40114"/>
    <cellStyle name="Input 26 2 2 2 5" xfId="29333"/>
    <cellStyle name="Input 26 2 2 2_Table 2A-1_EFT (Annual)" xfId="6958"/>
    <cellStyle name="Input 26 2 2 3" xfId="5150"/>
    <cellStyle name="Input 26 2 2 3 2" xfId="13410"/>
    <cellStyle name="Input 26 2 2 3 2 2" xfId="25416"/>
    <cellStyle name="Input 26 2 2 3 2 2 2" xfId="46602"/>
    <cellStyle name="Input 26 2 2 3 2 3" xfId="35998"/>
    <cellStyle name="Input 26 2 2 3 3" xfId="20303"/>
    <cellStyle name="Input 26 2 2 3 3 2" xfId="41490"/>
    <cellStyle name="Input 26 2 2 3 4" xfId="30807"/>
    <cellStyle name="Input 26 2 2 3_Table 2A-1_EFT (Annual)" xfId="15182"/>
    <cellStyle name="Input 26 2 2 4" xfId="10754"/>
    <cellStyle name="Input 26 2 2 4 2" xfId="22870"/>
    <cellStyle name="Input 26 2 2 4 2 2" xfId="44056"/>
    <cellStyle name="Input 26 2 2 4 3" xfId="33452"/>
    <cellStyle name="Input 26 2 2 5" xfId="17757"/>
    <cellStyle name="Input 26 2 2 5 2" xfId="38944"/>
    <cellStyle name="Input 26 2 2 6" xfId="28064"/>
    <cellStyle name="Input 26 2 2_Table 2A-1_EFT (Annual)" xfId="6957"/>
    <cellStyle name="Input 26 2 3" xfId="1106"/>
    <cellStyle name="Input 26 2 3 2" xfId="4667"/>
    <cellStyle name="Input 26 2 3 2 2" xfId="12927"/>
    <cellStyle name="Input 26 2 3 2 2 2" xfId="24933"/>
    <cellStyle name="Input 26 2 3 2 2 2 2" xfId="46119"/>
    <cellStyle name="Input 26 2 3 2 2 3" xfId="35515"/>
    <cellStyle name="Input 26 2 3 2 3" xfId="19820"/>
    <cellStyle name="Input 26 2 3 2 3 2" xfId="41007"/>
    <cellStyle name="Input 26 2 3 2 4" xfId="30324"/>
    <cellStyle name="Input 26 2 3 2_Table 2A-1_EFT (Annual)" xfId="15183"/>
    <cellStyle name="Input 26 2 3 3" xfId="10271"/>
    <cellStyle name="Input 26 2 3 3 2" xfId="22387"/>
    <cellStyle name="Input 26 2 3 3 2 2" xfId="43573"/>
    <cellStyle name="Input 26 2 3 3 3" xfId="32969"/>
    <cellStyle name="Input 26 2 3 4" xfId="17274"/>
    <cellStyle name="Input 26 2 3 4 2" xfId="38461"/>
    <cellStyle name="Input 26 2 3 5" xfId="27581"/>
    <cellStyle name="Input 26 2 3_Table 2A-1_EFT (Annual)" xfId="6959"/>
    <cellStyle name="Input 26 2 4" xfId="2328"/>
    <cellStyle name="Input 26 2 4 2" xfId="5889"/>
    <cellStyle name="Input 26 2 4 2 2" xfId="14104"/>
    <cellStyle name="Input 26 2 4 2 2 2" xfId="26092"/>
    <cellStyle name="Input 26 2 4 2 2 2 2" xfId="47278"/>
    <cellStyle name="Input 26 2 4 2 2 3" xfId="36674"/>
    <cellStyle name="Input 26 2 4 2 3" xfId="20979"/>
    <cellStyle name="Input 26 2 4 2 3 2" xfId="42166"/>
    <cellStyle name="Input 26 2 4 2 4" xfId="31546"/>
    <cellStyle name="Input 26 2 4 2_Table 2A-1_EFT (Annual)" xfId="15184"/>
    <cellStyle name="Input 26 2 4 3" xfId="11448"/>
    <cellStyle name="Input 26 2 4 3 2" xfId="23546"/>
    <cellStyle name="Input 26 2 4 3 2 2" xfId="44732"/>
    <cellStyle name="Input 26 2 4 3 3" xfId="34128"/>
    <cellStyle name="Input 26 2 4 4" xfId="18433"/>
    <cellStyle name="Input 26 2 4 4 2" xfId="39620"/>
    <cellStyle name="Input 26 2 4 5" xfId="28803"/>
    <cellStyle name="Input 26 2 4_Table 2A-1_EFT (Annual)" xfId="6960"/>
    <cellStyle name="Input 26 2 5" xfId="4182"/>
    <cellStyle name="Input 26 2 5 2" xfId="12506"/>
    <cellStyle name="Input 26 2 5 2 2" xfId="24528"/>
    <cellStyle name="Input 26 2 5 2 2 2" xfId="45714"/>
    <cellStyle name="Input 26 2 5 2 3" xfId="35110"/>
    <cellStyle name="Input 26 2 5 3" xfId="19415"/>
    <cellStyle name="Input 26 2 5 3 2" xfId="40602"/>
    <cellStyle name="Input 26 2 5 4" xfId="29870"/>
    <cellStyle name="Input 26 2 5_Table 2A-1_EFT (Annual)" xfId="15185"/>
    <cellStyle name="Input 26 2 6" xfId="9845"/>
    <cellStyle name="Input 26 2 6 2" xfId="21982"/>
    <cellStyle name="Input 26 2 6 2 2" xfId="43168"/>
    <cellStyle name="Input 26 2 6 3" xfId="32564"/>
    <cellStyle name="Input 26 2 7" xfId="16869"/>
    <cellStyle name="Input 26 2 7 2" xfId="38056"/>
    <cellStyle name="Input 26 2 8" xfId="27127"/>
    <cellStyle name="Input 26 2_Table 2A-1_EFT (Annual)" xfId="3043"/>
    <cellStyle name="Input 26 3" xfId="447"/>
    <cellStyle name="Input 26 3 2" xfId="1430"/>
    <cellStyle name="Input 26 3 2 2" xfId="2700"/>
    <cellStyle name="Input 26 3 2 2 2" xfId="6261"/>
    <cellStyle name="Input 26 3 2 2 2 2" xfId="14455"/>
    <cellStyle name="Input 26 3 2 2 2 2 2" xfId="26427"/>
    <cellStyle name="Input 26 3 2 2 2 2 2 2" xfId="47613"/>
    <cellStyle name="Input 26 3 2 2 2 2 3" xfId="37009"/>
    <cellStyle name="Input 26 3 2 2 2 3" xfId="21314"/>
    <cellStyle name="Input 26 3 2 2 2 3 2" xfId="42501"/>
    <cellStyle name="Input 26 3 2 2 2 4" xfId="31917"/>
    <cellStyle name="Input 26 3 2 2 2_Table 2A-1_EFT (Annual)" xfId="15186"/>
    <cellStyle name="Input 26 3 2 2 3" xfId="11797"/>
    <cellStyle name="Input 26 3 2 2 3 2" xfId="23881"/>
    <cellStyle name="Input 26 3 2 2 3 2 2" xfId="45067"/>
    <cellStyle name="Input 26 3 2 2 3 3" xfId="34463"/>
    <cellStyle name="Input 26 3 2 2 4" xfId="18768"/>
    <cellStyle name="Input 26 3 2 2 4 2" xfId="39955"/>
    <cellStyle name="Input 26 3 2 2 5" xfId="29174"/>
    <cellStyle name="Input 26 3 2 2_Table 2A-1_EFT (Annual)" xfId="6962"/>
    <cellStyle name="Input 26 3 2 3" xfId="4991"/>
    <cellStyle name="Input 26 3 2 3 2" xfId="13251"/>
    <cellStyle name="Input 26 3 2 3 2 2" xfId="25257"/>
    <cellStyle name="Input 26 3 2 3 2 2 2" xfId="46443"/>
    <cellStyle name="Input 26 3 2 3 2 3" xfId="35839"/>
    <cellStyle name="Input 26 3 2 3 3" xfId="20144"/>
    <cellStyle name="Input 26 3 2 3 3 2" xfId="41331"/>
    <cellStyle name="Input 26 3 2 3 4" xfId="30648"/>
    <cellStyle name="Input 26 3 2 3_Table 2A-1_EFT (Annual)" xfId="15187"/>
    <cellStyle name="Input 26 3 2 4" xfId="10595"/>
    <cellStyle name="Input 26 3 2 4 2" xfId="22711"/>
    <cellStyle name="Input 26 3 2 4 2 2" xfId="43897"/>
    <cellStyle name="Input 26 3 2 4 3" xfId="33293"/>
    <cellStyle name="Input 26 3 2 5" xfId="17598"/>
    <cellStyle name="Input 26 3 2 5 2" xfId="38785"/>
    <cellStyle name="Input 26 3 2 6" xfId="27905"/>
    <cellStyle name="Input 26 3 2_Table 2A-1_EFT (Annual)" xfId="6961"/>
    <cellStyle name="Input 26 3 3" xfId="971"/>
    <cellStyle name="Input 26 3 3 2" xfId="4532"/>
    <cellStyle name="Input 26 3 3 2 2" xfId="12794"/>
    <cellStyle name="Input 26 3 3 2 2 2" xfId="24804"/>
    <cellStyle name="Input 26 3 3 2 2 2 2" xfId="45990"/>
    <cellStyle name="Input 26 3 3 2 2 3" xfId="35386"/>
    <cellStyle name="Input 26 3 3 2 3" xfId="19691"/>
    <cellStyle name="Input 26 3 3 2 3 2" xfId="40878"/>
    <cellStyle name="Input 26 3 3 2 4" xfId="30189"/>
    <cellStyle name="Input 26 3 3 2_Table 2A-1_EFT (Annual)" xfId="15188"/>
    <cellStyle name="Input 26 3 3 3" xfId="10141"/>
    <cellStyle name="Input 26 3 3 3 2" xfId="22258"/>
    <cellStyle name="Input 26 3 3 3 2 2" xfId="43444"/>
    <cellStyle name="Input 26 3 3 3 3" xfId="32840"/>
    <cellStyle name="Input 26 3 3 4" xfId="17145"/>
    <cellStyle name="Input 26 3 3 4 2" xfId="38332"/>
    <cellStyle name="Input 26 3 3 5" xfId="27446"/>
    <cellStyle name="Input 26 3 3_Table 2A-1_EFT (Annual)" xfId="6963"/>
    <cellStyle name="Input 26 3 4" xfId="2169"/>
    <cellStyle name="Input 26 3 4 2" xfId="5730"/>
    <cellStyle name="Input 26 3 4 2 2" xfId="13945"/>
    <cellStyle name="Input 26 3 4 2 2 2" xfId="25933"/>
    <cellStyle name="Input 26 3 4 2 2 2 2" xfId="47119"/>
    <cellStyle name="Input 26 3 4 2 2 3" xfId="36515"/>
    <cellStyle name="Input 26 3 4 2 3" xfId="20820"/>
    <cellStyle name="Input 26 3 4 2 3 2" xfId="42007"/>
    <cellStyle name="Input 26 3 4 2 4" xfId="31387"/>
    <cellStyle name="Input 26 3 4 2_Table 2A-1_EFT (Annual)" xfId="15189"/>
    <cellStyle name="Input 26 3 4 3" xfId="11289"/>
    <cellStyle name="Input 26 3 4 3 2" xfId="23387"/>
    <cellStyle name="Input 26 3 4 3 2 2" xfId="44573"/>
    <cellStyle name="Input 26 3 4 3 3" xfId="33969"/>
    <cellStyle name="Input 26 3 4 4" xfId="18274"/>
    <cellStyle name="Input 26 3 4 4 2" xfId="39461"/>
    <cellStyle name="Input 26 3 4 5" xfId="28644"/>
    <cellStyle name="Input 26 3 4_Table 2A-1_EFT (Annual)" xfId="6964"/>
    <cellStyle name="Input 26 3 5" xfId="4017"/>
    <cellStyle name="Input 26 3 5 2" xfId="12345"/>
    <cellStyle name="Input 26 3 5 2 2" xfId="24369"/>
    <cellStyle name="Input 26 3 5 2 2 2" xfId="45555"/>
    <cellStyle name="Input 26 3 5 2 3" xfId="34951"/>
    <cellStyle name="Input 26 3 5 3" xfId="19256"/>
    <cellStyle name="Input 26 3 5 3 2" xfId="40443"/>
    <cellStyle name="Input 26 3 5 4" xfId="29705"/>
    <cellStyle name="Input 26 3 5_Table 2A-1_EFT (Annual)" xfId="15190"/>
    <cellStyle name="Input 26 3 6" xfId="9682"/>
    <cellStyle name="Input 26 3 6 2" xfId="21823"/>
    <cellStyle name="Input 26 3 6 2 2" xfId="43009"/>
    <cellStyle name="Input 26 3 6 3" xfId="32405"/>
    <cellStyle name="Input 26 3 7" xfId="16710"/>
    <cellStyle name="Input 26 3 7 2" xfId="37897"/>
    <cellStyle name="Input 26 3 8" xfId="26962"/>
    <cellStyle name="Input 26 3_Table 2A-1_EFT (Annual)" xfId="3044"/>
    <cellStyle name="Input 26 4" xfId="1267"/>
    <cellStyle name="Input 26 4 2" xfId="2537"/>
    <cellStyle name="Input 26 4 2 2" xfId="6098"/>
    <cellStyle name="Input 26 4 2 2 2" xfId="14292"/>
    <cellStyle name="Input 26 4 2 2 2 2" xfId="26264"/>
    <cellStyle name="Input 26 4 2 2 2 2 2" xfId="47450"/>
    <cellStyle name="Input 26 4 2 2 2 3" xfId="36846"/>
    <cellStyle name="Input 26 4 2 2 3" xfId="21151"/>
    <cellStyle name="Input 26 4 2 2 3 2" xfId="42338"/>
    <cellStyle name="Input 26 4 2 2 4" xfId="31754"/>
    <cellStyle name="Input 26 4 2 2_Table 2A-1_EFT (Annual)" xfId="15191"/>
    <cellStyle name="Input 26 4 2 3" xfId="11634"/>
    <cellStyle name="Input 26 4 2 3 2" xfId="23718"/>
    <cellStyle name="Input 26 4 2 3 2 2" xfId="44904"/>
    <cellStyle name="Input 26 4 2 3 3" xfId="34300"/>
    <cellStyle name="Input 26 4 2 4" xfId="18605"/>
    <cellStyle name="Input 26 4 2 4 2" xfId="39792"/>
    <cellStyle name="Input 26 4 2 5" xfId="29011"/>
    <cellStyle name="Input 26 4 2_Table 2A-1_EFT (Annual)" xfId="6966"/>
    <cellStyle name="Input 26 4 3" xfId="4828"/>
    <cellStyle name="Input 26 4 3 2" xfId="13088"/>
    <cellStyle name="Input 26 4 3 2 2" xfId="25094"/>
    <cellStyle name="Input 26 4 3 2 2 2" xfId="46280"/>
    <cellStyle name="Input 26 4 3 2 3" xfId="35676"/>
    <cellStyle name="Input 26 4 3 3" xfId="19981"/>
    <cellStyle name="Input 26 4 3 3 2" xfId="41168"/>
    <cellStyle name="Input 26 4 3 4" xfId="30485"/>
    <cellStyle name="Input 26 4 3_Table 2A-1_EFT (Annual)" xfId="15192"/>
    <cellStyle name="Input 26 4 4" xfId="10432"/>
    <cellStyle name="Input 26 4 4 2" xfId="22548"/>
    <cellStyle name="Input 26 4 4 2 2" xfId="43734"/>
    <cellStyle name="Input 26 4 4 3" xfId="33130"/>
    <cellStyle name="Input 26 4 5" xfId="17435"/>
    <cellStyle name="Input 26 4 5 2" xfId="38622"/>
    <cellStyle name="Input 26 4 6" xfId="27742"/>
    <cellStyle name="Input 26 4_Table 2A-1_EFT (Annual)" xfId="6965"/>
    <cellStyle name="Input 26 5" xfId="815"/>
    <cellStyle name="Input 26 5 2" xfId="4376"/>
    <cellStyle name="Input 26 5 2 2" xfId="12656"/>
    <cellStyle name="Input 26 5 2 2 2" xfId="24673"/>
    <cellStyle name="Input 26 5 2 2 2 2" xfId="45859"/>
    <cellStyle name="Input 26 5 2 2 3" xfId="35255"/>
    <cellStyle name="Input 26 5 2 3" xfId="19560"/>
    <cellStyle name="Input 26 5 2 3 2" xfId="40747"/>
    <cellStyle name="Input 26 5 2 4" xfId="30033"/>
    <cellStyle name="Input 26 5 2_Table 2A-1_EFT (Annual)" xfId="15193"/>
    <cellStyle name="Input 26 5 3" xfId="10004"/>
    <cellStyle name="Input 26 5 3 2" xfId="22127"/>
    <cellStyle name="Input 26 5 3 2 2" xfId="43313"/>
    <cellStyle name="Input 26 5 3 3" xfId="32709"/>
    <cellStyle name="Input 26 5 4" xfId="17014"/>
    <cellStyle name="Input 26 5 4 2" xfId="38201"/>
    <cellStyle name="Input 26 5 5" xfId="27290"/>
    <cellStyle name="Input 26 5_Table 2A-1_EFT (Annual)" xfId="6967"/>
    <cellStyle name="Input 26 6" xfId="2006"/>
    <cellStyle name="Input 26 6 2" xfId="5567"/>
    <cellStyle name="Input 26 6 2 2" xfId="13782"/>
    <cellStyle name="Input 26 6 2 2 2" xfId="25770"/>
    <cellStyle name="Input 26 6 2 2 2 2" xfId="46956"/>
    <cellStyle name="Input 26 6 2 2 3" xfId="36352"/>
    <cellStyle name="Input 26 6 2 3" xfId="20657"/>
    <cellStyle name="Input 26 6 2 3 2" xfId="41844"/>
    <cellStyle name="Input 26 6 2 4" xfId="31224"/>
    <cellStyle name="Input 26 6 2_Table 2A-1_EFT (Annual)" xfId="15194"/>
    <cellStyle name="Input 26 6 3" xfId="11126"/>
    <cellStyle name="Input 26 6 3 2" xfId="23224"/>
    <cellStyle name="Input 26 6 3 2 2" xfId="44410"/>
    <cellStyle name="Input 26 6 3 3" xfId="33806"/>
    <cellStyle name="Input 26 6 4" xfId="18111"/>
    <cellStyle name="Input 26 6 4 2" xfId="39298"/>
    <cellStyle name="Input 26 6 5" xfId="28481"/>
    <cellStyle name="Input 26 6_Table 2A-1_EFT (Annual)" xfId="6968"/>
    <cellStyle name="Input 26 7" xfId="3808"/>
    <cellStyle name="Input 26 7 2" xfId="12176"/>
    <cellStyle name="Input 26 7 2 2" xfId="24206"/>
    <cellStyle name="Input 26 7 2 2 2" xfId="45392"/>
    <cellStyle name="Input 26 7 2 3" xfId="34788"/>
    <cellStyle name="Input 26 7 3" xfId="19093"/>
    <cellStyle name="Input 26 7 3 2" xfId="40280"/>
    <cellStyle name="Input 26 7 4" xfId="29517"/>
    <cellStyle name="Input 26 7_Table 2A-1_EFT (Annual)" xfId="15195"/>
    <cellStyle name="Input 26 8" xfId="9495"/>
    <cellStyle name="Input 26 8 2" xfId="21660"/>
    <cellStyle name="Input 26 8 2 2" xfId="42846"/>
    <cellStyle name="Input 26 8 3" xfId="32242"/>
    <cellStyle name="Input 26 9" xfId="16547"/>
    <cellStyle name="Input 26 9 2" xfId="37734"/>
    <cellStyle name="Input 26_Table 2A-1_EFT (Annual)" xfId="3042"/>
    <cellStyle name="Input 27" xfId="237"/>
    <cellStyle name="Input 27 10" xfId="26792"/>
    <cellStyle name="Input 27 2" xfId="624"/>
    <cellStyle name="Input 27 2 2" xfId="1601"/>
    <cellStyle name="Input 27 2 2 2" xfId="2871"/>
    <cellStyle name="Input 27 2 2 2 2" xfId="6432"/>
    <cellStyle name="Input 27 2 2 2 2 2" xfId="14626"/>
    <cellStyle name="Input 27 2 2 2 2 2 2" xfId="26598"/>
    <cellStyle name="Input 27 2 2 2 2 2 2 2" xfId="47784"/>
    <cellStyle name="Input 27 2 2 2 2 2 3" xfId="37180"/>
    <cellStyle name="Input 27 2 2 2 2 3" xfId="21485"/>
    <cellStyle name="Input 27 2 2 2 2 3 2" xfId="42672"/>
    <cellStyle name="Input 27 2 2 2 2 4" xfId="32088"/>
    <cellStyle name="Input 27 2 2 2 2_Table 2A-1_EFT (Annual)" xfId="15196"/>
    <cellStyle name="Input 27 2 2 2 3" xfId="11968"/>
    <cellStyle name="Input 27 2 2 2 3 2" xfId="24052"/>
    <cellStyle name="Input 27 2 2 2 3 2 2" xfId="45238"/>
    <cellStyle name="Input 27 2 2 2 3 3" xfId="34634"/>
    <cellStyle name="Input 27 2 2 2 4" xfId="18939"/>
    <cellStyle name="Input 27 2 2 2 4 2" xfId="40126"/>
    <cellStyle name="Input 27 2 2 2 5" xfId="29345"/>
    <cellStyle name="Input 27 2 2 2_Table 2A-1_EFT (Annual)" xfId="6970"/>
    <cellStyle name="Input 27 2 2 3" xfId="5162"/>
    <cellStyle name="Input 27 2 2 3 2" xfId="13422"/>
    <cellStyle name="Input 27 2 2 3 2 2" xfId="25428"/>
    <cellStyle name="Input 27 2 2 3 2 2 2" xfId="46614"/>
    <cellStyle name="Input 27 2 2 3 2 3" xfId="36010"/>
    <cellStyle name="Input 27 2 2 3 3" xfId="20315"/>
    <cellStyle name="Input 27 2 2 3 3 2" xfId="41502"/>
    <cellStyle name="Input 27 2 2 3 4" xfId="30819"/>
    <cellStyle name="Input 27 2 2 3_Table 2A-1_EFT (Annual)" xfId="15197"/>
    <cellStyle name="Input 27 2 2 4" xfId="10766"/>
    <cellStyle name="Input 27 2 2 4 2" xfId="22882"/>
    <cellStyle name="Input 27 2 2 4 2 2" xfId="44068"/>
    <cellStyle name="Input 27 2 2 4 3" xfId="33464"/>
    <cellStyle name="Input 27 2 2 5" xfId="17769"/>
    <cellStyle name="Input 27 2 2 5 2" xfId="38956"/>
    <cellStyle name="Input 27 2 2 6" xfId="28076"/>
    <cellStyle name="Input 27 2 2_Table 2A-1_EFT (Annual)" xfId="6969"/>
    <cellStyle name="Input 27 2 3" xfId="1115"/>
    <cellStyle name="Input 27 2 3 2" xfId="4676"/>
    <cellStyle name="Input 27 2 3 2 2" xfId="12936"/>
    <cellStyle name="Input 27 2 3 2 2 2" xfId="24942"/>
    <cellStyle name="Input 27 2 3 2 2 2 2" xfId="46128"/>
    <cellStyle name="Input 27 2 3 2 2 3" xfId="35524"/>
    <cellStyle name="Input 27 2 3 2 3" xfId="19829"/>
    <cellStyle name="Input 27 2 3 2 3 2" xfId="41016"/>
    <cellStyle name="Input 27 2 3 2 4" xfId="30333"/>
    <cellStyle name="Input 27 2 3 2_Table 2A-1_EFT (Annual)" xfId="15198"/>
    <cellStyle name="Input 27 2 3 3" xfId="10280"/>
    <cellStyle name="Input 27 2 3 3 2" xfId="22396"/>
    <cellStyle name="Input 27 2 3 3 2 2" xfId="43582"/>
    <cellStyle name="Input 27 2 3 3 3" xfId="32978"/>
    <cellStyle name="Input 27 2 3 4" xfId="17283"/>
    <cellStyle name="Input 27 2 3 4 2" xfId="38470"/>
    <cellStyle name="Input 27 2 3 5" xfId="27590"/>
    <cellStyle name="Input 27 2 3_Table 2A-1_EFT (Annual)" xfId="6971"/>
    <cellStyle name="Input 27 2 4" xfId="2340"/>
    <cellStyle name="Input 27 2 4 2" xfId="5901"/>
    <cellStyle name="Input 27 2 4 2 2" xfId="14116"/>
    <cellStyle name="Input 27 2 4 2 2 2" xfId="26104"/>
    <cellStyle name="Input 27 2 4 2 2 2 2" xfId="47290"/>
    <cellStyle name="Input 27 2 4 2 2 3" xfId="36686"/>
    <cellStyle name="Input 27 2 4 2 3" xfId="20991"/>
    <cellStyle name="Input 27 2 4 2 3 2" xfId="42178"/>
    <cellStyle name="Input 27 2 4 2 4" xfId="31558"/>
    <cellStyle name="Input 27 2 4 2_Table 2A-1_EFT (Annual)" xfId="15199"/>
    <cellStyle name="Input 27 2 4 3" xfId="11460"/>
    <cellStyle name="Input 27 2 4 3 2" xfId="23558"/>
    <cellStyle name="Input 27 2 4 3 2 2" xfId="44744"/>
    <cellStyle name="Input 27 2 4 3 3" xfId="34140"/>
    <cellStyle name="Input 27 2 4 4" xfId="18445"/>
    <cellStyle name="Input 27 2 4 4 2" xfId="39632"/>
    <cellStyle name="Input 27 2 4 5" xfId="28815"/>
    <cellStyle name="Input 27 2 4_Table 2A-1_EFT (Annual)" xfId="6972"/>
    <cellStyle name="Input 27 2 5" xfId="4194"/>
    <cellStyle name="Input 27 2 5 2" xfId="12518"/>
    <cellStyle name="Input 27 2 5 2 2" xfId="24540"/>
    <cellStyle name="Input 27 2 5 2 2 2" xfId="45726"/>
    <cellStyle name="Input 27 2 5 2 3" xfId="35122"/>
    <cellStyle name="Input 27 2 5 3" xfId="19427"/>
    <cellStyle name="Input 27 2 5 3 2" xfId="40614"/>
    <cellStyle name="Input 27 2 5 4" xfId="29882"/>
    <cellStyle name="Input 27 2 5_Table 2A-1_EFT (Annual)" xfId="15200"/>
    <cellStyle name="Input 27 2 6" xfId="9857"/>
    <cellStyle name="Input 27 2 6 2" xfId="21994"/>
    <cellStyle name="Input 27 2 6 2 2" xfId="43180"/>
    <cellStyle name="Input 27 2 6 3" xfId="32576"/>
    <cellStyle name="Input 27 2 7" xfId="16881"/>
    <cellStyle name="Input 27 2 7 2" xfId="38068"/>
    <cellStyle name="Input 27 2 8" xfId="27139"/>
    <cellStyle name="Input 27 2_Table 2A-1_EFT (Annual)" xfId="3046"/>
    <cellStyle name="Input 27 3" xfId="463"/>
    <cellStyle name="Input 27 3 2" xfId="1440"/>
    <cellStyle name="Input 27 3 2 2" xfId="2710"/>
    <cellStyle name="Input 27 3 2 2 2" xfId="6271"/>
    <cellStyle name="Input 27 3 2 2 2 2" xfId="14465"/>
    <cellStyle name="Input 27 3 2 2 2 2 2" xfId="26437"/>
    <cellStyle name="Input 27 3 2 2 2 2 2 2" xfId="47623"/>
    <cellStyle name="Input 27 3 2 2 2 2 3" xfId="37019"/>
    <cellStyle name="Input 27 3 2 2 2 3" xfId="21324"/>
    <cellStyle name="Input 27 3 2 2 2 3 2" xfId="42511"/>
    <cellStyle name="Input 27 3 2 2 2 4" xfId="31927"/>
    <cellStyle name="Input 27 3 2 2 2_Table 2A-1_EFT (Annual)" xfId="15201"/>
    <cellStyle name="Input 27 3 2 2 3" xfId="11807"/>
    <cellStyle name="Input 27 3 2 2 3 2" xfId="23891"/>
    <cellStyle name="Input 27 3 2 2 3 2 2" xfId="45077"/>
    <cellStyle name="Input 27 3 2 2 3 3" xfId="34473"/>
    <cellStyle name="Input 27 3 2 2 4" xfId="18778"/>
    <cellStyle name="Input 27 3 2 2 4 2" xfId="39965"/>
    <cellStyle name="Input 27 3 2 2 5" xfId="29184"/>
    <cellStyle name="Input 27 3 2 2_Table 2A-1_EFT (Annual)" xfId="6974"/>
    <cellStyle name="Input 27 3 2 3" xfId="5001"/>
    <cellStyle name="Input 27 3 2 3 2" xfId="13261"/>
    <cellStyle name="Input 27 3 2 3 2 2" xfId="25267"/>
    <cellStyle name="Input 27 3 2 3 2 2 2" xfId="46453"/>
    <cellStyle name="Input 27 3 2 3 2 3" xfId="35849"/>
    <cellStyle name="Input 27 3 2 3 3" xfId="20154"/>
    <cellStyle name="Input 27 3 2 3 3 2" xfId="41341"/>
    <cellStyle name="Input 27 3 2 3 4" xfId="30658"/>
    <cellStyle name="Input 27 3 2 3_Table 2A-1_EFT (Annual)" xfId="15202"/>
    <cellStyle name="Input 27 3 2 4" xfId="10605"/>
    <cellStyle name="Input 27 3 2 4 2" xfId="22721"/>
    <cellStyle name="Input 27 3 2 4 2 2" xfId="43907"/>
    <cellStyle name="Input 27 3 2 4 3" xfId="33303"/>
    <cellStyle name="Input 27 3 2 5" xfId="17608"/>
    <cellStyle name="Input 27 3 2 5 2" xfId="38795"/>
    <cellStyle name="Input 27 3 2 6" xfId="27915"/>
    <cellStyle name="Input 27 3 2_Table 2A-1_EFT (Annual)" xfId="6973"/>
    <cellStyle name="Input 27 3 3" xfId="985"/>
    <cellStyle name="Input 27 3 3 2" xfId="4546"/>
    <cellStyle name="Input 27 3 3 2 2" xfId="12806"/>
    <cellStyle name="Input 27 3 3 2 2 2" xfId="24812"/>
    <cellStyle name="Input 27 3 3 2 2 2 2" xfId="45998"/>
    <cellStyle name="Input 27 3 3 2 2 3" xfId="35394"/>
    <cellStyle name="Input 27 3 3 2 3" xfId="19699"/>
    <cellStyle name="Input 27 3 3 2 3 2" xfId="40886"/>
    <cellStyle name="Input 27 3 3 2 4" xfId="30203"/>
    <cellStyle name="Input 27 3 3 2_Table 2A-1_EFT (Annual)" xfId="15203"/>
    <cellStyle name="Input 27 3 3 3" xfId="10150"/>
    <cellStyle name="Input 27 3 3 3 2" xfId="22266"/>
    <cellStyle name="Input 27 3 3 3 2 2" xfId="43452"/>
    <cellStyle name="Input 27 3 3 3 3" xfId="32848"/>
    <cellStyle name="Input 27 3 3 4" xfId="17153"/>
    <cellStyle name="Input 27 3 3 4 2" xfId="38340"/>
    <cellStyle name="Input 27 3 3 5" xfId="27460"/>
    <cellStyle name="Input 27 3 3_Table 2A-1_EFT (Annual)" xfId="6975"/>
    <cellStyle name="Input 27 3 4" xfId="2179"/>
    <cellStyle name="Input 27 3 4 2" xfId="5740"/>
    <cellStyle name="Input 27 3 4 2 2" xfId="13955"/>
    <cellStyle name="Input 27 3 4 2 2 2" xfId="25943"/>
    <cellStyle name="Input 27 3 4 2 2 2 2" xfId="47129"/>
    <cellStyle name="Input 27 3 4 2 2 3" xfId="36525"/>
    <cellStyle name="Input 27 3 4 2 3" xfId="20830"/>
    <cellStyle name="Input 27 3 4 2 3 2" xfId="42017"/>
    <cellStyle name="Input 27 3 4 2 4" xfId="31397"/>
    <cellStyle name="Input 27 3 4 2_Table 2A-1_EFT (Annual)" xfId="15204"/>
    <cellStyle name="Input 27 3 4 3" xfId="11299"/>
    <cellStyle name="Input 27 3 4 3 2" xfId="23397"/>
    <cellStyle name="Input 27 3 4 3 2 2" xfId="44583"/>
    <cellStyle name="Input 27 3 4 3 3" xfId="33979"/>
    <cellStyle name="Input 27 3 4 4" xfId="18284"/>
    <cellStyle name="Input 27 3 4 4 2" xfId="39471"/>
    <cellStyle name="Input 27 3 4 5" xfId="28654"/>
    <cellStyle name="Input 27 3 4_Table 2A-1_EFT (Annual)" xfId="6976"/>
    <cellStyle name="Input 27 3 5" xfId="4033"/>
    <cellStyle name="Input 27 3 5 2" xfId="12357"/>
    <cellStyle name="Input 27 3 5 2 2" xfId="24379"/>
    <cellStyle name="Input 27 3 5 2 2 2" xfId="45565"/>
    <cellStyle name="Input 27 3 5 2 3" xfId="34961"/>
    <cellStyle name="Input 27 3 5 3" xfId="19266"/>
    <cellStyle name="Input 27 3 5 3 2" xfId="40453"/>
    <cellStyle name="Input 27 3 5 4" xfId="29721"/>
    <cellStyle name="Input 27 3 5_Table 2A-1_EFT (Annual)" xfId="15205"/>
    <cellStyle name="Input 27 3 6" xfId="9696"/>
    <cellStyle name="Input 27 3 6 2" xfId="21833"/>
    <cellStyle name="Input 27 3 6 2 2" xfId="43019"/>
    <cellStyle name="Input 27 3 6 3" xfId="32415"/>
    <cellStyle name="Input 27 3 7" xfId="16720"/>
    <cellStyle name="Input 27 3 7 2" xfId="37907"/>
    <cellStyle name="Input 27 3 8" xfId="26978"/>
    <cellStyle name="Input 27 3_Table 2A-1_EFT (Annual)" xfId="3047"/>
    <cellStyle name="Input 27 4" xfId="1279"/>
    <cellStyle name="Input 27 4 2" xfId="2549"/>
    <cellStyle name="Input 27 4 2 2" xfId="6110"/>
    <cellStyle name="Input 27 4 2 2 2" xfId="14304"/>
    <cellStyle name="Input 27 4 2 2 2 2" xfId="26276"/>
    <cellStyle name="Input 27 4 2 2 2 2 2" xfId="47462"/>
    <cellStyle name="Input 27 4 2 2 2 3" xfId="36858"/>
    <cellStyle name="Input 27 4 2 2 3" xfId="21163"/>
    <cellStyle name="Input 27 4 2 2 3 2" xfId="42350"/>
    <cellStyle name="Input 27 4 2 2 4" xfId="31766"/>
    <cellStyle name="Input 27 4 2 2_Table 2A-1_EFT (Annual)" xfId="15206"/>
    <cellStyle name="Input 27 4 2 3" xfId="11646"/>
    <cellStyle name="Input 27 4 2 3 2" xfId="23730"/>
    <cellStyle name="Input 27 4 2 3 2 2" xfId="44916"/>
    <cellStyle name="Input 27 4 2 3 3" xfId="34312"/>
    <cellStyle name="Input 27 4 2 4" xfId="18617"/>
    <cellStyle name="Input 27 4 2 4 2" xfId="39804"/>
    <cellStyle name="Input 27 4 2 5" xfId="29023"/>
    <cellStyle name="Input 27 4 2_Table 2A-1_EFT (Annual)" xfId="6978"/>
    <cellStyle name="Input 27 4 3" xfId="4840"/>
    <cellStyle name="Input 27 4 3 2" xfId="13100"/>
    <cellStyle name="Input 27 4 3 2 2" xfId="25106"/>
    <cellStyle name="Input 27 4 3 2 2 2" xfId="46292"/>
    <cellStyle name="Input 27 4 3 2 3" xfId="35688"/>
    <cellStyle name="Input 27 4 3 3" xfId="19993"/>
    <cellStyle name="Input 27 4 3 3 2" xfId="41180"/>
    <cellStyle name="Input 27 4 3 4" xfId="30497"/>
    <cellStyle name="Input 27 4 3_Table 2A-1_EFT (Annual)" xfId="15207"/>
    <cellStyle name="Input 27 4 4" xfId="10444"/>
    <cellStyle name="Input 27 4 4 2" xfId="22560"/>
    <cellStyle name="Input 27 4 4 2 2" xfId="43746"/>
    <cellStyle name="Input 27 4 4 3" xfId="33142"/>
    <cellStyle name="Input 27 4 5" xfId="17447"/>
    <cellStyle name="Input 27 4 5 2" xfId="38634"/>
    <cellStyle name="Input 27 4 6" xfId="27754"/>
    <cellStyle name="Input 27 4_Table 2A-1_EFT (Annual)" xfId="6977"/>
    <cellStyle name="Input 27 5" xfId="830"/>
    <cellStyle name="Input 27 5 2" xfId="4391"/>
    <cellStyle name="Input 27 5 2 2" xfId="12665"/>
    <cellStyle name="Input 27 5 2 2 2" xfId="24682"/>
    <cellStyle name="Input 27 5 2 2 2 2" xfId="45868"/>
    <cellStyle name="Input 27 5 2 2 3" xfId="35264"/>
    <cellStyle name="Input 27 5 2 3" xfId="19569"/>
    <cellStyle name="Input 27 5 2 3 2" xfId="40756"/>
    <cellStyle name="Input 27 5 2 4" xfId="30048"/>
    <cellStyle name="Input 27 5 2_Table 2A-1_EFT (Annual)" xfId="15208"/>
    <cellStyle name="Input 27 5 3" xfId="10014"/>
    <cellStyle name="Input 27 5 3 2" xfId="22136"/>
    <cellStyle name="Input 27 5 3 2 2" xfId="43322"/>
    <cellStyle name="Input 27 5 3 3" xfId="32718"/>
    <cellStyle name="Input 27 5 4" xfId="17023"/>
    <cellStyle name="Input 27 5 4 2" xfId="38210"/>
    <cellStyle name="Input 27 5 5" xfId="27305"/>
    <cellStyle name="Input 27 5_Table 2A-1_EFT (Annual)" xfId="6979"/>
    <cellStyle name="Input 27 6" xfId="2018"/>
    <cellStyle name="Input 27 6 2" xfId="5579"/>
    <cellStyle name="Input 27 6 2 2" xfId="13794"/>
    <cellStyle name="Input 27 6 2 2 2" xfId="25782"/>
    <cellStyle name="Input 27 6 2 2 2 2" xfId="46968"/>
    <cellStyle name="Input 27 6 2 2 3" xfId="36364"/>
    <cellStyle name="Input 27 6 2 3" xfId="20669"/>
    <cellStyle name="Input 27 6 2 3 2" xfId="41856"/>
    <cellStyle name="Input 27 6 2 4" xfId="31236"/>
    <cellStyle name="Input 27 6 2_Table 2A-1_EFT (Annual)" xfId="15209"/>
    <cellStyle name="Input 27 6 3" xfId="11138"/>
    <cellStyle name="Input 27 6 3 2" xfId="23236"/>
    <cellStyle name="Input 27 6 3 2 2" xfId="44422"/>
    <cellStyle name="Input 27 6 3 3" xfId="33818"/>
    <cellStyle name="Input 27 6 4" xfId="18123"/>
    <cellStyle name="Input 27 6 4 2" xfId="39310"/>
    <cellStyle name="Input 27 6 5" xfId="28493"/>
    <cellStyle name="Input 27 6_Table 2A-1_EFT (Annual)" xfId="6980"/>
    <cellStyle name="Input 27 7" xfId="3826"/>
    <cellStyle name="Input 27 7 2" xfId="12189"/>
    <cellStyle name="Input 27 7 2 2" xfId="24218"/>
    <cellStyle name="Input 27 7 2 2 2" xfId="45404"/>
    <cellStyle name="Input 27 7 2 3" xfId="34800"/>
    <cellStyle name="Input 27 7 3" xfId="19105"/>
    <cellStyle name="Input 27 7 3 2" xfId="40292"/>
    <cellStyle name="Input 27 7 4" xfId="29535"/>
    <cellStyle name="Input 27 7_Table 2A-1_EFT (Annual)" xfId="15210"/>
    <cellStyle name="Input 27 8" xfId="9508"/>
    <cellStyle name="Input 27 8 2" xfId="21672"/>
    <cellStyle name="Input 27 8 2 2" xfId="42858"/>
    <cellStyle name="Input 27 8 3" xfId="32254"/>
    <cellStyle name="Input 27 9" xfId="16559"/>
    <cellStyle name="Input 27 9 2" xfId="37746"/>
    <cellStyle name="Input 27_Table 2A-1_EFT (Annual)" xfId="3045"/>
    <cellStyle name="Input 28" xfId="194"/>
    <cellStyle name="Input 28 10" xfId="26749"/>
    <cellStyle name="Input 28 2" xfId="587"/>
    <cellStyle name="Input 28 2 2" xfId="1564"/>
    <cellStyle name="Input 28 2 2 2" xfId="2834"/>
    <cellStyle name="Input 28 2 2 2 2" xfId="6395"/>
    <cellStyle name="Input 28 2 2 2 2 2" xfId="14589"/>
    <cellStyle name="Input 28 2 2 2 2 2 2" xfId="26561"/>
    <cellStyle name="Input 28 2 2 2 2 2 2 2" xfId="47747"/>
    <cellStyle name="Input 28 2 2 2 2 2 3" xfId="37143"/>
    <cellStyle name="Input 28 2 2 2 2 3" xfId="21448"/>
    <cellStyle name="Input 28 2 2 2 2 3 2" xfId="42635"/>
    <cellStyle name="Input 28 2 2 2 2 4" xfId="32051"/>
    <cellStyle name="Input 28 2 2 2 2_Table 2A-1_EFT (Annual)" xfId="15211"/>
    <cellStyle name="Input 28 2 2 2 3" xfId="11931"/>
    <cellStyle name="Input 28 2 2 2 3 2" xfId="24015"/>
    <cellStyle name="Input 28 2 2 2 3 2 2" xfId="45201"/>
    <cellStyle name="Input 28 2 2 2 3 3" xfId="34597"/>
    <cellStyle name="Input 28 2 2 2 4" xfId="18902"/>
    <cellStyle name="Input 28 2 2 2 4 2" xfId="40089"/>
    <cellStyle name="Input 28 2 2 2 5" xfId="29308"/>
    <cellStyle name="Input 28 2 2 2_Table 2A-1_EFT (Annual)" xfId="6982"/>
    <cellStyle name="Input 28 2 2 3" xfId="5125"/>
    <cellStyle name="Input 28 2 2 3 2" xfId="13385"/>
    <cellStyle name="Input 28 2 2 3 2 2" xfId="25391"/>
    <cellStyle name="Input 28 2 2 3 2 2 2" xfId="46577"/>
    <cellStyle name="Input 28 2 2 3 2 3" xfId="35973"/>
    <cellStyle name="Input 28 2 2 3 3" xfId="20278"/>
    <cellStyle name="Input 28 2 2 3 3 2" xfId="41465"/>
    <cellStyle name="Input 28 2 2 3 4" xfId="30782"/>
    <cellStyle name="Input 28 2 2 3_Table 2A-1_EFT (Annual)" xfId="15212"/>
    <cellStyle name="Input 28 2 2 4" xfId="10729"/>
    <cellStyle name="Input 28 2 2 4 2" xfId="22845"/>
    <cellStyle name="Input 28 2 2 4 2 2" xfId="44031"/>
    <cellStyle name="Input 28 2 2 4 3" xfId="33427"/>
    <cellStyle name="Input 28 2 2 5" xfId="17732"/>
    <cellStyle name="Input 28 2 2 5 2" xfId="38919"/>
    <cellStyle name="Input 28 2 2 6" xfId="28039"/>
    <cellStyle name="Input 28 2 2_Table 2A-1_EFT (Annual)" xfId="6981"/>
    <cellStyle name="Input 28 2 3" xfId="1086"/>
    <cellStyle name="Input 28 2 3 2" xfId="4647"/>
    <cellStyle name="Input 28 2 3 2 2" xfId="12907"/>
    <cellStyle name="Input 28 2 3 2 2 2" xfId="24913"/>
    <cellStyle name="Input 28 2 3 2 2 2 2" xfId="46099"/>
    <cellStyle name="Input 28 2 3 2 2 3" xfId="35495"/>
    <cellStyle name="Input 28 2 3 2 3" xfId="19800"/>
    <cellStyle name="Input 28 2 3 2 3 2" xfId="40987"/>
    <cellStyle name="Input 28 2 3 2 4" xfId="30304"/>
    <cellStyle name="Input 28 2 3 2_Table 2A-1_EFT (Annual)" xfId="15213"/>
    <cellStyle name="Input 28 2 3 3" xfId="10251"/>
    <cellStyle name="Input 28 2 3 3 2" xfId="22367"/>
    <cellStyle name="Input 28 2 3 3 2 2" xfId="43553"/>
    <cellStyle name="Input 28 2 3 3 3" xfId="32949"/>
    <cellStyle name="Input 28 2 3 4" xfId="17254"/>
    <cellStyle name="Input 28 2 3 4 2" xfId="38441"/>
    <cellStyle name="Input 28 2 3 5" xfId="27561"/>
    <cellStyle name="Input 28 2 3_Table 2A-1_EFT (Annual)" xfId="6983"/>
    <cellStyle name="Input 28 2 4" xfId="2303"/>
    <cellStyle name="Input 28 2 4 2" xfId="5864"/>
    <cellStyle name="Input 28 2 4 2 2" xfId="14079"/>
    <cellStyle name="Input 28 2 4 2 2 2" xfId="26067"/>
    <cellStyle name="Input 28 2 4 2 2 2 2" xfId="47253"/>
    <cellStyle name="Input 28 2 4 2 2 3" xfId="36649"/>
    <cellStyle name="Input 28 2 4 2 3" xfId="20954"/>
    <cellStyle name="Input 28 2 4 2 3 2" xfId="42141"/>
    <cellStyle name="Input 28 2 4 2 4" xfId="31521"/>
    <cellStyle name="Input 28 2 4 2_Table 2A-1_EFT (Annual)" xfId="15214"/>
    <cellStyle name="Input 28 2 4 3" xfId="11423"/>
    <cellStyle name="Input 28 2 4 3 2" xfId="23521"/>
    <cellStyle name="Input 28 2 4 3 2 2" xfId="44707"/>
    <cellStyle name="Input 28 2 4 3 3" xfId="34103"/>
    <cellStyle name="Input 28 2 4 4" xfId="18408"/>
    <cellStyle name="Input 28 2 4 4 2" xfId="39595"/>
    <cellStyle name="Input 28 2 4 5" xfId="28778"/>
    <cellStyle name="Input 28 2 4_Table 2A-1_EFT (Annual)" xfId="6984"/>
    <cellStyle name="Input 28 2 5" xfId="4157"/>
    <cellStyle name="Input 28 2 5 2" xfId="12481"/>
    <cellStyle name="Input 28 2 5 2 2" xfId="24503"/>
    <cellStyle name="Input 28 2 5 2 2 2" xfId="45689"/>
    <cellStyle name="Input 28 2 5 2 3" xfId="35085"/>
    <cellStyle name="Input 28 2 5 3" xfId="19390"/>
    <cellStyle name="Input 28 2 5 3 2" xfId="40577"/>
    <cellStyle name="Input 28 2 5 4" xfId="29845"/>
    <cellStyle name="Input 28 2 5_Table 2A-1_EFT (Annual)" xfId="15215"/>
    <cellStyle name="Input 28 2 6" xfId="9820"/>
    <cellStyle name="Input 28 2 6 2" xfId="21957"/>
    <cellStyle name="Input 28 2 6 2 2" xfId="43143"/>
    <cellStyle name="Input 28 2 6 3" xfId="32539"/>
    <cellStyle name="Input 28 2 7" xfId="16844"/>
    <cellStyle name="Input 28 2 7 2" xfId="38031"/>
    <cellStyle name="Input 28 2 8" xfId="27102"/>
    <cellStyle name="Input 28 2_Table 2A-1_EFT (Annual)" xfId="3049"/>
    <cellStyle name="Input 28 3" xfId="423"/>
    <cellStyle name="Input 28 3 2" xfId="1406"/>
    <cellStyle name="Input 28 3 2 2" xfId="2676"/>
    <cellStyle name="Input 28 3 2 2 2" xfId="6237"/>
    <cellStyle name="Input 28 3 2 2 2 2" xfId="14431"/>
    <cellStyle name="Input 28 3 2 2 2 2 2" xfId="26403"/>
    <cellStyle name="Input 28 3 2 2 2 2 2 2" xfId="47589"/>
    <cellStyle name="Input 28 3 2 2 2 2 3" xfId="36985"/>
    <cellStyle name="Input 28 3 2 2 2 3" xfId="21290"/>
    <cellStyle name="Input 28 3 2 2 2 3 2" xfId="42477"/>
    <cellStyle name="Input 28 3 2 2 2 4" xfId="31893"/>
    <cellStyle name="Input 28 3 2 2 2_Table 2A-1_EFT (Annual)" xfId="15216"/>
    <cellStyle name="Input 28 3 2 2 3" xfId="11773"/>
    <cellStyle name="Input 28 3 2 2 3 2" xfId="23857"/>
    <cellStyle name="Input 28 3 2 2 3 2 2" xfId="45043"/>
    <cellStyle name="Input 28 3 2 2 3 3" xfId="34439"/>
    <cellStyle name="Input 28 3 2 2 4" xfId="18744"/>
    <cellStyle name="Input 28 3 2 2 4 2" xfId="39931"/>
    <cellStyle name="Input 28 3 2 2 5" xfId="29150"/>
    <cellStyle name="Input 28 3 2 2_Table 2A-1_EFT (Annual)" xfId="6986"/>
    <cellStyle name="Input 28 3 2 3" xfId="4967"/>
    <cellStyle name="Input 28 3 2 3 2" xfId="13227"/>
    <cellStyle name="Input 28 3 2 3 2 2" xfId="25233"/>
    <cellStyle name="Input 28 3 2 3 2 2 2" xfId="46419"/>
    <cellStyle name="Input 28 3 2 3 2 3" xfId="35815"/>
    <cellStyle name="Input 28 3 2 3 3" xfId="20120"/>
    <cellStyle name="Input 28 3 2 3 3 2" xfId="41307"/>
    <cellStyle name="Input 28 3 2 3 4" xfId="30624"/>
    <cellStyle name="Input 28 3 2 3_Table 2A-1_EFT (Annual)" xfId="15217"/>
    <cellStyle name="Input 28 3 2 4" xfId="10571"/>
    <cellStyle name="Input 28 3 2 4 2" xfId="22687"/>
    <cellStyle name="Input 28 3 2 4 2 2" xfId="43873"/>
    <cellStyle name="Input 28 3 2 4 3" xfId="33269"/>
    <cellStyle name="Input 28 3 2 5" xfId="17574"/>
    <cellStyle name="Input 28 3 2 5 2" xfId="38761"/>
    <cellStyle name="Input 28 3 2 6" xfId="27881"/>
    <cellStyle name="Input 28 3 2_Table 2A-1_EFT (Annual)" xfId="6985"/>
    <cellStyle name="Input 28 3 3" xfId="952"/>
    <cellStyle name="Input 28 3 3 2" xfId="4513"/>
    <cellStyle name="Input 28 3 3 2 2" xfId="12775"/>
    <cellStyle name="Input 28 3 3 2 2 2" xfId="24785"/>
    <cellStyle name="Input 28 3 3 2 2 2 2" xfId="45971"/>
    <cellStyle name="Input 28 3 3 2 2 3" xfId="35367"/>
    <cellStyle name="Input 28 3 3 2 3" xfId="19672"/>
    <cellStyle name="Input 28 3 3 2 3 2" xfId="40859"/>
    <cellStyle name="Input 28 3 3 2 4" xfId="30170"/>
    <cellStyle name="Input 28 3 3 2_Table 2A-1_EFT (Annual)" xfId="15218"/>
    <cellStyle name="Input 28 3 3 3" xfId="10122"/>
    <cellStyle name="Input 28 3 3 3 2" xfId="22239"/>
    <cellStyle name="Input 28 3 3 3 2 2" xfId="43425"/>
    <cellStyle name="Input 28 3 3 3 3" xfId="32821"/>
    <cellStyle name="Input 28 3 3 4" xfId="17126"/>
    <cellStyle name="Input 28 3 3 4 2" xfId="38313"/>
    <cellStyle name="Input 28 3 3 5" xfId="27427"/>
    <cellStyle name="Input 28 3 3_Table 2A-1_EFT (Annual)" xfId="6987"/>
    <cellStyle name="Input 28 3 4" xfId="2145"/>
    <cellStyle name="Input 28 3 4 2" xfId="5706"/>
    <cellStyle name="Input 28 3 4 2 2" xfId="13921"/>
    <cellStyle name="Input 28 3 4 2 2 2" xfId="25909"/>
    <cellStyle name="Input 28 3 4 2 2 2 2" xfId="47095"/>
    <cellStyle name="Input 28 3 4 2 2 3" xfId="36491"/>
    <cellStyle name="Input 28 3 4 2 3" xfId="20796"/>
    <cellStyle name="Input 28 3 4 2 3 2" xfId="41983"/>
    <cellStyle name="Input 28 3 4 2 4" xfId="31363"/>
    <cellStyle name="Input 28 3 4 2_Table 2A-1_EFT (Annual)" xfId="15219"/>
    <cellStyle name="Input 28 3 4 3" xfId="11265"/>
    <cellStyle name="Input 28 3 4 3 2" xfId="23363"/>
    <cellStyle name="Input 28 3 4 3 2 2" xfId="44549"/>
    <cellStyle name="Input 28 3 4 3 3" xfId="33945"/>
    <cellStyle name="Input 28 3 4 4" xfId="18250"/>
    <cellStyle name="Input 28 3 4 4 2" xfId="39437"/>
    <cellStyle name="Input 28 3 4 5" xfId="28620"/>
    <cellStyle name="Input 28 3 4_Table 2A-1_EFT (Annual)" xfId="6988"/>
    <cellStyle name="Input 28 3 5" xfId="3993"/>
    <cellStyle name="Input 28 3 5 2" xfId="12321"/>
    <cellStyle name="Input 28 3 5 2 2" xfId="24345"/>
    <cellStyle name="Input 28 3 5 2 2 2" xfId="45531"/>
    <cellStyle name="Input 28 3 5 2 3" xfId="34927"/>
    <cellStyle name="Input 28 3 5 3" xfId="19232"/>
    <cellStyle name="Input 28 3 5 3 2" xfId="40419"/>
    <cellStyle name="Input 28 3 5 4" xfId="29681"/>
    <cellStyle name="Input 28 3 5_Table 2A-1_EFT (Annual)" xfId="15220"/>
    <cellStyle name="Input 28 3 6" xfId="9658"/>
    <cellStyle name="Input 28 3 6 2" xfId="21799"/>
    <cellStyle name="Input 28 3 6 2 2" xfId="42985"/>
    <cellStyle name="Input 28 3 6 3" xfId="32381"/>
    <cellStyle name="Input 28 3 7" xfId="16686"/>
    <cellStyle name="Input 28 3 7 2" xfId="37873"/>
    <cellStyle name="Input 28 3 8" xfId="26938"/>
    <cellStyle name="Input 28 3_Table 2A-1_EFT (Annual)" xfId="3050"/>
    <cellStyle name="Input 28 4" xfId="1242"/>
    <cellStyle name="Input 28 4 2" xfId="2512"/>
    <cellStyle name="Input 28 4 2 2" xfId="6073"/>
    <cellStyle name="Input 28 4 2 2 2" xfId="14267"/>
    <cellStyle name="Input 28 4 2 2 2 2" xfId="26239"/>
    <cellStyle name="Input 28 4 2 2 2 2 2" xfId="47425"/>
    <cellStyle name="Input 28 4 2 2 2 3" xfId="36821"/>
    <cellStyle name="Input 28 4 2 2 3" xfId="21126"/>
    <cellStyle name="Input 28 4 2 2 3 2" xfId="42313"/>
    <cellStyle name="Input 28 4 2 2 4" xfId="31729"/>
    <cellStyle name="Input 28 4 2 2_Table 2A-1_EFT (Annual)" xfId="15221"/>
    <cellStyle name="Input 28 4 2 3" xfId="11609"/>
    <cellStyle name="Input 28 4 2 3 2" xfId="23693"/>
    <cellStyle name="Input 28 4 2 3 2 2" xfId="44879"/>
    <cellStyle name="Input 28 4 2 3 3" xfId="34275"/>
    <cellStyle name="Input 28 4 2 4" xfId="18580"/>
    <cellStyle name="Input 28 4 2 4 2" xfId="39767"/>
    <cellStyle name="Input 28 4 2 5" xfId="28986"/>
    <cellStyle name="Input 28 4 2_Table 2A-1_EFT (Annual)" xfId="6990"/>
    <cellStyle name="Input 28 4 3" xfId="4803"/>
    <cellStyle name="Input 28 4 3 2" xfId="13063"/>
    <cellStyle name="Input 28 4 3 2 2" xfId="25069"/>
    <cellStyle name="Input 28 4 3 2 2 2" xfId="46255"/>
    <cellStyle name="Input 28 4 3 2 3" xfId="35651"/>
    <cellStyle name="Input 28 4 3 3" xfId="19956"/>
    <cellStyle name="Input 28 4 3 3 2" xfId="41143"/>
    <cellStyle name="Input 28 4 3 4" xfId="30460"/>
    <cellStyle name="Input 28 4 3_Table 2A-1_EFT (Annual)" xfId="15222"/>
    <cellStyle name="Input 28 4 4" xfId="10407"/>
    <cellStyle name="Input 28 4 4 2" xfId="22523"/>
    <cellStyle name="Input 28 4 4 2 2" xfId="43709"/>
    <cellStyle name="Input 28 4 4 3" xfId="33105"/>
    <cellStyle name="Input 28 4 5" xfId="17410"/>
    <cellStyle name="Input 28 4 5 2" xfId="38597"/>
    <cellStyle name="Input 28 4 6" xfId="27717"/>
    <cellStyle name="Input 28 4_Table 2A-1_EFT (Annual)" xfId="6989"/>
    <cellStyle name="Input 28 5" xfId="795"/>
    <cellStyle name="Input 28 5 2" xfId="4356"/>
    <cellStyle name="Input 28 5 2 2" xfId="12636"/>
    <cellStyle name="Input 28 5 2 2 2" xfId="24653"/>
    <cellStyle name="Input 28 5 2 2 2 2" xfId="45839"/>
    <cellStyle name="Input 28 5 2 2 3" xfId="35235"/>
    <cellStyle name="Input 28 5 2 3" xfId="19540"/>
    <cellStyle name="Input 28 5 2 3 2" xfId="40727"/>
    <cellStyle name="Input 28 5 2 4" xfId="30013"/>
    <cellStyle name="Input 28 5 2_Table 2A-1_EFT (Annual)" xfId="15223"/>
    <cellStyle name="Input 28 5 3" xfId="9984"/>
    <cellStyle name="Input 28 5 3 2" xfId="22107"/>
    <cellStyle name="Input 28 5 3 2 2" xfId="43293"/>
    <cellStyle name="Input 28 5 3 3" xfId="32689"/>
    <cellStyle name="Input 28 5 4" xfId="16994"/>
    <cellStyle name="Input 28 5 4 2" xfId="38181"/>
    <cellStyle name="Input 28 5 5" xfId="27270"/>
    <cellStyle name="Input 28 5_Table 2A-1_EFT (Annual)" xfId="6991"/>
    <cellStyle name="Input 28 6" xfId="1981"/>
    <cellStyle name="Input 28 6 2" xfId="5542"/>
    <cellStyle name="Input 28 6 2 2" xfId="13757"/>
    <cellStyle name="Input 28 6 2 2 2" xfId="25745"/>
    <cellStyle name="Input 28 6 2 2 2 2" xfId="46931"/>
    <cellStyle name="Input 28 6 2 2 3" xfId="36327"/>
    <cellStyle name="Input 28 6 2 3" xfId="20632"/>
    <cellStyle name="Input 28 6 2 3 2" xfId="41819"/>
    <cellStyle name="Input 28 6 2 4" xfId="31199"/>
    <cellStyle name="Input 28 6 2_Table 2A-1_EFT (Annual)" xfId="15224"/>
    <cellStyle name="Input 28 6 3" xfId="11101"/>
    <cellStyle name="Input 28 6 3 2" xfId="23199"/>
    <cellStyle name="Input 28 6 3 2 2" xfId="44385"/>
    <cellStyle name="Input 28 6 3 3" xfId="33781"/>
    <cellStyle name="Input 28 6 4" xfId="18086"/>
    <cellStyle name="Input 28 6 4 2" xfId="39273"/>
    <cellStyle name="Input 28 6 5" xfId="28456"/>
    <cellStyle name="Input 28 6_Table 2A-1_EFT (Annual)" xfId="6992"/>
    <cellStyle name="Input 28 7" xfId="3783"/>
    <cellStyle name="Input 28 7 2" xfId="12151"/>
    <cellStyle name="Input 28 7 2 2" xfId="24181"/>
    <cellStyle name="Input 28 7 2 2 2" xfId="45367"/>
    <cellStyle name="Input 28 7 2 3" xfId="34763"/>
    <cellStyle name="Input 28 7 3" xfId="19068"/>
    <cellStyle name="Input 28 7 3 2" xfId="40255"/>
    <cellStyle name="Input 28 7 4" xfId="29492"/>
    <cellStyle name="Input 28 7_Table 2A-1_EFT (Annual)" xfId="15225"/>
    <cellStyle name="Input 28 8" xfId="9470"/>
    <cellStyle name="Input 28 8 2" xfId="21635"/>
    <cellStyle name="Input 28 8 2 2" xfId="42821"/>
    <cellStyle name="Input 28 8 3" xfId="32217"/>
    <cellStyle name="Input 28 9" xfId="16522"/>
    <cellStyle name="Input 28 9 2" xfId="37709"/>
    <cellStyle name="Input 28_Table 2A-1_EFT (Annual)" xfId="3048"/>
    <cellStyle name="Input 29" xfId="238"/>
    <cellStyle name="Input 29 10" xfId="26793"/>
    <cellStyle name="Input 29 2" xfId="625"/>
    <cellStyle name="Input 29 2 2" xfId="1602"/>
    <cellStyle name="Input 29 2 2 2" xfId="2872"/>
    <cellStyle name="Input 29 2 2 2 2" xfId="6433"/>
    <cellStyle name="Input 29 2 2 2 2 2" xfId="14627"/>
    <cellStyle name="Input 29 2 2 2 2 2 2" xfId="26599"/>
    <cellStyle name="Input 29 2 2 2 2 2 2 2" xfId="47785"/>
    <cellStyle name="Input 29 2 2 2 2 2 3" xfId="37181"/>
    <cellStyle name="Input 29 2 2 2 2 3" xfId="21486"/>
    <cellStyle name="Input 29 2 2 2 2 3 2" xfId="42673"/>
    <cellStyle name="Input 29 2 2 2 2 4" xfId="32089"/>
    <cellStyle name="Input 29 2 2 2 2_Table 2A-1_EFT (Annual)" xfId="15226"/>
    <cellStyle name="Input 29 2 2 2 3" xfId="11969"/>
    <cellStyle name="Input 29 2 2 2 3 2" xfId="24053"/>
    <cellStyle name="Input 29 2 2 2 3 2 2" xfId="45239"/>
    <cellStyle name="Input 29 2 2 2 3 3" xfId="34635"/>
    <cellStyle name="Input 29 2 2 2 4" xfId="18940"/>
    <cellStyle name="Input 29 2 2 2 4 2" xfId="40127"/>
    <cellStyle name="Input 29 2 2 2 5" xfId="29346"/>
    <cellStyle name="Input 29 2 2 2_Table 2A-1_EFT (Annual)" xfId="6994"/>
    <cellStyle name="Input 29 2 2 3" xfId="5163"/>
    <cellStyle name="Input 29 2 2 3 2" xfId="13423"/>
    <cellStyle name="Input 29 2 2 3 2 2" xfId="25429"/>
    <cellStyle name="Input 29 2 2 3 2 2 2" xfId="46615"/>
    <cellStyle name="Input 29 2 2 3 2 3" xfId="36011"/>
    <cellStyle name="Input 29 2 2 3 3" xfId="20316"/>
    <cellStyle name="Input 29 2 2 3 3 2" xfId="41503"/>
    <cellStyle name="Input 29 2 2 3 4" xfId="30820"/>
    <cellStyle name="Input 29 2 2 3_Table 2A-1_EFT (Annual)" xfId="15227"/>
    <cellStyle name="Input 29 2 2 4" xfId="10767"/>
    <cellStyle name="Input 29 2 2 4 2" xfId="22883"/>
    <cellStyle name="Input 29 2 2 4 2 2" xfId="44069"/>
    <cellStyle name="Input 29 2 2 4 3" xfId="33465"/>
    <cellStyle name="Input 29 2 2 5" xfId="17770"/>
    <cellStyle name="Input 29 2 2 5 2" xfId="38957"/>
    <cellStyle name="Input 29 2 2 6" xfId="28077"/>
    <cellStyle name="Input 29 2 2_Table 2A-1_EFT (Annual)" xfId="6993"/>
    <cellStyle name="Input 29 2 3" xfId="1116"/>
    <cellStyle name="Input 29 2 3 2" xfId="4677"/>
    <cellStyle name="Input 29 2 3 2 2" xfId="12937"/>
    <cellStyle name="Input 29 2 3 2 2 2" xfId="24943"/>
    <cellStyle name="Input 29 2 3 2 2 2 2" xfId="46129"/>
    <cellStyle name="Input 29 2 3 2 2 3" xfId="35525"/>
    <cellStyle name="Input 29 2 3 2 3" xfId="19830"/>
    <cellStyle name="Input 29 2 3 2 3 2" xfId="41017"/>
    <cellStyle name="Input 29 2 3 2 4" xfId="30334"/>
    <cellStyle name="Input 29 2 3 2_Table 2A-1_EFT (Annual)" xfId="15228"/>
    <cellStyle name="Input 29 2 3 3" xfId="10281"/>
    <cellStyle name="Input 29 2 3 3 2" xfId="22397"/>
    <cellStyle name="Input 29 2 3 3 2 2" xfId="43583"/>
    <cellStyle name="Input 29 2 3 3 3" xfId="32979"/>
    <cellStyle name="Input 29 2 3 4" xfId="17284"/>
    <cellStyle name="Input 29 2 3 4 2" xfId="38471"/>
    <cellStyle name="Input 29 2 3 5" xfId="27591"/>
    <cellStyle name="Input 29 2 3_Table 2A-1_EFT (Annual)" xfId="6995"/>
    <cellStyle name="Input 29 2 4" xfId="2341"/>
    <cellStyle name="Input 29 2 4 2" xfId="5902"/>
    <cellStyle name="Input 29 2 4 2 2" xfId="14117"/>
    <cellStyle name="Input 29 2 4 2 2 2" xfId="26105"/>
    <cellStyle name="Input 29 2 4 2 2 2 2" xfId="47291"/>
    <cellStyle name="Input 29 2 4 2 2 3" xfId="36687"/>
    <cellStyle name="Input 29 2 4 2 3" xfId="20992"/>
    <cellStyle name="Input 29 2 4 2 3 2" xfId="42179"/>
    <cellStyle name="Input 29 2 4 2 4" xfId="31559"/>
    <cellStyle name="Input 29 2 4 2_Table 2A-1_EFT (Annual)" xfId="15229"/>
    <cellStyle name="Input 29 2 4 3" xfId="11461"/>
    <cellStyle name="Input 29 2 4 3 2" xfId="23559"/>
    <cellStyle name="Input 29 2 4 3 2 2" xfId="44745"/>
    <cellStyle name="Input 29 2 4 3 3" xfId="34141"/>
    <cellStyle name="Input 29 2 4 4" xfId="18446"/>
    <cellStyle name="Input 29 2 4 4 2" xfId="39633"/>
    <cellStyle name="Input 29 2 4 5" xfId="28816"/>
    <cellStyle name="Input 29 2 4_Table 2A-1_EFT (Annual)" xfId="6996"/>
    <cellStyle name="Input 29 2 5" xfId="4195"/>
    <cellStyle name="Input 29 2 5 2" xfId="12519"/>
    <cellStyle name="Input 29 2 5 2 2" xfId="24541"/>
    <cellStyle name="Input 29 2 5 2 2 2" xfId="45727"/>
    <cellStyle name="Input 29 2 5 2 3" xfId="35123"/>
    <cellStyle name="Input 29 2 5 3" xfId="19428"/>
    <cellStyle name="Input 29 2 5 3 2" xfId="40615"/>
    <cellStyle name="Input 29 2 5 4" xfId="29883"/>
    <cellStyle name="Input 29 2 5_Table 2A-1_EFT (Annual)" xfId="15230"/>
    <cellStyle name="Input 29 2 6" xfId="9858"/>
    <cellStyle name="Input 29 2 6 2" xfId="21995"/>
    <cellStyle name="Input 29 2 6 2 2" xfId="43181"/>
    <cellStyle name="Input 29 2 6 3" xfId="32577"/>
    <cellStyle name="Input 29 2 7" xfId="16882"/>
    <cellStyle name="Input 29 2 7 2" xfId="38069"/>
    <cellStyle name="Input 29 2 8" xfId="27140"/>
    <cellStyle name="Input 29 2_Table 2A-1_EFT (Annual)" xfId="3052"/>
    <cellStyle name="Input 29 3" xfId="464"/>
    <cellStyle name="Input 29 3 2" xfId="1441"/>
    <cellStyle name="Input 29 3 2 2" xfId="2711"/>
    <cellStyle name="Input 29 3 2 2 2" xfId="6272"/>
    <cellStyle name="Input 29 3 2 2 2 2" xfId="14466"/>
    <cellStyle name="Input 29 3 2 2 2 2 2" xfId="26438"/>
    <cellStyle name="Input 29 3 2 2 2 2 2 2" xfId="47624"/>
    <cellStyle name="Input 29 3 2 2 2 2 3" xfId="37020"/>
    <cellStyle name="Input 29 3 2 2 2 3" xfId="21325"/>
    <cellStyle name="Input 29 3 2 2 2 3 2" xfId="42512"/>
    <cellStyle name="Input 29 3 2 2 2 4" xfId="31928"/>
    <cellStyle name="Input 29 3 2 2 2_Table 2A-1_EFT (Annual)" xfId="15231"/>
    <cellStyle name="Input 29 3 2 2 3" xfId="11808"/>
    <cellStyle name="Input 29 3 2 2 3 2" xfId="23892"/>
    <cellStyle name="Input 29 3 2 2 3 2 2" xfId="45078"/>
    <cellStyle name="Input 29 3 2 2 3 3" xfId="34474"/>
    <cellStyle name="Input 29 3 2 2 4" xfId="18779"/>
    <cellStyle name="Input 29 3 2 2 4 2" xfId="39966"/>
    <cellStyle name="Input 29 3 2 2 5" xfId="29185"/>
    <cellStyle name="Input 29 3 2 2_Table 2A-1_EFT (Annual)" xfId="6998"/>
    <cellStyle name="Input 29 3 2 3" xfId="5002"/>
    <cellStyle name="Input 29 3 2 3 2" xfId="13262"/>
    <cellStyle name="Input 29 3 2 3 2 2" xfId="25268"/>
    <cellStyle name="Input 29 3 2 3 2 2 2" xfId="46454"/>
    <cellStyle name="Input 29 3 2 3 2 3" xfId="35850"/>
    <cellStyle name="Input 29 3 2 3 3" xfId="20155"/>
    <cellStyle name="Input 29 3 2 3 3 2" xfId="41342"/>
    <cellStyle name="Input 29 3 2 3 4" xfId="30659"/>
    <cellStyle name="Input 29 3 2 3_Table 2A-1_EFT (Annual)" xfId="15232"/>
    <cellStyle name="Input 29 3 2 4" xfId="10606"/>
    <cellStyle name="Input 29 3 2 4 2" xfId="22722"/>
    <cellStyle name="Input 29 3 2 4 2 2" xfId="43908"/>
    <cellStyle name="Input 29 3 2 4 3" xfId="33304"/>
    <cellStyle name="Input 29 3 2 5" xfId="17609"/>
    <cellStyle name="Input 29 3 2 5 2" xfId="38796"/>
    <cellStyle name="Input 29 3 2 6" xfId="27916"/>
    <cellStyle name="Input 29 3 2_Table 2A-1_EFT (Annual)" xfId="6997"/>
    <cellStyle name="Input 29 3 3" xfId="986"/>
    <cellStyle name="Input 29 3 3 2" xfId="4547"/>
    <cellStyle name="Input 29 3 3 2 2" xfId="12807"/>
    <cellStyle name="Input 29 3 3 2 2 2" xfId="24813"/>
    <cellStyle name="Input 29 3 3 2 2 2 2" xfId="45999"/>
    <cellStyle name="Input 29 3 3 2 2 3" xfId="35395"/>
    <cellStyle name="Input 29 3 3 2 3" xfId="19700"/>
    <cellStyle name="Input 29 3 3 2 3 2" xfId="40887"/>
    <cellStyle name="Input 29 3 3 2 4" xfId="30204"/>
    <cellStyle name="Input 29 3 3 2_Table 2A-1_EFT (Annual)" xfId="15233"/>
    <cellStyle name="Input 29 3 3 3" xfId="10151"/>
    <cellStyle name="Input 29 3 3 3 2" xfId="22267"/>
    <cellStyle name="Input 29 3 3 3 2 2" xfId="43453"/>
    <cellStyle name="Input 29 3 3 3 3" xfId="32849"/>
    <cellStyle name="Input 29 3 3 4" xfId="17154"/>
    <cellStyle name="Input 29 3 3 4 2" xfId="38341"/>
    <cellStyle name="Input 29 3 3 5" xfId="27461"/>
    <cellStyle name="Input 29 3 3_Table 2A-1_EFT (Annual)" xfId="6999"/>
    <cellStyle name="Input 29 3 4" xfId="2180"/>
    <cellStyle name="Input 29 3 4 2" xfId="5741"/>
    <cellStyle name="Input 29 3 4 2 2" xfId="13956"/>
    <cellStyle name="Input 29 3 4 2 2 2" xfId="25944"/>
    <cellStyle name="Input 29 3 4 2 2 2 2" xfId="47130"/>
    <cellStyle name="Input 29 3 4 2 2 3" xfId="36526"/>
    <cellStyle name="Input 29 3 4 2 3" xfId="20831"/>
    <cellStyle name="Input 29 3 4 2 3 2" xfId="42018"/>
    <cellStyle name="Input 29 3 4 2 4" xfId="31398"/>
    <cellStyle name="Input 29 3 4 2_Table 2A-1_EFT (Annual)" xfId="15234"/>
    <cellStyle name="Input 29 3 4 3" xfId="11300"/>
    <cellStyle name="Input 29 3 4 3 2" xfId="23398"/>
    <cellStyle name="Input 29 3 4 3 2 2" xfId="44584"/>
    <cellStyle name="Input 29 3 4 3 3" xfId="33980"/>
    <cellStyle name="Input 29 3 4 4" xfId="18285"/>
    <cellStyle name="Input 29 3 4 4 2" xfId="39472"/>
    <cellStyle name="Input 29 3 4 5" xfId="28655"/>
    <cellStyle name="Input 29 3 4_Table 2A-1_EFT (Annual)" xfId="7000"/>
    <cellStyle name="Input 29 3 5" xfId="4034"/>
    <cellStyle name="Input 29 3 5 2" xfId="12358"/>
    <cellStyle name="Input 29 3 5 2 2" xfId="24380"/>
    <cellStyle name="Input 29 3 5 2 2 2" xfId="45566"/>
    <cellStyle name="Input 29 3 5 2 3" xfId="34962"/>
    <cellStyle name="Input 29 3 5 3" xfId="19267"/>
    <cellStyle name="Input 29 3 5 3 2" xfId="40454"/>
    <cellStyle name="Input 29 3 5 4" xfId="29722"/>
    <cellStyle name="Input 29 3 5_Table 2A-1_EFT (Annual)" xfId="15235"/>
    <cellStyle name="Input 29 3 6" xfId="9697"/>
    <cellStyle name="Input 29 3 6 2" xfId="21834"/>
    <cellStyle name="Input 29 3 6 2 2" xfId="43020"/>
    <cellStyle name="Input 29 3 6 3" xfId="32416"/>
    <cellStyle name="Input 29 3 7" xfId="16721"/>
    <cellStyle name="Input 29 3 7 2" xfId="37908"/>
    <cellStyle name="Input 29 3 8" xfId="26979"/>
    <cellStyle name="Input 29 3_Table 2A-1_EFT (Annual)" xfId="3053"/>
    <cellStyle name="Input 29 4" xfId="1280"/>
    <cellStyle name="Input 29 4 2" xfId="2550"/>
    <cellStyle name="Input 29 4 2 2" xfId="6111"/>
    <cellStyle name="Input 29 4 2 2 2" xfId="14305"/>
    <cellStyle name="Input 29 4 2 2 2 2" xfId="26277"/>
    <cellStyle name="Input 29 4 2 2 2 2 2" xfId="47463"/>
    <cellStyle name="Input 29 4 2 2 2 3" xfId="36859"/>
    <cellStyle name="Input 29 4 2 2 3" xfId="21164"/>
    <cellStyle name="Input 29 4 2 2 3 2" xfId="42351"/>
    <cellStyle name="Input 29 4 2 2 4" xfId="31767"/>
    <cellStyle name="Input 29 4 2 2_Table 2A-1_EFT (Annual)" xfId="15236"/>
    <cellStyle name="Input 29 4 2 3" xfId="11647"/>
    <cellStyle name="Input 29 4 2 3 2" xfId="23731"/>
    <cellStyle name="Input 29 4 2 3 2 2" xfId="44917"/>
    <cellStyle name="Input 29 4 2 3 3" xfId="34313"/>
    <cellStyle name="Input 29 4 2 4" xfId="18618"/>
    <cellStyle name="Input 29 4 2 4 2" xfId="39805"/>
    <cellStyle name="Input 29 4 2 5" xfId="29024"/>
    <cellStyle name="Input 29 4 2_Table 2A-1_EFT (Annual)" xfId="7002"/>
    <cellStyle name="Input 29 4 3" xfId="4841"/>
    <cellStyle name="Input 29 4 3 2" xfId="13101"/>
    <cellStyle name="Input 29 4 3 2 2" xfId="25107"/>
    <cellStyle name="Input 29 4 3 2 2 2" xfId="46293"/>
    <cellStyle name="Input 29 4 3 2 3" xfId="35689"/>
    <cellStyle name="Input 29 4 3 3" xfId="19994"/>
    <cellStyle name="Input 29 4 3 3 2" xfId="41181"/>
    <cellStyle name="Input 29 4 3 4" xfId="30498"/>
    <cellStyle name="Input 29 4 3_Table 2A-1_EFT (Annual)" xfId="15237"/>
    <cellStyle name="Input 29 4 4" xfId="10445"/>
    <cellStyle name="Input 29 4 4 2" xfId="22561"/>
    <cellStyle name="Input 29 4 4 2 2" xfId="43747"/>
    <cellStyle name="Input 29 4 4 3" xfId="33143"/>
    <cellStyle name="Input 29 4 5" xfId="17448"/>
    <cellStyle name="Input 29 4 5 2" xfId="38635"/>
    <cellStyle name="Input 29 4 6" xfId="27755"/>
    <cellStyle name="Input 29 4_Table 2A-1_EFT (Annual)" xfId="7001"/>
    <cellStyle name="Input 29 5" xfId="831"/>
    <cellStyle name="Input 29 5 2" xfId="4392"/>
    <cellStyle name="Input 29 5 2 2" xfId="12666"/>
    <cellStyle name="Input 29 5 2 2 2" xfId="24683"/>
    <cellStyle name="Input 29 5 2 2 2 2" xfId="45869"/>
    <cellStyle name="Input 29 5 2 2 3" xfId="35265"/>
    <cellStyle name="Input 29 5 2 3" xfId="19570"/>
    <cellStyle name="Input 29 5 2 3 2" xfId="40757"/>
    <cellStyle name="Input 29 5 2 4" xfId="30049"/>
    <cellStyle name="Input 29 5 2_Table 2A-1_EFT (Annual)" xfId="15238"/>
    <cellStyle name="Input 29 5 3" xfId="10015"/>
    <cellStyle name="Input 29 5 3 2" xfId="22137"/>
    <cellStyle name="Input 29 5 3 2 2" xfId="43323"/>
    <cellStyle name="Input 29 5 3 3" xfId="32719"/>
    <cellStyle name="Input 29 5 4" xfId="17024"/>
    <cellStyle name="Input 29 5 4 2" xfId="38211"/>
    <cellStyle name="Input 29 5 5" xfId="27306"/>
    <cellStyle name="Input 29 5_Table 2A-1_EFT (Annual)" xfId="7003"/>
    <cellStyle name="Input 29 6" xfId="2019"/>
    <cellStyle name="Input 29 6 2" xfId="5580"/>
    <cellStyle name="Input 29 6 2 2" xfId="13795"/>
    <cellStyle name="Input 29 6 2 2 2" xfId="25783"/>
    <cellStyle name="Input 29 6 2 2 2 2" xfId="46969"/>
    <cellStyle name="Input 29 6 2 2 3" xfId="36365"/>
    <cellStyle name="Input 29 6 2 3" xfId="20670"/>
    <cellStyle name="Input 29 6 2 3 2" xfId="41857"/>
    <cellStyle name="Input 29 6 2 4" xfId="31237"/>
    <cellStyle name="Input 29 6 2_Table 2A-1_EFT (Annual)" xfId="15239"/>
    <cellStyle name="Input 29 6 3" xfId="11139"/>
    <cellStyle name="Input 29 6 3 2" xfId="23237"/>
    <cellStyle name="Input 29 6 3 2 2" xfId="44423"/>
    <cellStyle name="Input 29 6 3 3" xfId="33819"/>
    <cellStyle name="Input 29 6 4" xfId="18124"/>
    <cellStyle name="Input 29 6 4 2" xfId="39311"/>
    <cellStyle name="Input 29 6 5" xfId="28494"/>
    <cellStyle name="Input 29 6_Table 2A-1_EFT (Annual)" xfId="7004"/>
    <cellStyle name="Input 29 7" xfId="3827"/>
    <cellStyle name="Input 29 7 2" xfId="12190"/>
    <cellStyle name="Input 29 7 2 2" xfId="24219"/>
    <cellStyle name="Input 29 7 2 2 2" xfId="45405"/>
    <cellStyle name="Input 29 7 2 3" xfId="34801"/>
    <cellStyle name="Input 29 7 3" xfId="19106"/>
    <cellStyle name="Input 29 7 3 2" xfId="40293"/>
    <cellStyle name="Input 29 7 4" xfId="29536"/>
    <cellStyle name="Input 29 7_Table 2A-1_EFT (Annual)" xfId="15240"/>
    <cellStyle name="Input 29 8" xfId="9509"/>
    <cellStyle name="Input 29 8 2" xfId="21673"/>
    <cellStyle name="Input 29 8 2 2" xfId="42859"/>
    <cellStyle name="Input 29 8 3" xfId="32255"/>
    <cellStyle name="Input 29 9" xfId="16560"/>
    <cellStyle name="Input 29 9 2" xfId="37747"/>
    <cellStyle name="Input 29_Table 2A-1_EFT (Annual)" xfId="3051"/>
    <cellStyle name="Input 3" xfId="109"/>
    <cellStyle name="Input 3 10" xfId="21510"/>
    <cellStyle name="Input 3 10 2" xfId="42697"/>
    <cellStyle name="Input 3 11" xfId="26664"/>
    <cellStyle name="Input 3 2" xfId="502"/>
    <cellStyle name="Input 3 2 2" xfId="1479"/>
    <cellStyle name="Input 3 2 2 2" xfId="2749"/>
    <cellStyle name="Input 3 2 2 2 2" xfId="6310"/>
    <cellStyle name="Input 3 2 2 2 2 2" xfId="14504"/>
    <cellStyle name="Input 3 2 2 2 2 2 2" xfId="26476"/>
    <cellStyle name="Input 3 2 2 2 2 2 2 2" xfId="47662"/>
    <cellStyle name="Input 3 2 2 2 2 2 3" xfId="37058"/>
    <cellStyle name="Input 3 2 2 2 2 3" xfId="21363"/>
    <cellStyle name="Input 3 2 2 2 2 3 2" xfId="42550"/>
    <cellStyle name="Input 3 2 2 2 2 4" xfId="31966"/>
    <cellStyle name="Input 3 2 2 2 2_Table 2A-1_EFT (Annual)" xfId="15241"/>
    <cellStyle name="Input 3 2 2 2 3" xfId="11846"/>
    <cellStyle name="Input 3 2 2 2 3 2" xfId="23930"/>
    <cellStyle name="Input 3 2 2 2 3 2 2" xfId="45116"/>
    <cellStyle name="Input 3 2 2 2 3 3" xfId="34512"/>
    <cellStyle name="Input 3 2 2 2 4" xfId="18817"/>
    <cellStyle name="Input 3 2 2 2 4 2" xfId="40004"/>
    <cellStyle name="Input 3 2 2 2 5" xfId="29223"/>
    <cellStyle name="Input 3 2 2 2_Table 2A-1_EFT (Annual)" xfId="7006"/>
    <cellStyle name="Input 3 2 2 3" xfId="5040"/>
    <cellStyle name="Input 3 2 2 3 2" xfId="13300"/>
    <cellStyle name="Input 3 2 2 3 2 2" xfId="25306"/>
    <cellStyle name="Input 3 2 2 3 2 2 2" xfId="46492"/>
    <cellStyle name="Input 3 2 2 3 2 3" xfId="35888"/>
    <cellStyle name="Input 3 2 2 3 3" xfId="20193"/>
    <cellStyle name="Input 3 2 2 3 3 2" xfId="41380"/>
    <cellStyle name="Input 3 2 2 3 4" xfId="30697"/>
    <cellStyle name="Input 3 2 2 3_Table 2A-1_EFT (Annual)" xfId="15242"/>
    <cellStyle name="Input 3 2 2 4" xfId="10644"/>
    <cellStyle name="Input 3 2 2 4 2" xfId="22760"/>
    <cellStyle name="Input 3 2 2 4 2 2" xfId="43946"/>
    <cellStyle name="Input 3 2 2 4 3" xfId="33342"/>
    <cellStyle name="Input 3 2 2 5" xfId="17647"/>
    <cellStyle name="Input 3 2 2 5 2" xfId="38834"/>
    <cellStyle name="Input 3 2 2 6" xfId="27954"/>
    <cellStyle name="Input 3 2 2_Table 2A-1_EFT (Annual)" xfId="7005"/>
    <cellStyle name="Input 3 2 3" xfId="1016"/>
    <cellStyle name="Input 3 2 3 2" xfId="4577"/>
    <cellStyle name="Input 3 2 3 2 2" xfId="12837"/>
    <cellStyle name="Input 3 2 3 2 2 2" xfId="24843"/>
    <cellStyle name="Input 3 2 3 2 2 2 2" xfId="46029"/>
    <cellStyle name="Input 3 2 3 2 2 3" xfId="35425"/>
    <cellStyle name="Input 3 2 3 2 3" xfId="19730"/>
    <cellStyle name="Input 3 2 3 2 3 2" xfId="40917"/>
    <cellStyle name="Input 3 2 3 2 4" xfId="30234"/>
    <cellStyle name="Input 3 2 3 2_Table 2A-1_EFT (Annual)" xfId="15243"/>
    <cellStyle name="Input 3 2 3 3" xfId="10181"/>
    <cellStyle name="Input 3 2 3 3 2" xfId="22297"/>
    <cellStyle name="Input 3 2 3 3 2 2" xfId="43483"/>
    <cellStyle name="Input 3 2 3 3 3" xfId="32879"/>
    <cellStyle name="Input 3 2 3 4" xfId="17184"/>
    <cellStyle name="Input 3 2 3 4 2" xfId="38371"/>
    <cellStyle name="Input 3 2 3 5" xfId="27491"/>
    <cellStyle name="Input 3 2 3_Table 2A-1_EFT (Annual)" xfId="7007"/>
    <cellStyle name="Input 3 2 4" xfId="2218"/>
    <cellStyle name="Input 3 2 4 2" xfId="5779"/>
    <cellStyle name="Input 3 2 4 2 2" xfId="13994"/>
    <cellStyle name="Input 3 2 4 2 2 2" xfId="25982"/>
    <cellStyle name="Input 3 2 4 2 2 2 2" xfId="47168"/>
    <cellStyle name="Input 3 2 4 2 2 3" xfId="36564"/>
    <cellStyle name="Input 3 2 4 2 3" xfId="20869"/>
    <cellStyle name="Input 3 2 4 2 3 2" xfId="42056"/>
    <cellStyle name="Input 3 2 4 2 4" xfId="31436"/>
    <cellStyle name="Input 3 2 4 2_Table 2A-1_EFT (Annual)" xfId="15244"/>
    <cellStyle name="Input 3 2 4 3" xfId="11338"/>
    <cellStyle name="Input 3 2 4 3 2" xfId="23436"/>
    <cellStyle name="Input 3 2 4 3 2 2" xfId="44622"/>
    <cellStyle name="Input 3 2 4 3 3" xfId="34018"/>
    <cellStyle name="Input 3 2 4 4" xfId="18323"/>
    <cellStyle name="Input 3 2 4 4 2" xfId="39510"/>
    <cellStyle name="Input 3 2 4 5" xfId="28693"/>
    <cellStyle name="Input 3 2 4_Table 2A-1_EFT (Annual)" xfId="7008"/>
    <cellStyle name="Input 3 2 5" xfId="4072"/>
    <cellStyle name="Input 3 2 5 2" xfId="12396"/>
    <cellStyle name="Input 3 2 5 2 2" xfId="24418"/>
    <cellStyle name="Input 3 2 5 2 2 2" xfId="45604"/>
    <cellStyle name="Input 3 2 5 2 3" xfId="35000"/>
    <cellStyle name="Input 3 2 5 3" xfId="19305"/>
    <cellStyle name="Input 3 2 5 3 2" xfId="40492"/>
    <cellStyle name="Input 3 2 5 4" xfId="29760"/>
    <cellStyle name="Input 3 2 5_Table 2A-1_EFT (Annual)" xfId="15245"/>
    <cellStyle name="Input 3 2 6" xfId="9735"/>
    <cellStyle name="Input 3 2 6 2" xfId="21872"/>
    <cellStyle name="Input 3 2 6 2 2" xfId="43058"/>
    <cellStyle name="Input 3 2 6 3" xfId="32454"/>
    <cellStyle name="Input 3 2 7" xfId="16759"/>
    <cellStyle name="Input 3 2 7 2" xfId="37946"/>
    <cellStyle name="Input 3 2 8" xfId="27017"/>
    <cellStyle name="Input 3 2_Table 2A-1_EFT (Annual)" xfId="3055"/>
    <cellStyle name="Input 3 3" xfId="340"/>
    <cellStyle name="Input 3 3 2" xfId="1323"/>
    <cellStyle name="Input 3 3 2 2" xfId="2593"/>
    <cellStyle name="Input 3 3 2 2 2" xfId="6154"/>
    <cellStyle name="Input 3 3 2 2 2 2" xfId="14348"/>
    <cellStyle name="Input 3 3 2 2 2 2 2" xfId="26320"/>
    <cellStyle name="Input 3 3 2 2 2 2 2 2" xfId="47506"/>
    <cellStyle name="Input 3 3 2 2 2 2 3" xfId="36902"/>
    <cellStyle name="Input 3 3 2 2 2 3" xfId="21207"/>
    <cellStyle name="Input 3 3 2 2 2 3 2" xfId="42394"/>
    <cellStyle name="Input 3 3 2 2 2 4" xfId="31810"/>
    <cellStyle name="Input 3 3 2 2 2_Table 2A-1_EFT (Annual)" xfId="15246"/>
    <cellStyle name="Input 3 3 2 2 3" xfId="11690"/>
    <cellStyle name="Input 3 3 2 2 3 2" xfId="23774"/>
    <cellStyle name="Input 3 3 2 2 3 2 2" xfId="44960"/>
    <cellStyle name="Input 3 3 2 2 3 3" xfId="34356"/>
    <cellStyle name="Input 3 3 2 2 4" xfId="18661"/>
    <cellStyle name="Input 3 3 2 2 4 2" xfId="39848"/>
    <cellStyle name="Input 3 3 2 2 5" xfId="29067"/>
    <cellStyle name="Input 3 3 2 2_Table 2A-1_EFT (Annual)" xfId="7010"/>
    <cellStyle name="Input 3 3 2 3" xfId="4884"/>
    <cellStyle name="Input 3 3 2 3 2" xfId="13144"/>
    <cellStyle name="Input 3 3 2 3 2 2" xfId="25150"/>
    <cellStyle name="Input 3 3 2 3 2 2 2" xfId="46336"/>
    <cellStyle name="Input 3 3 2 3 2 3" xfId="35732"/>
    <cellStyle name="Input 3 3 2 3 3" xfId="20037"/>
    <cellStyle name="Input 3 3 2 3 3 2" xfId="41224"/>
    <cellStyle name="Input 3 3 2 3 4" xfId="30541"/>
    <cellStyle name="Input 3 3 2 3_Table 2A-1_EFT (Annual)" xfId="15247"/>
    <cellStyle name="Input 3 3 2 4" xfId="10488"/>
    <cellStyle name="Input 3 3 2 4 2" xfId="22604"/>
    <cellStyle name="Input 3 3 2 4 2 2" xfId="43790"/>
    <cellStyle name="Input 3 3 2 4 3" xfId="33186"/>
    <cellStyle name="Input 3 3 2 5" xfId="17491"/>
    <cellStyle name="Input 3 3 2 5 2" xfId="38678"/>
    <cellStyle name="Input 3 3 2 6" xfId="27798"/>
    <cellStyle name="Input 3 3 2_Table 2A-1_EFT (Annual)" xfId="7009"/>
    <cellStyle name="Input 3 3 3" xfId="884"/>
    <cellStyle name="Input 3 3 3 2" xfId="4445"/>
    <cellStyle name="Input 3 3 3 2 2" xfId="12707"/>
    <cellStyle name="Input 3 3 3 2 2 2" xfId="24717"/>
    <cellStyle name="Input 3 3 3 2 2 2 2" xfId="45903"/>
    <cellStyle name="Input 3 3 3 2 2 3" xfId="35299"/>
    <cellStyle name="Input 3 3 3 2 3" xfId="19604"/>
    <cellStyle name="Input 3 3 3 2 3 2" xfId="40791"/>
    <cellStyle name="Input 3 3 3 2 4" xfId="30102"/>
    <cellStyle name="Input 3 3 3 2_Table 2A-1_EFT (Annual)" xfId="15248"/>
    <cellStyle name="Input 3 3 3 3" xfId="10054"/>
    <cellStyle name="Input 3 3 3 3 2" xfId="22171"/>
    <cellStyle name="Input 3 3 3 3 2 2" xfId="43357"/>
    <cellStyle name="Input 3 3 3 3 3" xfId="32753"/>
    <cellStyle name="Input 3 3 3 4" xfId="17058"/>
    <cellStyle name="Input 3 3 3 4 2" xfId="38245"/>
    <cellStyle name="Input 3 3 3 5" xfId="27359"/>
    <cellStyle name="Input 3 3 3_Table 2A-1_EFT (Annual)" xfId="7011"/>
    <cellStyle name="Input 3 3 4" xfId="2062"/>
    <cellStyle name="Input 3 3 4 2" xfId="5623"/>
    <cellStyle name="Input 3 3 4 2 2" xfId="13838"/>
    <cellStyle name="Input 3 3 4 2 2 2" xfId="25826"/>
    <cellStyle name="Input 3 3 4 2 2 2 2" xfId="47012"/>
    <cellStyle name="Input 3 3 4 2 2 3" xfId="36408"/>
    <cellStyle name="Input 3 3 4 2 3" xfId="20713"/>
    <cellStyle name="Input 3 3 4 2 3 2" xfId="41900"/>
    <cellStyle name="Input 3 3 4 2 4" xfId="31280"/>
    <cellStyle name="Input 3 3 4 2_Table 2A-1_EFT (Annual)" xfId="15249"/>
    <cellStyle name="Input 3 3 4 3" xfId="11182"/>
    <cellStyle name="Input 3 3 4 3 2" xfId="23280"/>
    <cellStyle name="Input 3 3 4 3 2 2" xfId="44466"/>
    <cellStyle name="Input 3 3 4 3 3" xfId="33862"/>
    <cellStyle name="Input 3 3 4 4" xfId="18167"/>
    <cellStyle name="Input 3 3 4 4 2" xfId="39354"/>
    <cellStyle name="Input 3 3 4 5" xfId="28537"/>
    <cellStyle name="Input 3 3 4_Table 2A-1_EFT (Annual)" xfId="7012"/>
    <cellStyle name="Input 3 3 5" xfId="3910"/>
    <cellStyle name="Input 3 3 5 2" xfId="12238"/>
    <cellStyle name="Input 3 3 5 2 2" xfId="24262"/>
    <cellStyle name="Input 3 3 5 2 2 2" xfId="45448"/>
    <cellStyle name="Input 3 3 5 2 3" xfId="34844"/>
    <cellStyle name="Input 3 3 5 3" xfId="19149"/>
    <cellStyle name="Input 3 3 5 3 2" xfId="40336"/>
    <cellStyle name="Input 3 3 5 4" xfId="29598"/>
    <cellStyle name="Input 3 3 5_Table 2A-1_EFT (Annual)" xfId="15250"/>
    <cellStyle name="Input 3 3 6" xfId="9575"/>
    <cellStyle name="Input 3 3 6 2" xfId="21716"/>
    <cellStyle name="Input 3 3 6 2 2" xfId="42902"/>
    <cellStyle name="Input 3 3 6 3" xfId="32298"/>
    <cellStyle name="Input 3 3 7" xfId="16603"/>
    <cellStyle name="Input 3 3 7 2" xfId="37790"/>
    <cellStyle name="Input 3 3 8" xfId="26855"/>
    <cellStyle name="Input 3 3_Table 2A-1_EFT (Annual)" xfId="3056"/>
    <cellStyle name="Input 3 4" xfId="1157"/>
    <cellStyle name="Input 3 4 2" xfId="2427"/>
    <cellStyle name="Input 3 4 2 2" xfId="5988"/>
    <cellStyle name="Input 3 4 2 2 2" xfId="14182"/>
    <cellStyle name="Input 3 4 2 2 2 2" xfId="26154"/>
    <cellStyle name="Input 3 4 2 2 2 2 2" xfId="47340"/>
    <cellStyle name="Input 3 4 2 2 2 3" xfId="36736"/>
    <cellStyle name="Input 3 4 2 2 3" xfId="21041"/>
    <cellStyle name="Input 3 4 2 2 3 2" xfId="42228"/>
    <cellStyle name="Input 3 4 2 2 4" xfId="31644"/>
    <cellStyle name="Input 3 4 2 2_Table 2A-1_EFT (Annual)" xfId="15251"/>
    <cellStyle name="Input 3 4 2 3" xfId="11524"/>
    <cellStyle name="Input 3 4 2 3 2" xfId="23608"/>
    <cellStyle name="Input 3 4 2 3 2 2" xfId="44794"/>
    <cellStyle name="Input 3 4 2 3 3" xfId="34190"/>
    <cellStyle name="Input 3 4 2 4" xfId="18495"/>
    <cellStyle name="Input 3 4 2 4 2" xfId="39682"/>
    <cellStyle name="Input 3 4 2 5" xfId="28901"/>
    <cellStyle name="Input 3 4 2_Table 2A-1_EFT (Annual)" xfId="7014"/>
    <cellStyle name="Input 3 4 3" xfId="4718"/>
    <cellStyle name="Input 3 4 3 2" xfId="12978"/>
    <cellStyle name="Input 3 4 3 2 2" xfId="24984"/>
    <cellStyle name="Input 3 4 3 2 2 2" xfId="46170"/>
    <cellStyle name="Input 3 4 3 2 3" xfId="35566"/>
    <cellStyle name="Input 3 4 3 3" xfId="19871"/>
    <cellStyle name="Input 3 4 3 3 2" xfId="41058"/>
    <cellStyle name="Input 3 4 3 4" xfId="30375"/>
    <cellStyle name="Input 3 4 3_Table 2A-1_EFT (Annual)" xfId="15252"/>
    <cellStyle name="Input 3 4 4" xfId="10322"/>
    <cellStyle name="Input 3 4 4 2" xfId="22438"/>
    <cellStyle name="Input 3 4 4 2 2" xfId="43624"/>
    <cellStyle name="Input 3 4 4 3" xfId="33020"/>
    <cellStyle name="Input 3 4 5" xfId="17325"/>
    <cellStyle name="Input 3 4 5 2" xfId="38512"/>
    <cellStyle name="Input 3 4 6" xfId="27632"/>
    <cellStyle name="Input 3 4_Table 2A-1_EFT (Annual)" xfId="7013"/>
    <cellStyle name="Input 3 5" xfId="725"/>
    <cellStyle name="Input 3 5 2" xfId="4286"/>
    <cellStyle name="Input 3 5 2 2" xfId="12566"/>
    <cellStyle name="Input 3 5 2 2 2" xfId="24583"/>
    <cellStyle name="Input 3 5 2 2 2 2" xfId="45769"/>
    <cellStyle name="Input 3 5 2 2 3" xfId="35165"/>
    <cellStyle name="Input 3 5 2 3" xfId="19470"/>
    <cellStyle name="Input 3 5 2 3 2" xfId="40657"/>
    <cellStyle name="Input 3 5 2 4" xfId="29943"/>
    <cellStyle name="Input 3 5 2_Table 2A-1_EFT (Annual)" xfId="15253"/>
    <cellStyle name="Input 3 5 3" xfId="9914"/>
    <cellStyle name="Input 3 5 3 2" xfId="22037"/>
    <cellStyle name="Input 3 5 3 2 2" xfId="43223"/>
    <cellStyle name="Input 3 5 3 3" xfId="32619"/>
    <cellStyle name="Input 3 5 4" xfId="16924"/>
    <cellStyle name="Input 3 5 4 2" xfId="38111"/>
    <cellStyle name="Input 3 5 5" xfId="27200"/>
    <cellStyle name="Input 3 5_Table 2A-1_EFT (Annual)" xfId="7015"/>
    <cellStyle name="Input 3 6" xfId="1802"/>
    <cellStyle name="Input 3 6 2" xfId="5363"/>
    <cellStyle name="Input 3 6 2 2" xfId="13578"/>
    <cellStyle name="Input 3 6 2 2 2" xfId="25566"/>
    <cellStyle name="Input 3 6 2 2 2 2" xfId="46752"/>
    <cellStyle name="Input 3 6 2 2 3" xfId="36148"/>
    <cellStyle name="Input 3 6 2 3" xfId="20453"/>
    <cellStyle name="Input 3 6 2 3 2" xfId="41640"/>
    <cellStyle name="Input 3 6 2 4" xfId="31020"/>
    <cellStyle name="Input 3 6 2_Table 2A-1_EFT (Annual)" xfId="15254"/>
    <cellStyle name="Input 3 6 3" xfId="10922"/>
    <cellStyle name="Input 3 6 3 2" xfId="23020"/>
    <cellStyle name="Input 3 6 3 2 2" xfId="44206"/>
    <cellStyle name="Input 3 6 3 3" xfId="33602"/>
    <cellStyle name="Input 3 6 4" xfId="17907"/>
    <cellStyle name="Input 3 6 4 2" xfId="39094"/>
    <cellStyle name="Input 3 6 5" xfId="28277"/>
    <cellStyle name="Input 3 6_Table 2A-1_EFT (Annual)" xfId="7016"/>
    <cellStyle name="Input 3 7" xfId="3698"/>
    <cellStyle name="Input 3 7 2" xfId="12066"/>
    <cellStyle name="Input 3 7 2 2" xfId="24096"/>
    <cellStyle name="Input 3 7 2 2 2" xfId="45282"/>
    <cellStyle name="Input 3 7 2 3" xfId="34678"/>
    <cellStyle name="Input 3 7 3" xfId="18983"/>
    <cellStyle name="Input 3 7 3 2" xfId="40170"/>
    <cellStyle name="Input 3 7 4" xfId="29407"/>
    <cellStyle name="Input 3 7_Table 2A-1_EFT (Annual)" xfId="15255"/>
    <cellStyle name="Input 3 8" xfId="9385"/>
    <cellStyle name="Input 3 8 2" xfId="21550"/>
    <cellStyle name="Input 3 8 2 2" xfId="42736"/>
    <cellStyle name="Input 3 8 3" xfId="32132"/>
    <cellStyle name="Input 3 9" xfId="16437"/>
    <cellStyle name="Input 3 9 2" xfId="37624"/>
    <cellStyle name="Input 3_Table 2A-1_EFT (Annual)" xfId="3054"/>
    <cellStyle name="Input 30" xfId="236"/>
    <cellStyle name="Input 30 10" xfId="26791"/>
    <cellStyle name="Input 30 2" xfId="623"/>
    <cellStyle name="Input 30 2 2" xfId="1600"/>
    <cellStyle name="Input 30 2 2 2" xfId="2870"/>
    <cellStyle name="Input 30 2 2 2 2" xfId="6431"/>
    <cellStyle name="Input 30 2 2 2 2 2" xfId="14625"/>
    <cellStyle name="Input 30 2 2 2 2 2 2" xfId="26597"/>
    <cellStyle name="Input 30 2 2 2 2 2 2 2" xfId="47783"/>
    <cellStyle name="Input 30 2 2 2 2 2 3" xfId="37179"/>
    <cellStyle name="Input 30 2 2 2 2 3" xfId="21484"/>
    <cellStyle name="Input 30 2 2 2 2 3 2" xfId="42671"/>
    <cellStyle name="Input 30 2 2 2 2 4" xfId="32087"/>
    <cellStyle name="Input 30 2 2 2 2_Table 2A-1_EFT (Annual)" xfId="15256"/>
    <cellStyle name="Input 30 2 2 2 3" xfId="11967"/>
    <cellStyle name="Input 30 2 2 2 3 2" xfId="24051"/>
    <cellStyle name="Input 30 2 2 2 3 2 2" xfId="45237"/>
    <cellStyle name="Input 30 2 2 2 3 3" xfId="34633"/>
    <cellStyle name="Input 30 2 2 2 4" xfId="18938"/>
    <cellStyle name="Input 30 2 2 2 4 2" xfId="40125"/>
    <cellStyle name="Input 30 2 2 2 5" xfId="29344"/>
    <cellStyle name="Input 30 2 2 2_Table 2A-1_EFT (Annual)" xfId="7018"/>
    <cellStyle name="Input 30 2 2 3" xfId="5161"/>
    <cellStyle name="Input 30 2 2 3 2" xfId="13421"/>
    <cellStyle name="Input 30 2 2 3 2 2" xfId="25427"/>
    <cellStyle name="Input 30 2 2 3 2 2 2" xfId="46613"/>
    <cellStyle name="Input 30 2 2 3 2 3" xfId="36009"/>
    <cellStyle name="Input 30 2 2 3 3" xfId="20314"/>
    <cellStyle name="Input 30 2 2 3 3 2" xfId="41501"/>
    <cellStyle name="Input 30 2 2 3 4" xfId="30818"/>
    <cellStyle name="Input 30 2 2 3_Table 2A-1_EFT (Annual)" xfId="15257"/>
    <cellStyle name="Input 30 2 2 4" xfId="10765"/>
    <cellStyle name="Input 30 2 2 4 2" xfId="22881"/>
    <cellStyle name="Input 30 2 2 4 2 2" xfId="44067"/>
    <cellStyle name="Input 30 2 2 4 3" xfId="33463"/>
    <cellStyle name="Input 30 2 2 5" xfId="17768"/>
    <cellStyle name="Input 30 2 2 5 2" xfId="38955"/>
    <cellStyle name="Input 30 2 2 6" xfId="28075"/>
    <cellStyle name="Input 30 2 2_Table 2A-1_EFT (Annual)" xfId="7017"/>
    <cellStyle name="Input 30 2 3" xfId="1114"/>
    <cellStyle name="Input 30 2 3 2" xfId="4675"/>
    <cellStyle name="Input 30 2 3 2 2" xfId="12935"/>
    <cellStyle name="Input 30 2 3 2 2 2" xfId="24941"/>
    <cellStyle name="Input 30 2 3 2 2 2 2" xfId="46127"/>
    <cellStyle name="Input 30 2 3 2 2 3" xfId="35523"/>
    <cellStyle name="Input 30 2 3 2 3" xfId="19828"/>
    <cellStyle name="Input 30 2 3 2 3 2" xfId="41015"/>
    <cellStyle name="Input 30 2 3 2 4" xfId="30332"/>
    <cellStyle name="Input 30 2 3 2_Table 2A-1_EFT (Annual)" xfId="15258"/>
    <cellStyle name="Input 30 2 3 3" xfId="10279"/>
    <cellStyle name="Input 30 2 3 3 2" xfId="22395"/>
    <cellStyle name="Input 30 2 3 3 2 2" xfId="43581"/>
    <cellStyle name="Input 30 2 3 3 3" xfId="32977"/>
    <cellStyle name="Input 30 2 3 4" xfId="17282"/>
    <cellStyle name="Input 30 2 3 4 2" xfId="38469"/>
    <cellStyle name="Input 30 2 3 5" xfId="27589"/>
    <cellStyle name="Input 30 2 3_Table 2A-1_EFT (Annual)" xfId="7019"/>
    <cellStyle name="Input 30 2 4" xfId="2339"/>
    <cellStyle name="Input 30 2 4 2" xfId="5900"/>
    <cellStyle name="Input 30 2 4 2 2" xfId="14115"/>
    <cellStyle name="Input 30 2 4 2 2 2" xfId="26103"/>
    <cellStyle name="Input 30 2 4 2 2 2 2" xfId="47289"/>
    <cellStyle name="Input 30 2 4 2 2 3" xfId="36685"/>
    <cellStyle name="Input 30 2 4 2 3" xfId="20990"/>
    <cellStyle name="Input 30 2 4 2 3 2" xfId="42177"/>
    <cellStyle name="Input 30 2 4 2 4" xfId="31557"/>
    <cellStyle name="Input 30 2 4 2_Table 2A-1_EFT (Annual)" xfId="15259"/>
    <cellStyle name="Input 30 2 4 3" xfId="11459"/>
    <cellStyle name="Input 30 2 4 3 2" xfId="23557"/>
    <cellStyle name="Input 30 2 4 3 2 2" xfId="44743"/>
    <cellStyle name="Input 30 2 4 3 3" xfId="34139"/>
    <cellStyle name="Input 30 2 4 4" xfId="18444"/>
    <cellStyle name="Input 30 2 4 4 2" xfId="39631"/>
    <cellStyle name="Input 30 2 4 5" xfId="28814"/>
    <cellStyle name="Input 30 2 4_Table 2A-1_EFT (Annual)" xfId="7020"/>
    <cellStyle name="Input 30 2 5" xfId="4193"/>
    <cellStyle name="Input 30 2 5 2" xfId="12517"/>
    <cellStyle name="Input 30 2 5 2 2" xfId="24539"/>
    <cellStyle name="Input 30 2 5 2 2 2" xfId="45725"/>
    <cellStyle name="Input 30 2 5 2 3" xfId="35121"/>
    <cellStyle name="Input 30 2 5 3" xfId="19426"/>
    <cellStyle name="Input 30 2 5 3 2" xfId="40613"/>
    <cellStyle name="Input 30 2 5 4" xfId="29881"/>
    <cellStyle name="Input 30 2 5_Table 2A-1_EFT (Annual)" xfId="15260"/>
    <cellStyle name="Input 30 2 6" xfId="9856"/>
    <cellStyle name="Input 30 2 6 2" xfId="21993"/>
    <cellStyle name="Input 30 2 6 2 2" xfId="43179"/>
    <cellStyle name="Input 30 2 6 3" xfId="32575"/>
    <cellStyle name="Input 30 2 7" xfId="16880"/>
    <cellStyle name="Input 30 2 7 2" xfId="38067"/>
    <cellStyle name="Input 30 2 8" xfId="27138"/>
    <cellStyle name="Input 30 2_Table 2A-1_EFT (Annual)" xfId="3058"/>
    <cellStyle name="Input 30 3" xfId="462"/>
    <cellStyle name="Input 30 3 2" xfId="1439"/>
    <cellStyle name="Input 30 3 2 2" xfId="2709"/>
    <cellStyle name="Input 30 3 2 2 2" xfId="6270"/>
    <cellStyle name="Input 30 3 2 2 2 2" xfId="14464"/>
    <cellStyle name="Input 30 3 2 2 2 2 2" xfId="26436"/>
    <cellStyle name="Input 30 3 2 2 2 2 2 2" xfId="47622"/>
    <cellStyle name="Input 30 3 2 2 2 2 3" xfId="37018"/>
    <cellStyle name="Input 30 3 2 2 2 3" xfId="21323"/>
    <cellStyle name="Input 30 3 2 2 2 3 2" xfId="42510"/>
    <cellStyle name="Input 30 3 2 2 2 4" xfId="31926"/>
    <cellStyle name="Input 30 3 2 2 2_Table 2A-1_EFT (Annual)" xfId="15261"/>
    <cellStyle name="Input 30 3 2 2 3" xfId="11806"/>
    <cellStyle name="Input 30 3 2 2 3 2" xfId="23890"/>
    <cellStyle name="Input 30 3 2 2 3 2 2" xfId="45076"/>
    <cellStyle name="Input 30 3 2 2 3 3" xfId="34472"/>
    <cellStyle name="Input 30 3 2 2 4" xfId="18777"/>
    <cellStyle name="Input 30 3 2 2 4 2" xfId="39964"/>
    <cellStyle name="Input 30 3 2 2 5" xfId="29183"/>
    <cellStyle name="Input 30 3 2 2_Table 2A-1_EFT (Annual)" xfId="7022"/>
    <cellStyle name="Input 30 3 2 3" xfId="5000"/>
    <cellStyle name="Input 30 3 2 3 2" xfId="13260"/>
    <cellStyle name="Input 30 3 2 3 2 2" xfId="25266"/>
    <cellStyle name="Input 30 3 2 3 2 2 2" xfId="46452"/>
    <cellStyle name="Input 30 3 2 3 2 3" xfId="35848"/>
    <cellStyle name="Input 30 3 2 3 3" xfId="20153"/>
    <cellStyle name="Input 30 3 2 3 3 2" xfId="41340"/>
    <cellStyle name="Input 30 3 2 3 4" xfId="30657"/>
    <cellStyle name="Input 30 3 2 3_Table 2A-1_EFT (Annual)" xfId="15262"/>
    <cellStyle name="Input 30 3 2 4" xfId="10604"/>
    <cellStyle name="Input 30 3 2 4 2" xfId="22720"/>
    <cellStyle name="Input 30 3 2 4 2 2" xfId="43906"/>
    <cellStyle name="Input 30 3 2 4 3" xfId="33302"/>
    <cellStyle name="Input 30 3 2 5" xfId="17607"/>
    <cellStyle name="Input 30 3 2 5 2" xfId="38794"/>
    <cellStyle name="Input 30 3 2 6" xfId="27914"/>
    <cellStyle name="Input 30 3 2_Table 2A-1_EFT (Annual)" xfId="7021"/>
    <cellStyle name="Input 30 3 3" xfId="984"/>
    <cellStyle name="Input 30 3 3 2" xfId="4545"/>
    <cellStyle name="Input 30 3 3 2 2" xfId="12805"/>
    <cellStyle name="Input 30 3 3 2 2 2" xfId="24811"/>
    <cellStyle name="Input 30 3 3 2 2 2 2" xfId="45997"/>
    <cellStyle name="Input 30 3 3 2 2 3" xfId="35393"/>
    <cellStyle name="Input 30 3 3 2 3" xfId="19698"/>
    <cellStyle name="Input 30 3 3 2 3 2" xfId="40885"/>
    <cellStyle name="Input 30 3 3 2 4" xfId="30202"/>
    <cellStyle name="Input 30 3 3 2_Table 2A-1_EFT (Annual)" xfId="15263"/>
    <cellStyle name="Input 30 3 3 3" xfId="10149"/>
    <cellStyle name="Input 30 3 3 3 2" xfId="22265"/>
    <cellStyle name="Input 30 3 3 3 2 2" xfId="43451"/>
    <cellStyle name="Input 30 3 3 3 3" xfId="32847"/>
    <cellStyle name="Input 30 3 3 4" xfId="17152"/>
    <cellStyle name="Input 30 3 3 4 2" xfId="38339"/>
    <cellStyle name="Input 30 3 3 5" xfId="27459"/>
    <cellStyle name="Input 30 3 3_Table 2A-1_EFT (Annual)" xfId="7023"/>
    <cellStyle name="Input 30 3 4" xfId="2178"/>
    <cellStyle name="Input 30 3 4 2" xfId="5739"/>
    <cellStyle name="Input 30 3 4 2 2" xfId="13954"/>
    <cellStyle name="Input 30 3 4 2 2 2" xfId="25942"/>
    <cellStyle name="Input 30 3 4 2 2 2 2" xfId="47128"/>
    <cellStyle name="Input 30 3 4 2 2 3" xfId="36524"/>
    <cellStyle name="Input 30 3 4 2 3" xfId="20829"/>
    <cellStyle name="Input 30 3 4 2 3 2" xfId="42016"/>
    <cellStyle name="Input 30 3 4 2 4" xfId="31396"/>
    <cellStyle name="Input 30 3 4 2_Table 2A-1_EFT (Annual)" xfId="15264"/>
    <cellStyle name="Input 30 3 4 3" xfId="11298"/>
    <cellStyle name="Input 30 3 4 3 2" xfId="23396"/>
    <cellStyle name="Input 30 3 4 3 2 2" xfId="44582"/>
    <cellStyle name="Input 30 3 4 3 3" xfId="33978"/>
    <cellStyle name="Input 30 3 4 4" xfId="18283"/>
    <cellStyle name="Input 30 3 4 4 2" xfId="39470"/>
    <cellStyle name="Input 30 3 4 5" xfId="28653"/>
    <cellStyle name="Input 30 3 4_Table 2A-1_EFT (Annual)" xfId="7024"/>
    <cellStyle name="Input 30 3 5" xfId="4032"/>
    <cellStyle name="Input 30 3 5 2" xfId="12356"/>
    <cellStyle name="Input 30 3 5 2 2" xfId="24378"/>
    <cellStyle name="Input 30 3 5 2 2 2" xfId="45564"/>
    <cellStyle name="Input 30 3 5 2 3" xfId="34960"/>
    <cellStyle name="Input 30 3 5 3" xfId="19265"/>
    <cellStyle name="Input 30 3 5 3 2" xfId="40452"/>
    <cellStyle name="Input 30 3 5 4" xfId="29720"/>
    <cellStyle name="Input 30 3 5_Table 2A-1_EFT (Annual)" xfId="15265"/>
    <cellStyle name="Input 30 3 6" xfId="9695"/>
    <cellStyle name="Input 30 3 6 2" xfId="21832"/>
    <cellStyle name="Input 30 3 6 2 2" xfId="43018"/>
    <cellStyle name="Input 30 3 6 3" xfId="32414"/>
    <cellStyle name="Input 30 3 7" xfId="16719"/>
    <cellStyle name="Input 30 3 7 2" xfId="37906"/>
    <cellStyle name="Input 30 3 8" xfId="26977"/>
    <cellStyle name="Input 30 3_Table 2A-1_EFT (Annual)" xfId="3059"/>
    <cellStyle name="Input 30 4" xfId="1278"/>
    <cellStyle name="Input 30 4 2" xfId="2548"/>
    <cellStyle name="Input 30 4 2 2" xfId="6109"/>
    <cellStyle name="Input 30 4 2 2 2" xfId="14303"/>
    <cellStyle name="Input 30 4 2 2 2 2" xfId="26275"/>
    <cellStyle name="Input 30 4 2 2 2 2 2" xfId="47461"/>
    <cellStyle name="Input 30 4 2 2 2 3" xfId="36857"/>
    <cellStyle name="Input 30 4 2 2 3" xfId="21162"/>
    <cellStyle name="Input 30 4 2 2 3 2" xfId="42349"/>
    <cellStyle name="Input 30 4 2 2 4" xfId="31765"/>
    <cellStyle name="Input 30 4 2 2_Table 2A-1_EFT (Annual)" xfId="15266"/>
    <cellStyle name="Input 30 4 2 3" xfId="11645"/>
    <cellStyle name="Input 30 4 2 3 2" xfId="23729"/>
    <cellStyle name="Input 30 4 2 3 2 2" xfId="44915"/>
    <cellStyle name="Input 30 4 2 3 3" xfId="34311"/>
    <cellStyle name="Input 30 4 2 4" xfId="18616"/>
    <cellStyle name="Input 30 4 2 4 2" xfId="39803"/>
    <cellStyle name="Input 30 4 2 5" xfId="29022"/>
    <cellStyle name="Input 30 4 2_Table 2A-1_EFT (Annual)" xfId="7026"/>
    <cellStyle name="Input 30 4 3" xfId="4839"/>
    <cellStyle name="Input 30 4 3 2" xfId="13099"/>
    <cellStyle name="Input 30 4 3 2 2" xfId="25105"/>
    <cellStyle name="Input 30 4 3 2 2 2" xfId="46291"/>
    <cellStyle name="Input 30 4 3 2 3" xfId="35687"/>
    <cellStyle name="Input 30 4 3 3" xfId="19992"/>
    <cellStyle name="Input 30 4 3 3 2" xfId="41179"/>
    <cellStyle name="Input 30 4 3 4" xfId="30496"/>
    <cellStyle name="Input 30 4 3_Table 2A-1_EFT (Annual)" xfId="15267"/>
    <cellStyle name="Input 30 4 4" xfId="10443"/>
    <cellStyle name="Input 30 4 4 2" xfId="22559"/>
    <cellStyle name="Input 30 4 4 2 2" xfId="43745"/>
    <cellStyle name="Input 30 4 4 3" xfId="33141"/>
    <cellStyle name="Input 30 4 5" xfId="17446"/>
    <cellStyle name="Input 30 4 5 2" xfId="38633"/>
    <cellStyle name="Input 30 4 6" xfId="27753"/>
    <cellStyle name="Input 30 4_Table 2A-1_EFT (Annual)" xfId="7025"/>
    <cellStyle name="Input 30 5" xfId="829"/>
    <cellStyle name="Input 30 5 2" xfId="4390"/>
    <cellStyle name="Input 30 5 2 2" xfId="12664"/>
    <cellStyle name="Input 30 5 2 2 2" xfId="24681"/>
    <cellStyle name="Input 30 5 2 2 2 2" xfId="45867"/>
    <cellStyle name="Input 30 5 2 2 3" xfId="35263"/>
    <cellStyle name="Input 30 5 2 3" xfId="19568"/>
    <cellStyle name="Input 30 5 2 3 2" xfId="40755"/>
    <cellStyle name="Input 30 5 2 4" xfId="30047"/>
    <cellStyle name="Input 30 5 2_Table 2A-1_EFT (Annual)" xfId="15268"/>
    <cellStyle name="Input 30 5 3" xfId="10013"/>
    <cellStyle name="Input 30 5 3 2" xfId="22135"/>
    <cellStyle name="Input 30 5 3 2 2" xfId="43321"/>
    <cellStyle name="Input 30 5 3 3" xfId="32717"/>
    <cellStyle name="Input 30 5 4" xfId="17022"/>
    <cellStyle name="Input 30 5 4 2" xfId="38209"/>
    <cellStyle name="Input 30 5 5" xfId="27304"/>
    <cellStyle name="Input 30 5_Table 2A-1_EFT (Annual)" xfId="7027"/>
    <cellStyle name="Input 30 6" xfId="2017"/>
    <cellStyle name="Input 30 6 2" xfId="5578"/>
    <cellStyle name="Input 30 6 2 2" xfId="13793"/>
    <cellStyle name="Input 30 6 2 2 2" xfId="25781"/>
    <cellStyle name="Input 30 6 2 2 2 2" xfId="46967"/>
    <cellStyle name="Input 30 6 2 2 3" xfId="36363"/>
    <cellStyle name="Input 30 6 2 3" xfId="20668"/>
    <cellStyle name="Input 30 6 2 3 2" xfId="41855"/>
    <cellStyle name="Input 30 6 2 4" xfId="31235"/>
    <cellStyle name="Input 30 6 2_Table 2A-1_EFT (Annual)" xfId="15269"/>
    <cellStyle name="Input 30 6 3" xfId="11137"/>
    <cellStyle name="Input 30 6 3 2" xfId="23235"/>
    <cellStyle name="Input 30 6 3 2 2" xfId="44421"/>
    <cellStyle name="Input 30 6 3 3" xfId="33817"/>
    <cellStyle name="Input 30 6 4" xfId="18122"/>
    <cellStyle name="Input 30 6 4 2" xfId="39309"/>
    <cellStyle name="Input 30 6 5" xfId="28492"/>
    <cellStyle name="Input 30 6_Table 2A-1_EFT (Annual)" xfId="7028"/>
    <cellStyle name="Input 30 7" xfId="3825"/>
    <cellStyle name="Input 30 7 2" xfId="12188"/>
    <cellStyle name="Input 30 7 2 2" xfId="24217"/>
    <cellStyle name="Input 30 7 2 2 2" xfId="45403"/>
    <cellStyle name="Input 30 7 2 3" xfId="34799"/>
    <cellStyle name="Input 30 7 3" xfId="19104"/>
    <cellStyle name="Input 30 7 3 2" xfId="40291"/>
    <cellStyle name="Input 30 7 4" xfId="29534"/>
    <cellStyle name="Input 30 7_Table 2A-1_EFT (Annual)" xfId="15270"/>
    <cellStyle name="Input 30 8" xfId="9507"/>
    <cellStyle name="Input 30 8 2" xfId="21671"/>
    <cellStyle name="Input 30 8 2 2" xfId="42857"/>
    <cellStyle name="Input 30 8 3" xfId="32253"/>
    <cellStyle name="Input 30 9" xfId="16558"/>
    <cellStyle name="Input 30 9 2" xfId="37745"/>
    <cellStyle name="Input 30_Table 2A-1_EFT (Annual)" xfId="3057"/>
    <cellStyle name="Input 31" xfId="184"/>
    <cellStyle name="Input 31 10" xfId="26739"/>
    <cellStyle name="Input 31 2" xfId="577"/>
    <cellStyle name="Input 31 2 2" xfId="1554"/>
    <cellStyle name="Input 31 2 2 2" xfId="2824"/>
    <cellStyle name="Input 31 2 2 2 2" xfId="6385"/>
    <cellStyle name="Input 31 2 2 2 2 2" xfId="14579"/>
    <cellStyle name="Input 31 2 2 2 2 2 2" xfId="26551"/>
    <cellStyle name="Input 31 2 2 2 2 2 2 2" xfId="47737"/>
    <cellStyle name="Input 31 2 2 2 2 2 3" xfId="37133"/>
    <cellStyle name="Input 31 2 2 2 2 3" xfId="21438"/>
    <cellStyle name="Input 31 2 2 2 2 3 2" xfId="42625"/>
    <cellStyle name="Input 31 2 2 2 2 4" xfId="32041"/>
    <cellStyle name="Input 31 2 2 2 2_Table 2A-1_EFT (Annual)" xfId="15271"/>
    <cellStyle name="Input 31 2 2 2 3" xfId="11921"/>
    <cellStyle name="Input 31 2 2 2 3 2" xfId="24005"/>
    <cellStyle name="Input 31 2 2 2 3 2 2" xfId="45191"/>
    <cellStyle name="Input 31 2 2 2 3 3" xfId="34587"/>
    <cellStyle name="Input 31 2 2 2 4" xfId="18892"/>
    <cellStyle name="Input 31 2 2 2 4 2" xfId="40079"/>
    <cellStyle name="Input 31 2 2 2 5" xfId="29298"/>
    <cellStyle name="Input 31 2 2 2_Table 2A-1_EFT (Annual)" xfId="7030"/>
    <cellStyle name="Input 31 2 2 3" xfId="5115"/>
    <cellStyle name="Input 31 2 2 3 2" xfId="13375"/>
    <cellStyle name="Input 31 2 2 3 2 2" xfId="25381"/>
    <cellStyle name="Input 31 2 2 3 2 2 2" xfId="46567"/>
    <cellStyle name="Input 31 2 2 3 2 3" xfId="35963"/>
    <cellStyle name="Input 31 2 2 3 3" xfId="20268"/>
    <cellStyle name="Input 31 2 2 3 3 2" xfId="41455"/>
    <cellStyle name="Input 31 2 2 3 4" xfId="30772"/>
    <cellStyle name="Input 31 2 2 3_Table 2A-1_EFT (Annual)" xfId="15272"/>
    <cellStyle name="Input 31 2 2 4" xfId="10719"/>
    <cellStyle name="Input 31 2 2 4 2" xfId="22835"/>
    <cellStyle name="Input 31 2 2 4 2 2" xfId="44021"/>
    <cellStyle name="Input 31 2 2 4 3" xfId="33417"/>
    <cellStyle name="Input 31 2 2 5" xfId="17722"/>
    <cellStyle name="Input 31 2 2 5 2" xfId="38909"/>
    <cellStyle name="Input 31 2 2 6" xfId="28029"/>
    <cellStyle name="Input 31 2 2_Table 2A-1_EFT (Annual)" xfId="7029"/>
    <cellStyle name="Input 31 2 3" xfId="1077"/>
    <cellStyle name="Input 31 2 3 2" xfId="4638"/>
    <cellStyle name="Input 31 2 3 2 2" xfId="12898"/>
    <cellStyle name="Input 31 2 3 2 2 2" xfId="24904"/>
    <cellStyle name="Input 31 2 3 2 2 2 2" xfId="46090"/>
    <cellStyle name="Input 31 2 3 2 2 3" xfId="35486"/>
    <cellStyle name="Input 31 2 3 2 3" xfId="19791"/>
    <cellStyle name="Input 31 2 3 2 3 2" xfId="40978"/>
    <cellStyle name="Input 31 2 3 2 4" xfId="30295"/>
    <cellStyle name="Input 31 2 3 2_Table 2A-1_EFT (Annual)" xfId="15273"/>
    <cellStyle name="Input 31 2 3 3" xfId="10242"/>
    <cellStyle name="Input 31 2 3 3 2" xfId="22358"/>
    <cellStyle name="Input 31 2 3 3 2 2" xfId="43544"/>
    <cellStyle name="Input 31 2 3 3 3" xfId="32940"/>
    <cellStyle name="Input 31 2 3 4" xfId="17245"/>
    <cellStyle name="Input 31 2 3 4 2" xfId="38432"/>
    <cellStyle name="Input 31 2 3 5" xfId="27552"/>
    <cellStyle name="Input 31 2 3_Table 2A-1_EFT (Annual)" xfId="7031"/>
    <cellStyle name="Input 31 2 4" xfId="2293"/>
    <cellStyle name="Input 31 2 4 2" xfId="5854"/>
    <cellStyle name="Input 31 2 4 2 2" xfId="14069"/>
    <cellStyle name="Input 31 2 4 2 2 2" xfId="26057"/>
    <cellStyle name="Input 31 2 4 2 2 2 2" xfId="47243"/>
    <cellStyle name="Input 31 2 4 2 2 3" xfId="36639"/>
    <cellStyle name="Input 31 2 4 2 3" xfId="20944"/>
    <cellStyle name="Input 31 2 4 2 3 2" xfId="42131"/>
    <cellStyle name="Input 31 2 4 2 4" xfId="31511"/>
    <cellStyle name="Input 31 2 4 2_Table 2A-1_EFT (Annual)" xfId="15274"/>
    <cellStyle name="Input 31 2 4 3" xfId="11413"/>
    <cellStyle name="Input 31 2 4 3 2" xfId="23511"/>
    <cellStyle name="Input 31 2 4 3 2 2" xfId="44697"/>
    <cellStyle name="Input 31 2 4 3 3" xfId="34093"/>
    <cellStyle name="Input 31 2 4 4" xfId="18398"/>
    <cellStyle name="Input 31 2 4 4 2" xfId="39585"/>
    <cellStyle name="Input 31 2 4 5" xfId="28768"/>
    <cellStyle name="Input 31 2 4_Table 2A-1_EFT (Annual)" xfId="7032"/>
    <cellStyle name="Input 31 2 5" xfId="4147"/>
    <cellStyle name="Input 31 2 5 2" xfId="12471"/>
    <cellStyle name="Input 31 2 5 2 2" xfId="24493"/>
    <cellStyle name="Input 31 2 5 2 2 2" xfId="45679"/>
    <cellStyle name="Input 31 2 5 2 3" xfId="35075"/>
    <cellStyle name="Input 31 2 5 3" xfId="19380"/>
    <cellStyle name="Input 31 2 5 3 2" xfId="40567"/>
    <cellStyle name="Input 31 2 5 4" xfId="29835"/>
    <cellStyle name="Input 31 2 5_Table 2A-1_EFT (Annual)" xfId="15275"/>
    <cellStyle name="Input 31 2 6" xfId="9810"/>
    <cellStyle name="Input 31 2 6 2" xfId="21947"/>
    <cellStyle name="Input 31 2 6 2 2" xfId="43133"/>
    <cellStyle name="Input 31 2 6 3" xfId="32529"/>
    <cellStyle name="Input 31 2 7" xfId="16834"/>
    <cellStyle name="Input 31 2 7 2" xfId="38021"/>
    <cellStyle name="Input 31 2 8" xfId="27092"/>
    <cellStyle name="Input 31 2_Table 2A-1_EFT (Annual)" xfId="3061"/>
    <cellStyle name="Input 31 3" xfId="415"/>
    <cellStyle name="Input 31 3 2" xfId="1398"/>
    <cellStyle name="Input 31 3 2 2" xfId="2668"/>
    <cellStyle name="Input 31 3 2 2 2" xfId="6229"/>
    <cellStyle name="Input 31 3 2 2 2 2" xfId="14423"/>
    <cellStyle name="Input 31 3 2 2 2 2 2" xfId="26395"/>
    <cellStyle name="Input 31 3 2 2 2 2 2 2" xfId="47581"/>
    <cellStyle name="Input 31 3 2 2 2 2 3" xfId="36977"/>
    <cellStyle name="Input 31 3 2 2 2 3" xfId="21282"/>
    <cellStyle name="Input 31 3 2 2 2 3 2" xfId="42469"/>
    <cellStyle name="Input 31 3 2 2 2 4" xfId="31885"/>
    <cellStyle name="Input 31 3 2 2 2_Table 2A-1_EFT (Annual)" xfId="15276"/>
    <cellStyle name="Input 31 3 2 2 3" xfId="11765"/>
    <cellStyle name="Input 31 3 2 2 3 2" xfId="23849"/>
    <cellStyle name="Input 31 3 2 2 3 2 2" xfId="45035"/>
    <cellStyle name="Input 31 3 2 2 3 3" xfId="34431"/>
    <cellStyle name="Input 31 3 2 2 4" xfId="18736"/>
    <cellStyle name="Input 31 3 2 2 4 2" xfId="39923"/>
    <cellStyle name="Input 31 3 2 2 5" xfId="29142"/>
    <cellStyle name="Input 31 3 2 2_Table 2A-1_EFT (Annual)" xfId="7034"/>
    <cellStyle name="Input 31 3 2 3" xfId="4959"/>
    <cellStyle name="Input 31 3 2 3 2" xfId="13219"/>
    <cellStyle name="Input 31 3 2 3 2 2" xfId="25225"/>
    <cellStyle name="Input 31 3 2 3 2 2 2" xfId="46411"/>
    <cellStyle name="Input 31 3 2 3 2 3" xfId="35807"/>
    <cellStyle name="Input 31 3 2 3 3" xfId="20112"/>
    <cellStyle name="Input 31 3 2 3 3 2" xfId="41299"/>
    <cellStyle name="Input 31 3 2 3 4" xfId="30616"/>
    <cellStyle name="Input 31 3 2 3_Table 2A-1_EFT (Annual)" xfId="15277"/>
    <cellStyle name="Input 31 3 2 4" xfId="10563"/>
    <cellStyle name="Input 31 3 2 4 2" xfId="22679"/>
    <cellStyle name="Input 31 3 2 4 2 2" xfId="43865"/>
    <cellStyle name="Input 31 3 2 4 3" xfId="33261"/>
    <cellStyle name="Input 31 3 2 5" xfId="17566"/>
    <cellStyle name="Input 31 3 2 5 2" xfId="38753"/>
    <cellStyle name="Input 31 3 2 6" xfId="27873"/>
    <cellStyle name="Input 31 3 2_Table 2A-1_EFT (Annual)" xfId="7033"/>
    <cellStyle name="Input 31 3 3" xfId="945"/>
    <cellStyle name="Input 31 3 3 2" xfId="4506"/>
    <cellStyle name="Input 31 3 3 2 2" xfId="12768"/>
    <cellStyle name="Input 31 3 3 2 2 2" xfId="24778"/>
    <cellStyle name="Input 31 3 3 2 2 2 2" xfId="45964"/>
    <cellStyle name="Input 31 3 3 2 2 3" xfId="35360"/>
    <cellStyle name="Input 31 3 3 2 3" xfId="19665"/>
    <cellStyle name="Input 31 3 3 2 3 2" xfId="40852"/>
    <cellStyle name="Input 31 3 3 2 4" xfId="30163"/>
    <cellStyle name="Input 31 3 3 2_Table 2A-1_EFT (Annual)" xfId="15278"/>
    <cellStyle name="Input 31 3 3 3" xfId="10115"/>
    <cellStyle name="Input 31 3 3 3 2" xfId="22232"/>
    <cellStyle name="Input 31 3 3 3 2 2" xfId="43418"/>
    <cellStyle name="Input 31 3 3 3 3" xfId="32814"/>
    <cellStyle name="Input 31 3 3 4" xfId="17119"/>
    <cellStyle name="Input 31 3 3 4 2" xfId="38306"/>
    <cellStyle name="Input 31 3 3 5" xfId="27420"/>
    <cellStyle name="Input 31 3 3_Table 2A-1_EFT (Annual)" xfId="7035"/>
    <cellStyle name="Input 31 3 4" xfId="2137"/>
    <cellStyle name="Input 31 3 4 2" xfId="5698"/>
    <cellStyle name="Input 31 3 4 2 2" xfId="13913"/>
    <cellStyle name="Input 31 3 4 2 2 2" xfId="25901"/>
    <cellStyle name="Input 31 3 4 2 2 2 2" xfId="47087"/>
    <cellStyle name="Input 31 3 4 2 2 3" xfId="36483"/>
    <cellStyle name="Input 31 3 4 2 3" xfId="20788"/>
    <cellStyle name="Input 31 3 4 2 3 2" xfId="41975"/>
    <cellStyle name="Input 31 3 4 2 4" xfId="31355"/>
    <cellStyle name="Input 31 3 4 2_Table 2A-1_EFT (Annual)" xfId="15279"/>
    <cellStyle name="Input 31 3 4 3" xfId="11257"/>
    <cellStyle name="Input 31 3 4 3 2" xfId="23355"/>
    <cellStyle name="Input 31 3 4 3 2 2" xfId="44541"/>
    <cellStyle name="Input 31 3 4 3 3" xfId="33937"/>
    <cellStyle name="Input 31 3 4 4" xfId="18242"/>
    <cellStyle name="Input 31 3 4 4 2" xfId="39429"/>
    <cellStyle name="Input 31 3 4 5" xfId="28612"/>
    <cellStyle name="Input 31 3 4_Table 2A-1_EFT (Annual)" xfId="7036"/>
    <cellStyle name="Input 31 3 5" xfId="3985"/>
    <cellStyle name="Input 31 3 5 2" xfId="12313"/>
    <cellStyle name="Input 31 3 5 2 2" xfId="24337"/>
    <cellStyle name="Input 31 3 5 2 2 2" xfId="45523"/>
    <cellStyle name="Input 31 3 5 2 3" xfId="34919"/>
    <cellStyle name="Input 31 3 5 3" xfId="19224"/>
    <cellStyle name="Input 31 3 5 3 2" xfId="40411"/>
    <cellStyle name="Input 31 3 5 4" xfId="29673"/>
    <cellStyle name="Input 31 3 5_Table 2A-1_EFT (Annual)" xfId="15280"/>
    <cellStyle name="Input 31 3 6" xfId="9650"/>
    <cellStyle name="Input 31 3 6 2" xfId="21791"/>
    <cellStyle name="Input 31 3 6 2 2" xfId="42977"/>
    <cellStyle name="Input 31 3 6 3" xfId="32373"/>
    <cellStyle name="Input 31 3 7" xfId="16678"/>
    <cellStyle name="Input 31 3 7 2" xfId="37865"/>
    <cellStyle name="Input 31 3 8" xfId="26930"/>
    <cellStyle name="Input 31 3_Table 2A-1_EFT (Annual)" xfId="3062"/>
    <cellStyle name="Input 31 4" xfId="1232"/>
    <cellStyle name="Input 31 4 2" xfId="2502"/>
    <cellStyle name="Input 31 4 2 2" xfId="6063"/>
    <cellStyle name="Input 31 4 2 2 2" xfId="14257"/>
    <cellStyle name="Input 31 4 2 2 2 2" xfId="26229"/>
    <cellStyle name="Input 31 4 2 2 2 2 2" xfId="47415"/>
    <cellStyle name="Input 31 4 2 2 2 3" xfId="36811"/>
    <cellStyle name="Input 31 4 2 2 3" xfId="21116"/>
    <cellStyle name="Input 31 4 2 2 3 2" xfId="42303"/>
    <cellStyle name="Input 31 4 2 2 4" xfId="31719"/>
    <cellStyle name="Input 31 4 2 2_Table 2A-1_EFT (Annual)" xfId="15281"/>
    <cellStyle name="Input 31 4 2 3" xfId="11599"/>
    <cellStyle name="Input 31 4 2 3 2" xfId="23683"/>
    <cellStyle name="Input 31 4 2 3 2 2" xfId="44869"/>
    <cellStyle name="Input 31 4 2 3 3" xfId="34265"/>
    <cellStyle name="Input 31 4 2 4" xfId="18570"/>
    <cellStyle name="Input 31 4 2 4 2" xfId="39757"/>
    <cellStyle name="Input 31 4 2 5" xfId="28976"/>
    <cellStyle name="Input 31 4 2_Table 2A-1_EFT (Annual)" xfId="7038"/>
    <cellStyle name="Input 31 4 3" xfId="4793"/>
    <cellStyle name="Input 31 4 3 2" xfId="13053"/>
    <cellStyle name="Input 31 4 3 2 2" xfId="25059"/>
    <cellStyle name="Input 31 4 3 2 2 2" xfId="46245"/>
    <cellStyle name="Input 31 4 3 2 3" xfId="35641"/>
    <cellStyle name="Input 31 4 3 3" xfId="19946"/>
    <cellStyle name="Input 31 4 3 3 2" xfId="41133"/>
    <cellStyle name="Input 31 4 3 4" xfId="30450"/>
    <cellStyle name="Input 31 4 3_Table 2A-1_EFT (Annual)" xfId="15282"/>
    <cellStyle name="Input 31 4 4" xfId="10397"/>
    <cellStyle name="Input 31 4 4 2" xfId="22513"/>
    <cellStyle name="Input 31 4 4 2 2" xfId="43699"/>
    <cellStyle name="Input 31 4 4 3" xfId="33095"/>
    <cellStyle name="Input 31 4 5" xfId="17400"/>
    <cellStyle name="Input 31 4 5 2" xfId="38587"/>
    <cellStyle name="Input 31 4 6" xfId="27707"/>
    <cellStyle name="Input 31 4_Table 2A-1_EFT (Annual)" xfId="7037"/>
    <cellStyle name="Input 31 5" xfId="786"/>
    <cellStyle name="Input 31 5 2" xfId="4347"/>
    <cellStyle name="Input 31 5 2 2" xfId="12627"/>
    <cellStyle name="Input 31 5 2 2 2" xfId="24644"/>
    <cellStyle name="Input 31 5 2 2 2 2" xfId="45830"/>
    <cellStyle name="Input 31 5 2 2 3" xfId="35226"/>
    <cellStyle name="Input 31 5 2 3" xfId="19531"/>
    <cellStyle name="Input 31 5 2 3 2" xfId="40718"/>
    <cellStyle name="Input 31 5 2 4" xfId="30004"/>
    <cellStyle name="Input 31 5 2_Table 2A-1_EFT (Annual)" xfId="15283"/>
    <cellStyle name="Input 31 5 3" xfId="9975"/>
    <cellStyle name="Input 31 5 3 2" xfId="22098"/>
    <cellStyle name="Input 31 5 3 2 2" xfId="43284"/>
    <cellStyle name="Input 31 5 3 3" xfId="32680"/>
    <cellStyle name="Input 31 5 4" xfId="16985"/>
    <cellStyle name="Input 31 5 4 2" xfId="38172"/>
    <cellStyle name="Input 31 5 5" xfId="27261"/>
    <cellStyle name="Input 31 5_Table 2A-1_EFT (Annual)" xfId="7039"/>
    <cellStyle name="Input 31 6" xfId="1971"/>
    <cellStyle name="Input 31 6 2" xfId="5532"/>
    <cellStyle name="Input 31 6 2 2" xfId="13747"/>
    <cellStyle name="Input 31 6 2 2 2" xfId="25735"/>
    <cellStyle name="Input 31 6 2 2 2 2" xfId="46921"/>
    <cellStyle name="Input 31 6 2 2 3" xfId="36317"/>
    <cellStyle name="Input 31 6 2 3" xfId="20622"/>
    <cellStyle name="Input 31 6 2 3 2" xfId="41809"/>
    <cellStyle name="Input 31 6 2 4" xfId="31189"/>
    <cellStyle name="Input 31 6 2_Table 2A-1_EFT (Annual)" xfId="15284"/>
    <cellStyle name="Input 31 6 3" xfId="11091"/>
    <cellStyle name="Input 31 6 3 2" xfId="23189"/>
    <cellStyle name="Input 31 6 3 2 2" xfId="44375"/>
    <cellStyle name="Input 31 6 3 3" xfId="33771"/>
    <cellStyle name="Input 31 6 4" xfId="18076"/>
    <cellStyle name="Input 31 6 4 2" xfId="39263"/>
    <cellStyle name="Input 31 6 5" xfId="28446"/>
    <cellStyle name="Input 31 6_Table 2A-1_EFT (Annual)" xfId="7040"/>
    <cellStyle name="Input 31 7" xfId="3773"/>
    <cellStyle name="Input 31 7 2" xfId="12141"/>
    <cellStyle name="Input 31 7 2 2" xfId="24171"/>
    <cellStyle name="Input 31 7 2 2 2" xfId="45357"/>
    <cellStyle name="Input 31 7 2 3" xfId="34753"/>
    <cellStyle name="Input 31 7 3" xfId="19058"/>
    <cellStyle name="Input 31 7 3 2" xfId="40245"/>
    <cellStyle name="Input 31 7 4" xfId="29482"/>
    <cellStyle name="Input 31 7_Table 2A-1_EFT (Annual)" xfId="15285"/>
    <cellStyle name="Input 31 8" xfId="9460"/>
    <cellStyle name="Input 31 8 2" xfId="21625"/>
    <cellStyle name="Input 31 8 2 2" xfId="42811"/>
    <cellStyle name="Input 31 8 3" xfId="32207"/>
    <cellStyle name="Input 31 9" xfId="16512"/>
    <cellStyle name="Input 31 9 2" xfId="37699"/>
    <cellStyle name="Input 31_Table 2A-1_EFT (Annual)" xfId="3060"/>
    <cellStyle name="Input 32" xfId="182"/>
    <cellStyle name="Input 32 10" xfId="26737"/>
    <cellStyle name="Input 32 2" xfId="575"/>
    <cellStyle name="Input 32 2 2" xfId="1552"/>
    <cellStyle name="Input 32 2 2 2" xfId="2822"/>
    <cellStyle name="Input 32 2 2 2 2" xfId="6383"/>
    <cellStyle name="Input 32 2 2 2 2 2" xfId="14577"/>
    <cellStyle name="Input 32 2 2 2 2 2 2" xfId="26549"/>
    <cellStyle name="Input 32 2 2 2 2 2 2 2" xfId="47735"/>
    <cellStyle name="Input 32 2 2 2 2 2 3" xfId="37131"/>
    <cellStyle name="Input 32 2 2 2 2 3" xfId="21436"/>
    <cellStyle name="Input 32 2 2 2 2 3 2" xfId="42623"/>
    <cellStyle name="Input 32 2 2 2 2 4" xfId="32039"/>
    <cellStyle name="Input 32 2 2 2 2_Table 2A-1_EFT (Annual)" xfId="15286"/>
    <cellStyle name="Input 32 2 2 2 3" xfId="11919"/>
    <cellStyle name="Input 32 2 2 2 3 2" xfId="24003"/>
    <cellStyle name="Input 32 2 2 2 3 2 2" xfId="45189"/>
    <cellStyle name="Input 32 2 2 2 3 3" xfId="34585"/>
    <cellStyle name="Input 32 2 2 2 4" xfId="18890"/>
    <cellStyle name="Input 32 2 2 2 4 2" xfId="40077"/>
    <cellStyle name="Input 32 2 2 2 5" xfId="29296"/>
    <cellStyle name="Input 32 2 2 2_Table 2A-1_EFT (Annual)" xfId="7042"/>
    <cellStyle name="Input 32 2 2 3" xfId="5113"/>
    <cellStyle name="Input 32 2 2 3 2" xfId="13373"/>
    <cellStyle name="Input 32 2 2 3 2 2" xfId="25379"/>
    <cellStyle name="Input 32 2 2 3 2 2 2" xfId="46565"/>
    <cellStyle name="Input 32 2 2 3 2 3" xfId="35961"/>
    <cellStyle name="Input 32 2 2 3 3" xfId="20266"/>
    <cellStyle name="Input 32 2 2 3 3 2" xfId="41453"/>
    <cellStyle name="Input 32 2 2 3 4" xfId="30770"/>
    <cellStyle name="Input 32 2 2 3_Table 2A-1_EFT (Annual)" xfId="15287"/>
    <cellStyle name="Input 32 2 2 4" xfId="10717"/>
    <cellStyle name="Input 32 2 2 4 2" xfId="22833"/>
    <cellStyle name="Input 32 2 2 4 2 2" xfId="44019"/>
    <cellStyle name="Input 32 2 2 4 3" xfId="33415"/>
    <cellStyle name="Input 32 2 2 5" xfId="17720"/>
    <cellStyle name="Input 32 2 2 5 2" xfId="38907"/>
    <cellStyle name="Input 32 2 2 6" xfId="28027"/>
    <cellStyle name="Input 32 2 2_Table 2A-1_EFT (Annual)" xfId="7041"/>
    <cellStyle name="Input 32 2 3" xfId="1076"/>
    <cellStyle name="Input 32 2 3 2" xfId="4637"/>
    <cellStyle name="Input 32 2 3 2 2" xfId="12897"/>
    <cellStyle name="Input 32 2 3 2 2 2" xfId="24903"/>
    <cellStyle name="Input 32 2 3 2 2 2 2" xfId="46089"/>
    <cellStyle name="Input 32 2 3 2 2 3" xfId="35485"/>
    <cellStyle name="Input 32 2 3 2 3" xfId="19790"/>
    <cellStyle name="Input 32 2 3 2 3 2" xfId="40977"/>
    <cellStyle name="Input 32 2 3 2 4" xfId="30294"/>
    <cellStyle name="Input 32 2 3 2_Table 2A-1_EFT (Annual)" xfId="15288"/>
    <cellStyle name="Input 32 2 3 3" xfId="10241"/>
    <cellStyle name="Input 32 2 3 3 2" xfId="22357"/>
    <cellStyle name="Input 32 2 3 3 2 2" xfId="43543"/>
    <cellStyle name="Input 32 2 3 3 3" xfId="32939"/>
    <cellStyle name="Input 32 2 3 4" xfId="17244"/>
    <cellStyle name="Input 32 2 3 4 2" xfId="38431"/>
    <cellStyle name="Input 32 2 3 5" xfId="27551"/>
    <cellStyle name="Input 32 2 3_Table 2A-1_EFT (Annual)" xfId="7043"/>
    <cellStyle name="Input 32 2 4" xfId="2291"/>
    <cellStyle name="Input 32 2 4 2" xfId="5852"/>
    <cellStyle name="Input 32 2 4 2 2" xfId="14067"/>
    <cellStyle name="Input 32 2 4 2 2 2" xfId="26055"/>
    <cellStyle name="Input 32 2 4 2 2 2 2" xfId="47241"/>
    <cellStyle name="Input 32 2 4 2 2 3" xfId="36637"/>
    <cellStyle name="Input 32 2 4 2 3" xfId="20942"/>
    <cellStyle name="Input 32 2 4 2 3 2" xfId="42129"/>
    <cellStyle name="Input 32 2 4 2 4" xfId="31509"/>
    <cellStyle name="Input 32 2 4 2_Table 2A-1_EFT (Annual)" xfId="15289"/>
    <cellStyle name="Input 32 2 4 3" xfId="11411"/>
    <cellStyle name="Input 32 2 4 3 2" xfId="23509"/>
    <cellStyle name="Input 32 2 4 3 2 2" xfId="44695"/>
    <cellStyle name="Input 32 2 4 3 3" xfId="34091"/>
    <cellStyle name="Input 32 2 4 4" xfId="18396"/>
    <cellStyle name="Input 32 2 4 4 2" xfId="39583"/>
    <cellStyle name="Input 32 2 4 5" xfId="28766"/>
    <cellStyle name="Input 32 2 4_Table 2A-1_EFT (Annual)" xfId="7044"/>
    <cellStyle name="Input 32 2 5" xfId="4145"/>
    <cellStyle name="Input 32 2 5 2" xfId="12469"/>
    <cellStyle name="Input 32 2 5 2 2" xfId="24491"/>
    <cellStyle name="Input 32 2 5 2 2 2" xfId="45677"/>
    <cellStyle name="Input 32 2 5 2 3" xfId="35073"/>
    <cellStyle name="Input 32 2 5 3" xfId="19378"/>
    <cellStyle name="Input 32 2 5 3 2" xfId="40565"/>
    <cellStyle name="Input 32 2 5 4" xfId="29833"/>
    <cellStyle name="Input 32 2 5_Table 2A-1_EFT (Annual)" xfId="15290"/>
    <cellStyle name="Input 32 2 6" xfId="9808"/>
    <cellStyle name="Input 32 2 6 2" xfId="21945"/>
    <cellStyle name="Input 32 2 6 2 2" xfId="43131"/>
    <cellStyle name="Input 32 2 6 3" xfId="32527"/>
    <cellStyle name="Input 32 2 7" xfId="16832"/>
    <cellStyle name="Input 32 2 7 2" xfId="38019"/>
    <cellStyle name="Input 32 2 8" xfId="27090"/>
    <cellStyle name="Input 32 2_Table 2A-1_EFT (Annual)" xfId="3064"/>
    <cellStyle name="Input 32 3" xfId="413"/>
    <cellStyle name="Input 32 3 2" xfId="1396"/>
    <cellStyle name="Input 32 3 2 2" xfId="2666"/>
    <cellStyle name="Input 32 3 2 2 2" xfId="6227"/>
    <cellStyle name="Input 32 3 2 2 2 2" xfId="14421"/>
    <cellStyle name="Input 32 3 2 2 2 2 2" xfId="26393"/>
    <cellStyle name="Input 32 3 2 2 2 2 2 2" xfId="47579"/>
    <cellStyle name="Input 32 3 2 2 2 2 3" xfId="36975"/>
    <cellStyle name="Input 32 3 2 2 2 3" xfId="21280"/>
    <cellStyle name="Input 32 3 2 2 2 3 2" xfId="42467"/>
    <cellStyle name="Input 32 3 2 2 2 4" xfId="31883"/>
    <cellStyle name="Input 32 3 2 2 2_Table 2A-1_EFT (Annual)" xfId="15291"/>
    <cellStyle name="Input 32 3 2 2 3" xfId="11763"/>
    <cellStyle name="Input 32 3 2 2 3 2" xfId="23847"/>
    <cellStyle name="Input 32 3 2 2 3 2 2" xfId="45033"/>
    <cellStyle name="Input 32 3 2 2 3 3" xfId="34429"/>
    <cellStyle name="Input 32 3 2 2 4" xfId="18734"/>
    <cellStyle name="Input 32 3 2 2 4 2" xfId="39921"/>
    <cellStyle name="Input 32 3 2 2 5" xfId="29140"/>
    <cellStyle name="Input 32 3 2 2_Table 2A-1_EFT (Annual)" xfId="7046"/>
    <cellStyle name="Input 32 3 2 3" xfId="4957"/>
    <cellStyle name="Input 32 3 2 3 2" xfId="13217"/>
    <cellStyle name="Input 32 3 2 3 2 2" xfId="25223"/>
    <cellStyle name="Input 32 3 2 3 2 2 2" xfId="46409"/>
    <cellStyle name="Input 32 3 2 3 2 3" xfId="35805"/>
    <cellStyle name="Input 32 3 2 3 3" xfId="20110"/>
    <cellStyle name="Input 32 3 2 3 3 2" xfId="41297"/>
    <cellStyle name="Input 32 3 2 3 4" xfId="30614"/>
    <cellStyle name="Input 32 3 2 3_Table 2A-1_EFT (Annual)" xfId="15292"/>
    <cellStyle name="Input 32 3 2 4" xfId="10561"/>
    <cellStyle name="Input 32 3 2 4 2" xfId="22677"/>
    <cellStyle name="Input 32 3 2 4 2 2" xfId="43863"/>
    <cellStyle name="Input 32 3 2 4 3" xfId="33259"/>
    <cellStyle name="Input 32 3 2 5" xfId="17564"/>
    <cellStyle name="Input 32 3 2 5 2" xfId="38751"/>
    <cellStyle name="Input 32 3 2 6" xfId="27871"/>
    <cellStyle name="Input 32 3 2_Table 2A-1_EFT (Annual)" xfId="7045"/>
    <cellStyle name="Input 32 3 3" xfId="944"/>
    <cellStyle name="Input 32 3 3 2" xfId="4505"/>
    <cellStyle name="Input 32 3 3 2 2" xfId="12767"/>
    <cellStyle name="Input 32 3 3 2 2 2" xfId="24777"/>
    <cellStyle name="Input 32 3 3 2 2 2 2" xfId="45963"/>
    <cellStyle name="Input 32 3 3 2 2 3" xfId="35359"/>
    <cellStyle name="Input 32 3 3 2 3" xfId="19664"/>
    <cellStyle name="Input 32 3 3 2 3 2" xfId="40851"/>
    <cellStyle name="Input 32 3 3 2 4" xfId="30162"/>
    <cellStyle name="Input 32 3 3 2_Table 2A-1_EFT (Annual)" xfId="15293"/>
    <cellStyle name="Input 32 3 3 3" xfId="10114"/>
    <cellStyle name="Input 32 3 3 3 2" xfId="22231"/>
    <cellStyle name="Input 32 3 3 3 2 2" xfId="43417"/>
    <cellStyle name="Input 32 3 3 3 3" xfId="32813"/>
    <cellStyle name="Input 32 3 3 4" xfId="17118"/>
    <cellStyle name="Input 32 3 3 4 2" xfId="38305"/>
    <cellStyle name="Input 32 3 3 5" xfId="27419"/>
    <cellStyle name="Input 32 3 3_Table 2A-1_EFT (Annual)" xfId="7047"/>
    <cellStyle name="Input 32 3 4" xfId="2135"/>
    <cellStyle name="Input 32 3 4 2" xfId="5696"/>
    <cellStyle name="Input 32 3 4 2 2" xfId="13911"/>
    <cellStyle name="Input 32 3 4 2 2 2" xfId="25899"/>
    <cellStyle name="Input 32 3 4 2 2 2 2" xfId="47085"/>
    <cellStyle name="Input 32 3 4 2 2 3" xfId="36481"/>
    <cellStyle name="Input 32 3 4 2 3" xfId="20786"/>
    <cellStyle name="Input 32 3 4 2 3 2" xfId="41973"/>
    <cellStyle name="Input 32 3 4 2 4" xfId="31353"/>
    <cellStyle name="Input 32 3 4 2_Table 2A-1_EFT (Annual)" xfId="15294"/>
    <cellStyle name="Input 32 3 4 3" xfId="11255"/>
    <cellStyle name="Input 32 3 4 3 2" xfId="23353"/>
    <cellStyle name="Input 32 3 4 3 2 2" xfId="44539"/>
    <cellStyle name="Input 32 3 4 3 3" xfId="33935"/>
    <cellStyle name="Input 32 3 4 4" xfId="18240"/>
    <cellStyle name="Input 32 3 4 4 2" xfId="39427"/>
    <cellStyle name="Input 32 3 4 5" xfId="28610"/>
    <cellStyle name="Input 32 3 4_Table 2A-1_EFT (Annual)" xfId="7048"/>
    <cellStyle name="Input 32 3 5" xfId="3983"/>
    <cellStyle name="Input 32 3 5 2" xfId="12311"/>
    <cellStyle name="Input 32 3 5 2 2" xfId="24335"/>
    <cellStyle name="Input 32 3 5 2 2 2" xfId="45521"/>
    <cellStyle name="Input 32 3 5 2 3" xfId="34917"/>
    <cellStyle name="Input 32 3 5 3" xfId="19222"/>
    <cellStyle name="Input 32 3 5 3 2" xfId="40409"/>
    <cellStyle name="Input 32 3 5 4" xfId="29671"/>
    <cellStyle name="Input 32 3 5_Table 2A-1_EFT (Annual)" xfId="15295"/>
    <cellStyle name="Input 32 3 6" xfId="9648"/>
    <cellStyle name="Input 32 3 6 2" xfId="21789"/>
    <cellStyle name="Input 32 3 6 2 2" xfId="42975"/>
    <cellStyle name="Input 32 3 6 3" xfId="32371"/>
    <cellStyle name="Input 32 3 7" xfId="16676"/>
    <cellStyle name="Input 32 3 7 2" xfId="37863"/>
    <cellStyle name="Input 32 3 8" xfId="26928"/>
    <cellStyle name="Input 32 3_Table 2A-1_EFT (Annual)" xfId="3065"/>
    <cellStyle name="Input 32 4" xfId="1230"/>
    <cellStyle name="Input 32 4 2" xfId="2500"/>
    <cellStyle name="Input 32 4 2 2" xfId="6061"/>
    <cellStyle name="Input 32 4 2 2 2" xfId="14255"/>
    <cellStyle name="Input 32 4 2 2 2 2" xfId="26227"/>
    <cellStyle name="Input 32 4 2 2 2 2 2" xfId="47413"/>
    <cellStyle name="Input 32 4 2 2 2 3" xfId="36809"/>
    <cellStyle name="Input 32 4 2 2 3" xfId="21114"/>
    <cellStyle name="Input 32 4 2 2 3 2" xfId="42301"/>
    <cellStyle name="Input 32 4 2 2 4" xfId="31717"/>
    <cellStyle name="Input 32 4 2 2_Table 2A-1_EFT (Annual)" xfId="15296"/>
    <cellStyle name="Input 32 4 2 3" xfId="11597"/>
    <cellStyle name="Input 32 4 2 3 2" xfId="23681"/>
    <cellStyle name="Input 32 4 2 3 2 2" xfId="44867"/>
    <cellStyle name="Input 32 4 2 3 3" xfId="34263"/>
    <cellStyle name="Input 32 4 2 4" xfId="18568"/>
    <cellStyle name="Input 32 4 2 4 2" xfId="39755"/>
    <cellStyle name="Input 32 4 2 5" xfId="28974"/>
    <cellStyle name="Input 32 4 2_Table 2A-1_EFT (Annual)" xfId="7050"/>
    <cellStyle name="Input 32 4 3" xfId="4791"/>
    <cellStyle name="Input 32 4 3 2" xfId="13051"/>
    <cellStyle name="Input 32 4 3 2 2" xfId="25057"/>
    <cellStyle name="Input 32 4 3 2 2 2" xfId="46243"/>
    <cellStyle name="Input 32 4 3 2 3" xfId="35639"/>
    <cellStyle name="Input 32 4 3 3" xfId="19944"/>
    <cellStyle name="Input 32 4 3 3 2" xfId="41131"/>
    <cellStyle name="Input 32 4 3 4" xfId="30448"/>
    <cellStyle name="Input 32 4 3_Table 2A-1_EFT (Annual)" xfId="15297"/>
    <cellStyle name="Input 32 4 4" xfId="10395"/>
    <cellStyle name="Input 32 4 4 2" xfId="22511"/>
    <cellStyle name="Input 32 4 4 2 2" xfId="43697"/>
    <cellStyle name="Input 32 4 4 3" xfId="33093"/>
    <cellStyle name="Input 32 4 5" xfId="17398"/>
    <cellStyle name="Input 32 4 5 2" xfId="38585"/>
    <cellStyle name="Input 32 4 6" xfId="27705"/>
    <cellStyle name="Input 32 4_Table 2A-1_EFT (Annual)" xfId="7049"/>
    <cellStyle name="Input 32 5" xfId="785"/>
    <cellStyle name="Input 32 5 2" xfId="4346"/>
    <cellStyle name="Input 32 5 2 2" xfId="12626"/>
    <cellStyle name="Input 32 5 2 2 2" xfId="24643"/>
    <cellStyle name="Input 32 5 2 2 2 2" xfId="45829"/>
    <cellStyle name="Input 32 5 2 2 3" xfId="35225"/>
    <cellStyle name="Input 32 5 2 3" xfId="19530"/>
    <cellStyle name="Input 32 5 2 3 2" xfId="40717"/>
    <cellStyle name="Input 32 5 2 4" xfId="30003"/>
    <cellStyle name="Input 32 5 2_Table 2A-1_EFT (Annual)" xfId="15298"/>
    <cellStyle name="Input 32 5 3" xfId="9974"/>
    <cellStyle name="Input 32 5 3 2" xfId="22097"/>
    <cellStyle name="Input 32 5 3 2 2" xfId="43283"/>
    <cellStyle name="Input 32 5 3 3" xfId="32679"/>
    <cellStyle name="Input 32 5 4" xfId="16984"/>
    <cellStyle name="Input 32 5 4 2" xfId="38171"/>
    <cellStyle name="Input 32 5 5" xfId="27260"/>
    <cellStyle name="Input 32 5_Table 2A-1_EFT (Annual)" xfId="7051"/>
    <cellStyle name="Input 32 6" xfId="1969"/>
    <cellStyle name="Input 32 6 2" xfId="5530"/>
    <cellStyle name="Input 32 6 2 2" xfId="13745"/>
    <cellStyle name="Input 32 6 2 2 2" xfId="25733"/>
    <cellStyle name="Input 32 6 2 2 2 2" xfId="46919"/>
    <cellStyle name="Input 32 6 2 2 3" xfId="36315"/>
    <cellStyle name="Input 32 6 2 3" xfId="20620"/>
    <cellStyle name="Input 32 6 2 3 2" xfId="41807"/>
    <cellStyle name="Input 32 6 2 4" xfId="31187"/>
    <cellStyle name="Input 32 6 2_Table 2A-1_EFT (Annual)" xfId="15299"/>
    <cellStyle name="Input 32 6 3" xfId="11089"/>
    <cellStyle name="Input 32 6 3 2" xfId="23187"/>
    <cellStyle name="Input 32 6 3 2 2" xfId="44373"/>
    <cellStyle name="Input 32 6 3 3" xfId="33769"/>
    <cellStyle name="Input 32 6 4" xfId="18074"/>
    <cellStyle name="Input 32 6 4 2" xfId="39261"/>
    <cellStyle name="Input 32 6 5" xfId="28444"/>
    <cellStyle name="Input 32 6_Table 2A-1_EFT (Annual)" xfId="7052"/>
    <cellStyle name="Input 32 7" xfId="3771"/>
    <cellStyle name="Input 32 7 2" xfId="12139"/>
    <cellStyle name="Input 32 7 2 2" xfId="24169"/>
    <cellStyle name="Input 32 7 2 2 2" xfId="45355"/>
    <cellStyle name="Input 32 7 2 3" xfId="34751"/>
    <cellStyle name="Input 32 7 3" xfId="19056"/>
    <cellStyle name="Input 32 7 3 2" xfId="40243"/>
    <cellStyle name="Input 32 7 4" xfId="29480"/>
    <cellStyle name="Input 32 7_Table 2A-1_EFT (Annual)" xfId="15300"/>
    <cellStyle name="Input 32 8" xfId="9458"/>
    <cellStyle name="Input 32 8 2" xfId="21623"/>
    <cellStyle name="Input 32 8 2 2" xfId="42809"/>
    <cellStyle name="Input 32 8 3" xfId="32205"/>
    <cellStyle name="Input 32 9" xfId="16510"/>
    <cellStyle name="Input 32 9 2" xfId="37697"/>
    <cellStyle name="Input 32_Table 2A-1_EFT (Annual)" xfId="3063"/>
    <cellStyle name="Input 33" xfId="244"/>
    <cellStyle name="Input 33 10" xfId="26799"/>
    <cellStyle name="Input 33 2" xfId="631"/>
    <cellStyle name="Input 33 2 2" xfId="1608"/>
    <cellStyle name="Input 33 2 2 2" xfId="2878"/>
    <cellStyle name="Input 33 2 2 2 2" xfId="6439"/>
    <cellStyle name="Input 33 2 2 2 2 2" xfId="14633"/>
    <cellStyle name="Input 33 2 2 2 2 2 2" xfId="26605"/>
    <cellStyle name="Input 33 2 2 2 2 2 2 2" xfId="47791"/>
    <cellStyle name="Input 33 2 2 2 2 2 3" xfId="37187"/>
    <cellStyle name="Input 33 2 2 2 2 3" xfId="21492"/>
    <cellStyle name="Input 33 2 2 2 2 3 2" xfId="42679"/>
    <cellStyle name="Input 33 2 2 2 2 4" xfId="32095"/>
    <cellStyle name="Input 33 2 2 2 2_Table 2A-1_EFT (Annual)" xfId="15301"/>
    <cellStyle name="Input 33 2 2 2 3" xfId="11975"/>
    <cellStyle name="Input 33 2 2 2 3 2" xfId="24059"/>
    <cellStyle name="Input 33 2 2 2 3 2 2" xfId="45245"/>
    <cellStyle name="Input 33 2 2 2 3 3" xfId="34641"/>
    <cellStyle name="Input 33 2 2 2 4" xfId="18946"/>
    <cellStyle name="Input 33 2 2 2 4 2" xfId="40133"/>
    <cellStyle name="Input 33 2 2 2 5" xfId="29352"/>
    <cellStyle name="Input 33 2 2 2_Table 2A-1_EFT (Annual)" xfId="7054"/>
    <cellStyle name="Input 33 2 2 3" xfId="5169"/>
    <cellStyle name="Input 33 2 2 3 2" xfId="13429"/>
    <cellStyle name="Input 33 2 2 3 2 2" xfId="25435"/>
    <cellStyle name="Input 33 2 2 3 2 2 2" xfId="46621"/>
    <cellStyle name="Input 33 2 2 3 2 3" xfId="36017"/>
    <cellStyle name="Input 33 2 2 3 3" xfId="20322"/>
    <cellStyle name="Input 33 2 2 3 3 2" xfId="41509"/>
    <cellStyle name="Input 33 2 2 3 4" xfId="30826"/>
    <cellStyle name="Input 33 2 2 3_Table 2A-1_EFT (Annual)" xfId="15302"/>
    <cellStyle name="Input 33 2 2 4" xfId="10773"/>
    <cellStyle name="Input 33 2 2 4 2" xfId="22889"/>
    <cellStyle name="Input 33 2 2 4 2 2" xfId="44075"/>
    <cellStyle name="Input 33 2 2 4 3" xfId="33471"/>
    <cellStyle name="Input 33 2 2 5" xfId="17776"/>
    <cellStyle name="Input 33 2 2 5 2" xfId="38963"/>
    <cellStyle name="Input 33 2 2 6" xfId="28083"/>
    <cellStyle name="Input 33 2 2_Table 2A-1_EFT (Annual)" xfId="7053"/>
    <cellStyle name="Input 33 2 3" xfId="1121"/>
    <cellStyle name="Input 33 2 3 2" xfId="4682"/>
    <cellStyle name="Input 33 2 3 2 2" xfId="12942"/>
    <cellStyle name="Input 33 2 3 2 2 2" xfId="24948"/>
    <cellStyle name="Input 33 2 3 2 2 2 2" xfId="46134"/>
    <cellStyle name="Input 33 2 3 2 2 3" xfId="35530"/>
    <cellStyle name="Input 33 2 3 2 3" xfId="19835"/>
    <cellStyle name="Input 33 2 3 2 3 2" xfId="41022"/>
    <cellStyle name="Input 33 2 3 2 4" xfId="30339"/>
    <cellStyle name="Input 33 2 3 2_Table 2A-1_EFT (Annual)" xfId="15303"/>
    <cellStyle name="Input 33 2 3 3" xfId="10286"/>
    <cellStyle name="Input 33 2 3 3 2" xfId="22402"/>
    <cellStyle name="Input 33 2 3 3 2 2" xfId="43588"/>
    <cellStyle name="Input 33 2 3 3 3" xfId="32984"/>
    <cellStyle name="Input 33 2 3 4" xfId="17289"/>
    <cellStyle name="Input 33 2 3 4 2" xfId="38476"/>
    <cellStyle name="Input 33 2 3 5" xfId="27596"/>
    <cellStyle name="Input 33 2 3_Table 2A-1_EFT (Annual)" xfId="7055"/>
    <cellStyle name="Input 33 2 4" xfId="2347"/>
    <cellStyle name="Input 33 2 4 2" xfId="5908"/>
    <cellStyle name="Input 33 2 4 2 2" xfId="14123"/>
    <cellStyle name="Input 33 2 4 2 2 2" xfId="26111"/>
    <cellStyle name="Input 33 2 4 2 2 2 2" xfId="47297"/>
    <cellStyle name="Input 33 2 4 2 2 3" xfId="36693"/>
    <cellStyle name="Input 33 2 4 2 3" xfId="20998"/>
    <cellStyle name="Input 33 2 4 2 3 2" xfId="42185"/>
    <cellStyle name="Input 33 2 4 2 4" xfId="31565"/>
    <cellStyle name="Input 33 2 4 2_Table 2A-1_EFT (Annual)" xfId="15304"/>
    <cellStyle name="Input 33 2 4 3" xfId="11467"/>
    <cellStyle name="Input 33 2 4 3 2" xfId="23565"/>
    <cellStyle name="Input 33 2 4 3 2 2" xfId="44751"/>
    <cellStyle name="Input 33 2 4 3 3" xfId="34147"/>
    <cellStyle name="Input 33 2 4 4" xfId="18452"/>
    <cellStyle name="Input 33 2 4 4 2" xfId="39639"/>
    <cellStyle name="Input 33 2 4 5" xfId="28822"/>
    <cellStyle name="Input 33 2 4_Table 2A-1_EFT (Annual)" xfId="7056"/>
    <cellStyle name="Input 33 2 5" xfId="4201"/>
    <cellStyle name="Input 33 2 5 2" xfId="12525"/>
    <cellStyle name="Input 33 2 5 2 2" xfId="24547"/>
    <cellStyle name="Input 33 2 5 2 2 2" xfId="45733"/>
    <cellStyle name="Input 33 2 5 2 3" xfId="35129"/>
    <cellStyle name="Input 33 2 5 3" xfId="19434"/>
    <cellStyle name="Input 33 2 5 3 2" xfId="40621"/>
    <cellStyle name="Input 33 2 5 4" xfId="29889"/>
    <cellStyle name="Input 33 2 5_Table 2A-1_EFT (Annual)" xfId="15305"/>
    <cellStyle name="Input 33 2 6" xfId="9864"/>
    <cellStyle name="Input 33 2 6 2" xfId="22001"/>
    <cellStyle name="Input 33 2 6 2 2" xfId="43187"/>
    <cellStyle name="Input 33 2 6 3" xfId="32583"/>
    <cellStyle name="Input 33 2 7" xfId="16888"/>
    <cellStyle name="Input 33 2 7 2" xfId="38075"/>
    <cellStyle name="Input 33 2 8" xfId="27146"/>
    <cellStyle name="Input 33 2_Table 2A-1_EFT (Annual)" xfId="3067"/>
    <cellStyle name="Input 33 3" xfId="470"/>
    <cellStyle name="Input 33 3 2" xfId="1447"/>
    <cellStyle name="Input 33 3 2 2" xfId="2717"/>
    <cellStyle name="Input 33 3 2 2 2" xfId="6278"/>
    <cellStyle name="Input 33 3 2 2 2 2" xfId="14472"/>
    <cellStyle name="Input 33 3 2 2 2 2 2" xfId="26444"/>
    <cellStyle name="Input 33 3 2 2 2 2 2 2" xfId="47630"/>
    <cellStyle name="Input 33 3 2 2 2 2 3" xfId="37026"/>
    <cellStyle name="Input 33 3 2 2 2 3" xfId="21331"/>
    <cellStyle name="Input 33 3 2 2 2 3 2" xfId="42518"/>
    <cellStyle name="Input 33 3 2 2 2 4" xfId="31934"/>
    <cellStyle name="Input 33 3 2 2 2_Table 2A-1_EFT (Annual)" xfId="15306"/>
    <cellStyle name="Input 33 3 2 2 3" xfId="11814"/>
    <cellStyle name="Input 33 3 2 2 3 2" xfId="23898"/>
    <cellStyle name="Input 33 3 2 2 3 2 2" xfId="45084"/>
    <cellStyle name="Input 33 3 2 2 3 3" xfId="34480"/>
    <cellStyle name="Input 33 3 2 2 4" xfId="18785"/>
    <cellStyle name="Input 33 3 2 2 4 2" xfId="39972"/>
    <cellStyle name="Input 33 3 2 2 5" xfId="29191"/>
    <cellStyle name="Input 33 3 2 2_Table 2A-1_EFT (Annual)" xfId="7058"/>
    <cellStyle name="Input 33 3 2 3" xfId="5008"/>
    <cellStyle name="Input 33 3 2 3 2" xfId="13268"/>
    <cellStyle name="Input 33 3 2 3 2 2" xfId="25274"/>
    <cellStyle name="Input 33 3 2 3 2 2 2" xfId="46460"/>
    <cellStyle name="Input 33 3 2 3 2 3" xfId="35856"/>
    <cellStyle name="Input 33 3 2 3 3" xfId="20161"/>
    <cellStyle name="Input 33 3 2 3 3 2" xfId="41348"/>
    <cellStyle name="Input 33 3 2 3 4" xfId="30665"/>
    <cellStyle name="Input 33 3 2 3_Table 2A-1_EFT (Annual)" xfId="15307"/>
    <cellStyle name="Input 33 3 2 4" xfId="10612"/>
    <cellStyle name="Input 33 3 2 4 2" xfId="22728"/>
    <cellStyle name="Input 33 3 2 4 2 2" xfId="43914"/>
    <cellStyle name="Input 33 3 2 4 3" xfId="33310"/>
    <cellStyle name="Input 33 3 2 5" xfId="17615"/>
    <cellStyle name="Input 33 3 2 5 2" xfId="38802"/>
    <cellStyle name="Input 33 3 2 6" xfId="27922"/>
    <cellStyle name="Input 33 3 2_Table 2A-1_EFT (Annual)" xfId="7057"/>
    <cellStyle name="Input 33 3 3" xfId="991"/>
    <cellStyle name="Input 33 3 3 2" xfId="4552"/>
    <cellStyle name="Input 33 3 3 2 2" xfId="12812"/>
    <cellStyle name="Input 33 3 3 2 2 2" xfId="24818"/>
    <cellStyle name="Input 33 3 3 2 2 2 2" xfId="46004"/>
    <cellStyle name="Input 33 3 3 2 2 3" xfId="35400"/>
    <cellStyle name="Input 33 3 3 2 3" xfId="19705"/>
    <cellStyle name="Input 33 3 3 2 3 2" xfId="40892"/>
    <cellStyle name="Input 33 3 3 2 4" xfId="30209"/>
    <cellStyle name="Input 33 3 3 2_Table 2A-1_EFT (Annual)" xfId="15308"/>
    <cellStyle name="Input 33 3 3 3" xfId="10156"/>
    <cellStyle name="Input 33 3 3 3 2" xfId="22272"/>
    <cellStyle name="Input 33 3 3 3 2 2" xfId="43458"/>
    <cellStyle name="Input 33 3 3 3 3" xfId="32854"/>
    <cellStyle name="Input 33 3 3 4" xfId="17159"/>
    <cellStyle name="Input 33 3 3 4 2" xfId="38346"/>
    <cellStyle name="Input 33 3 3 5" xfId="27466"/>
    <cellStyle name="Input 33 3 3_Table 2A-1_EFT (Annual)" xfId="7059"/>
    <cellStyle name="Input 33 3 4" xfId="2186"/>
    <cellStyle name="Input 33 3 4 2" xfId="5747"/>
    <cellStyle name="Input 33 3 4 2 2" xfId="13962"/>
    <cellStyle name="Input 33 3 4 2 2 2" xfId="25950"/>
    <cellStyle name="Input 33 3 4 2 2 2 2" xfId="47136"/>
    <cellStyle name="Input 33 3 4 2 2 3" xfId="36532"/>
    <cellStyle name="Input 33 3 4 2 3" xfId="20837"/>
    <cellStyle name="Input 33 3 4 2 3 2" xfId="42024"/>
    <cellStyle name="Input 33 3 4 2 4" xfId="31404"/>
    <cellStyle name="Input 33 3 4 2_Table 2A-1_EFT (Annual)" xfId="15309"/>
    <cellStyle name="Input 33 3 4 3" xfId="11306"/>
    <cellStyle name="Input 33 3 4 3 2" xfId="23404"/>
    <cellStyle name="Input 33 3 4 3 2 2" xfId="44590"/>
    <cellStyle name="Input 33 3 4 3 3" xfId="33986"/>
    <cellStyle name="Input 33 3 4 4" xfId="18291"/>
    <cellStyle name="Input 33 3 4 4 2" xfId="39478"/>
    <cellStyle name="Input 33 3 4 5" xfId="28661"/>
    <cellStyle name="Input 33 3 4_Table 2A-1_EFT (Annual)" xfId="7060"/>
    <cellStyle name="Input 33 3 5" xfId="4040"/>
    <cellStyle name="Input 33 3 5 2" xfId="12364"/>
    <cellStyle name="Input 33 3 5 2 2" xfId="24386"/>
    <cellStyle name="Input 33 3 5 2 2 2" xfId="45572"/>
    <cellStyle name="Input 33 3 5 2 3" xfId="34968"/>
    <cellStyle name="Input 33 3 5 3" xfId="19273"/>
    <cellStyle name="Input 33 3 5 3 2" xfId="40460"/>
    <cellStyle name="Input 33 3 5 4" xfId="29728"/>
    <cellStyle name="Input 33 3 5_Table 2A-1_EFT (Annual)" xfId="15310"/>
    <cellStyle name="Input 33 3 6" xfId="9703"/>
    <cellStyle name="Input 33 3 6 2" xfId="21840"/>
    <cellStyle name="Input 33 3 6 2 2" xfId="43026"/>
    <cellStyle name="Input 33 3 6 3" xfId="32422"/>
    <cellStyle name="Input 33 3 7" xfId="16727"/>
    <cellStyle name="Input 33 3 7 2" xfId="37914"/>
    <cellStyle name="Input 33 3 8" xfId="26985"/>
    <cellStyle name="Input 33 3_Table 2A-1_EFT (Annual)" xfId="3068"/>
    <cellStyle name="Input 33 4" xfId="1286"/>
    <cellStyle name="Input 33 4 2" xfId="2556"/>
    <cellStyle name="Input 33 4 2 2" xfId="6117"/>
    <cellStyle name="Input 33 4 2 2 2" xfId="14311"/>
    <cellStyle name="Input 33 4 2 2 2 2" xfId="26283"/>
    <cellStyle name="Input 33 4 2 2 2 2 2" xfId="47469"/>
    <cellStyle name="Input 33 4 2 2 2 3" xfId="36865"/>
    <cellStyle name="Input 33 4 2 2 3" xfId="21170"/>
    <cellStyle name="Input 33 4 2 2 3 2" xfId="42357"/>
    <cellStyle name="Input 33 4 2 2 4" xfId="31773"/>
    <cellStyle name="Input 33 4 2 2_Table 2A-1_EFT (Annual)" xfId="15311"/>
    <cellStyle name="Input 33 4 2 3" xfId="11653"/>
    <cellStyle name="Input 33 4 2 3 2" xfId="23737"/>
    <cellStyle name="Input 33 4 2 3 2 2" xfId="44923"/>
    <cellStyle name="Input 33 4 2 3 3" xfId="34319"/>
    <cellStyle name="Input 33 4 2 4" xfId="18624"/>
    <cellStyle name="Input 33 4 2 4 2" xfId="39811"/>
    <cellStyle name="Input 33 4 2 5" xfId="29030"/>
    <cellStyle name="Input 33 4 2_Table 2A-1_EFT (Annual)" xfId="7062"/>
    <cellStyle name="Input 33 4 3" xfId="4847"/>
    <cellStyle name="Input 33 4 3 2" xfId="13107"/>
    <cellStyle name="Input 33 4 3 2 2" xfId="25113"/>
    <cellStyle name="Input 33 4 3 2 2 2" xfId="46299"/>
    <cellStyle name="Input 33 4 3 2 3" xfId="35695"/>
    <cellStyle name="Input 33 4 3 3" xfId="20000"/>
    <cellStyle name="Input 33 4 3 3 2" xfId="41187"/>
    <cellStyle name="Input 33 4 3 4" xfId="30504"/>
    <cellStyle name="Input 33 4 3_Table 2A-1_EFT (Annual)" xfId="15312"/>
    <cellStyle name="Input 33 4 4" xfId="10451"/>
    <cellStyle name="Input 33 4 4 2" xfId="22567"/>
    <cellStyle name="Input 33 4 4 2 2" xfId="43753"/>
    <cellStyle name="Input 33 4 4 3" xfId="33149"/>
    <cellStyle name="Input 33 4 5" xfId="17454"/>
    <cellStyle name="Input 33 4 5 2" xfId="38641"/>
    <cellStyle name="Input 33 4 6" xfId="27761"/>
    <cellStyle name="Input 33 4_Table 2A-1_EFT (Annual)" xfId="7061"/>
    <cellStyle name="Input 33 5" xfId="836"/>
    <cellStyle name="Input 33 5 2" xfId="4397"/>
    <cellStyle name="Input 33 5 2 2" xfId="12671"/>
    <cellStyle name="Input 33 5 2 2 2" xfId="24688"/>
    <cellStyle name="Input 33 5 2 2 2 2" xfId="45874"/>
    <cellStyle name="Input 33 5 2 2 3" xfId="35270"/>
    <cellStyle name="Input 33 5 2 3" xfId="19575"/>
    <cellStyle name="Input 33 5 2 3 2" xfId="40762"/>
    <cellStyle name="Input 33 5 2 4" xfId="30054"/>
    <cellStyle name="Input 33 5 2_Table 2A-1_EFT (Annual)" xfId="15313"/>
    <cellStyle name="Input 33 5 3" xfId="10020"/>
    <cellStyle name="Input 33 5 3 2" xfId="22142"/>
    <cellStyle name="Input 33 5 3 2 2" xfId="43328"/>
    <cellStyle name="Input 33 5 3 3" xfId="32724"/>
    <cellStyle name="Input 33 5 4" xfId="17029"/>
    <cellStyle name="Input 33 5 4 2" xfId="38216"/>
    <cellStyle name="Input 33 5 5" xfId="27311"/>
    <cellStyle name="Input 33 5_Table 2A-1_EFT (Annual)" xfId="7063"/>
    <cellStyle name="Input 33 6" xfId="2025"/>
    <cellStyle name="Input 33 6 2" xfId="5586"/>
    <cellStyle name="Input 33 6 2 2" xfId="13801"/>
    <cellStyle name="Input 33 6 2 2 2" xfId="25789"/>
    <cellStyle name="Input 33 6 2 2 2 2" xfId="46975"/>
    <cellStyle name="Input 33 6 2 2 3" xfId="36371"/>
    <cellStyle name="Input 33 6 2 3" xfId="20676"/>
    <cellStyle name="Input 33 6 2 3 2" xfId="41863"/>
    <cellStyle name="Input 33 6 2 4" xfId="31243"/>
    <cellStyle name="Input 33 6 2_Table 2A-1_EFT (Annual)" xfId="15314"/>
    <cellStyle name="Input 33 6 3" xfId="11145"/>
    <cellStyle name="Input 33 6 3 2" xfId="23243"/>
    <cellStyle name="Input 33 6 3 2 2" xfId="44429"/>
    <cellStyle name="Input 33 6 3 3" xfId="33825"/>
    <cellStyle name="Input 33 6 4" xfId="18130"/>
    <cellStyle name="Input 33 6 4 2" xfId="39317"/>
    <cellStyle name="Input 33 6 5" xfId="28500"/>
    <cellStyle name="Input 33 6_Table 2A-1_EFT (Annual)" xfId="7064"/>
    <cellStyle name="Input 33 7" xfId="3833"/>
    <cellStyle name="Input 33 7 2" xfId="12196"/>
    <cellStyle name="Input 33 7 2 2" xfId="24225"/>
    <cellStyle name="Input 33 7 2 2 2" xfId="45411"/>
    <cellStyle name="Input 33 7 2 3" xfId="34807"/>
    <cellStyle name="Input 33 7 3" xfId="19112"/>
    <cellStyle name="Input 33 7 3 2" xfId="40299"/>
    <cellStyle name="Input 33 7 4" xfId="29542"/>
    <cellStyle name="Input 33 7_Table 2A-1_EFT (Annual)" xfId="15315"/>
    <cellStyle name="Input 33 8" xfId="9515"/>
    <cellStyle name="Input 33 8 2" xfId="21679"/>
    <cellStyle name="Input 33 8 2 2" xfId="42865"/>
    <cellStyle name="Input 33 8 3" xfId="32261"/>
    <cellStyle name="Input 33 9" xfId="16566"/>
    <cellStyle name="Input 33 9 2" xfId="37753"/>
    <cellStyle name="Input 33_Table 2A-1_EFT (Annual)" xfId="3066"/>
    <cellStyle name="Input 34" xfId="193"/>
    <cellStyle name="Input 34 2" xfId="586"/>
    <cellStyle name="Input 34 2 2" xfId="1563"/>
    <cellStyle name="Input 34 2 2 2" xfId="2833"/>
    <cellStyle name="Input 34 2 2 2 2" xfId="6394"/>
    <cellStyle name="Input 34 2 2 2 2 2" xfId="14588"/>
    <cellStyle name="Input 34 2 2 2 2 2 2" xfId="26560"/>
    <cellStyle name="Input 34 2 2 2 2 2 2 2" xfId="47746"/>
    <cellStyle name="Input 34 2 2 2 2 2 3" xfId="37142"/>
    <cellStyle name="Input 34 2 2 2 2 3" xfId="21447"/>
    <cellStyle name="Input 34 2 2 2 2 3 2" xfId="42634"/>
    <cellStyle name="Input 34 2 2 2 2 4" xfId="32050"/>
    <cellStyle name="Input 34 2 2 2 2_Table 2A-1_EFT (Annual)" xfId="15316"/>
    <cellStyle name="Input 34 2 2 2 3" xfId="11930"/>
    <cellStyle name="Input 34 2 2 2 3 2" xfId="24014"/>
    <cellStyle name="Input 34 2 2 2 3 2 2" xfId="45200"/>
    <cellStyle name="Input 34 2 2 2 3 3" xfId="34596"/>
    <cellStyle name="Input 34 2 2 2 4" xfId="18901"/>
    <cellStyle name="Input 34 2 2 2 4 2" xfId="40088"/>
    <cellStyle name="Input 34 2 2 2 5" xfId="29307"/>
    <cellStyle name="Input 34 2 2 2_Table 2A-1_EFT (Annual)" xfId="7066"/>
    <cellStyle name="Input 34 2 2 3" xfId="5124"/>
    <cellStyle name="Input 34 2 2 3 2" xfId="13384"/>
    <cellStyle name="Input 34 2 2 3 2 2" xfId="25390"/>
    <cellStyle name="Input 34 2 2 3 2 2 2" xfId="46576"/>
    <cellStyle name="Input 34 2 2 3 2 3" xfId="35972"/>
    <cellStyle name="Input 34 2 2 3 3" xfId="20277"/>
    <cellStyle name="Input 34 2 2 3 3 2" xfId="41464"/>
    <cellStyle name="Input 34 2 2 3 4" xfId="30781"/>
    <cellStyle name="Input 34 2 2 3_Table 2A-1_EFT (Annual)" xfId="15317"/>
    <cellStyle name="Input 34 2 2 4" xfId="10728"/>
    <cellStyle name="Input 34 2 2 4 2" xfId="22844"/>
    <cellStyle name="Input 34 2 2 4 2 2" xfId="44030"/>
    <cellStyle name="Input 34 2 2 4 3" xfId="33426"/>
    <cellStyle name="Input 34 2 2 5" xfId="17731"/>
    <cellStyle name="Input 34 2 2 5 2" xfId="38918"/>
    <cellStyle name="Input 34 2 2 6" xfId="28038"/>
    <cellStyle name="Input 34 2 2_Table 2A-1_EFT (Annual)" xfId="7065"/>
    <cellStyle name="Input 34 2 3" xfId="1085"/>
    <cellStyle name="Input 34 2 3 2" xfId="4646"/>
    <cellStyle name="Input 34 2 3 2 2" xfId="12906"/>
    <cellStyle name="Input 34 2 3 2 2 2" xfId="24912"/>
    <cellStyle name="Input 34 2 3 2 2 2 2" xfId="46098"/>
    <cellStyle name="Input 34 2 3 2 2 3" xfId="35494"/>
    <cellStyle name="Input 34 2 3 2 3" xfId="19799"/>
    <cellStyle name="Input 34 2 3 2 3 2" xfId="40986"/>
    <cellStyle name="Input 34 2 3 2 4" xfId="30303"/>
    <cellStyle name="Input 34 2 3 2_Table 2A-1_EFT (Annual)" xfId="15318"/>
    <cellStyle name="Input 34 2 3 3" xfId="10250"/>
    <cellStyle name="Input 34 2 3 3 2" xfId="22366"/>
    <cellStyle name="Input 34 2 3 3 2 2" xfId="43552"/>
    <cellStyle name="Input 34 2 3 3 3" xfId="32948"/>
    <cellStyle name="Input 34 2 3 4" xfId="17253"/>
    <cellStyle name="Input 34 2 3 4 2" xfId="38440"/>
    <cellStyle name="Input 34 2 3 5" xfId="27560"/>
    <cellStyle name="Input 34 2 3_Table 2A-1_EFT (Annual)" xfId="7067"/>
    <cellStyle name="Input 34 2 4" xfId="2302"/>
    <cellStyle name="Input 34 2 4 2" xfId="5863"/>
    <cellStyle name="Input 34 2 4 2 2" xfId="14078"/>
    <cellStyle name="Input 34 2 4 2 2 2" xfId="26066"/>
    <cellStyle name="Input 34 2 4 2 2 2 2" xfId="47252"/>
    <cellStyle name="Input 34 2 4 2 2 3" xfId="36648"/>
    <cellStyle name="Input 34 2 4 2 3" xfId="20953"/>
    <cellStyle name="Input 34 2 4 2 3 2" xfId="42140"/>
    <cellStyle name="Input 34 2 4 2 4" xfId="31520"/>
    <cellStyle name="Input 34 2 4 2_Table 2A-1_EFT (Annual)" xfId="15319"/>
    <cellStyle name="Input 34 2 4 3" xfId="11422"/>
    <cellStyle name="Input 34 2 4 3 2" xfId="23520"/>
    <cellStyle name="Input 34 2 4 3 2 2" xfId="44706"/>
    <cellStyle name="Input 34 2 4 3 3" xfId="34102"/>
    <cellStyle name="Input 34 2 4 4" xfId="18407"/>
    <cellStyle name="Input 34 2 4 4 2" xfId="39594"/>
    <cellStyle name="Input 34 2 4 5" xfId="28777"/>
    <cellStyle name="Input 34 2 4_Table 2A-1_EFT (Annual)" xfId="7068"/>
    <cellStyle name="Input 34 2 5" xfId="4156"/>
    <cellStyle name="Input 34 2 5 2" xfId="12480"/>
    <cellStyle name="Input 34 2 5 2 2" xfId="24502"/>
    <cellStyle name="Input 34 2 5 2 2 2" xfId="45688"/>
    <cellStyle name="Input 34 2 5 2 3" xfId="35084"/>
    <cellStyle name="Input 34 2 5 3" xfId="19389"/>
    <cellStyle name="Input 34 2 5 3 2" xfId="40576"/>
    <cellStyle name="Input 34 2 5 4" xfId="29844"/>
    <cellStyle name="Input 34 2 5_Table 2A-1_EFT (Annual)" xfId="15320"/>
    <cellStyle name="Input 34 2 6" xfId="9819"/>
    <cellStyle name="Input 34 2 6 2" xfId="21956"/>
    <cellStyle name="Input 34 2 6 2 2" xfId="43142"/>
    <cellStyle name="Input 34 2 6 3" xfId="32538"/>
    <cellStyle name="Input 34 2 7" xfId="16843"/>
    <cellStyle name="Input 34 2 7 2" xfId="38030"/>
    <cellStyle name="Input 34 2 8" xfId="27101"/>
    <cellStyle name="Input 34 2_Table 2A-1_EFT (Annual)" xfId="3070"/>
    <cellStyle name="Input 34 3" xfId="1241"/>
    <cellStyle name="Input 34 3 2" xfId="2511"/>
    <cellStyle name="Input 34 3 2 2" xfId="6072"/>
    <cellStyle name="Input 34 3 2 2 2" xfId="14266"/>
    <cellStyle name="Input 34 3 2 2 2 2" xfId="26238"/>
    <cellStyle name="Input 34 3 2 2 2 2 2" xfId="47424"/>
    <cellStyle name="Input 34 3 2 2 2 3" xfId="36820"/>
    <cellStyle name="Input 34 3 2 2 3" xfId="21125"/>
    <cellStyle name="Input 34 3 2 2 3 2" xfId="42312"/>
    <cellStyle name="Input 34 3 2 2 4" xfId="31728"/>
    <cellStyle name="Input 34 3 2 2_Table 2A-1_EFT (Annual)" xfId="15321"/>
    <cellStyle name="Input 34 3 2 3" xfId="11608"/>
    <cellStyle name="Input 34 3 2 3 2" xfId="23692"/>
    <cellStyle name="Input 34 3 2 3 2 2" xfId="44878"/>
    <cellStyle name="Input 34 3 2 3 3" xfId="34274"/>
    <cellStyle name="Input 34 3 2 4" xfId="18579"/>
    <cellStyle name="Input 34 3 2 4 2" xfId="39766"/>
    <cellStyle name="Input 34 3 2 5" xfId="28985"/>
    <cellStyle name="Input 34 3 2_Table 2A-1_EFT (Annual)" xfId="7070"/>
    <cellStyle name="Input 34 3 3" xfId="4802"/>
    <cellStyle name="Input 34 3 3 2" xfId="13062"/>
    <cellStyle name="Input 34 3 3 2 2" xfId="25068"/>
    <cellStyle name="Input 34 3 3 2 2 2" xfId="46254"/>
    <cellStyle name="Input 34 3 3 2 3" xfId="35650"/>
    <cellStyle name="Input 34 3 3 3" xfId="19955"/>
    <cellStyle name="Input 34 3 3 3 2" xfId="41142"/>
    <cellStyle name="Input 34 3 3 4" xfId="30459"/>
    <cellStyle name="Input 34 3 3_Table 2A-1_EFT (Annual)" xfId="15322"/>
    <cellStyle name="Input 34 3 4" xfId="10406"/>
    <cellStyle name="Input 34 3 4 2" xfId="22522"/>
    <cellStyle name="Input 34 3 4 2 2" xfId="43708"/>
    <cellStyle name="Input 34 3 4 3" xfId="33104"/>
    <cellStyle name="Input 34 3 5" xfId="17409"/>
    <cellStyle name="Input 34 3 5 2" xfId="38596"/>
    <cellStyle name="Input 34 3 6" xfId="27716"/>
    <cellStyle name="Input 34 3_Table 2A-1_EFT (Annual)" xfId="7069"/>
    <cellStyle name="Input 34 4" xfId="794"/>
    <cellStyle name="Input 34 4 2" xfId="4355"/>
    <cellStyle name="Input 34 4 2 2" xfId="12635"/>
    <cellStyle name="Input 34 4 2 2 2" xfId="24652"/>
    <cellStyle name="Input 34 4 2 2 2 2" xfId="45838"/>
    <cellStyle name="Input 34 4 2 2 3" xfId="35234"/>
    <cellStyle name="Input 34 4 2 3" xfId="19539"/>
    <cellStyle name="Input 34 4 2 3 2" xfId="40726"/>
    <cellStyle name="Input 34 4 2 4" xfId="30012"/>
    <cellStyle name="Input 34 4 2_Table 2A-1_EFT (Annual)" xfId="15323"/>
    <cellStyle name="Input 34 4 3" xfId="9983"/>
    <cellStyle name="Input 34 4 3 2" xfId="22106"/>
    <cellStyle name="Input 34 4 3 2 2" xfId="43292"/>
    <cellStyle name="Input 34 4 3 3" xfId="32688"/>
    <cellStyle name="Input 34 4 4" xfId="16993"/>
    <cellStyle name="Input 34 4 4 2" xfId="38180"/>
    <cellStyle name="Input 34 4 5" xfId="27269"/>
    <cellStyle name="Input 34 4_Table 2A-1_EFT (Annual)" xfId="7071"/>
    <cellStyle name="Input 34 5" xfId="1980"/>
    <cellStyle name="Input 34 5 2" xfId="5541"/>
    <cellStyle name="Input 34 5 2 2" xfId="13756"/>
    <cellStyle name="Input 34 5 2 2 2" xfId="25744"/>
    <cellStyle name="Input 34 5 2 2 2 2" xfId="46930"/>
    <cellStyle name="Input 34 5 2 2 3" xfId="36326"/>
    <cellStyle name="Input 34 5 2 3" xfId="20631"/>
    <cellStyle name="Input 34 5 2 3 2" xfId="41818"/>
    <cellStyle name="Input 34 5 2 4" xfId="31198"/>
    <cellStyle name="Input 34 5 2_Table 2A-1_EFT (Annual)" xfId="15324"/>
    <cellStyle name="Input 34 5 3" xfId="11100"/>
    <cellStyle name="Input 34 5 3 2" xfId="23198"/>
    <cellStyle name="Input 34 5 3 2 2" xfId="44384"/>
    <cellStyle name="Input 34 5 3 3" xfId="33780"/>
    <cellStyle name="Input 34 5 4" xfId="18085"/>
    <cellStyle name="Input 34 5 4 2" xfId="39272"/>
    <cellStyle name="Input 34 5 5" xfId="28455"/>
    <cellStyle name="Input 34 5_Table 2A-1_EFT (Annual)" xfId="7072"/>
    <cellStyle name="Input 34 6" xfId="3782"/>
    <cellStyle name="Input 34 6 2" xfId="12150"/>
    <cellStyle name="Input 34 6 2 2" xfId="24180"/>
    <cellStyle name="Input 34 6 2 2 2" xfId="45366"/>
    <cellStyle name="Input 34 6 2 3" xfId="34762"/>
    <cellStyle name="Input 34 6 3" xfId="19067"/>
    <cellStyle name="Input 34 6 3 2" xfId="40254"/>
    <cellStyle name="Input 34 6 4" xfId="29491"/>
    <cellStyle name="Input 34 6_Table 2A-1_EFT (Annual)" xfId="15325"/>
    <cellStyle name="Input 34 7" xfId="9469"/>
    <cellStyle name="Input 34 7 2" xfId="21634"/>
    <cellStyle name="Input 34 7 2 2" xfId="42820"/>
    <cellStyle name="Input 34 7 3" xfId="32216"/>
    <cellStyle name="Input 34 8" xfId="16521"/>
    <cellStyle name="Input 34 8 2" xfId="37708"/>
    <cellStyle name="Input 34 9" xfId="26748"/>
    <cellStyle name="Input 34_Table 2A-1_EFT (Annual)" xfId="3069"/>
    <cellStyle name="Input 35" xfId="289"/>
    <cellStyle name="Input 35 2" xfId="1295"/>
    <cellStyle name="Input 35 2 2" xfId="2565"/>
    <cellStyle name="Input 35 2 2 2" xfId="6126"/>
    <cellStyle name="Input 35 2 2 2 2" xfId="14320"/>
    <cellStyle name="Input 35 2 2 2 2 2" xfId="26292"/>
    <cellStyle name="Input 35 2 2 2 2 2 2" xfId="47478"/>
    <cellStyle name="Input 35 2 2 2 2 3" xfId="36874"/>
    <cellStyle name="Input 35 2 2 2 3" xfId="21179"/>
    <cellStyle name="Input 35 2 2 2 3 2" xfId="42366"/>
    <cellStyle name="Input 35 2 2 2 4" xfId="31782"/>
    <cellStyle name="Input 35 2 2 2_Table 2A-1_EFT (Annual)" xfId="15326"/>
    <cellStyle name="Input 35 2 2 3" xfId="11662"/>
    <cellStyle name="Input 35 2 2 3 2" xfId="23746"/>
    <cellStyle name="Input 35 2 2 3 2 2" xfId="44932"/>
    <cellStyle name="Input 35 2 2 3 3" xfId="34328"/>
    <cellStyle name="Input 35 2 2 4" xfId="18633"/>
    <cellStyle name="Input 35 2 2 4 2" xfId="39820"/>
    <cellStyle name="Input 35 2 2 5" xfId="29039"/>
    <cellStyle name="Input 35 2 2_Table 2A-1_EFT (Annual)" xfId="7074"/>
    <cellStyle name="Input 35 2 3" xfId="4856"/>
    <cellStyle name="Input 35 2 3 2" xfId="13116"/>
    <cellStyle name="Input 35 2 3 2 2" xfId="25122"/>
    <cellStyle name="Input 35 2 3 2 2 2" xfId="46308"/>
    <cellStyle name="Input 35 2 3 2 3" xfId="35704"/>
    <cellStyle name="Input 35 2 3 3" xfId="20009"/>
    <cellStyle name="Input 35 2 3 3 2" xfId="41196"/>
    <cellStyle name="Input 35 2 3 4" xfId="30513"/>
    <cellStyle name="Input 35 2 3_Table 2A-1_EFT (Annual)" xfId="15327"/>
    <cellStyle name="Input 35 2 4" xfId="10460"/>
    <cellStyle name="Input 35 2 4 2" xfId="22576"/>
    <cellStyle name="Input 35 2 4 2 2" xfId="43762"/>
    <cellStyle name="Input 35 2 4 3" xfId="33158"/>
    <cellStyle name="Input 35 2 5" xfId="17463"/>
    <cellStyle name="Input 35 2 5 2" xfId="38650"/>
    <cellStyle name="Input 35 2 6" xfId="27770"/>
    <cellStyle name="Input 35 2_Table 2A-1_EFT (Annual)" xfId="7073"/>
    <cellStyle name="Input 35 3" xfId="845"/>
    <cellStyle name="Input 35 3 2" xfId="4406"/>
    <cellStyle name="Input 35 3 2 2" xfId="12679"/>
    <cellStyle name="Input 35 3 2 2 2" xfId="24696"/>
    <cellStyle name="Input 35 3 2 2 2 2" xfId="45882"/>
    <cellStyle name="Input 35 3 2 2 3" xfId="35278"/>
    <cellStyle name="Input 35 3 2 3" xfId="19583"/>
    <cellStyle name="Input 35 3 2 3 2" xfId="40770"/>
    <cellStyle name="Input 35 3 2 4" xfId="30063"/>
    <cellStyle name="Input 35 3 2_Table 2A-1_EFT (Annual)" xfId="15328"/>
    <cellStyle name="Input 35 3 3" xfId="10028"/>
    <cellStyle name="Input 35 3 3 2" xfId="22150"/>
    <cellStyle name="Input 35 3 3 2 2" xfId="43336"/>
    <cellStyle name="Input 35 3 3 3" xfId="32732"/>
    <cellStyle name="Input 35 3 4" xfId="17037"/>
    <cellStyle name="Input 35 3 4 2" xfId="38224"/>
    <cellStyle name="Input 35 3 5" xfId="27320"/>
    <cellStyle name="Input 35 3_Table 2A-1_EFT (Annual)" xfId="7075"/>
    <cellStyle name="Input 35 4" xfId="2034"/>
    <cellStyle name="Input 35 4 2" xfId="5595"/>
    <cellStyle name="Input 35 4 2 2" xfId="13810"/>
    <cellStyle name="Input 35 4 2 2 2" xfId="25798"/>
    <cellStyle name="Input 35 4 2 2 2 2" xfId="46984"/>
    <cellStyle name="Input 35 4 2 2 3" xfId="36380"/>
    <cellStyle name="Input 35 4 2 3" xfId="20685"/>
    <cellStyle name="Input 35 4 2 3 2" xfId="41872"/>
    <cellStyle name="Input 35 4 2 4" xfId="31252"/>
    <cellStyle name="Input 35 4 2_Table 2A-1_EFT (Annual)" xfId="15329"/>
    <cellStyle name="Input 35 4 3" xfId="11154"/>
    <cellStyle name="Input 35 4 3 2" xfId="23252"/>
    <cellStyle name="Input 35 4 3 2 2" xfId="44438"/>
    <cellStyle name="Input 35 4 3 3" xfId="33834"/>
    <cellStyle name="Input 35 4 4" xfId="18139"/>
    <cellStyle name="Input 35 4 4 2" xfId="39326"/>
    <cellStyle name="Input 35 4 5" xfId="28509"/>
    <cellStyle name="Input 35 4_Table 2A-1_EFT (Annual)" xfId="7076"/>
    <cellStyle name="Input 35 5" xfId="3861"/>
    <cellStyle name="Input 35 5 2" xfId="12205"/>
    <cellStyle name="Input 35 5 2 2" xfId="24234"/>
    <cellStyle name="Input 35 5 2 2 2" xfId="45420"/>
    <cellStyle name="Input 35 5 2 3" xfId="34816"/>
    <cellStyle name="Input 35 5 3" xfId="19121"/>
    <cellStyle name="Input 35 5 3 2" xfId="40308"/>
    <cellStyle name="Input 35 5 4" xfId="29552"/>
    <cellStyle name="Input 35 5_Table 2A-1_EFT (Annual)" xfId="15330"/>
    <cellStyle name="Input 35 6" xfId="9539"/>
    <cellStyle name="Input 35 6 2" xfId="21688"/>
    <cellStyle name="Input 35 6 2 2" xfId="42874"/>
    <cellStyle name="Input 35 6 3" xfId="32270"/>
    <cellStyle name="Input 35 7" xfId="16575"/>
    <cellStyle name="Input 35 7 2" xfId="37762"/>
    <cellStyle name="Input 35 8" xfId="26809"/>
    <cellStyle name="Input 35_Table 2A-1_EFT (Annual)" xfId="3071"/>
    <cellStyle name="Input 36" xfId="642"/>
    <cellStyle name="Input 36 2" xfId="1619"/>
    <cellStyle name="Input 36 2 2" xfId="2889"/>
    <cellStyle name="Input 36 2 2 2" xfId="6450"/>
    <cellStyle name="Input 36 2 2 2 2" xfId="14644"/>
    <cellStyle name="Input 36 2 2 2 2 2" xfId="26616"/>
    <cellStyle name="Input 36 2 2 2 2 2 2" xfId="47802"/>
    <cellStyle name="Input 36 2 2 2 2 3" xfId="37198"/>
    <cellStyle name="Input 36 2 2 2 3" xfId="21503"/>
    <cellStyle name="Input 36 2 2 2 3 2" xfId="42690"/>
    <cellStyle name="Input 36 2 2 2 4" xfId="32106"/>
    <cellStyle name="Input 36 2 2 2_Table 2A-1_EFT (Annual)" xfId="15331"/>
    <cellStyle name="Input 36 2 2 3" xfId="11986"/>
    <cellStyle name="Input 36 2 2 3 2" xfId="24070"/>
    <cellStyle name="Input 36 2 2 3 2 2" xfId="45256"/>
    <cellStyle name="Input 36 2 2 3 3" xfId="34652"/>
    <cellStyle name="Input 36 2 2 4" xfId="18957"/>
    <cellStyle name="Input 36 2 2 4 2" xfId="40144"/>
    <cellStyle name="Input 36 2 2 5" xfId="29363"/>
    <cellStyle name="Input 36 2 2_Table 2A-1_EFT (Annual)" xfId="7078"/>
    <cellStyle name="Input 36 2 3" xfId="5180"/>
    <cellStyle name="Input 36 2 3 2" xfId="13440"/>
    <cellStyle name="Input 36 2 3 2 2" xfId="25446"/>
    <cellStyle name="Input 36 2 3 2 2 2" xfId="46632"/>
    <cellStyle name="Input 36 2 3 2 3" xfId="36028"/>
    <cellStyle name="Input 36 2 3 3" xfId="20333"/>
    <cellStyle name="Input 36 2 3 3 2" xfId="41520"/>
    <cellStyle name="Input 36 2 3 4" xfId="30837"/>
    <cellStyle name="Input 36 2 3_Table 2A-1_EFT (Annual)" xfId="15332"/>
    <cellStyle name="Input 36 2 4" xfId="10784"/>
    <cellStyle name="Input 36 2 4 2" xfId="22900"/>
    <cellStyle name="Input 36 2 4 2 2" xfId="44086"/>
    <cellStyle name="Input 36 2 4 3" xfId="33482"/>
    <cellStyle name="Input 36 2 5" xfId="17787"/>
    <cellStyle name="Input 36 2 5 2" xfId="38974"/>
    <cellStyle name="Input 36 2 6" xfId="28094"/>
    <cellStyle name="Input 36 2_Table 2A-1_EFT (Annual)" xfId="7077"/>
    <cellStyle name="Input 36 3" xfId="1131"/>
    <cellStyle name="Input 36 3 2" xfId="4692"/>
    <cellStyle name="Input 36 3 2 2" xfId="12952"/>
    <cellStyle name="Input 36 3 2 2 2" xfId="24958"/>
    <cellStyle name="Input 36 3 2 2 2 2" xfId="46144"/>
    <cellStyle name="Input 36 3 2 2 3" xfId="35540"/>
    <cellStyle name="Input 36 3 2 3" xfId="19845"/>
    <cellStyle name="Input 36 3 2 3 2" xfId="41032"/>
    <cellStyle name="Input 36 3 2 4" xfId="30349"/>
    <cellStyle name="Input 36 3 2_Table 2A-1_EFT (Annual)" xfId="15333"/>
    <cellStyle name="Input 36 3 3" xfId="10296"/>
    <cellStyle name="Input 36 3 3 2" xfId="22412"/>
    <cellStyle name="Input 36 3 3 2 2" xfId="43598"/>
    <cellStyle name="Input 36 3 3 3" xfId="32994"/>
    <cellStyle name="Input 36 3 4" xfId="17299"/>
    <cellStyle name="Input 36 3 4 2" xfId="38486"/>
    <cellStyle name="Input 36 3 5" xfId="27606"/>
    <cellStyle name="Input 36 3_Table 2A-1_EFT (Annual)" xfId="7079"/>
    <cellStyle name="Input 36 4" xfId="2358"/>
    <cellStyle name="Input 36 4 2" xfId="5919"/>
    <cellStyle name="Input 36 4 2 2" xfId="14134"/>
    <cellStyle name="Input 36 4 2 2 2" xfId="26122"/>
    <cellStyle name="Input 36 4 2 2 2 2" xfId="47308"/>
    <cellStyle name="Input 36 4 2 2 3" xfId="36704"/>
    <cellStyle name="Input 36 4 2 3" xfId="21009"/>
    <cellStyle name="Input 36 4 2 3 2" xfId="42196"/>
    <cellStyle name="Input 36 4 2 4" xfId="31576"/>
    <cellStyle name="Input 36 4 2_Table 2A-1_EFT (Annual)" xfId="15334"/>
    <cellStyle name="Input 36 4 3" xfId="11478"/>
    <cellStyle name="Input 36 4 3 2" xfId="23576"/>
    <cellStyle name="Input 36 4 3 2 2" xfId="44762"/>
    <cellStyle name="Input 36 4 3 3" xfId="34158"/>
    <cellStyle name="Input 36 4 4" xfId="18463"/>
    <cellStyle name="Input 36 4 4 2" xfId="39650"/>
    <cellStyle name="Input 36 4 5" xfId="28833"/>
    <cellStyle name="Input 36 4_Table 2A-1_EFT (Annual)" xfId="7080"/>
    <cellStyle name="Input 36 5" xfId="4212"/>
    <cellStyle name="Input 36 5 2" xfId="12536"/>
    <cellStyle name="Input 36 5 2 2" xfId="24558"/>
    <cellStyle name="Input 36 5 2 2 2" xfId="45744"/>
    <cellStyle name="Input 36 5 2 3" xfId="35140"/>
    <cellStyle name="Input 36 5 3" xfId="19445"/>
    <cellStyle name="Input 36 5 3 2" xfId="40632"/>
    <cellStyle name="Input 36 5 4" xfId="29900"/>
    <cellStyle name="Input 36 5_Table 2A-1_EFT (Annual)" xfId="15335"/>
    <cellStyle name="Input 36 6" xfId="9875"/>
    <cellStyle name="Input 36 6 2" xfId="22012"/>
    <cellStyle name="Input 36 6 2 2" xfId="43198"/>
    <cellStyle name="Input 36 6 3" xfId="32594"/>
    <cellStyle name="Input 36 7" xfId="16899"/>
    <cellStyle name="Input 36 7 2" xfId="38086"/>
    <cellStyle name="Input 36 8" xfId="27157"/>
    <cellStyle name="Input 36_Table 2A-1_EFT (Annual)" xfId="3072"/>
    <cellStyle name="Input 37" xfId="693"/>
    <cellStyle name="Input 37 2" xfId="2362"/>
    <cellStyle name="Input 37 2 2" xfId="5923"/>
    <cellStyle name="Input 37 2 2 2" xfId="14137"/>
    <cellStyle name="Input 37 2 2 2 2" xfId="26125"/>
    <cellStyle name="Input 37 2 2 2 2 2" xfId="47311"/>
    <cellStyle name="Input 37 2 2 2 3" xfId="36707"/>
    <cellStyle name="Input 37 2 2 3" xfId="21012"/>
    <cellStyle name="Input 37 2 2 3 2" xfId="42199"/>
    <cellStyle name="Input 37 2 2 4" xfId="31579"/>
    <cellStyle name="Input 37 2 2_Table 2A-1_EFT (Annual)" xfId="15336"/>
    <cellStyle name="Input 37 2 3" xfId="11482"/>
    <cellStyle name="Input 37 2 3 2" xfId="23579"/>
    <cellStyle name="Input 37 2 3 2 2" xfId="44765"/>
    <cellStyle name="Input 37 2 3 3" xfId="34161"/>
    <cellStyle name="Input 37 2 4" xfId="18466"/>
    <cellStyle name="Input 37 2 4 2" xfId="39653"/>
    <cellStyle name="Input 37 2 5" xfId="28836"/>
    <cellStyle name="Input 37 2_Table 2A-1_EFT (Annual)" xfId="7082"/>
    <cellStyle name="Input 37 3" xfId="4257"/>
    <cellStyle name="Input 37 3 2" xfId="12543"/>
    <cellStyle name="Input 37 3 2 2" xfId="24561"/>
    <cellStyle name="Input 37 3 2 2 2" xfId="45747"/>
    <cellStyle name="Input 37 3 2 3" xfId="35143"/>
    <cellStyle name="Input 37 3 3" xfId="19448"/>
    <cellStyle name="Input 37 3 3 2" xfId="40635"/>
    <cellStyle name="Input 37 3 4" xfId="29916"/>
    <cellStyle name="Input 37 3_Table 2A-1_EFT (Annual)" xfId="15337"/>
    <cellStyle name="Input 37 4" xfId="9889"/>
    <cellStyle name="Input 37 4 2" xfId="22015"/>
    <cellStyle name="Input 37 4 2 2" xfId="43201"/>
    <cellStyle name="Input 37 4 3" xfId="32597"/>
    <cellStyle name="Input 37 5" xfId="16902"/>
    <cellStyle name="Input 37 5 2" xfId="38089"/>
    <cellStyle name="Input 37 6" xfId="27173"/>
    <cellStyle name="Input 37_Table 2A-1_EFT (Annual)" xfId="7081"/>
    <cellStyle name="Input 38" xfId="16007"/>
    <cellStyle name="Input 38 2" xfId="37202"/>
    <cellStyle name="Input 39" xfId="47806"/>
    <cellStyle name="Input 4" xfId="88"/>
    <cellStyle name="Input 4 10" xfId="21521"/>
    <cellStyle name="Input 4 10 2" xfId="42708"/>
    <cellStyle name="Input 4 11" xfId="26644"/>
    <cellStyle name="Input 4 2" xfId="487"/>
    <cellStyle name="Input 4 2 2" xfId="1464"/>
    <cellStyle name="Input 4 2 2 2" xfId="2734"/>
    <cellStyle name="Input 4 2 2 2 2" xfId="6295"/>
    <cellStyle name="Input 4 2 2 2 2 2" xfId="14489"/>
    <cellStyle name="Input 4 2 2 2 2 2 2" xfId="26461"/>
    <cellStyle name="Input 4 2 2 2 2 2 2 2" xfId="47647"/>
    <cellStyle name="Input 4 2 2 2 2 2 3" xfId="37043"/>
    <cellStyle name="Input 4 2 2 2 2 3" xfId="21348"/>
    <cellStyle name="Input 4 2 2 2 2 3 2" xfId="42535"/>
    <cellStyle name="Input 4 2 2 2 2 4" xfId="31951"/>
    <cellStyle name="Input 4 2 2 2 2_Table 2A-1_EFT (Annual)" xfId="15338"/>
    <cellStyle name="Input 4 2 2 2 3" xfId="11831"/>
    <cellStyle name="Input 4 2 2 2 3 2" xfId="23915"/>
    <cellStyle name="Input 4 2 2 2 3 2 2" xfId="45101"/>
    <cellStyle name="Input 4 2 2 2 3 3" xfId="34497"/>
    <cellStyle name="Input 4 2 2 2 4" xfId="18802"/>
    <cellStyle name="Input 4 2 2 2 4 2" xfId="39989"/>
    <cellStyle name="Input 4 2 2 2 5" xfId="29208"/>
    <cellStyle name="Input 4 2 2 2_Table 2A-1_EFT (Annual)" xfId="7084"/>
    <cellStyle name="Input 4 2 2 3" xfId="5025"/>
    <cellStyle name="Input 4 2 2 3 2" xfId="13285"/>
    <cellStyle name="Input 4 2 2 3 2 2" xfId="25291"/>
    <cellStyle name="Input 4 2 2 3 2 2 2" xfId="46477"/>
    <cellStyle name="Input 4 2 2 3 2 3" xfId="35873"/>
    <cellStyle name="Input 4 2 2 3 3" xfId="20178"/>
    <cellStyle name="Input 4 2 2 3 3 2" xfId="41365"/>
    <cellStyle name="Input 4 2 2 3 4" xfId="30682"/>
    <cellStyle name="Input 4 2 2 3_Table 2A-1_EFT (Annual)" xfId="15339"/>
    <cellStyle name="Input 4 2 2 4" xfId="10629"/>
    <cellStyle name="Input 4 2 2 4 2" xfId="22745"/>
    <cellStyle name="Input 4 2 2 4 2 2" xfId="43931"/>
    <cellStyle name="Input 4 2 2 4 3" xfId="33327"/>
    <cellStyle name="Input 4 2 2 5" xfId="17632"/>
    <cellStyle name="Input 4 2 2 5 2" xfId="38819"/>
    <cellStyle name="Input 4 2 2 6" xfId="27939"/>
    <cellStyle name="Input 4 2 2_Table 2A-1_EFT (Annual)" xfId="7083"/>
    <cellStyle name="Input 4 2 3" xfId="1005"/>
    <cellStyle name="Input 4 2 3 2" xfId="4566"/>
    <cellStyle name="Input 4 2 3 2 2" xfId="12826"/>
    <cellStyle name="Input 4 2 3 2 2 2" xfId="24832"/>
    <cellStyle name="Input 4 2 3 2 2 2 2" xfId="46018"/>
    <cellStyle name="Input 4 2 3 2 2 3" xfId="35414"/>
    <cellStyle name="Input 4 2 3 2 3" xfId="19719"/>
    <cellStyle name="Input 4 2 3 2 3 2" xfId="40906"/>
    <cellStyle name="Input 4 2 3 2 4" xfId="30223"/>
    <cellStyle name="Input 4 2 3 2_Table 2A-1_EFT (Annual)" xfId="15340"/>
    <cellStyle name="Input 4 2 3 3" xfId="10170"/>
    <cellStyle name="Input 4 2 3 3 2" xfId="22286"/>
    <cellStyle name="Input 4 2 3 3 2 2" xfId="43472"/>
    <cellStyle name="Input 4 2 3 3 3" xfId="32868"/>
    <cellStyle name="Input 4 2 3 4" xfId="17173"/>
    <cellStyle name="Input 4 2 3 4 2" xfId="38360"/>
    <cellStyle name="Input 4 2 3 5" xfId="27480"/>
    <cellStyle name="Input 4 2 3_Table 2A-1_EFT (Annual)" xfId="7085"/>
    <cellStyle name="Input 4 2 4" xfId="2203"/>
    <cellStyle name="Input 4 2 4 2" xfId="5764"/>
    <cellStyle name="Input 4 2 4 2 2" xfId="13979"/>
    <cellStyle name="Input 4 2 4 2 2 2" xfId="25967"/>
    <cellStyle name="Input 4 2 4 2 2 2 2" xfId="47153"/>
    <cellStyle name="Input 4 2 4 2 2 3" xfId="36549"/>
    <cellStyle name="Input 4 2 4 2 3" xfId="20854"/>
    <cellStyle name="Input 4 2 4 2 3 2" xfId="42041"/>
    <cellStyle name="Input 4 2 4 2 4" xfId="31421"/>
    <cellStyle name="Input 4 2 4 2_Table 2A-1_EFT (Annual)" xfId="15341"/>
    <cellStyle name="Input 4 2 4 3" xfId="11323"/>
    <cellStyle name="Input 4 2 4 3 2" xfId="23421"/>
    <cellStyle name="Input 4 2 4 3 2 2" xfId="44607"/>
    <cellStyle name="Input 4 2 4 3 3" xfId="34003"/>
    <cellStyle name="Input 4 2 4 4" xfId="18308"/>
    <cellStyle name="Input 4 2 4 4 2" xfId="39495"/>
    <cellStyle name="Input 4 2 4 5" xfId="28678"/>
    <cellStyle name="Input 4 2 4_Table 2A-1_EFT (Annual)" xfId="7086"/>
    <cellStyle name="Input 4 2 5" xfId="4057"/>
    <cellStyle name="Input 4 2 5 2" xfId="12381"/>
    <cellStyle name="Input 4 2 5 2 2" xfId="24403"/>
    <cellStyle name="Input 4 2 5 2 2 2" xfId="45589"/>
    <cellStyle name="Input 4 2 5 2 3" xfId="34985"/>
    <cellStyle name="Input 4 2 5 3" xfId="19290"/>
    <cellStyle name="Input 4 2 5 3 2" xfId="40477"/>
    <cellStyle name="Input 4 2 5 4" xfId="29745"/>
    <cellStyle name="Input 4 2 5_Table 2A-1_EFT (Annual)" xfId="15342"/>
    <cellStyle name="Input 4 2 6" xfId="9720"/>
    <cellStyle name="Input 4 2 6 2" xfId="21857"/>
    <cellStyle name="Input 4 2 6 2 2" xfId="43043"/>
    <cellStyle name="Input 4 2 6 3" xfId="32439"/>
    <cellStyle name="Input 4 2 7" xfId="16744"/>
    <cellStyle name="Input 4 2 7 2" xfId="37931"/>
    <cellStyle name="Input 4 2 8" xfId="27002"/>
    <cellStyle name="Input 4 2_Table 2A-1_EFT (Annual)" xfId="3074"/>
    <cellStyle name="Input 4 3" xfId="320"/>
    <cellStyle name="Input 4 3 2" xfId="1308"/>
    <cellStyle name="Input 4 3 2 2" xfId="2578"/>
    <cellStyle name="Input 4 3 2 2 2" xfId="6139"/>
    <cellStyle name="Input 4 3 2 2 2 2" xfId="14333"/>
    <cellStyle name="Input 4 3 2 2 2 2 2" xfId="26305"/>
    <cellStyle name="Input 4 3 2 2 2 2 2 2" xfId="47491"/>
    <cellStyle name="Input 4 3 2 2 2 2 3" xfId="36887"/>
    <cellStyle name="Input 4 3 2 2 2 3" xfId="21192"/>
    <cellStyle name="Input 4 3 2 2 2 3 2" xfId="42379"/>
    <cellStyle name="Input 4 3 2 2 2 4" xfId="31795"/>
    <cellStyle name="Input 4 3 2 2 2_Table 2A-1_EFT (Annual)" xfId="15343"/>
    <cellStyle name="Input 4 3 2 2 3" xfId="11675"/>
    <cellStyle name="Input 4 3 2 2 3 2" xfId="23759"/>
    <cellStyle name="Input 4 3 2 2 3 2 2" xfId="44945"/>
    <cellStyle name="Input 4 3 2 2 3 3" xfId="34341"/>
    <cellStyle name="Input 4 3 2 2 4" xfId="18646"/>
    <cellStyle name="Input 4 3 2 2 4 2" xfId="39833"/>
    <cellStyle name="Input 4 3 2 2 5" xfId="29052"/>
    <cellStyle name="Input 4 3 2 2_Table 2A-1_EFT (Annual)" xfId="7088"/>
    <cellStyle name="Input 4 3 2 3" xfId="4869"/>
    <cellStyle name="Input 4 3 2 3 2" xfId="13129"/>
    <cellStyle name="Input 4 3 2 3 2 2" xfId="25135"/>
    <cellStyle name="Input 4 3 2 3 2 2 2" xfId="46321"/>
    <cellStyle name="Input 4 3 2 3 2 3" xfId="35717"/>
    <cellStyle name="Input 4 3 2 3 3" xfId="20022"/>
    <cellStyle name="Input 4 3 2 3 3 2" xfId="41209"/>
    <cellStyle name="Input 4 3 2 3 4" xfId="30526"/>
    <cellStyle name="Input 4 3 2 3_Table 2A-1_EFT (Annual)" xfId="15344"/>
    <cellStyle name="Input 4 3 2 4" xfId="10473"/>
    <cellStyle name="Input 4 3 2 4 2" xfId="22589"/>
    <cellStyle name="Input 4 3 2 4 2 2" xfId="43775"/>
    <cellStyle name="Input 4 3 2 4 3" xfId="33171"/>
    <cellStyle name="Input 4 3 2 5" xfId="17476"/>
    <cellStyle name="Input 4 3 2 5 2" xfId="38663"/>
    <cellStyle name="Input 4 3 2 6" xfId="27783"/>
    <cellStyle name="Input 4 3 2_Table 2A-1_EFT (Annual)" xfId="7087"/>
    <cellStyle name="Input 4 3 3" xfId="868"/>
    <cellStyle name="Input 4 3 3 2" xfId="4429"/>
    <cellStyle name="Input 4 3 3 2 2" xfId="12694"/>
    <cellStyle name="Input 4 3 3 2 2 2" xfId="24706"/>
    <cellStyle name="Input 4 3 3 2 2 2 2" xfId="45892"/>
    <cellStyle name="Input 4 3 3 2 2 3" xfId="35288"/>
    <cellStyle name="Input 4 3 3 2 3" xfId="19593"/>
    <cellStyle name="Input 4 3 3 2 3 2" xfId="40780"/>
    <cellStyle name="Input 4 3 3 2 4" xfId="30086"/>
    <cellStyle name="Input 4 3 3 2_Table 2A-1_EFT (Annual)" xfId="15345"/>
    <cellStyle name="Input 4 3 3 3" xfId="10041"/>
    <cellStyle name="Input 4 3 3 3 2" xfId="22160"/>
    <cellStyle name="Input 4 3 3 3 2 2" xfId="43346"/>
    <cellStyle name="Input 4 3 3 3 3" xfId="32742"/>
    <cellStyle name="Input 4 3 3 4" xfId="17047"/>
    <cellStyle name="Input 4 3 3 4 2" xfId="38234"/>
    <cellStyle name="Input 4 3 3 5" xfId="27343"/>
    <cellStyle name="Input 4 3 3_Table 2A-1_EFT (Annual)" xfId="7089"/>
    <cellStyle name="Input 4 3 4" xfId="2047"/>
    <cellStyle name="Input 4 3 4 2" xfId="5608"/>
    <cellStyle name="Input 4 3 4 2 2" xfId="13823"/>
    <cellStyle name="Input 4 3 4 2 2 2" xfId="25811"/>
    <cellStyle name="Input 4 3 4 2 2 2 2" xfId="46997"/>
    <cellStyle name="Input 4 3 4 2 2 3" xfId="36393"/>
    <cellStyle name="Input 4 3 4 2 3" xfId="20698"/>
    <cellStyle name="Input 4 3 4 2 3 2" xfId="41885"/>
    <cellStyle name="Input 4 3 4 2 4" xfId="31265"/>
    <cellStyle name="Input 4 3 4 2_Table 2A-1_EFT (Annual)" xfId="15346"/>
    <cellStyle name="Input 4 3 4 3" xfId="11167"/>
    <cellStyle name="Input 4 3 4 3 2" xfId="23265"/>
    <cellStyle name="Input 4 3 4 3 2 2" xfId="44451"/>
    <cellStyle name="Input 4 3 4 3 3" xfId="33847"/>
    <cellStyle name="Input 4 3 4 4" xfId="18152"/>
    <cellStyle name="Input 4 3 4 4 2" xfId="39339"/>
    <cellStyle name="Input 4 3 4 5" xfId="28522"/>
    <cellStyle name="Input 4 3 4_Table 2A-1_EFT (Annual)" xfId="7090"/>
    <cellStyle name="Input 4 3 5" xfId="3890"/>
    <cellStyle name="Input 4 3 5 2" xfId="12222"/>
    <cellStyle name="Input 4 3 5 2 2" xfId="24247"/>
    <cellStyle name="Input 4 3 5 2 2 2" xfId="45433"/>
    <cellStyle name="Input 4 3 5 2 3" xfId="34829"/>
    <cellStyle name="Input 4 3 5 3" xfId="19134"/>
    <cellStyle name="Input 4 3 5 3 2" xfId="40321"/>
    <cellStyle name="Input 4 3 5 4" xfId="29578"/>
    <cellStyle name="Input 4 3 5_Table 2A-1_EFT (Annual)" xfId="15347"/>
    <cellStyle name="Input 4 3 6" xfId="9559"/>
    <cellStyle name="Input 4 3 6 2" xfId="21701"/>
    <cellStyle name="Input 4 3 6 2 2" xfId="42887"/>
    <cellStyle name="Input 4 3 6 3" xfId="32283"/>
    <cellStyle name="Input 4 3 7" xfId="16588"/>
    <cellStyle name="Input 4 3 7 2" xfId="37775"/>
    <cellStyle name="Input 4 3 8" xfId="26835"/>
    <cellStyle name="Input 4 3_Table 2A-1_EFT (Annual)" xfId="3075"/>
    <cellStyle name="Input 4 4" xfId="1142"/>
    <cellStyle name="Input 4 4 2" xfId="2412"/>
    <cellStyle name="Input 4 4 2 2" xfId="5973"/>
    <cellStyle name="Input 4 4 2 2 2" xfId="14167"/>
    <cellStyle name="Input 4 4 2 2 2 2" xfId="26139"/>
    <cellStyle name="Input 4 4 2 2 2 2 2" xfId="47325"/>
    <cellStyle name="Input 4 4 2 2 2 3" xfId="36721"/>
    <cellStyle name="Input 4 4 2 2 3" xfId="21026"/>
    <cellStyle name="Input 4 4 2 2 3 2" xfId="42213"/>
    <cellStyle name="Input 4 4 2 2 4" xfId="31629"/>
    <cellStyle name="Input 4 4 2 2_Table 2A-1_EFT (Annual)" xfId="15348"/>
    <cellStyle name="Input 4 4 2 3" xfId="11509"/>
    <cellStyle name="Input 4 4 2 3 2" xfId="23593"/>
    <cellStyle name="Input 4 4 2 3 2 2" xfId="44779"/>
    <cellStyle name="Input 4 4 2 3 3" xfId="34175"/>
    <cellStyle name="Input 4 4 2 4" xfId="18480"/>
    <cellStyle name="Input 4 4 2 4 2" xfId="39667"/>
    <cellStyle name="Input 4 4 2 5" xfId="28886"/>
    <cellStyle name="Input 4 4 2_Table 2A-1_EFT (Annual)" xfId="7092"/>
    <cellStyle name="Input 4 4 3" xfId="4703"/>
    <cellStyle name="Input 4 4 3 2" xfId="12963"/>
    <cellStyle name="Input 4 4 3 2 2" xfId="24969"/>
    <cellStyle name="Input 4 4 3 2 2 2" xfId="46155"/>
    <cellStyle name="Input 4 4 3 2 3" xfId="35551"/>
    <cellStyle name="Input 4 4 3 3" xfId="19856"/>
    <cellStyle name="Input 4 4 3 3 2" xfId="41043"/>
    <cellStyle name="Input 4 4 3 4" xfId="30360"/>
    <cellStyle name="Input 4 4 3_Table 2A-1_EFT (Annual)" xfId="15349"/>
    <cellStyle name="Input 4 4 4" xfId="10307"/>
    <cellStyle name="Input 4 4 4 2" xfId="22423"/>
    <cellStyle name="Input 4 4 4 2 2" xfId="43609"/>
    <cellStyle name="Input 4 4 4 3" xfId="33005"/>
    <cellStyle name="Input 4 4 5" xfId="17310"/>
    <cellStyle name="Input 4 4 5 2" xfId="38497"/>
    <cellStyle name="Input 4 4 6" xfId="27617"/>
    <cellStyle name="Input 4 4_Table 2A-1_EFT (Annual)" xfId="7091"/>
    <cellStyle name="Input 4 5" xfId="709"/>
    <cellStyle name="Input 4 5 2" xfId="4270"/>
    <cellStyle name="Input 4 5 2 2" xfId="12554"/>
    <cellStyle name="Input 4 5 2 2 2" xfId="24572"/>
    <cellStyle name="Input 4 5 2 2 2 2" xfId="45758"/>
    <cellStyle name="Input 4 5 2 2 3" xfId="35154"/>
    <cellStyle name="Input 4 5 2 3" xfId="19459"/>
    <cellStyle name="Input 4 5 2 3 2" xfId="40646"/>
    <cellStyle name="Input 4 5 2 4" xfId="29927"/>
    <cellStyle name="Input 4 5 2_Table 2A-1_EFT (Annual)" xfId="15350"/>
    <cellStyle name="Input 4 5 3" xfId="9901"/>
    <cellStyle name="Input 4 5 3 2" xfId="22026"/>
    <cellStyle name="Input 4 5 3 2 2" xfId="43212"/>
    <cellStyle name="Input 4 5 3 3" xfId="32608"/>
    <cellStyle name="Input 4 5 4" xfId="16913"/>
    <cellStyle name="Input 4 5 4 2" xfId="38100"/>
    <cellStyle name="Input 4 5 5" xfId="27184"/>
    <cellStyle name="Input 4 5_Table 2A-1_EFT (Annual)" xfId="7093"/>
    <cellStyle name="Input 4 6" xfId="1883"/>
    <cellStyle name="Input 4 6 2" xfId="5444"/>
    <cellStyle name="Input 4 6 2 2" xfId="13659"/>
    <cellStyle name="Input 4 6 2 2 2" xfId="25647"/>
    <cellStyle name="Input 4 6 2 2 2 2" xfId="46833"/>
    <cellStyle name="Input 4 6 2 2 3" xfId="36229"/>
    <cellStyle name="Input 4 6 2 3" xfId="20534"/>
    <cellStyle name="Input 4 6 2 3 2" xfId="41721"/>
    <cellStyle name="Input 4 6 2 4" xfId="31101"/>
    <cellStyle name="Input 4 6 2_Table 2A-1_EFT (Annual)" xfId="15351"/>
    <cellStyle name="Input 4 6 3" xfId="11003"/>
    <cellStyle name="Input 4 6 3 2" xfId="23101"/>
    <cellStyle name="Input 4 6 3 2 2" xfId="44287"/>
    <cellStyle name="Input 4 6 3 3" xfId="33683"/>
    <cellStyle name="Input 4 6 4" xfId="17988"/>
    <cellStyle name="Input 4 6 4 2" xfId="39175"/>
    <cellStyle name="Input 4 6 5" xfId="28358"/>
    <cellStyle name="Input 4 6_Table 2A-1_EFT (Annual)" xfId="7094"/>
    <cellStyle name="Input 4 7" xfId="3677"/>
    <cellStyle name="Input 4 7 2" xfId="12050"/>
    <cellStyle name="Input 4 7 2 2" xfId="24081"/>
    <cellStyle name="Input 4 7 2 2 2" xfId="45267"/>
    <cellStyle name="Input 4 7 2 3" xfId="34663"/>
    <cellStyle name="Input 4 7 3" xfId="18968"/>
    <cellStyle name="Input 4 7 3 2" xfId="40155"/>
    <cellStyle name="Input 4 7 4" xfId="29387"/>
    <cellStyle name="Input 4 7_Table 2A-1_EFT (Annual)" xfId="15352"/>
    <cellStyle name="Input 4 8" xfId="9367"/>
    <cellStyle name="Input 4 8 2" xfId="21535"/>
    <cellStyle name="Input 4 8 2 2" xfId="42721"/>
    <cellStyle name="Input 4 8 3" xfId="32117"/>
    <cellStyle name="Input 4 9" xfId="16422"/>
    <cellStyle name="Input 4 9 2" xfId="37609"/>
    <cellStyle name="Input 4_Table 2A-1_EFT (Annual)" xfId="3073"/>
    <cellStyle name="Input 5" xfId="119"/>
    <cellStyle name="Input 5 10" xfId="21506"/>
    <cellStyle name="Input 5 10 2" xfId="42693"/>
    <cellStyle name="Input 5 11" xfId="26674"/>
    <cellStyle name="Input 5 2" xfId="512"/>
    <cellStyle name="Input 5 2 2" xfId="1489"/>
    <cellStyle name="Input 5 2 2 2" xfId="2759"/>
    <cellStyle name="Input 5 2 2 2 2" xfId="6320"/>
    <cellStyle name="Input 5 2 2 2 2 2" xfId="14514"/>
    <cellStyle name="Input 5 2 2 2 2 2 2" xfId="26486"/>
    <cellStyle name="Input 5 2 2 2 2 2 2 2" xfId="47672"/>
    <cellStyle name="Input 5 2 2 2 2 2 3" xfId="37068"/>
    <cellStyle name="Input 5 2 2 2 2 3" xfId="21373"/>
    <cellStyle name="Input 5 2 2 2 2 3 2" xfId="42560"/>
    <cellStyle name="Input 5 2 2 2 2 4" xfId="31976"/>
    <cellStyle name="Input 5 2 2 2 2_Table 2A-1_EFT (Annual)" xfId="15353"/>
    <cellStyle name="Input 5 2 2 2 3" xfId="11856"/>
    <cellStyle name="Input 5 2 2 2 3 2" xfId="23940"/>
    <cellStyle name="Input 5 2 2 2 3 2 2" xfId="45126"/>
    <cellStyle name="Input 5 2 2 2 3 3" xfId="34522"/>
    <cellStyle name="Input 5 2 2 2 4" xfId="18827"/>
    <cellStyle name="Input 5 2 2 2 4 2" xfId="40014"/>
    <cellStyle name="Input 5 2 2 2 5" xfId="29233"/>
    <cellStyle name="Input 5 2 2 2_Table 2A-1_EFT (Annual)" xfId="7096"/>
    <cellStyle name="Input 5 2 2 3" xfId="5050"/>
    <cellStyle name="Input 5 2 2 3 2" xfId="13310"/>
    <cellStyle name="Input 5 2 2 3 2 2" xfId="25316"/>
    <cellStyle name="Input 5 2 2 3 2 2 2" xfId="46502"/>
    <cellStyle name="Input 5 2 2 3 2 3" xfId="35898"/>
    <cellStyle name="Input 5 2 2 3 3" xfId="20203"/>
    <cellStyle name="Input 5 2 2 3 3 2" xfId="41390"/>
    <cellStyle name="Input 5 2 2 3 4" xfId="30707"/>
    <cellStyle name="Input 5 2 2 3_Table 2A-1_EFT (Annual)" xfId="15354"/>
    <cellStyle name="Input 5 2 2 4" xfId="10654"/>
    <cellStyle name="Input 5 2 2 4 2" xfId="22770"/>
    <cellStyle name="Input 5 2 2 4 2 2" xfId="43956"/>
    <cellStyle name="Input 5 2 2 4 3" xfId="33352"/>
    <cellStyle name="Input 5 2 2 5" xfId="17657"/>
    <cellStyle name="Input 5 2 2 5 2" xfId="38844"/>
    <cellStyle name="Input 5 2 2 6" xfId="27964"/>
    <cellStyle name="Input 5 2 2_Table 2A-1_EFT (Annual)" xfId="7095"/>
    <cellStyle name="Input 5 2 3" xfId="1023"/>
    <cellStyle name="Input 5 2 3 2" xfId="4584"/>
    <cellStyle name="Input 5 2 3 2 2" xfId="12844"/>
    <cellStyle name="Input 5 2 3 2 2 2" xfId="24850"/>
    <cellStyle name="Input 5 2 3 2 2 2 2" xfId="46036"/>
    <cellStyle name="Input 5 2 3 2 2 3" xfId="35432"/>
    <cellStyle name="Input 5 2 3 2 3" xfId="19737"/>
    <cellStyle name="Input 5 2 3 2 3 2" xfId="40924"/>
    <cellStyle name="Input 5 2 3 2 4" xfId="30241"/>
    <cellStyle name="Input 5 2 3 2_Table 2A-1_EFT (Annual)" xfId="15355"/>
    <cellStyle name="Input 5 2 3 3" xfId="10188"/>
    <cellStyle name="Input 5 2 3 3 2" xfId="22304"/>
    <cellStyle name="Input 5 2 3 3 2 2" xfId="43490"/>
    <cellStyle name="Input 5 2 3 3 3" xfId="32886"/>
    <cellStyle name="Input 5 2 3 4" xfId="17191"/>
    <cellStyle name="Input 5 2 3 4 2" xfId="38378"/>
    <cellStyle name="Input 5 2 3 5" xfId="27498"/>
    <cellStyle name="Input 5 2 3_Table 2A-1_EFT (Annual)" xfId="7097"/>
    <cellStyle name="Input 5 2 4" xfId="2228"/>
    <cellStyle name="Input 5 2 4 2" xfId="5789"/>
    <cellStyle name="Input 5 2 4 2 2" xfId="14004"/>
    <cellStyle name="Input 5 2 4 2 2 2" xfId="25992"/>
    <cellStyle name="Input 5 2 4 2 2 2 2" xfId="47178"/>
    <cellStyle name="Input 5 2 4 2 2 3" xfId="36574"/>
    <cellStyle name="Input 5 2 4 2 3" xfId="20879"/>
    <cellStyle name="Input 5 2 4 2 3 2" xfId="42066"/>
    <cellStyle name="Input 5 2 4 2 4" xfId="31446"/>
    <cellStyle name="Input 5 2 4 2_Table 2A-1_EFT (Annual)" xfId="15356"/>
    <cellStyle name="Input 5 2 4 3" xfId="11348"/>
    <cellStyle name="Input 5 2 4 3 2" xfId="23446"/>
    <cellStyle name="Input 5 2 4 3 2 2" xfId="44632"/>
    <cellStyle name="Input 5 2 4 3 3" xfId="34028"/>
    <cellStyle name="Input 5 2 4 4" xfId="18333"/>
    <cellStyle name="Input 5 2 4 4 2" xfId="39520"/>
    <cellStyle name="Input 5 2 4 5" xfId="28703"/>
    <cellStyle name="Input 5 2 4_Table 2A-1_EFT (Annual)" xfId="7098"/>
    <cellStyle name="Input 5 2 5" xfId="4082"/>
    <cellStyle name="Input 5 2 5 2" xfId="12406"/>
    <cellStyle name="Input 5 2 5 2 2" xfId="24428"/>
    <cellStyle name="Input 5 2 5 2 2 2" xfId="45614"/>
    <cellStyle name="Input 5 2 5 2 3" xfId="35010"/>
    <cellStyle name="Input 5 2 5 3" xfId="19315"/>
    <cellStyle name="Input 5 2 5 3 2" xfId="40502"/>
    <cellStyle name="Input 5 2 5 4" xfId="29770"/>
    <cellStyle name="Input 5 2 5_Table 2A-1_EFT (Annual)" xfId="15357"/>
    <cellStyle name="Input 5 2 6" xfId="9745"/>
    <cellStyle name="Input 5 2 6 2" xfId="21882"/>
    <cellStyle name="Input 5 2 6 2 2" xfId="43068"/>
    <cellStyle name="Input 5 2 6 3" xfId="32464"/>
    <cellStyle name="Input 5 2 7" xfId="16769"/>
    <cellStyle name="Input 5 2 7 2" xfId="37956"/>
    <cellStyle name="Input 5 2 8" xfId="27027"/>
    <cellStyle name="Input 5 2_Table 2A-1_EFT (Annual)" xfId="3077"/>
    <cellStyle name="Input 5 3" xfId="350"/>
    <cellStyle name="Input 5 3 2" xfId="1333"/>
    <cellStyle name="Input 5 3 2 2" xfId="2603"/>
    <cellStyle name="Input 5 3 2 2 2" xfId="6164"/>
    <cellStyle name="Input 5 3 2 2 2 2" xfId="14358"/>
    <cellStyle name="Input 5 3 2 2 2 2 2" xfId="26330"/>
    <cellStyle name="Input 5 3 2 2 2 2 2 2" xfId="47516"/>
    <cellStyle name="Input 5 3 2 2 2 2 3" xfId="36912"/>
    <cellStyle name="Input 5 3 2 2 2 3" xfId="21217"/>
    <cellStyle name="Input 5 3 2 2 2 3 2" xfId="42404"/>
    <cellStyle name="Input 5 3 2 2 2 4" xfId="31820"/>
    <cellStyle name="Input 5 3 2 2 2_Table 2A-1_EFT (Annual)" xfId="15358"/>
    <cellStyle name="Input 5 3 2 2 3" xfId="11700"/>
    <cellStyle name="Input 5 3 2 2 3 2" xfId="23784"/>
    <cellStyle name="Input 5 3 2 2 3 2 2" xfId="44970"/>
    <cellStyle name="Input 5 3 2 2 3 3" xfId="34366"/>
    <cellStyle name="Input 5 3 2 2 4" xfId="18671"/>
    <cellStyle name="Input 5 3 2 2 4 2" xfId="39858"/>
    <cellStyle name="Input 5 3 2 2 5" xfId="29077"/>
    <cellStyle name="Input 5 3 2 2_Table 2A-1_EFT (Annual)" xfId="7100"/>
    <cellStyle name="Input 5 3 2 3" xfId="4894"/>
    <cellStyle name="Input 5 3 2 3 2" xfId="13154"/>
    <cellStyle name="Input 5 3 2 3 2 2" xfId="25160"/>
    <cellStyle name="Input 5 3 2 3 2 2 2" xfId="46346"/>
    <cellStyle name="Input 5 3 2 3 2 3" xfId="35742"/>
    <cellStyle name="Input 5 3 2 3 3" xfId="20047"/>
    <cellStyle name="Input 5 3 2 3 3 2" xfId="41234"/>
    <cellStyle name="Input 5 3 2 3 4" xfId="30551"/>
    <cellStyle name="Input 5 3 2 3_Table 2A-1_EFT (Annual)" xfId="15359"/>
    <cellStyle name="Input 5 3 2 4" xfId="10498"/>
    <cellStyle name="Input 5 3 2 4 2" xfId="22614"/>
    <cellStyle name="Input 5 3 2 4 2 2" xfId="43800"/>
    <cellStyle name="Input 5 3 2 4 3" xfId="33196"/>
    <cellStyle name="Input 5 3 2 5" xfId="17501"/>
    <cellStyle name="Input 5 3 2 5 2" xfId="38688"/>
    <cellStyle name="Input 5 3 2 6" xfId="27808"/>
    <cellStyle name="Input 5 3 2_Table 2A-1_EFT (Annual)" xfId="7099"/>
    <cellStyle name="Input 5 3 3" xfId="891"/>
    <cellStyle name="Input 5 3 3 2" xfId="4452"/>
    <cellStyle name="Input 5 3 3 2 2" xfId="12714"/>
    <cellStyle name="Input 5 3 3 2 2 2" xfId="24724"/>
    <cellStyle name="Input 5 3 3 2 2 2 2" xfId="45910"/>
    <cellStyle name="Input 5 3 3 2 2 3" xfId="35306"/>
    <cellStyle name="Input 5 3 3 2 3" xfId="19611"/>
    <cellStyle name="Input 5 3 3 2 3 2" xfId="40798"/>
    <cellStyle name="Input 5 3 3 2 4" xfId="30109"/>
    <cellStyle name="Input 5 3 3 2_Table 2A-1_EFT (Annual)" xfId="15360"/>
    <cellStyle name="Input 5 3 3 3" xfId="10061"/>
    <cellStyle name="Input 5 3 3 3 2" xfId="22178"/>
    <cellStyle name="Input 5 3 3 3 2 2" xfId="43364"/>
    <cellStyle name="Input 5 3 3 3 3" xfId="32760"/>
    <cellStyle name="Input 5 3 3 4" xfId="17065"/>
    <cellStyle name="Input 5 3 3 4 2" xfId="38252"/>
    <cellStyle name="Input 5 3 3 5" xfId="27366"/>
    <cellStyle name="Input 5 3 3_Table 2A-1_EFT (Annual)" xfId="7101"/>
    <cellStyle name="Input 5 3 4" xfId="2072"/>
    <cellStyle name="Input 5 3 4 2" xfId="5633"/>
    <cellStyle name="Input 5 3 4 2 2" xfId="13848"/>
    <cellStyle name="Input 5 3 4 2 2 2" xfId="25836"/>
    <cellStyle name="Input 5 3 4 2 2 2 2" xfId="47022"/>
    <cellStyle name="Input 5 3 4 2 2 3" xfId="36418"/>
    <cellStyle name="Input 5 3 4 2 3" xfId="20723"/>
    <cellStyle name="Input 5 3 4 2 3 2" xfId="41910"/>
    <cellStyle name="Input 5 3 4 2 4" xfId="31290"/>
    <cellStyle name="Input 5 3 4 2_Table 2A-1_EFT (Annual)" xfId="15361"/>
    <cellStyle name="Input 5 3 4 3" xfId="11192"/>
    <cellStyle name="Input 5 3 4 3 2" xfId="23290"/>
    <cellStyle name="Input 5 3 4 3 2 2" xfId="44476"/>
    <cellStyle name="Input 5 3 4 3 3" xfId="33872"/>
    <cellStyle name="Input 5 3 4 4" xfId="18177"/>
    <cellStyle name="Input 5 3 4 4 2" xfId="39364"/>
    <cellStyle name="Input 5 3 4 5" xfId="28547"/>
    <cellStyle name="Input 5 3 4_Table 2A-1_EFT (Annual)" xfId="7102"/>
    <cellStyle name="Input 5 3 5" xfId="3920"/>
    <cellStyle name="Input 5 3 5 2" xfId="12248"/>
    <cellStyle name="Input 5 3 5 2 2" xfId="24272"/>
    <cellStyle name="Input 5 3 5 2 2 2" xfId="45458"/>
    <cellStyle name="Input 5 3 5 2 3" xfId="34854"/>
    <cellStyle name="Input 5 3 5 3" xfId="19159"/>
    <cellStyle name="Input 5 3 5 3 2" xfId="40346"/>
    <cellStyle name="Input 5 3 5 4" xfId="29608"/>
    <cellStyle name="Input 5 3 5_Table 2A-1_EFT (Annual)" xfId="15362"/>
    <cellStyle name="Input 5 3 6" xfId="9585"/>
    <cellStyle name="Input 5 3 6 2" xfId="21726"/>
    <cellStyle name="Input 5 3 6 2 2" xfId="42912"/>
    <cellStyle name="Input 5 3 6 3" xfId="32308"/>
    <cellStyle name="Input 5 3 7" xfId="16613"/>
    <cellStyle name="Input 5 3 7 2" xfId="37800"/>
    <cellStyle name="Input 5 3 8" xfId="26865"/>
    <cellStyle name="Input 5 3_Table 2A-1_EFT (Annual)" xfId="3078"/>
    <cellStyle name="Input 5 4" xfId="1167"/>
    <cellStyle name="Input 5 4 2" xfId="2437"/>
    <cellStyle name="Input 5 4 2 2" xfId="5998"/>
    <cellStyle name="Input 5 4 2 2 2" xfId="14192"/>
    <cellStyle name="Input 5 4 2 2 2 2" xfId="26164"/>
    <cellStyle name="Input 5 4 2 2 2 2 2" xfId="47350"/>
    <cellStyle name="Input 5 4 2 2 2 3" xfId="36746"/>
    <cellStyle name="Input 5 4 2 2 3" xfId="21051"/>
    <cellStyle name="Input 5 4 2 2 3 2" xfId="42238"/>
    <cellStyle name="Input 5 4 2 2 4" xfId="31654"/>
    <cellStyle name="Input 5 4 2 2_Table 2A-1_EFT (Annual)" xfId="15363"/>
    <cellStyle name="Input 5 4 2 3" xfId="11534"/>
    <cellStyle name="Input 5 4 2 3 2" xfId="23618"/>
    <cellStyle name="Input 5 4 2 3 2 2" xfId="44804"/>
    <cellStyle name="Input 5 4 2 3 3" xfId="34200"/>
    <cellStyle name="Input 5 4 2 4" xfId="18505"/>
    <cellStyle name="Input 5 4 2 4 2" xfId="39692"/>
    <cellStyle name="Input 5 4 2 5" xfId="28911"/>
    <cellStyle name="Input 5 4 2_Table 2A-1_EFT (Annual)" xfId="7104"/>
    <cellStyle name="Input 5 4 3" xfId="4728"/>
    <cellStyle name="Input 5 4 3 2" xfId="12988"/>
    <cellStyle name="Input 5 4 3 2 2" xfId="24994"/>
    <cellStyle name="Input 5 4 3 2 2 2" xfId="46180"/>
    <cellStyle name="Input 5 4 3 2 3" xfId="35576"/>
    <cellStyle name="Input 5 4 3 3" xfId="19881"/>
    <cellStyle name="Input 5 4 3 3 2" xfId="41068"/>
    <cellStyle name="Input 5 4 3 4" xfId="30385"/>
    <cellStyle name="Input 5 4 3_Table 2A-1_EFT (Annual)" xfId="15364"/>
    <cellStyle name="Input 5 4 4" xfId="10332"/>
    <cellStyle name="Input 5 4 4 2" xfId="22448"/>
    <cellStyle name="Input 5 4 4 2 2" xfId="43634"/>
    <cellStyle name="Input 5 4 4 3" xfId="33030"/>
    <cellStyle name="Input 5 4 5" xfId="17335"/>
    <cellStyle name="Input 5 4 5 2" xfId="38522"/>
    <cellStyle name="Input 5 4 6" xfId="27642"/>
    <cellStyle name="Input 5 4_Table 2A-1_EFT (Annual)" xfId="7103"/>
    <cellStyle name="Input 5 5" xfId="732"/>
    <cellStyle name="Input 5 5 2" xfId="4293"/>
    <cellStyle name="Input 5 5 2 2" xfId="12573"/>
    <cellStyle name="Input 5 5 2 2 2" xfId="24590"/>
    <cellStyle name="Input 5 5 2 2 2 2" xfId="45776"/>
    <cellStyle name="Input 5 5 2 2 3" xfId="35172"/>
    <cellStyle name="Input 5 5 2 3" xfId="19477"/>
    <cellStyle name="Input 5 5 2 3 2" xfId="40664"/>
    <cellStyle name="Input 5 5 2 4" xfId="29950"/>
    <cellStyle name="Input 5 5 2_Table 2A-1_EFT (Annual)" xfId="15365"/>
    <cellStyle name="Input 5 5 3" xfId="9921"/>
    <cellStyle name="Input 5 5 3 2" xfId="22044"/>
    <cellStyle name="Input 5 5 3 2 2" xfId="43230"/>
    <cellStyle name="Input 5 5 3 3" xfId="32626"/>
    <cellStyle name="Input 5 5 4" xfId="16931"/>
    <cellStyle name="Input 5 5 4 2" xfId="38118"/>
    <cellStyle name="Input 5 5 5" xfId="27207"/>
    <cellStyle name="Input 5 5_Table 2A-1_EFT (Annual)" xfId="7105"/>
    <cellStyle name="Input 5 6" xfId="1797"/>
    <cellStyle name="Input 5 6 2" xfId="5358"/>
    <cellStyle name="Input 5 6 2 2" xfId="13573"/>
    <cellStyle name="Input 5 6 2 2 2" xfId="25561"/>
    <cellStyle name="Input 5 6 2 2 2 2" xfId="46747"/>
    <cellStyle name="Input 5 6 2 2 3" xfId="36143"/>
    <cellStyle name="Input 5 6 2 3" xfId="20448"/>
    <cellStyle name="Input 5 6 2 3 2" xfId="41635"/>
    <cellStyle name="Input 5 6 2 4" xfId="31015"/>
    <cellStyle name="Input 5 6 2_Table 2A-1_EFT (Annual)" xfId="15366"/>
    <cellStyle name="Input 5 6 3" xfId="10917"/>
    <cellStyle name="Input 5 6 3 2" xfId="23015"/>
    <cellStyle name="Input 5 6 3 2 2" xfId="44201"/>
    <cellStyle name="Input 5 6 3 3" xfId="33597"/>
    <cellStyle name="Input 5 6 4" xfId="17902"/>
    <cellStyle name="Input 5 6 4 2" xfId="39089"/>
    <cellStyle name="Input 5 6 5" xfId="28272"/>
    <cellStyle name="Input 5 6_Table 2A-1_EFT (Annual)" xfId="7106"/>
    <cellStyle name="Input 5 7" xfId="3708"/>
    <cellStyle name="Input 5 7 2" xfId="12076"/>
    <cellStyle name="Input 5 7 2 2" xfId="24106"/>
    <cellStyle name="Input 5 7 2 2 2" xfId="45292"/>
    <cellStyle name="Input 5 7 2 3" xfId="34688"/>
    <cellStyle name="Input 5 7 3" xfId="18993"/>
    <cellStyle name="Input 5 7 3 2" xfId="40180"/>
    <cellStyle name="Input 5 7 4" xfId="29417"/>
    <cellStyle name="Input 5 7_Table 2A-1_EFT (Annual)" xfId="15367"/>
    <cellStyle name="Input 5 8" xfId="9395"/>
    <cellStyle name="Input 5 8 2" xfId="21560"/>
    <cellStyle name="Input 5 8 2 2" xfId="42746"/>
    <cellStyle name="Input 5 8 3" xfId="32142"/>
    <cellStyle name="Input 5 9" xfId="16447"/>
    <cellStyle name="Input 5 9 2" xfId="37634"/>
    <cellStyle name="Input 5_Table 2A-1_EFT (Annual)" xfId="3076"/>
    <cellStyle name="Input 6" xfId="79"/>
    <cellStyle name="Input 6 10" xfId="26635"/>
    <cellStyle name="Input 6 2" xfId="478"/>
    <cellStyle name="Input 6 2 2" xfId="1455"/>
    <cellStyle name="Input 6 2 2 2" xfId="2725"/>
    <cellStyle name="Input 6 2 2 2 2" xfId="6286"/>
    <cellStyle name="Input 6 2 2 2 2 2" xfId="14480"/>
    <cellStyle name="Input 6 2 2 2 2 2 2" xfId="26452"/>
    <cellStyle name="Input 6 2 2 2 2 2 2 2" xfId="47638"/>
    <cellStyle name="Input 6 2 2 2 2 2 3" xfId="37034"/>
    <cellStyle name="Input 6 2 2 2 2 3" xfId="21339"/>
    <cellStyle name="Input 6 2 2 2 2 3 2" xfId="42526"/>
    <cellStyle name="Input 6 2 2 2 2 4" xfId="31942"/>
    <cellStyle name="Input 6 2 2 2 2_Table 2A-1_EFT (Annual)" xfId="15368"/>
    <cellStyle name="Input 6 2 2 2 3" xfId="11822"/>
    <cellStyle name="Input 6 2 2 2 3 2" xfId="23906"/>
    <cellStyle name="Input 6 2 2 2 3 2 2" xfId="45092"/>
    <cellStyle name="Input 6 2 2 2 3 3" xfId="34488"/>
    <cellStyle name="Input 6 2 2 2 4" xfId="18793"/>
    <cellStyle name="Input 6 2 2 2 4 2" xfId="39980"/>
    <cellStyle name="Input 6 2 2 2 5" xfId="29199"/>
    <cellStyle name="Input 6 2 2 2_Table 2A-1_EFT (Annual)" xfId="7108"/>
    <cellStyle name="Input 6 2 2 3" xfId="5016"/>
    <cellStyle name="Input 6 2 2 3 2" xfId="13276"/>
    <cellStyle name="Input 6 2 2 3 2 2" xfId="25282"/>
    <cellStyle name="Input 6 2 2 3 2 2 2" xfId="46468"/>
    <cellStyle name="Input 6 2 2 3 2 3" xfId="35864"/>
    <cellStyle name="Input 6 2 2 3 3" xfId="20169"/>
    <cellStyle name="Input 6 2 2 3 3 2" xfId="41356"/>
    <cellStyle name="Input 6 2 2 3 4" xfId="30673"/>
    <cellStyle name="Input 6 2 2 3_Table 2A-1_EFT (Annual)" xfId="15369"/>
    <cellStyle name="Input 6 2 2 4" xfId="10620"/>
    <cellStyle name="Input 6 2 2 4 2" xfId="22736"/>
    <cellStyle name="Input 6 2 2 4 2 2" xfId="43922"/>
    <cellStyle name="Input 6 2 2 4 3" xfId="33318"/>
    <cellStyle name="Input 6 2 2 5" xfId="17623"/>
    <cellStyle name="Input 6 2 2 5 2" xfId="38810"/>
    <cellStyle name="Input 6 2 2 6" xfId="27930"/>
    <cellStyle name="Input 6 2 2_Table 2A-1_EFT (Annual)" xfId="7107"/>
    <cellStyle name="Input 6 2 3" xfId="998"/>
    <cellStyle name="Input 6 2 3 2" xfId="4559"/>
    <cellStyle name="Input 6 2 3 2 2" xfId="12819"/>
    <cellStyle name="Input 6 2 3 2 2 2" xfId="24825"/>
    <cellStyle name="Input 6 2 3 2 2 2 2" xfId="46011"/>
    <cellStyle name="Input 6 2 3 2 2 3" xfId="35407"/>
    <cellStyle name="Input 6 2 3 2 3" xfId="19712"/>
    <cellStyle name="Input 6 2 3 2 3 2" xfId="40899"/>
    <cellStyle name="Input 6 2 3 2 4" xfId="30216"/>
    <cellStyle name="Input 6 2 3 2_Table 2A-1_EFT (Annual)" xfId="15370"/>
    <cellStyle name="Input 6 2 3 3" xfId="10163"/>
    <cellStyle name="Input 6 2 3 3 2" xfId="22279"/>
    <cellStyle name="Input 6 2 3 3 2 2" xfId="43465"/>
    <cellStyle name="Input 6 2 3 3 3" xfId="32861"/>
    <cellStyle name="Input 6 2 3 4" xfId="17166"/>
    <cellStyle name="Input 6 2 3 4 2" xfId="38353"/>
    <cellStyle name="Input 6 2 3 5" xfId="27473"/>
    <cellStyle name="Input 6 2 3_Table 2A-1_EFT (Annual)" xfId="7109"/>
    <cellStyle name="Input 6 2 4" xfId="2194"/>
    <cellStyle name="Input 6 2 4 2" xfId="5755"/>
    <cellStyle name="Input 6 2 4 2 2" xfId="13970"/>
    <cellStyle name="Input 6 2 4 2 2 2" xfId="25958"/>
    <cellStyle name="Input 6 2 4 2 2 2 2" xfId="47144"/>
    <cellStyle name="Input 6 2 4 2 2 3" xfId="36540"/>
    <cellStyle name="Input 6 2 4 2 3" xfId="20845"/>
    <cellStyle name="Input 6 2 4 2 3 2" xfId="42032"/>
    <cellStyle name="Input 6 2 4 2 4" xfId="31412"/>
    <cellStyle name="Input 6 2 4 2_Table 2A-1_EFT (Annual)" xfId="15371"/>
    <cellStyle name="Input 6 2 4 3" xfId="11314"/>
    <cellStyle name="Input 6 2 4 3 2" xfId="23412"/>
    <cellStyle name="Input 6 2 4 3 2 2" xfId="44598"/>
    <cellStyle name="Input 6 2 4 3 3" xfId="33994"/>
    <cellStyle name="Input 6 2 4 4" xfId="18299"/>
    <cellStyle name="Input 6 2 4 4 2" xfId="39486"/>
    <cellStyle name="Input 6 2 4 5" xfId="28669"/>
    <cellStyle name="Input 6 2 4_Table 2A-1_EFT (Annual)" xfId="7110"/>
    <cellStyle name="Input 6 2 5" xfId="4048"/>
    <cellStyle name="Input 6 2 5 2" xfId="12372"/>
    <cellStyle name="Input 6 2 5 2 2" xfId="24394"/>
    <cellStyle name="Input 6 2 5 2 2 2" xfId="45580"/>
    <cellStyle name="Input 6 2 5 2 3" xfId="34976"/>
    <cellStyle name="Input 6 2 5 3" xfId="19281"/>
    <cellStyle name="Input 6 2 5 3 2" xfId="40468"/>
    <cellStyle name="Input 6 2 5 4" xfId="29736"/>
    <cellStyle name="Input 6 2 5_Table 2A-1_EFT (Annual)" xfId="15372"/>
    <cellStyle name="Input 6 2 6" xfId="9711"/>
    <cellStyle name="Input 6 2 6 2" xfId="21848"/>
    <cellStyle name="Input 6 2 6 2 2" xfId="43034"/>
    <cellStyle name="Input 6 2 6 3" xfId="32430"/>
    <cellStyle name="Input 6 2 7" xfId="16735"/>
    <cellStyle name="Input 6 2 7 2" xfId="37922"/>
    <cellStyle name="Input 6 2 8" xfId="26993"/>
    <cellStyle name="Input 6 2_Table 2A-1_EFT (Annual)" xfId="3080"/>
    <cellStyle name="Input 6 3" xfId="311"/>
    <cellStyle name="Input 6 3 2" xfId="1299"/>
    <cellStyle name="Input 6 3 2 2" xfId="2569"/>
    <cellStyle name="Input 6 3 2 2 2" xfId="6130"/>
    <cellStyle name="Input 6 3 2 2 2 2" xfId="14324"/>
    <cellStyle name="Input 6 3 2 2 2 2 2" xfId="26296"/>
    <cellStyle name="Input 6 3 2 2 2 2 2 2" xfId="47482"/>
    <cellStyle name="Input 6 3 2 2 2 2 3" xfId="36878"/>
    <cellStyle name="Input 6 3 2 2 2 3" xfId="21183"/>
    <cellStyle name="Input 6 3 2 2 2 3 2" xfId="42370"/>
    <cellStyle name="Input 6 3 2 2 2 4" xfId="31786"/>
    <cellStyle name="Input 6 3 2 2 2_Table 2A-1_EFT (Annual)" xfId="15373"/>
    <cellStyle name="Input 6 3 2 2 3" xfId="11666"/>
    <cellStyle name="Input 6 3 2 2 3 2" xfId="23750"/>
    <cellStyle name="Input 6 3 2 2 3 2 2" xfId="44936"/>
    <cellStyle name="Input 6 3 2 2 3 3" xfId="34332"/>
    <cellStyle name="Input 6 3 2 2 4" xfId="18637"/>
    <cellStyle name="Input 6 3 2 2 4 2" xfId="39824"/>
    <cellStyle name="Input 6 3 2 2 5" xfId="29043"/>
    <cellStyle name="Input 6 3 2 2_Table 2A-1_EFT (Annual)" xfId="7112"/>
    <cellStyle name="Input 6 3 2 3" xfId="4860"/>
    <cellStyle name="Input 6 3 2 3 2" xfId="13120"/>
    <cellStyle name="Input 6 3 2 3 2 2" xfId="25126"/>
    <cellStyle name="Input 6 3 2 3 2 2 2" xfId="46312"/>
    <cellStyle name="Input 6 3 2 3 2 3" xfId="35708"/>
    <cellStyle name="Input 6 3 2 3 3" xfId="20013"/>
    <cellStyle name="Input 6 3 2 3 3 2" xfId="41200"/>
    <cellStyle name="Input 6 3 2 3 4" xfId="30517"/>
    <cellStyle name="Input 6 3 2 3_Table 2A-1_EFT (Annual)" xfId="15374"/>
    <cellStyle name="Input 6 3 2 4" xfId="10464"/>
    <cellStyle name="Input 6 3 2 4 2" xfId="22580"/>
    <cellStyle name="Input 6 3 2 4 2 2" xfId="43766"/>
    <cellStyle name="Input 6 3 2 4 3" xfId="33162"/>
    <cellStyle name="Input 6 3 2 5" xfId="17467"/>
    <cellStyle name="Input 6 3 2 5 2" xfId="38654"/>
    <cellStyle name="Input 6 3 2 6" xfId="27774"/>
    <cellStyle name="Input 6 3 2_Table 2A-1_EFT (Annual)" xfId="7111"/>
    <cellStyle name="Input 6 3 3" xfId="861"/>
    <cellStyle name="Input 6 3 3 2" xfId="4422"/>
    <cellStyle name="Input 6 3 3 2 2" xfId="12687"/>
    <cellStyle name="Input 6 3 3 2 2 2" xfId="24699"/>
    <cellStyle name="Input 6 3 3 2 2 2 2" xfId="45885"/>
    <cellStyle name="Input 6 3 3 2 2 3" xfId="35281"/>
    <cellStyle name="Input 6 3 3 2 3" xfId="19586"/>
    <cellStyle name="Input 6 3 3 2 3 2" xfId="40773"/>
    <cellStyle name="Input 6 3 3 2 4" xfId="30079"/>
    <cellStyle name="Input 6 3 3 2_Table 2A-1_EFT (Annual)" xfId="15375"/>
    <cellStyle name="Input 6 3 3 3" xfId="10034"/>
    <cellStyle name="Input 6 3 3 3 2" xfId="22153"/>
    <cellStyle name="Input 6 3 3 3 2 2" xfId="43339"/>
    <cellStyle name="Input 6 3 3 3 3" xfId="32735"/>
    <cellStyle name="Input 6 3 3 4" xfId="17040"/>
    <cellStyle name="Input 6 3 3 4 2" xfId="38227"/>
    <cellStyle name="Input 6 3 3 5" xfId="27336"/>
    <cellStyle name="Input 6 3 3_Table 2A-1_EFT (Annual)" xfId="7113"/>
    <cellStyle name="Input 6 3 4" xfId="2038"/>
    <cellStyle name="Input 6 3 4 2" xfId="5599"/>
    <cellStyle name="Input 6 3 4 2 2" xfId="13814"/>
    <cellStyle name="Input 6 3 4 2 2 2" xfId="25802"/>
    <cellStyle name="Input 6 3 4 2 2 2 2" xfId="46988"/>
    <cellStyle name="Input 6 3 4 2 2 3" xfId="36384"/>
    <cellStyle name="Input 6 3 4 2 3" xfId="20689"/>
    <cellStyle name="Input 6 3 4 2 3 2" xfId="41876"/>
    <cellStyle name="Input 6 3 4 2 4" xfId="31256"/>
    <cellStyle name="Input 6 3 4 2_Table 2A-1_EFT (Annual)" xfId="15376"/>
    <cellStyle name="Input 6 3 4 3" xfId="11158"/>
    <cellStyle name="Input 6 3 4 3 2" xfId="23256"/>
    <cellStyle name="Input 6 3 4 3 2 2" xfId="44442"/>
    <cellStyle name="Input 6 3 4 3 3" xfId="33838"/>
    <cellStyle name="Input 6 3 4 4" xfId="18143"/>
    <cellStyle name="Input 6 3 4 4 2" xfId="39330"/>
    <cellStyle name="Input 6 3 4 5" xfId="28513"/>
    <cellStyle name="Input 6 3 4_Table 2A-1_EFT (Annual)" xfId="7114"/>
    <cellStyle name="Input 6 3 5" xfId="3881"/>
    <cellStyle name="Input 6 3 5 2" xfId="12213"/>
    <cellStyle name="Input 6 3 5 2 2" xfId="24238"/>
    <cellStyle name="Input 6 3 5 2 2 2" xfId="45424"/>
    <cellStyle name="Input 6 3 5 2 3" xfId="34820"/>
    <cellStyle name="Input 6 3 5 3" xfId="19125"/>
    <cellStyle name="Input 6 3 5 3 2" xfId="40312"/>
    <cellStyle name="Input 6 3 5 4" xfId="29569"/>
    <cellStyle name="Input 6 3 5_Table 2A-1_EFT (Annual)" xfId="15377"/>
    <cellStyle name="Input 6 3 6" xfId="9550"/>
    <cellStyle name="Input 6 3 6 2" xfId="21692"/>
    <cellStyle name="Input 6 3 6 2 2" xfId="42878"/>
    <cellStyle name="Input 6 3 6 3" xfId="32274"/>
    <cellStyle name="Input 6 3 7" xfId="16579"/>
    <cellStyle name="Input 6 3 7 2" xfId="37766"/>
    <cellStyle name="Input 6 3 8" xfId="26826"/>
    <cellStyle name="Input 6 3_Table 2A-1_EFT (Annual)" xfId="3081"/>
    <cellStyle name="Input 6 4" xfId="1133"/>
    <cellStyle name="Input 6 4 2" xfId="2403"/>
    <cellStyle name="Input 6 4 2 2" xfId="5964"/>
    <cellStyle name="Input 6 4 2 2 2" xfId="14158"/>
    <cellStyle name="Input 6 4 2 2 2 2" xfId="26130"/>
    <cellStyle name="Input 6 4 2 2 2 2 2" xfId="47316"/>
    <cellStyle name="Input 6 4 2 2 2 3" xfId="36712"/>
    <cellStyle name="Input 6 4 2 2 3" xfId="21017"/>
    <cellStyle name="Input 6 4 2 2 3 2" xfId="42204"/>
    <cellStyle name="Input 6 4 2 2 4" xfId="31620"/>
    <cellStyle name="Input 6 4 2 2_Table 2A-1_EFT (Annual)" xfId="15378"/>
    <cellStyle name="Input 6 4 2 3" xfId="11500"/>
    <cellStyle name="Input 6 4 2 3 2" xfId="23584"/>
    <cellStyle name="Input 6 4 2 3 2 2" xfId="44770"/>
    <cellStyle name="Input 6 4 2 3 3" xfId="34166"/>
    <cellStyle name="Input 6 4 2 4" xfId="18471"/>
    <cellStyle name="Input 6 4 2 4 2" xfId="39658"/>
    <cellStyle name="Input 6 4 2 5" xfId="28877"/>
    <cellStyle name="Input 6 4 2_Table 2A-1_EFT (Annual)" xfId="7116"/>
    <cellStyle name="Input 6 4 3" xfId="4694"/>
    <cellStyle name="Input 6 4 3 2" xfId="12954"/>
    <cellStyle name="Input 6 4 3 2 2" xfId="24960"/>
    <cellStyle name="Input 6 4 3 2 2 2" xfId="46146"/>
    <cellStyle name="Input 6 4 3 2 3" xfId="35542"/>
    <cellStyle name="Input 6 4 3 3" xfId="19847"/>
    <cellStyle name="Input 6 4 3 3 2" xfId="41034"/>
    <cellStyle name="Input 6 4 3 4" xfId="30351"/>
    <cellStyle name="Input 6 4 3_Table 2A-1_EFT (Annual)" xfId="15379"/>
    <cellStyle name="Input 6 4 4" xfId="10298"/>
    <cellStyle name="Input 6 4 4 2" xfId="22414"/>
    <cellStyle name="Input 6 4 4 2 2" xfId="43600"/>
    <cellStyle name="Input 6 4 4 3" xfId="32996"/>
    <cellStyle name="Input 6 4 5" xfId="17301"/>
    <cellStyle name="Input 6 4 5 2" xfId="38488"/>
    <cellStyle name="Input 6 4 6" xfId="27608"/>
    <cellStyle name="Input 6 4_Table 2A-1_EFT (Annual)" xfId="7115"/>
    <cellStyle name="Input 6 5" xfId="702"/>
    <cellStyle name="Input 6 5 2" xfId="4263"/>
    <cellStyle name="Input 6 5 2 2" xfId="12547"/>
    <cellStyle name="Input 6 5 2 2 2" xfId="24565"/>
    <cellStyle name="Input 6 5 2 2 2 2" xfId="45751"/>
    <cellStyle name="Input 6 5 2 2 3" xfId="35147"/>
    <cellStyle name="Input 6 5 2 3" xfId="19452"/>
    <cellStyle name="Input 6 5 2 3 2" xfId="40639"/>
    <cellStyle name="Input 6 5 2 4" xfId="29920"/>
    <cellStyle name="Input 6 5 2_Table 2A-1_EFT (Annual)" xfId="15380"/>
    <cellStyle name="Input 6 5 3" xfId="9894"/>
    <cellStyle name="Input 6 5 3 2" xfId="22019"/>
    <cellStyle name="Input 6 5 3 2 2" xfId="43205"/>
    <cellStyle name="Input 6 5 3 3" xfId="32601"/>
    <cellStyle name="Input 6 5 4" xfId="16906"/>
    <cellStyle name="Input 6 5 4 2" xfId="38093"/>
    <cellStyle name="Input 6 5 5" xfId="27177"/>
    <cellStyle name="Input 6 5_Table 2A-1_EFT (Annual)" xfId="7117"/>
    <cellStyle name="Input 6 6" xfId="1805"/>
    <cellStyle name="Input 6 6 2" xfId="5366"/>
    <cellStyle name="Input 6 6 2 2" xfId="13581"/>
    <cellStyle name="Input 6 6 2 2 2" xfId="25569"/>
    <cellStyle name="Input 6 6 2 2 2 2" xfId="46755"/>
    <cellStyle name="Input 6 6 2 2 3" xfId="36151"/>
    <cellStyle name="Input 6 6 2 3" xfId="20456"/>
    <cellStyle name="Input 6 6 2 3 2" xfId="41643"/>
    <cellStyle name="Input 6 6 2 4" xfId="31023"/>
    <cellStyle name="Input 6 6 2_Table 2A-1_EFT (Annual)" xfId="15381"/>
    <cellStyle name="Input 6 6 3" xfId="10925"/>
    <cellStyle name="Input 6 6 3 2" xfId="23023"/>
    <cellStyle name="Input 6 6 3 2 2" xfId="44209"/>
    <cellStyle name="Input 6 6 3 3" xfId="33605"/>
    <cellStyle name="Input 6 6 4" xfId="17910"/>
    <cellStyle name="Input 6 6 4 2" xfId="39097"/>
    <cellStyle name="Input 6 6 5" xfId="28280"/>
    <cellStyle name="Input 6 6_Table 2A-1_EFT (Annual)" xfId="7118"/>
    <cellStyle name="Input 6 7" xfId="3668"/>
    <cellStyle name="Input 6 7 2" xfId="12041"/>
    <cellStyle name="Input 6 7 2 2" xfId="24072"/>
    <cellStyle name="Input 6 7 2 2 2" xfId="45258"/>
    <cellStyle name="Input 6 7 2 3" xfId="34654"/>
    <cellStyle name="Input 6 7 3" xfId="18959"/>
    <cellStyle name="Input 6 7 3 2" xfId="40146"/>
    <cellStyle name="Input 6 7 4" xfId="29378"/>
    <cellStyle name="Input 6 7_Table 2A-1_EFT (Annual)" xfId="15382"/>
    <cellStyle name="Input 6 8" xfId="9358"/>
    <cellStyle name="Input 6 8 2" xfId="21526"/>
    <cellStyle name="Input 6 8 2 2" xfId="42712"/>
    <cellStyle name="Input 6 8 3" xfId="32108"/>
    <cellStyle name="Input 6 9" xfId="16413"/>
    <cellStyle name="Input 6 9 2" xfId="37600"/>
    <cellStyle name="Input 6_Table 2A-1_EFT (Annual)" xfId="3079"/>
    <cellStyle name="Input 7" xfId="127"/>
    <cellStyle name="Input 7 10" xfId="26682"/>
    <cellStyle name="Input 7 2" xfId="520"/>
    <cellStyle name="Input 7 2 2" xfId="1497"/>
    <cellStyle name="Input 7 2 2 2" xfId="2767"/>
    <cellStyle name="Input 7 2 2 2 2" xfId="6328"/>
    <cellStyle name="Input 7 2 2 2 2 2" xfId="14522"/>
    <cellStyle name="Input 7 2 2 2 2 2 2" xfId="26494"/>
    <cellStyle name="Input 7 2 2 2 2 2 2 2" xfId="47680"/>
    <cellStyle name="Input 7 2 2 2 2 2 3" xfId="37076"/>
    <cellStyle name="Input 7 2 2 2 2 3" xfId="21381"/>
    <cellStyle name="Input 7 2 2 2 2 3 2" xfId="42568"/>
    <cellStyle name="Input 7 2 2 2 2 4" xfId="31984"/>
    <cellStyle name="Input 7 2 2 2 2_Table 2A-1_EFT (Annual)" xfId="15383"/>
    <cellStyle name="Input 7 2 2 2 3" xfId="11864"/>
    <cellStyle name="Input 7 2 2 2 3 2" xfId="23948"/>
    <cellStyle name="Input 7 2 2 2 3 2 2" xfId="45134"/>
    <cellStyle name="Input 7 2 2 2 3 3" xfId="34530"/>
    <cellStyle name="Input 7 2 2 2 4" xfId="18835"/>
    <cellStyle name="Input 7 2 2 2 4 2" xfId="40022"/>
    <cellStyle name="Input 7 2 2 2 5" xfId="29241"/>
    <cellStyle name="Input 7 2 2 2_Table 2A-1_EFT (Annual)" xfId="7120"/>
    <cellStyle name="Input 7 2 2 3" xfId="5058"/>
    <cellStyle name="Input 7 2 2 3 2" xfId="13318"/>
    <cellStyle name="Input 7 2 2 3 2 2" xfId="25324"/>
    <cellStyle name="Input 7 2 2 3 2 2 2" xfId="46510"/>
    <cellStyle name="Input 7 2 2 3 2 3" xfId="35906"/>
    <cellStyle name="Input 7 2 2 3 3" xfId="20211"/>
    <cellStyle name="Input 7 2 2 3 3 2" xfId="41398"/>
    <cellStyle name="Input 7 2 2 3 4" xfId="30715"/>
    <cellStyle name="Input 7 2 2 3_Table 2A-1_EFT (Annual)" xfId="15384"/>
    <cellStyle name="Input 7 2 2 4" xfId="10662"/>
    <cellStyle name="Input 7 2 2 4 2" xfId="22778"/>
    <cellStyle name="Input 7 2 2 4 2 2" xfId="43964"/>
    <cellStyle name="Input 7 2 2 4 3" xfId="33360"/>
    <cellStyle name="Input 7 2 2 5" xfId="17665"/>
    <cellStyle name="Input 7 2 2 5 2" xfId="38852"/>
    <cellStyle name="Input 7 2 2 6" xfId="27972"/>
    <cellStyle name="Input 7 2 2_Table 2A-1_EFT (Annual)" xfId="7119"/>
    <cellStyle name="Input 7 2 3" xfId="1030"/>
    <cellStyle name="Input 7 2 3 2" xfId="4591"/>
    <cellStyle name="Input 7 2 3 2 2" xfId="12851"/>
    <cellStyle name="Input 7 2 3 2 2 2" xfId="24857"/>
    <cellStyle name="Input 7 2 3 2 2 2 2" xfId="46043"/>
    <cellStyle name="Input 7 2 3 2 2 3" xfId="35439"/>
    <cellStyle name="Input 7 2 3 2 3" xfId="19744"/>
    <cellStyle name="Input 7 2 3 2 3 2" xfId="40931"/>
    <cellStyle name="Input 7 2 3 2 4" xfId="30248"/>
    <cellStyle name="Input 7 2 3 2_Table 2A-1_EFT (Annual)" xfId="15385"/>
    <cellStyle name="Input 7 2 3 3" xfId="10195"/>
    <cellStyle name="Input 7 2 3 3 2" xfId="22311"/>
    <cellStyle name="Input 7 2 3 3 2 2" xfId="43497"/>
    <cellStyle name="Input 7 2 3 3 3" xfId="32893"/>
    <cellStyle name="Input 7 2 3 4" xfId="17198"/>
    <cellStyle name="Input 7 2 3 4 2" xfId="38385"/>
    <cellStyle name="Input 7 2 3 5" xfId="27505"/>
    <cellStyle name="Input 7 2 3_Table 2A-1_EFT (Annual)" xfId="7121"/>
    <cellStyle name="Input 7 2 4" xfId="2236"/>
    <cellStyle name="Input 7 2 4 2" xfId="5797"/>
    <cellStyle name="Input 7 2 4 2 2" xfId="14012"/>
    <cellStyle name="Input 7 2 4 2 2 2" xfId="26000"/>
    <cellStyle name="Input 7 2 4 2 2 2 2" xfId="47186"/>
    <cellStyle name="Input 7 2 4 2 2 3" xfId="36582"/>
    <cellStyle name="Input 7 2 4 2 3" xfId="20887"/>
    <cellStyle name="Input 7 2 4 2 3 2" xfId="42074"/>
    <cellStyle name="Input 7 2 4 2 4" xfId="31454"/>
    <cellStyle name="Input 7 2 4 2_Table 2A-1_EFT (Annual)" xfId="15386"/>
    <cellStyle name="Input 7 2 4 3" xfId="11356"/>
    <cellStyle name="Input 7 2 4 3 2" xfId="23454"/>
    <cellStyle name="Input 7 2 4 3 2 2" xfId="44640"/>
    <cellStyle name="Input 7 2 4 3 3" xfId="34036"/>
    <cellStyle name="Input 7 2 4 4" xfId="18341"/>
    <cellStyle name="Input 7 2 4 4 2" xfId="39528"/>
    <cellStyle name="Input 7 2 4 5" xfId="28711"/>
    <cellStyle name="Input 7 2 4_Table 2A-1_EFT (Annual)" xfId="7122"/>
    <cellStyle name="Input 7 2 5" xfId="4090"/>
    <cellStyle name="Input 7 2 5 2" xfId="12414"/>
    <cellStyle name="Input 7 2 5 2 2" xfId="24436"/>
    <cellStyle name="Input 7 2 5 2 2 2" xfId="45622"/>
    <cellStyle name="Input 7 2 5 2 3" xfId="35018"/>
    <cellStyle name="Input 7 2 5 3" xfId="19323"/>
    <cellStyle name="Input 7 2 5 3 2" xfId="40510"/>
    <cellStyle name="Input 7 2 5 4" xfId="29778"/>
    <cellStyle name="Input 7 2 5_Table 2A-1_EFT (Annual)" xfId="15387"/>
    <cellStyle name="Input 7 2 6" xfId="9753"/>
    <cellStyle name="Input 7 2 6 2" xfId="21890"/>
    <cellStyle name="Input 7 2 6 2 2" xfId="43076"/>
    <cellStyle name="Input 7 2 6 3" xfId="32472"/>
    <cellStyle name="Input 7 2 7" xfId="16777"/>
    <cellStyle name="Input 7 2 7 2" xfId="37964"/>
    <cellStyle name="Input 7 2 8" xfId="27035"/>
    <cellStyle name="Input 7 2_Table 2A-1_EFT (Annual)" xfId="3083"/>
    <cellStyle name="Input 7 3" xfId="358"/>
    <cellStyle name="Input 7 3 2" xfId="1341"/>
    <cellStyle name="Input 7 3 2 2" xfId="2611"/>
    <cellStyle name="Input 7 3 2 2 2" xfId="6172"/>
    <cellStyle name="Input 7 3 2 2 2 2" xfId="14366"/>
    <cellStyle name="Input 7 3 2 2 2 2 2" xfId="26338"/>
    <cellStyle name="Input 7 3 2 2 2 2 2 2" xfId="47524"/>
    <cellStyle name="Input 7 3 2 2 2 2 3" xfId="36920"/>
    <cellStyle name="Input 7 3 2 2 2 3" xfId="21225"/>
    <cellStyle name="Input 7 3 2 2 2 3 2" xfId="42412"/>
    <cellStyle name="Input 7 3 2 2 2 4" xfId="31828"/>
    <cellStyle name="Input 7 3 2 2 2_Table 2A-1_EFT (Annual)" xfId="15388"/>
    <cellStyle name="Input 7 3 2 2 3" xfId="11708"/>
    <cellStyle name="Input 7 3 2 2 3 2" xfId="23792"/>
    <cellStyle name="Input 7 3 2 2 3 2 2" xfId="44978"/>
    <cellStyle name="Input 7 3 2 2 3 3" xfId="34374"/>
    <cellStyle name="Input 7 3 2 2 4" xfId="18679"/>
    <cellStyle name="Input 7 3 2 2 4 2" xfId="39866"/>
    <cellStyle name="Input 7 3 2 2 5" xfId="29085"/>
    <cellStyle name="Input 7 3 2 2_Table 2A-1_EFT (Annual)" xfId="7124"/>
    <cellStyle name="Input 7 3 2 3" xfId="4902"/>
    <cellStyle name="Input 7 3 2 3 2" xfId="13162"/>
    <cellStyle name="Input 7 3 2 3 2 2" xfId="25168"/>
    <cellStyle name="Input 7 3 2 3 2 2 2" xfId="46354"/>
    <cellStyle name="Input 7 3 2 3 2 3" xfId="35750"/>
    <cellStyle name="Input 7 3 2 3 3" xfId="20055"/>
    <cellStyle name="Input 7 3 2 3 3 2" xfId="41242"/>
    <cellStyle name="Input 7 3 2 3 4" xfId="30559"/>
    <cellStyle name="Input 7 3 2 3_Table 2A-1_EFT (Annual)" xfId="15389"/>
    <cellStyle name="Input 7 3 2 4" xfId="10506"/>
    <cellStyle name="Input 7 3 2 4 2" xfId="22622"/>
    <cellStyle name="Input 7 3 2 4 2 2" xfId="43808"/>
    <cellStyle name="Input 7 3 2 4 3" xfId="33204"/>
    <cellStyle name="Input 7 3 2 5" xfId="17509"/>
    <cellStyle name="Input 7 3 2 5 2" xfId="38696"/>
    <cellStyle name="Input 7 3 2 6" xfId="27816"/>
    <cellStyle name="Input 7 3 2_Table 2A-1_EFT (Annual)" xfId="7123"/>
    <cellStyle name="Input 7 3 3" xfId="898"/>
    <cellStyle name="Input 7 3 3 2" xfId="4459"/>
    <cellStyle name="Input 7 3 3 2 2" xfId="12721"/>
    <cellStyle name="Input 7 3 3 2 2 2" xfId="24731"/>
    <cellStyle name="Input 7 3 3 2 2 2 2" xfId="45917"/>
    <cellStyle name="Input 7 3 3 2 2 3" xfId="35313"/>
    <cellStyle name="Input 7 3 3 2 3" xfId="19618"/>
    <cellStyle name="Input 7 3 3 2 3 2" xfId="40805"/>
    <cellStyle name="Input 7 3 3 2 4" xfId="30116"/>
    <cellStyle name="Input 7 3 3 2_Table 2A-1_EFT (Annual)" xfId="15390"/>
    <cellStyle name="Input 7 3 3 3" xfId="10068"/>
    <cellStyle name="Input 7 3 3 3 2" xfId="22185"/>
    <cellStyle name="Input 7 3 3 3 2 2" xfId="43371"/>
    <cellStyle name="Input 7 3 3 3 3" xfId="32767"/>
    <cellStyle name="Input 7 3 3 4" xfId="17072"/>
    <cellStyle name="Input 7 3 3 4 2" xfId="38259"/>
    <cellStyle name="Input 7 3 3 5" xfId="27373"/>
    <cellStyle name="Input 7 3 3_Table 2A-1_EFT (Annual)" xfId="7125"/>
    <cellStyle name="Input 7 3 4" xfId="2080"/>
    <cellStyle name="Input 7 3 4 2" xfId="5641"/>
    <cellStyle name="Input 7 3 4 2 2" xfId="13856"/>
    <cellStyle name="Input 7 3 4 2 2 2" xfId="25844"/>
    <cellStyle name="Input 7 3 4 2 2 2 2" xfId="47030"/>
    <cellStyle name="Input 7 3 4 2 2 3" xfId="36426"/>
    <cellStyle name="Input 7 3 4 2 3" xfId="20731"/>
    <cellStyle name="Input 7 3 4 2 3 2" xfId="41918"/>
    <cellStyle name="Input 7 3 4 2 4" xfId="31298"/>
    <cellStyle name="Input 7 3 4 2_Table 2A-1_EFT (Annual)" xfId="15391"/>
    <cellStyle name="Input 7 3 4 3" xfId="11200"/>
    <cellStyle name="Input 7 3 4 3 2" xfId="23298"/>
    <cellStyle name="Input 7 3 4 3 2 2" xfId="44484"/>
    <cellStyle name="Input 7 3 4 3 3" xfId="33880"/>
    <cellStyle name="Input 7 3 4 4" xfId="18185"/>
    <cellStyle name="Input 7 3 4 4 2" xfId="39372"/>
    <cellStyle name="Input 7 3 4 5" xfId="28555"/>
    <cellStyle name="Input 7 3 4_Table 2A-1_EFT (Annual)" xfId="7126"/>
    <cellStyle name="Input 7 3 5" xfId="3928"/>
    <cellStyle name="Input 7 3 5 2" xfId="12256"/>
    <cellStyle name="Input 7 3 5 2 2" xfId="24280"/>
    <cellStyle name="Input 7 3 5 2 2 2" xfId="45466"/>
    <cellStyle name="Input 7 3 5 2 3" xfId="34862"/>
    <cellStyle name="Input 7 3 5 3" xfId="19167"/>
    <cellStyle name="Input 7 3 5 3 2" xfId="40354"/>
    <cellStyle name="Input 7 3 5 4" xfId="29616"/>
    <cellStyle name="Input 7 3 5_Table 2A-1_EFT (Annual)" xfId="15392"/>
    <cellStyle name="Input 7 3 6" xfId="9593"/>
    <cellStyle name="Input 7 3 6 2" xfId="21734"/>
    <cellStyle name="Input 7 3 6 2 2" xfId="42920"/>
    <cellStyle name="Input 7 3 6 3" xfId="32316"/>
    <cellStyle name="Input 7 3 7" xfId="16621"/>
    <cellStyle name="Input 7 3 7 2" xfId="37808"/>
    <cellStyle name="Input 7 3 8" xfId="26873"/>
    <cellStyle name="Input 7 3_Table 2A-1_EFT (Annual)" xfId="3084"/>
    <cellStyle name="Input 7 4" xfId="1175"/>
    <cellStyle name="Input 7 4 2" xfId="2445"/>
    <cellStyle name="Input 7 4 2 2" xfId="6006"/>
    <cellStyle name="Input 7 4 2 2 2" xfId="14200"/>
    <cellStyle name="Input 7 4 2 2 2 2" xfId="26172"/>
    <cellStyle name="Input 7 4 2 2 2 2 2" xfId="47358"/>
    <cellStyle name="Input 7 4 2 2 2 3" xfId="36754"/>
    <cellStyle name="Input 7 4 2 2 3" xfId="21059"/>
    <cellStyle name="Input 7 4 2 2 3 2" xfId="42246"/>
    <cellStyle name="Input 7 4 2 2 4" xfId="31662"/>
    <cellStyle name="Input 7 4 2 2_Table 2A-1_EFT (Annual)" xfId="15393"/>
    <cellStyle name="Input 7 4 2 3" xfId="11542"/>
    <cellStyle name="Input 7 4 2 3 2" xfId="23626"/>
    <cellStyle name="Input 7 4 2 3 2 2" xfId="44812"/>
    <cellStyle name="Input 7 4 2 3 3" xfId="34208"/>
    <cellStyle name="Input 7 4 2 4" xfId="18513"/>
    <cellStyle name="Input 7 4 2 4 2" xfId="39700"/>
    <cellStyle name="Input 7 4 2 5" xfId="28919"/>
    <cellStyle name="Input 7 4 2_Table 2A-1_EFT (Annual)" xfId="7128"/>
    <cellStyle name="Input 7 4 3" xfId="4736"/>
    <cellStyle name="Input 7 4 3 2" xfId="12996"/>
    <cellStyle name="Input 7 4 3 2 2" xfId="25002"/>
    <cellStyle name="Input 7 4 3 2 2 2" xfId="46188"/>
    <cellStyle name="Input 7 4 3 2 3" xfId="35584"/>
    <cellStyle name="Input 7 4 3 3" xfId="19889"/>
    <cellStyle name="Input 7 4 3 3 2" xfId="41076"/>
    <cellStyle name="Input 7 4 3 4" xfId="30393"/>
    <cellStyle name="Input 7 4 3_Table 2A-1_EFT (Annual)" xfId="15394"/>
    <cellStyle name="Input 7 4 4" xfId="10340"/>
    <cellStyle name="Input 7 4 4 2" xfId="22456"/>
    <cellStyle name="Input 7 4 4 2 2" xfId="43642"/>
    <cellStyle name="Input 7 4 4 3" xfId="33038"/>
    <cellStyle name="Input 7 4 5" xfId="17343"/>
    <cellStyle name="Input 7 4 5 2" xfId="38530"/>
    <cellStyle name="Input 7 4 6" xfId="27650"/>
    <cellStyle name="Input 7 4_Table 2A-1_EFT (Annual)" xfId="7127"/>
    <cellStyle name="Input 7 5" xfId="739"/>
    <cellStyle name="Input 7 5 2" xfId="4300"/>
    <cellStyle name="Input 7 5 2 2" xfId="12580"/>
    <cellStyle name="Input 7 5 2 2 2" xfId="24597"/>
    <cellStyle name="Input 7 5 2 2 2 2" xfId="45783"/>
    <cellStyle name="Input 7 5 2 2 3" xfId="35179"/>
    <cellStyle name="Input 7 5 2 3" xfId="19484"/>
    <cellStyle name="Input 7 5 2 3 2" xfId="40671"/>
    <cellStyle name="Input 7 5 2 4" xfId="29957"/>
    <cellStyle name="Input 7 5 2_Table 2A-1_EFT (Annual)" xfId="15395"/>
    <cellStyle name="Input 7 5 3" xfId="9928"/>
    <cellStyle name="Input 7 5 3 2" xfId="22051"/>
    <cellStyle name="Input 7 5 3 2 2" xfId="43237"/>
    <cellStyle name="Input 7 5 3 3" xfId="32633"/>
    <cellStyle name="Input 7 5 4" xfId="16938"/>
    <cellStyle name="Input 7 5 4 2" xfId="38125"/>
    <cellStyle name="Input 7 5 5" xfId="27214"/>
    <cellStyle name="Input 7 5_Table 2A-1_EFT (Annual)" xfId="7129"/>
    <cellStyle name="Input 7 6" xfId="1793"/>
    <cellStyle name="Input 7 6 2" xfId="5354"/>
    <cellStyle name="Input 7 6 2 2" xfId="13569"/>
    <cellStyle name="Input 7 6 2 2 2" xfId="25557"/>
    <cellStyle name="Input 7 6 2 2 2 2" xfId="46743"/>
    <cellStyle name="Input 7 6 2 2 3" xfId="36139"/>
    <cellStyle name="Input 7 6 2 3" xfId="20444"/>
    <cellStyle name="Input 7 6 2 3 2" xfId="41631"/>
    <cellStyle name="Input 7 6 2 4" xfId="31011"/>
    <cellStyle name="Input 7 6 2_Table 2A-1_EFT (Annual)" xfId="15396"/>
    <cellStyle name="Input 7 6 3" xfId="10913"/>
    <cellStyle name="Input 7 6 3 2" xfId="23011"/>
    <cellStyle name="Input 7 6 3 2 2" xfId="44197"/>
    <cellStyle name="Input 7 6 3 3" xfId="33593"/>
    <cellStyle name="Input 7 6 4" xfId="17898"/>
    <cellStyle name="Input 7 6 4 2" xfId="39085"/>
    <cellStyle name="Input 7 6 5" xfId="28268"/>
    <cellStyle name="Input 7 6_Table 2A-1_EFT (Annual)" xfId="7130"/>
    <cellStyle name="Input 7 7" xfId="3716"/>
    <cellStyle name="Input 7 7 2" xfId="12084"/>
    <cellStyle name="Input 7 7 2 2" xfId="24114"/>
    <cellStyle name="Input 7 7 2 2 2" xfId="45300"/>
    <cellStyle name="Input 7 7 2 3" xfId="34696"/>
    <cellStyle name="Input 7 7 3" xfId="19001"/>
    <cellStyle name="Input 7 7 3 2" xfId="40188"/>
    <cellStyle name="Input 7 7 4" xfId="29425"/>
    <cellStyle name="Input 7 7_Table 2A-1_EFT (Annual)" xfId="15397"/>
    <cellStyle name="Input 7 8" xfId="9403"/>
    <cellStyle name="Input 7 8 2" xfId="21568"/>
    <cellStyle name="Input 7 8 2 2" xfId="42754"/>
    <cellStyle name="Input 7 8 3" xfId="32150"/>
    <cellStyle name="Input 7 9" xfId="16455"/>
    <cellStyle name="Input 7 9 2" xfId="37642"/>
    <cellStyle name="Input 7_Table 2A-1_EFT (Annual)" xfId="3082"/>
    <cellStyle name="Input 8" xfId="122"/>
    <cellStyle name="Input 8 10" xfId="26677"/>
    <cellStyle name="Input 8 2" xfId="515"/>
    <cellStyle name="Input 8 2 2" xfId="1492"/>
    <cellStyle name="Input 8 2 2 2" xfId="2762"/>
    <cellStyle name="Input 8 2 2 2 2" xfId="6323"/>
    <cellStyle name="Input 8 2 2 2 2 2" xfId="14517"/>
    <cellStyle name="Input 8 2 2 2 2 2 2" xfId="26489"/>
    <cellStyle name="Input 8 2 2 2 2 2 2 2" xfId="47675"/>
    <cellStyle name="Input 8 2 2 2 2 2 3" xfId="37071"/>
    <cellStyle name="Input 8 2 2 2 2 3" xfId="21376"/>
    <cellStyle name="Input 8 2 2 2 2 3 2" xfId="42563"/>
    <cellStyle name="Input 8 2 2 2 2 4" xfId="31979"/>
    <cellStyle name="Input 8 2 2 2 2_Table 2A-1_EFT (Annual)" xfId="15398"/>
    <cellStyle name="Input 8 2 2 2 3" xfId="11859"/>
    <cellStyle name="Input 8 2 2 2 3 2" xfId="23943"/>
    <cellStyle name="Input 8 2 2 2 3 2 2" xfId="45129"/>
    <cellStyle name="Input 8 2 2 2 3 3" xfId="34525"/>
    <cellStyle name="Input 8 2 2 2 4" xfId="18830"/>
    <cellStyle name="Input 8 2 2 2 4 2" xfId="40017"/>
    <cellStyle name="Input 8 2 2 2 5" xfId="29236"/>
    <cellStyle name="Input 8 2 2 2_Table 2A-1_EFT (Annual)" xfId="7132"/>
    <cellStyle name="Input 8 2 2 3" xfId="5053"/>
    <cellStyle name="Input 8 2 2 3 2" xfId="13313"/>
    <cellStyle name="Input 8 2 2 3 2 2" xfId="25319"/>
    <cellStyle name="Input 8 2 2 3 2 2 2" xfId="46505"/>
    <cellStyle name="Input 8 2 2 3 2 3" xfId="35901"/>
    <cellStyle name="Input 8 2 2 3 3" xfId="20206"/>
    <cellStyle name="Input 8 2 2 3 3 2" xfId="41393"/>
    <cellStyle name="Input 8 2 2 3 4" xfId="30710"/>
    <cellStyle name="Input 8 2 2 3_Table 2A-1_EFT (Annual)" xfId="15399"/>
    <cellStyle name="Input 8 2 2 4" xfId="10657"/>
    <cellStyle name="Input 8 2 2 4 2" xfId="22773"/>
    <cellStyle name="Input 8 2 2 4 2 2" xfId="43959"/>
    <cellStyle name="Input 8 2 2 4 3" xfId="33355"/>
    <cellStyle name="Input 8 2 2 5" xfId="17660"/>
    <cellStyle name="Input 8 2 2 5 2" xfId="38847"/>
    <cellStyle name="Input 8 2 2 6" xfId="27967"/>
    <cellStyle name="Input 8 2 2_Table 2A-1_EFT (Annual)" xfId="7131"/>
    <cellStyle name="Input 8 2 3" xfId="1026"/>
    <cellStyle name="Input 8 2 3 2" xfId="4587"/>
    <cellStyle name="Input 8 2 3 2 2" xfId="12847"/>
    <cellStyle name="Input 8 2 3 2 2 2" xfId="24853"/>
    <cellStyle name="Input 8 2 3 2 2 2 2" xfId="46039"/>
    <cellStyle name="Input 8 2 3 2 2 3" xfId="35435"/>
    <cellStyle name="Input 8 2 3 2 3" xfId="19740"/>
    <cellStyle name="Input 8 2 3 2 3 2" xfId="40927"/>
    <cellStyle name="Input 8 2 3 2 4" xfId="30244"/>
    <cellStyle name="Input 8 2 3 2_Table 2A-1_EFT (Annual)" xfId="15400"/>
    <cellStyle name="Input 8 2 3 3" xfId="10191"/>
    <cellStyle name="Input 8 2 3 3 2" xfId="22307"/>
    <cellStyle name="Input 8 2 3 3 2 2" xfId="43493"/>
    <cellStyle name="Input 8 2 3 3 3" xfId="32889"/>
    <cellStyle name="Input 8 2 3 4" xfId="17194"/>
    <cellStyle name="Input 8 2 3 4 2" xfId="38381"/>
    <cellStyle name="Input 8 2 3 5" xfId="27501"/>
    <cellStyle name="Input 8 2 3_Table 2A-1_EFT (Annual)" xfId="7133"/>
    <cellStyle name="Input 8 2 4" xfId="2231"/>
    <cellStyle name="Input 8 2 4 2" xfId="5792"/>
    <cellStyle name="Input 8 2 4 2 2" xfId="14007"/>
    <cellStyle name="Input 8 2 4 2 2 2" xfId="25995"/>
    <cellStyle name="Input 8 2 4 2 2 2 2" xfId="47181"/>
    <cellStyle name="Input 8 2 4 2 2 3" xfId="36577"/>
    <cellStyle name="Input 8 2 4 2 3" xfId="20882"/>
    <cellStyle name="Input 8 2 4 2 3 2" xfId="42069"/>
    <cellStyle name="Input 8 2 4 2 4" xfId="31449"/>
    <cellStyle name="Input 8 2 4 2_Table 2A-1_EFT (Annual)" xfId="15401"/>
    <cellStyle name="Input 8 2 4 3" xfId="11351"/>
    <cellStyle name="Input 8 2 4 3 2" xfId="23449"/>
    <cellStyle name="Input 8 2 4 3 2 2" xfId="44635"/>
    <cellStyle name="Input 8 2 4 3 3" xfId="34031"/>
    <cellStyle name="Input 8 2 4 4" xfId="18336"/>
    <cellStyle name="Input 8 2 4 4 2" xfId="39523"/>
    <cellStyle name="Input 8 2 4 5" xfId="28706"/>
    <cellStyle name="Input 8 2 4_Table 2A-1_EFT (Annual)" xfId="7134"/>
    <cellStyle name="Input 8 2 5" xfId="4085"/>
    <cellStyle name="Input 8 2 5 2" xfId="12409"/>
    <cellStyle name="Input 8 2 5 2 2" xfId="24431"/>
    <cellStyle name="Input 8 2 5 2 2 2" xfId="45617"/>
    <cellStyle name="Input 8 2 5 2 3" xfId="35013"/>
    <cellStyle name="Input 8 2 5 3" xfId="19318"/>
    <cellStyle name="Input 8 2 5 3 2" xfId="40505"/>
    <cellStyle name="Input 8 2 5 4" xfId="29773"/>
    <cellStyle name="Input 8 2 5_Table 2A-1_EFT (Annual)" xfId="15402"/>
    <cellStyle name="Input 8 2 6" xfId="9748"/>
    <cellStyle name="Input 8 2 6 2" xfId="21885"/>
    <cellStyle name="Input 8 2 6 2 2" xfId="43071"/>
    <cellStyle name="Input 8 2 6 3" xfId="32467"/>
    <cellStyle name="Input 8 2 7" xfId="16772"/>
    <cellStyle name="Input 8 2 7 2" xfId="37959"/>
    <cellStyle name="Input 8 2 8" xfId="27030"/>
    <cellStyle name="Input 8 2_Table 2A-1_EFT (Annual)" xfId="3086"/>
    <cellStyle name="Input 8 3" xfId="353"/>
    <cellStyle name="Input 8 3 2" xfId="1336"/>
    <cellStyle name="Input 8 3 2 2" xfId="2606"/>
    <cellStyle name="Input 8 3 2 2 2" xfId="6167"/>
    <cellStyle name="Input 8 3 2 2 2 2" xfId="14361"/>
    <cellStyle name="Input 8 3 2 2 2 2 2" xfId="26333"/>
    <cellStyle name="Input 8 3 2 2 2 2 2 2" xfId="47519"/>
    <cellStyle name="Input 8 3 2 2 2 2 3" xfId="36915"/>
    <cellStyle name="Input 8 3 2 2 2 3" xfId="21220"/>
    <cellStyle name="Input 8 3 2 2 2 3 2" xfId="42407"/>
    <cellStyle name="Input 8 3 2 2 2 4" xfId="31823"/>
    <cellStyle name="Input 8 3 2 2 2_Table 2A-1_EFT (Annual)" xfId="15403"/>
    <cellStyle name="Input 8 3 2 2 3" xfId="11703"/>
    <cellStyle name="Input 8 3 2 2 3 2" xfId="23787"/>
    <cellStyle name="Input 8 3 2 2 3 2 2" xfId="44973"/>
    <cellStyle name="Input 8 3 2 2 3 3" xfId="34369"/>
    <cellStyle name="Input 8 3 2 2 4" xfId="18674"/>
    <cellStyle name="Input 8 3 2 2 4 2" xfId="39861"/>
    <cellStyle name="Input 8 3 2 2 5" xfId="29080"/>
    <cellStyle name="Input 8 3 2 2_Table 2A-1_EFT (Annual)" xfId="7136"/>
    <cellStyle name="Input 8 3 2 3" xfId="4897"/>
    <cellStyle name="Input 8 3 2 3 2" xfId="13157"/>
    <cellStyle name="Input 8 3 2 3 2 2" xfId="25163"/>
    <cellStyle name="Input 8 3 2 3 2 2 2" xfId="46349"/>
    <cellStyle name="Input 8 3 2 3 2 3" xfId="35745"/>
    <cellStyle name="Input 8 3 2 3 3" xfId="20050"/>
    <cellStyle name="Input 8 3 2 3 3 2" xfId="41237"/>
    <cellStyle name="Input 8 3 2 3 4" xfId="30554"/>
    <cellStyle name="Input 8 3 2 3_Table 2A-1_EFT (Annual)" xfId="15404"/>
    <cellStyle name="Input 8 3 2 4" xfId="10501"/>
    <cellStyle name="Input 8 3 2 4 2" xfId="22617"/>
    <cellStyle name="Input 8 3 2 4 2 2" xfId="43803"/>
    <cellStyle name="Input 8 3 2 4 3" xfId="33199"/>
    <cellStyle name="Input 8 3 2 5" xfId="17504"/>
    <cellStyle name="Input 8 3 2 5 2" xfId="38691"/>
    <cellStyle name="Input 8 3 2 6" xfId="27811"/>
    <cellStyle name="Input 8 3 2_Table 2A-1_EFT (Annual)" xfId="7135"/>
    <cellStyle name="Input 8 3 3" xfId="894"/>
    <cellStyle name="Input 8 3 3 2" xfId="4455"/>
    <cellStyle name="Input 8 3 3 2 2" xfId="12717"/>
    <cellStyle name="Input 8 3 3 2 2 2" xfId="24727"/>
    <cellStyle name="Input 8 3 3 2 2 2 2" xfId="45913"/>
    <cellStyle name="Input 8 3 3 2 2 3" xfId="35309"/>
    <cellStyle name="Input 8 3 3 2 3" xfId="19614"/>
    <cellStyle name="Input 8 3 3 2 3 2" xfId="40801"/>
    <cellStyle name="Input 8 3 3 2 4" xfId="30112"/>
    <cellStyle name="Input 8 3 3 2_Table 2A-1_EFT (Annual)" xfId="15405"/>
    <cellStyle name="Input 8 3 3 3" xfId="10064"/>
    <cellStyle name="Input 8 3 3 3 2" xfId="22181"/>
    <cellStyle name="Input 8 3 3 3 2 2" xfId="43367"/>
    <cellStyle name="Input 8 3 3 3 3" xfId="32763"/>
    <cellStyle name="Input 8 3 3 4" xfId="17068"/>
    <cellStyle name="Input 8 3 3 4 2" xfId="38255"/>
    <cellStyle name="Input 8 3 3 5" xfId="27369"/>
    <cellStyle name="Input 8 3 3_Table 2A-1_EFT (Annual)" xfId="7137"/>
    <cellStyle name="Input 8 3 4" xfId="2075"/>
    <cellStyle name="Input 8 3 4 2" xfId="5636"/>
    <cellStyle name="Input 8 3 4 2 2" xfId="13851"/>
    <cellStyle name="Input 8 3 4 2 2 2" xfId="25839"/>
    <cellStyle name="Input 8 3 4 2 2 2 2" xfId="47025"/>
    <cellStyle name="Input 8 3 4 2 2 3" xfId="36421"/>
    <cellStyle name="Input 8 3 4 2 3" xfId="20726"/>
    <cellStyle name="Input 8 3 4 2 3 2" xfId="41913"/>
    <cellStyle name="Input 8 3 4 2 4" xfId="31293"/>
    <cellStyle name="Input 8 3 4 2_Table 2A-1_EFT (Annual)" xfId="15406"/>
    <cellStyle name="Input 8 3 4 3" xfId="11195"/>
    <cellStyle name="Input 8 3 4 3 2" xfId="23293"/>
    <cellStyle name="Input 8 3 4 3 2 2" xfId="44479"/>
    <cellStyle name="Input 8 3 4 3 3" xfId="33875"/>
    <cellStyle name="Input 8 3 4 4" xfId="18180"/>
    <cellStyle name="Input 8 3 4 4 2" xfId="39367"/>
    <cellStyle name="Input 8 3 4 5" xfId="28550"/>
    <cellStyle name="Input 8 3 4_Table 2A-1_EFT (Annual)" xfId="7138"/>
    <cellStyle name="Input 8 3 5" xfId="3923"/>
    <cellStyle name="Input 8 3 5 2" xfId="12251"/>
    <cellStyle name="Input 8 3 5 2 2" xfId="24275"/>
    <cellStyle name="Input 8 3 5 2 2 2" xfId="45461"/>
    <cellStyle name="Input 8 3 5 2 3" xfId="34857"/>
    <cellStyle name="Input 8 3 5 3" xfId="19162"/>
    <cellStyle name="Input 8 3 5 3 2" xfId="40349"/>
    <cellStyle name="Input 8 3 5 4" xfId="29611"/>
    <cellStyle name="Input 8 3 5_Table 2A-1_EFT (Annual)" xfId="15407"/>
    <cellStyle name="Input 8 3 6" xfId="9588"/>
    <cellStyle name="Input 8 3 6 2" xfId="21729"/>
    <cellStyle name="Input 8 3 6 2 2" xfId="42915"/>
    <cellStyle name="Input 8 3 6 3" xfId="32311"/>
    <cellStyle name="Input 8 3 7" xfId="16616"/>
    <cellStyle name="Input 8 3 7 2" xfId="37803"/>
    <cellStyle name="Input 8 3 8" xfId="26868"/>
    <cellStyle name="Input 8 3_Table 2A-1_EFT (Annual)" xfId="3087"/>
    <cellStyle name="Input 8 4" xfId="1170"/>
    <cellStyle name="Input 8 4 2" xfId="2440"/>
    <cellStyle name="Input 8 4 2 2" xfId="6001"/>
    <cellStyle name="Input 8 4 2 2 2" xfId="14195"/>
    <cellStyle name="Input 8 4 2 2 2 2" xfId="26167"/>
    <cellStyle name="Input 8 4 2 2 2 2 2" xfId="47353"/>
    <cellStyle name="Input 8 4 2 2 2 3" xfId="36749"/>
    <cellStyle name="Input 8 4 2 2 3" xfId="21054"/>
    <cellStyle name="Input 8 4 2 2 3 2" xfId="42241"/>
    <cellStyle name="Input 8 4 2 2 4" xfId="31657"/>
    <cellStyle name="Input 8 4 2 2_Table 2A-1_EFT (Annual)" xfId="15408"/>
    <cellStyle name="Input 8 4 2 3" xfId="11537"/>
    <cellStyle name="Input 8 4 2 3 2" xfId="23621"/>
    <cellStyle name="Input 8 4 2 3 2 2" xfId="44807"/>
    <cellStyle name="Input 8 4 2 3 3" xfId="34203"/>
    <cellStyle name="Input 8 4 2 4" xfId="18508"/>
    <cellStyle name="Input 8 4 2 4 2" xfId="39695"/>
    <cellStyle name="Input 8 4 2 5" xfId="28914"/>
    <cellStyle name="Input 8 4 2_Table 2A-1_EFT (Annual)" xfId="7140"/>
    <cellStyle name="Input 8 4 3" xfId="4731"/>
    <cellStyle name="Input 8 4 3 2" xfId="12991"/>
    <cellStyle name="Input 8 4 3 2 2" xfId="24997"/>
    <cellStyle name="Input 8 4 3 2 2 2" xfId="46183"/>
    <cellStyle name="Input 8 4 3 2 3" xfId="35579"/>
    <cellStyle name="Input 8 4 3 3" xfId="19884"/>
    <cellStyle name="Input 8 4 3 3 2" xfId="41071"/>
    <cellStyle name="Input 8 4 3 4" xfId="30388"/>
    <cellStyle name="Input 8 4 3_Table 2A-1_EFT (Annual)" xfId="15409"/>
    <cellStyle name="Input 8 4 4" xfId="10335"/>
    <cellStyle name="Input 8 4 4 2" xfId="22451"/>
    <cellStyle name="Input 8 4 4 2 2" xfId="43637"/>
    <cellStyle name="Input 8 4 4 3" xfId="33033"/>
    <cellStyle name="Input 8 4 5" xfId="17338"/>
    <cellStyle name="Input 8 4 5 2" xfId="38525"/>
    <cellStyle name="Input 8 4 6" xfId="27645"/>
    <cellStyle name="Input 8 4_Table 2A-1_EFT (Annual)" xfId="7139"/>
    <cellStyle name="Input 8 5" xfId="735"/>
    <cellStyle name="Input 8 5 2" xfId="4296"/>
    <cellStyle name="Input 8 5 2 2" xfId="12576"/>
    <cellStyle name="Input 8 5 2 2 2" xfId="24593"/>
    <cellStyle name="Input 8 5 2 2 2 2" xfId="45779"/>
    <cellStyle name="Input 8 5 2 2 3" xfId="35175"/>
    <cellStyle name="Input 8 5 2 3" xfId="19480"/>
    <cellStyle name="Input 8 5 2 3 2" xfId="40667"/>
    <cellStyle name="Input 8 5 2 4" xfId="29953"/>
    <cellStyle name="Input 8 5 2_Table 2A-1_EFT (Annual)" xfId="15410"/>
    <cellStyle name="Input 8 5 3" xfId="9924"/>
    <cellStyle name="Input 8 5 3 2" xfId="22047"/>
    <cellStyle name="Input 8 5 3 2 2" xfId="43233"/>
    <cellStyle name="Input 8 5 3 3" xfId="32629"/>
    <cellStyle name="Input 8 5 4" xfId="16934"/>
    <cellStyle name="Input 8 5 4 2" xfId="38121"/>
    <cellStyle name="Input 8 5 5" xfId="27210"/>
    <cellStyle name="Input 8 5_Table 2A-1_EFT (Annual)" xfId="7141"/>
    <cellStyle name="Input 8 6" xfId="1863"/>
    <cellStyle name="Input 8 6 2" xfId="5424"/>
    <cellStyle name="Input 8 6 2 2" xfId="13639"/>
    <cellStyle name="Input 8 6 2 2 2" xfId="25627"/>
    <cellStyle name="Input 8 6 2 2 2 2" xfId="46813"/>
    <cellStyle name="Input 8 6 2 2 3" xfId="36209"/>
    <cellStyle name="Input 8 6 2 3" xfId="20514"/>
    <cellStyle name="Input 8 6 2 3 2" xfId="41701"/>
    <cellStyle name="Input 8 6 2 4" xfId="31081"/>
    <cellStyle name="Input 8 6 2_Table 2A-1_EFT (Annual)" xfId="15411"/>
    <cellStyle name="Input 8 6 3" xfId="10983"/>
    <cellStyle name="Input 8 6 3 2" xfId="23081"/>
    <cellStyle name="Input 8 6 3 2 2" xfId="44267"/>
    <cellStyle name="Input 8 6 3 3" xfId="33663"/>
    <cellStyle name="Input 8 6 4" xfId="17968"/>
    <cellStyle name="Input 8 6 4 2" xfId="39155"/>
    <cellStyle name="Input 8 6 5" xfId="28338"/>
    <cellStyle name="Input 8 6_Table 2A-1_EFT (Annual)" xfId="7142"/>
    <cellStyle name="Input 8 7" xfId="3711"/>
    <cellStyle name="Input 8 7 2" xfId="12079"/>
    <cellStyle name="Input 8 7 2 2" xfId="24109"/>
    <cellStyle name="Input 8 7 2 2 2" xfId="45295"/>
    <cellStyle name="Input 8 7 2 3" xfId="34691"/>
    <cellStyle name="Input 8 7 3" xfId="18996"/>
    <cellStyle name="Input 8 7 3 2" xfId="40183"/>
    <cellStyle name="Input 8 7 4" xfId="29420"/>
    <cellStyle name="Input 8 7_Table 2A-1_EFT (Annual)" xfId="15412"/>
    <cellStyle name="Input 8 8" xfId="9398"/>
    <cellStyle name="Input 8 8 2" xfId="21563"/>
    <cellStyle name="Input 8 8 2 2" xfId="42749"/>
    <cellStyle name="Input 8 8 3" xfId="32145"/>
    <cellStyle name="Input 8 9" xfId="16450"/>
    <cellStyle name="Input 8 9 2" xfId="37637"/>
    <cellStyle name="Input 8_Table 2A-1_EFT (Annual)" xfId="3085"/>
    <cellStyle name="Input 9" xfId="112"/>
    <cellStyle name="Input 9 10" xfId="26667"/>
    <cellStyle name="Input 9 2" xfId="505"/>
    <cellStyle name="Input 9 2 2" xfId="1482"/>
    <cellStyle name="Input 9 2 2 2" xfId="2752"/>
    <cellStyle name="Input 9 2 2 2 2" xfId="6313"/>
    <cellStyle name="Input 9 2 2 2 2 2" xfId="14507"/>
    <cellStyle name="Input 9 2 2 2 2 2 2" xfId="26479"/>
    <cellStyle name="Input 9 2 2 2 2 2 2 2" xfId="47665"/>
    <cellStyle name="Input 9 2 2 2 2 2 3" xfId="37061"/>
    <cellStyle name="Input 9 2 2 2 2 3" xfId="21366"/>
    <cellStyle name="Input 9 2 2 2 2 3 2" xfId="42553"/>
    <cellStyle name="Input 9 2 2 2 2 4" xfId="31969"/>
    <cellStyle name="Input 9 2 2 2 2_Table 2A-1_EFT (Annual)" xfId="15413"/>
    <cellStyle name="Input 9 2 2 2 3" xfId="11849"/>
    <cellStyle name="Input 9 2 2 2 3 2" xfId="23933"/>
    <cellStyle name="Input 9 2 2 2 3 2 2" xfId="45119"/>
    <cellStyle name="Input 9 2 2 2 3 3" xfId="34515"/>
    <cellStyle name="Input 9 2 2 2 4" xfId="18820"/>
    <cellStyle name="Input 9 2 2 2 4 2" xfId="40007"/>
    <cellStyle name="Input 9 2 2 2 5" xfId="29226"/>
    <cellStyle name="Input 9 2 2 2_Table 2A-1_EFT (Annual)" xfId="7144"/>
    <cellStyle name="Input 9 2 2 3" xfId="5043"/>
    <cellStyle name="Input 9 2 2 3 2" xfId="13303"/>
    <cellStyle name="Input 9 2 2 3 2 2" xfId="25309"/>
    <cellStyle name="Input 9 2 2 3 2 2 2" xfId="46495"/>
    <cellStyle name="Input 9 2 2 3 2 3" xfId="35891"/>
    <cellStyle name="Input 9 2 2 3 3" xfId="20196"/>
    <cellStyle name="Input 9 2 2 3 3 2" xfId="41383"/>
    <cellStyle name="Input 9 2 2 3 4" xfId="30700"/>
    <cellStyle name="Input 9 2 2 3_Table 2A-1_EFT (Annual)" xfId="15414"/>
    <cellStyle name="Input 9 2 2 4" xfId="10647"/>
    <cellStyle name="Input 9 2 2 4 2" xfId="22763"/>
    <cellStyle name="Input 9 2 2 4 2 2" xfId="43949"/>
    <cellStyle name="Input 9 2 2 4 3" xfId="33345"/>
    <cellStyle name="Input 9 2 2 5" xfId="17650"/>
    <cellStyle name="Input 9 2 2 5 2" xfId="38837"/>
    <cellStyle name="Input 9 2 2 6" xfId="27957"/>
    <cellStyle name="Input 9 2 2_Table 2A-1_EFT (Annual)" xfId="7143"/>
    <cellStyle name="Input 9 2 3" xfId="1018"/>
    <cellStyle name="Input 9 2 3 2" xfId="4579"/>
    <cellStyle name="Input 9 2 3 2 2" xfId="12839"/>
    <cellStyle name="Input 9 2 3 2 2 2" xfId="24845"/>
    <cellStyle name="Input 9 2 3 2 2 2 2" xfId="46031"/>
    <cellStyle name="Input 9 2 3 2 2 3" xfId="35427"/>
    <cellStyle name="Input 9 2 3 2 3" xfId="19732"/>
    <cellStyle name="Input 9 2 3 2 3 2" xfId="40919"/>
    <cellStyle name="Input 9 2 3 2 4" xfId="30236"/>
    <cellStyle name="Input 9 2 3 2_Table 2A-1_EFT (Annual)" xfId="15415"/>
    <cellStyle name="Input 9 2 3 3" xfId="10183"/>
    <cellStyle name="Input 9 2 3 3 2" xfId="22299"/>
    <cellStyle name="Input 9 2 3 3 2 2" xfId="43485"/>
    <cellStyle name="Input 9 2 3 3 3" xfId="32881"/>
    <cellStyle name="Input 9 2 3 4" xfId="17186"/>
    <cellStyle name="Input 9 2 3 4 2" xfId="38373"/>
    <cellStyle name="Input 9 2 3 5" xfId="27493"/>
    <cellStyle name="Input 9 2 3_Table 2A-1_EFT (Annual)" xfId="7145"/>
    <cellStyle name="Input 9 2 4" xfId="2221"/>
    <cellStyle name="Input 9 2 4 2" xfId="5782"/>
    <cellStyle name="Input 9 2 4 2 2" xfId="13997"/>
    <cellStyle name="Input 9 2 4 2 2 2" xfId="25985"/>
    <cellStyle name="Input 9 2 4 2 2 2 2" xfId="47171"/>
    <cellStyle name="Input 9 2 4 2 2 3" xfId="36567"/>
    <cellStyle name="Input 9 2 4 2 3" xfId="20872"/>
    <cellStyle name="Input 9 2 4 2 3 2" xfId="42059"/>
    <cellStyle name="Input 9 2 4 2 4" xfId="31439"/>
    <cellStyle name="Input 9 2 4 2_Table 2A-1_EFT (Annual)" xfId="15416"/>
    <cellStyle name="Input 9 2 4 3" xfId="11341"/>
    <cellStyle name="Input 9 2 4 3 2" xfId="23439"/>
    <cellStyle name="Input 9 2 4 3 2 2" xfId="44625"/>
    <cellStyle name="Input 9 2 4 3 3" xfId="34021"/>
    <cellStyle name="Input 9 2 4 4" xfId="18326"/>
    <cellStyle name="Input 9 2 4 4 2" xfId="39513"/>
    <cellStyle name="Input 9 2 4 5" xfId="28696"/>
    <cellStyle name="Input 9 2 4_Table 2A-1_EFT (Annual)" xfId="7146"/>
    <cellStyle name="Input 9 2 5" xfId="4075"/>
    <cellStyle name="Input 9 2 5 2" xfId="12399"/>
    <cellStyle name="Input 9 2 5 2 2" xfId="24421"/>
    <cellStyle name="Input 9 2 5 2 2 2" xfId="45607"/>
    <cellStyle name="Input 9 2 5 2 3" xfId="35003"/>
    <cellStyle name="Input 9 2 5 3" xfId="19308"/>
    <cellStyle name="Input 9 2 5 3 2" xfId="40495"/>
    <cellStyle name="Input 9 2 5 4" xfId="29763"/>
    <cellStyle name="Input 9 2 5_Table 2A-1_EFT (Annual)" xfId="15417"/>
    <cellStyle name="Input 9 2 6" xfId="9738"/>
    <cellStyle name="Input 9 2 6 2" xfId="21875"/>
    <cellStyle name="Input 9 2 6 2 2" xfId="43061"/>
    <cellStyle name="Input 9 2 6 3" xfId="32457"/>
    <cellStyle name="Input 9 2 7" xfId="16762"/>
    <cellStyle name="Input 9 2 7 2" xfId="37949"/>
    <cellStyle name="Input 9 2 8" xfId="27020"/>
    <cellStyle name="Input 9 2_Table 2A-1_EFT (Annual)" xfId="3089"/>
    <cellStyle name="Input 9 3" xfId="343"/>
    <cellStyle name="Input 9 3 2" xfId="1326"/>
    <cellStyle name="Input 9 3 2 2" xfId="2596"/>
    <cellStyle name="Input 9 3 2 2 2" xfId="6157"/>
    <cellStyle name="Input 9 3 2 2 2 2" xfId="14351"/>
    <cellStyle name="Input 9 3 2 2 2 2 2" xfId="26323"/>
    <cellStyle name="Input 9 3 2 2 2 2 2 2" xfId="47509"/>
    <cellStyle name="Input 9 3 2 2 2 2 3" xfId="36905"/>
    <cellStyle name="Input 9 3 2 2 2 3" xfId="21210"/>
    <cellStyle name="Input 9 3 2 2 2 3 2" xfId="42397"/>
    <cellStyle name="Input 9 3 2 2 2 4" xfId="31813"/>
    <cellStyle name="Input 9 3 2 2 2_Table 2A-1_EFT (Annual)" xfId="15418"/>
    <cellStyle name="Input 9 3 2 2 3" xfId="11693"/>
    <cellStyle name="Input 9 3 2 2 3 2" xfId="23777"/>
    <cellStyle name="Input 9 3 2 2 3 2 2" xfId="44963"/>
    <cellStyle name="Input 9 3 2 2 3 3" xfId="34359"/>
    <cellStyle name="Input 9 3 2 2 4" xfId="18664"/>
    <cellStyle name="Input 9 3 2 2 4 2" xfId="39851"/>
    <cellStyle name="Input 9 3 2 2 5" xfId="29070"/>
    <cellStyle name="Input 9 3 2 2_Table 2A-1_EFT (Annual)" xfId="7148"/>
    <cellStyle name="Input 9 3 2 3" xfId="4887"/>
    <cellStyle name="Input 9 3 2 3 2" xfId="13147"/>
    <cellStyle name="Input 9 3 2 3 2 2" xfId="25153"/>
    <cellStyle name="Input 9 3 2 3 2 2 2" xfId="46339"/>
    <cellStyle name="Input 9 3 2 3 2 3" xfId="35735"/>
    <cellStyle name="Input 9 3 2 3 3" xfId="20040"/>
    <cellStyle name="Input 9 3 2 3 3 2" xfId="41227"/>
    <cellStyle name="Input 9 3 2 3 4" xfId="30544"/>
    <cellStyle name="Input 9 3 2 3_Table 2A-1_EFT (Annual)" xfId="15419"/>
    <cellStyle name="Input 9 3 2 4" xfId="10491"/>
    <cellStyle name="Input 9 3 2 4 2" xfId="22607"/>
    <cellStyle name="Input 9 3 2 4 2 2" xfId="43793"/>
    <cellStyle name="Input 9 3 2 4 3" xfId="33189"/>
    <cellStyle name="Input 9 3 2 5" xfId="17494"/>
    <cellStyle name="Input 9 3 2 5 2" xfId="38681"/>
    <cellStyle name="Input 9 3 2 6" xfId="27801"/>
    <cellStyle name="Input 9 3 2_Table 2A-1_EFT (Annual)" xfId="7147"/>
    <cellStyle name="Input 9 3 3" xfId="886"/>
    <cellStyle name="Input 9 3 3 2" xfId="4447"/>
    <cellStyle name="Input 9 3 3 2 2" xfId="12709"/>
    <cellStyle name="Input 9 3 3 2 2 2" xfId="24719"/>
    <cellStyle name="Input 9 3 3 2 2 2 2" xfId="45905"/>
    <cellStyle name="Input 9 3 3 2 2 3" xfId="35301"/>
    <cellStyle name="Input 9 3 3 2 3" xfId="19606"/>
    <cellStyle name="Input 9 3 3 2 3 2" xfId="40793"/>
    <cellStyle name="Input 9 3 3 2 4" xfId="30104"/>
    <cellStyle name="Input 9 3 3 2_Table 2A-1_EFT (Annual)" xfId="15420"/>
    <cellStyle name="Input 9 3 3 3" xfId="10056"/>
    <cellStyle name="Input 9 3 3 3 2" xfId="22173"/>
    <cellStyle name="Input 9 3 3 3 2 2" xfId="43359"/>
    <cellStyle name="Input 9 3 3 3 3" xfId="32755"/>
    <cellStyle name="Input 9 3 3 4" xfId="17060"/>
    <cellStyle name="Input 9 3 3 4 2" xfId="38247"/>
    <cellStyle name="Input 9 3 3 5" xfId="27361"/>
    <cellStyle name="Input 9 3 3_Table 2A-1_EFT (Annual)" xfId="7149"/>
    <cellStyle name="Input 9 3 4" xfId="2065"/>
    <cellStyle name="Input 9 3 4 2" xfId="5626"/>
    <cellStyle name="Input 9 3 4 2 2" xfId="13841"/>
    <cellStyle name="Input 9 3 4 2 2 2" xfId="25829"/>
    <cellStyle name="Input 9 3 4 2 2 2 2" xfId="47015"/>
    <cellStyle name="Input 9 3 4 2 2 3" xfId="36411"/>
    <cellStyle name="Input 9 3 4 2 3" xfId="20716"/>
    <cellStyle name="Input 9 3 4 2 3 2" xfId="41903"/>
    <cellStyle name="Input 9 3 4 2 4" xfId="31283"/>
    <cellStyle name="Input 9 3 4 2_Table 2A-1_EFT (Annual)" xfId="15421"/>
    <cellStyle name="Input 9 3 4 3" xfId="11185"/>
    <cellStyle name="Input 9 3 4 3 2" xfId="23283"/>
    <cellStyle name="Input 9 3 4 3 2 2" xfId="44469"/>
    <cellStyle name="Input 9 3 4 3 3" xfId="33865"/>
    <cellStyle name="Input 9 3 4 4" xfId="18170"/>
    <cellStyle name="Input 9 3 4 4 2" xfId="39357"/>
    <cellStyle name="Input 9 3 4 5" xfId="28540"/>
    <cellStyle name="Input 9 3 4_Table 2A-1_EFT (Annual)" xfId="7150"/>
    <cellStyle name="Input 9 3 5" xfId="3913"/>
    <cellStyle name="Input 9 3 5 2" xfId="12241"/>
    <cellStyle name="Input 9 3 5 2 2" xfId="24265"/>
    <cellStyle name="Input 9 3 5 2 2 2" xfId="45451"/>
    <cellStyle name="Input 9 3 5 2 3" xfId="34847"/>
    <cellStyle name="Input 9 3 5 3" xfId="19152"/>
    <cellStyle name="Input 9 3 5 3 2" xfId="40339"/>
    <cellStyle name="Input 9 3 5 4" xfId="29601"/>
    <cellStyle name="Input 9 3 5_Table 2A-1_EFT (Annual)" xfId="15422"/>
    <cellStyle name="Input 9 3 6" xfId="9578"/>
    <cellStyle name="Input 9 3 6 2" xfId="21719"/>
    <cellStyle name="Input 9 3 6 2 2" xfId="42905"/>
    <cellStyle name="Input 9 3 6 3" xfId="32301"/>
    <cellStyle name="Input 9 3 7" xfId="16606"/>
    <cellStyle name="Input 9 3 7 2" xfId="37793"/>
    <cellStyle name="Input 9 3 8" xfId="26858"/>
    <cellStyle name="Input 9 3_Table 2A-1_EFT (Annual)" xfId="3090"/>
    <cellStyle name="Input 9 4" xfId="1160"/>
    <cellStyle name="Input 9 4 2" xfId="2430"/>
    <cellStyle name="Input 9 4 2 2" xfId="5991"/>
    <cellStyle name="Input 9 4 2 2 2" xfId="14185"/>
    <cellStyle name="Input 9 4 2 2 2 2" xfId="26157"/>
    <cellStyle name="Input 9 4 2 2 2 2 2" xfId="47343"/>
    <cellStyle name="Input 9 4 2 2 2 3" xfId="36739"/>
    <cellStyle name="Input 9 4 2 2 3" xfId="21044"/>
    <cellStyle name="Input 9 4 2 2 3 2" xfId="42231"/>
    <cellStyle name="Input 9 4 2 2 4" xfId="31647"/>
    <cellStyle name="Input 9 4 2 2_Table 2A-1_EFT (Annual)" xfId="15423"/>
    <cellStyle name="Input 9 4 2 3" xfId="11527"/>
    <cellStyle name="Input 9 4 2 3 2" xfId="23611"/>
    <cellStyle name="Input 9 4 2 3 2 2" xfId="44797"/>
    <cellStyle name="Input 9 4 2 3 3" xfId="34193"/>
    <cellStyle name="Input 9 4 2 4" xfId="18498"/>
    <cellStyle name="Input 9 4 2 4 2" xfId="39685"/>
    <cellStyle name="Input 9 4 2 5" xfId="28904"/>
    <cellStyle name="Input 9 4 2_Table 2A-1_EFT (Annual)" xfId="7152"/>
    <cellStyle name="Input 9 4 3" xfId="4721"/>
    <cellStyle name="Input 9 4 3 2" xfId="12981"/>
    <cellStyle name="Input 9 4 3 2 2" xfId="24987"/>
    <cellStyle name="Input 9 4 3 2 2 2" xfId="46173"/>
    <cellStyle name="Input 9 4 3 2 3" xfId="35569"/>
    <cellStyle name="Input 9 4 3 3" xfId="19874"/>
    <cellStyle name="Input 9 4 3 3 2" xfId="41061"/>
    <cellStyle name="Input 9 4 3 4" xfId="30378"/>
    <cellStyle name="Input 9 4 3_Table 2A-1_EFT (Annual)" xfId="15424"/>
    <cellStyle name="Input 9 4 4" xfId="10325"/>
    <cellStyle name="Input 9 4 4 2" xfId="22441"/>
    <cellStyle name="Input 9 4 4 2 2" xfId="43627"/>
    <cellStyle name="Input 9 4 4 3" xfId="33023"/>
    <cellStyle name="Input 9 4 5" xfId="17328"/>
    <cellStyle name="Input 9 4 5 2" xfId="38515"/>
    <cellStyle name="Input 9 4 6" xfId="27635"/>
    <cellStyle name="Input 9 4_Table 2A-1_EFT (Annual)" xfId="7151"/>
    <cellStyle name="Input 9 5" xfId="727"/>
    <cellStyle name="Input 9 5 2" xfId="4288"/>
    <cellStyle name="Input 9 5 2 2" xfId="12568"/>
    <cellStyle name="Input 9 5 2 2 2" xfId="24585"/>
    <cellStyle name="Input 9 5 2 2 2 2" xfId="45771"/>
    <cellStyle name="Input 9 5 2 2 3" xfId="35167"/>
    <cellStyle name="Input 9 5 2 3" xfId="19472"/>
    <cellStyle name="Input 9 5 2 3 2" xfId="40659"/>
    <cellStyle name="Input 9 5 2 4" xfId="29945"/>
    <cellStyle name="Input 9 5 2_Table 2A-1_EFT (Annual)" xfId="15425"/>
    <cellStyle name="Input 9 5 3" xfId="9916"/>
    <cellStyle name="Input 9 5 3 2" xfId="22039"/>
    <cellStyle name="Input 9 5 3 2 2" xfId="43225"/>
    <cellStyle name="Input 9 5 3 3" xfId="32621"/>
    <cellStyle name="Input 9 5 4" xfId="16926"/>
    <cellStyle name="Input 9 5 4 2" xfId="38113"/>
    <cellStyle name="Input 9 5 5" xfId="27202"/>
    <cellStyle name="Input 9 5_Table 2A-1_EFT (Annual)" xfId="7153"/>
    <cellStyle name="Input 9 6" xfId="1868"/>
    <cellStyle name="Input 9 6 2" xfId="5429"/>
    <cellStyle name="Input 9 6 2 2" xfId="13644"/>
    <cellStyle name="Input 9 6 2 2 2" xfId="25632"/>
    <cellStyle name="Input 9 6 2 2 2 2" xfId="46818"/>
    <cellStyle name="Input 9 6 2 2 3" xfId="36214"/>
    <cellStyle name="Input 9 6 2 3" xfId="20519"/>
    <cellStyle name="Input 9 6 2 3 2" xfId="41706"/>
    <cellStyle name="Input 9 6 2 4" xfId="31086"/>
    <cellStyle name="Input 9 6 2_Table 2A-1_EFT (Annual)" xfId="15426"/>
    <cellStyle name="Input 9 6 3" xfId="10988"/>
    <cellStyle name="Input 9 6 3 2" xfId="23086"/>
    <cellStyle name="Input 9 6 3 2 2" xfId="44272"/>
    <cellStyle name="Input 9 6 3 3" xfId="33668"/>
    <cellStyle name="Input 9 6 4" xfId="17973"/>
    <cellStyle name="Input 9 6 4 2" xfId="39160"/>
    <cellStyle name="Input 9 6 5" xfId="28343"/>
    <cellStyle name="Input 9 6_Table 2A-1_EFT (Annual)" xfId="7154"/>
    <cellStyle name="Input 9 7" xfId="3701"/>
    <cellStyle name="Input 9 7 2" xfId="12069"/>
    <cellStyle name="Input 9 7 2 2" xfId="24099"/>
    <cellStyle name="Input 9 7 2 2 2" xfId="45285"/>
    <cellStyle name="Input 9 7 2 3" xfId="34681"/>
    <cellStyle name="Input 9 7 3" xfId="18986"/>
    <cellStyle name="Input 9 7 3 2" xfId="40173"/>
    <cellStyle name="Input 9 7 4" xfId="29410"/>
    <cellStyle name="Input 9 7_Table 2A-1_EFT (Annual)" xfId="15427"/>
    <cellStyle name="Input 9 8" xfId="9388"/>
    <cellStyle name="Input 9 8 2" xfId="21553"/>
    <cellStyle name="Input 9 8 2 2" xfId="42739"/>
    <cellStyle name="Input 9 8 3" xfId="32135"/>
    <cellStyle name="Input 9 9" xfId="16440"/>
    <cellStyle name="Input 9 9 2" xfId="37627"/>
    <cellStyle name="Input 9_Table 2A-1_EFT (Annual)" xfId="3088"/>
    <cellStyle name="Linked Cell" xfId="42" builtinId="24" customBuiltin="1"/>
    <cellStyle name="Linked Cell 2" xfId="290"/>
    <cellStyle name="Linked Cell 3" xfId="694"/>
    <cellStyle name="Linked Cell 4" xfId="16008"/>
    <cellStyle name="Neutral" xfId="43" builtinId="28" customBuiltin="1"/>
    <cellStyle name="Neutral 2" xfId="291"/>
    <cellStyle name="Neutral 3" xfId="695"/>
    <cellStyle name="Neutral 4" xfId="16009"/>
    <cellStyle name="Normal" xfId="0" builtinId="0"/>
    <cellStyle name="Normal 10" xfId="73"/>
    <cellStyle name="Normal 10 2" xfId="228"/>
    <cellStyle name="Normal 10 2 2" xfId="455"/>
    <cellStyle name="Normal 10 2 2 2" xfId="979"/>
    <cellStyle name="Normal 10 2 2 2 2" xfId="2399"/>
    <cellStyle name="Normal 10 2 2 2 2 2" xfId="5960"/>
    <cellStyle name="Normal 10 2 2 2 2 2 2" xfId="16408"/>
    <cellStyle name="Normal 10 2 2 2 2 2 2 2" xfId="37597"/>
    <cellStyle name="Normal 10 2 2 2 2 2 3" xfId="31616"/>
    <cellStyle name="Normal 10 2 2 2 2 3" xfId="16210"/>
    <cellStyle name="Normal 10 2 2 2 2 3 2" xfId="37400"/>
    <cellStyle name="Normal 10 2 2 2 2 4" xfId="28873"/>
    <cellStyle name="Normal 10 2 2 2 2_Table 2A-1_EFT (Annual)" xfId="3095"/>
    <cellStyle name="Normal 10 2 2 2 3" xfId="4540"/>
    <cellStyle name="Normal 10 2 2 2 3 2" xfId="16308"/>
    <cellStyle name="Normal 10 2 2 2 3 2 2" xfId="37498"/>
    <cellStyle name="Normal 10 2 2 2 3 3" xfId="30197"/>
    <cellStyle name="Normal 10 2 2 2 4" xfId="16111"/>
    <cellStyle name="Normal 10 2 2 2 4 2" xfId="37301"/>
    <cellStyle name="Normal 10 2 2 2 5" xfId="27454"/>
    <cellStyle name="Normal 10 2 2 2_Table 2A-1_EFT (Annual)" xfId="3094"/>
    <cellStyle name="Normal 10 2 2 3" xfId="1727"/>
    <cellStyle name="Normal 10 2 2 3 2" xfId="5288"/>
    <cellStyle name="Normal 10 2 2 3 2 2" xfId="16359"/>
    <cellStyle name="Normal 10 2 2 3 2 2 2" xfId="37548"/>
    <cellStyle name="Normal 10 2 2 3 2 3" xfId="30945"/>
    <cellStyle name="Normal 10 2 2 3 3" xfId="16161"/>
    <cellStyle name="Normal 10 2 2 3 3 2" xfId="37351"/>
    <cellStyle name="Normal 10 2 2 3 4" xfId="28202"/>
    <cellStyle name="Normal 10 2 2 3_Table 2A-1_EFT (Annual)" xfId="3096"/>
    <cellStyle name="Normal 10 2 2 4" xfId="4025"/>
    <cellStyle name="Normal 10 2 2 4 2" xfId="16259"/>
    <cellStyle name="Normal 10 2 2 4 2 2" xfId="37449"/>
    <cellStyle name="Normal 10 2 2 4 3" xfId="29713"/>
    <cellStyle name="Normal 10 2 2 5" xfId="16062"/>
    <cellStyle name="Normal 10 2 2 5 2" xfId="37252"/>
    <cellStyle name="Normal 10 2 2 6" xfId="26970"/>
    <cellStyle name="Normal 10 2 2_Table 2A-1_EFT (Annual)" xfId="3093"/>
    <cellStyle name="Normal 10 2 3" xfId="823"/>
    <cellStyle name="Normal 10 2 3 2" xfId="2374"/>
    <cellStyle name="Normal 10 2 3 2 2" xfId="5935"/>
    <cellStyle name="Normal 10 2 3 2 2 2" xfId="16383"/>
    <cellStyle name="Normal 10 2 3 2 2 2 2" xfId="37572"/>
    <cellStyle name="Normal 10 2 3 2 2 3" xfId="31591"/>
    <cellStyle name="Normal 10 2 3 2 3" xfId="16185"/>
    <cellStyle name="Normal 10 2 3 2 3 2" xfId="37375"/>
    <cellStyle name="Normal 10 2 3 2 4" xfId="28848"/>
    <cellStyle name="Normal 10 2 3 2_Table 2A-1_EFT (Annual)" xfId="3098"/>
    <cellStyle name="Normal 10 2 3 3" xfId="4384"/>
    <cellStyle name="Normal 10 2 3 3 2" xfId="16283"/>
    <cellStyle name="Normal 10 2 3 3 2 2" xfId="37473"/>
    <cellStyle name="Normal 10 2 3 3 3" xfId="30041"/>
    <cellStyle name="Normal 10 2 3 4" xfId="16086"/>
    <cellStyle name="Normal 10 2 3 4 2" xfId="37276"/>
    <cellStyle name="Normal 10 2 3 5" xfId="27298"/>
    <cellStyle name="Normal 10 2 3_Table 2A-1_EFT (Annual)" xfId="3097"/>
    <cellStyle name="Normal 10 2 4" xfId="1671"/>
    <cellStyle name="Normal 10 2 4 2" xfId="5232"/>
    <cellStyle name="Normal 10 2 4 2 2" xfId="16334"/>
    <cellStyle name="Normal 10 2 4 2 2 2" xfId="37523"/>
    <cellStyle name="Normal 10 2 4 2 3" xfId="30889"/>
    <cellStyle name="Normal 10 2 4 3" xfId="16136"/>
    <cellStyle name="Normal 10 2 4 3 2" xfId="37326"/>
    <cellStyle name="Normal 10 2 4 4" xfId="28146"/>
    <cellStyle name="Normal 10 2 4_Table 2A-1_EFT (Annual)" xfId="3099"/>
    <cellStyle name="Normal 10 2 5" xfId="3817"/>
    <cellStyle name="Normal 10 2 5 2" xfId="16234"/>
    <cellStyle name="Normal 10 2 5 2 2" xfId="37424"/>
    <cellStyle name="Normal 10 2 5 3" xfId="29526"/>
    <cellStyle name="Normal 10 2 6" xfId="16037"/>
    <cellStyle name="Normal 10 2 6 2" xfId="37227"/>
    <cellStyle name="Normal 10 2 7" xfId="26783"/>
    <cellStyle name="Normal 10 2_Table 2A-1_EFT (Annual)" xfId="3092"/>
    <cellStyle name="Normal 10 3" xfId="307"/>
    <cellStyle name="Normal 10 3 2" xfId="857"/>
    <cellStyle name="Normal 10 3 2 2" xfId="2387"/>
    <cellStyle name="Normal 10 3 2 2 2" xfId="5948"/>
    <cellStyle name="Normal 10 3 2 2 2 2" xfId="16396"/>
    <cellStyle name="Normal 10 3 2 2 2 2 2" xfId="37585"/>
    <cellStyle name="Normal 10 3 2 2 2 3" xfId="31604"/>
    <cellStyle name="Normal 10 3 2 2 3" xfId="16198"/>
    <cellStyle name="Normal 10 3 2 2 3 2" xfId="37388"/>
    <cellStyle name="Normal 10 3 2 2 4" xfId="28861"/>
    <cellStyle name="Normal 10 3 2 2_Table 2A-1_EFT (Annual)" xfId="3102"/>
    <cellStyle name="Normal 10 3 2 3" xfId="4418"/>
    <cellStyle name="Normal 10 3 2 3 2" xfId="16296"/>
    <cellStyle name="Normal 10 3 2 3 2 2" xfId="37486"/>
    <cellStyle name="Normal 10 3 2 3 3" xfId="30075"/>
    <cellStyle name="Normal 10 3 2 4" xfId="16099"/>
    <cellStyle name="Normal 10 3 2 4 2" xfId="37289"/>
    <cellStyle name="Normal 10 3 2 5" xfId="27332"/>
    <cellStyle name="Normal 10 3 2_Table 2A-1_EFT (Annual)" xfId="3101"/>
    <cellStyle name="Normal 10 3 3" xfId="1689"/>
    <cellStyle name="Normal 10 3 3 2" xfId="5250"/>
    <cellStyle name="Normal 10 3 3 2 2" xfId="16347"/>
    <cellStyle name="Normal 10 3 3 2 2 2" xfId="37536"/>
    <cellStyle name="Normal 10 3 3 2 3" xfId="30907"/>
    <cellStyle name="Normal 10 3 3 3" xfId="16149"/>
    <cellStyle name="Normal 10 3 3 3 2" xfId="37339"/>
    <cellStyle name="Normal 10 3 3 4" xfId="28164"/>
    <cellStyle name="Normal 10 3 3_Table 2A-1_EFT (Annual)" xfId="3103"/>
    <cellStyle name="Normal 10 3 4" xfId="3877"/>
    <cellStyle name="Normal 10 3 4 2" xfId="16247"/>
    <cellStyle name="Normal 10 3 4 2 2" xfId="37437"/>
    <cellStyle name="Normal 10 3 4 3" xfId="29565"/>
    <cellStyle name="Normal 10 3 5" xfId="16050"/>
    <cellStyle name="Normal 10 3 5 2" xfId="37240"/>
    <cellStyle name="Normal 10 3 6" xfId="26822"/>
    <cellStyle name="Normal 10 3_Table 2A-1_EFT (Annual)" xfId="3100"/>
    <cellStyle name="Normal 10 4" xfId="653"/>
    <cellStyle name="Normal 10 4 2" xfId="1774"/>
    <cellStyle name="Normal 10 4 2 2" xfId="5335"/>
    <cellStyle name="Normal 10 4 2 2 2" xfId="16371"/>
    <cellStyle name="Normal 10 4 2 2 2 2" xfId="37560"/>
    <cellStyle name="Normal 10 4 2 2 3" xfId="30992"/>
    <cellStyle name="Normal 10 4 2 3" xfId="16173"/>
    <cellStyle name="Normal 10 4 2 3 2" xfId="37363"/>
    <cellStyle name="Normal 10 4 2 4" xfId="28249"/>
    <cellStyle name="Normal 10 4 2_Table 2A-1_EFT (Annual)" xfId="3105"/>
    <cellStyle name="Normal 10 4 3" xfId="4223"/>
    <cellStyle name="Normal 10 4 3 2" xfId="16271"/>
    <cellStyle name="Normal 10 4 3 2 2" xfId="37461"/>
    <cellStyle name="Normal 10 4 3 3" xfId="29911"/>
    <cellStyle name="Normal 10 4 4" xfId="16074"/>
    <cellStyle name="Normal 10 4 4 2" xfId="37264"/>
    <cellStyle name="Normal 10 4 5" xfId="27168"/>
    <cellStyle name="Normal 10 4_Table 2A-1_EFT (Annual)" xfId="3104"/>
    <cellStyle name="Normal 10 5" xfId="1632"/>
    <cellStyle name="Normal 10 5 2" xfId="5193"/>
    <cellStyle name="Normal 10 5 2 2" xfId="16322"/>
    <cellStyle name="Normal 10 5 2 2 2" xfId="37511"/>
    <cellStyle name="Normal 10 5 2 3" xfId="30850"/>
    <cellStyle name="Normal 10 5 3" xfId="16124"/>
    <cellStyle name="Normal 10 5 3 2" xfId="37314"/>
    <cellStyle name="Normal 10 5 4" xfId="28107"/>
    <cellStyle name="Normal 10 5_Table 2A-1_EFT (Annual)" xfId="3106"/>
    <cellStyle name="Normal 10 6" xfId="3664"/>
    <cellStyle name="Normal 10 6 2" xfId="16222"/>
    <cellStyle name="Normal 10 6 2 2" xfId="37412"/>
    <cellStyle name="Normal 10 6 3" xfId="29374"/>
    <cellStyle name="Normal 10 7" xfId="16025"/>
    <cellStyle name="Normal 10 7 2" xfId="37215"/>
    <cellStyle name="Normal 10 8" xfId="26631"/>
    <cellStyle name="Normal 10 9" xfId="47819"/>
    <cellStyle name="Normal 10_Table 2A-1_EFT (Annual)" xfId="3091"/>
    <cellStyle name="Normal 11" xfId="74"/>
    <cellStyle name="Normal 11 2" xfId="229"/>
    <cellStyle name="Normal 11 2 2" xfId="456"/>
    <cellStyle name="Normal 11 2 2 2" xfId="980"/>
    <cellStyle name="Normal 11 2 2 2 2" xfId="2400"/>
    <cellStyle name="Normal 11 2 2 2 2 2" xfId="5961"/>
    <cellStyle name="Normal 11 2 2 2 2 2 2" xfId="16409"/>
    <cellStyle name="Normal 11 2 2 2 2 2 2 2" xfId="37598"/>
    <cellStyle name="Normal 11 2 2 2 2 2 3" xfId="31617"/>
    <cellStyle name="Normal 11 2 2 2 2 3" xfId="16211"/>
    <cellStyle name="Normal 11 2 2 2 2 3 2" xfId="37401"/>
    <cellStyle name="Normal 11 2 2 2 2 4" xfId="28874"/>
    <cellStyle name="Normal 11 2 2 2 2_Table 2A-1_EFT (Annual)" xfId="3111"/>
    <cellStyle name="Normal 11 2 2 2 3" xfId="4541"/>
    <cellStyle name="Normal 11 2 2 2 3 2" xfId="16309"/>
    <cellStyle name="Normal 11 2 2 2 3 2 2" xfId="37499"/>
    <cellStyle name="Normal 11 2 2 2 3 3" xfId="30198"/>
    <cellStyle name="Normal 11 2 2 2 4" xfId="16112"/>
    <cellStyle name="Normal 11 2 2 2 4 2" xfId="37302"/>
    <cellStyle name="Normal 11 2 2 2 5" xfId="27455"/>
    <cellStyle name="Normal 11 2 2 2_Table 2A-1_EFT (Annual)" xfId="3110"/>
    <cellStyle name="Normal 11 2 2 3" xfId="1728"/>
    <cellStyle name="Normal 11 2 2 3 2" xfId="5289"/>
    <cellStyle name="Normal 11 2 2 3 2 2" xfId="16360"/>
    <cellStyle name="Normal 11 2 2 3 2 2 2" xfId="37549"/>
    <cellStyle name="Normal 11 2 2 3 2 3" xfId="30946"/>
    <cellStyle name="Normal 11 2 2 3 3" xfId="16162"/>
    <cellStyle name="Normal 11 2 2 3 3 2" xfId="37352"/>
    <cellStyle name="Normal 11 2 2 3 4" xfId="28203"/>
    <cellStyle name="Normal 11 2 2 3_Table 2A-1_EFT (Annual)" xfId="3112"/>
    <cellStyle name="Normal 11 2 2 4" xfId="4026"/>
    <cellStyle name="Normal 11 2 2 4 2" xfId="16260"/>
    <cellStyle name="Normal 11 2 2 4 2 2" xfId="37450"/>
    <cellStyle name="Normal 11 2 2 4 3" xfId="29714"/>
    <cellStyle name="Normal 11 2 2 5" xfId="16063"/>
    <cellStyle name="Normal 11 2 2 5 2" xfId="37253"/>
    <cellStyle name="Normal 11 2 2 6" xfId="26971"/>
    <cellStyle name="Normal 11 2 2_Table 2A-1_EFT (Annual)" xfId="3109"/>
    <cellStyle name="Normal 11 2 3" xfId="824"/>
    <cellStyle name="Normal 11 2 3 2" xfId="2375"/>
    <cellStyle name="Normal 11 2 3 2 2" xfId="5936"/>
    <cellStyle name="Normal 11 2 3 2 2 2" xfId="16384"/>
    <cellStyle name="Normal 11 2 3 2 2 2 2" xfId="37573"/>
    <cellStyle name="Normal 11 2 3 2 2 3" xfId="31592"/>
    <cellStyle name="Normal 11 2 3 2 3" xfId="16186"/>
    <cellStyle name="Normal 11 2 3 2 3 2" xfId="37376"/>
    <cellStyle name="Normal 11 2 3 2 4" xfId="28849"/>
    <cellStyle name="Normal 11 2 3 2_Table 2A-1_EFT (Annual)" xfId="3114"/>
    <cellStyle name="Normal 11 2 3 3" xfId="4385"/>
    <cellStyle name="Normal 11 2 3 3 2" xfId="16284"/>
    <cellStyle name="Normal 11 2 3 3 2 2" xfId="37474"/>
    <cellStyle name="Normal 11 2 3 3 3" xfId="30042"/>
    <cellStyle name="Normal 11 2 3 4" xfId="16087"/>
    <cellStyle name="Normal 11 2 3 4 2" xfId="37277"/>
    <cellStyle name="Normal 11 2 3 5" xfId="27299"/>
    <cellStyle name="Normal 11 2 3_Table 2A-1_EFT (Annual)" xfId="3113"/>
    <cellStyle name="Normal 11 2 4" xfId="1672"/>
    <cellStyle name="Normal 11 2 4 2" xfId="5233"/>
    <cellStyle name="Normal 11 2 4 2 2" xfId="16335"/>
    <cellStyle name="Normal 11 2 4 2 2 2" xfId="37524"/>
    <cellStyle name="Normal 11 2 4 2 3" xfId="30890"/>
    <cellStyle name="Normal 11 2 4 3" xfId="16137"/>
    <cellStyle name="Normal 11 2 4 3 2" xfId="37327"/>
    <cellStyle name="Normal 11 2 4 4" xfId="28147"/>
    <cellStyle name="Normal 11 2 4_Table 2A-1_EFT (Annual)" xfId="3115"/>
    <cellStyle name="Normal 11 2 5" xfId="3818"/>
    <cellStyle name="Normal 11 2 5 2" xfId="16235"/>
    <cellStyle name="Normal 11 2 5 2 2" xfId="37425"/>
    <cellStyle name="Normal 11 2 5 3" xfId="29527"/>
    <cellStyle name="Normal 11 2 6" xfId="16038"/>
    <cellStyle name="Normal 11 2 6 2" xfId="37228"/>
    <cellStyle name="Normal 11 2 7" xfId="26784"/>
    <cellStyle name="Normal 11 2_Table 2A-1_EFT (Annual)" xfId="3108"/>
    <cellStyle name="Normal 11 3" xfId="308"/>
    <cellStyle name="Normal 11 3 2" xfId="858"/>
    <cellStyle name="Normal 11 3 2 2" xfId="2388"/>
    <cellStyle name="Normal 11 3 2 2 2" xfId="5949"/>
    <cellStyle name="Normal 11 3 2 2 2 2" xfId="16397"/>
    <cellStyle name="Normal 11 3 2 2 2 2 2" xfId="37586"/>
    <cellStyle name="Normal 11 3 2 2 2 3" xfId="31605"/>
    <cellStyle name="Normal 11 3 2 2 3" xfId="16199"/>
    <cellStyle name="Normal 11 3 2 2 3 2" xfId="37389"/>
    <cellStyle name="Normal 11 3 2 2 4" xfId="28862"/>
    <cellStyle name="Normal 11 3 2 2_Table 2A-1_EFT (Annual)" xfId="3118"/>
    <cellStyle name="Normal 11 3 2 3" xfId="4419"/>
    <cellStyle name="Normal 11 3 2 3 2" xfId="16297"/>
    <cellStyle name="Normal 11 3 2 3 2 2" xfId="37487"/>
    <cellStyle name="Normal 11 3 2 3 3" xfId="30076"/>
    <cellStyle name="Normal 11 3 2 4" xfId="16100"/>
    <cellStyle name="Normal 11 3 2 4 2" xfId="37290"/>
    <cellStyle name="Normal 11 3 2 5" xfId="27333"/>
    <cellStyle name="Normal 11 3 2_Table 2A-1_EFT (Annual)" xfId="3117"/>
    <cellStyle name="Normal 11 3 3" xfId="1690"/>
    <cellStyle name="Normal 11 3 3 2" xfId="5251"/>
    <cellStyle name="Normal 11 3 3 2 2" xfId="16348"/>
    <cellStyle name="Normal 11 3 3 2 2 2" xfId="37537"/>
    <cellStyle name="Normal 11 3 3 2 3" xfId="30908"/>
    <cellStyle name="Normal 11 3 3 3" xfId="16150"/>
    <cellStyle name="Normal 11 3 3 3 2" xfId="37340"/>
    <cellStyle name="Normal 11 3 3 4" xfId="28165"/>
    <cellStyle name="Normal 11 3 3_Table 2A-1_EFT (Annual)" xfId="3119"/>
    <cellStyle name="Normal 11 3 4" xfId="3878"/>
    <cellStyle name="Normal 11 3 4 2" xfId="16248"/>
    <cellStyle name="Normal 11 3 4 2 2" xfId="37438"/>
    <cellStyle name="Normal 11 3 4 3" xfId="29566"/>
    <cellStyle name="Normal 11 3 5" xfId="16051"/>
    <cellStyle name="Normal 11 3 5 2" xfId="37241"/>
    <cellStyle name="Normal 11 3 6" xfId="26823"/>
    <cellStyle name="Normal 11 3_Table 2A-1_EFT (Annual)" xfId="3116"/>
    <cellStyle name="Normal 11 4" xfId="654"/>
    <cellStyle name="Normal 11 4 2" xfId="1775"/>
    <cellStyle name="Normal 11 4 2 2" xfId="5336"/>
    <cellStyle name="Normal 11 4 2 2 2" xfId="16372"/>
    <cellStyle name="Normal 11 4 2 2 2 2" xfId="37561"/>
    <cellStyle name="Normal 11 4 2 2 3" xfId="30993"/>
    <cellStyle name="Normal 11 4 2 3" xfId="16174"/>
    <cellStyle name="Normal 11 4 2 3 2" xfId="37364"/>
    <cellStyle name="Normal 11 4 2 4" xfId="28250"/>
    <cellStyle name="Normal 11 4 2_Table 2A-1_EFT (Annual)" xfId="3121"/>
    <cellStyle name="Normal 11 4 3" xfId="4224"/>
    <cellStyle name="Normal 11 4 3 2" xfId="16272"/>
    <cellStyle name="Normal 11 4 3 2 2" xfId="37462"/>
    <cellStyle name="Normal 11 4 3 3" xfId="29912"/>
    <cellStyle name="Normal 11 4 4" xfId="16075"/>
    <cellStyle name="Normal 11 4 4 2" xfId="37265"/>
    <cellStyle name="Normal 11 4 5" xfId="27169"/>
    <cellStyle name="Normal 11 4_Table 2A-1_EFT (Annual)" xfId="3120"/>
    <cellStyle name="Normal 11 5" xfId="1633"/>
    <cellStyle name="Normal 11 5 2" xfId="5194"/>
    <cellStyle name="Normal 11 5 2 2" xfId="16323"/>
    <cellStyle name="Normal 11 5 2 2 2" xfId="37512"/>
    <cellStyle name="Normal 11 5 2 3" xfId="30851"/>
    <cellStyle name="Normal 11 5 3" xfId="16125"/>
    <cellStyle name="Normal 11 5 3 2" xfId="37315"/>
    <cellStyle name="Normal 11 5 4" xfId="28108"/>
    <cellStyle name="Normal 11 5_Table 2A-1_EFT (Annual)" xfId="3122"/>
    <cellStyle name="Normal 11 6" xfId="3665"/>
    <cellStyle name="Normal 11 6 2" xfId="16223"/>
    <cellStyle name="Normal 11 6 2 2" xfId="37413"/>
    <cellStyle name="Normal 11 6 3" xfId="29375"/>
    <cellStyle name="Normal 11 7" xfId="16026"/>
    <cellStyle name="Normal 11 7 2" xfId="37216"/>
    <cellStyle name="Normal 11 8" xfId="26632"/>
    <cellStyle name="Normal 11 9" xfId="47820"/>
    <cellStyle name="Normal 11_Table 2A-1_EFT (Annual)" xfId="3107"/>
    <cellStyle name="Normal 12" xfId="75"/>
    <cellStyle name="Normal 12 2" xfId="230"/>
    <cellStyle name="Normal 12 2 2" xfId="457"/>
    <cellStyle name="Normal 12 2 2 2" xfId="981"/>
    <cellStyle name="Normal 12 2 2 2 2" xfId="2401"/>
    <cellStyle name="Normal 12 2 2 2 2 2" xfId="5962"/>
    <cellStyle name="Normal 12 2 2 2 2 2 2" xfId="16410"/>
    <cellStyle name="Normal 12 2 2 2 2 2 2 2" xfId="37599"/>
    <cellStyle name="Normal 12 2 2 2 2 2 3" xfId="31618"/>
    <cellStyle name="Normal 12 2 2 2 2 3" xfId="16212"/>
    <cellStyle name="Normal 12 2 2 2 2 3 2" xfId="37402"/>
    <cellStyle name="Normal 12 2 2 2 2 4" xfId="28875"/>
    <cellStyle name="Normal 12 2 2 2 2_Table 2A-1_EFT (Annual)" xfId="3127"/>
    <cellStyle name="Normal 12 2 2 2 3" xfId="4542"/>
    <cellStyle name="Normal 12 2 2 2 3 2" xfId="16310"/>
    <cellStyle name="Normal 12 2 2 2 3 2 2" xfId="37500"/>
    <cellStyle name="Normal 12 2 2 2 3 3" xfId="30199"/>
    <cellStyle name="Normal 12 2 2 2 4" xfId="16113"/>
    <cellStyle name="Normal 12 2 2 2 4 2" xfId="37303"/>
    <cellStyle name="Normal 12 2 2 2 5" xfId="27456"/>
    <cellStyle name="Normal 12 2 2 2_Table 2A-1_EFT (Annual)" xfId="3126"/>
    <cellStyle name="Normal 12 2 2 3" xfId="1729"/>
    <cellStyle name="Normal 12 2 2 3 2" xfId="5290"/>
    <cellStyle name="Normal 12 2 2 3 2 2" xfId="16361"/>
    <cellStyle name="Normal 12 2 2 3 2 2 2" xfId="37550"/>
    <cellStyle name="Normal 12 2 2 3 2 3" xfId="30947"/>
    <cellStyle name="Normal 12 2 2 3 3" xfId="16163"/>
    <cellStyle name="Normal 12 2 2 3 3 2" xfId="37353"/>
    <cellStyle name="Normal 12 2 2 3 4" xfId="28204"/>
    <cellStyle name="Normal 12 2 2 3_Table 2A-1_EFT (Annual)" xfId="3128"/>
    <cellStyle name="Normal 12 2 2 4" xfId="4027"/>
    <cellStyle name="Normal 12 2 2 4 2" xfId="16261"/>
    <cellStyle name="Normal 12 2 2 4 2 2" xfId="37451"/>
    <cellStyle name="Normal 12 2 2 4 3" xfId="29715"/>
    <cellStyle name="Normal 12 2 2 5" xfId="16064"/>
    <cellStyle name="Normal 12 2 2 5 2" xfId="37254"/>
    <cellStyle name="Normal 12 2 2 6" xfId="26972"/>
    <cellStyle name="Normal 12 2 2_Table 2A-1_EFT (Annual)" xfId="3125"/>
    <cellStyle name="Normal 12 2 3" xfId="825"/>
    <cellStyle name="Normal 12 2 3 2" xfId="2376"/>
    <cellStyle name="Normal 12 2 3 2 2" xfId="5937"/>
    <cellStyle name="Normal 12 2 3 2 2 2" xfId="16385"/>
    <cellStyle name="Normal 12 2 3 2 2 2 2" xfId="37574"/>
    <cellStyle name="Normal 12 2 3 2 2 3" xfId="31593"/>
    <cellStyle name="Normal 12 2 3 2 3" xfId="16187"/>
    <cellStyle name="Normal 12 2 3 2 3 2" xfId="37377"/>
    <cellStyle name="Normal 12 2 3 2 4" xfId="28850"/>
    <cellStyle name="Normal 12 2 3 2_Table 2A-1_EFT (Annual)" xfId="3130"/>
    <cellStyle name="Normal 12 2 3 3" xfId="4386"/>
    <cellStyle name="Normal 12 2 3 3 2" xfId="16285"/>
    <cellStyle name="Normal 12 2 3 3 2 2" xfId="37475"/>
    <cellStyle name="Normal 12 2 3 3 3" xfId="30043"/>
    <cellStyle name="Normal 12 2 3 4" xfId="16088"/>
    <cellStyle name="Normal 12 2 3 4 2" xfId="37278"/>
    <cellStyle name="Normal 12 2 3 5" xfId="27300"/>
    <cellStyle name="Normal 12 2 3_Table 2A-1_EFT (Annual)" xfId="3129"/>
    <cellStyle name="Normal 12 2 4" xfId="1673"/>
    <cellStyle name="Normal 12 2 4 2" xfId="5234"/>
    <cellStyle name="Normal 12 2 4 2 2" xfId="16336"/>
    <cellStyle name="Normal 12 2 4 2 2 2" xfId="37525"/>
    <cellStyle name="Normal 12 2 4 2 3" xfId="30891"/>
    <cellStyle name="Normal 12 2 4 3" xfId="16138"/>
    <cellStyle name="Normal 12 2 4 3 2" xfId="37328"/>
    <cellStyle name="Normal 12 2 4 4" xfId="28148"/>
    <cellStyle name="Normal 12 2 4_Table 2A-1_EFT (Annual)" xfId="3131"/>
    <cellStyle name="Normal 12 2 5" xfId="3819"/>
    <cellStyle name="Normal 12 2 5 2" xfId="16236"/>
    <cellStyle name="Normal 12 2 5 2 2" xfId="37426"/>
    <cellStyle name="Normal 12 2 5 3" xfId="29528"/>
    <cellStyle name="Normal 12 2 6" xfId="16039"/>
    <cellStyle name="Normal 12 2 6 2" xfId="37229"/>
    <cellStyle name="Normal 12 2 7" xfId="26785"/>
    <cellStyle name="Normal 12 2_Table 2A-1_EFT (Annual)" xfId="3124"/>
    <cellStyle name="Normal 12 3" xfId="309"/>
    <cellStyle name="Normal 12 3 2" xfId="859"/>
    <cellStyle name="Normal 12 3 2 2" xfId="2389"/>
    <cellStyle name="Normal 12 3 2 2 2" xfId="5950"/>
    <cellStyle name="Normal 12 3 2 2 2 2" xfId="16398"/>
    <cellStyle name="Normal 12 3 2 2 2 2 2" xfId="37587"/>
    <cellStyle name="Normal 12 3 2 2 2 3" xfId="31606"/>
    <cellStyle name="Normal 12 3 2 2 3" xfId="16200"/>
    <cellStyle name="Normal 12 3 2 2 3 2" xfId="37390"/>
    <cellStyle name="Normal 12 3 2 2 4" xfId="28863"/>
    <cellStyle name="Normal 12 3 2 2_Table 2A-1_EFT (Annual)" xfId="3134"/>
    <cellStyle name="Normal 12 3 2 3" xfId="4420"/>
    <cellStyle name="Normal 12 3 2 3 2" xfId="16298"/>
    <cellStyle name="Normal 12 3 2 3 2 2" xfId="37488"/>
    <cellStyle name="Normal 12 3 2 3 3" xfId="30077"/>
    <cellStyle name="Normal 12 3 2 4" xfId="16101"/>
    <cellStyle name="Normal 12 3 2 4 2" xfId="37291"/>
    <cellStyle name="Normal 12 3 2 5" xfId="27334"/>
    <cellStyle name="Normal 12 3 2_Table 2A-1_EFT (Annual)" xfId="3133"/>
    <cellStyle name="Normal 12 3 3" xfId="1691"/>
    <cellStyle name="Normal 12 3 3 2" xfId="5252"/>
    <cellStyle name="Normal 12 3 3 2 2" xfId="16349"/>
    <cellStyle name="Normal 12 3 3 2 2 2" xfId="37538"/>
    <cellStyle name="Normal 12 3 3 2 3" xfId="30909"/>
    <cellStyle name="Normal 12 3 3 3" xfId="16151"/>
    <cellStyle name="Normal 12 3 3 3 2" xfId="37341"/>
    <cellStyle name="Normal 12 3 3 4" xfId="28166"/>
    <cellStyle name="Normal 12 3 3_Table 2A-1_EFT (Annual)" xfId="3135"/>
    <cellStyle name="Normal 12 3 4" xfId="3879"/>
    <cellStyle name="Normal 12 3 4 2" xfId="16249"/>
    <cellStyle name="Normal 12 3 4 2 2" xfId="37439"/>
    <cellStyle name="Normal 12 3 4 3" xfId="29567"/>
    <cellStyle name="Normal 12 3 5" xfId="16052"/>
    <cellStyle name="Normal 12 3 5 2" xfId="37242"/>
    <cellStyle name="Normal 12 3 6" xfId="26824"/>
    <cellStyle name="Normal 12 3_Table 2A-1_EFT (Annual)" xfId="3132"/>
    <cellStyle name="Normal 12 4" xfId="655"/>
    <cellStyle name="Normal 12 4 2" xfId="1776"/>
    <cellStyle name="Normal 12 4 2 2" xfId="5337"/>
    <cellStyle name="Normal 12 4 2 2 2" xfId="16373"/>
    <cellStyle name="Normal 12 4 2 2 2 2" xfId="37562"/>
    <cellStyle name="Normal 12 4 2 2 3" xfId="30994"/>
    <cellStyle name="Normal 12 4 2 3" xfId="16175"/>
    <cellStyle name="Normal 12 4 2 3 2" xfId="37365"/>
    <cellStyle name="Normal 12 4 2 4" xfId="28251"/>
    <cellStyle name="Normal 12 4 2_Table 2A-1_EFT (Annual)" xfId="3137"/>
    <cellStyle name="Normal 12 4 3" xfId="4225"/>
    <cellStyle name="Normal 12 4 3 2" xfId="16273"/>
    <cellStyle name="Normal 12 4 3 2 2" xfId="37463"/>
    <cellStyle name="Normal 12 4 3 3" xfId="29913"/>
    <cellStyle name="Normal 12 4 4" xfId="16076"/>
    <cellStyle name="Normal 12 4 4 2" xfId="37266"/>
    <cellStyle name="Normal 12 4 5" xfId="27170"/>
    <cellStyle name="Normal 12 4_Table 2A-1_EFT (Annual)" xfId="3136"/>
    <cellStyle name="Normal 12 5" xfId="1634"/>
    <cellStyle name="Normal 12 5 2" xfId="5195"/>
    <cellStyle name="Normal 12 5 2 2" xfId="16324"/>
    <cellStyle name="Normal 12 5 2 2 2" xfId="37513"/>
    <cellStyle name="Normal 12 5 2 3" xfId="30852"/>
    <cellStyle name="Normal 12 5 3" xfId="16126"/>
    <cellStyle name="Normal 12 5 3 2" xfId="37316"/>
    <cellStyle name="Normal 12 5 4" xfId="28109"/>
    <cellStyle name="Normal 12 5_Table 2A-1_EFT (Annual)" xfId="3138"/>
    <cellStyle name="Normal 12 6" xfId="3666"/>
    <cellStyle name="Normal 12 6 2" xfId="16224"/>
    <cellStyle name="Normal 12 6 2 2" xfId="37414"/>
    <cellStyle name="Normal 12 6 3" xfId="29376"/>
    <cellStyle name="Normal 12 7" xfId="16027"/>
    <cellStyle name="Normal 12 7 2" xfId="37217"/>
    <cellStyle name="Normal 12 8" xfId="26633"/>
    <cellStyle name="Normal 12 9" xfId="47821"/>
    <cellStyle name="Normal 12_Table 2A-1_EFT (Annual)" xfId="3123"/>
    <cellStyle name="Normal 13" xfId="253"/>
    <cellStyle name="Normal 14" xfId="252"/>
    <cellStyle name="Normal 14 2" xfId="843"/>
    <cellStyle name="Normal 14 2 2" xfId="2377"/>
    <cellStyle name="Normal 14 2 2 2" xfId="5938"/>
    <cellStyle name="Normal 14 2 2 2 2" xfId="16386"/>
    <cellStyle name="Normal 14 2 2 2 2 2" xfId="37575"/>
    <cellStyle name="Normal 14 2 2 2 3" xfId="31594"/>
    <cellStyle name="Normal 14 2 2 3" xfId="16188"/>
    <cellStyle name="Normal 14 2 2 3 2" xfId="37378"/>
    <cellStyle name="Normal 14 2 2 4" xfId="28851"/>
    <cellStyle name="Normal 14 2 2_Table 2A-1_EFT (Annual)" xfId="3141"/>
    <cellStyle name="Normal 14 2 3" xfId="4404"/>
    <cellStyle name="Normal 14 2 3 2" xfId="16286"/>
    <cellStyle name="Normal 14 2 3 2 2" xfId="37476"/>
    <cellStyle name="Normal 14 2 3 3" xfId="30061"/>
    <cellStyle name="Normal 14 2 4" xfId="16089"/>
    <cellStyle name="Normal 14 2 4 2" xfId="37279"/>
    <cellStyle name="Normal 14 2 5" xfId="27318"/>
    <cellStyle name="Normal 14 2_Table 2A-1_EFT (Annual)" xfId="3140"/>
    <cellStyle name="Normal 14 3" xfId="1678"/>
    <cellStyle name="Normal 14 3 2" xfId="5239"/>
    <cellStyle name="Normal 14 3 2 2" xfId="16337"/>
    <cellStyle name="Normal 14 3 2 2 2" xfId="37526"/>
    <cellStyle name="Normal 14 3 2 3" xfId="30896"/>
    <cellStyle name="Normal 14 3 3" xfId="16139"/>
    <cellStyle name="Normal 14 3 3 2" xfId="37329"/>
    <cellStyle name="Normal 14 3 4" xfId="28153"/>
    <cellStyle name="Normal 14 3_Table 2A-1_EFT (Annual)" xfId="3142"/>
    <cellStyle name="Normal 14 4" xfId="3841"/>
    <cellStyle name="Normal 14 4 2" xfId="16237"/>
    <cellStyle name="Normal 14 4 2 2" xfId="37427"/>
    <cellStyle name="Normal 14 4 3" xfId="29550"/>
    <cellStyle name="Normal 14 5" xfId="16040"/>
    <cellStyle name="Normal 14 5 2" xfId="37230"/>
    <cellStyle name="Normal 14 6" xfId="26807"/>
    <cellStyle name="Normal 14_Table 2A-1_EFT (Annual)" xfId="3139"/>
    <cellStyle name="Normal 15" xfId="657"/>
    <cellStyle name="Normal 15 2" xfId="2360"/>
    <cellStyle name="Normal 15_Table 2A-1_EFT (Annual)" xfId="15428"/>
    <cellStyle name="Normal 16" xfId="1621"/>
    <cellStyle name="Normal 16 2" xfId="5182"/>
    <cellStyle name="Normal 16 2 2" xfId="16312"/>
    <cellStyle name="Normal 16 2 2 2" xfId="37501"/>
    <cellStyle name="Normal 16 2 3" xfId="30839"/>
    <cellStyle name="Normal 16 3" xfId="16114"/>
    <cellStyle name="Normal 16 3 2" xfId="37304"/>
    <cellStyle name="Normal 16 4" xfId="28096"/>
    <cellStyle name="Normal 16_Table 2A-1_EFT (Annual)" xfId="3143"/>
    <cellStyle name="Normal 17" xfId="15971"/>
    <cellStyle name="Normal 17 2" xfId="16311"/>
    <cellStyle name="Normal 18" xfId="16412"/>
    <cellStyle name="Normal 18 2" xfId="26619"/>
    <cellStyle name="Normal 19" xfId="21525"/>
    <cellStyle name="Normal 19 2" xfId="16411"/>
    <cellStyle name="Normal 2" xfId="44"/>
    <cellStyle name="Normal 2 2" xfId="64"/>
    <cellStyle name="Normal 2 3" xfId="76"/>
    <cellStyle name="Normal 2 4" xfId="77"/>
    <cellStyle name="Normal 2_Table 2A-1_EFT (Annual)" xfId="3144"/>
    <cellStyle name="Normal 20" xfId="26618"/>
    <cellStyle name="Normal 20 2" xfId="26620"/>
    <cellStyle name="Normal 21" xfId="15970"/>
    <cellStyle name="Normal 21 2" xfId="37200"/>
    <cellStyle name="Normal 22" xfId="26621"/>
    <cellStyle name="Normal 23" xfId="47804"/>
    <cellStyle name="Normal 24" xfId="47823"/>
    <cellStyle name="Normal 3" xfId="53"/>
    <cellStyle name="Normal 4" xfId="60"/>
    <cellStyle name="Normal 4 2" xfId="104"/>
    <cellStyle name="Normal 4 2 2" xfId="335"/>
    <cellStyle name="Normal 4 2 2 2" xfId="879"/>
    <cellStyle name="Normal 4 2 2 2 2" xfId="2392"/>
    <cellStyle name="Normal 4 2 2 2 2 2" xfId="5953"/>
    <cellStyle name="Normal 4 2 2 2 2 2 2" xfId="16401"/>
    <cellStyle name="Normal 4 2 2 2 2 2 2 2" xfId="37590"/>
    <cellStyle name="Normal 4 2 2 2 2 2 3" xfId="31609"/>
    <cellStyle name="Normal 4 2 2 2 2 3" xfId="16203"/>
    <cellStyle name="Normal 4 2 2 2 2 3 2" xfId="37393"/>
    <cellStyle name="Normal 4 2 2 2 2 4" xfId="28866"/>
    <cellStyle name="Normal 4 2 2 2 2_Table 2A-1_EFT (Annual)" xfId="3149"/>
    <cellStyle name="Normal 4 2 2 2 3" xfId="4440"/>
    <cellStyle name="Normal 4 2 2 2 3 2" xfId="16301"/>
    <cellStyle name="Normal 4 2 2 2 3 2 2" xfId="37491"/>
    <cellStyle name="Normal 4 2 2 2 3 3" xfId="30097"/>
    <cellStyle name="Normal 4 2 2 2 4" xfId="16104"/>
    <cellStyle name="Normal 4 2 2 2 4 2" xfId="37294"/>
    <cellStyle name="Normal 4 2 2 2 5" xfId="27354"/>
    <cellStyle name="Normal 4 2 2 2_Table 2A-1_EFT (Annual)" xfId="3148"/>
    <cellStyle name="Normal 4 2 2 3" xfId="1700"/>
    <cellStyle name="Normal 4 2 2 3 2" xfId="5261"/>
    <cellStyle name="Normal 4 2 2 3 2 2" xfId="16352"/>
    <cellStyle name="Normal 4 2 2 3 2 2 2" xfId="37541"/>
    <cellStyle name="Normal 4 2 2 3 2 3" xfId="30918"/>
    <cellStyle name="Normal 4 2 2 3 3" xfId="16154"/>
    <cellStyle name="Normal 4 2 2 3 3 2" xfId="37344"/>
    <cellStyle name="Normal 4 2 2 3 4" xfId="28175"/>
    <cellStyle name="Normal 4 2 2 3_Table 2A-1_EFT (Annual)" xfId="3150"/>
    <cellStyle name="Normal 4 2 2 4" xfId="3905"/>
    <cellStyle name="Normal 4 2 2 4 2" xfId="16252"/>
    <cellStyle name="Normal 4 2 2 4 2 2" xfId="37442"/>
    <cellStyle name="Normal 4 2 2 4 3" xfId="29593"/>
    <cellStyle name="Normal 4 2 2 5" xfId="16055"/>
    <cellStyle name="Normal 4 2 2 5 2" xfId="37245"/>
    <cellStyle name="Normal 4 2 2 6" xfId="26850"/>
    <cellStyle name="Normal 4 2 2_Table 2A-1_EFT (Annual)" xfId="3147"/>
    <cellStyle name="Normal 4 2 3" xfId="720"/>
    <cellStyle name="Normal 4 2 3 2" xfId="2367"/>
    <cellStyle name="Normal 4 2 3 2 2" xfId="5928"/>
    <cellStyle name="Normal 4 2 3 2 2 2" xfId="16376"/>
    <cellStyle name="Normal 4 2 3 2 2 2 2" xfId="37565"/>
    <cellStyle name="Normal 4 2 3 2 2 3" xfId="31584"/>
    <cellStyle name="Normal 4 2 3 2 3" xfId="16178"/>
    <cellStyle name="Normal 4 2 3 2 3 2" xfId="37368"/>
    <cellStyle name="Normal 4 2 3 2 4" xfId="28841"/>
    <cellStyle name="Normal 4 2 3 2_Table 2A-1_EFT (Annual)" xfId="3152"/>
    <cellStyle name="Normal 4 2 3 3" xfId="4281"/>
    <cellStyle name="Normal 4 2 3 3 2" xfId="16276"/>
    <cellStyle name="Normal 4 2 3 3 2 2" xfId="37466"/>
    <cellStyle name="Normal 4 2 3 3 3" xfId="29938"/>
    <cellStyle name="Normal 4 2 3 4" xfId="16079"/>
    <cellStyle name="Normal 4 2 3 4 2" xfId="37269"/>
    <cellStyle name="Normal 4 2 3 5" xfId="27195"/>
    <cellStyle name="Normal 4 2 3_Table 2A-1_EFT (Annual)" xfId="3151"/>
    <cellStyle name="Normal 4 2 4" xfId="1643"/>
    <cellStyle name="Normal 4 2 4 2" xfId="5204"/>
    <cellStyle name="Normal 4 2 4 2 2" xfId="16327"/>
    <cellStyle name="Normal 4 2 4 2 2 2" xfId="37516"/>
    <cellStyle name="Normal 4 2 4 2 3" xfId="30861"/>
    <cellStyle name="Normal 4 2 4 3" xfId="16129"/>
    <cellStyle name="Normal 4 2 4 3 2" xfId="37319"/>
    <cellStyle name="Normal 4 2 4 4" xfId="28118"/>
    <cellStyle name="Normal 4 2 4_Table 2A-1_EFT (Annual)" xfId="3153"/>
    <cellStyle name="Normal 4 2 5" xfId="3693"/>
    <cellStyle name="Normal 4 2 5 2" xfId="16227"/>
    <cellStyle name="Normal 4 2 5 2 2" xfId="37417"/>
    <cellStyle name="Normal 4 2 5 3" xfId="29402"/>
    <cellStyle name="Normal 4 2 6" xfId="16030"/>
    <cellStyle name="Normal 4 2 6 2" xfId="37220"/>
    <cellStyle name="Normal 4 2 7" xfId="26659"/>
    <cellStyle name="Normal 4 2_Table 2A-1_EFT (Annual)" xfId="3146"/>
    <cellStyle name="Normal 4 3" xfId="300"/>
    <cellStyle name="Normal 4 3 2" xfId="850"/>
    <cellStyle name="Normal 4 3 2 2" xfId="2380"/>
    <cellStyle name="Normal 4 3 2 2 2" xfId="5941"/>
    <cellStyle name="Normal 4 3 2 2 2 2" xfId="16389"/>
    <cellStyle name="Normal 4 3 2 2 2 2 2" xfId="37578"/>
    <cellStyle name="Normal 4 3 2 2 2 3" xfId="31597"/>
    <cellStyle name="Normal 4 3 2 2 3" xfId="16191"/>
    <cellStyle name="Normal 4 3 2 2 3 2" xfId="37381"/>
    <cellStyle name="Normal 4 3 2 2 4" xfId="28854"/>
    <cellStyle name="Normal 4 3 2 2_Table 2A-1_EFT (Annual)" xfId="3156"/>
    <cellStyle name="Normal 4 3 2 3" xfId="4411"/>
    <cellStyle name="Normal 4 3 2 3 2" xfId="16289"/>
    <cellStyle name="Normal 4 3 2 3 2 2" xfId="37479"/>
    <cellStyle name="Normal 4 3 2 3 3" xfId="30068"/>
    <cellStyle name="Normal 4 3 2 4" xfId="16092"/>
    <cellStyle name="Normal 4 3 2 4 2" xfId="37282"/>
    <cellStyle name="Normal 4 3 2 5" xfId="27325"/>
    <cellStyle name="Normal 4 3 2_Table 2A-1_EFT (Annual)" xfId="3155"/>
    <cellStyle name="Normal 4 3 3" xfId="1682"/>
    <cellStyle name="Normal 4 3 3 2" xfId="5243"/>
    <cellStyle name="Normal 4 3 3 2 2" xfId="16340"/>
    <cellStyle name="Normal 4 3 3 2 2 2" xfId="37529"/>
    <cellStyle name="Normal 4 3 3 2 3" xfId="30900"/>
    <cellStyle name="Normal 4 3 3 3" xfId="16142"/>
    <cellStyle name="Normal 4 3 3 3 2" xfId="37332"/>
    <cellStyle name="Normal 4 3 3 4" xfId="28157"/>
    <cellStyle name="Normal 4 3 3_Table 2A-1_EFT (Annual)" xfId="3157"/>
    <cellStyle name="Normal 4 3 4" xfId="3870"/>
    <cellStyle name="Normal 4 3 4 2" xfId="16240"/>
    <cellStyle name="Normal 4 3 4 2 2" xfId="37430"/>
    <cellStyle name="Normal 4 3 4 3" xfId="29558"/>
    <cellStyle name="Normal 4 3 5" xfId="16043"/>
    <cellStyle name="Normal 4 3 5 2" xfId="37233"/>
    <cellStyle name="Normal 4 3 6" xfId="26815"/>
    <cellStyle name="Normal 4 3_Table 2A-1_EFT (Annual)" xfId="3154"/>
    <cellStyle name="Normal 4 4" xfId="646"/>
    <cellStyle name="Normal 4 4 2" xfId="1767"/>
    <cellStyle name="Normal 4 4 2 2" xfId="5328"/>
    <cellStyle name="Normal 4 4 2 2 2" xfId="16364"/>
    <cellStyle name="Normal 4 4 2 2 2 2" xfId="37553"/>
    <cellStyle name="Normal 4 4 2 2 3" xfId="30985"/>
    <cellStyle name="Normal 4 4 2 3" xfId="16166"/>
    <cellStyle name="Normal 4 4 2 3 2" xfId="37356"/>
    <cellStyle name="Normal 4 4 2 4" xfId="28242"/>
    <cellStyle name="Normal 4 4 2_Table 2A-1_EFT (Annual)" xfId="3159"/>
    <cellStyle name="Normal 4 4 3" xfId="4216"/>
    <cellStyle name="Normal 4 4 3 2" xfId="16264"/>
    <cellStyle name="Normal 4 4 3 2 2" xfId="37454"/>
    <cellStyle name="Normal 4 4 3 3" xfId="29904"/>
    <cellStyle name="Normal 4 4 4" xfId="16067"/>
    <cellStyle name="Normal 4 4 4 2" xfId="37257"/>
    <cellStyle name="Normal 4 4 5" xfId="27161"/>
    <cellStyle name="Normal 4 4_Table 2A-1_EFT (Annual)" xfId="3158"/>
    <cellStyle name="Normal 4 5" xfId="1625"/>
    <cellStyle name="Normal 4 5 2" xfId="5186"/>
    <cellStyle name="Normal 4 5 2 2" xfId="16315"/>
    <cellStyle name="Normal 4 5 2 2 2" xfId="37504"/>
    <cellStyle name="Normal 4 5 2 3" xfId="30843"/>
    <cellStyle name="Normal 4 5 3" xfId="16117"/>
    <cellStyle name="Normal 4 5 3 2" xfId="37307"/>
    <cellStyle name="Normal 4 5 4" xfId="28100"/>
    <cellStyle name="Normal 4 5_Table 2A-1_EFT (Annual)" xfId="3160"/>
    <cellStyle name="Normal 4 6" xfId="3651"/>
    <cellStyle name="Normal 4 6 2" xfId="16215"/>
    <cellStyle name="Normal 4 6 2 2" xfId="37405"/>
    <cellStyle name="Normal 4 6 3" xfId="29367"/>
    <cellStyle name="Normal 4 7" xfId="16018"/>
    <cellStyle name="Normal 4 7 2" xfId="37208"/>
    <cellStyle name="Normal 4 8" xfId="26624"/>
    <cellStyle name="Normal 4 9" xfId="47812"/>
    <cellStyle name="Normal 4_Table 2A-1_EFT (Annual)" xfId="3145"/>
    <cellStyle name="Normal 5" xfId="61"/>
    <cellStyle name="Normal 5 2" xfId="105"/>
    <cellStyle name="Normal 5 2 2" xfId="336"/>
    <cellStyle name="Normal 5 2 2 2" xfId="880"/>
    <cellStyle name="Normal 5 2 2 2 2" xfId="2393"/>
    <cellStyle name="Normal 5 2 2 2 2 2" xfId="5954"/>
    <cellStyle name="Normal 5 2 2 2 2 2 2" xfId="16402"/>
    <cellStyle name="Normal 5 2 2 2 2 2 2 2" xfId="37591"/>
    <cellStyle name="Normal 5 2 2 2 2 2 3" xfId="31610"/>
    <cellStyle name="Normal 5 2 2 2 2 3" xfId="16204"/>
    <cellStyle name="Normal 5 2 2 2 2 3 2" xfId="37394"/>
    <cellStyle name="Normal 5 2 2 2 2 4" xfId="28867"/>
    <cellStyle name="Normal 5 2 2 2 2_Table 2A-1_EFT (Annual)" xfId="3165"/>
    <cellStyle name="Normal 5 2 2 2 3" xfId="4441"/>
    <cellStyle name="Normal 5 2 2 2 3 2" xfId="16302"/>
    <cellStyle name="Normal 5 2 2 2 3 2 2" xfId="37492"/>
    <cellStyle name="Normal 5 2 2 2 3 3" xfId="30098"/>
    <cellStyle name="Normal 5 2 2 2 4" xfId="16105"/>
    <cellStyle name="Normal 5 2 2 2 4 2" xfId="37295"/>
    <cellStyle name="Normal 5 2 2 2 5" xfId="27355"/>
    <cellStyle name="Normal 5 2 2 2_Table 2A-1_EFT (Annual)" xfId="3164"/>
    <cellStyle name="Normal 5 2 2 3" xfId="1701"/>
    <cellStyle name="Normal 5 2 2 3 2" xfId="5262"/>
    <cellStyle name="Normal 5 2 2 3 2 2" xfId="16353"/>
    <cellStyle name="Normal 5 2 2 3 2 2 2" xfId="37542"/>
    <cellStyle name="Normal 5 2 2 3 2 3" xfId="30919"/>
    <cellStyle name="Normal 5 2 2 3 3" xfId="16155"/>
    <cellStyle name="Normal 5 2 2 3 3 2" xfId="37345"/>
    <cellStyle name="Normal 5 2 2 3 4" xfId="28176"/>
    <cellStyle name="Normal 5 2 2 3_Table 2A-1_EFT (Annual)" xfId="3166"/>
    <cellStyle name="Normal 5 2 2 4" xfId="3906"/>
    <cellStyle name="Normal 5 2 2 4 2" xfId="16253"/>
    <cellStyle name="Normal 5 2 2 4 2 2" xfId="37443"/>
    <cellStyle name="Normal 5 2 2 4 3" xfId="29594"/>
    <cellStyle name="Normal 5 2 2 5" xfId="16056"/>
    <cellStyle name="Normal 5 2 2 5 2" xfId="37246"/>
    <cellStyle name="Normal 5 2 2 6" xfId="26851"/>
    <cellStyle name="Normal 5 2 2_Table 2A-1_EFT (Annual)" xfId="3163"/>
    <cellStyle name="Normal 5 2 3" xfId="721"/>
    <cellStyle name="Normal 5 2 3 2" xfId="2368"/>
    <cellStyle name="Normal 5 2 3 2 2" xfId="5929"/>
    <cellStyle name="Normal 5 2 3 2 2 2" xfId="16377"/>
    <cellStyle name="Normal 5 2 3 2 2 2 2" xfId="37566"/>
    <cellStyle name="Normal 5 2 3 2 2 3" xfId="31585"/>
    <cellStyle name="Normal 5 2 3 2 3" xfId="16179"/>
    <cellStyle name="Normal 5 2 3 2 3 2" xfId="37369"/>
    <cellStyle name="Normal 5 2 3 2 4" xfId="28842"/>
    <cellStyle name="Normal 5 2 3 2_Table 2A-1_EFT (Annual)" xfId="3168"/>
    <cellStyle name="Normal 5 2 3 3" xfId="4282"/>
    <cellStyle name="Normal 5 2 3 3 2" xfId="16277"/>
    <cellStyle name="Normal 5 2 3 3 2 2" xfId="37467"/>
    <cellStyle name="Normal 5 2 3 3 3" xfId="29939"/>
    <cellStyle name="Normal 5 2 3 4" xfId="16080"/>
    <cellStyle name="Normal 5 2 3 4 2" xfId="37270"/>
    <cellStyle name="Normal 5 2 3 5" xfId="27196"/>
    <cellStyle name="Normal 5 2 3_Table 2A-1_EFT (Annual)" xfId="3167"/>
    <cellStyle name="Normal 5 2 4" xfId="1644"/>
    <cellStyle name="Normal 5 2 4 2" xfId="5205"/>
    <cellStyle name="Normal 5 2 4 2 2" xfId="16328"/>
    <cellStyle name="Normal 5 2 4 2 2 2" xfId="37517"/>
    <cellStyle name="Normal 5 2 4 2 3" xfId="30862"/>
    <cellStyle name="Normal 5 2 4 3" xfId="16130"/>
    <cellStyle name="Normal 5 2 4 3 2" xfId="37320"/>
    <cellStyle name="Normal 5 2 4 4" xfId="28119"/>
    <cellStyle name="Normal 5 2 4_Table 2A-1_EFT (Annual)" xfId="3169"/>
    <cellStyle name="Normal 5 2 5" xfId="3694"/>
    <cellStyle name="Normal 5 2 5 2" xfId="16228"/>
    <cellStyle name="Normal 5 2 5 2 2" xfId="37418"/>
    <cellStyle name="Normal 5 2 5 3" xfId="29403"/>
    <cellStyle name="Normal 5 2 6" xfId="16031"/>
    <cellStyle name="Normal 5 2 6 2" xfId="37221"/>
    <cellStyle name="Normal 5 2 7" xfId="26660"/>
    <cellStyle name="Normal 5 2_Table 2A-1_EFT (Annual)" xfId="3162"/>
    <cellStyle name="Normal 5 3" xfId="301"/>
    <cellStyle name="Normal 5 3 2" xfId="851"/>
    <cellStyle name="Normal 5 3 2 2" xfId="2381"/>
    <cellStyle name="Normal 5 3 2 2 2" xfId="5942"/>
    <cellStyle name="Normal 5 3 2 2 2 2" xfId="16390"/>
    <cellStyle name="Normal 5 3 2 2 2 2 2" xfId="37579"/>
    <cellStyle name="Normal 5 3 2 2 2 3" xfId="31598"/>
    <cellStyle name="Normal 5 3 2 2 3" xfId="16192"/>
    <cellStyle name="Normal 5 3 2 2 3 2" xfId="37382"/>
    <cellStyle name="Normal 5 3 2 2 4" xfId="28855"/>
    <cellStyle name="Normal 5 3 2 2_Table 2A-1_EFT (Annual)" xfId="3172"/>
    <cellStyle name="Normal 5 3 2 3" xfId="4412"/>
    <cellStyle name="Normal 5 3 2 3 2" xfId="16290"/>
    <cellStyle name="Normal 5 3 2 3 2 2" xfId="37480"/>
    <cellStyle name="Normal 5 3 2 3 3" xfId="30069"/>
    <cellStyle name="Normal 5 3 2 4" xfId="16093"/>
    <cellStyle name="Normal 5 3 2 4 2" xfId="37283"/>
    <cellStyle name="Normal 5 3 2 5" xfId="27326"/>
    <cellStyle name="Normal 5 3 2_Table 2A-1_EFT (Annual)" xfId="3171"/>
    <cellStyle name="Normal 5 3 3" xfId="1683"/>
    <cellStyle name="Normal 5 3 3 2" xfId="5244"/>
    <cellStyle name="Normal 5 3 3 2 2" xfId="16341"/>
    <cellStyle name="Normal 5 3 3 2 2 2" xfId="37530"/>
    <cellStyle name="Normal 5 3 3 2 3" xfId="30901"/>
    <cellStyle name="Normal 5 3 3 3" xfId="16143"/>
    <cellStyle name="Normal 5 3 3 3 2" xfId="37333"/>
    <cellStyle name="Normal 5 3 3 4" xfId="28158"/>
    <cellStyle name="Normal 5 3 3_Table 2A-1_EFT (Annual)" xfId="3173"/>
    <cellStyle name="Normal 5 3 4" xfId="3871"/>
    <cellStyle name="Normal 5 3 4 2" xfId="16241"/>
    <cellStyle name="Normal 5 3 4 2 2" xfId="37431"/>
    <cellStyle name="Normal 5 3 4 3" xfId="29559"/>
    <cellStyle name="Normal 5 3 5" xfId="16044"/>
    <cellStyle name="Normal 5 3 5 2" xfId="37234"/>
    <cellStyle name="Normal 5 3 6" xfId="26816"/>
    <cellStyle name="Normal 5 3_Table 2A-1_EFT (Annual)" xfId="3170"/>
    <cellStyle name="Normal 5 4" xfId="647"/>
    <cellStyle name="Normal 5 4 2" xfId="1768"/>
    <cellStyle name="Normal 5 4 2 2" xfId="5329"/>
    <cellStyle name="Normal 5 4 2 2 2" xfId="16365"/>
    <cellStyle name="Normal 5 4 2 2 2 2" xfId="37554"/>
    <cellStyle name="Normal 5 4 2 2 3" xfId="30986"/>
    <cellStyle name="Normal 5 4 2 3" xfId="16167"/>
    <cellStyle name="Normal 5 4 2 3 2" xfId="37357"/>
    <cellStyle name="Normal 5 4 2 4" xfId="28243"/>
    <cellStyle name="Normal 5 4 2_Table 2A-1_EFT (Annual)" xfId="3175"/>
    <cellStyle name="Normal 5 4 3" xfId="4217"/>
    <cellStyle name="Normal 5 4 3 2" xfId="16265"/>
    <cellStyle name="Normal 5 4 3 2 2" xfId="37455"/>
    <cellStyle name="Normal 5 4 3 3" xfId="29905"/>
    <cellStyle name="Normal 5 4 4" xfId="16068"/>
    <cellStyle name="Normal 5 4 4 2" xfId="37258"/>
    <cellStyle name="Normal 5 4 5" xfId="27162"/>
    <cellStyle name="Normal 5 4_Table 2A-1_EFT (Annual)" xfId="3174"/>
    <cellStyle name="Normal 5 5" xfId="1626"/>
    <cellStyle name="Normal 5 5 2" xfId="5187"/>
    <cellStyle name="Normal 5 5 2 2" xfId="16316"/>
    <cellStyle name="Normal 5 5 2 2 2" xfId="37505"/>
    <cellStyle name="Normal 5 5 2 3" xfId="30844"/>
    <cellStyle name="Normal 5 5 3" xfId="16118"/>
    <cellStyle name="Normal 5 5 3 2" xfId="37308"/>
    <cellStyle name="Normal 5 5 4" xfId="28101"/>
    <cellStyle name="Normal 5 5_Table 2A-1_EFT (Annual)" xfId="3176"/>
    <cellStyle name="Normal 5 6" xfId="3652"/>
    <cellStyle name="Normal 5 6 2" xfId="16216"/>
    <cellStyle name="Normal 5 6 2 2" xfId="37406"/>
    <cellStyle name="Normal 5 6 3" xfId="29368"/>
    <cellStyle name="Normal 5 7" xfId="16019"/>
    <cellStyle name="Normal 5 7 2" xfId="37209"/>
    <cellStyle name="Normal 5 8" xfId="26625"/>
    <cellStyle name="Normal 5 9" xfId="47813"/>
    <cellStyle name="Normal 5_Table 2A-1_EFT (Annual)" xfId="3161"/>
    <cellStyle name="Normal 6" xfId="62"/>
    <cellStyle name="Normal 6 2" xfId="106"/>
    <cellStyle name="Normal 6 2 2" xfId="337"/>
    <cellStyle name="Normal 6 2 2 2" xfId="881"/>
    <cellStyle name="Normal 6 2 2 2 2" xfId="2394"/>
    <cellStyle name="Normal 6 2 2 2 2 2" xfId="5955"/>
    <cellStyle name="Normal 6 2 2 2 2 2 2" xfId="16403"/>
    <cellStyle name="Normal 6 2 2 2 2 2 2 2" xfId="37592"/>
    <cellStyle name="Normal 6 2 2 2 2 2 3" xfId="31611"/>
    <cellStyle name="Normal 6 2 2 2 2 3" xfId="16205"/>
    <cellStyle name="Normal 6 2 2 2 2 3 2" xfId="37395"/>
    <cellStyle name="Normal 6 2 2 2 2 4" xfId="28868"/>
    <cellStyle name="Normal 6 2 2 2 2_Table 2A-1_EFT (Annual)" xfId="3181"/>
    <cellStyle name="Normal 6 2 2 2 3" xfId="4442"/>
    <cellStyle name="Normal 6 2 2 2 3 2" xfId="16303"/>
    <cellStyle name="Normal 6 2 2 2 3 2 2" xfId="37493"/>
    <cellStyle name="Normal 6 2 2 2 3 3" xfId="30099"/>
    <cellStyle name="Normal 6 2 2 2 4" xfId="16106"/>
    <cellStyle name="Normal 6 2 2 2 4 2" xfId="37296"/>
    <cellStyle name="Normal 6 2 2 2 5" xfId="27356"/>
    <cellStyle name="Normal 6 2 2 2_Table 2A-1_EFT (Annual)" xfId="3180"/>
    <cellStyle name="Normal 6 2 2 3" xfId="1702"/>
    <cellStyle name="Normal 6 2 2 3 2" xfId="5263"/>
    <cellStyle name="Normal 6 2 2 3 2 2" xfId="16354"/>
    <cellStyle name="Normal 6 2 2 3 2 2 2" xfId="37543"/>
    <cellStyle name="Normal 6 2 2 3 2 3" xfId="30920"/>
    <cellStyle name="Normal 6 2 2 3 3" xfId="16156"/>
    <cellStyle name="Normal 6 2 2 3 3 2" xfId="37346"/>
    <cellStyle name="Normal 6 2 2 3 4" xfId="28177"/>
    <cellStyle name="Normal 6 2 2 3_Table 2A-1_EFT (Annual)" xfId="3182"/>
    <cellStyle name="Normal 6 2 2 4" xfId="3907"/>
    <cellStyle name="Normal 6 2 2 4 2" xfId="16254"/>
    <cellStyle name="Normal 6 2 2 4 2 2" xfId="37444"/>
    <cellStyle name="Normal 6 2 2 4 3" xfId="29595"/>
    <cellStyle name="Normal 6 2 2 5" xfId="16057"/>
    <cellStyle name="Normal 6 2 2 5 2" xfId="37247"/>
    <cellStyle name="Normal 6 2 2 6" xfId="26852"/>
    <cellStyle name="Normal 6 2 2_Table 2A-1_EFT (Annual)" xfId="3179"/>
    <cellStyle name="Normal 6 2 3" xfId="722"/>
    <cellStyle name="Normal 6 2 3 2" xfId="2369"/>
    <cellStyle name="Normal 6 2 3 2 2" xfId="5930"/>
    <cellStyle name="Normal 6 2 3 2 2 2" xfId="16378"/>
    <cellStyle name="Normal 6 2 3 2 2 2 2" xfId="37567"/>
    <cellStyle name="Normal 6 2 3 2 2 3" xfId="31586"/>
    <cellStyle name="Normal 6 2 3 2 3" xfId="16180"/>
    <cellStyle name="Normal 6 2 3 2 3 2" xfId="37370"/>
    <cellStyle name="Normal 6 2 3 2 4" xfId="28843"/>
    <cellStyle name="Normal 6 2 3 2_Table 2A-1_EFT (Annual)" xfId="3184"/>
    <cellStyle name="Normal 6 2 3 3" xfId="4283"/>
    <cellStyle name="Normal 6 2 3 3 2" xfId="16278"/>
    <cellStyle name="Normal 6 2 3 3 2 2" xfId="37468"/>
    <cellStyle name="Normal 6 2 3 3 3" xfId="29940"/>
    <cellStyle name="Normal 6 2 3 4" xfId="16081"/>
    <cellStyle name="Normal 6 2 3 4 2" xfId="37271"/>
    <cellStyle name="Normal 6 2 3 5" xfId="27197"/>
    <cellStyle name="Normal 6 2 3_Table 2A-1_EFT (Annual)" xfId="3183"/>
    <cellStyle name="Normal 6 2 4" xfId="1645"/>
    <cellStyle name="Normal 6 2 4 2" xfId="5206"/>
    <cellStyle name="Normal 6 2 4 2 2" xfId="16329"/>
    <cellStyle name="Normal 6 2 4 2 2 2" xfId="37518"/>
    <cellStyle name="Normal 6 2 4 2 3" xfId="30863"/>
    <cellStyle name="Normal 6 2 4 3" xfId="16131"/>
    <cellStyle name="Normal 6 2 4 3 2" xfId="37321"/>
    <cellStyle name="Normal 6 2 4 4" xfId="28120"/>
    <cellStyle name="Normal 6 2 4_Table 2A-1_EFT (Annual)" xfId="3185"/>
    <cellStyle name="Normal 6 2 5" xfId="3695"/>
    <cellStyle name="Normal 6 2 5 2" xfId="16229"/>
    <cellStyle name="Normal 6 2 5 2 2" xfId="37419"/>
    <cellStyle name="Normal 6 2 5 3" xfId="29404"/>
    <cellStyle name="Normal 6 2 6" xfId="16032"/>
    <cellStyle name="Normal 6 2 6 2" xfId="37222"/>
    <cellStyle name="Normal 6 2 7" xfId="26661"/>
    <cellStyle name="Normal 6 2_Table 2A-1_EFT (Annual)" xfId="3178"/>
    <cellStyle name="Normal 6 3" xfId="302"/>
    <cellStyle name="Normal 6 3 2" xfId="852"/>
    <cellStyle name="Normal 6 3 2 2" xfId="2382"/>
    <cellStyle name="Normal 6 3 2 2 2" xfId="5943"/>
    <cellStyle name="Normal 6 3 2 2 2 2" xfId="16391"/>
    <cellStyle name="Normal 6 3 2 2 2 2 2" xfId="37580"/>
    <cellStyle name="Normal 6 3 2 2 2 3" xfId="31599"/>
    <cellStyle name="Normal 6 3 2 2 3" xfId="16193"/>
    <cellStyle name="Normal 6 3 2 2 3 2" xfId="37383"/>
    <cellStyle name="Normal 6 3 2 2 4" xfId="28856"/>
    <cellStyle name="Normal 6 3 2 2_Table 2A-1_EFT (Annual)" xfId="3188"/>
    <cellStyle name="Normal 6 3 2 3" xfId="4413"/>
    <cellStyle name="Normal 6 3 2 3 2" xfId="16291"/>
    <cellStyle name="Normal 6 3 2 3 2 2" xfId="37481"/>
    <cellStyle name="Normal 6 3 2 3 3" xfId="30070"/>
    <cellStyle name="Normal 6 3 2 4" xfId="16094"/>
    <cellStyle name="Normal 6 3 2 4 2" xfId="37284"/>
    <cellStyle name="Normal 6 3 2 5" xfId="27327"/>
    <cellStyle name="Normal 6 3 2_Table 2A-1_EFT (Annual)" xfId="3187"/>
    <cellStyle name="Normal 6 3 3" xfId="1684"/>
    <cellStyle name="Normal 6 3 3 2" xfId="5245"/>
    <cellStyle name="Normal 6 3 3 2 2" xfId="16342"/>
    <cellStyle name="Normal 6 3 3 2 2 2" xfId="37531"/>
    <cellStyle name="Normal 6 3 3 2 3" xfId="30902"/>
    <cellStyle name="Normal 6 3 3 3" xfId="16144"/>
    <cellStyle name="Normal 6 3 3 3 2" xfId="37334"/>
    <cellStyle name="Normal 6 3 3 4" xfId="28159"/>
    <cellStyle name="Normal 6 3 3_Table 2A-1_EFT (Annual)" xfId="3189"/>
    <cellStyle name="Normal 6 3 4" xfId="3872"/>
    <cellStyle name="Normal 6 3 4 2" xfId="16242"/>
    <cellStyle name="Normal 6 3 4 2 2" xfId="37432"/>
    <cellStyle name="Normal 6 3 4 3" xfId="29560"/>
    <cellStyle name="Normal 6 3 5" xfId="16045"/>
    <cellStyle name="Normal 6 3 5 2" xfId="37235"/>
    <cellStyle name="Normal 6 3 6" xfId="26817"/>
    <cellStyle name="Normal 6 3_Table 2A-1_EFT (Annual)" xfId="3186"/>
    <cellStyle name="Normal 6 4" xfId="648"/>
    <cellStyle name="Normal 6 4 2" xfId="1769"/>
    <cellStyle name="Normal 6 4 2 2" xfId="5330"/>
    <cellStyle name="Normal 6 4 2 2 2" xfId="16366"/>
    <cellStyle name="Normal 6 4 2 2 2 2" xfId="37555"/>
    <cellStyle name="Normal 6 4 2 2 3" xfId="30987"/>
    <cellStyle name="Normal 6 4 2 3" xfId="16168"/>
    <cellStyle name="Normal 6 4 2 3 2" xfId="37358"/>
    <cellStyle name="Normal 6 4 2 4" xfId="28244"/>
    <cellStyle name="Normal 6 4 2_Table 2A-1_EFT (Annual)" xfId="3191"/>
    <cellStyle name="Normal 6 4 3" xfId="4218"/>
    <cellStyle name="Normal 6 4 3 2" xfId="16266"/>
    <cellStyle name="Normal 6 4 3 2 2" xfId="37456"/>
    <cellStyle name="Normal 6 4 3 3" xfId="29906"/>
    <cellStyle name="Normal 6 4 4" xfId="16069"/>
    <cellStyle name="Normal 6 4 4 2" xfId="37259"/>
    <cellStyle name="Normal 6 4 5" xfId="27163"/>
    <cellStyle name="Normal 6 4_Table 2A-1_EFT (Annual)" xfId="3190"/>
    <cellStyle name="Normal 6 5" xfId="1627"/>
    <cellStyle name="Normal 6 5 2" xfId="5188"/>
    <cellStyle name="Normal 6 5 2 2" xfId="16317"/>
    <cellStyle name="Normal 6 5 2 2 2" xfId="37506"/>
    <cellStyle name="Normal 6 5 2 3" xfId="30845"/>
    <cellStyle name="Normal 6 5 3" xfId="16119"/>
    <cellStyle name="Normal 6 5 3 2" xfId="37309"/>
    <cellStyle name="Normal 6 5 4" xfId="28102"/>
    <cellStyle name="Normal 6 5_Table 2A-1_EFT (Annual)" xfId="3192"/>
    <cellStyle name="Normal 6 6" xfId="3653"/>
    <cellStyle name="Normal 6 6 2" xfId="16217"/>
    <cellStyle name="Normal 6 6 2 2" xfId="37407"/>
    <cellStyle name="Normal 6 6 3" xfId="29369"/>
    <cellStyle name="Normal 6 7" xfId="16020"/>
    <cellStyle name="Normal 6 7 2" xfId="37210"/>
    <cellStyle name="Normal 6 8" xfId="26626"/>
    <cellStyle name="Normal 6 9" xfId="47814"/>
    <cellStyle name="Normal 6_Table 2A-1_EFT (Annual)" xfId="3177"/>
    <cellStyle name="Normal 7" xfId="69"/>
    <cellStyle name="Normal 7 2" xfId="224"/>
    <cellStyle name="Normal 7 2 2" xfId="451"/>
    <cellStyle name="Normal 7 2 2 2" xfId="975"/>
    <cellStyle name="Normal 7 2 2 2 2" xfId="2397"/>
    <cellStyle name="Normal 7 2 2 2 2 2" xfId="5958"/>
    <cellStyle name="Normal 7 2 2 2 2 2 2" xfId="16406"/>
    <cellStyle name="Normal 7 2 2 2 2 2 2 2" xfId="37595"/>
    <cellStyle name="Normal 7 2 2 2 2 2 3" xfId="31614"/>
    <cellStyle name="Normal 7 2 2 2 2 3" xfId="16208"/>
    <cellStyle name="Normal 7 2 2 2 2 3 2" xfId="37398"/>
    <cellStyle name="Normal 7 2 2 2 2 4" xfId="28871"/>
    <cellStyle name="Normal 7 2 2 2 2_Table 2A-1_EFT (Annual)" xfId="3197"/>
    <cellStyle name="Normal 7 2 2 2 3" xfId="4536"/>
    <cellStyle name="Normal 7 2 2 2 3 2" xfId="16306"/>
    <cellStyle name="Normal 7 2 2 2 3 2 2" xfId="37496"/>
    <cellStyle name="Normal 7 2 2 2 3 3" xfId="30193"/>
    <cellStyle name="Normal 7 2 2 2 4" xfId="16109"/>
    <cellStyle name="Normal 7 2 2 2 4 2" xfId="37299"/>
    <cellStyle name="Normal 7 2 2 2 5" xfId="27450"/>
    <cellStyle name="Normal 7 2 2 2_Table 2A-1_EFT (Annual)" xfId="3196"/>
    <cellStyle name="Normal 7 2 2 3" xfId="1725"/>
    <cellStyle name="Normal 7 2 2 3 2" xfId="5286"/>
    <cellStyle name="Normal 7 2 2 3 2 2" xfId="16357"/>
    <cellStyle name="Normal 7 2 2 3 2 2 2" xfId="37546"/>
    <cellStyle name="Normal 7 2 2 3 2 3" xfId="30943"/>
    <cellStyle name="Normal 7 2 2 3 3" xfId="16159"/>
    <cellStyle name="Normal 7 2 2 3 3 2" xfId="37349"/>
    <cellStyle name="Normal 7 2 2 3 4" xfId="28200"/>
    <cellStyle name="Normal 7 2 2 3_Table 2A-1_EFT (Annual)" xfId="3198"/>
    <cellStyle name="Normal 7 2 2 4" xfId="4021"/>
    <cellStyle name="Normal 7 2 2 4 2" xfId="16257"/>
    <cellStyle name="Normal 7 2 2 4 2 2" xfId="37447"/>
    <cellStyle name="Normal 7 2 2 4 3" xfId="29709"/>
    <cellStyle name="Normal 7 2 2 5" xfId="16060"/>
    <cellStyle name="Normal 7 2 2 5 2" xfId="37250"/>
    <cellStyle name="Normal 7 2 2 6" xfId="26966"/>
    <cellStyle name="Normal 7 2 2_Table 2A-1_EFT (Annual)" xfId="3195"/>
    <cellStyle name="Normal 7 2 3" xfId="819"/>
    <cellStyle name="Normal 7 2 3 2" xfId="2372"/>
    <cellStyle name="Normal 7 2 3 2 2" xfId="5933"/>
    <cellStyle name="Normal 7 2 3 2 2 2" xfId="16381"/>
    <cellStyle name="Normal 7 2 3 2 2 2 2" xfId="37570"/>
    <cellStyle name="Normal 7 2 3 2 2 3" xfId="31589"/>
    <cellStyle name="Normal 7 2 3 2 3" xfId="16183"/>
    <cellStyle name="Normal 7 2 3 2 3 2" xfId="37373"/>
    <cellStyle name="Normal 7 2 3 2 4" xfId="28846"/>
    <cellStyle name="Normal 7 2 3 2_Table 2A-1_EFT (Annual)" xfId="3200"/>
    <cellStyle name="Normal 7 2 3 3" xfId="4380"/>
    <cellStyle name="Normal 7 2 3 3 2" xfId="16281"/>
    <cellStyle name="Normal 7 2 3 3 2 2" xfId="37471"/>
    <cellStyle name="Normal 7 2 3 3 3" xfId="30037"/>
    <cellStyle name="Normal 7 2 3 4" xfId="16084"/>
    <cellStyle name="Normal 7 2 3 4 2" xfId="37274"/>
    <cellStyle name="Normal 7 2 3 5" xfId="27294"/>
    <cellStyle name="Normal 7 2 3_Table 2A-1_EFT (Annual)" xfId="3199"/>
    <cellStyle name="Normal 7 2 4" xfId="1669"/>
    <cellStyle name="Normal 7 2 4 2" xfId="5230"/>
    <cellStyle name="Normal 7 2 4 2 2" xfId="16332"/>
    <cellStyle name="Normal 7 2 4 2 2 2" xfId="37521"/>
    <cellStyle name="Normal 7 2 4 2 3" xfId="30887"/>
    <cellStyle name="Normal 7 2 4 3" xfId="16134"/>
    <cellStyle name="Normal 7 2 4 3 2" xfId="37324"/>
    <cellStyle name="Normal 7 2 4 4" xfId="28144"/>
    <cellStyle name="Normal 7 2 4_Table 2A-1_EFT (Annual)" xfId="3201"/>
    <cellStyle name="Normal 7 2 5" xfId="3813"/>
    <cellStyle name="Normal 7 2 5 2" xfId="16232"/>
    <cellStyle name="Normal 7 2 5 2 2" xfId="37422"/>
    <cellStyle name="Normal 7 2 5 3" xfId="29522"/>
    <cellStyle name="Normal 7 2 6" xfId="16035"/>
    <cellStyle name="Normal 7 2 6 2" xfId="37225"/>
    <cellStyle name="Normal 7 2 7" xfId="26779"/>
    <cellStyle name="Normal 7 2_Table 2A-1_EFT (Annual)" xfId="3194"/>
    <cellStyle name="Normal 7 3" xfId="305"/>
    <cellStyle name="Normal 7 3 2" xfId="855"/>
    <cellStyle name="Normal 7 3 2 2" xfId="2385"/>
    <cellStyle name="Normal 7 3 2 2 2" xfId="5946"/>
    <cellStyle name="Normal 7 3 2 2 2 2" xfId="16394"/>
    <cellStyle name="Normal 7 3 2 2 2 2 2" xfId="37583"/>
    <cellStyle name="Normal 7 3 2 2 2 3" xfId="31602"/>
    <cellStyle name="Normal 7 3 2 2 3" xfId="16196"/>
    <cellStyle name="Normal 7 3 2 2 3 2" xfId="37386"/>
    <cellStyle name="Normal 7 3 2 2 4" xfId="28859"/>
    <cellStyle name="Normal 7 3 2 2_Table 2A-1_EFT (Annual)" xfId="3204"/>
    <cellStyle name="Normal 7 3 2 3" xfId="4416"/>
    <cellStyle name="Normal 7 3 2 3 2" xfId="16294"/>
    <cellStyle name="Normal 7 3 2 3 2 2" xfId="37484"/>
    <cellStyle name="Normal 7 3 2 3 3" xfId="30073"/>
    <cellStyle name="Normal 7 3 2 4" xfId="16097"/>
    <cellStyle name="Normal 7 3 2 4 2" xfId="37287"/>
    <cellStyle name="Normal 7 3 2 5" xfId="27330"/>
    <cellStyle name="Normal 7 3 2_Table 2A-1_EFT (Annual)" xfId="3203"/>
    <cellStyle name="Normal 7 3 3" xfId="1687"/>
    <cellStyle name="Normal 7 3 3 2" xfId="5248"/>
    <cellStyle name="Normal 7 3 3 2 2" xfId="16345"/>
    <cellStyle name="Normal 7 3 3 2 2 2" xfId="37534"/>
    <cellStyle name="Normal 7 3 3 2 3" xfId="30905"/>
    <cellStyle name="Normal 7 3 3 3" xfId="16147"/>
    <cellStyle name="Normal 7 3 3 3 2" xfId="37337"/>
    <cellStyle name="Normal 7 3 3 4" xfId="28162"/>
    <cellStyle name="Normal 7 3 3_Table 2A-1_EFT (Annual)" xfId="3205"/>
    <cellStyle name="Normal 7 3 4" xfId="3875"/>
    <cellStyle name="Normal 7 3 4 2" xfId="16245"/>
    <cellStyle name="Normal 7 3 4 2 2" xfId="37435"/>
    <cellStyle name="Normal 7 3 4 3" xfId="29563"/>
    <cellStyle name="Normal 7 3 5" xfId="16048"/>
    <cellStyle name="Normal 7 3 5 2" xfId="37238"/>
    <cellStyle name="Normal 7 3 6" xfId="26820"/>
    <cellStyle name="Normal 7 3_Table 2A-1_EFT (Annual)" xfId="3202"/>
    <cellStyle name="Normal 7 4" xfId="651"/>
    <cellStyle name="Normal 7 4 2" xfId="1772"/>
    <cellStyle name="Normal 7 4 2 2" xfId="5333"/>
    <cellStyle name="Normal 7 4 2 2 2" xfId="16369"/>
    <cellStyle name="Normal 7 4 2 2 2 2" xfId="37558"/>
    <cellStyle name="Normal 7 4 2 2 3" xfId="30990"/>
    <cellStyle name="Normal 7 4 2 3" xfId="16171"/>
    <cellStyle name="Normal 7 4 2 3 2" xfId="37361"/>
    <cellStyle name="Normal 7 4 2 4" xfId="28247"/>
    <cellStyle name="Normal 7 4 2_Table 2A-1_EFT (Annual)" xfId="3207"/>
    <cellStyle name="Normal 7 4 3" xfId="4221"/>
    <cellStyle name="Normal 7 4 3 2" xfId="16269"/>
    <cellStyle name="Normal 7 4 3 2 2" xfId="37459"/>
    <cellStyle name="Normal 7 4 3 3" xfId="29909"/>
    <cellStyle name="Normal 7 4 4" xfId="16072"/>
    <cellStyle name="Normal 7 4 4 2" xfId="37262"/>
    <cellStyle name="Normal 7 4 5" xfId="27166"/>
    <cellStyle name="Normal 7 4_Table 2A-1_EFT (Annual)" xfId="3206"/>
    <cellStyle name="Normal 7 5" xfId="1630"/>
    <cellStyle name="Normal 7 5 2" xfId="5191"/>
    <cellStyle name="Normal 7 5 2 2" xfId="16320"/>
    <cellStyle name="Normal 7 5 2 2 2" xfId="37509"/>
    <cellStyle name="Normal 7 5 2 3" xfId="30848"/>
    <cellStyle name="Normal 7 5 3" xfId="16122"/>
    <cellStyle name="Normal 7 5 3 2" xfId="37312"/>
    <cellStyle name="Normal 7 5 4" xfId="28105"/>
    <cellStyle name="Normal 7 5_Table 2A-1_EFT (Annual)" xfId="3208"/>
    <cellStyle name="Normal 7 6" xfId="3660"/>
    <cellStyle name="Normal 7 6 2" xfId="16220"/>
    <cellStyle name="Normal 7 6 2 2" xfId="37410"/>
    <cellStyle name="Normal 7 6 3" xfId="29372"/>
    <cellStyle name="Normal 7 7" xfId="16023"/>
    <cellStyle name="Normal 7 7 2" xfId="37213"/>
    <cellStyle name="Normal 7 8" xfId="26629"/>
    <cellStyle name="Normal 7 9" xfId="47817"/>
    <cellStyle name="Normal 7_Table 2A-1_EFT (Annual)" xfId="3193"/>
    <cellStyle name="Normal 8" xfId="58"/>
    <cellStyle name="Normal 9" xfId="59"/>
    <cellStyle name="Normal 9 2" xfId="103"/>
    <cellStyle name="Normal 9 2 2" xfId="334"/>
    <cellStyle name="Normal 9 2 2 2" xfId="878"/>
    <cellStyle name="Normal 9 2 2 2 2" xfId="2391"/>
    <cellStyle name="Normal 9 2 2 2 2 2" xfId="5952"/>
    <cellStyle name="Normal 9 2 2 2 2 2 2" xfId="16400"/>
    <cellStyle name="Normal 9 2 2 2 2 2 2 2" xfId="37589"/>
    <cellStyle name="Normal 9 2 2 2 2 2 3" xfId="31608"/>
    <cellStyle name="Normal 9 2 2 2 2 3" xfId="16202"/>
    <cellStyle name="Normal 9 2 2 2 2 3 2" xfId="37392"/>
    <cellStyle name="Normal 9 2 2 2 2 4" xfId="28865"/>
    <cellStyle name="Normal 9 2 2 2 2_Table 2A-1_EFT (Annual)" xfId="3213"/>
    <cellStyle name="Normal 9 2 2 2 3" xfId="4439"/>
    <cellStyle name="Normal 9 2 2 2 3 2" xfId="16300"/>
    <cellStyle name="Normal 9 2 2 2 3 2 2" xfId="37490"/>
    <cellStyle name="Normal 9 2 2 2 3 3" xfId="30096"/>
    <cellStyle name="Normal 9 2 2 2 4" xfId="16103"/>
    <cellStyle name="Normal 9 2 2 2 4 2" xfId="37293"/>
    <cellStyle name="Normal 9 2 2 2 5" xfId="27353"/>
    <cellStyle name="Normal 9 2 2 2_Table 2A-1_EFT (Annual)" xfId="3212"/>
    <cellStyle name="Normal 9 2 2 3" xfId="1699"/>
    <cellStyle name="Normal 9 2 2 3 2" xfId="5260"/>
    <cellStyle name="Normal 9 2 2 3 2 2" xfId="16351"/>
    <cellStyle name="Normal 9 2 2 3 2 2 2" xfId="37540"/>
    <cellStyle name="Normal 9 2 2 3 2 3" xfId="30917"/>
    <cellStyle name="Normal 9 2 2 3 3" xfId="16153"/>
    <cellStyle name="Normal 9 2 2 3 3 2" xfId="37343"/>
    <cellStyle name="Normal 9 2 2 3 4" xfId="28174"/>
    <cellStyle name="Normal 9 2 2 3_Table 2A-1_EFT (Annual)" xfId="3214"/>
    <cellStyle name="Normal 9 2 2 4" xfId="3904"/>
    <cellStyle name="Normal 9 2 2 4 2" xfId="16251"/>
    <cellStyle name="Normal 9 2 2 4 2 2" xfId="37441"/>
    <cellStyle name="Normal 9 2 2 4 3" xfId="29592"/>
    <cellStyle name="Normal 9 2 2 5" xfId="16054"/>
    <cellStyle name="Normal 9 2 2 5 2" xfId="37244"/>
    <cellStyle name="Normal 9 2 2 6" xfId="26849"/>
    <cellStyle name="Normal 9 2 2_Table 2A-1_EFT (Annual)" xfId="3211"/>
    <cellStyle name="Normal 9 2 3" xfId="719"/>
    <cellStyle name="Normal 9 2 3 2" xfId="2366"/>
    <cellStyle name="Normal 9 2 3 2 2" xfId="5927"/>
    <cellStyle name="Normal 9 2 3 2 2 2" xfId="16375"/>
    <cellStyle name="Normal 9 2 3 2 2 2 2" xfId="37564"/>
    <cellStyle name="Normal 9 2 3 2 2 3" xfId="31583"/>
    <cellStyle name="Normal 9 2 3 2 3" xfId="16177"/>
    <cellStyle name="Normal 9 2 3 2 3 2" xfId="37367"/>
    <cellStyle name="Normal 9 2 3 2 4" xfId="28840"/>
    <cellStyle name="Normal 9 2 3 2_Table 2A-1_EFT (Annual)" xfId="3216"/>
    <cellStyle name="Normal 9 2 3 3" xfId="4280"/>
    <cellStyle name="Normal 9 2 3 3 2" xfId="16275"/>
    <cellStyle name="Normal 9 2 3 3 2 2" xfId="37465"/>
    <cellStyle name="Normal 9 2 3 3 3" xfId="29937"/>
    <cellStyle name="Normal 9 2 3 4" xfId="16078"/>
    <cellStyle name="Normal 9 2 3 4 2" xfId="37268"/>
    <cellStyle name="Normal 9 2 3 5" xfId="27194"/>
    <cellStyle name="Normal 9 2 3_Table 2A-1_EFT (Annual)" xfId="3215"/>
    <cellStyle name="Normal 9 2 4" xfId="1642"/>
    <cellStyle name="Normal 9 2 4 2" xfId="5203"/>
    <cellStyle name="Normal 9 2 4 2 2" xfId="16326"/>
    <cellStyle name="Normal 9 2 4 2 2 2" xfId="37515"/>
    <cellStyle name="Normal 9 2 4 2 3" xfId="30860"/>
    <cellStyle name="Normal 9 2 4 3" xfId="16128"/>
    <cellStyle name="Normal 9 2 4 3 2" xfId="37318"/>
    <cellStyle name="Normal 9 2 4 4" xfId="28117"/>
    <cellStyle name="Normal 9 2 4_Table 2A-1_EFT (Annual)" xfId="3217"/>
    <cellStyle name="Normal 9 2 5" xfId="3692"/>
    <cellStyle name="Normal 9 2 5 2" xfId="16226"/>
    <cellStyle name="Normal 9 2 5 2 2" xfId="37416"/>
    <cellStyle name="Normal 9 2 5 3" xfId="29401"/>
    <cellStyle name="Normal 9 2 6" xfId="16029"/>
    <cellStyle name="Normal 9 2 6 2" xfId="37219"/>
    <cellStyle name="Normal 9 2 7" xfId="26658"/>
    <cellStyle name="Normal 9 2_Table 2A-1_EFT (Annual)" xfId="3210"/>
    <cellStyle name="Normal 9 3" xfId="299"/>
    <cellStyle name="Normal 9 3 2" xfId="849"/>
    <cellStyle name="Normal 9 3 2 2" xfId="2379"/>
    <cellStyle name="Normal 9 3 2 2 2" xfId="5940"/>
    <cellStyle name="Normal 9 3 2 2 2 2" xfId="16388"/>
    <cellStyle name="Normal 9 3 2 2 2 2 2" xfId="37577"/>
    <cellStyle name="Normal 9 3 2 2 2 3" xfId="31596"/>
    <cellStyle name="Normal 9 3 2 2 3" xfId="16190"/>
    <cellStyle name="Normal 9 3 2 2 3 2" xfId="37380"/>
    <cellStyle name="Normal 9 3 2 2 4" xfId="28853"/>
    <cellStyle name="Normal 9 3 2 2_Table 2A-1_EFT (Annual)" xfId="3220"/>
    <cellStyle name="Normal 9 3 2 3" xfId="4410"/>
    <cellStyle name="Normal 9 3 2 3 2" xfId="16288"/>
    <cellStyle name="Normal 9 3 2 3 2 2" xfId="37478"/>
    <cellStyle name="Normal 9 3 2 3 3" xfId="30067"/>
    <cellStyle name="Normal 9 3 2 4" xfId="16091"/>
    <cellStyle name="Normal 9 3 2 4 2" xfId="37281"/>
    <cellStyle name="Normal 9 3 2 5" xfId="27324"/>
    <cellStyle name="Normal 9 3 2_Table 2A-1_EFT (Annual)" xfId="3219"/>
    <cellStyle name="Normal 9 3 3" xfId="1681"/>
    <cellStyle name="Normal 9 3 3 2" xfId="5242"/>
    <cellStyle name="Normal 9 3 3 2 2" xfId="16339"/>
    <cellStyle name="Normal 9 3 3 2 2 2" xfId="37528"/>
    <cellStyle name="Normal 9 3 3 2 3" xfId="30899"/>
    <cellStyle name="Normal 9 3 3 3" xfId="16141"/>
    <cellStyle name="Normal 9 3 3 3 2" xfId="37331"/>
    <cellStyle name="Normal 9 3 3 4" xfId="28156"/>
    <cellStyle name="Normal 9 3 3_Table 2A-1_EFT (Annual)" xfId="3221"/>
    <cellStyle name="Normal 9 3 4" xfId="3869"/>
    <cellStyle name="Normal 9 3 4 2" xfId="16239"/>
    <cellStyle name="Normal 9 3 4 2 2" xfId="37429"/>
    <cellStyle name="Normal 9 3 4 3" xfId="29557"/>
    <cellStyle name="Normal 9 3 5" xfId="16042"/>
    <cellStyle name="Normal 9 3 5 2" xfId="37232"/>
    <cellStyle name="Normal 9 3 6" xfId="26814"/>
    <cellStyle name="Normal 9 3_Table 2A-1_EFT (Annual)" xfId="3218"/>
    <cellStyle name="Normal 9 4" xfId="645"/>
    <cellStyle name="Normal 9 4 2" xfId="1766"/>
    <cellStyle name="Normal 9 4 2 2" xfId="5327"/>
    <cellStyle name="Normal 9 4 2 2 2" xfId="16363"/>
    <cellStyle name="Normal 9 4 2 2 2 2" xfId="37552"/>
    <cellStyle name="Normal 9 4 2 2 3" xfId="30984"/>
    <cellStyle name="Normal 9 4 2 3" xfId="16165"/>
    <cellStyle name="Normal 9 4 2 3 2" xfId="37355"/>
    <cellStyle name="Normal 9 4 2 4" xfId="28241"/>
    <cellStyle name="Normal 9 4 2_Table 2A-1_EFT (Annual)" xfId="3223"/>
    <cellStyle name="Normal 9 4 3" xfId="4215"/>
    <cellStyle name="Normal 9 4 3 2" xfId="16263"/>
    <cellStyle name="Normal 9 4 3 2 2" xfId="37453"/>
    <cellStyle name="Normal 9 4 3 3" xfId="29903"/>
    <cellStyle name="Normal 9 4 4" xfId="16066"/>
    <cellStyle name="Normal 9 4 4 2" xfId="37256"/>
    <cellStyle name="Normal 9 4 5" xfId="27160"/>
    <cellStyle name="Normal 9 4_Table 2A-1_EFT (Annual)" xfId="3222"/>
    <cellStyle name="Normal 9 5" xfId="1624"/>
    <cellStyle name="Normal 9 5 2" xfId="5185"/>
    <cellStyle name="Normal 9 5 2 2" xfId="16314"/>
    <cellStyle name="Normal 9 5 2 2 2" xfId="37503"/>
    <cellStyle name="Normal 9 5 2 3" xfId="30842"/>
    <cellStyle name="Normal 9 5 3" xfId="16116"/>
    <cellStyle name="Normal 9 5 3 2" xfId="37306"/>
    <cellStyle name="Normal 9 5 4" xfId="28099"/>
    <cellStyle name="Normal 9 5_Table 2A-1_EFT (Annual)" xfId="3224"/>
    <cellStyle name="Normal 9 6" xfId="3650"/>
    <cellStyle name="Normal 9 6 2" xfId="16214"/>
    <cellStyle name="Normal 9 6 2 2" xfId="37404"/>
    <cellStyle name="Normal 9 6 3" xfId="29366"/>
    <cellStyle name="Normal 9 7" xfId="16017"/>
    <cellStyle name="Normal 9 7 2" xfId="37207"/>
    <cellStyle name="Normal 9 8" xfId="26623"/>
    <cellStyle name="Normal 9 9" xfId="47811"/>
    <cellStyle name="Normal 9_Table 2A-1_EFT (Annual)" xfId="3209"/>
    <cellStyle name="Normal_Sheet1" xfId="45"/>
    <cellStyle name="Normal_Sheet1 2" xfId="71"/>
    <cellStyle name="Normal_Sheet1 3 2" xfId="70"/>
    <cellStyle name="Note" xfId="46" builtinId="10" customBuiltin="1"/>
    <cellStyle name="Note 10" xfId="136"/>
    <cellStyle name="Note 10 10" xfId="26691"/>
    <cellStyle name="Note 10 2" xfId="529"/>
    <cellStyle name="Note 10 2 2" xfId="1506"/>
    <cellStyle name="Note 10 2 2 2" xfId="2776"/>
    <cellStyle name="Note 10 2 2 2 2" xfId="6337"/>
    <cellStyle name="Note 10 2 2 2 2 2" xfId="14531"/>
    <cellStyle name="Note 10 2 2 2 2 2 2" xfId="26503"/>
    <cellStyle name="Note 10 2 2 2 2 2 2 2" xfId="47689"/>
    <cellStyle name="Note 10 2 2 2 2 2 3" xfId="37085"/>
    <cellStyle name="Note 10 2 2 2 2 3" xfId="21390"/>
    <cellStyle name="Note 10 2 2 2 2 3 2" xfId="42577"/>
    <cellStyle name="Note 10 2 2 2 2 4" xfId="31993"/>
    <cellStyle name="Note 10 2 2 2 2_Table 2A-1_EFT (Annual)" xfId="15429"/>
    <cellStyle name="Note 10 2 2 2 3" xfId="11873"/>
    <cellStyle name="Note 10 2 2 2 3 2" xfId="23957"/>
    <cellStyle name="Note 10 2 2 2 3 2 2" xfId="45143"/>
    <cellStyle name="Note 10 2 2 2 3 3" xfId="34539"/>
    <cellStyle name="Note 10 2 2 2 4" xfId="18844"/>
    <cellStyle name="Note 10 2 2 2 4 2" xfId="40031"/>
    <cellStyle name="Note 10 2 2 2 5" xfId="29250"/>
    <cellStyle name="Note 10 2 2 2_Table 2A-1_EFT (Annual)" xfId="7156"/>
    <cellStyle name="Note 10 2 2 3" xfId="5067"/>
    <cellStyle name="Note 10 2 2 3 2" xfId="13327"/>
    <cellStyle name="Note 10 2 2 3 2 2" xfId="25333"/>
    <cellStyle name="Note 10 2 2 3 2 2 2" xfId="46519"/>
    <cellStyle name="Note 10 2 2 3 2 3" xfId="35915"/>
    <cellStyle name="Note 10 2 2 3 3" xfId="20220"/>
    <cellStyle name="Note 10 2 2 3 3 2" xfId="41407"/>
    <cellStyle name="Note 10 2 2 3 4" xfId="30724"/>
    <cellStyle name="Note 10 2 2 3_Table 2A-1_EFT (Annual)" xfId="15430"/>
    <cellStyle name="Note 10 2 2 4" xfId="10671"/>
    <cellStyle name="Note 10 2 2 4 2" xfId="22787"/>
    <cellStyle name="Note 10 2 2 4 2 2" xfId="43973"/>
    <cellStyle name="Note 10 2 2 4 3" xfId="33369"/>
    <cellStyle name="Note 10 2 2 5" xfId="17674"/>
    <cellStyle name="Note 10 2 2 5 2" xfId="38861"/>
    <cellStyle name="Note 10 2 2 6" xfId="27981"/>
    <cellStyle name="Note 10 2 2_Table 2A-1_EFT (Annual)" xfId="7155"/>
    <cellStyle name="Note 10 2 3" xfId="1039"/>
    <cellStyle name="Note 10 2 3 2" xfId="4600"/>
    <cellStyle name="Note 10 2 3 2 2" xfId="12860"/>
    <cellStyle name="Note 10 2 3 2 2 2" xfId="24866"/>
    <cellStyle name="Note 10 2 3 2 2 2 2" xfId="46052"/>
    <cellStyle name="Note 10 2 3 2 2 3" xfId="35448"/>
    <cellStyle name="Note 10 2 3 2 3" xfId="19753"/>
    <cellStyle name="Note 10 2 3 2 3 2" xfId="40940"/>
    <cellStyle name="Note 10 2 3 2 4" xfId="30257"/>
    <cellStyle name="Note 10 2 3 2_Table 2A-1_EFT (Annual)" xfId="15431"/>
    <cellStyle name="Note 10 2 3 3" xfId="10204"/>
    <cellStyle name="Note 10 2 3 3 2" xfId="22320"/>
    <cellStyle name="Note 10 2 3 3 2 2" xfId="43506"/>
    <cellStyle name="Note 10 2 3 3 3" xfId="32902"/>
    <cellStyle name="Note 10 2 3 4" xfId="17207"/>
    <cellStyle name="Note 10 2 3 4 2" xfId="38394"/>
    <cellStyle name="Note 10 2 3 5" xfId="27514"/>
    <cellStyle name="Note 10 2 3_Table 2A-1_EFT (Annual)" xfId="7157"/>
    <cellStyle name="Note 10 2 4" xfId="2245"/>
    <cellStyle name="Note 10 2 4 2" xfId="5806"/>
    <cellStyle name="Note 10 2 4 2 2" xfId="14021"/>
    <cellStyle name="Note 10 2 4 2 2 2" xfId="26009"/>
    <cellStyle name="Note 10 2 4 2 2 2 2" xfId="47195"/>
    <cellStyle name="Note 10 2 4 2 2 3" xfId="36591"/>
    <cellStyle name="Note 10 2 4 2 3" xfId="20896"/>
    <cellStyle name="Note 10 2 4 2 3 2" xfId="42083"/>
    <cellStyle name="Note 10 2 4 2 4" xfId="31463"/>
    <cellStyle name="Note 10 2 4 2_Table 2A-1_EFT (Annual)" xfId="15432"/>
    <cellStyle name="Note 10 2 4 3" xfId="11365"/>
    <cellStyle name="Note 10 2 4 3 2" xfId="23463"/>
    <cellStyle name="Note 10 2 4 3 2 2" xfId="44649"/>
    <cellStyle name="Note 10 2 4 3 3" xfId="34045"/>
    <cellStyle name="Note 10 2 4 4" xfId="18350"/>
    <cellStyle name="Note 10 2 4 4 2" xfId="39537"/>
    <cellStyle name="Note 10 2 4 5" xfId="28720"/>
    <cellStyle name="Note 10 2 4_Table 2A-1_EFT (Annual)" xfId="7158"/>
    <cellStyle name="Note 10 2 5" xfId="4099"/>
    <cellStyle name="Note 10 2 5 2" xfId="12423"/>
    <cellStyle name="Note 10 2 5 2 2" xfId="24445"/>
    <cellStyle name="Note 10 2 5 2 2 2" xfId="45631"/>
    <cellStyle name="Note 10 2 5 2 3" xfId="35027"/>
    <cellStyle name="Note 10 2 5 3" xfId="19332"/>
    <cellStyle name="Note 10 2 5 3 2" xfId="40519"/>
    <cellStyle name="Note 10 2 5 4" xfId="29787"/>
    <cellStyle name="Note 10 2 5_Table 2A-1_EFT (Annual)" xfId="15433"/>
    <cellStyle name="Note 10 2 6" xfId="9762"/>
    <cellStyle name="Note 10 2 6 2" xfId="21899"/>
    <cellStyle name="Note 10 2 6 2 2" xfId="43085"/>
    <cellStyle name="Note 10 2 6 3" xfId="32481"/>
    <cellStyle name="Note 10 2 7" xfId="16786"/>
    <cellStyle name="Note 10 2 7 2" xfId="37973"/>
    <cellStyle name="Note 10 2 8" xfId="27044"/>
    <cellStyle name="Note 10 2_Table 2A-1_EFT (Annual)" xfId="3226"/>
    <cellStyle name="Note 10 3" xfId="367"/>
    <cellStyle name="Note 10 3 2" xfId="1350"/>
    <cellStyle name="Note 10 3 2 2" xfId="2620"/>
    <cellStyle name="Note 10 3 2 2 2" xfId="6181"/>
    <cellStyle name="Note 10 3 2 2 2 2" xfId="14375"/>
    <cellStyle name="Note 10 3 2 2 2 2 2" xfId="26347"/>
    <cellStyle name="Note 10 3 2 2 2 2 2 2" xfId="47533"/>
    <cellStyle name="Note 10 3 2 2 2 2 3" xfId="36929"/>
    <cellStyle name="Note 10 3 2 2 2 3" xfId="21234"/>
    <cellStyle name="Note 10 3 2 2 2 3 2" xfId="42421"/>
    <cellStyle name="Note 10 3 2 2 2 4" xfId="31837"/>
    <cellStyle name="Note 10 3 2 2 2_Table 2A-1_EFT (Annual)" xfId="15434"/>
    <cellStyle name="Note 10 3 2 2 3" xfId="11717"/>
    <cellStyle name="Note 10 3 2 2 3 2" xfId="23801"/>
    <cellStyle name="Note 10 3 2 2 3 2 2" xfId="44987"/>
    <cellStyle name="Note 10 3 2 2 3 3" xfId="34383"/>
    <cellStyle name="Note 10 3 2 2 4" xfId="18688"/>
    <cellStyle name="Note 10 3 2 2 4 2" xfId="39875"/>
    <cellStyle name="Note 10 3 2 2 5" xfId="29094"/>
    <cellStyle name="Note 10 3 2 2_Table 2A-1_EFT (Annual)" xfId="7160"/>
    <cellStyle name="Note 10 3 2 3" xfId="4911"/>
    <cellStyle name="Note 10 3 2 3 2" xfId="13171"/>
    <cellStyle name="Note 10 3 2 3 2 2" xfId="25177"/>
    <cellStyle name="Note 10 3 2 3 2 2 2" xfId="46363"/>
    <cellStyle name="Note 10 3 2 3 2 3" xfId="35759"/>
    <cellStyle name="Note 10 3 2 3 3" xfId="20064"/>
    <cellStyle name="Note 10 3 2 3 3 2" xfId="41251"/>
    <cellStyle name="Note 10 3 2 3 4" xfId="30568"/>
    <cellStyle name="Note 10 3 2 3_Table 2A-1_EFT (Annual)" xfId="15435"/>
    <cellStyle name="Note 10 3 2 4" xfId="10515"/>
    <cellStyle name="Note 10 3 2 4 2" xfId="22631"/>
    <cellStyle name="Note 10 3 2 4 2 2" xfId="43817"/>
    <cellStyle name="Note 10 3 2 4 3" xfId="33213"/>
    <cellStyle name="Note 10 3 2 5" xfId="17518"/>
    <cellStyle name="Note 10 3 2 5 2" xfId="38705"/>
    <cellStyle name="Note 10 3 2 6" xfId="27825"/>
    <cellStyle name="Note 10 3 2_Table 2A-1_EFT (Annual)" xfId="7159"/>
    <cellStyle name="Note 10 3 3" xfId="907"/>
    <cellStyle name="Note 10 3 3 2" xfId="4468"/>
    <cellStyle name="Note 10 3 3 2 2" xfId="12730"/>
    <cellStyle name="Note 10 3 3 2 2 2" xfId="24740"/>
    <cellStyle name="Note 10 3 3 2 2 2 2" xfId="45926"/>
    <cellStyle name="Note 10 3 3 2 2 3" xfId="35322"/>
    <cellStyle name="Note 10 3 3 2 3" xfId="19627"/>
    <cellStyle name="Note 10 3 3 2 3 2" xfId="40814"/>
    <cellStyle name="Note 10 3 3 2 4" xfId="30125"/>
    <cellStyle name="Note 10 3 3 2_Table 2A-1_EFT (Annual)" xfId="15436"/>
    <cellStyle name="Note 10 3 3 3" xfId="10077"/>
    <cellStyle name="Note 10 3 3 3 2" xfId="22194"/>
    <cellStyle name="Note 10 3 3 3 2 2" xfId="43380"/>
    <cellStyle name="Note 10 3 3 3 3" xfId="32776"/>
    <cellStyle name="Note 10 3 3 4" xfId="17081"/>
    <cellStyle name="Note 10 3 3 4 2" xfId="38268"/>
    <cellStyle name="Note 10 3 3 5" xfId="27382"/>
    <cellStyle name="Note 10 3 3_Table 2A-1_EFT (Annual)" xfId="7161"/>
    <cellStyle name="Note 10 3 4" xfId="2089"/>
    <cellStyle name="Note 10 3 4 2" xfId="5650"/>
    <cellStyle name="Note 10 3 4 2 2" xfId="13865"/>
    <cellStyle name="Note 10 3 4 2 2 2" xfId="25853"/>
    <cellStyle name="Note 10 3 4 2 2 2 2" xfId="47039"/>
    <cellStyle name="Note 10 3 4 2 2 3" xfId="36435"/>
    <cellStyle name="Note 10 3 4 2 3" xfId="20740"/>
    <cellStyle name="Note 10 3 4 2 3 2" xfId="41927"/>
    <cellStyle name="Note 10 3 4 2 4" xfId="31307"/>
    <cellStyle name="Note 10 3 4 2_Table 2A-1_EFT (Annual)" xfId="15437"/>
    <cellStyle name="Note 10 3 4 3" xfId="11209"/>
    <cellStyle name="Note 10 3 4 3 2" xfId="23307"/>
    <cellStyle name="Note 10 3 4 3 2 2" xfId="44493"/>
    <cellStyle name="Note 10 3 4 3 3" xfId="33889"/>
    <cellStyle name="Note 10 3 4 4" xfId="18194"/>
    <cellStyle name="Note 10 3 4 4 2" xfId="39381"/>
    <cellStyle name="Note 10 3 4 5" xfId="28564"/>
    <cellStyle name="Note 10 3 4_Table 2A-1_EFT (Annual)" xfId="7162"/>
    <cellStyle name="Note 10 3 5" xfId="3937"/>
    <cellStyle name="Note 10 3 5 2" xfId="12265"/>
    <cellStyle name="Note 10 3 5 2 2" xfId="24289"/>
    <cellStyle name="Note 10 3 5 2 2 2" xfId="45475"/>
    <cellStyle name="Note 10 3 5 2 3" xfId="34871"/>
    <cellStyle name="Note 10 3 5 3" xfId="19176"/>
    <cellStyle name="Note 10 3 5 3 2" xfId="40363"/>
    <cellStyle name="Note 10 3 5 4" xfId="29625"/>
    <cellStyle name="Note 10 3 5_Table 2A-1_EFT (Annual)" xfId="15438"/>
    <cellStyle name="Note 10 3 6" xfId="9602"/>
    <cellStyle name="Note 10 3 6 2" xfId="21743"/>
    <cellStyle name="Note 10 3 6 2 2" xfId="42929"/>
    <cellStyle name="Note 10 3 6 3" xfId="32325"/>
    <cellStyle name="Note 10 3 7" xfId="16630"/>
    <cellStyle name="Note 10 3 7 2" xfId="37817"/>
    <cellStyle name="Note 10 3 8" xfId="26882"/>
    <cellStyle name="Note 10 3_Table 2A-1_EFT (Annual)" xfId="3227"/>
    <cellStyle name="Note 10 4" xfId="1184"/>
    <cellStyle name="Note 10 4 2" xfId="2454"/>
    <cellStyle name="Note 10 4 2 2" xfId="6015"/>
    <cellStyle name="Note 10 4 2 2 2" xfId="14209"/>
    <cellStyle name="Note 10 4 2 2 2 2" xfId="26181"/>
    <cellStyle name="Note 10 4 2 2 2 2 2" xfId="47367"/>
    <cellStyle name="Note 10 4 2 2 2 3" xfId="36763"/>
    <cellStyle name="Note 10 4 2 2 3" xfId="21068"/>
    <cellStyle name="Note 10 4 2 2 3 2" xfId="42255"/>
    <cellStyle name="Note 10 4 2 2 4" xfId="31671"/>
    <cellStyle name="Note 10 4 2 2_Table 2A-1_EFT (Annual)" xfId="15439"/>
    <cellStyle name="Note 10 4 2 3" xfId="11551"/>
    <cellStyle name="Note 10 4 2 3 2" xfId="23635"/>
    <cellStyle name="Note 10 4 2 3 2 2" xfId="44821"/>
    <cellStyle name="Note 10 4 2 3 3" xfId="34217"/>
    <cellStyle name="Note 10 4 2 4" xfId="18522"/>
    <cellStyle name="Note 10 4 2 4 2" xfId="39709"/>
    <cellStyle name="Note 10 4 2 5" xfId="28928"/>
    <cellStyle name="Note 10 4 2_Table 2A-1_EFT (Annual)" xfId="7164"/>
    <cellStyle name="Note 10 4 3" xfId="4745"/>
    <cellStyle name="Note 10 4 3 2" xfId="13005"/>
    <cellStyle name="Note 10 4 3 2 2" xfId="25011"/>
    <cellStyle name="Note 10 4 3 2 2 2" xfId="46197"/>
    <cellStyle name="Note 10 4 3 2 3" xfId="35593"/>
    <cellStyle name="Note 10 4 3 3" xfId="19898"/>
    <cellStyle name="Note 10 4 3 3 2" xfId="41085"/>
    <cellStyle name="Note 10 4 3 4" xfId="30402"/>
    <cellStyle name="Note 10 4 3_Table 2A-1_EFT (Annual)" xfId="15440"/>
    <cellStyle name="Note 10 4 4" xfId="10349"/>
    <cellStyle name="Note 10 4 4 2" xfId="22465"/>
    <cellStyle name="Note 10 4 4 2 2" xfId="43651"/>
    <cellStyle name="Note 10 4 4 3" xfId="33047"/>
    <cellStyle name="Note 10 4 5" xfId="17352"/>
    <cellStyle name="Note 10 4 5 2" xfId="38539"/>
    <cellStyle name="Note 10 4 6" xfId="27659"/>
    <cellStyle name="Note 10 4_Table 2A-1_EFT (Annual)" xfId="7163"/>
    <cellStyle name="Note 10 5" xfId="748"/>
    <cellStyle name="Note 10 5 2" xfId="4309"/>
    <cellStyle name="Note 10 5 2 2" xfId="12589"/>
    <cellStyle name="Note 10 5 2 2 2" xfId="24606"/>
    <cellStyle name="Note 10 5 2 2 2 2" xfId="45792"/>
    <cellStyle name="Note 10 5 2 2 3" xfId="35188"/>
    <cellStyle name="Note 10 5 2 3" xfId="19493"/>
    <cellStyle name="Note 10 5 2 3 2" xfId="40680"/>
    <cellStyle name="Note 10 5 2 4" xfId="29966"/>
    <cellStyle name="Note 10 5 2_Table 2A-1_EFT (Annual)" xfId="15441"/>
    <cellStyle name="Note 10 5 3" xfId="9937"/>
    <cellStyle name="Note 10 5 3 2" xfId="22060"/>
    <cellStyle name="Note 10 5 3 2 2" xfId="43246"/>
    <cellStyle name="Note 10 5 3 3" xfId="32642"/>
    <cellStyle name="Note 10 5 4" xfId="16947"/>
    <cellStyle name="Note 10 5 4 2" xfId="38134"/>
    <cellStyle name="Note 10 5 5" xfId="27223"/>
    <cellStyle name="Note 10 5_Table 2A-1_EFT (Annual)" xfId="7165"/>
    <cellStyle name="Note 10 6" xfId="1856"/>
    <cellStyle name="Note 10 6 2" xfId="5417"/>
    <cellStyle name="Note 10 6 2 2" xfId="13632"/>
    <cellStyle name="Note 10 6 2 2 2" xfId="25620"/>
    <cellStyle name="Note 10 6 2 2 2 2" xfId="46806"/>
    <cellStyle name="Note 10 6 2 2 3" xfId="36202"/>
    <cellStyle name="Note 10 6 2 3" xfId="20507"/>
    <cellStyle name="Note 10 6 2 3 2" xfId="41694"/>
    <cellStyle name="Note 10 6 2 4" xfId="31074"/>
    <cellStyle name="Note 10 6 2_Table 2A-1_EFT (Annual)" xfId="15442"/>
    <cellStyle name="Note 10 6 3" xfId="10976"/>
    <cellStyle name="Note 10 6 3 2" xfId="23074"/>
    <cellStyle name="Note 10 6 3 2 2" xfId="44260"/>
    <cellStyle name="Note 10 6 3 3" xfId="33656"/>
    <cellStyle name="Note 10 6 4" xfId="17961"/>
    <cellStyle name="Note 10 6 4 2" xfId="39148"/>
    <cellStyle name="Note 10 6 5" xfId="28331"/>
    <cellStyle name="Note 10 6_Table 2A-1_EFT (Annual)" xfId="7166"/>
    <cellStyle name="Note 10 7" xfId="3725"/>
    <cellStyle name="Note 10 7 2" xfId="12093"/>
    <cellStyle name="Note 10 7 2 2" xfId="24123"/>
    <cellStyle name="Note 10 7 2 2 2" xfId="45309"/>
    <cellStyle name="Note 10 7 2 3" xfId="34705"/>
    <cellStyle name="Note 10 7 3" xfId="19010"/>
    <cellStyle name="Note 10 7 3 2" xfId="40197"/>
    <cellStyle name="Note 10 7 4" xfId="29434"/>
    <cellStyle name="Note 10 7_Table 2A-1_EFT (Annual)" xfId="15443"/>
    <cellStyle name="Note 10 8" xfId="9412"/>
    <cellStyle name="Note 10 8 2" xfId="21577"/>
    <cellStyle name="Note 10 8 2 2" xfId="42763"/>
    <cellStyle name="Note 10 8 3" xfId="32159"/>
    <cellStyle name="Note 10 9" xfId="16464"/>
    <cellStyle name="Note 10 9 2" xfId="37651"/>
    <cellStyle name="Note 10_Table 2A-1_EFT (Annual)" xfId="3225"/>
    <cellStyle name="Note 11" xfId="135"/>
    <cellStyle name="Note 11 10" xfId="26690"/>
    <cellStyle name="Note 11 2" xfId="528"/>
    <cellStyle name="Note 11 2 2" xfId="1505"/>
    <cellStyle name="Note 11 2 2 2" xfId="2775"/>
    <cellStyle name="Note 11 2 2 2 2" xfId="6336"/>
    <cellStyle name="Note 11 2 2 2 2 2" xfId="14530"/>
    <cellStyle name="Note 11 2 2 2 2 2 2" xfId="26502"/>
    <cellStyle name="Note 11 2 2 2 2 2 2 2" xfId="47688"/>
    <cellStyle name="Note 11 2 2 2 2 2 3" xfId="37084"/>
    <cellStyle name="Note 11 2 2 2 2 3" xfId="21389"/>
    <cellStyle name="Note 11 2 2 2 2 3 2" xfId="42576"/>
    <cellStyle name="Note 11 2 2 2 2 4" xfId="31992"/>
    <cellStyle name="Note 11 2 2 2 2_Table 2A-1_EFT (Annual)" xfId="15444"/>
    <cellStyle name="Note 11 2 2 2 3" xfId="11872"/>
    <cellStyle name="Note 11 2 2 2 3 2" xfId="23956"/>
    <cellStyle name="Note 11 2 2 2 3 2 2" xfId="45142"/>
    <cellStyle name="Note 11 2 2 2 3 3" xfId="34538"/>
    <cellStyle name="Note 11 2 2 2 4" xfId="18843"/>
    <cellStyle name="Note 11 2 2 2 4 2" xfId="40030"/>
    <cellStyle name="Note 11 2 2 2 5" xfId="29249"/>
    <cellStyle name="Note 11 2 2 2_Table 2A-1_EFT (Annual)" xfId="7168"/>
    <cellStyle name="Note 11 2 2 3" xfId="5066"/>
    <cellStyle name="Note 11 2 2 3 2" xfId="13326"/>
    <cellStyle name="Note 11 2 2 3 2 2" xfId="25332"/>
    <cellStyle name="Note 11 2 2 3 2 2 2" xfId="46518"/>
    <cellStyle name="Note 11 2 2 3 2 3" xfId="35914"/>
    <cellStyle name="Note 11 2 2 3 3" xfId="20219"/>
    <cellStyle name="Note 11 2 2 3 3 2" xfId="41406"/>
    <cellStyle name="Note 11 2 2 3 4" xfId="30723"/>
    <cellStyle name="Note 11 2 2 3_Table 2A-1_EFT (Annual)" xfId="15445"/>
    <cellStyle name="Note 11 2 2 4" xfId="10670"/>
    <cellStyle name="Note 11 2 2 4 2" xfId="22786"/>
    <cellStyle name="Note 11 2 2 4 2 2" xfId="43972"/>
    <cellStyle name="Note 11 2 2 4 3" xfId="33368"/>
    <cellStyle name="Note 11 2 2 5" xfId="17673"/>
    <cellStyle name="Note 11 2 2 5 2" xfId="38860"/>
    <cellStyle name="Note 11 2 2 6" xfId="27980"/>
    <cellStyle name="Note 11 2 2_Table 2A-1_EFT (Annual)" xfId="7167"/>
    <cellStyle name="Note 11 2 3" xfId="1038"/>
    <cellStyle name="Note 11 2 3 2" xfId="4599"/>
    <cellStyle name="Note 11 2 3 2 2" xfId="12859"/>
    <cellStyle name="Note 11 2 3 2 2 2" xfId="24865"/>
    <cellStyle name="Note 11 2 3 2 2 2 2" xfId="46051"/>
    <cellStyle name="Note 11 2 3 2 2 3" xfId="35447"/>
    <cellStyle name="Note 11 2 3 2 3" xfId="19752"/>
    <cellStyle name="Note 11 2 3 2 3 2" xfId="40939"/>
    <cellStyle name="Note 11 2 3 2 4" xfId="30256"/>
    <cellStyle name="Note 11 2 3 2_Table 2A-1_EFT (Annual)" xfId="15446"/>
    <cellStyle name="Note 11 2 3 3" xfId="10203"/>
    <cellStyle name="Note 11 2 3 3 2" xfId="22319"/>
    <cellStyle name="Note 11 2 3 3 2 2" xfId="43505"/>
    <cellStyle name="Note 11 2 3 3 3" xfId="32901"/>
    <cellStyle name="Note 11 2 3 4" xfId="17206"/>
    <cellStyle name="Note 11 2 3 4 2" xfId="38393"/>
    <cellStyle name="Note 11 2 3 5" xfId="27513"/>
    <cellStyle name="Note 11 2 3_Table 2A-1_EFT (Annual)" xfId="7169"/>
    <cellStyle name="Note 11 2 4" xfId="2244"/>
    <cellStyle name="Note 11 2 4 2" xfId="5805"/>
    <cellStyle name="Note 11 2 4 2 2" xfId="14020"/>
    <cellStyle name="Note 11 2 4 2 2 2" xfId="26008"/>
    <cellStyle name="Note 11 2 4 2 2 2 2" xfId="47194"/>
    <cellStyle name="Note 11 2 4 2 2 3" xfId="36590"/>
    <cellStyle name="Note 11 2 4 2 3" xfId="20895"/>
    <cellStyle name="Note 11 2 4 2 3 2" xfId="42082"/>
    <cellStyle name="Note 11 2 4 2 4" xfId="31462"/>
    <cellStyle name="Note 11 2 4 2_Table 2A-1_EFT (Annual)" xfId="15447"/>
    <cellStyle name="Note 11 2 4 3" xfId="11364"/>
    <cellStyle name="Note 11 2 4 3 2" xfId="23462"/>
    <cellStyle name="Note 11 2 4 3 2 2" xfId="44648"/>
    <cellStyle name="Note 11 2 4 3 3" xfId="34044"/>
    <cellStyle name="Note 11 2 4 4" xfId="18349"/>
    <cellStyle name="Note 11 2 4 4 2" xfId="39536"/>
    <cellStyle name="Note 11 2 4 5" xfId="28719"/>
    <cellStyle name="Note 11 2 4_Table 2A-1_EFT (Annual)" xfId="7170"/>
    <cellStyle name="Note 11 2 5" xfId="4098"/>
    <cellStyle name="Note 11 2 5 2" xfId="12422"/>
    <cellStyle name="Note 11 2 5 2 2" xfId="24444"/>
    <cellStyle name="Note 11 2 5 2 2 2" xfId="45630"/>
    <cellStyle name="Note 11 2 5 2 3" xfId="35026"/>
    <cellStyle name="Note 11 2 5 3" xfId="19331"/>
    <cellStyle name="Note 11 2 5 3 2" xfId="40518"/>
    <cellStyle name="Note 11 2 5 4" xfId="29786"/>
    <cellStyle name="Note 11 2 5_Table 2A-1_EFT (Annual)" xfId="15448"/>
    <cellStyle name="Note 11 2 6" xfId="9761"/>
    <cellStyle name="Note 11 2 6 2" xfId="21898"/>
    <cellStyle name="Note 11 2 6 2 2" xfId="43084"/>
    <cellStyle name="Note 11 2 6 3" xfId="32480"/>
    <cellStyle name="Note 11 2 7" xfId="16785"/>
    <cellStyle name="Note 11 2 7 2" xfId="37972"/>
    <cellStyle name="Note 11 2 8" xfId="27043"/>
    <cellStyle name="Note 11 2_Table 2A-1_EFT (Annual)" xfId="3229"/>
    <cellStyle name="Note 11 3" xfId="366"/>
    <cellStyle name="Note 11 3 2" xfId="1349"/>
    <cellStyle name="Note 11 3 2 2" xfId="2619"/>
    <cellStyle name="Note 11 3 2 2 2" xfId="6180"/>
    <cellStyle name="Note 11 3 2 2 2 2" xfId="14374"/>
    <cellStyle name="Note 11 3 2 2 2 2 2" xfId="26346"/>
    <cellStyle name="Note 11 3 2 2 2 2 2 2" xfId="47532"/>
    <cellStyle name="Note 11 3 2 2 2 2 3" xfId="36928"/>
    <cellStyle name="Note 11 3 2 2 2 3" xfId="21233"/>
    <cellStyle name="Note 11 3 2 2 2 3 2" xfId="42420"/>
    <cellStyle name="Note 11 3 2 2 2 4" xfId="31836"/>
    <cellStyle name="Note 11 3 2 2 2_Table 2A-1_EFT (Annual)" xfId="15449"/>
    <cellStyle name="Note 11 3 2 2 3" xfId="11716"/>
    <cellStyle name="Note 11 3 2 2 3 2" xfId="23800"/>
    <cellStyle name="Note 11 3 2 2 3 2 2" xfId="44986"/>
    <cellStyle name="Note 11 3 2 2 3 3" xfId="34382"/>
    <cellStyle name="Note 11 3 2 2 4" xfId="18687"/>
    <cellStyle name="Note 11 3 2 2 4 2" xfId="39874"/>
    <cellStyle name="Note 11 3 2 2 5" xfId="29093"/>
    <cellStyle name="Note 11 3 2 2_Table 2A-1_EFT (Annual)" xfId="7172"/>
    <cellStyle name="Note 11 3 2 3" xfId="4910"/>
    <cellStyle name="Note 11 3 2 3 2" xfId="13170"/>
    <cellStyle name="Note 11 3 2 3 2 2" xfId="25176"/>
    <cellStyle name="Note 11 3 2 3 2 2 2" xfId="46362"/>
    <cellStyle name="Note 11 3 2 3 2 3" xfId="35758"/>
    <cellStyle name="Note 11 3 2 3 3" xfId="20063"/>
    <cellStyle name="Note 11 3 2 3 3 2" xfId="41250"/>
    <cellStyle name="Note 11 3 2 3 4" xfId="30567"/>
    <cellStyle name="Note 11 3 2 3_Table 2A-1_EFT (Annual)" xfId="15450"/>
    <cellStyle name="Note 11 3 2 4" xfId="10514"/>
    <cellStyle name="Note 11 3 2 4 2" xfId="22630"/>
    <cellStyle name="Note 11 3 2 4 2 2" xfId="43816"/>
    <cellStyle name="Note 11 3 2 4 3" xfId="33212"/>
    <cellStyle name="Note 11 3 2 5" xfId="17517"/>
    <cellStyle name="Note 11 3 2 5 2" xfId="38704"/>
    <cellStyle name="Note 11 3 2 6" xfId="27824"/>
    <cellStyle name="Note 11 3 2_Table 2A-1_EFT (Annual)" xfId="7171"/>
    <cellStyle name="Note 11 3 3" xfId="906"/>
    <cellStyle name="Note 11 3 3 2" xfId="4467"/>
    <cellStyle name="Note 11 3 3 2 2" xfId="12729"/>
    <cellStyle name="Note 11 3 3 2 2 2" xfId="24739"/>
    <cellStyle name="Note 11 3 3 2 2 2 2" xfId="45925"/>
    <cellStyle name="Note 11 3 3 2 2 3" xfId="35321"/>
    <cellStyle name="Note 11 3 3 2 3" xfId="19626"/>
    <cellStyle name="Note 11 3 3 2 3 2" xfId="40813"/>
    <cellStyle name="Note 11 3 3 2 4" xfId="30124"/>
    <cellStyle name="Note 11 3 3 2_Table 2A-1_EFT (Annual)" xfId="15451"/>
    <cellStyle name="Note 11 3 3 3" xfId="10076"/>
    <cellStyle name="Note 11 3 3 3 2" xfId="22193"/>
    <cellStyle name="Note 11 3 3 3 2 2" xfId="43379"/>
    <cellStyle name="Note 11 3 3 3 3" xfId="32775"/>
    <cellStyle name="Note 11 3 3 4" xfId="17080"/>
    <cellStyle name="Note 11 3 3 4 2" xfId="38267"/>
    <cellStyle name="Note 11 3 3 5" xfId="27381"/>
    <cellStyle name="Note 11 3 3_Table 2A-1_EFT (Annual)" xfId="7173"/>
    <cellStyle name="Note 11 3 4" xfId="2088"/>
    <cellStyle name="Note 11 3 4 2" xfId="5649"/>
    <cellStyle name="Note 11 3 4 2 2" xfId="13864"/>
    <cellStyle name="Note 11 3 4 2 2 2" xfId="25852"/>
    <cellStyle name="Note 11 3 4 2 2 2 2" xfId="47038"/>
    <cellStyle name="Note 11 3 4 2 2 3" xfId="36434"/>
    <cellStyle name="Note 11 3 4 2 3" xfId="20739"/>
    <cellStyle name="Note 11 3 4 2 3 2" xfId="41926"/>
    <cellStyle name="Note 11 3 4 2 4" xfId="31306"/>
    <cellStyle name="Note 11 3 4 2_Table 2A-1_EFT (Annual)" xfId="15452"/>
    <cellStyle name="Note 11 3 4 3" xfId="11208"/>
    <cellStyle name="Note 11 3 4 3 2" xfId="23306"/>
    <cellStyle name="Note 11 3 4 3 2 2" xfId="44492"/>
    <cellStyle name="Note 11 3 4 3 3" xfId="33888"/>
    <cellStyle name="Note 11 3 4 4" xfId="18193"/>
    <cellStyle name="Note 11 3 4 4 2" xfId="39380"/>
    <cellStyle name="Note 11 3 4 5" xfId="28563"/>
    <cellStyle name="Note 11 3 4_Table 2A-1_EFT (Annual)" xfId="7174"/>
    <cellStyle name="Note 11 3 5" xfId="3936"/>
    <cellStyle name="Note 11 3 5 2" xfId="12264"/>
    <cellStyle name="Note 11 3 5 2 2" xfId="24288"/>
    <cellStyle name="Note 11 3 5 2 2 2" xfId="45474"/>
    <cellStyle name="Note 11 3 5 2 3" xfId="34870"/>
    <cellStyle name="Note 11 3 5 3" xfId="19175"/>
    <cellStyle name="Note 11 3 5 3 2" xfId="40362"/>
    <cellStyle name="Note 11 3 5 4" xfId="29624"/>
    <cellStyle name="Note 11 3 5_Table 2A-1_EFT (Annual)" xfId="15453"/>
    <cellStyle name="Note 11 3 6" xfId="9601"/>
    <cellStyle name="Note 11 3 6 2" xfId="21742"/>
    <cellStyle name="Note 11 3 6 2 2" xfId="42928"/>
    <cellStyle name="Note 11 3 6 3" xfId="32324"/>
    <cellStyle name="Note 11 3 7" xfId="16629"/>
    <cellStyle name="Note 11 3 7 2" xfId="37816"/>
    <cellStyle name="Note 11 3 8" xfId="26881"/>
    <cellStyle name="Note 11 3_Table 2A-1_EFT (Annual)" xfId="3230"/>
    <cellStyle name="Note 11 4" xfId="1183"/>
    <cellStyle name="Note 11 4 2" xfId="2453"/>
    <cellStyle name="Note 11 4 2 2" xfId="6014"/>
    <cellStyle name="Note 11 4 2 2 2" xfId="14208"/>
    <cellStyle name="Note 11 4 2 2 2 2" xfId="26180"/>
    <cellStyle name="Note 11 4 2 2 2 2 2" xfId="47366"/>
    <cellStyle name="Note 11 4 2 2 2 3" xfId="36762"/>
    <cellStyle name="Note 11 4 2 2 3" xfId="21067"/>
    <cellStyle name="Note 11 4 2 2 3 2" xfId="42254"/>
    <cellStyle name="Note 11 4 2 2 4" xfId="31670"/>
    <cellStyle name="Note 11 4 2 2_Table 2A-1_EFT (Annual)" xfId="15454"/>
    <cellStyle name="Note 11 4 2 3" xfId="11550"/>
    <cellStyle name="Note 11 4 2 3 2" xfId="23634"/>
    <cellStyle name="Note 11 4 2 3 2 2" xfId="44820"/>
    <cellStyle name="Note 11 4 2 3 3" xfId="34216"/>
    <cellStyle name="Note 11 4 2 4" xfId="18521"/>
    <cellStyle name="Note 11 4 2 4 2" xfId="39708"/>
    <cellStyle name="Note 11 4 2 5" xfId="28927"/>
    <cellStyle name="Note 11 4 2_Table 2A-1_EFT (Annual)" xfId="7176"/>
    <cellStyle name="Note 11 4 3" xfId="4744"/>
    <cellStyle name="Note 11 4 3 2" xfId="13004"/>
    <cellStyle name="Note 11 4 3 2 2" xfId="25010"/>
    <cellStyle name="Note 11 4 3 2 2 2" xfId="46196"/>
    <cellStyle name="Note 11 4 3 2 3" xfId="35592"/>
    <cellStyle name="Note 11 4 3 3" xfId="19897"/>
    <cellStyle name="Note 11 4 3 3 2" xfId="41084"/>
    <cellStyle name="Note 11 4 3 4" xfId="30401"/>
    <cellStyle name="Note 11 4 3_Table 2A-1_EFT (Annual)" xfId="15455"/>
    <cellStyle name="Note 11 4 4" xfId="10348"/>
    <cellStyle name="Note 11 4 4 2" xfId="22464"/>
    <cellStyle name="Note 11 4 4 2 2" xfId="43650"/>
    <cellStyle name="Note 11 4 4 3" xfId="33046"/>
    <cellStyle name="Note 11 4 5" xfId="17351"/>
    <cellStyle name="Note 11 4 5 2" xfId="38538"/>
    <cellStyle name="Note 11 4 6" xfId="27658"/>
    <cellStyle name="Note 11 4_Table 2A-1_EFT (Annual)" xfId="7175"/>
    <cellStyle name="Note 11 5" xfId="747"/>
    <cellStyle name="Note 11 5 2" xfId="4308"/>
    <cellStyle name="Note 11 5 2 2" xfId="12588"/>
    <cellStyle name="Note 11 5 2 2 2" xfId="24605"/>
    <cellStyle name="Note 11 5 2 2 2 2" xfId="45791"/>
    <cellStyle name="Note 11 5 2 2 3" xfId="35187"/>
    <cellStyle name="Note 11 5 2 3" xfId="19492"/>
    <cellStyle name="Note 11 5 2 3 2" xfId="40679"/>
    <cellStyle name="Note 11 5 2 4" xfId="29965"/>
    <cellStyle name="Note 11 5 2_Table 2A-1_EFT (Annual)" xfId="15456"/>
    <cellStyle name="Note 11 5 3" xfId="9936"/>
    <cellStyle name="Note 11 5 3 2" xfId="22059"/>
    <cellStyle name="Note 11 5 3 2 2" xfId="43245"/>
    <cellStyle name="Note 11 5 3 3" xfId="32641"/>
    <cellStyle name="Note 11 5 4" xfId="16946"/>
    <cellStyle name="Note 11 5 4 2" xfId="38133"/>
    <cellStyle name="Note 11 5 5" xfId="27222"/>
    <cellStyle name="Note 11 5_Table 2A-1_EFT (Annual)" xfId="7177"/>
    <cellStyle name="Note 11 6" xfId="1789"/>
    <cellStyle name="Note 11 6 2" xfId="5350"/>
    <cellStyle name="Note 11 6 2 2" xfId="13565"/>
    <cellStyle name="Note 11 6 2 2 2" xfId="25553"/>
    <cellStyle name="Note 11 6 2 2 2 2" xfId="46739"/>
    <cellStyle name="Note 11 6 2 2 3" xfId="36135"/>
    <cellStyle name="Note 11 6 2 3" xfId="20440"/>
    <cellStyle name="Note 11 6 2 3 2" xfId="41627"/>
    <cellStyle name="Note 11 6 2 4" xfId="31007"/>
    <cellStyle name="Note 11 6 2_Table 2A-1_EFT (Annual)" xfId="15457"/>
    <cellStyle name="Note 11 6 3" xfId="10909"/>
    <cellStyle name="Note 11 6 3 2" xfId="23007"/>
    <cellStyle name="Note 11 6 3 2 2" xfId="44193"/>
    <cellStyle name="Note 11 6 3 3" xfId="33589"/>
    <cellStyle name="Note 11 6 4" xfId="17894"/>
    <cellStyle name="Note 11 6 4 2" xfId="39081"/>
    <cellStyle name="Note 11 6 5" xfId="28264"/>
    <cellStyle name="Note 11 6_Table 2A-1_EFT (Annual)" xfId="7178"/>
    <cellStyle name="Note 11 7" xfId="3724"/>
    <cellStyle name="Note 11 7 2" xfId="12092"/>
    <cellStyle name="Note 11 7 2 2" xfId="24122"/>
    <cellStyle name="Note 11 7 2 2 2" xfId="45308"/>
    <cellStyle name="Note 11 7 2 3" xfId="34704"/>
    <cellStyle name="Note 11 7 3" xfId="19009"/>
    <cellStyle name="Note 11 7 3 2" xfId="40196"/>
    <cellStyle name="Note 11 7 4" xfId="29433"/>
    <cellStyle name="Note 11 7_Table 2A-1_EFT (Annual)" xfId="15458"/>
    <cellStyle name="Note 11 8" xfId="9411"/>
    <cellStyle name="Note 11 8 2" xfId="21576"/>
    <cellStyle name="Note 11 8 2 2" xfId="42762"/>
    <cellStyle name="Note 11 8 3" xfId="32158"/>
    <cellStyle name="Note 11 9" xfId="16463"/>
    <cellStyle name="Note 11 9 2" xfId="37650"/>
    <cellStyle name="Note 11_Table 2A-1_EFT (Annual)" xfId="3228"/>
    <cellStyle name="Note 12" xfId="143"/>
    <cellStyle name="Note 12 10" xfId="26698"/>
    <cellStyle name="Note 12 2" xfId="536"/>
    <cellStyle name="Note 12 2 2" xfId="1513"/>
    <cellStyle name="Note 12 2 2 2" xfId="2783"/>
    <cellStyle name="Note 12 2 2 2 2" xfId="6344"/>
    <cellStyle name="Note 12 2 2 2 2 2" xfId="14538"/>
    <cellStyle name="Note 12 2 2 2 2 2 2" xfId="26510"/>
    <cellStyle name="Note 12 2 2 2 2 2 2 2" xfId="47696"/>
    <cellStyle name="Note 12 2 2 2 2 2 3" xfId="37092"/>
    <cellStyle name="Note 12 2 2 2 2 3" xfId="21397"/>
    <cellStyle name="Note 12 2 2 2 2 3 2" xfId="42584"/>
    <cellStyle name="Note 12 2 2 2 2 4" xfId="32000"/>
    <cellStyle name="Note 12 2 2 2 2_Table 2A-1_EFT (Annual)" xfId="15459"/>
    <cellStyle name="Note 12 2 2 2 3" xfId="11880"/>
    <cellStyle name="Note 12 2 2 2 3 2" xfId="23964"/>
    <cellStyle name="Note 12 2 2 2 3 2 2" xfId="45150"/>
    <cellStyle name="Note 12 2 2 2 3 3" xfId="34546"/>
    <cellStyle name="Note 12 2 2 2 4" xfId="18851"/>
    <cellStyle name="Note 12 2 2 2 4 2" xfId="40038"/>
    <cellStyle name="Note 12 2 2 2 5" xfId="29257"/>
    <cellStyle name="Note 12 2 2 2_Table 2A-1_EFT (Annual)" xfId="7180"/>
    <cellStyle name="Note 12 2 2 3" xfId="5074"/>
    <cellStyle name="Note 12 2 2 3 2" xfId="13334"/>
    <cellStyle name="Note 12 2 2 3 2 2" xfId="25340"/>
    <cellStyle name="Note 12 2 2 3 2 2 2" xfId="46526"/>
    <cellStyle name="Note 12 2 2 3 2 3" xfId="35922"/>
    <cellStyle name="Note 12 2 2 3 3" xfId="20227"/>
    <cellStyle name="Note 12 2 2 3 3 2" xfId="41414"/>
    <cellStyle name="Note 12 2 2 3 4" xfId="30731"/>
    <cellStyle name="Note 12 2 2 3_Table 2A-1_EFT (Annual)" xfId="15460"/>
    <cellStyle name="Note 12 2 2 4" xfId="10678"/>
    <cellStyle name="Note 12 2 2 4 2" xfId="22794"/>
    <cellStyle name="Note 12 2 2 4 2 2" xfId="43980"/>
    <cellStyle name="Note 12 2 2 4 3" xfId="33376"/>
    <cellStyle name="Note 12 2 2 5" xfId="17681"/>
    <cellStyle name="Note 12 2 2 5 2" xfId="38868"/>
    <cellStyle name="Note 12 2 2 6" xfId="27988"/>
    <cellStyle name="Note 12 2 2_Table 2A-1_EFT (Annual)" xfId="7179"/>
    <cellStyle name="Note 12 2 3" xfId="1045"/>
    <cellStyle name="Note 12 2 3 2" xfId="4606"/>
    <cellStyle name="Note 12 2 3 2 2" xfId="12866"/>
    <cellStyle name="Note 12 2 3 2 2 2" xfId="24872"/>
    <cellStyle name="Note 12 2 3 2 2 2 2" xfId="46058"/>
    <cellStyle name="Note 12 2 3 2 2 3" xfId="35454"/>
    <cellStyle name="Note 12 2 3 2 3" xfId="19759"/>
    <cellStyle name="Note 12 2 3 2 3 2" xfId="40946"/>
    <cellStyle name="Note 12 2 3 2 4" xfId="30263"/>
    <cellStyle name="Note 12 2 3 2_Table 2A-1_EFT (Annual)" xfId="15461"/>
    <cellStyle name="Note 12 2 3 3" xfId="10210"/>
    <cellStyle name="Note 12 2 3 3 2" xfId="22326"/>
    <cellStyle name="Note 12 2 3 3 2 2" xfId="43512"/>
    <cellStyle name="Note 12 2 3 3 3" xfId="32908"/>
    <cellStyle name="Note 12 2 3 4" xfId="17213"/>
    <cellStyle name="Note 12 2 3 4 2" xfId="38400"/>
    <cellStyle name="Note 12 2 3 5" xfId="27520"/>
    <cellStyle name="Note 12 2 3_Table 2A-1_EFT (Annual)" xfId="7181"/>
    <cellStyle name="Note 12 2 4" xfId="2252"/>
    <cellStyle name="Note 12 2 4 2" xfId="5813"/>
    <cellStyle name="Note 12 2 4 2 2" xfId="14028"/>
    <cellStyle name="Note 12 2 4 2 2 2" xfId="26016"/>
    <cellStyle name="Note 12 2 4 2 2 2 2" xfId="47202"/>
    <cellStyle name="Note 12 2 4 2 2 3" xfId="36598"/>
    <cellStyle name="Note 12 2 4 2 3" xfId="20903"/>
    <cellStyle name="Note 12 2 4 2 3 2" xfId="42090"/>
    <cellStyle name="Note 12 2 4 2 4" xfId="31470"/>
    <cellStyle name="Note 12 2 4 2_Table 2A-1_EFT (Annual)" xfId="15462"/>
    <cellStyle name="Note 12 2 4 3" xfId="11372"/>
    <cellStyle name="Note 12 2 4 3 2" xfId="23470"/>
    <cellStyle name="Note 12 2 4 3 2 2" xfId="44656"/>
    <cellStyle name="Note 12 2 4 3 3" xfId="34052"/>
    <cellStyle name="Note 12 2 4 4" xfId="18357"/>
    <cellStyle name="Note 12 2 4 4 2" xfId="39544"/>
    <cellStyle name="Note 12 2 4 5" xfId="28727"/>
    <cellStyle name="Note 12 2 4_Table 2A-1_EFT (Annual)" xfId="7182"/>
    <cellStyle name="Note 12 2 5" xfId="4106"/>
    <cellStyle name="Note 12 2 5 2" xfId="12430"/>
    <cellStyle name="Note 12 2 5 2 2" xfId="24452"/>
    <cellStyle name="Note 12 2 5 2 2 2" xfId="45638"/>
    <cellStyle name="Note 12 2 5 2 3" xfId="35034"/>
    <cellStyle name="Note 12 2 5 3" xfId="19339"/>
    <cellStyle name="Note 12 2 5 3 2" xfId="40526"/>
    <cellStyle name="Note 12 2 5 4" xfId="29794"/>
    <cellStyle name="Note 12 2 5_Table 2A-1_EFT (Annual)" xfId="15463"/>
    <cellStyle name="Note 12 2 6" xfId="9769"/>
    <cellStyle name="Note 12 2 6 2" xfId="21906"/>
    <cellStyle name="Note 12 2 6 2 2" xfId="43092"/>
    <cellStyle name="Note 12 2 6 3" xfId="32488"/>
    <cellStyle name="Note 12 2 7" xfId="16793"/>
    <cellStyle name="Note 12 2 7 2" xfId="37980"/>
    <cellStyle name="Note 12 2 8" xfId="27051"/>
    <cellStyle name="Note 12 2_Table 2A-1_EFT (Annual)" xfId="3232"/>
    <cellStyle name="Note 12 3" xfId="374"/>
    <cellStyle name="Note 12 3 2" xfId="1357"/>
    <cellStyle name="Note 12 3 2 2" xfId="2627"/>
    <cellStyle name="Note 12 3 2 2 2" xfId="6188"/>
    <cellStyle name="Note 12 3 2 2 2 2" xfId="14382"/>
    <cellStyle name="Note 12 3 2 2 2 2 2" xfId="26354"/>
    <cellStyle name="Note 12 3 2 2 2 2 2 2" xfId="47540"/>
    <cellStyle name="Note 12 3 2 2 2 2 3" xfId="36936"/>
    <cellStyle name="Note 12 3 2 2 2 3" xfId="21241"/>
    <cellStyle name="Note 12 3 2 2 2 3 2" xfId="42428"/>
    <cellStyle name="Note 12 3 2 2 2 4" xfId="31844"/>
    <cellStyle name="Note 12 3 2 2 2_Table 2A-1_EFT (Annual)" xfId="15464"/>
    <cellStyle name="Note 12 3 2 2 3" xfId="11724"/>
    <cellStyle name="Note 12 3 2 2 3 2" xfId="23808"/>
    <cellStyle name="Note 12 3 2 2 3 2 2" xfId="44994"/>
    <cellStyle name="Note 12 3 2 2 3 3" xfId="34390"/>
    <cellStyle name="Note 12 3 2 2 4" xfId="18695"/>
    <cellStyle name="Note 12 3 2 2 4 2" xfId="39882"/>
    <cellStyle name="Note 12 3 2 2 5" xfId="29101"/>
    <cellStyle name="Note 12 3 2 2_Table 2A-1_EFT (Annual)" xfId="7184"/>
    <cellStyle name="Note 12 3 2 3" xfId="4918"/>
    <cellStyle name="Note 12 3 2 3 2" xfId="13178"/>
    <cellStyle name="Note 12 3 2 3 2 2" xfId="25184"/>
    <cellStyle name="Note 12 3 2 3 2 2 2" xfId="46370"/>
    <cellStyle name="Note 12 3 2 3 2 3" xfId="35766"/>
    <cellStyle name="Note 12 3 2 3 3" xfId="20071"/>
    <cellStyle name="Note 12 3 2 3 3 2" xfId="41258"/>
    <cellStyle name="Note 12 3 2 3 4" xfId="30575"/>
    <cellStyle name="Note 12 3 2 3_Table 2A-1_EFT (Annual)" xfId="15465"/>
    <cellStyle name="Note 12 3 2 4" xfId="10522"/>
    <cellStyle name="Note 12 3 2 4 2" xfId="22638"/>
    <cellStyle name="Note 12 3 2 4 2 2" xfId="43824"/>
    <cellStyle name="Note 12 3 2 4 3" xfId="33220"/>
    <cellStyle name="Note 12 3 2 5" xfId="17525"/>
    <cellStyle name="Note 12 3 2 5 2" xfId="38712"/>
    <cellStyle name="Note 12 3 2 6" xfId="27832"/>
    <cellStyle name="Note 12 3 2_Table 2A-1_EFT (Annual)" xfId="7183"/>
    <cellStyle name="Note 12 3 3" xfId="913"/>
    <cellStyle name="Note 12 3 3 2" xfId="4474"/>
    <cellStyle name="Note 12 3 3 2 2" xfId="12736"/>
    <cellStyle name="Note 12 3 3 2 2 2" xfId="24746"/>
    <cellStyle name="Note 12 3 3 2 2 2 2" xfId="45932"/>
    <cellStyle name="Note 12 3 3 2 2 3" xfId="35328"/>
    <cellStyle name="Note 12 3 3 2 3" xfId="19633"/>
    <cellStyle name="Note 12 3 3 2 3 2" xfId="40820"/>
    <cellStyle name="Note 12 3 3 2 4" xfId="30131"/>
    <cellStyle name="Note 12 3 3 2_Table 2A-1_EFT (Annual)" xfId="15466"/>
    <cellStyle name="Note 12 3 3 3" xfId="10083"/>
    <cellStyle name="Note 12 3 3 3 2" xfId="22200"/>
    <cellStyle name="Note 12 3 3 3 2 2" xfId="43386"/>
    <cellStyle name="Note 12 3 3 3 3" xfId="32782"/>
    <cellStyle name="Note 12 3 3 4" xfId="17087"/>
    <cellStyle name="Note 12 3 3 4 2" xfId="38274"/>
    <cellStyle name="Note 12 3 3 5" xfId="27388"/>
    <cellStyle name="Note 12 3 3_Table 2A-1_EFT (Annual)" xfId="7185"/>
    <cellStyle name="Note 12 3 4" xfId="2096"/>
    <cellStyle name="Note 12 3 4 2" xfId="5657"/>
    <cellStyle name="Note 12 3 4 2 2" xfId="13872"/>
    <cellStyle name="Note 12 3 4 2 2 2" xfId="25860"/>
    <cellStyle name="Note 12 3 4 2 2 2 2" xfId="47046"/>
    <cellStyle name="Note 12 3 4 2 2 3" xfId="36442"/>
    <cellStyle name="Note 12 3 4 2 3" xfId="20747"/>
    <cellStyle name="Note 12 3 4 2 3 2" xfId="41934"/>
    <cellStyle name="Note 12 3 4 2 4" xfId="31314"/>
    <cellStyle name="Note 12 3 4 2_Table 2A-1_EFT (Annual)" xfId="15467"/>
    <cellStyle name="Note 12 3 4 3" xfId="11216"/>
    <cellStyle name="Note 12 3 4 3 2" xfId="23314"/>
    <cellStyle name="Note 12 3 4 3 2 2" xfId="44500"/>
    <cellStyle name="Note 12 3 4 3 3" xfId="33896"/>
    <cellStyle name="Note 12 3 4 4" xfId="18201"/>
    <cellStyle name="Note 12 3 4 4 2" xfId="39388"/>
    <cellStyle name="Note 12 3 4 5" xfId="28571"/>
    <cellStyle name="Note 12 3 4_Table 2A-1_EFT (Annual)" xfId="7186"/>
    <cellStyle name="Note 12 3 5" xfId="3944"/>
    <cellStyle name="Note 12 3 5 2" xfId="12272"/>
    <cellStyle name="Note 12 3 5 2 2" xfId="24296"/>
    <cellStyle name="Note 12 3 5 2 2 2" xfId="45482"/>
    <cellStyle name="Note 12 3 5 2 3" xfId="34878"/>
    <cellStyle name="Note 12 3 5 3" xfId="19183"/>
    <cellStyle name="Note 12 3 5 3 2" xfId="40370"/>
    <cellStyle name="Note 12 3 5 4" xfId="29632"/>
    <cellStyle name="Note 12 3 5_Table 2A-1_EFT (Annual)" xfId="15468"/>
    <cellStyle name="Note 12 3 6" xfId="9609"/>
    <cellStyle name="Note 12 3 6 2" xfId="21750"/>
    <cellStyle name="Note 12 3 6 2 2" xfId="42936"/>
    <cellStyle name="Note 12 3 6 3" xfId="32332"/>
    <cellStyle name="Note 12 3 7" xfId="16637"/>
    <cellStyle name="Note 12 3 7 2" xfId="37824"/>
    <cellStyle name="Note 12 3 8" xfId="26889"/>
    <cellStyle name="Note 12 3_Table 2A-1_EFT (Annual)" xfId="3233"/>
    <cellStyle name="Note 12 4" xfId="1191"/>
    <cellStyle name="Note 12 4 2" xfId="2461"/>
    <cellStyle name="Note 12 4 2 2" xfId="6022"/>
    <cellStyle name="Note 12 4 2 2 2" xfId="14216"/>
    <cellStyle name="Note 12 4 2 2 2 2" xfId="26188"/>
    <cellStyle name="Note 12 4 2 2 2 2 2" xfId="47374"/>
    <cellStyle name="Note 12 4 2 2 2 3" xfId="36770"/>
    <cellStyle name="Note 12 4 2 2 3" xfId="21075"/>
    <cellStyle name="Note 12 4 2 2 3 2" xfId="42262"/>
    <cellStyle name="Note 12 4 2 2 4" xfId="31678"/>
    <cellStyle name="Note 12 4 2 2_Table 2A-1_EFT (Annual)" xfId="15469"/>
    <cellStyle name="Note 12 4 2 3" xfId="11558"/>
    <cellStyle name="Note 12 4 2 3 2" xfId="23642"/>
    <cellStyle name="Note 12 4 2 3 2 2" xfId="44828"/>
    <cellStyle name="Note 12 4 2 3 3" xfId="34224"/>
    <cellStyle name="Note 12 4 2 4" xfId="18529"/>
    <cellStyle name="Note 12 4 2 4 2" xfId="39716"/>
    <cellStyle name="Note 12 4 2 5" xfId="28935"/>
    <cellStyle name="Note 12 4 2_Table 2A-1_EFT (Annual)" xfId="7188"/>
    <cellStyle name="Note 12 4 3" xfId="4752"/>
    <cellStyle name="Note 12 4 3 2" xfId="13012"/>
    <cellStyle name="Note 12 4 3 2 2" xfId="25018"/>
    <cellStyle name="Note 12 4 3 2 2 2" xfId="46204"/>
    <cellStyle name="Note 12 4 3 2 3" xfId="35600"/>
    <cellStyle name="Note 12 4 3 3" xfId="19905"/>
    <cellStyle name="Note 12 4 3 3 2" xfId="41092"/>
    <cellStyle name="Note 12 4 3 4" xfId="30409"/>
    <cellStyle name="Note 12 4 3_Table 2A-1_EFT (Annual)" xfId="15470"/>
    <cellStyle name="Note 12 4 4" xfId="10356"/>
    <cellStyle name="Note 12 4 4 2" xfId="22472"/>
    <cellStyle name="Note 12 4 4 2 2" xfId="43658"/>
    <cellStyle name="Note 12 4 4 3" xfId="33054"/>
    <cellStyle name="Note 12 4 5" xfId="17359"/>
    <cellStyle name="Note 12 4 5 2" xfId="38546"/>
    <cellStyle name="Note 12 4 6" xfId="27666"/>
    <cellStyle name="Note 12 4_Table 2A-1_EFT (Annual)" xfId="7187"/>
    <cellStyle name="Note 12 5" xfId="754"/>
    <cellStyle name="Note 12 5 2" xfId="4315"/>
    <cellStyle name="Note 12 5 2 2" xfId="12595"/>
    <cellStyle name="Note 12 5 2 2 2" xfId="24612"/>
    <cellStyle name="Note 12 5 2 2 2 2" xfId="45798"/>
    <cellStyle name="Note 12 5 2 2 3" xfId="35194"/>
    <cellStyle name="Note 12 5 2 3" xfId="19499"/>
    <cellStyle name="Note 12 5 2 3 2" xfId="40686"/>
    <cellStyle name="Note 12 5 2 4" xfId="29972"/>
    <cellStyle name="Note 12 5 2_Table 2A-1_EFT (Annual)" xfId="15471"/>
    <cellStyle name="Note 12 5 3" xfId="9943"/>
    <cellStyle name="Note 12 5 3 2" xfId="22066"/>
    <cellStyle name="Note 12 5 3 2 2" xfId="43252"/>
    <cellStyle name="Note 12 5 3 3" xfId="32648"/>
    <cellStyle name="Note 12 5 4" xfId="16953"/>
    <cellStyle name="Note 12 5 4 2" xfId="38140"/>
    <cellStyle name="Note 12 5 5" xfId="27229"/>
    <cellStyle name="Note 12 5_Table 2A-1_EFT (Annual)" xfId="7189"/>
    <cellStyle name="Note 12 6" xfId="1785"/>
    <cellStyle name="Note 12 6 2" xfId="5346"/>
    <cellStyle name="Note 12 6 2 2" xfId="13561"/>
    <cellStyle name="Note 12 6 2 2 2" xfId="25549"/>
    <cellStyle name="Note 12 6 2 2 2 2" xfId="46735"/>
    <cellStyle name="Note 12 6 2 2 3" xfId="36131"/>
    <cellStyle name="Note 12 6 2 3" xfId="20436"/>
    <cellStyle name="Note 12 6 2 3 2" xfId="41623"/>
    <cellStyle name="Note 12 6 2 4" xfId="31003"/>
    <cellStyle name="Note 12 6 2_Table 2A-1_EFT (Annual)" xfId="15472"/>
    <cellStyle name="Note 12 6 3" xfId="10905"/>
    <cellStyle name="Note 12 6 3 2" xfId="23003"/>
    <cellStyle name="Note 12 6 3 2 2" xfId="44189"/>
    <cellStyle name="Note 12 6 3 3" xfId="33585"/>
    <cellStyle name="Note 12 6 4" xfId="17890"/>
    <cellStyle name="Note 12 6 4 2" xfId="39077"/>
    <cellStyle name="Note 12 6 5" xfId="28260"/>
    <cellStyle name="Note 12 6_Table 2A-1_EFT (Annual)" xfId="7190"/>
    <cellStyle name="Note 12 7" xfId="3732"/>
    <cellStyle name="Note 12 7 2" xfId="12100"/>
    <cellStyle name="Note 12 7 2 2" xfId="24130"/>
    <cellStyle name="Note 12 7 2 2 2" xfId="45316"/>
    <cellStyle name="Note 12 7 2 3" xfId="34712"/>
    <cellStyle name="Note 12 7 3" xfId="19017"/>
    <cellStyle name="Note 12 7 3 2" xfId="40204"/>
    <cellStyle name="Note 12 7 4" xfId="29441"/>
    <cellStyle name="Note 12 7_Table 2A-1_EFT (Annual)" xfId="15473"/>
    <cellStyle name="Note 12 8" xfId="9419"/>
    <cellStyle name="Note 12 8 2" xfId="21584"/>
    <cellStyle name="Note 12 8 2 2" xfId="42770"/>
    <cellStyle name="Note 12 8 3" xfId="32166"/>
    <cellStyle name="Note 12 9" xfId="16471"/>
    <cellStyle name="Note 12 9 2" xfId="37658"/>
    <cellStyle name="Note 12_Table 2A-1_EFT (Annual)" xfId="3231"/>
    <cellStyle name="Note 13" xfId="150"/>
    <cellStyle name="Note 13 10" xfId="26705"/>
    <cellStyle name="Note 13 2" xfId="543"/>
    <cellStyle name="Note 13 2 2" xfId="1520"/>
    <cellStyle name="Note 13 2 2 2" xfId="2790"/>
    <cellStyle name="Note 13 2 2 2 2" xfId="6351"/>
    <cellStyle name="Note 13 2 2 2 2 2" xfId="14545"/>
    <cellStyle name="Note 13 2 2 2 2 2 2" xfId="26517"/>
    <cellStyle name="Note 13 2 2 2 2 2 2 2" xfId="47703"/>
    <cellStyle name="Note 13 2 2 2 2 2 3" xfId="37099"/>
    <cellStyle name="Note 13 2 2 2 2 3" xfId="21404"/>
    <cellStyle name="Note 13 2 2 2 2 3 2" xfId="42591"/>
    <cellStyle name="Note 13 2 2 2 2 4" xfId="32007"/>
    <cellStyle name="Note 13 2 2 2 2_Table 2A-1_EFT (Annual)" xfId="15474"/>
    <cellStyle name="Note 13 2 2 2 3" xfId="11887"/>
    <cellStyle name="Note 13 2 2 2 3 2" xfId="23971"/>
    <cellStyle name="Note 13 2 2 2 3 2 2" xfId="45157"/>
    <cellStyle name="Note 13 2 2 2 3 3" xfId="34553"/>
    <cellStyle name="Note 13 2 2 2 4" xfId="18858"/>
    <cellStyle name="Note 13 2 2 2 4 2" xfId="40045"/>
    <cellStyle name="Note 13 2 2 2 5" xfId="29264"/>
    <cellStyle name="Note 13 2 2 2_Table 2A-1_EFT (Annual)" xfId="7192"/>
    <cellStyle name="Note 13 2 2 3" xfId="5081"/>
    <cellStyle name="Note 13 2 2 3 2" xfId="13341"/>
    <cellStyle name="Note 13 2 2 3 2 2" xfId="25347"/>
    <cellStyle name="Note 13 2 2 3 2 2 2" xfId="46533"/>
    <cellStyle name="Note 13 2 2 3 2 3" xfId="35929"/>
    <cellStyle name="Note 13 2 2 3 3" xfId="20234"/>
    <cellStyle name="Note 13 2 2 3 3 2" xfId="41421"/>
    <cellStyle name="Note 13 2 2 3 4" xfId="30738"/>
    <cellStyle name="Note 13 2 2 3_Table 2A-1_EFT (Annual)" xfId="15475"/>
    <cellStyle name="Note 13 2 2 4" xfId="10685"/>
    <cellStyle name="Note 13 2 2 4 2" xfId="22801"/>
    <cellStyle name="Note 13 2 2 4 2 2" xfId="43987"/>
    <cellStyle name="Note 13 2 2 4 3" xfId="33383"/>
    <cellStyle name="Note 13 2 2 5" xfId="17688"/>
    <cellStyle name="Note 13 2 2 5 2" xfId="38875"/>
    <cellStyle name="Note 13 2 2 6" xfId="27995"/>
    <cellStyle name="Note 13 2 2_Table 2A-1_EFT (Annual)" xfId="7191"/>
    <cellStyle name="Note 13 2 3" xfId="1051"/>
    <cellStyle name="Note 13 2 3 2" xfId="4612"/>
    <cellStyle name="Note 13 2 3 2 2" xfId="12872"/>
    <cellStyle name="Note 13 2 3 2 2 2" xfId="24878"/>
    <cellStyle name="Note 13 2 3 2 2 2 2" xfId="46064"/>
    <cellStyle name="Note 13 2 3 2 2 3" xfId="35460"/>
    <cellStyle name="Note 13 2 3 2 3" xfId="19765"/>
    <cellStyle name="Note 13 2 3 2 3 2" xfId="40952"/>
    <cellStyle name="Note 13 2 3 2 4" xfId="30269"/>
    <cellStyle name="Note 13 2 3 2_Table 2A-1_EFT (Annual)" xfId="15476"/>
    <cellStyle name="Note 13 2 3 3" xfId="10216"/>
    <cellStyle name="Note 13 2 3 3 2" xfId="22332"/>
    <cellStyle name="Note 13 2 3 3 2 2" xfId="43518"/>
    <cellStyle name="Note 13 2 3 3 3" xfId="32914"/>
    <cellStyle name="Note 13 2 3 4" xfId="17219"/>
    <cellStyle name="Note 13 2 3 4 2" xfId="38406"/>
    <cellStyle name="Note 13 2 3 5" xfId="27526"/>
    <cellStyle name="Note 13 2 3_Table 2A-1_EFT (Annual)" xfId="7193"/>
    <cellStyle name="Note 13 2 4" xfId="2259"/>
    <cellStyle name="Note 13 2 4 2" xfId="5820"/>
    <cellStyle name="Note 13 2 4 2 2" xfId="14035"/>
    <cellStyle name="Note 13 2 4 2 2 2" xfId="26023"/>
    <cellStyle name="Note 13 2 4 2 2 2 2" xfId="47209"/>
    <cellStyle name="Note 13 2 4 2 2 3" xfId="36605"/>
    <cellStyle name="Note 13 2 4 2 3" xfId="20910"/>
    <cellStyle name="Note 13 2 4 2 3 2" xfId="42097"/>
    <cellStyle name="Note 13 2 4 2 4" xfId="31477"/>
    <cellStyle name="Note 13 2 4 2_Table 2A-1_EFT (Annual)" xfId="15477"/>
    <cellStyle name="Note 13 2 4 3" xfId="11379"/>
    <cellStyle name="Note 13 2 4 3 2" xfId="23477"/>
    <cellStyle name="Note 13 2 4 3 2 2" xfId="44663"/>
    <cellStyle name="Note 13 2 4 3 3" xfId="34059"/>
    <cellStyle name="Note 13 2 4 4" xfId="18364"/>
    <cellStyle name="Note 13 2 4 4 2" xfId="39551"/>
    <cellStyle name="Note 13 2 4 5" xfId="28734"/>
    <cellStyle name="Note 13 2 4_Table 2A-1_EFT (Annual)" xfId="7194"/>
    <cellStyle name="Note 13 2 5" xfId="4113"/>
    <cellStyle name="Note 13 2 5 2" xfId="12437"/>
    <cellStyle name="Note 13 2 5 2 2" xfId="24459"/>
    <cellStyle name="Note 13 2 5 2 2 2" xfId="45645"/>
    <cellStyle name="Note 13 2 5 2 3" xfId="35041"/>
    <cellStyle name="Note 13 2 5 3" xfId="19346"/>
    <cellStyle name="Note 13 2 5 3 2" xfId="40533"/>
    <cellStyle name="Note 13 2 5 4" xfId="29801"/>
    <cellStyle name="Note 13 2 5_Table 2A-1_EFT (Annual)" xfId="15478"/>
    <cellStyle name="Note 13 2 6" xfId="9776"/>
    <cellStyle name="Note 13 2 6 2" xfId="21913"/>
    <cellStyle name="Note 13 2 6 2 2" xfId="43099"/>
    <cellStyle name="Note 13 2 6 3" xfId="32495"/>
    <cellStyle name="Note 13 2 7" xfId="16800"/>
    <cellStyle name="Note 13 2 7 2" xfId="37987"/>
    <cellStyle name="Note 13 2 8" xfId="27058"/>
    <cellStyle name="Note 13 2_Table 2A-1_EFT (Annual)" xfId="3235"/>
    <cellStyle name="Note 13 3" xfId="381"/>
    <cellStyle name="Note 13 3 2" xfId="1364"/>
    <cellStyle name="Note 13 3 2 2" xfId="2634"/>
    <cellStyle name="Note 13 3 2 2 2" xfId="6195"/>
    <cellStyle name="Note 13 3 2 2 2 2" xfId="14389"/>
    <cellStyle name="Note 13 3 2 2 2 2 2" xfId="26361"/>
    <cellStyle name="Note 13 3 2 2 2 2 2 2" xfId="47547"/>
    <cellStyle name="Note 13 3 2 2 2 2 3" xfId="36943"/>
    <cellStyle name="Note 13 3 2 2 2 3" xfId="21248"/>
    <cellStyle name="Note 13 3 2 2 2 3 2" xfId="42435"/>
    <cellStyle name="Note 13 3 2 2 2 4" xfId="31851"/>
    <cellStyle name="Note 13 3 2 2 2_Table 2A-1_EFT (Annual)" xfId="15479"/>
    <cellStyle name="Note 13 3 2 2 3" xfId="11731"/>
    <cellStyle name="Note 13 3 2 2 3 2" xfId="23815"/>
    <cellStyle name="Note 13 3 2 2 3 2 2" xfId="45001"/>
    <cellStyle name="Note 13 3 2 2 3 3" xfId="34397"/>
    <cellStyle name="Note 13 3 2 2 4" xfId="18702"/>
    <cellStyle name="Note 13 3 2 2 4 2" xfId="39889"/>
    <cellStyle name="Note 13 3 2 2 5" xfId="29108"/>
    <cellStyle name="Note 13 3 2 2_Table 2A-1_EFT (Annual)" xfId="7196"/>
    <cellStyle name="Note 13 3 2 3" xfId="4925"/>
    <cellStyle name="Note 13 3 2 3 2" xfId="13185"/>
    <cellStyle name="Note 13 3 2 3 2 2" xfId="25191"/>
    <cellStyle name="Note 13 3 2 3 2 2 2" xfId="46377"/>
    <cellStyle name="Note 13 3 2 3 2 3" xfId="35773"/>
    <cellStyle name="Note 13 3 2 3 3" xfId="20078"/>
    <cellStyle name="Note 13 3 2 3 3 2" xfId="41265"/>
    <cellStyle name="Note 13 3 2 3 4" xfId="30582"/>
    <cellStyle name="Note 13 3 2 3_Table 2A-1_EFT (Annual)" xfId="15480"/>
    <cellStyle name="Note 13 3 2 4" xfId="10529"/>
    <cellStyle name="Note 13 3 2 4 2" xfId="22645"/>
    <cellStyle name="Note 13 3 2 4 2 2" xfId="43831"/>
    <cellStyle name="Note 13 3 2 4 3" xfId="33227"/>
    <cellStyle name="Note 13 3 2 5" xfId="17532"/>
    <cellStyle name="Note 13 3 2 5 2" xfId="38719"/>
    <cellStyle name="Note 13 3 2 6" xfId="27839"/>
    <cellStyle name="Note 13 3 2_Table 2A-1_EFT (Annual)" xfId="7195"/>
    <cellStyle name="Note 13 3 3" xfId="919"/>
    <cellStyle name="Note 13 3 3 2" xfId="4480"/>
    <cellStyle name="Note 13 3 3 2 2" xfId="12742"/>
    <cellStyle name="Note 13 3 3 2 2 2" xfId="24752"/>
    <cellStyle name="Note 13 3 3 2 2 2 2" xfId="45938"/>
    <cellStyle name="Note 13 3 3 2 2 3" xfId="35334"/>
    <cellStyle name="Note 13 3 3 2 3" xfId="19639"/>
    <cellStyle name="Note 13 3 3 2 3 2" xfId="40826"/>
    <cellStyle name="Note 13 3 3 2 4" xfId="30137"/>
    <cellStyle name="Note 13 3 3 2_Table 2A-1_EFT (Annual)" xfId="15481"/>
    <cellStyle name="Note 13 3 3 3" xfId="10089"/>
    <cellStyle name="Note 13 3 3 3 2" xfId="22206"/>
    <cellStyle name="Note 13 3 3 3 2 2" xfId="43392"/>
    <cellStyle name="Note 13 3 3 3 3" xfId="32788"/>
    <cellStyle name="Note 13 3 3 4" xfId="17093"/>
    <cellStyle name="Note 13 3 3 4 2" xfId="38280"/>
    <cellStyle name="Note 13 3 3 5" xfId="27394"/>
    <cellStyle name="Note 13 3 3_Table 2A-1_EFT (Annual)" xfId="7197"/>
    <cellStyle name="Note 13 3 4" xfId="2103"/>
    <cellStyle name="Note 13 3 4 2" xfId="5664"/>
    <cellStyle name="Note 13 3 4 2 2" xfId="13879"/>
    <cellStyle name="Note 13 3 4 2 2 2" xfId="25867"/>
    <cellStyle name="Note 13 3 4 2 2 2 2" xfId="47053"/>
    <cellStyle name="Note 13 3 4 2 2 3" xfId="36449"/>
    <cellStyle name="Note 13 3 4 2 3" xfId="20754"/>
    <cellStyle name="Note 13 3 4 2 3 2" xfId="41941"/>
    <cellStyle name="Note 13 3 4 2 4" xfId="31321"/>
    <cellStyle name="Note 13 3 4 2_Table 2A-1_EFT (Annual)" xfId="15482"/>
    <cellStyle name="Note 13 3 4 3" xfId="11223"/>
    <cellStyle name="Note 13 3 4 3 2" xfId="23321"/>
    <cellStyle name="Note 13 3 4 3 2 2" xfId="44507"/>
    <cellStyle name="Note 13 3 4 3 3" xfId="33903"/>
    <cellStyle name="Note 13 3 4 4" xfId="18208"/>
    <cellStyle name="Note 13 3 4 4 2" xfId="39395"/>
    <cellStyle name="Note 13 3 4 5" xfId="28578"/>
    <cellStyle name="Note 13 3 4_Table 2A-1_EFT (Annual)" xfId="7198"/>
    <cellStyle name="Note 13 3 5" xfId="3951"/>
    <cellStyle name="Note 13 3 5 2" xfId="12279"/>
    <cellStyle name="Note 13 3 5 2 2" xfId="24303"/>
    <cellStyle name="Note 13 3 5 2 2 2" xfId="45489"/>
    <cellStyle name="Note 13 3 5 2 3" xfId="34885"/>
    <cellStyle name="Note 13 3 5 3" xfId="19190"/>
    <cellStyle name="Note 13 3 5 3 2" xfId="40377"/>
    <cellStyle name="Note 13 3 5 4" xfId="29639"/>
    <cellStyle name="Note 13 3 5_Table 2A-1_EFT (Annual)" xfId="15483"/>
    <cellStyle name="Note 13 3 6" xfId="9616"/>
    <cellStyle name="Note 13 3 6 2" xfId="21757"/>
    <cellStyle name="Note 13 3 6 2 2" xfId="42943"/>
    <cellStyle name="Note 13 3 6 3" xfId="32339"/>
    <cellStyle name="Note 13 3 7" xfId="16644"/>
    <cellStyle name="Note 13 3 7 2" xfId="37831"/>
    <cellStyle name="Note 13 3 8" xfId="26896"/>
    <cellStyle name="Note 13 3_Table 2A-1_EFT (Annual)" xfId="3236"/>
    <cellStyle name="Note 13 4" xfId="1198"/>
    <cellStyle name="Note 13 4 2" xfId="2468"/>
    <cellStyle name="Note 13 4 2 2" xfId="6029"/>
    <cellStyle name="Note 13 4 2 2 2" xfId="14223"/>
    <cellStyle name="Note 13 4 2 2 2 2" xfId="26195"/>
    <cellStyle name="Note 13 4 2 2 2 2 2" xfId="47381"/>
    <cellStyle name="Note 13 4 2 2 2 3" xfId="36777"/>
    <cellStyle name="Note 13 4 2 2 3" xfId="21082"/>
    <cellStyle name="Note 13 4 2 2 3 2" xfId="42269"/>
    <cellStyle name="Note 13 4 2 2 4" xfId="31685"/>
    <cellStyle name="Note 13 4 2 2_Table 2A-1_EFT (Annual)" xfId="15484"/>
    <cellStyle name="Note 13 4 2 3" xfId="11565"/>
    <cellStyle name="Note 13 4 2 3 2" xfId="23649"/>
    <cellStyle name="Note 13 4 2 3 2 2" xfId="44835"/>
    <cellStyle name="Note 13 4 2 3 3" xfId="34231"/>
    <cellStyle name="Note 13 4 2 4" xfId="18536"/>
    <cellStyle name="Note 13 4 2 4 2" xfId="39723"/>
    <cellStyle name="Note 13 4 2 5" xfId="28942"/>
    <cellStyle name="Note 13 4 2_Table 2A-1_EFT (Annual)" xfId="7200"/>
    <cellStyle name="Note 13 4 3" xfId="4759"/>
    <cellStyle name="Note 13 4 3 2" xfId="13019"/>
    <cellStyle name="Note 13 4 3 2 2" xfId="25025"/>
    <cellStyle name="Note 13 4 3 2 2 2" xfId="46211"/>
    <cellStyle name="Note 13 4 3 2 3" xfId="35607"/>
    <cellStyle name="Note 13 4 3 3" xfId="19912"/>
    <cellStyle name="Note 13 4 3 3 2" xfId="41099"/>
    <cellStyle name="Note 13 4 3 4" xfId="30416"/>
    <cellStyle name="Note 13 4 3_Table 2A-1_EFT (Annual)" xfId="15485"/>
    <cellStyle name="Note 13 4 4" xfId="10363"/>
    <cellStyle name="Note 13 4 4 2" xfId="22479"/>
    <cellStyle name="Note 13 4 4 2 2" xfId="43665"/>
    <cellStyle name="Note 13 4 4 3" xfId="33061"/>
    <cellStyle name="Note 13 4 5" xfId="17366"/>
    <cellStyle name="Note 13 4 5 2" xfId="38553"/>
    <cellStyle name="Note 13 4 6" xfId="27673"/>
    <cellStyle name="Note 13 4_Table 2A-1_EFT (Annual)" xfId="7199"/>
    <cellStyle name="Note 13 5" xfId="760"/>
    <cellStyle name="Note 13 5 2" xfId="4321"/>
    <cellStyle name="Note 13 5 2 2" xfId="12601"/>
    <cellStyle name="Note 13 5 2 2 2" xfId="24618"/>
    <cellStyle name="Note 13 5 2 2 2 2" xfId="45804"/>
    <cellStyle name="Note 13 5 2 2 3" xfId="35200"/>
    <cellStyle name="Note 13 5 2 3" xfId="19505"/>
    <cellStyle name="Note 13 5 2 3 2" xfId="40692"/>
    <cellStyle name="Note 13 5 2 4" xfId="29978"/>
    <cellStyle name="Note 13 5 2_Table 2A-1_EFT (Annual)" xfId="15486"/>
    <cellStyle name="Note 13 5 3" xfId="9949"/>
    <cellStyle name="Note 13 5 3 2" xfId="22072"/>
    <cellStyle name="Note 13 5 3 2 2" xfId="43258"/>
    <cellStyle name="Note 13 5 3 3" xfId="32654"/>
    <cellStyle name="Note 13 5 4" xfId="16959"/>
    <cellStyle name="Note 13 5 4 2" xfId="38146"/>
    <cellStyle name="Note 13 5 5" xfId="27235"/>
    <cellStyle name="Note 13 5_Table 2A-1_EFT (Annual)" xfId="7201"/>
    <cellStyle name="Note 13 6" xfId="1849"/>
    <cellStyle name="Note 13 6 2" xfId="5410"/>
    <cellStyle name="Note 13 6 2 2" xfId="13625"/>
    <cellStyle name="Note 13 6 2 2 2" xfId="25613"/>
    <cellStyle name="Note 13 6 2 2 2 2" xfId="46799"/>
    <cellStyle name="Note 13 6 2 2 3" xfId="36195"/>
    <cellStyle name="Note 13 6 2 3" xfId="20500"/>
    <cellStyle name="Note 13 6 2 3 2" xfId="41687"/>
    <cellStyle name="Note 13 6 2 4" xfId="31067"/>
    <cellStyle name="Note 13 6 2_Table 2A-1_EFT (Annual)" xfId="15487"/>
    <cellStyle name="Note 13 6 3" xfId="10969"/>
    <cellStyle name="Note 13 6 3 2" xfId="23067"/>
    <cellStyle name="Note 13 6 3 2 2" xfId="44253"/>
    <cellStyle name="Note 13 6 3 3" xfId="33649"/>
    <cellStyle name="Note 13 6 4" xfId="17954"/>
    <cellStyle name="Note 13 6 4 2" xfId="39141"/>
    <cellStyle name="Note 13 6 5" xfId="28324"/>
    <cellStyle name="Note 13 6_Table 2A-1_EFT (Annual)" xfId="7202"/>
    <cellStyle name="Note 13 7" xfId="3739"/>
    <cellStyle name="Note 13 7 2" xfId="12107"/>
    <cellStyle name="Note 13 7 2 2" xfId="24137"/>
    <cellStyle name="Note 13 7 2 2 2" xfId="45323"/>
    <cellStyle name="Note 13 7 2 3" xfId="34719"/>
    <cellStyle name="Note 13 7 3" xfId="19024"/>
    <cellStyle name="Note 13 7 3 2" xfId="40211"/>
    <cellStyle name="Note 13 7 4" xfId="29448"/>
    <cellStyle name="Note 13 7_Table 2A-1_EFT (Annual)" xfId="15488"/>
    <cellStyle name="Note 13 8" xfId="9426"/>
    <cellStyle name="Note 13 8 2" xfId="21591"/>
    <cellStyle name="Note 13 8 2 2" xfId="42777"/>
    <cellStyle name="Note 13 8 3" xfId="32173"/>
    <cellStyle name="Note 13 9" xfId="16478"/>
    <cellStyle name="Note 13 9 2" xfId="37665"/>
    <cellStyle name="Note 13_Table 2A-1_EFT (Annual)" xfId="3234"/>
    <cellStyle name="Note 14" xfId="133"/>
    <cellStyle name="Note 14 10" xfId="26688"/>
    <cellStyle name="Note 14 2" xfId="526"/>
    <cellStyle name="Note 14 2 2" xfId="1503"/>
    <cellStyle name="Note 14 2 2 2" xfId="2773"/>
    <cellStyle name="Note 14 2 2 2 2" xfId="6334"/>
    <cellStyle name="Note 14 2 2 2 2 2" xfId="14528"/>
    <cellStyle name="Note 14 2 2 2 2 2 2" xfId="26500"/>
    <cellStyle name="Note 14 2 2 2 2 2 2 2" xfId="47686"/>
    <cellStyle name="Note 14 2 2 2 2 2 3" xfId="37082"/>
    <cellStyle name="Note 14 2 2 2 2 3" xfId="21387"/>
    <cellStyle name="Note 14 2 2 2 2 3 2" xfId="42574"/>
    <cellStyle name="Note 14 2 2 2 2 4" xfId="31990"/>
    <cellStyle name="Note 14 2 2 2 2_Table 2A-1_EFT (Annual)" xfId="15489"/>
    <cellStyle name="Note 14 2 2 2 3" xfId="11870"/>
    <cellStyle name="Note 14 2 2 2 3 2" xfId="23954"/>
    <cellStyle name="Note 14 2 2 2 3 2 2" xfId="45140"/>
    <cellStyle name="Note 14 2 2 2 3 3" xfId="34536"/>
    <cellStyle name="Note 14 2 2 2 4" xfId="18841"/>
    <cellStyle name="Note 14 2 2 2 4 2" xfId="40028"/>
    <cellStyle name="Note 14 2 2 2 5" xfId="29247"/>
    <cellStyle name="Note 14 2 2 2_Table 2A-1_EFT (Annual)" xfId="7204"/>
    <cellStyle name="Note 14 2 2 3" xfId="5064"/>
    <cellStyle name="Note 14 2 2 3 2" xfId="13324"/>
    <cellStyle name="Note 14 2 2 3 2 2" xfId="25330"/>
    <cellStyle name="Note 14 2 2 3 2 2 2" xfId="46516"/>
    <cellStyle name="Note 14 2 2 3 2 3" xfId="35912"/>
    <cellStyle name="Note 14 2 2 3 3" xfId="20217"/>
    <cellStyle name="Note 14 2 2 3 3 2" xfId="41404"/>
    <cellStyle name="Note 14 2 2 3 4" xfId="30721"/>
    <cellStyle name="Note 14 2 2 3_Table 2A-1_EFT (Annual)" xfId="15490"/>
    <cellStyle name="Note 14 2 2 4" xfId="10668"/>
    <cellStyle name="Note 14 2 2 4 2" xfId="22784"/>
    <cellStyle name="Note 14 2 2 4 2 2" xfId="43970"/>
    <cellStyle name="Note 14 2 2 4 3" xfId="33366"/>
    <cellStyle name="Note 14 2 2 5" xfId="17671"/>
    <cellStyle name="Note 14 2 2 5 2" xfId="38858"/>
    <cellStyle name="Note 14 2 2 6" xfId="27978"/>
    <cellStyle name="Note 14 2 2_Table 2A-1_EFT (Annual)" xfId="7203"/>
    <cellStyle name="Note 14 2 3" xfId="1036"/>
    <cellStyle name="Note 14 2 3 2" xfId="4597"/>
    <cellStyle name="Note 14 2 3 2 2" xfId="12857"/>
    <cellStyle name="Note 14 2 3 2 2 2" xfId="24863"/>
    <cellStyle name="Note 14 2 3 2 2 2 2" xfId="46049"/>
    <cellStyle name="Note 14 2 3 2 2 3" xfId="35445"/>
    <cellStyle name="Note 14 2 3 2 3" xfId="19750"/>
    <cellStyle name="Note 14 2 3 2 3 2" xfId="40937"/>
    <cellStyle name="Note 14 2 3 2 4" xfId="30254"/>
    <cellStyle name="Note 14 2 3 2_Table 2A-1_EFT (Annual)" xfId="15491"/>
    <cellStyle name="Note 14 2 3 3" xfId="10201"/>
    <cellStyle name="Note 14 2 3 3 2" xfId="22317"/>
    <cellStyle name="Note 14 2 3 3 2 2" xfId="43503"/>
    <cellStyle name="Note 14 2 3 3 3" xfId="32899"/>
    <cellStyle name="Note 14 2 3 4" xfId="17204"/>
    <cellStyle name="Note 14 2 3 4 2" xfId="38391"/>
    <cellStyle name="Note 14 2 3 5" xfId="27511"/>
    <cellStyle name="Note 14 2 3_Table 2A-1_EFT (Annual)" xfId="7205"/>
    <cellStyle name="Note 14 2 4" xfId="2242"/>
    <cellStyle name="Note 14 2 4 2" xfId="5803"/>
    <cellStyle name="Note 14 2 4 2 2" xfId="14018"/>
    <cellStyle name="Note 14 2 4 2 2 2" xfId="26006"/>
    <cellStyle name="Note 14 2 4 2 2 2 2" xfId="47192"/>
    <cellStyle name="Note 14 2 4 2 2 3" xfId="36588"/>
    <cellStyle name="Note 14 2 4 2 3" xfId="20893"/>
    <cellStyle name="Note 14 2 4 2 3 2" xfId="42080"/>
    <cellStyle name="Note 14 2 4 2 4" xfId="31460"/>
    <cellStyle name="Note 14 2 4 2_Table 2A-1_EFT (Annual)" xfId="15492"/>
    <cellStyle name="Note 14 2 4 3" xfId="11362"/>
    <cellStyle name="Note 14 2 4 3 2" xfId="23460"/>
    <cellStyle name="Note 14 2 4 3 2 2" xfId="44646"/>
    <cellStyle name="Note 14 2 4 3 3" xfId="34042"/>
    <cellStyle name="Note 14 2 4 4" xfId="18347"/>
    <cellStyle name="Note 14 2 4 4 2" xfId="39534"/>
    <cellStyle name="Note 14 2 4 5" xfId="28717"/>
    <cellStyle name="Note 14 2 4_Table 2A-1_EFT (Annual)" xfId="7206"/>
    <cellStyle name="Note 14 2 5" xfId="4096"/>
    <cellStyle name="Note 14 2 5 2" xfId="12420"/>
    <cellStyle name="Note 14 2 5 2 2" xfId="24442"/>
    <cellStyle name="Note 14 2 5 2 2 2" xfId="45628"/>
    <cellStyle name="Note 14 2 5 2 3" xfId="35024"/>
    <cellStyle name="Note 14 2 5 3" xfId="19329"/>
    <cellStyle name="Note 14 2 5 3 2" xfId="40516"/>
    <cellStyle name="Note 14 2 5 4" xfId="29784"/>
    <cellStyle name="Note 14 2 5_Table 2A-1_EFT (Annual)" xfId="15493"/>
    <cellStyle name="Note 14 2 6" xfId="9759"/>
    <cellStyle name="Note 14 2 6 2" xfId="21896"/>
    <cellStyle name="Note 14 2 6 2 2" xfId="43082"/>
    <cellStyle name="Note 14 2 6 3" xfId="32478"/>
    <cellStyle name="Note 14 2 7" xfId="16783"/>
    <cellStyle name="Note 14 2 7 2" xfId="37970"/>
    <cellStyle name="Note 14 2 8" xfId="27041"/>
    <cellStyle name="Note 14 2_Table 2A-1_EFT (Annual)" xfId="3238"/>
    <cellStyle name="Note 14 3" xfId="364"/>
    <cellStyle name="Note 14 3 2" xfId="1347"/>
    <cellStyle name="Note 14 3 2 2" xfId="2617"/>
    <cellStyle name="Note 14 3 2 2 2" xfId="6178"/>
    <cellStyle name="Note 14 3 2 2 2 2" xfId="14372"/>
    <cellStyle name="Note 14 3 2 2 2 2 2" xfId="26344"/>
    <cellStyle name="Note 14 3 2 2 2 2 2 2" xfId="47530"/>
    <cellStyle name="Note 14 3 2 2 2 2 3" xfId="36926"/>
    <cellStyle name="Note 14 3 2 2 2 3" xfId="21231"/>
    <cellStyle name="Note 14 3 2 2 2 3 2" xfId="42418"/>
    <cellStyle name="Note 14 3 2 2 2 4" xfId="31834"/>
    <cellStyle name="Note 14 3 2 2 2_Table 2A-1_EFT (Annual)" xfId="15494"/>
    <cellStyle name="Note 14 3 2 2 3" xfId="11714"/>
    <cellStyle name="Note 14 3 2 2 3 2" xfId="23798"/>
    <cellStyle name="Note 14 3 2 2 3 2 2" xfId="44984"/>
    <cellStyle name="Note 14 3 2 2 3 3" xfId="34380"/>
    <cellStyle name="Note 14 3 2 2 4" xfId="18685"/>
    <cellStyle name="Note 14 3 2 2 4 2" xfId="39872"/>
    <cellStyle name="Note 14 3 2 2 5" xfId="29091"/>
    <cellStyle name="Note 14 3 2 2_Table 2A-1_EFT (Annual)" xfId="7208"/>
    <cellStyle name="Note 14 3 2 3" xfId="4908"/>
    <cellStyle name="Note 14 3 2 3 2" xfId="13168"/>
    <cellStyle name="Note 14 3 2 3 2 2" xfId="25174"/>
    <cellStyle name="Note 14 3 2 3 2 2 2" xfId="46360"/>
    <cellStyle name="Note 14 3 2 3 2 3" xfId="35756"/>
    <cellStyle name="Note 14 3 2 3 3" xfId="20061"/>
    <cellStyle name="Note 14 3 2 3 3 2" xfId="41248"/>
    <cellStyle name="Note 14 3 2 3 4" xfId="30565"/>
    <cellStyle name="Note 14 3 2 3_Table 2A-1_EFT (Annual)" xfId="15495"/>
    <cellStyle name="Note 14 3 2 4" xfId="10512"/>
    <cellStyle name="Note 14 3 2 4 2" xfId="22628"/>
    <cellStyle name="Note 14 3 2 4 2 2" xfId="43814"/>
    <cellStyle name="Note 14 3 2 4 3" xfId="33210"/>
    <cellStyle name="Note 14 3 2 5" xfId="17515"/>
    <cellStyle name="Note 14 3 2 5 2" xfId="38702"/>
    <cellStyle name="Note 14 3 2 6" xfId="27822"/>
    <cellStyle name="Note 14 3 2_Table 2A-1_EFT (Annual)" xfId="7207"/>
    <cellStyle name="Note 14 3 3" xfId="904"/>
    <cellStyle name="Note 14 3 3 2" xfId="4465"/>
    <cellStyle name="Note 14 3 3 2 2" xfId="12727"/>
    <cellStyle name="Note 14 3 3 2 2 2" xfId="24737"/>
    <cellStyle name="Note 14 3 3 2 2 2 2" xfId="45923"/>
    <cellStyle name="Note 14 3 3 2 2 3" xfId="35319"/>
    <cellStyle name="Note 14 3 3 2 3" xfId="19624"/>
    <cellStyle name="Note 14 3 3 2 3 2" xfId="40811"/>
    <cellStyle name="Note 14 3 3 2 4" xfId="30122"/>
    <cellStyle name="Note 14 3 3 2_Table 2A-1_EFT (Annual)" xfId="15496"/>
    <cellStyle name="Note 14 3 3 3" xfId="10074"/>
    <cellStyle name="Note 14 3 3 3 2" xfId="22191"/>
    <cellStyle name="Note 14 3 3 3 2 2" xfId="43377"/>
    <cellStyle name="Note 14 3 3 3 3" xfId="32773"/>
    <cellStyle name="Note 14 3 3 4" xfId="17078"/>
    <cellStyle name="Note 14 3 3 4 2" xfId="38265"/>
    <cellStyle name="Note 14 3 3 5" xfId="27379"/>
    <cellStyle name="Note 14 3 3_Table 2A-1_EFT (Annual)" xfId="7209"/>
    <cellStyle name="Note 14 3 4" xfId="2086"/>
    <cellStyle name="Note 14 3 4 2" xfId="5647"/>
    <cellStyle name="Note 14 3 4 2 2" xfId="13862"/>
    <cellStyle name="Note 14 3 4 2 2 2" xfId="25850"/>
    <cellStyle name="Note 14 3 4 2 2 2 2" xfId="47036"/>
    <cellStyle name="Note 14 3 4 2 2 3" xfId="36432"/>
    <cellStyle name="Note 14 3 4 2 3" xfId="20737"/>
    <cellStyle name="Note 14 3 4 2 3 2" xfId="41924"/>
    <cellStyle name="Note 14 3 4 2 4" xfId="31304"/>
    <cellStyle name="Note 14 3 4 2_Table 2A-1_EFT (Annual)" xfId="15497"/>
    <cellStyle name="Note 14 3 4 3" xfId="11206"/>
    <cellStyle name="Note 14 3 4 3 2" xfId="23304"/>
    <cellStyle name="Note 14 3 4 3 2 2" xfId="44490"/>
    <cellStyle name="Note 14 3 4 3 3" xfId="33886"/>
    <cellStyle name="Note 14 3 4 4" xfId="18191"/>
    <cellStyle name="Note 14 3 4 4 2" xfId="39378"/>
    <cellStyle name="Note 14 3 4 5" xfId="28561"/>
    <cellStyle name="Note 14 3 4_Table 2A-1_EFT (Annual)" xfId="7210"/>
    <cellStyle name="Note 14 3 5" xfId="3934"/>
    <cellStyle name="Note 14 3 5 2" xfId="12262"/>
    <cellStyle name="Note 14 3 5 2 2" xfId="24286"/>
    <cellStyle name="Note 14 3 5 2 2 2" xfId="45472"/>
    <cellStyle name="Note 14 3 5 2 3" xfId="34868"/>
    <cellStyle name="Note 14 3 5 3" xfId="19173"/>
    <cellStyle name="Note 14 3 5 3 2" xfId="40360"/>
    <cellStyle name="Note 14 3 5 4" xfId="29622"/>
    <cellStyle name="Note 14 3 5_Table 2A-1_EFT (Annual)" xfId="15498"/>
    <cellStyle name="Note 14 3 6" xfId="9599"/>
    <cellStyle name="Note 14 3 6 2" xfId="21740"/>
    <cellStyle name="Note 14 3 6 2 2" xfId="42926"/>
    <cellStyle name="Note 14 3 6 3" xfId="32322"/>
    <cellStyle name="Note 14 3 7" xfId="16627"/>
    <cellStyle name="Note 14 3 7 2" xfId="37814"/>
    <cellStyle name="Note 14 3 8" xfId="26879"/>
    <cellStyle name="Note 14 3_Table 2A-1_EFT (Annual)" xfId="3239"/>
    <cellStyle name="Note 14 4" xfId="1181"/>
    <cellStyle name="Note 14 4 2" xfId="2451"/>
    <cellStyle name="Note 14 4 2 2" xfId="6012"/>
    <cellStyle name="Note 14 4 2 2 2" xfId="14206"/>
    <cellStyle name="Note 14 4 2 2 2 2" xfId="26178"/>
    <cellStyle name="Note 14 4 2 2 2 2 2" xfId="47364"/>
    <cellStyle name="Note 14 4 2 2 2 3" xfId="36760"/>
    <cellStyle name="Note 14 4 2 2 3" xfId="21065"/>
    <cellStyle name="Note 14 4 2 2 3 2" xfId="42252"/>
    <cellStyle name="Note 14 4 2 2 4" xfId="31668"/>
    <cellStyle name="Note 14 4 2 2_Table 2A-1_EFT (Annual)" xfId="15499"/>
    <cellStyle name="Note 14 4 2 3" xfId="11548"/>
    <cellStyle name="Note 14 4 2 3 2" xfId="23632"/>
    <cellStyle name="Note 14 4 2 3 2 2" xfId="44818"/>
    <cellStyle name="Note 14 4 2 3 3" xfId="34214"/>
    <cellStyle name="Note 14 4 2 4" xfId="18519"/>
    <cellStyle name="Note 14 4 2 4 2" xfId="39706"/>
    <cellStyle name="Note 14 4 2 5" xfId="28925"/>
    <cellStyle name="Note 14 4 2_Table 2A-1_EFT (Annual)" xfId="7212"/>
    <cellStyle name="Note 14 4 3" xfId="4742"/>
    <cellStyle name="Note 14 4 3 2" xfId="13002"/>
    <cellStyle name="Note 14 4 3 2 2" xfId="25008"/>
    <cellStyle name="Note 14 4 3 2 2 2" xfId="46194"/>
    <cellStyle name="Note 14 4 3 2 3" xfId="35590"/>
    <cellStyle name="Note 14 4 3 3" xfId="19895"/>
    <cellStyle name="Note 14 4 3 3 2" xfId="41082"/>
    <cellStyle name="Note 14 4 3 4" xfId="30399"/>
    <cellStyle name="Note 14 4 3_Table 2A-1_EFT (Annual)" xfId="15500"/>
    <cellStyle name="Note 14 4 4" xfId="10346"/>
    <cellStyle name="Note 14 4 4 2" xfId="22462"/>
    <cellStyle name="Note 14 4 4 2 2" xfId="43648"/>
    <cellStyle name="Note 14 4 4 3" xfId="33044"/>
    <cellStyle name="Note 14 4 5" xfId="17349"/>
    <cellStyle name="Note 14 4 5 2" xfId="38536"/>
    <cellStyle name="Note 14 4 6" xfId="27656"/>
    <cellStyle name="Note 14 4_Table 2A-1_EFT (Annual)" xfId="7211"/>
    <cellStyle name="Note 14 5" xfId="745"/>
    <cellStyle name="Note 14 5 2" xfId="4306"/>
    <cellStyle name="Note 14 5 2 2" xfId="12586"/>
    <cellStyle name="Note 14 5 2 2 2" xfId="24603"/>
    <cellStyle name="Note 14 5 2 2 2 2" xfId="45789"/>
    <cellStyle name="Note 14 5 2 2 3" xfId="35185"/>
    <cellStyle name="Note 14 5 2 3" xfId="19490"/>
    <cellStyle name="Note 14 5 2 3 2" xfId="40677"/>
    <cellStyle name="Note 14 5 2 4" xfId="29963"/>
    <cellStyle name="Note 14 5 2_Table 2A-1_EFT (Annual)" xfId="15501"/>
    <cellStyle name="Note 14 5 3" xfId="9934"/>
    <cellStyle name="Note 14 5 3 2" xfId="22057"/>
    <cellStyle name="Note 14 5 3 2 2" xfId="43243"/>
    <cellStyle name="Note 14 5 3 3" xfId="32639"/>
    <cellStyle name="Note 14 5 4" xfId="16944"/>
    <cellStyle name="Note 14 5 4 2" xfId="38131"/>
    <cellStyle name="Note 14 5 5" xfId="27220"/>
    <cellStyle name="Note 14 5_Table 2A-1_EFT (Annual)" xfId="7213"/>
    <cellStyle name="Note 14 6" xfId="1790"/>
    <cellStyle name="Note 14 6 2" xfId="5351"/>
    <cellStyle name="Note 14 6 2 2" xfId="13566"/>
    <cellStyle name="Note 14 6 2 2 2" xfId="25554"/>
    <cellStyle name="Note 14 6 2 2 2 2" xfId="46740"/>
    <cellStyle name="Note 14 6 2 2 3" xfId="36136"/>
    <cellStyle name="Note 14 6 2 3" xfId="20441"/>
    <cellStyle name="Note 14 6 2 3 2" xfId="41628"/>
    <cellStyle name="Note 14 6 2 4" xfId="31008"/>
    <cellStyle name="Note 14 6 2_Table 2A-1_EFT (Annual)" xfId="15502"/>
    <cellStyle name="Note 14 6 3" xfId="10910"/>
    <cellStyle name="Note 14 6 3 2" xfId="23008"/>
    <cellStyle name="Note 14 6 3 2 2" xfId="44194"/>
    <cellStyle name="Note 14 6 3 3" xfId="33590"/>
    <cellStyle name="Note 14 6 4" xfId="17895"/>
    <cellStyle name="Note 14 6 4 2" xfId="39082"/>
    <cellStyle name="Note 14 6 5" xfId="28265"/>
    <cellStyle name="Note 14 6_Table 2A-1_EFT (Annual)" xfId="7214"/>
    <cellStyle name="Note 14 7" xfId="3722"/>
    <cellStyle name="Note 14 7 2" xfId="12090"/>
    <cellStyle name="Note 14 7 2 2" xfId="24120"/>
    <cellStyle name="Note 14 7 2 2 2" xfId="45306"/>
    <cellStyle name="Note 14 7 2 3" xfId="34702"/>
    <cellStyle name="Note 14 7 3" xfId="19007"/>
    <cellStyle name="Note 14 7 3 2" xfId="40194"/>
    <cellStyle name="Note 14 7 4" xfId="29431"/>
    <cellStyle name="Note 14 7_Table 2A-1_EFT (Annual)" xfId="15503"/>
    <cellStyle name="Note 14 8" xfId="9409"/>
    <cellStyle name="Note 14 8 2" xfId="21574"/>
    <cellStyle name="Note 14 8 2 2" xfId="42760"/>
    <cellStyle name="Note 14 8 3" xfId="32156"/>
    <cellStyle name="Note 14 9" xfId="16461"/>
    <cellStyle name="Note 14 9 2" xfId="37648"/>
    <cellStyle name="Note 14_Table 2A-1_EFT (Annual)" xfId="3237"/>
    <cellStyle name="Note 15" xfId="146"/>
    <cellStyle name="Note 15 10" xfId="26701"/>
    <cellStyle name="Note 15 2" xfId="539"/>
    <cellStyle name="Note 15 2 2" xfId="1516"/>
    <cellStyle name="Note 15 2 2 2" xfId="2786"/>
    <cellStyle name="Note 15 2 2 2 2" xfId="6347"/>
    <cellStyle name="Note 15 2 2 2 2 2" xfId="14541"/>
    <cellStyle name="Note 15 2 2 2 2 2 2" xfId="26513"/>
    <cellStyle name="Note 15 2 2 2 2 2 2 2" xfId="47699"/>
    <cellStyle name="Note 15 2 2 2 2 2 3" xfId="37095"/>
    <cellStyle name="Note 15 2 2 2 2 3" xfId="21400"/>
    <cellStyle name="Note 15 2 2 2 2 3 2" xfId="42587"/>
    <cellStyle name="Note 15 2 2 2 2 4" xfId="32003"/>
    <cellStyle name="Note 15 2 2 2 2_Table 2A-1_EFT (Annual)" xfId="15504"/>
    <cellStyle name="Note 15 2 2 2 3" xfId="11883"/>
    <cellStyle name="Note 15 2 2 2 3 2" xfId="23967"/>
    <cellStyle name="Note 15 2 2 2 3 2 2" xfId="45153"/>
    <cellStyle name="Note 15 2 2 2 3 3" xfId="34549"/>
    <cellStyle name="Note 15 2 2 2 4" xfId="18854"/>
    <cellStyle name="Note 15 2 2 2 4 2" xfId="40041"/>
    <cellStyle name="Note 15 2 2 2 5" xfId="29260"/>
    <cellStyle name="Note 15 2 2 2_Table 2A-1_EFT (Annual)" xfId="7216"/>
    <cellStyle name="Note 15 2 2 3" xfId="5077"/>
    <cellStyle name="Note 15 2 2 3 2" xfId="13337"/>
    <cellStyle name="Note 15 2 2 3 2 2" xfId="25343"/>
    <cellStyle name="Note 15 2 2 3 2 2 2" xfId="46529"/>
    <cellStyle name="Note 15 2 2 3 2 3" xfId="35925"/>
    <cellStyle name="Note 15 2 2 3 3" xfId="20230"/>
    <cellStyle name="Note 15 2 2 3 3 2" xfId="41417"/>
    <cellStyle name="Note 15 2 2 3 4" xfId="30734"/>
    <cellStyle name="Note 15 2 2 3_Table 2A-1_EFT (Annual)" xfId="15505"/>
    <cellStyle name="Note 15 2 2 4" xfId="10681"/>
    <cellStyle name="Note 15 2 2 4 2" xfId="22797"/>
    <cellStyle name="Note 15 2 2 4 2 2" xfId="43983"/>
    <cellStyle name="Note 15 2 2 4 3" xfId="33379"/>
    <cellStyle name="Note 15 2 2 5" xfId="17684"/>
    <cellStyle name="Note 15 2 2 5 2" xfId="38871"/>
    <cellStyle name="Note 15 2 2 6" xfId="27991"/>
    <cellStyle name="Note 15 2 2_Table 2A-1_EFT (Annual)" xfId="7215"/>
    <cellStyle name="Note 15 2 3" xfId="1047"/>
    <cellStyle name="Note 15 2 3 2" xfId="4608"/>
    <cellStyle name="Note 15 2 3 2 2" xfId="12868"/>
    <cellStyle name="Note 15 2 3 2 2 2" xfId="24874"/>
    <cellStyle name="Note 15 2 3 2 2 2 2" xfId="46060"/>
    <cellStyle name="Note 15 2 3 2 2 3" xfId="35456"/>
    <cellStyle name="Note 15 2 3 2 3" xfId="19761"/>
    <cellStyle name="Note 15 2 3 2 3 2" xfId="40948"/>
    <cellStyle name="Note 15 2 3 2 4" xfId="30265"/>
    <cellStyle name="Note 15 2 3 2_Table 2A-1_EFT (Annual)" xfId="15506"/>
    <cellStyle name="Note 15 2 3 3" xfId="10212"/>
    <cellStyle name="Note 15 2 3 3 2" xfId="22328"/>
    <cellStyle name="Note 15 2 3 3 2 2" xfId="43514"/>
    <cellStyle name="Note 15 2 3 3 3" xfId="32910"/>
    <cellStyle name="Note 15 2 3 4" xfId="17215"/>
    <cellStyle name="Note 15 2 3 4 2" xfId="38402"/>
    <cellStyle name="Note 15 2 3 5" xfId="27522"/>
    <cellStyle name="Note 15 2 3_Table 2A-1_EFT (Annual)" xfId="7217"/>
    <cellStyle name="Note 15 2 4" xfId="2255"/>
    <cellStyle name="Note 15 2 4 2" xfId="5816"/>
    <cellStyle name="Note 15 2 4 2 2" xfId="14031"/>
    <cellStyle name="Note 15 2 4 2 2 2" xfId="26019"/>
    <cellStyle name="Note 15 2 4 2 2 2 2" xfId="47205"/>
    <cellStyle name="Note 15 2 4 2 2 3" xfId="36601"/>
    <cellStyle name="Note 15 2 4 2 3" xfId="20906"/>
    <cellStyle name="Note 15 2 4 2 3 2" xfId="42093"/>
    <cellStyle name="Note 15 2 4 2 4" xfId="31473"/>
    <cellStyle name="Note 15 2 4 2_Table 2A-1_EFT (Annual)" xfId="15507"/>
    <cellStyle name="Note 15 2 4 3" xfId="11375"/>
    <cellStyle name="Note 15 2 4 3 2" xfId="23473"/>
    <cellStyle name="Note 15 2 4 3 2 2" xfId="44659"/>
    <cellStyle name="Note 15 2 4 3 3" xfId="34055"/>
    <cellStyle name="Note 15 2 4 4" xfId="18360"/>
    <cellStyle name="Note 15 2 4 4 2" xfId="39547"/>
    <cellStyle name="Note 15 2 4 5" xfId="28730"/>
    <cellStyle name="Note 15 2 4_Table 2A-1_EFT (Annual)" xfId="7218"/>
    <cellStyle name="Note 15 2 5" xfId="4109"/>
    <cellStyle name="Note 15 2 5 2" xfId="12433"/>
    <cellStyle name="Note 15 2 5 2 2" xfId="24455"/>
    <cellStyle name="Note 15 2 5 2 2 2" xfId="45641"/>
    <cellStyle name="Note 15 2 5 2 3" xfId="35037"/>
    <cellStyle name="Note 15 2 5 3" xfId="19342"/>
    <cellStyle name="Note 15 2 5 3 2" xfId="40529"/>
    <cellStyle name="Note 15 2 5 4" xfId="29797"/>
    <cellStyle name="Note 15 2 5_Table 2A-1_EFT (Annual)" xfId="15508"/>
    <cellStyle name="Note 15 2 6" xfId="9772"/>
    <cellStyle name="Note 15 2 6 2" xfId="21909"/>
    <cellStyle name="Note 15 2 6 2 2" xfId="43095"/>
    <cellStyle name="Note 15 2 6 3" xfId="32491"/>
    <cellStyle name="Note 15 2 7" xfId="16796"/>
    <cellStyle name="Note 15 2 7 2" xfId="37983"/>
    <cellStyle name="Note 15 2 8" xfId="27054"/>
    <cellStyle name="Note 15 2_Table 2A-1_EFT (Annual)" xfId="3241"/>
    <cellStyle name="Note 15 3" xfId="377"/>
    <cellStyle name="Note 15 3 2" xfId="1360"/>
    <cellStyle name="Note 15 3 2 2" xfId="2630"/>
    <cellStyle name="Note 15 3 2 2 2" xfId="6191"/>
    <cellStyle name="Note 15 3 2 2 2 2" xfId="14385"/>
    <cellStyle name="Note 15 3 2 2 2 2 2" xfId="26357"/>
    <cellStyle name="Note 15 3 2 2 2 2 2 2" xfId="47543"/>
    <cellStyle name="Note 15 3 2 2 2 2 3" xfId="36939"/>
    <cellStyle name="Note 15 3 2 2 2 3" xfId="21244"/>
    <cellStyle name="Note 15 3 2 2 2 3 2" xfId="42431"/>
    <cellStyle name="Note 15 3 2 2 2 4" xfId="31847"/>
    <cellStyle name="Note 15 3 2 2 2_Table 2A-1_EFT (Annual)" xfId="15509"/>
    <cellStyle name="Note 15 3 2 2 3" xfId="11727"/>
    <cellStyle name="Note 15 3 2 2 3 2" xfId="23811"/>
    <cellStyle name="Note 15 3 2 2 3 2 2" xfId="44997"/>
    <cellStyle name="Note 15 3 2 2 3 3" xfId="34393"/>
    <cellStyle name="Note 15 3 2 2 4" xfId="18698"/>
    <cellStyle name="Note 15 3 2 2 4 2" xfId="39885"/>
    <cellStyle name="Note 15 3 2 2 5" xfId="29104"/>
    <cellStyle name="Note 15 3 2 2_Table 2A-1_EFT (Annual)" xfId="7220"/>
    <cellStyle name="Note 15 3 2 3" xfId="4921"/>
    <cellStyle name="Note 15 3 2 3 2" xfId="13181"/>
    <cellStyle name="Note 15 3 2 3 2 2" xfId="25187"/>
    <cellStyle name="Note 15 3 2 3 2 2 2" xfId="46373"/>
    <cellStyle name="Note 15 3 2 3 2 3" xfId="35769"/>
    <cellStyle name="Note 15 3 2 3 3" xfId="20074"/>
    <cellStyle name="Note 15 3 2 3 3 2" xfId="41261"/>
    <cellStyle name="Note 15 3 2 3 4" xfId="30578"/>
    <cellStyle name="Note 15 3 2 3_Table 2A-1_EFT (Annual)" xfId="15510"/>
    <cellStyle name="Note 15 3 2 4" xfId="10525"/>
    <cellStyle name="Note 15 3 2 4 2" xfId="22641"/>
    <cellStyle name="Note 15 3 2 4 2 2" xfId="43827"/>
    <cellStyle name="Note 15 3 2 4 3" xfId="33223"/>
    <cellStyle name="Note 15 3 2 5" xfId="17528"/>
    <cellStyle name="Note 15 3 2 5 2" xfId="38715"/>
    <cellStyle name="Note 15 3 2 6" xfId="27835"/>
    <cellStyle name="Note 15 3 2_Table 2A-1_EFT (Annual)" xfId="7219"/>
    <cellStyle name="Note 15 3 3" xfId="915"/>
    <cellStyle name="Note 15 3 3 2" xfId="4476"/>
    <cellStyle name="Note 15 3 3 2 2" xfId="12738"/>
    <cellStyle name="Note 15 3 3 2 2 2" xfId="24748"/>
    <cellStyle name="Note 15 3 3 2 2 2 2" xfId="45934"/>
    <cellStyle name="Note 15 3 3 2 2 3" xfId="35330"/>
    <cellStyle name="Note 15 3 3 2 3" xfId="19635"/>
    <cellStyle name="Note 15 3 3 2 3 2" xfId="40822"/>
    <cellStyle name="Note 15 3 3 2 4" xfId="30133"/>
    <cellStyle name="Note 15 3 3 2_Table 2A-1_EFT (Annual)" xfId="15511"/>
    <cellStyle name="Note 15 3 3 3" xfId="10085"/>
    <cellStyle name="Note 15 3 3 3 2" xfId="22202"/>
    <cellStyle name="Note 15 3 3 3 2 2" xfId="43388"/>
    <cellStyle name="Note 15 3 3 3 3" xfId="32784"/>
    <cellStyle name="Note 15 3 3 4" xfId="17089"/>
    <cellStyle name="Note 15 3 3 4 2" xfId="38276"/>
    <cellStyle name="Note 15 3 3 5" xfId="27390"/>
    <cellStyle name="Note 15 3 3_Table 2A-1_EFT (Annual)" xfId="7221"/>
    <cellStyle name="Note 15 3 4" xfId="2099"/>
    <cellStyle name="Note 15 3 4 2" xfId="5660"/>
    <cellStyle name="Note 15 3 4 2 2" xfId="13875"/>
    <cellStyle name="Note 15 3 4 2 2 2" xfId="25863"/>
    <cellStyle name="Note 15 3 4 2 2 2 2" xfId="47049"/>
    <cellStyle name="Note 15 3 4 2 2 3" xfId="36445"/>
    <cellStyle name="Note 15 3 4 2 3" xfId="20750"/>
    <cellStyle name="Note 15 3 4 2 3 2" xfId="41937"/>
    <cellStyle name="Note 15 3 4 2 4" xfId="31317"/>
    <cellStyle name="Note 15 3 4 2_Table 2A-1_EFT (Annual)" xfId="15512"/>
    <cellStyle name="Note 15 3 4 3" xfId="11219"/>
    <cellStyle name="Note 15 3 4 3 2" xfId="23317"/>
    <cellStyle name="Note 15 3 4 3 2 2" xfId="44503"/>
    <cellStyle name="Note 15 3 4 3 3" xfId="33899"/>
    <cellStyle name="Note 15 3 4 4" xfId="18204"/>
    <cellStyle name="Note 15 3 4 4 2" xfId="39391"/>
    <cellStyle name="Note 15 3 4 5" xfId="28574"/>
    <cellStyle name="Note 15 3 4_Table 2A-1_EFT (Annual)" xfId="7222"/>
    <cellStyle name="Note 15 3 5" xfId="3947"/>
    <cellStyle name="Note 15 3 5 2" xfId="12275"/>
    <cellStyle name="Note 15 3 5 2 2" xfId="24299"/>
    <cellStyle name="Note 15 3 5 2 2 2" xfId="45485"/>
    <cellStyle name="Note 15 3 5 2 3" xfId="34881"/>
    <cellStyle name="Note 15 3 5 3" xfId="19186"/>
    <cellStyle name="Note 15 3 5 3 2" xfId="40373"/>
    <cellStyle name="Note 15 3 5 4" xfId="29635"/>
    <cellStyle name="Note 15 3 5_Table 2A-1_EFT (Annual)" xfId="15513"/>
    <cellStyle name="Note 15 3 6" xfId="9612"/>
    <cellStyle name="Note 15 3 6 2" xfId="21753"/>
    <cellStyle name="Note 15 3 6 2 2" xfId="42939"/>
    <cellStyle name="Note 15 3 6 3" xfId="32335"/>
    <cellStyle name="Note 15 3 7" xfId="16640"/>
    <cellStyle name="Note 15 3 7 2" xfId="37827"/>
    <cellStyle name="Note 15 3 8" xfId="26892"/>
    <cellStyle name="Note 15 3_Table 2A-1_EFT (Annual)" xfId="3242"/>
    <cellStyle name="Note 15 4" xfId="1194"/>
    <cellStyle name="Note 15 4 2" xfId="2464"/>
    <cellStyle name="Note 15 4 2 2" xfId="6025"/>
    <cellStyle name="Note 15 4 2 2 2" xfId="14219"/>
    <cellStyle name="Note 15 4 2 2 2 2" xfId="26191"/>
    <cellStyle name="Note 15 4 2 2 2 2 2" xfId="47377"/>
    <cellStyle name="Note 15 4 2 2 2 3" xfId="36773"/>
    <cellStyle name="Note 15 4 2 2 3" xfId="21078"/>
    <cellStyle name="Note 15 4 2 2 3 2" xfId="42265"/>
    <cellStyle name="Note 15 4 2 2 4" xfId="31681"/>
    <cellStyle name="Note 15 4 2 2_Table 2A-1_EFT (Annual)" xfId="15514"/>
    <cellStyle name="Note 15 4 2 3" xfId="11561"/>
    <cellStyle name="Note 15 4 2 3 2" xfId="23645"/>
    <cellStyle name="Note 15 4 2 3 2 2" xfId="44831"/>
    <cellStyle name="Note 15 4 2 3 3" xfId="34227"/>
    <cellStyle name="Note 15 4 2 4" xfId="18532"/>
    <cellStyle name="Note 15 4 2 4 2" xfId="39719"/>
    <cellStyle name="Note 15 4 2 5" xfId="28938"/>
    <cellStyle name="Note 15 4 2_Table 2A-1_EFT (Annual)" xfId="7224"/>
    <cellStyle name="Note 15 4 3" xfId="4755"/>
    <cellStyle name="Note 15 4 3 2" xfId="13015"/>
    <cellStyle name="Note 15 4 3 2 2" xfId="25021"/>
    <cellStyle name="Note 15 4 3 2 2 2" xfId="46207"/>
    <cellStyle name="Note 15 4 3 2 3" xfId="35603"/>
    <cellStyle name="Note 15 4 3 3" xfId="19908"/>
    <cellStyle name="Note 15 4 3 3 2" xfId="41095"/>
    <cellStyle name="Note 15 4 3 4" xfId="30412"/>
    <cellStyle name="Note 15 4 3_Table 2A-1_EFT (Annual)" xfId="15515"/>
    <cellStyle name="Note 15 4 4" xfId="10359"/>
    <cellStyle name="Note 15 4 4 2" xfId="22475"/>
    <cellStyle name="Note 15 4 4 2 2" xfId="43661"/>
    <cellStyle name="Note 15 4 4 3" xfId="33057"/>
    <cellStyle name="Note 15 4 5" xfId="17362"/>
    <cellStyle name="Note 15 4 5 2" xfId="38549"/>
    <cellStyle name="Note 15 4 6" xfId="27669"/>
    <cellStyle name="Note 15 4_Table 2A-1_EFT (Annual)" xfId="7223"/>
    <cellStyle name="Note 15 5" xfId="756"/>
    <cellStyle name="Note 15 5 2" xfId="4317"/>
    <cellStyle name="Note 15 5 2 2" xfId="12597"/>
    <cellStyle name="Note 15 5 2 2 2" xfId="24614"/>
    <cellStyle name="Note 15 5 2 2 2 2" xfId="45800"/>
    <cellStyle name="Note 15 5 2 2 3" xfId="35196"/>
    <cellStyle name="Note 15 5 2 3" xfId="19501"/>
    <cellStyle name="Note 15 5 2 3 2" xfId="40688"/>
    <cellStyle name="Note 15 5 2 4" xfId="29974"/>
    <cellStyle name="Note 15 5 2_Table 2A-1_EFT (Annual)" xfId="15516"/>
    <cellStyle name="Note 15 5 3" xfId="9945"/>
    <cellStyle name="Note 15 5 3 2" xfId="22068"/>
    <cellStyle name="Note 15 5 3 2 2" xfId="43254"/>
    <cellStyle name="Note 15 5 3 3" xfId="32650"/>
    <cellStyle name="Note 15 5 4" xfId="16955"/>
    <cellStyle name="Note 15 5 4 2" xfId="38142"/>
    <cellStyle name="Note 15 5 5" xfId="27231"/>
    <cellStyle name="Note 15 5_Table 2A-1_EFT (Annual)" xfId="7225"/>
    <cellStyle name="Note 15 6" xfId="1851"/>
    <cellStyle name="Note 15 6 2" xfId="5412"/>
    <cellStyle name="Note 15 6 2 2" xfId="13627"/>
    <cellStyle name="Note 15 6 2 2 2" xfId="25615"/>
    <cellStyle name="Note 15 6 2 2 2 2" xfId="46801"/>
    <cellStyle name="Note 15 6 2 2 3" xfId="36197"/>
    <cellStyle name="Note 15 6 2 3" xfId="20502"/>
    <cellStyle name="Note 15 6 2 3 2" xfId="41689"/>
    <cellStyle name="Note 15 6 2 4" xfId="31069"/>
    <cellStyle name="Note 15 6 2_Table 2A-1_EFT (Annual)" xfId="15517"/>
    <cellStyle name="Note 15 6 3" xfId="10971"/>
    <cellStyle name="Note 15 6 3 2" xfId="23069"/>
    <cellStyle name="Note 15 6 3 2 2" xfId="44255"/>
    <cellStyle name="Note 15 6 3 3" xfId="33651"/>
    <cellStyle name="Note 15 6 4" xfId="17956"/>
    <cellStyle name="Note 15 6 4 2" xfId="39143"/>
    <cellStyle name="Note 15 6 5" xfId="28326"/>
    <cellStyle name="Note 15 6_Table 2A-1_EFT (Annual)" xfId="7226"/>
    <cellStyle name="Note 15 7" xfId="3735"/>
    <cellStyle name="Note 15 7 2" xfId="12103"/>
    <cellStyle name="Note 15 7 2 2" xfId="24133"/>
    <cellStyle name="Note 15 7 2 2 2" xfId="45319"/>
    <cellStyle name="Note 15 7 2 3" xfId="34715"/>
    <cellStyle name="Note 15 7 3" xfId="19020"/>
    <cellStyle name="Note 15 7 3 2" xfId="40207"/>
    <cellStyle name="Note 15 7 4" xfId="29444"/>
    <cellStyle name="Note 15 7_Table 2A-1_EFT (Annual)" xfId="15518"/>
    <cellStyle name="Note 15 8" xfId="9422"/>
    <cellStyle name="Note 15 8 2" xfId="21587"/>
    <cellStyle name="Note 15 8 2 2" xfId="42773"/>
    <cellStyle name="Note 15 8 3" xfId="32169"/>
    <cellStyle name="Note 15 9" xfId="16474"/>
    <cellStyle name="Note 15 9 2" xfId="37661"/>
    <cellStyle name="Note 15_Table 2A-1_EFT (Annual)" xfId="3240"/>
    <cellStyle name="Note 16" xfId="162"/>
    <cellStyle name="Note 16 10" xfId="26717"/>
    <cellStyle name="Note 16 2" xfId="555"/>
    <cellStyle name="Note 16 2 2" xfId="1532"/>
    <cellStyle name="Note 16 2 2 2" xfId="2802"/>
    <cellStyle name="Note 16 2 2 2 2" xfId="6363"/>
    <cellStyle name="Note 16 2 2 2 2 2" xfId="14557"/>
    <cellStyle name="Note 16 2 2 2 2 2 2" xfId="26529"/>
    <cellStyle name="Note 16 2 2 2 2 2 2 2" xfId="47715"/>
    <cellStyle name="Note 16 2 2 2 2 2 3" xfId="37111"/>
    <cellStyle name="Note 16 2 2 2 2 3" xfId="21416"/>
    <cellStyle name="Note 16 2 2 2 2 3 2" xfId="42603"/>
    <cellStyle name="Note 16 2 2 2 2 4" xfId="32019"/>
    <cellStyle name="Note 16 2 2 2 2_Table 2A-1_EFT (Annual)" xfId="15519"/>
    <cellStyle name="Note 16 2 2 2 3" xfId="11899"/>
    <cellStyle name="Note 16 2 2 2 3 2" xfId="23983"/>
    <cellStyle name="Note 16 2 2 2 3 2 2" xfId="45169"/>
    <cellStyle name="Note 16 2 2 2 3 3" xfId="34565"/>
    <cellStyle name="Note 16 2 2 2 4" xfId="18870"/>
    <cellStyle name="Note 16 2 2 2 4 2" xfId="40057"/>
    <cellStyle name="Note 16 2 2 2 5" xfId="29276"/>
    <cellStyle name="Note 16 2 2 2_Table 2A-1_EFT (Annual)" xfId="7228"/>
    <cellStyle name="Note 16 2 2 3" xfId="5093"/>
    <cellStyle name="Note 16 2 2 3 2" xfId="13353"/>
    <cellStyle name="Note 16 2 2 3 2 2" xfId="25359"/>
    <cellStyle name="Note 16 2 2 3 2 2 2" xfId="46545"/>
    <cellStyle name="Note 16 2 2 3 2 3" xfId="35941"/>
    <cellStyle name="Note 16 2 2 3 3" xfId="20246"/>
    <cellStyle name="Note 16 2 2 3 3 2" xfId="41433"/>
    <cellStyle name="Note 16 2 2 3 4" xfId="30750"/>
    <cellStyle name="Note 16 2 2 3_Table 2A-1_EFT (Annual)" xfId="15520"/>
    <cellStyle name="Note 16 2 2 4" xfId="10697"/>
    <cellStyle name="Note 16 2 2 4 2" xfId="22813"/>
    <cellStyle name="Note 16 2 2 4 2 2" xfId="43999"/>
    <cellStyle name="Note 16 2 2 4 3" xfId="33395"/>
    <cellStyle name="Note 16 2 2 5" xfId="17700"/>
    <cellStyle name="Note 16 2 2 5 2" xfId="38887"/>
    <cellStyle name="Note 16 2 2 6" xfId="28007"/>
    <cellStyle name="Note 16 2 2_Table 2A-1_EFT (Annual)" xfId="7227"/>
    <cellStyle name="Note 16 2 3" xfId="1060"/>
    <cellStyle name="Note 16 2 3 2" xfId="4621"/>
    <cellStyle name="Note 16 2 3 2 2" xfId="12881"/>
    <cellStyle name="Note 16 2 3 2 2 2" xfId="24887"/>
    <cellStyle name="Note 16 2 3 2 2 2 2" xfId="46073"/>
    <cellStyle name="Note 16 2 3 2 2 3" xfId="35469"/>
    <cellStyle name="Note 16 2 3 2 3" xfId="19774"/>
    <cellStyle name="Note 16 2 3 2 3 2" xfId="40961"/>
    <cellStyle name="Note 16 2 3 2 4" xfId="30278"/>
    <cellStyle name="Note 16 2 3 2_Table 2A-1_EFT (Annual)" xfId="15521"/>
    <cellStyle name="Note 16 2 3 3" xfId="10225"/>
    <cellStyle name="Note 16 2 3 3 2" xfId="22341"/>
    <cellStyle name="Note 16 2 3 3 2 2" xfId="43527"/>
    <cellStyle name="Note 16 2 3 3 3" xfId="32923"/>
    <cellStyle name="Note 16 2 3 4" xfId="17228"/>
    <cellStyle name="Note 16 2 3 4 2" xfId="38415"/>
    <cellStyle name="Note 16 2 3 5" xfId="27535"/>
    <cellStyle name="Note 16 2 3_Table 2A-1_EFT (Annual)" xfId="7229"/>
    <cellStyle name="Note 16 2 4" xfId="2271"/>
    <cellStyle name="Note 16 2 4 2" xfId="5832"/>
    <cellStyle name="Note 16 2 4 2 2" xfId="14047"/>
    <cellStyle name="Note 16 2 4 2 2 2" xfId="26035"/>
    <cellStyle name="Note 16 2 4 2 2 2 2" xfId="47221"/>
    <cellStyle name="Note 16 2 4 2 2 3" xfId="36617"/>
    <cellStyle name="Note 16 2 4 2 3" xfId="20922"/>
    <cellStyle name="Note 16 2 4 2 3 2" xfId="42109"/>
    <cellStyle name="Note 16 2 4 2 4" xfId="31489"/>
    <cellStyle name="Note 16 2 4 2_Table 2A-1_EFT (Annual)" xfId="15522"/>
    <cellStyle name="Note 16 2 4 3" xfId="11391"/>
    <cellStyle name="Note 16 2 4 3 2" xfId="23489"/>
    <cellStyle name="Note 16 2 4 3 2 2" xfId="44675"/>
    <cellStyle name="Note 16 2 4 3 3" xfId="34071"/>
    <cellStyle name="Note 16 2 4 4" xfId="18376"/>
    <cellStyle name="Note 16 2 4 4 2" xfId="39563"/>
    <cellStyle name="Note 16 2 4 5" xfId="28746"/>
    <cellStyle name="Note 16 2 4_Table 2A-1_EFT (Annual)" xfId="7230"/>
    <cellStyle name="Note 16 2 5" xfId="4125"/>
    <cellStyle name="Note 16 2 5 2" xfId="12449"/>
    <cellStyle name="Note 16 2 5 2 2" xfId="24471"/>
    <cellStyle name="Note 16 2 5 2 2 2" xfId="45657"/>
    <cellStyle name="Note 16 2 5 2 3" xfId="35053"/>
    <cellStyle name="Note 16 2 5 3" xfId="19358"/>
    <cellStyle name="Note 16 2 5 3 2" xfId="40545"/>
    <cellStyle name="Note 16 2 5 4" xfId="29813"/>
    <cellStyle name="Note 16 2 5_Table 2A-1_EFT (Annual)" xfId="15523"/>
    <cellStyle name="Note 16 2 6" xfId="9788"/>
    <cellStyle name="Note 16 2 6 2" xfId="21925"/>
    <cellStyle name="Note 16 2 6 2 2" xfId="43111"/>
    <cellStyle name="Note 16 2 6 3" xfId="32507"/>
    <cellStyle name="Note 16 2 7" xfId="16812"/>
    <cellStyle name="Note 16 2 7 2" xfId="37999"/>
    <cellStyle name="Note 16 2 8" xfId="27070"/>
    <cellStyle name="Note 16 2_Table 2A-1_EFT (Annual)" xfId="3244"/>
    <cellStyle name="Note 16 3" xfId="393"/>
    <cellStyle name="Note 16 3 2" xfId="1376"/>
    <cellStyle name="Note 16 3 2 2" xfId="2646"/>
    <cellStyle name="Note 16 3 2 2 2" xfId="6207"/>
    <cellStyle name="Note 16 3 2 2 2 2" xfId="14401"/>
    <cellStyle name="Note 16 3 2 2 2 2 2" xfId="26373"/>
    <cellStyle name="Note 16 3 2 2 2 2 2 2" xfId="47559"/>
    <cellStyle name="Note 16 3 2 2 2 2 3" xfId="36955"/>
    <cellStyle name="Note 16 3 2 2 2 3" xfId="21260"/>
    <cellStyle name="Note 16 3 2 2 2 3 2" xfId="42447"/>
    <cellStyle name="Note 16 3 2 2 2 4" xfId="31863"/>
    <cellStyle name="Note 16 3 2 2 2_Table 2A-1_EFT (Annual)" xfId="15524"/>
    <cellStyle name="Note 16 3 2 2 3" xfId="11743"/>
    <cellStyle name="Note 16 3 2 2 3 2" xfId="23827"/>
    <cellStyle name="Note 16 3 2 2 3 2 2" xfId="45013"/>
    <cellStyle name="Note 16 3 2 2 3 3" xfId="34409"/>
    <cellStyle name="Note 16 3 2 2 4" xfId="18714"/>
    <cellStyle name="Note 16 3 2 2 4 2" xfId="39901"/>
    <cellStyle name="Note 16 3 2 2 5" xfId="29120"/>
    <cellStyle name="Note 16 3 2 2_Table 2A-1_EFT (Annual)" xfId="7232"/>
    <cellStyle name="Note 16 3 2 3" xfId="4937"/>
    <cellStyle name="Note 16 3 2 3 2" xfId="13197"/>
    <cellStyle name="Note 16 3 2 3 2 2" xfId="25203"/>
    <cellStyle name="Note 16 3 2 3 2 2 2" xfId="46389"/>
    <cellStyle name="Note 16 3 2 3 2 3" xfId="35785"/>
    <cellStyle name="Note 16 3 2 3 3" xfId="20090"/>
    <cellStyle name="Note 16 3 2 3 3 2" xfId="41277"/>
    <cellStyle name="Note 16 3 2 3 4" xfId="30594"/>
    <cellStyle name="Note 16 3 2 3_Table 2A-1_EFT (Annual)" xfId="15525"/>
    <cellStyle name="Note 16 3 2 4" xfId="10541"/>
    <cellStyle name="Note 16 3 2 4 2" xfId="22657"/>
    <cellStyle name="Note 16 3 2 4 2 2" xfId="43843"/>
    <cellStyle name="Note 16 3 2 4 3" xfId="33239"/>
    <cellStyle name="Note 16 3 2 5" xfId="17544"/>
    <cellStyle name="Note 16 3 2 5 2" xfId="38731"/>
    <cellStyle name="Note 16 3 2 6" xfId="27851"/>
    <cellStyle name="Note 16 3 2_Table 2A-1_EFT (Annual)" xfId="7231"/>
    <cellStyle name="Note 16 3 3" xfId="928"/>
    <cellStyle name="Note 16 3 3 2" xfId="4489"/>
    <cellStyle name="Note 16 3 3 2 2" xfId="12751"/>
    <cellStyle name="Note 16 3 3 2 2 2" xfId="24761"/>
    <cellStyle name="Note 16 3 3 2 2 2 2" xfId="45947"/>
    <cellStyle name="Note 16 3 3 2 2 3" xfId="35343"/>
    <cellStyle name="Note 16 3 3 2 3" xfId="19648"/>
    <cellStyle name="Note 16 3 3 2 3 2" xfId="40835"/>
    <cellStyle name="Note 16 3 3 2 4" xfId="30146"/>
    <cellStyle name="Note 16 3 3 2_Table 2A-1_EFT (Annual)" xfId="15526"/>
    <cellStyle name="Note 16 3 3 3" xfId="10098"/>
    <cellStyle name="Note 16 3 3 3 2" xfId="22215"/>
    <cellStyle name="Note 16 3 3 3 2 2" xfId="43401"/>
    <cellStyle name="Note 16 3 3 3 3" xfId="32797"/>
    <cellStyle name="Note 16 3 3 4" xfId="17102"/>
    <cellStyle name="Note 16 3 3 4 2" xfId="38289"/>
    <cellStyle name="Note 16 3 3 5" xfId="27403"/>
    <cellStyle name="Note 16 3 3_Table 2A-1_EFT (Annual)" xfId="7233"/>
    <cellStyle name="Note 16 3 4" xfId="2115"/>
    <cellStyle name="Note 16 3 4 2" xfId="5676"/>
    <cellStyle name="Note 16 3 4 2 2" xfId="13891"/>
    <cellStyle name="Note 16 3 4 2 2 2" xfId="25879"/>
    <cellStyle name="Note 16 3 4 2 2 2 2" xfId="47065"/>
    <cellStyle name="Note 16 3 4 2 2 3" xfId="36461"/>
    <cellStyle name="Note 16 3 4 2 3" xfId="20766"/>
    <cellStyle name="Note 16 3 4 2 3 2" xfId="41953"/>
    <cellStyle name="Note 16 3 4 2 4" xfId="31333"/>
    <cellStyle name="Note 16 3 4 2_Table 2A-1_EFT (Annual)" xfId="15527"/>
    <cellStyle name="Note 16 3 4 3" xfId="11235"/>
    <cellStyle name="Note 16 3 4 3 2" xfId="23333"/>
    <cellStyle name="Note 16 3 4 3 2 2" xfId="44519"/>
    <cellStyle name="Note 16 3 4 3 3" xfId="33915"/>
    <cellStyle name="Note 16 3 4 4" xfId="18220"/>
    <cellStyle name="Note 16 3 4 4 2" xfId="39407"/>
    <cellStyle name="Note 16 3 4 5" xfId="28590"/>
    <cellStyle name="Note 16 3 4_Table 2A-1_EFT (Annual)" xfId="7234"/>
    <cellStyle name="Note 16 3 5" xfId="3963"/>
    <cellStyle name="Note 16 3 5 2" xfId="12291"/>
    <cellStyle name="Note 16 3 5 2 2" xfId="24315"/>
    <cellStyle name="Note 16 3 5 2 2 2" xfId="45501"/>
    <cellStyle name="Note 16 3 5 2 3" xfId="34897"/>
    <cellStyle name="Note 16 3 5 3" xfId="19202"/>
    <cellStyle name="Note 16 3 5 3 2" xfId="40389"/>
    <cellStyle name="Note 16 3 5 4" xfId="29651"/>
    <cellStyle name="Note 16 3 5_Table 2A-1_EFT (Annual)" xfId="15528"/>
    <cellStyle name="Note 16 3 6" xfId="9628"/>
    <cellStyle name="Note 16 3 6 2" xfId="21769"/>
    <cellStyle name="Note 16 3 6 2 2" xfId="42955"/>
    <cellStyle name="Note 16 3 6 3" xfId="32351"/>
    <cellStyle name="Note 16 3 7" xfId="16656"/>
    <cellStyle name="Note 16 3 7 2" xfId="37843"/>
    <cellStyle name="Note 16 3 8" xfId="26908"/>
    <cellStyle name="Note 16 3_Table 2A-1_EFT (Annual)" xfId="3245"/>
    <cellStyle name="Note 16 4" xfId="1210"/>
    <cellStyle name="Note 16 4 2" xfId="2480"/>
    <cellStyle name="Note 16 4 2 2" xfId="6041"/>
    <cellStyle name="Note 16 4 2 2 2" xfId="14235"/>
    <cellStyle name="Note 16 4 2 2 2 2" xfId="26207"/>
    <cellStyle name="Note 16 4 2 2 2 2 2" xfId="47393"/>
    <cellStyle name="Note 16 4 2 2 2 3" xfId="36789"/>
    <cellStyle name="Note 16 4 2 2 3" xfId="21094"/>
    <cellStyle name="Note 16 4 2 2 3 2" xfId="42281"/>
    <cellStyle name="Note 16 4 2 2 4" xfId="31697"/>
    <cellStyle name="Note 16 4 2 2_Table 2A-1_EFT (Annual)" xfId="15529"/>
    <cellStyle name="Note 16 4 2 3" xfId="11577"/>
    <cellStyle name="Note 16 4 2 3 2" xfId="23661"/>
    <cellStyle name="Note 16 4 2 3 2 2" xfId="44847"/>
    <cellStyle name="Note 16 4 2 3 3" xfId="34243"/>
    <cellStyle name="Note 16 4 2 4" xfId="18548"/>
    <cellStyle name="Note 16 4 2 4 2" xfId="39735"/>
    <cellStyle name="Note 16 4 2 5" xfId="28954"/>
    <cellStyle name="Note 16 4 2_Table 2A-1_EFT (Annual)" xfId="7236"/>
    <cellStyle name="Note 16 4 3" xfId="4771"/>
    <cellStyle name="Note 16 4 3 2" xfId="13031"/>
    <cellStyle name="Note 16 4 3 2 2" xfId="25037"/>
    <cellStyle name="Note 16 4 3 2 2 2" xfId="46223"/>
    <cellStyle name="Note 16 4 3 2 3" xfId="35619"/>
    <cellStyle name="Note 16 4 3 3" xfId="19924"/>
    <cellStyle name="Note 16 4 3 3 2" xfId="41111"/>
    <cellStyle name="Note 16 4 3 4" xfId="30428"/>
    <cellStyle name="Note 16 4 3_Table 2A-1_EFT (Annual)" xfId="15530"/>
    <cellStyle name="Note 16 4 4" xfId="10375"/>
    <cellStyle name="Note 16 4 4 2" xfId="22491"/>
    <cellStyle name="Note 16 4 4 2 2" xfId="43677"/>
    <cellStyle name="Note 16 4 4 3" xfId="33073"/>
    <cellStyle name="Note 16 4 5" xfId="17378"/>
    <cellStyle name="Note 16 4 5 2" xfId="38565"/>
    <cellStyle name="Note 16 4 6" xfId="27685"/>
    <cellStyle name="Note 16 4_Table 2A-1_EFT (Annual)" xfId="7235"/>
    <cellStyle name="Note 16 5" xfId="769"/>
    <cellStyle name="Note 16 5 2" xfId="4330"/>
    <cellStyle name="Note 16 5 2 2" xfId="12610"/>
    <cellStyle name="Note 16 5 2 2 2" xfId="24627"/>
    <cellStyle name="Note 16 5 2 2 2 2" xfId="45813"/>
    <cellStyle name="Note 16 5 2 2 3" xfId="35209"/>
    <cellStyle name="Note 16 5 2 3" xfId="19514"/>
    <cellStyle name="Note 16 5 2 3 2" xfId="40701"/>
    <cellStyle name="Note 16 5 2 4" xfId="29987"/>
    <cellStyle name="Note 16 5 2_Table 2A-1_EFT (Annual)" xfId="15531"/>
    <cellStyle name="Note 16 5 3" xfId="9958"/>
    <cellStyle name="Note 16 5 3 2" xfId="22081"/>
    <cellStyle name="Note 16 5 3 2 2" xfId="43267"/>
    <cellStyle name="Note 16 5 3 3" xfId="32663"/>
    <cellStyle name="Note 16 5 4" xfId="16968"/>
    <cellStyle name="Note 16 5 4 2" xfId="38155"/>
    <cellStyle name="Note 16 5 5" xfId="27244"/>
    <cellStyle name="Note 16 5_Table 2A-1_EFT (Annual)" xfId="7237"/>
    <cellStyle name="Note 16 6" xfId="1949"/>
    <cellStyle name="Note 16 6 2" xfId="5510"/>
    <cellStyle name="Note 16 6 2 2" xfId="13725"/>
    <cellStyle name="Note 16 6 2 2 2" xfId="25713"/>
    <cellStyle name="Note 16 6 2 2 2 2" xfId="46899"/>
    <cellStyle name="Note 16 6 2 2 3" xfId="36295"/>
    <cellStyle name="Note 16 6 2 3" xfId="20600"/>
    <cellStyle name="Note 16 6 2 3 2" xfId="41787"/>
    <cellStyle name="Note 16 6 2 4" xfId="31167"/>
    <cellStyle name="Note 16 6 2_Table 2A-1_EFT (Annual)" xfId="15532"/>
    <cellStyle name="Note 16 6 3" xfId="11069"/>
    <cellStyle name="Note 16 6 3 2" xfId="23167"/>
    <cellStyle name="Note 16 6 3 2 2" xfId="44353"/>
    <cellStyle name="Note 16 6 3 3" xfId="33749"/>
    <cellStyle name="Note 16 6 4" xfId="18054"/>
    <cellStyle name="Note 16 6 4 2" xfId="39241"/>
    <cellStyle name="Note 16 6 5" xfId="28424"/>
    <cellStyle name="Note 16 6_Table 2A-1_EFT (Annual)" xfId="7238"/>
    <cellStyle name="Note 16 7" xfId="3751"/>
    <cellStyle name="Note 16 7 2" xfId="12119"/>
    <cellStyle name="Note 16 7 2 2" xfId="24149"/>
    <cellStyle name="Note 16 7 2 2 2" xfId="45335"/>
    <cellStyle name="Note 16 7 2 3" xfId="34731"/>
    <cellStyle name="Note 16 7 3" xfId="19036"/>
    <cellStyle name="Note 16 7 3 2" xfId="40223"/>
    <cellStyle name="Note 16 7 4" xfId="29460"/>
    <cellStyle name="Note 16 7_Table 2A-1_EFT (Annual)" xfId="15533"/>
    <cellStyle name="Note 16 8" xfId="9438"/>
    <cellStyle name="Note 16 8 2" xfId="21603"/>
    <cellStyle name="Note 16 8 2 2" xfId="42789"/>
    <cellStyle name="Note 16 8 3" xfId="32185"/>
    <cellStyle name="Note 16 9" xfId="16490"/>
    <cellStyle name="Note 16 9 2" xfId="37677"/>
    <cellStyle name="Note 16_Table 2A-1_EFT (Annual)" xfId="3243"/>
    <cellStyle name="Note 17" xfId="155"/>
    <cellStyle name="Note 17 10" xfId="26710"/>
    <cellStyle name="Note 17 2" xfId="548"/>
    <cellStyle name="Note 17 2 2" xfId="1525"/>
    <cellStyle name="Note 17 2 2 2" xfId="2795"/>
    <cellStyle name="Note 17 2 2 2 2" xfId="6356"/>
    <cellStyle name="Note 17 2 2 2 2 2" xfId="14550"/>
    <cellStyle name="Note 17 2 2 2 2 2 2" xfId="26522"/>
    <cellStyle name="Note 17 2 2 2 2 2 2 2" xfId="47708"/>
    <cellStyle name="Note 17 2 2 2 2 2 3" xfId="37104"/>
    <cellStyle name="Note 17 2 2 2 2 3" xfId="21409"/>
    <cellStyle name="Note 17 2 2 2 2 3 2" xfId="42596"/>
    <cellStyle name="Note 17 2 2 2 2 4" xfId="32012"/>
    <cellStyle name="Note 17 2 2 2 2_Table 2A-1_EFT (Annual)" xfId="15534"/>
    <cellStyle name="Note 17 2 2 2 3" xfId="11892"/>
    <cellStyle name="Note 17 2 2 2 3 2" xfId="23976"/>
    <cellStyle name="Note 17 2 2 2 3 2 2" xfId="45162"/>
    <cellStyle name="Note 17 2 2 2 3 3" xfId="34558"/>
    <cellStyle name="Note 17 2 2 2 4" xfId="18863"/>
    <cellStyle name="Note 17 2 2 2 4 2" xfId="40050"/>
    <cellStyle name="Note 17 2 2 2 5" xfId="29269"/>
    <cellStyle name="Note 17 2 2 2_Table 2A-1_EFT (Annual)" xfId="7240"/>
    <cellStyle name="Note 17 2 2 3" xfId="5086"/>
    <cellStyle name="Note 17 2 2 3 2" xfId="13346"/>
    <cellStyle name="Note 17 2 2 3 2 2" xfId="25352"/>
    <cellStyle name="Note 17 2 2 3 2 2 2" xfId="46538"/>
    <cellStyle name="Note 17 2 2 3 2 3" xfId="35934"/>
    <cellStyle name="Note 17 2 2 3 3" xfId="20239"/>
    <cellStyle name="Note 17 2 2 3 3 2" xfId="41426"/>
    <cellStyle name="Note 17 2 2 3 4" xfId="30743"/>
    <cellStyle name="Note 17 2 2 3_Table 2A-1_EFT (Annual)" xfId="15535"/>
    <cellStyle name="Note 17 2 2 4" xfId="10690"/>
    <cellStyle name="Note 17 2 2 4 2" xfId="22806"/>
    <cellStyle name="Note 17 2 2 4 2 2" xfId="43992"/>
    <cellStyle name="Note 17 2 2 4 3" xfId="33388"/>
    <cellStyle name="Note 17 2 2 5" xfId="17693"/>
    <cellStyle name="Note 17 2 2 5 2" xfId="38880"/>
    <cellStyle name="Note 17 2 2 6" xfId="28000"/>
    <cellStyle name="Note 17 2 2_Table 2A-1_EFT (Annual)" xfId="7239"/>
    <cellStyle name="Note 17 2 3" xfId="1054"/>
    <cellStyle name="Note 17 2 3 2" xfId="4615"/>
    <cellStyle name="Note 17 2 3 2 2" xfId="12875"/>
    <cellStyle name="Note 17 2 3 2 2 2" xfId="24881"/>
    <cellStyle name="Note 17 2 3 2 2 2 2" xfId="46067"/>
    <cellStyle name="Note 17 2 3 2 2 3" xfId="35463"/>
    <cellStyle name="Note 17 2 3 2 3" xfId="19768"/>
    <cellStyle name="Note 17 2 3 2 3 2" xfId="40955"/>
    <cellStyle name="Note 17 2 3 2 4" xfId="30272"/>
    <cellStyle name="Note 17 2 3 2_Table 2A-1_EFT (Annual)" xfId="15536"/>
    <cellStyle name="Note 17 2 3 3" xfId="10219"/>
    <cellStyle name="Note 17 2 3 3 2" xfId="22335"/>
    <cellStyle name="Note 17 2 3 3 2 2" xfId="43521"/>
    <cellStyle name="Note 17 2 3 3 3" xfId="32917"/>
    <cellStyle name="Note 17 2 3 4" xfId="17222"/>
    <cellStyle name="Note 17 2 3 4 2" xfId="38409"/>
    <cellStyle name="Note 17 2 3 5" xfId="27529"/>
    <cellStyle name="Note 17 2 3_Table 2A-1_EFT (Annual)" xfId="7241"/>
    <cellStyle name="Note 17 2 4" xfId="2264"/>
    <cellStyle name="Note 17 2 4 2" xfId="5825"/>
    <cellStyle name="Note 17 2 4 2 2" xfId="14040"/>
    <cellStyle name="Note 17 2 4 2 2 2" xfId="26028"/>
    <cellStyle name="Note 17 2 4 2 2 2 2" xfId="47214"/>
    <cellStyle name="Note 17 2 4 2 2 3" xfId="36610"/>
    <cellStyle name="Note 17 2 4 2 3" xfId="20915"/>
    <cellStyle name="Note 17 2 4 2 3 2" xfId="42102"/>
    <cellStyle name="Note 17 2 4 2 4" xfId="31482"/>
    <cellStyle name="Note 17 2 4 2_Table 2A-1_EFT (Annual)" xfId="15537"/>
    <cellStyle name="Note 17 2 4 3" xfId="11384"/>
    <cellStyle name="Note 17 2 4 3 2" xfId="23482"/>
    <cellStyle name="Note 17 2 4 3 2 2" xfId="44668"/>
    <cellStyle name="Note 17 2 4 3 3" xfId="34064"/>
    <cellStyle name="Note 17 2 4 4" xfId="18369"/>
    <cellStyle name="Note 17 2 4 4 2" xfId="39556"/>
    <cellStyle name="Note 17 2 4 5" xfId="28739"/>
    <cellStyle name="Note 17 2 4_Table 2A-1_EFT (Annual)" xfId="7242"/>
    <cellStyle name="Note 17 2 5" xfId="4118"/>
    <cellStyle name="Note 17 2 5 2" xfId="12442"/>
    <cellStyle name="Note 17 2 5 2 2" xfId="24464"/>
    <cellStyle name="Note 17 2 5 2 2 2" xfId="45650"/>
    <cellStyle name="Note 17 2 5 2 3" xfId="35046"/>
    <cellStyle name="Note 17 2 5 3" xfId="19351"/>
    <cellStyle name="Note 17 2 5 3 2" xfId="40538"/>
    <cellStyle name="Note 17 2 5 4" xfId="29806"/>
    <cellStyle name="Note 17 2 5_Table 2A-1_EFT (Annual)" xfId="15538"/>
    <cellStyle name="Note 17 2 6" xfId="9781"/>
    <cellStyle name="Note 17 2 6 2" xfId="21918"/>
    <cellStyle name="Note 17 2 6 2 2" xfId="43104"/>
    <cellStyle name="Note 17 2 6 3" xfId="32500"/>
    <cellStyle name="Note 17 2 7" xfId="16805"/>
    <cellStyle name="Note 17 2 7 2" xfId="37992"/>
    <cellStyle name="Note 17 2 8" xfId="27063"/>
    <cellStyle name="Note 17 2_Table 2A-1_EFT (Annual)" xfId="3247"/>
    <cellStyle name="Note 17 3" xfId="386"/>
    <cellStyle name="Note 17 3 2" xfId="1369"/>
    <cellStyle name="Note 17 3 2 2" xfId="2639"/>
    <cellStyle name="Note 17 3 2 2 2" xfId="6200"/>
    <cellStyle name="Note 17 3 2 2 2 2" xfId="14394"/>
    <cellStyle name="Note 17 3 2 2 2 2 2" xfId="26366"/>
    <cellStyle name="Note 17 3 2 2 2 2 2 2" xfId="47552"/>
    <cellStyle name="Note 17 3 2 2 2 2 3" xfId="36948"/>
    <cellStyle name="Note 17 3 2 2 2 3" xfId="21253"/>
    <cellStyle name="Note 17 3 2 2 2 3 2" xfId="42440"/>
    <cellStyle name="Note 17 3 2 2 2 4" xfId="31856"/>
    <cellStyle name="Note 17 3 2 2 2_Table 2A-1_EFT (Annual)" xfId="15539"/>
    <cellStyle name="Note 17 3 2 2 3" xfId="11736"/>
    <cellStyle name="Note 17 3 2 2 3 2" xfId="23820"/>
    <cellStyle name="Note 17 3 2 2 3 2 2" xfId="45006"/>
    <cellStyle name="Note 17 3 2 2 3 3" xfId="34402"/>
    <cellStyle name="Note 17 3 2 2 4" xfId="18707"/>
    <cellStyle name="Note 17 3 2 2 4 2" xfId="39894"/>
    <cellStyle name="Note 17 3 2 2 5" xfId="29113"/>
    <cellStyle name="Note 17 3 2 2_Table 2A-1_EFT (Annual)" xfId="7244"/>
    <cellStyle name="Note 17 3 2 3" xfId="4930"/>
    <cellStyle name="Note 17 3 2 3 2" xfId="13190"/>
    <cellStyle name="Note 17 3 2 3 2 2" xfId="25196"/>
    <cellStyle name="Note 17 3 2 3 2 2 2" xfId="46382"/>
    <cellStyle name="Note 17 3 2 3 2 3" xfId="35778"/>
    <cellStyle name="Note 17 3 2 3 3" xfId="20083"/>
    <cellStyle name="Note 17 3 2 3 3 2" xfId="41270"/>
    <cellStyle name="Note 17 3 2 3 4" xfId="30587"/>
    <cellStyle name="Note 17 3 2 3_Table 2A-1_EFT (Annual)" xfId="15540"/>
    <cellStyle name="Note 17 3 2 4" xfId="10534"/>
    <cellStyle name="Note 17 3 2 4 2" xfId="22650"/>
    <cellStyle name="Note 17 3 2 4 2 2" xfId="43836"/>
    <cellStyle name="Note 17 3 2 4 3" xfId="33232"/>
    <cellStyle name="Note 17 3 2 5" xfId="17537"/>
    <cellStyle name="Note 17 3 2 5 2" xfId="38724"/>
    <cellStyle name="Note 17 3 2 6" xfId="27844"/>
    <cellStyle name="Note 17 3 2_Table 2A-1_EFT (Annual)" xfId="7243"/>
    <cellStyle name="Note 17 3 3" xfId="922"/>
    <cellStyle name="Note 17 3 3 2" xfId="4483"/>
    <cellStyle name="Note 17 3 3 2 2" xfId="12745"/>
    <cellStyle name="Note 17 3 3 2 2 2" xfId="24755"/>
    <cellStyle name="Note 17 3 3 2 2 2 2" xfId="45941"/>
    <cellStyle name="Note 17 3 3 2 2 3" xfId="35337"/>
    <cellStyle name="Note 17 3 3 2 3" xfId="19642"/>
    <cellStyle name="Note 17 3 3 2 3 2" xfId="40829"/>
    <cellStyle name="Note 17 3 3 2 4" xfId="30140"/>
    <cellStyle name="Note 17 3 3 2_Table 2A-1_EFT (Annual)" xfId="15541"/>
    <cellStyle name="Note 17 3 3 3" xfId="10092"/>
    <cellStyle name="Note 17 3 3 3 2" xfId="22209"/>
    <cellStyle name="Note 17 3 3 3 2 2" xfId="43395"/>
    <cellStyle name="Note 17 3 3 3 3" xfId="32791"/>
    <cellStyle name="Note 17 3 3 4" xfId="17096"/>
    <cellStyle name="Note 17 3 3 4 2" xfId="38283"/>
    <cellStyle name="Note 17 3 3 5" xfId="27397"/>
    <cellStyle name="Note 17 3 3_Table 2A-1_EFT (Annual)" xfId="7245"/>
    <cellStyle name="Note 17 3 4" xfId="2108"/>
    <cellStyle name="Note 17 3 4 2" xfId="5669"/>
    <cellStyle name="Note 17 3 4 2 2" xfId="13884"/>
    <cellStyle name="Note 17 3 4 2 2 2" xfId="25872"/>
    <cellStyle name="Note 17 3 4 2 2 2 2" xfId="47058"/>
    <cellStyle name="Note 17 3 4 2 2 3" xfId="36454"/>
    <cellStyle name="Note 17 3 4 2 3" xfId="20759"/>
    <cellStyle name="Note 17 3 4 2 3 2" xfId="41946"/>
    <cellStyle name="Note 17 3 4 2 4" xfId="31326"/>
    <cellStyle name="Note 17 3 4 2_Table 2A-1_EFT (Annual)" xfId="15542"/>
    <cellStyle name="Note 17 3 4 3" xfId="11228"/>
    <cellStyle name="Note 17 3 4 3 2" xfId="23326"/>
    <cellStyle name="Note 17 3 4 3 2 2" xfId="44512"/>
    <cellStyle name="Note 17 3 4 3 3" xfId="33908"/>
    <cellStyle name="Note 17 3 4 4" xfId="18213"/>
    <cellStyle name="Note 17 3 4 4 2" xfId="39400"/>
    <cellStyle name="Note 17 3 4 5" xfId="28583"/>
    <cellStyle name="Note 17 3 4_Table 2A-1_EFT (Annual)" xfId="7246"/>
    <cellStyle name="Note 17 3 5" xfId="3956"/>
    <cellStyle name="Note 17 3 5 2" xfId="12284"/>
    <cellStyle name="Note 17 3 5 2 2" xfId="24308"/>
    <cellStyle name="Note 17 3 5 2 2 2" xfId="45494"/>
    <cellStyle name="Note 17 3 5 2 3" xfId="34890"/>
    <cellStyle name="Note 17 3 5 3" xfId="19195"/>
    <cellStyle name="Note 17 3 5 3 2" xfId="40382"/>
    <cellStyle name="Note 17 3 5 4" xfId="29644"/>
    <cellStyle name="Note 17 3 5_Table 2A-1_EFT (Annual)" xfId="15543"/>
    <cellStyle name="Note 17 3 6" xfId="9621"/>
    <cellStyle name="Note 17 3 6 2" xfId="21762"/>
    <cellStyle name="Note 17 3 6 2 2" xfId="42948"/>
    <cellStyle name="Note 17 3 6 3" xfId="32344"/>
    <cellStyle name="Note 17 3 7" xfId="16649"/>
    <cellStyle name="Note 17 3 7 2" xfId="37836"/>
    <cellStyle name="Note 17 3 8" xfId="26901"/>
    <cellStyle name="Note 17 3_Table 2A-1_EFT (Annual)" xfId="3248"/>
    <cellStyle name="Note 17 4" xfId="1203"/>
    <cellStyle name="Note 17 4 2" xfId="2473"/>
    <cellStyle name="Note 17 4 2 2" xfId="6034"/>
    <cellStyle name="Note 17 4 2 2 2" xfId="14228"/>
    <cellStyle name="Note 17 4 2 2 2 2" xfId="26200"/>
    <cellStyle name="Note 17 4 2 2 2 2 2" xfId="47386"/>
    <cellStyle name="Note 17 4 2 2 2 3" xfId="36782"/>
    <cellStyle name="Note 17 4 2 2 3" xfId="21087"/>
    <cellStyle name="Note 17 4 2 2 3 2" xfId="42274"/>
    <cellStyle name="Note 17 4 2 2 4" xfId="31690"/>
    <cellStyle name="Note 17 4 2 2_Table 2A-1_EFT (Annual)" xfId="15544"/>
    <cellStyle name="Note 17 4 2 3" xfId="11570"/>
    <cellStyle name="Note 17 4 2 3 2" xfId="23654"/>
    <cellStyle name="Note 17 4 2 3 2 2" xfId="44840"/>
    <cellStyle name="Note 17 4 2 3 3" xfId="34236"/>
    <cellStyle name="Note 17 4 2 4" xfId="18541"/>
    <cellStyle name="Note 17 4 2 4 2" xfId="39728"/>
    <cellStyle name="Note 17 4 2 5" xfId="28947"/>
    <cellStyle name="Note 17 4 2_Table 2A-1_EFT (Annual)" xfId="7248"/>
    <cellStyle name="Note 17 4 3" xfId="4764"/>
    <cellStyle name="Note 17 4 3 2" xfId="13024"/>
    <cellStyle name="Note 17 4 3 2 2" xfId="25030"/>
    <cellStyle name="Note 17 4 3 2 2 2" xfId="46216"/>
    <cellStyle name="Note 17 4 3 2 3" xfId="35612"/>
    <cellStyle name="Note 17 4 3 3" xfId="19917"/>
    <cellStyle name="Note 17 4 3 3 2" xfId="41104"/>
    <cellStyle name="Note 17 4 3 4" xfId="30421"/>
    <cellStyle name="Note 17 4 3_Table 2A-1_EFT (Annual)" xfId="15545"/>
    <cellStyle name="Note 17 4 4" xfId="10368"/>
    <cellStyle name="Note 17 4 4 2" xfId="22484"/>
    <cellStyle name="Note 17 4 4 2 2" xfId="43670"/>
    <cellStyle name="Note 17 4 4 3" xfId="33066"/>
    <cellStyle name="Note 17 4 5" xfId="17371"/>
    <cellStyle name="Note 17 4 5 2" xfId="38558"/>
    <cellStyle name="Note 17 4 6" xfId="27678"/>
    <cellStyle name="Note 17 4_Table 2A-1_EFT (Annual)" xfId="7247"/>
    <cellStyle name="Note 17 5" xfId="763"/>
    <cellStyle name="Note 17 5 2" xfId="4324"/>
    <cellStyle name="Note 17 5 2 2" xfId="12604"/>
    <cellStyle name="Note 17 5 2 2 2" xfId="24621"/>
    <cellStyle name="Note 17 5 2 2 2 2" xfId="45807"/>
    <cellStyle name="Note 17 5 2 2 3" xfId="35203"/>
    <cellStyle name="Note 17 5 2 3" xfId="19508"/>
    <cellStyle name="Note 17 5 2 3 2" xfId="40695"/>
    <cellStyle name="Note 17 5 2 4" xfId="29981"/>
    <cellStyle name="Note 17 5 2_Table 2A-1_EFT (Annual)" xfId="15546"/>
    <cellStyle name="Note 17 5 3" xfId="9952"/>
    <cellStyle name="Note 17 5 3 2" xfId="22075"/>
    <cellStyle name="Note 17 5 3 2 2" xfId="43261"/>
    <cellStyle name="Note 17 5 3 3" xfId="32657"/>
    <cellStyle name="Note 17 5 4" xfId="16962"/>
    <cellStyle name="Note 17 5 4 2" xfId="38149"/>
    <cellStyle name="Note 17 5 5" xfId="27238"/>
    <cellStyle name="Note 17 5_Table 2A-1_EFT (Annual)" xfId="7249"/>
    <cellStyle name="Note 17 6" xfId="1779"/>
    <cellStyle name="Note 17 6 2" xfId="5340"/>
    <cellStyle name="Note 17 6 2 2" xfId="13555"/>
    <cellStyle name="Note 17 6 2 2 2" xfId="25543"/>
    <cellStyle name="Note 17 6 2 2 2 2" xfId="46729"/>
    <cellStyle name="Note 17 6 2 2 3" xfId="36125"/>
    <cellStyle name="Note 17 6 2 3" xfId="20430"/>
    <cellStyle name="Note 17 6 2 3 2" xfId="41617"/>
    <cellStyle name="Note 17 6 2 4" xfId="30997"/>
    <cellStyle name="Note 17 6 2_Table 2A-1_EFT (Annual)" xfId="15547"/>
    <cellStyle name="Note 17 6 3" xfId="10899"/>
    <cellStyle name="Note 17 6 3 2" xfId="22997"/>
    <cellStyle name="Note 17 6 3 2 2" xfId="44183"/>
    <cellStyle name="Note 17 6 3 3" xfId="33579"/>
    <cellStyle name="Note 17 6 4" xfId="17884"/>
    <cellStyle name="Note 17 6 4 2" xfId="39071"/>
    <cellStyle name="Note 17 6 5" xfId="28254"/>
    <cellStyle name="Note 17 6_Table 2A-1_EFT (Annual)" xfId="7250"/>
    <cellStyle name="Note 17 7" xfId="3744"/>
    <cellStyle name="Note 17 7 2" xfId="12112"/>
    <cellStyle name="Note 17 7 2 2" xfId="24142"/>
    <cellStyle name="Note 17 7 2 2 2" xfId="45328"/>
    <cellStyle name="Note 17 7 2 3" xfId="34724"/>
    <cellStyle name="Note 17 7 3" xfId="19029"/>
    <cellStyle name="Note 17 7 3 2" xfId="40216"/>
    <cellStyle name="Note 17 7 4" xfId="29453"/>
    <cellStyle name="Note 17 7_Table 2A-1_EFT (Annual)" xfId="15548"/>
    <cellStyle name="Note 17 8" xfId="9431"/>
    <cellStyle name="Note 17 8 2" xfId="21596"/>
    <cellStyle name="Note 17 8 2 2" xfId="42782"/>
    <cellStyle name="Note 17 8 3" xfId="32178"/>
    <cellStyle name="Note 17 9" xfId="16483"/>
    <cellStyle name="Note 17 9 2" xfId="37670"/>
    <cellStyle name="Note 17_Table 2A-1_EFT (Annual)" xfId="3246"/>
    <cellStyle name="Note 18" xfId="172"/>
    <cellStyle name="Note 18 10" xfId="26727"/>
    <cellStyle name="Note 18 2" xfId="565"/>
    <cellStyle name="Note 18 2 2" xfId="1542"/>
    <cellStyle name="Note 18 2 2 2" xfId="2812"/>
    <cellStyle name="Note 18 2 2 2 2" xfId="6373"/>
    <cellStyle name="Note 18 2 2 2 2 2" xfId="14567"/>
    <cellStyle name="Note 18 2 2 2 2 2 2" xfId="26539"/>
    <cellStyle name="Note 18 2 2 2 2 2 2 2" xfId="47725"/>
    <cellStyle name="Note 18 2 2 2 2 2 3" xfId="37121"/>
    <cellStyle name="Note 18 2 2 2 2 3" xfId="21426"/>
    <cellStyle name="Note 18 2 2 2 2 3 2" xfId="42613"/>
    <cellStyle name="Note 18 2 2 2 2 4" xfId="32029"/>
    <cellStyle name="Note 18 2 2 2 2_Table 2A-1_EFT (Annual)" xfId="15549"/>
    <cellStyle name="Note 18 2 2 2 3" xfId="11909"/>
    <cellStyle name="Note 18 2 2 2 3 2" xfId="23993"/>
    <cellStyle name="Note 18 2 2 2 3 2 2" xfId="45179"/>
    <cellStyle name="Note 18 2 2 2 3 3" xfId="34575"/>
    <cellStyle name="Note 18 2 2 2 4" xfId="18880"/>
    <cellStyle name="Note 18 2 2 2 4 2" xfId="40067"/>
    <cellStyle name="Note 18 2 2 2 5" xfId="29286"/>
    <cellStyle name="Note 18 2 2 2_Table 2A-1_EFT (Annual)" xfId="7252"/>
    <cellStyle name="Note 18 2 2 3" xfId="5103"/>
    <cellStyle name="Note 18 2 2 3 2" xfId="13363"/>
    <cellStyle name="Note 18 2 2 3 2 2" xfId="25369"/>
    <cellStyle name="Note 18 2 2 3 2 2 2" xfId="46555"/>
    <cellStyle name="Note 18 2 2 3 2 3" xfId="35951"/>
    <cellStyle name="Note 18 2 2 3 3" xfId="20256"/>
    <cellStyle name="Note 18 2 2 3 3 2" xfId="41443"/>
    <cellStyle name="Note 18 2 2 3 4" xfId="30760"/>
    <cellStyle name="Note 18 2 2 3_Table 2A-1_EFT (Annual)" xfId="15550"/>
    <cellStyle name="Note 18 2 2 4" xfId="10707"/>
    <cellStyle name="Note 18 2 2 4 2" xfId="22823"/>
    <cellStyle name="Note 18 2 2 4 2 2" xfId="44009"/>
    <cellStyle name="Note 18 2 2 4 3" xfId="33405"/>
    <cellStyle name="Note 18 2 2 5" xfId="17710"/>
    <cellStyle name="Note 18 2 2 5 2" xfId="38897"/>
    <cellStyle name="Note 18 2 2 6" xfId="28017"/>
    <cellStyle name="Note 18 2 2_Table 2A-1_EFT (Annual)" xfId="7251"/>
    <cellStyle name="Note 18 2 3" xfId="1068"/>
    <cellStyle name="Note 18 2 3 2" xfId="4629"/>
    <cellStyle name="Note 18 2 3 2 2" xfId="12889"/>
    <cellStyle name="Note 18 2 3 2 2 2" xfId="24895"/>
    <cellStyle name="Note 18 2 3 2 2 2 2" xfId="46081"/>
    <cellStyle name="Note 18 2 3 2 2 3" xfId="35477"/>
    <cellStyle name="Note 18 2 3 2 3" xfId="19782"/>
    <cellStyle name="Note 18 2 3 2 3 2" xfId="40969"/>
    <cellStyle name="Note 18 2 3 2 4" xfId="30286"/>
    <cellStyle name="Note 18 2 3 2_Table 2A-1_EFT (Annual)" xfId="15551"/>
    <cellStyle name="Note 18 2 3 3" xfId="10233"/>
    <cellStyle name="Note 18 2 3 3 2" xfId="22349"/>
    <cellStyle name="Note 18 2 3 3 2 2" xfId="43535"/>
    <cellStyle name="Note 18 2 3 3 3" xfId="32931"/>
    <cellStyle name="Note 18 2 3 4" xfId="17236"/>
    <cellStyle name="Note 18 2 3 4 2" xfId="38423"/>
    <cellStyle name="Note 18 2 3 5" xfId="27543"/>
    <cellStyle name="Note 18 2 3_Table 2A-1_EFT (Annual)" xfId="7253"/>
    <cellStyle name="Note 18 2 4" xfId="2281"/>
    <cellStyle name="Note 18 2 4 2" xfId="5842"/>
    <cellStyle name="Note 18 2 4 2 2" xfId="14057"/>
    <cellStyle name="Note 18 2 4 2 2 2" xfId="26045"/>
    <cellStyle name="Note 18 2 4 2 2 2 2" xfId="47231"/>
    <cellStyle name="Note 18 2 4 2 2 3" xfId="36627"/>
    <cellStyle name="Note 18 2 4 2 3" xfId="20932"/>
    <cellStyle name="Note 18 2 4 2 3 2" xfId="42119"/>
    <cellStyle name="Note 18 2 4 2 4" xfId="31499"/>
    <cellStyle name="Note 18 2 4 2_Table 2A-1_EFT (Annual)" xfId="15552"/>
    <cellStyle name="Note 18 2 4 3" xfId="11401"/>
    <cellStyle name="Note 18 2 4 3 2" xfId="23499"/>
    <cellStyle name="Note 18 2 4 3 2 2" xfId="44685"/>
    <cellStyle name="Note 18 2 4 3 3" xfId="34081"/>
    <cellStyle name="Note 18 2 4 4" xfId="18386"/>
    <cellStyle name="Note 18 2 4 4 2" xfId="39573"/>
    <cellStyle name="Note 18 2 4 5" xfId="28756"/>
    <cellStyle name="Note 18 2 4_Table 2A-1_EFT (Annual)" xfId="7254"/>
    <cellStyle name="Note 18 2 5" xfId="4135"/>
    <cellStyle name="Note 18 2 5 2" xfId="12459"/>
    <cellStyle name="Note 18 2 5 2 2" xfId="24481"/>
    <cellStyle name="Note 18 2 5 2 2 2" xfId="45667"/>
    <cellStyle name="Note 18 2 5 2 3" xfId="35063"/>
    <cellStyle name="Note 18 2 5 3" xfId="19368"/>
    <cellStyle name="Note 18 2 5 3 2" xfId="40555"/>
    <cellStyle name="Note 18 2 5 4" xfId="29823"/>
    <cellStyle name="Note 18 2 5_Table 2A-1_EFT (Annual)" xfId="15553"/>
    <cellStyle name="Note 18 2 6" xfId="9798"/>
    <cellStyle name="Note 18 2 6 2" xfId="21935"/>
    <cellStyle name="Note 18 2 6 2 2" xfId="43121"/>
    <cellStyle name="Note 18 2 6 3" xfId="32517"/>
    <cellStyle name="Note 18 2 7" xfId="16822"/>
    <cellStyle name="Note 18 2 7 2" xfId="38009"/>
    <cellStyle name="Note 18 2 8" xfId="27080"/>
    <cellStyle name="Note 18 2_Table 2A-1_EFT (Annual)" xfId="3250"/>
    <cellStyle name="Note 18 3" xfId="403"/>
    <cellStyle name="Note 18 3 2" xfId="1386"/>
    <cellStyle name="Note 18 3 2 2" xfId="2656"/>
    <cellStyle name="Note 18 3 2 2 2" xfId="6217"/>
    <cellStyle name="Note 18 3 2 2 2 2" xfId="14411"/>
    <cellStyle name="Note 18 3 2 2 2 2 2" xfId="26383"/>
    <cellStyle name="Note 18 3 2 2 2 2 2 2" xfId="47569"/>
    <cellStyle name="Note 18 3 2 2 2 2 3" xfId="36965"/>
    <cellStyle name="Note 18 3 2 2 2 3" xfId="21270"/>
    <cellStyle name="Note 18 3 2 2 2 3 2" xfId="42457"/>
    <cellStyle name="Note 18 3 2 2 2 4" xfId="31873"/>
    <cellStyle name="Note 18 3 2 2 2_Table 2A-1_EFT (Annual)" xfId="15554"/>
    <cellStyle name="Note 18 3 2 2 3" xfId="11753"/>
    <cellStyle name="Note 18 3 2 2 3 2" xfId="23837"/>
    <cellStyle name="Note 18 3 2 2 3 2 2" xfId="45023"/>
    <cellStyle name="Note 18 3 2 2 3 3" xfId="34419"/>
    <cellStyle name="Note 18 3 2 2 4" xfId="18724"/>
    <cellStyle name="Note 18 3 2 2 4 2" xfId="39911"/>
    <cellStyle name="Note 18 3 2 2 5" xfId="29130"/>
    <cellStyle name="Note 18 3 2 2_Table 2A-1_EFT (Annual)" xfId="7256"/>
    <cellStyle name="Note 18 3 2 3" xfId="4947"/>
    <cellStyle name="Note 18 3 2 3 2" xfId="13207"/>
    <cellStyle name="Note 18 3 2 3 2 2" xfId="25213"/>
    <cellStyle name="Note 18 3 2 3 2 2 2" xfId="46399"/>
    <cellStyle name="Note 18 3 2 3 2 3" xfId="35795"/>
    <cellStyle name="Note 18 3 2 3 3" xfId="20100"/>
    <cellStyle name="Note 18 3 2 3 3 2" xfId="41287"/>
    <cellStyle name="Note 18 3 2 3 4" xfId="30604"/>
    <cellStyle name="Note 18 3 2 3_Table 2A-1_EFT (Annual)" xfId="15555"/>
    <cellStyle name="Note 18 3 2 4" xfId="10551"/>
    <cellStyle name="Note 18 3 2 4 2" xfId="22667"/>
    <cellStyle name="Note 18 3 2 4 2 2" xfId="43853"/>
    <cellStyle name="Note 18 3 2 4 3" xfId="33249"/>
    <cellStyle name="Note 18 3 2 5" xfId="17554"/>
    <cellStyle name="Note 18 3 2 5 2" xfId="38741"/>
    <cellStyle name="Note 18 3 2 6" xfId="27861"/>
    <cellStyle name="Note 18 3 2_Table 2A-1_EFT (Annual)" xfId="7255"/>
    <cellStyle name="Note 18 3 3" xfId="936"/>
    <cellStyle name="Note 18 3 3 2" xfId="4497"/>
    <cellStyle name="Note 18 3 3 2 2" xfId="12759"/>
    <cellStyle name="Note 18 3 3 2 2 2" xfId="24769"/>
    <cellStyle name="Note 18 3 3 2 2 2 2" xfId="45955"/>
    <cellStyle name="Note 18 3 3 2 2 3" xfId="35351"/>
    <cellStyle name="Note 18 3 3 2 3" xfId="19656"/>
    <cellStyle name="Note 18 3 3 2 3 2" xfId="40843"/>
    <cellStyle name="Note 18 3 3 2 4" xfId="30154"/>
    <cellStyle name="Note 18 3 3 2_Table 2A-1_EFT (Annual)" xfId="15556"/>
    <cellStyle name="Note 18 3 3 3" xfId="10106"/>
    <cellStyle name="Note 18 3 3 3 2" xfId="22223"/>
    <cellStyle name="Note 18 3 3 3 2 2" xfId="43409"/>
    <cellStyle name="Note 18 3 3 3 3" xfId="32805"/>
    <cellStyle name="Note 18 3 3 4" xfId="17110"/>
    <cellStyle name="Note 18 3 3 4 2" xfId="38297"/>
    <cellStyle name="Note 18 3 3 5" xfId="27411"/>
    <cellStyle name="Note 18 3 3_Table 2A-1_EFT (Annual)" xfId="7257"/>
    <cellStyle name="Note 18 3 4" xfId="2125"/>
    <cellStyle name="Note 18 3 4 2" xfId="5686"/>
    <cellStyle name="Note 18 3 4 2 2" xfId="13901"/>
    <cellStyle name="Note 18 3 4 2 2 2" xfId="25889"/>
    <cellStyle name="Note 18 3 4 2 2 2 2" xfId="47075"/>
    <cellStyle name="Note 18 3 4 2 2 3" xfId="36471"/>
    <cellStyle name="Note 18 3 4 2 3" xfId="20776"/>
    <cellStyle name="Note 18 3 4 2 3 2" xfId="41963"/>
    <cellStyle name="Note 18 3 4 2 4" xfId="31343"/>
    <cellStyle name="Note 18 3 4 2_Table 2A-1_EFT (Annual)" xfId="15557"/>
    <cellStyle name="Note 18 3 4 3" xfId="11245"/>
    <cellStyle name="Note 18 3 4 3 2" xfId="23343"/>
    <cellStyle name="Note 18 3 4 3 2 2" xfId="44529"/>
    <cellStyle name="Note 18 3 4 3 3" xfId="33925"/>
    <cellStyle name="Note 18 3 4 4" xfId="18230"/>
    <cellStyle name="Note 18 3 4 4 2" xfId="39417"/>
    <cellStyle name="Note 18 3 4 5" xfId="28600"/>
    <cellStyle name="Note 18 3 4_Table 2A-1_EFT (Annual)" xfId="7258"/>
    <cellStyle name="Note 18 3 5" xfId="3973"/>
    <cellStyle name="Note 18 3 5 2" xfId="12301"/>
    <cellStyle name="Note 18 3 5 2 2" xfId="24325"/>
    <cellStyle name="Note 18 3 5 2 2 2" xfId="45511"/>
    <cellStyle name="Note 18 3 5 2 3" xfId="34907"/>
    <cellStyle name="Note 18 3 5 3" xfId="19212"/>
    <cellStyle name="Note 18 3 5 3 2" xfId="40399"/>
    <cellStyle name="Note 18 3 5 4" xfId="29661"/>
    <cellStyle name="Note 18 3 5_Table 2A-1_EFT (Annual)" xfId="15558"/>
    <cellStyle name="Note 18 3 6" xfId="9638"/>
    <cellStyle name="Note 18 3 6 2" xfId="21779"/>
    <cellStyle name="Note 18 3 6 2 2" xfId="42965"/>
    <cellStyle name="Note 18 3 6 3" xfId="32361"/>
    <cellStyle name="Note 18 3 7" xfId="16666"/>
    <cellStyle name="Note 18 3 7 2" xfId="37853"/>
    <cellStyle name="Note 18 3 8" xfId="26918"/>
    <cellStyle name="Note 18 3_Table 2A-1_EFT (Annual)" xfId="3251"/>
    <cellStyle name="Note 18 4" xfId="1220"/>
    <cellStyle name="Note 18 4 2" xfId="2490"/>
    <cellStyle name="Note 18 4 2 2" xfId="6051"/>
    <cellStyle name="Note 18 4 2 2 2" xfId="14245"/>
    <cellStyle name="Note 18 4 2 2 2 2" xfId="26217"/>
    <cellStyle name="Note 18 4 2 2 2 2 2" xfId="47403"/>
    <cellStyle name="Note 18 4 2 2 2 3" xfId="36799"/>
    <cellStyle name="Note 18 4 2 2 3" xfId="21104"/>
    <cellStyle name="Note 18 4 2 2 3 2" xfId="42291"/>
    <cellStyle name="Note 18 4 2 2 4" xfId="31707"/>
    <cellStyle name="Note 18 4 2 2_Table 2A-1_EFT (Annual)" xfId="15559"/>
    <cellStyle name="Note 18 4 2 3" xfId="11587"/>
    <cellStyle name="Note 18 4 2 3 2" xfId="23671"/>
    <cellStyle name="Note 18 4 2 3 2 2" xfId="44857"/>
    <cellStyle name="Note 18 4 2 3 3" xfId="34253"/>
    <cellStyle name="Note 18 4 2 4" xfId="18558"/>
    <cellStyle name="Note 18 4 2 4 2" xfId="39745"/>
    <cellStyle name="Note 18 4 2 5" xfId="28964"/>
    <cellStyle name="Note 18 4 2_Table 2A-1_EFT (Annual)" xfId="7260"/>
    <cellStyle name="Note 18 4 3" xfId="4781"/>
    <cellStyle name="Note 18 4 3 2" xfId="13041"/>
    <cellStyle name="Note 18 4 3 2 2" xfId="25047"/>
    <cellStyle name="Note 18 4 3 2 2 2" xfId="46233"/>
    <cellStyle name="Note 18 4 3 2 3" xfId="35629"/>
    <cellStyle name="Note 18 4 3 3" xfId="19934"/>
    <cellStyle name="Note 18 4 3 3 2" xfId="41121"/>
    <cellStyle name="Note 18 4 3 4" xfId="30438"/>
    <cellStyle name="Note 18 4 3_Table 2A-1_EFT (Annual)" xfId="15560"/>
    <cellStyle name="Note 18 4 4" xfId="10385"/>
    <cellStyle name="Note 18 4 4 2" xfId="22501"/>
    <cellStyle name="Note 18 4 4 2 2" xfId="43687"/>
    <cellStyle name="Note 18 4 4 3" xfId="33083"/>
    <cellStyle name="Note 18 4 5" xfId="17388"/>
    <cellStyle name="Note 18 4 5 2" xfId="38575"/>
    <cellStyle name="Note 18 4 6" xfId="27695"/>
    <cellStyle name="Note 18 4_Table 2A-1_EFT (Annual)" xfId="7259"/>
    <cellStyle name="Note 18 5" xfId="777"/>
    <cellStyle name="Note 18 5 2" xfId="4338"/>
    <cellStyle name="Note 18 5 2 2" xfId="12618"/>
    <cellStyle name="Note 18 5 2 2 2" xfId="24635"/>
    <cellStyle name="Note 18 5 2 2 2 2" xfId="45821"/>
    <cellStyle name="Note 18 5 2 2 3" xfId="35217"/>
    <cellStyle name="Note 18 5 2 3" xfId="19522"/>
    <cellStyle name="Note 18 5 2 3 2" xfId="40709"/>
    <cellStyle name="Note 18 5 2 4" xfId="29995"/>
    <cellStyle name="Note 18 5 2_Table 2A-1_EFT (Annual)" xfId="15561"/>
    <cellStyle name="Note 18 5 3" xfId="9966"/>
    <cellStyle name="Note 18 5 3 2" xfId="22089"/>
    <cellStyle name="Note 18 5 3 2 2" xfId="43275"/>
    <cellStyle name="Note 18 5 3 3" xfId="32671"/>
    <cellStyle name="Note 18 5 4" xfId="16976"/>
    <cellStyle name="Note 18 5 4 2" xfId="38163"/>
    <cellStyle name="Note 18 5 5" xfId="27252"/>
    <cellStyle name="Note 18 5_Table 2A-1_EFT (Annual)" xfId="7261"/>
    <cellStyle name="Note 18 6" xfId="1959"/>
    <cellStyle name="Note 18 6 2" xfId="5520"/>
    <cellStyle name="Note 18 6 2 2" xfId="13735"/>
    <cellStyle name="Note 18 6 2 2 2" xfId="25723"/>
    <cellStyle name="Note 18 6 2 2 2 2" xfId="46909"/>
    <cellStyle name="Note 18 6 2 2 3" xfId="36305"/>
    <cellStyle name="Note 18 6 2 3" xfId="20610"/>
    <cellStyle name="Note 18 6 2 3 2" xfId="41797"/>
    <cellStyle name="Note 18 6 2 4" xfId="31177"/>
    <cellStyle name="Note 18 6 2_Table 2A-1_EFT (Annual)" xfId="15562"/>
    <cellStyle name="Note 18 6 3" xfId="11079"/>
    <cellStyle name="Note 18 6 3 2" xfId="23177"/>
    <cellStyle name="Note 18 6 3 2 2" xfId="44363"/>
    <cellStyle name="Note 18 6 3 3" xfId="33759"/>
    <cellStyle name="Note 18 6 4" xfId="18064"/>
    <cellStyle name="Note 18 6 4 2" xfId="39251"/>
    <cellStyle name="Note 18 6 5" xfId="28434"/>
    <cellStyle name="Note 18 6_Table 2A-1_EFT (Annual)" xfId="7262"/>
    <cellStyle name="Note 18 7" xfId="3761"/>
    <cellStyle name="Note 18 7 2" xfId="12129"/>
    <cellStyle name="Note 18 7 2 2" xfId="24159"/>
    <cellStyle name="Note 18 7 2 2 2" xfId="45345"/>
    <cellStyle name="Note 18 7 2 3" xfId="34741"/>
    <cellStyle name="Note 18 7 3" xfId="19046"/>
    <cellStyle name="Note 18 7 3 2" xfId="40233"/>
    <cellStyle name="Note 18 7 4" xfId="29470"/>
    <cellStyle name="Note 18 7_Table 2A-1_EFT (Annual)" xfId="15563"/>
    <cellStyle name="Note 18 8" xfId="9448"/>
    <cellStyle name="Note 18 8 2" xfId="21613"/>
    <cellStyle name="Note 18 8 2 2" xfId="42799"/>
    <cellStyle name="Note 18 8 3" xfId="32195"/>
    <cellStyle name="Note 18 9" xfId="16500"/>
    <cellStyle name="Note 18 9 2" xfId="37687"/>
    <cellStyle name="Note 18_Table 2A-1_EFT (Annual)" xfId="3249"/>
    <cellStyle name="Note 19" xfId="171"/>
    <cellStyle name="Note 19 10" xfId="26726"/>
    <cellStyle name="Note 19 2" xfId="564"/>
    <cellStyle name="Note 19 2 2" xfId="1541"/>
    <cellStyle name="Note 19 2 2 2" xfId="2811"/>
    <cellStyle name="Note 19 2 2 2 2" xfId="6372"/>
    <cellStyle name="Note 19 2 2 2 2 2" xfId="14566"/>
    <cellStyle name="Note 19 2 2 2 2 2 2" xfId="26538"/>
    <cellStyle name="Note 19 2 2 2 2 2 2 2" xfId="47724"/>
    <cellStyle name="Note 19 2 2 2 2 2 3" xfId="37120"/>
    <cellStyle name="Note 19 2 2 2 2 3" xfId="21425"/>
    <cellStyle name="Note 19 2 2 2 2 3 2" xfId="42612"/>
    <cellStyle name="Note 19 2 2 2 2 4" xfId="32028"/>
    <cellStyle name="Note 19 2 2 2 2_Table 2A-1_EFT (Annual)" xfId="15564"/>
    <cellStyle name="Note 19 2 2 2 3" xfId="11908"/>
    <cellStyle name="Note 19 2 2 2 3 2" xfId="23992"/>
    <cellStyle name="Note 19 2 2 2 3 2 2" xfId="45178"/>
    <cellStyle name="Note 19 2 2 2 3 3" xfId="34574"/>
    <cellStyle name="Note 19 2 2 2 4" xfId="18879"/>
    <cellStyle name="Note 19 2 2 2 4 2" xfId="40066"/>
    <cellStyle name="Note 19 2 2 2 5" xfId="29285"/>
    <cellStyle name="Note 19 2 2 2_Table 2A-1_EFT (Annual)" xfId="7264"/>
    <cellStyle name="Note 19 2 2 3" xfId="5102"/>
    <cellStyle name="Note 19 2 2 3 2" xfId="13362"/>
    <cellStyle name="Note 19 2 2 3 2 2" xfId="25368"/>
    <cellStyle name="Note 19 2 2 3 2 2 2" xfId="46554"/>
    <cellStyle name="Note 19 2 2 3 2 3" xfId="35950"/>
    <cellStyle name="Note 19 2 2 3 3" xfId="20255"/>
    <cellStyle name="Note 19 2 2 3 3 2" xfId="41442"/>
    <cellStyle name="Note 19 2 2 3 4" xfId="30759"/>
    <cellStyle name="Note 19 2 2 3_Table 2A-1_EFT (Annual)" xfId="15565"/>
    <cellStyle name="Note 19 2 2 4" xfId="10706"/>
    <cellStyle name="Note 19 2 2 4 2" xfId="22822"/>
    <cellStyle name="Note 19 2 2 4 2 2" xfId="44008"/>
    <cellStyle name="Note 19 2 2 4 3" xfId="33404"/>
    <cellStyle name="Note 19 2 2 5" xfId="17709"/>
    <cellStyle name="Note 19 2 2 5 2" xfId="38896"/>
    <cellStyle name="Note 19 2 2 6" xfId="28016"/>
    <cellStyle name="Note 19 2 2_Table 2A-1_EFT (Annual)" xfId="7263"/>
    <cellStyle name="Note 19 2 3" xfId="1067"/>
    <cellStyle name="Note 19 2 3 2" xfId="4628"/>
    <cellStyle name="Note 19 2 3 2 2" xfId="12888"/>
    <cellStyle name="Note 19 2 3 2 2 2" xfId="24894"/>
    <cellStyle name="Note 19 2 3 2 2 2 2" xfId="46080"/>
    <cellStyle name="Note 19 2 3 2 2 3" xfId="35476"/>
    <cellStyle name="Note 19 2 3 2 3" xfId="19781"/>
    <cellStyle name="Note 19 2 3 2 3 2" xfId="40968"/>
    <cellStyle name="Note 19 2 3 2 4" xfId="30285"/>
    <cellStyle name="Note 19 2 3 2_Table 2A-1_EFT (Annual)" xfId="15566"/>
    <cellStyle name="Note 19 2 3 3" xfId="10232"/>
    <cellStyle name="Note 19 2 3 3 2" xfId="22348"/>
    <cellStyle name="Note 19 2 3 3 2 2" xfId="43534"/>
    <cellStyle name="Note 19 2 3 3 3" xfId="32930"/>
    <cellStyle name="Note 19 2 3 4" xfId="17235"/>
    <cellStyle name="Note 19 2 3 4 2" xfId="38422"/>
    <cellStyle name="Note 19 2 3 5" xfId="27542"/>
    <cellStyle name="Note 19 2 3_Table 2A-1_EFT (Annual)" xfId="7265"/>
    <cellStyle name="Note 19 2 4" xfId="2280"/>
    <cellStyle name="Note 19 2 4 2" xfId="5841"/>
    <cellStyle name="Note 19 2 4 2 2" xfId="14056"/>
    <cellStyle name="Note 19 2 4 2 2 2" xfId="26044"/>
    <cellStyle name="Note 19 2 4 2 2 2 2" xfId="47230"/>
    <cellStyle name="Note 19 2 4 2 2 3" xfId="36626"/>
    <cellStyle name="Note 19 2 4 2 3" xfId="20931"/>
    <cellStyle name="Note 19 2 4 2 3 2" xfId="42118"/>
    <cellStyle name="Note 19 2 4 2 4" xfId="31498"/>
    <cellStyle name="Note 19 2 4 2_Table 2A-1_EFT (Annual)" xfId="15567"/>
    <cellStyle name="Note 19 2 4 3" xfId="11400"/>
    <cellStyle name="Note 19 2 4 3 2" xfId="23498"/>
    <cellStyle name="Note 19 2 4 3 2 2" xfId="44684"/>
    <cellStyle name="Note 19 2 4 3 3" xfId="34080"/>
    <cellStyle name="Note 19 2 4 4" xfId="18385"/>
    <cellStyle name="Note 19 2 4 4 2" xfId="39572"/>
    <cellStyle name="Note 19 2 4 5" xfId="28755"/>
    <cellStyle name="Note 19 2 4_Table 2A-1_EFT (Annual)" xfId="7266"/>
    <cellStyle name="Note 19 2 5" xfId="4134"/>
    <cellStyle name="Note 19 2 5 2" xfId="12458"/>
    <cellStyle name="Note 19 2 5 2 2" xfId="24480"/>
    <cellStyle name="Note 19 2 5 2 2 2" xfId="45666"/>
    <cellStyle name="Note 19 2 5 2 3" xfId="35062"/>
    <cellStyle name="Note 19 2 5 3" xfId="19367"/>
    <cellStyle name="Note 19 2 5 3 2" xfId="40554"/>
    <cellStyle name="Note 19 2 5 4" xfId="29822"/>
    <cellStyle name="Note 19 2 5_Table 2A-1_EFT (Annual)" xfId="15568"/>
    <cellStyle name="Note 19 2 6" xfId="9797"/>
    <cellStyle name="Note 19 2 6 2" xfId="21934"/>
    <cellStyle name="Note 19 2 6 2 2" xfId="43120"/>
    <cellStyle name="Note 19 2 6 3" xfId="32516"/>
    <cellStyle name="Note 19 2 7" xfId="16821"/>
    <cellStyle name="Note 19 2 7 2" xfId="38008"/>
    <cellStyle name="Note 19 2 8" xfId="27079"/>
    <cellStyle name="Note 19 2_Table 2A-1_EFT (Annual)" xfId="3253"/>
    <cellStyle name="Note 19 3" xfId="402"/>
    <cellStyle name="Note 19 3 2" xfId="1385"/>
    <cellStyle name="Note 19 3 2 2" xfId="2655"/>
    <cellStyle name="Note 19 3 2 2 2" xfId="6216"/>
    <cellStyle name="Note 19 3 2 2 2 2" xfId="14410"/>
    <cellStyle name="Note 19 3 2 2 2 2 2" xfId="26382"/>
    <cellStyle name="Note 19 3 2 2 2 2 2 2" xfId="47568"/>
    <cellStyle name="Note 19 3 2 2 2 2 3" xfId="36964"/>
    <cellStyle name="Note 19 3 2 2 2 3" xfId="21269"/>
    <cellStyle name="Note 19 3 2 2 2 3 2" xfId="42456"/>
    <cellStyle name="Note 19 3 2 2 2 4" xfId="31872"/>
    <cellStyle name="Note 19 3 2 2 2_Table 2A-1_EFT (Annual)" xfId="15569"/>
    <cellStyle name="Note 19 3 2 2 3" xfId="11752"/>
    <cellStyle name="Note 19 3 2 2 3 2" xfId="23836"/>
    <cellStyle name="Note 19 3 2 2 3 2 2" xfId="45022"/>
    <cellStyle name="Note 19 3 2 2 3 3" xfId="34418"/>
    <cellStyle name="Note 19 3 2 2 4" xfId="18723"/>
    <cellStyle name="Note 19 3 2 2 4 2" xfId="39910"/>
    <cellStyle name="Note 19 3 2 2 5" xfId="29129"/>
    <cellStyle name="Note 19 3 2 2_Table 2A-1_EFT (Annual)" xfId="7268"/>
    <cellStyle name="Note 19 3 2 3" xfId="4946"/>
    <cellStyle name="Note 19 3 2 3 2" xfId="13206"/>
    <cellStyle name="Note 19 3 2 3 2 2" xfId="25212"/>
    <cellStyle name="Note 19 3 2 3 2 2 2" xfId="46398"/>
    <cellStyle name="Note 19 3 2 3 2 3" xfId="35794"/>
    <cellStyle name="Note 19 3 2 3 3" xfId="20099"/>
    <cellStyle name="Note 19 3 2 3 3 2" xfId="41286"/>
    <cellStyle name="Note 19 3 2 3 4" xfId="30603"/>
    <cellStyle name="Note 19 3 2 3_Table 2A-1_EFT (Annual)" xfId="15570"/>
    <cellStyle name="Note 19 3 2 4" xfId="10550"/>
    <cellStyle name="Note 19 3 2 4 2" xfId="22666"/>
    <cellStyle name="Note 19 3 2 4 2 2" xfId="43852"/>
    <cellStyle name="Note 19 3 2 4 3" xfId="33248"/>
    <cellStyle name="Note 19 3 2 5" xfId="17553"/>
    <cellStyle name="Note 19 3 2 5 2" xfId="38740"/>
    <cellStyle name="Note 19 3 2 6" xfId="27860"/>
    <cellStyle name="Note 19 3 2_Table 2A-1_EFT (Annual)" xfId="7267"/>
    <cellStyle name="Note 19 3 3" xfId="935"/>
    <cellStyle name="Note 19 3 3 2" xfId="4496"/>
    <cellStyle name="Note 19 3 3 2 2" xfId="12758"/>
    <cellStyle name="Note 19 3 3 2 2 2" xfId="24768"/>
    <cellStyle name="Note 19 3 3 2 2 2 2" xfId="45954"/>
    <cellStyle name="Note 19 3 3 2 2 3" xfId="35350"/>
    <cellStyle name="Note 19 3 3 2 3" xfId="19655"/>
    <cellStyle name="Note 19 3 3 2 3 2" xfId="40842"/>
    <cellStyle name="Note 19 3 3 2 4" xfId="30153"/>
    <cellStyle name="Note 19 3 3 2_Table 2A-1_EFT (Annual)" xfId="15571"/>
    <cellStyle name="Note 19 3 3 3" xfId="10105"/>
    <cellStyle name="Note 19 3 3 3 2" xfId="22222"/>
    <cellStyle name="Note 19 3 3 3 2 2" xfId="43408"/>
    <cellStyle name="Note 19 3 3 3 3" xfId="32804"/>
    <cellStyle name="Note 19 3 3 4" xfId="17109"/>
    <cellStyle name="Note 19 3 3 4 2" xfId="38296"/>
    <cellStyle name="Note 19 3 3 5" xfId="27410"/>
    <cellStyle name="Note 19 3 3_Table 2A-1_EFT (Annual)" xfId="7269"/>
    <cellStyle name="Note 19 3 4" xfId="2124"/>
    <cellStyle name="Note 19 3 4 2" xfId="5685"/>
    <cellStyle name="Note 19 3 4 2 2" xfId="13900"/>
    <cellStyle name="Note 19 3 4 2 2 2" xfId="25888"/>
    <cellStyle name="Note 19 3 4 2 2 2 2" xfId="47074"/>
    <cellStyle name="Note 19 3 4 2 2 3" xfId="36470"/>
    <cellStyle name="Note 19 3 4 2 3" xfId="20775"/>
    <cellStyle name="Note 19 3 4 2 3 2" xfId="41962"/>
    <cellStyle name="Note 19 3 4 2 4" xfId="31342"/>
    <cellStyle name="Note 19 3 4 2_Table 2A-1_EFT (Annual)" xfId="15572"/>
    <cellStyle name="Note 19 3 4 3" xfId="11244"/>
    <cellStyle name="Note 19 3 4 3 2" xfId="23342"/>
    <cellStyle name="Note 19 3 4 3 2 2" xfId="44528"/>
    <cellStyle name="Note 19 3 4 3 3" xfId="33924"/>
    <cellStyle name="Note 19 3 4 4" xfId="18229"/>
    <cellStyle name="Note 19 3 4 4 2" xfId="39416"/>
    <cellStyle name="Note 19 3 4 5" xfId="28599"/>
    <cellStyle name="Note 19 3 4_Table 2A-1_EFT (Annual)" xfId="7270"/>
    <cellStyle name="Note 19 3 5" xfId="3972"/>
    <cellStyle name="Note 19 3 5 2" xfId="12300"/>
    <cellStyle name="Note 19 3 5 2 2" xfId="24324"/>
    <cellStyle name="Note 19 3 5 2 2 2" xfId="45510"/>
    <cellStyle name="Note 19 3 5 2 3" xfId="34906"/>
    <cellStyle name="Note 19 3 5 3" xfId="19211"/>
    <cellStyle name="Note 19 3 5 3 2" xfId="40398"/>
    <cellStyle name="Note 19 3 5 4" xfId="29660"/>
    <cellStyle name="Note 19 3 5_Table 2A-1_EFT (Annual)" xfId="15573"/>
    <cellStyle name="Note 19 3 6" xfId="9637"/>
    <cellStyle name="Note 19 3 6 2" xfId="21778"/>
    <cellStyle name="Note 19 3 6 2 2" xfId="42964"/>
    <cellStyle name="Note 19 3 6 3" xfId="32360"/>
    <cellStyle name="Note 19 3 7" xfId="16665"/>
    <cellStyle name="Note 19 3 7 2" xfId="37852"/>
    <cellStyle name="Note 19 3 8" xfId="26917"/>
    <cellStyle name="Note 19 3_Table 2A-1_EFT (Annual)" xfId="3254"/>
    <cellStyle name="Note 19 4" xfId="1219"/>
    <cellStyle name="Note 19 4 2" xfId="2489"/>
    <cellStyle name="Note 19 4 2 2" xfId="6050"/>
    <cellStyle name="Note 19 4 2 2 2" xfId="14244"/>
    <cellStyle name="Note 19 4 2 2 2 2" xfId="26216"/>
    <cellStyle name="Note 19 4 2 2 2 2 2" xfId="47402"/>
    <cellStyle name="Note 19 4 2 2 2 3" xfId="36798"/>
    <cellStyle name="Note 19 4 2 2 3" xfId="21103"/>
    <cellStyle name="Note 19 4 2 2 3 2" xfId="42290"/>
    <cellStyle name="Note 19 4 2 2 4" xfId="31706"/>
    <cellStyle name="Note 19 4 2 2_Table 2A-1_EFT (Annual)" xfId="15574"/>
    <cellStyle name="Note 19 4 2 3" xfId="11586"/>
    <cellStyle name="Note 19 4 2 3 2" xfId="23670"/>
    <cellStyle name="Note 19 4 2 3 2 2" xfId="44856"/>
    <cellStyle name="Note 19 4 2 3 3" xfId="34252"/>
    <cellStyle name="Note 19 4 2 4" xfId="18557"/>
    <cellStyle name="Note 19 4 2 4 2" xfId="39744"/>
    <cellStyle name="Note 19 4 2 5" xfId="28963"/>
    <cellStyle name="Note 19 4 2_Table 2A-1_EFT (Annual)" xfId="7272"/>
    <cellStyle name="Note 19 4 3" xfId="4780"/>
    <cellStyle name="Note 19 4 3 2" xfId="13040"/>
    <cellStyle name="Note 19 4 3 2 2" xfId="25046"/>
    <cellStyle name="Note 19 4 3 2 2 2" xfId="46232"/>
    <cellStyle name="Note 19 4 3 2 3" xfId="35628"/>
    <cellStyle name="Note 19 4 3 3" xfId="19933"/>
    <cellStyle name="Note 19 4 3 3 2" xfId="41120"/>
    <cellStyle name="Note 19 4 3 4" xfId="30437"/>
    <cellStyle name="Note 19 4 3_Table 2A-1_EFT (Annual)" xfId="15575"/>
    <cellStyle name="Note 19 4 4" xfId="10384"/>
    <cellStyle name="Note 19 4 4 2" xfId="22500"/>
    <cellStyle name="Note 19 4 4 2 2" xfId="43686"/>
    <cellStyle name="Note 19 4 4 3" xfId="33082"/>
    <cellStyle name="Note 19 4 5" xfId="17387"/>
    <cellStyle name="Note 19 4 5 2" xfId="38574"/>
    <cellStyle name="Note 19 4 6" xfId="27694"/>
    <cellStyle name="Note 19 4_Table 2A-1_EFT (Annual)" xfId="7271"/>
    <cellStyle name="Note 19 5" xfId="776"/>
    <cellStyle name="Note 19 5 2" xfId="4337"/>
    <cellStyle name="Note 19 5 2 2" xfId="12617"/>
    <cellStyle name="Note 19 5 2 2 2" xfId="24634"/>
    <cellStyle name="Note 19 5 2 2 2 2" xfId="45820"/>
    <cellStyle name="Note 19 5 2 2 3" xfId="35216"/>
    <cellStyle name="Note 19 5 2 3" xfId="19521"/>
    <cellStyle name="Note 19 5 2 3 2" xfId="40708"/>
    <cellStyle name="Note 19 5 2 4" xfId="29994"/>
    <cellStyle name="Note 19 5 2_Table 2A-1_EFT (Annual)" xfId="15576"/>
    <cellStyle name="Note 19 5 3" xfId="9965"/>
    <cellStyle name="Note 19 5 3 2" xfId="22088"/>
    <cellStyle name="Note 19 5 3 2 2" xfId="43274"/>
    <cellStyle name="Note 19 5 3 3" xfId="32670"/>
    <cellStyle name="Note 19 5 4" xfId="16975"/>
    <cellStyle name="Note 19 5 4 2" xfId="38162"/>
    <cellStyle name="Note 19 5 5" xfId="27251"/>
    <cellStyle name="Note 19 5_Table 2A-1_EFT (Annual)" xfId="7273"/>
    <cellStyle name="Note 19 6" xfId="1958"/>
    <cellStyle name="Note 19 6 2" xfId="5519"/>
    <cellStyle name="Note 19 6 2 2" xfId="13734"/>
    <cellStyle name="Note 19 6 2 2 2" xfId="25722"/>
    <cellStyle name="Note 19 6 2 2 2 2" xfId="46908"/>
    <cellStyle name="Note 19 6 2 2 3" xfId="36304"/>
    <cellStyle name="Note 19 6 2 3" xfId="20609"/>
    <cellStyle name="Note 19 6 2 3 2" xfId="41796"/>
    <cellStyle name="Note 19 6 2 4" xfId="31176"/>
    <cellStyle name="Note 19 6 2_Table 2A-1_EFT (Annual)" xfId="15577"/>
    <cellStyle name="Note 19 6 3" xfId="11078"/>
    <cellStyle name="Note 19 6 3 2" xfId="23176"/>
    <cellStyle name="Note 19 6 3 2 2" xfId="44362"/>
    <cellStyle name="Note 19 6 3 3" xfId="33758"/>
    <cellStyle name="Note 19 6 4" xfId="18063"/>
    <cellStyle name="Note 19 6 4 2" xfId="39250"/>
    <cellStyle name="Note 19 6 5" xfId="28433"/>
    <cellStyle name="Note 19 6_Table 2A-1_EFT (Annual)" xfId="7274"/>
    <cellStyle name="Note 19 7" xfId="3760"/>
    <cellStyle name="Note 19 7 2" xfId="12128"/>
    <cellStyle name="Note 19 7 2 2" xfId="24158"/>
    <cellStyle name="Note 19 7 2 2 2" xfId="45344"/>
    <cellStyle name="Note 19 7 2 3" xfId="34740"/>
    <cellStyle name="Note 19 7 3" xfId="19045"/>
    <cellStyle name="Note 19 7 3 2" xfId="40232"/>
    <cellStyle name="Note 19 7 4" xfId="29469"/>
    <cellStyle name="Note 19 7_Table 2A-1_EFT (Annual)" xfId="15578"/>
    <cellStyle name="Note 19 8" xfId="9447"/>
    <cellStyle name="Note 19 8 2" xfId="21612"/>
    <cellStyle name="Note 19 8 2 2" xfId="42798"/>
    <cellStyle name="Note 19 8 3" xfId="32194"/>
    <cellStyle name="Note 19 9" xfId="16499"/>
    <cellStyle name="Note 19 9 2" xfId="37686"/>
    <cellStyle name="Note 19_Table 2A-1_EFT (Annual)" xfId="3252"/>
    <cellStyle name="Note 2" xfId="100"/>
    <cellStyle name="Note 2 10" xfId="21513"/>
    <cellStyle name="Note 2 10 2" xfId="42700"/>
    <cellStyle name="Note 2 11" xfId="26655"/>
    <cellStyle name="Note 2 2" xfId="498"/>
    <cellStyle name="Note 2 2 2" xfId="1475"/>
    <cellStyle name="Note 2 2 2 2" xfId="2745"/>
    <cellStyle name="Note 2 2 2 2 2" xfId="6306"/>
    <cellStyle name="Note 2 2 2 2 2 2" xfId="14500"/>
    <cellStyle name="Note 2 2 2 2 2 2 2" xfId="26472"/>
    <cellStyle name="Note 2 2 2 2 2 2 2 2" xfId="47658"/>
    <cellStyle name="Note 2 2 2 2 2 2 3" xfId="37054"/>
    <cellStyle name="Note 2 2 2 2 2 3" xfId="21359"/>
    <cellStyle name="Note 2 2 2 2 2 3 2" xfId="42546"/>
    <cellStyle name="Note 2 2 2 2 2 4" xfId="31962"/>
    <cellStyle name="Note 2 2 2 2 2_Table 2A-1_EFT (Annual)" xfId="15579"/>
    <cellStyle name="Note 2 2 2 2 3" xfId="11842"/>
    <cellStyle name="Note 2 2 2 2 3 2" xfId="23926"/>
    <cellStyle name="Note 2 2 2 2 3 2 2" xfId="45112"/>
    <cellStyle name="Note 2 2 2 2 3 3" xfId="34508"/>
    <cellStyle name="Note 2 2 2 2 4" xfId="18813"/>
    <cellStyle name="Note 2 2 2 2 4 2" xfId="40000"/>
    <cellStyle name="Note 2 2 2 2 5" xfId="29219"/>
    <cellStyle name="Note 2 2 2 2_Table 2A-1_EFT (Annual)" xfId="7276"/>
    <cellStyle name="Note 2 2 2 3" xfId="5036"/>
    <cellStyle name="Note 2 2 2 3 2" xfId="13296"/>
    <cellStyle name="Note 2 2 2 3 2 2" xfId="25302"/>
    <cellStyle name="Note 2 2 2 3 2 2 2" xfId="46488"/>
    <cellStyle name="Note 2 2 2 3 2 3" xfId="35884"/>
    <cellStyle name="Note 2 2 2 3 3" xfId="20189"/>
    <cellStyle name="Note 2 2 2 3 3 2" xfId="41376"/>
    <cellStyle name="Note 2 2 2 3 4" xfId="30693"/>
    <cellStyle name="Note 2 2 2 3_Table 2A-1_EFT (Annual)" xfId="15580"/>
    <cellStyle name="Note 2 2 2 4" xfId="10640"/>
    <cellStyle name="Note 2 2 2 4 2" xfId="22756"/>
    <cellStyle name="Note 2 2 2 4 2 2" xfId="43942"/>
    <cellStyle name="Note 2 2 2 4 3" xfId="33338"/>
    <cellStyle name="Note 2 2 2 5" xfId="17643"/>
    <cellStyle name="Note 2 2 2 5 2" xfId="38830"/>
    <cellStyle name="Note 2 2 2 6" xfId="27950"/>
    <cellStyle name="Note 2 2 2_Table 2A-1_EFT (Annual)" xfId="7275"/>
    <cellStyle name="Note 2 2 3" xfId="1013"/>
    <cellStyle name="Note 2 2 3 2" xfId="4574"/>
    <cellStyle name="Note 2 2 3 2 2" xfId="12834"/>
    <cellStyle name="Note 2 2 3 2 2 2" xfId="24840"/>
    <cellStyle name="Note 2 2 3 2 2 2 2" xfId="46026"/>
    <cellStyle name="Note 2 2 3 2 2 3" xfId="35422"/>
    <cellStyle name="Note 2 2 3 2 3" xfId="19727"/>
    <cellStyle name="Note 2 2 3 2 3 2" xfId="40914"/>
    <cellStyle name="Note 2 2 3 2 4" xfId="30231"/>
    <cellStyle name="Note 2 2 3 2_Table 2A-1_EFT (Annual)" xfId="15581"/>
    <cellStyle name="Note 2 2 3 3" xfId="10178"/>
    <cellStyle name="Note 2 2 3 3 2" xfId="22294"/>
    <cellStyle name="Note 2 2 3 3 2 2" xfId="43480"/>
    <cellStyle name="Note 2 2 3 3 3" xfId="32876"/>
    <cellStyle name="Note 2 2 3 4" xfId="17181"/>
    <cellStyle name="Note 2 2 3 4 2" xfId="38368"/>
    <cellStyle name="Note 2 2 3 5" xfId="27488"/>
    <cellStyle name="Note 2 2 3_Table 2A-1_EFT (Annual)" xfId="7277"/>
    <cellStyle name="Note 2 2 4" xfId="2214"/>
    <cellStyle name="Note 2 2 4 2" xfId="5775"/>
    <cellStyle name="Note 2 2 4 2 2" xfId="13990"/>
    <cellStyle name="Note 2 2 4 2 2 2" xfId="25978"/>
    <cellStyle name="Note 2 2 4 2 2 2 2" xfId="47164"/>
    <cellStyle name="Note 2 2 4 2 2 3" xfId="36560"/>
    <cellStyle name="Note 2 2 4 2 3" xfId="20865"/>
    <cellStyle name="Note 2 2 4 2 3 2" xfId="42052"/>
    <cellStyle name="Note 2 2 4 2 4" xfId="31432"/>
    <cellStyle name="Note 2 2 4 2_Table 2A-1_EFT (Annual)" xfId="15582"/>
    <cellStyle name="Note 2 2 4 3" xfId="11334"/>
    <cellStyle name="Note 2 2 4 3 2" xfId="23432"/>
    <cellStyle name="Note 2 2 4 3 2 2" xfId="44618"/>
    <cellStyle name="Note 2 2 4 3 3" xfId="34014"/>
    <cellStyle name="Note 2 2 4 4" xfId="18319"/>
    <cellStyle name="Note 2 2 4 4 2" xfId="39506"/>
    <cellStyle name="Note 2 2 4 5" xfId="28689"/>
    <cellStyle name="Note 2 2 4_Table 2A-1_EFT (Annual)" xfId="7278"/>
    <cellStyle name="Note 2 2 5" xfId="4068"/>
    <cellStyle name="Note 2 2 5 2" xfId="12392"/>
    <cellStyle name="Note 2 2 5 2 2" xfId="24414"/>
    <cellStyle name="Note 2 2 5 2 2 2" xfId="45600"/>
    <cellStyle name="Note 2 2 5 2 3" xfId="34996"/>
    <cellStyle name="Note 2 2 5 3" xfId="19301"/>
    <cellStyle name="Note 2 2 5 3 2" xfId="40488"/>
    <cellStyle name="Note 2 2 5 4" xfId="29756"/>
    <cellStyle name="Note 2 2 5_Table 2A-1_EFT (Annual)" xfId="15583"/>
    <cellStyle name="Note 2 2 6" xfId="9731"/>
    <cellStyle name="Note 2 2 6 2" xfId="21868"/>
    <cellStyle name="Note 2 2 6 2 2" xfId="43054"/>
    <cellStyle name="Note 2 2 6 3" xfId="32450"/>
    <cellStyle name="Note 2 2 7" xfId="16755"/>
    <cellStyle name="Note 2 2 7 2" xfId="37942"/>
    <cellStyle name="Note 2 2 8" xfId="27013"/>
    <cellStyle name="Note 2 2_Table 2A-1_EFT (Annual)" xfId="3256"/>
    <cellStyle name="Note 2 3" xfId="331"/>
    <cellStyle name="Note 2 3 2" xfId="1319"/>
    <cellStyle name="Note 2 3 2 2" xfId="2589"/>
    <cellStyle name="Note 2 3 2 2 2" xfId="6150"/>
    <cellStyle name="Note 2 3 2 2 2 2" xfId="14344"/>
    <cellStyle name="Note 2 3 2 2 2 2 2" xfId="26316"/>
    <cellStyle name="Note 2 3 2 2 2 2 2 2" xfId="47502"/>
    <cellStyle name="Note 2 3 2 2 2 2 3" xfId="36898"/>
    <cellStyle name="Note 2 3 2 2 2 3" xfId="21203"/>
    <cellStyle name="Note 2 3 2 2 2 3 2" xfId="42390"/>
    <cellStyle name="Note 2 3 2 2 2 4" xfId="31806"/>
    <cellStyle name="Note 2 3 2 2 2_Table 2A-1_EFT (Annual)" xfId="15584"/>
    <cellStyle name="Note 2 3 2 2 3" xfId="11686"/>
    <cellStyle name="Note 2 3 2 2 3 2" xfId="23770"/>
    <cellStyle name="Note 2 3 2 2 3 2 2" xfId="44956"/>
    <cellStyle name="Note 2 3 2 2 3 3" xfId="34352"/>
    <cellStyle name="Note 2 3 2 2 4" xfId="18657"/>
    <cellStyle name="Note 2 3 2 2 4 2" xfId="39844"/>
    <cellStyle name="Note 2 3 2 2 5" xfId="29063"/>
    <cellStyle name="Note 2 3 2 2_Table 2A-1_EFT (Annual)" xfId="7280"/>
    <cellStyle name="Note 2 3 2 3" xfId="4880"/>
    <cellStyle name="Note 2 3 2 3 2" xfId="13140"/>
    <cellStyle name="Note 2 3 2 3 2 2" xfId="25146"/>
    <cellStyle name="Note 2 3 2 3 2 2 2" xfId="46332"/>
    <cellStyle name="Note 2 3 2 3 2 3" xfId="35728"/>
    <cellStyle name="Note 2 3 2 3 3" xfId="20033"/>
    <cellStyle name="Note 2 3 2 3 3 2" xfId="41220"/>
    <cellStyle name="Note 2 3 2 3 4" xfId="30537"/>
    <cellStyle name="Note 2 3 2 3_Table 2A-1_EFT (Annual)" xfId="15585"/>
    <cellStyle name="Note 2 3 2 4" xfId="10484"/>
    <cellStyle name="Note 2 3 2 4 2" xfId="22600"/>
    <cellStyle name="Note 2 3 2 4 2 2" xfId="43786"/>
    <cellStyle name="Note 2 3 2 4 3" xfId="33182"/>
    <cellStyle name="Note 2 3 2 5" xfId="17487"/>
    <cellStyle name="Note 2 3 2 5 2" xfId="38674"/>
    <cellStyle name="Note 2 3 2 6" xfId="27794"/>
    <cellStyle name="Note 2 3 2_Table 2A-1_EFT (Annual)" xfId="7279"/>
    <cellStyle name="Note 2 3 3" xfId="876"/>
    <cellStyle name="Note 2 3 3 2" xfId="4437"/>
    <cellStyle name="Note 2 3 3 2 2" xfId="12702"/>
    <cellStyle name="Note 2 3 3 2 2 2" xfId="24714"/>
    <cellStyle name="Note 2 3 3 2 2 2 2" xfId="45900"/>
    <cellStyle name="Note 2 3 3 2 2 3" xfId="35296"/>
    <cellStyle name="Note 2 3 3 2 3" xfId="19601"/>
    <cellStyle name="Note 2 3 3 2 3 2" xfId="40788"/>
    <cellStyle name="Note 2 3 3 2 4" xfId="30094"/>
    <cellStyle name="Note 2 3 3 2_Table 2A-1_EFT (Annual)" xfId="15586"/>
    <cellStyle name="Note 2 3 3 3" xfId="10049"/>
    <cellStyle name="Note 2 3 3 3 2" xfId="22168"/>
    <cellStyle name="Note 2 3 3 3 2 2" xfId="43354"/>
    <cellStyle name="Note 2 3 3 3 3" xfId="32750"/>
    <cellStyle name="Note 2 3 3 4" xfId="17055"/>
    <cellStyle name="Note 2 3 3 4 2" xfId="38242"/>
    <cellStyle name="Note 2 3 3 5" xfId="27351"/>
    <cellStyle name="Note 2 3 3_Table 2A-1_EFT (Annual)" xfId="7281"/>
    <cellStyle name="Note 2 3 4" xfId="2058"/>
    <cellStyle name="Note 2 3 4 2" xfId="5619"/>
    <cellStyle name="Note 2 3 4 2 2" xfId="13834"/>
    <cellStyle name="Note 2 3 4 2 2 2" xfId="25822"/>
    <cellStyle name="Note 2 3 4 2 2 2 2" xfId="47008"/>
    <cellStyle name="Note 2 3 4 2 2 3" xfId="36404"/>
    <cellStyle name="Note 2 3 4 2 3" xfId="20709"/>
    <cellStyle name="Note 2 3 4 2 3 2" xfId="41896"/>
    <cellStyle name="Note 2 3 4 2 4" xfId="31276"/>
    <cellStyle name="Note 2 3 4 2_Table 2A-1_EFT (Annual)" xfId="15587"/>
    <cellStyle name="Note 2 3 4 3" xfId="11178"/>
    <cellStyle name="Note 2 3 4 3 2" xfId="23276"/>
    <cellStyle name="Note 2 3 4 3 2 2" xfId="44462"/>
    <cellStyle name="Note 2 3 4 3 3" xfId="33858"/>
    <cellStyle name="Note 2 3 4 4" xfId="18163"/>
    <cellStyle name="Note 2 3 4 4 2" xfId="39350"/>
    <cellStyle name="Note 2 3 4 5" xfId="28533"/>
    <cellStyle name="Note 2 3 4_Table 2A-1_EFT (Annual)" xfId="7282"/>
    <cellStyle name="Note 2 3 5" xfId="3901"/>
    <cellStyle name="Note 2 3 5 2" xfId="12233"/>
    <cellStyle name="Note 2 3 5 2 2" xfId="24258"/>
    <cellStyle name="Note 2 3 5 2 2 2" xfId="45444"/>
    <cellStyle name="Note 2 3 5 2 3" xfId="34840"/>
    <cellStyle name="Note 2 3 5 3" xfId="19145"/>
    <cellStyle name="Note 2 3 5 3 2" xfId="40332"/>
    <cellStyle name="Note 2 3 5 4" xfId="29589"/>
    <cellStyle name="Note 2 3 5_Table 2A-1_EFT (Annual)" xfId="15588"/>
    <cellStyle name="Note 2 3 6" xfId="9570"/>
    <cellStyle name="Note 2 3 6 2" xfId="21712"/>
    <cellStyle name="Note 2 3 6 2 2" xfId="42898"/>
    <cellStyle name="Note 2 3 6 3" xfId="32294"/>
    <cellStyle name="Note 2 3 7" xfId="16599"/>
    <cellStyle name="Note 2 3 7 2" xfId="37786"/>
    <cellStyle name="Note 2 3 8" xfId="26846"/>
    <cellStyle name="Note 2 3_Table 2A-1_EFT (Annual)" xfId="3257"/>
    <cellStyle name="Note 2 4" xfId="1153"/>
    <cellStyle name="Note 2 4 2" xfId="2423"/>
    <cellStyle name="Note 2 4 2 2" xfId="5984"/>
    <cellStyle name="Note 2 4 2 2 2" xfId="14178"/>
    <cellStyle name="Note 2 4 2 2 2 2" xfId="26150"/>
    <cellStyle name="Note 2 4 2 2 2 2 2" xfId="47336"/>
    <cellStyle name="Note 2 4 2 2 2 3" xfId="36732"/>
    <cellStyle name="Note 2 4 2 2 3" xfId="21037"/>
    <cellStyle name="Note 2 4 2 2 3 2" xfId="42224"/>
    <cellStyle name="Note 2 4 2 2 4" xfId="31640"/>
    <cellStyle name="Note 2 4 2 2_Table 2A-1_EFT (Annual)" xfId="15589"/>
    <cellStyle name="Note 2 4 2 3" xfId="11520"/>
    <cellStyle name="Note 2 4 2 3 2" xfId="23604"/>
    <cellStyle name="Note 2 4 2 3 2 2" xfId="44790"/>
    <cellStyle name="Note 2 4 2 3 3" xfId="34186"/>
    <cellStyle name="Note 2 4 2 4" xfId="18491"/>
    <cellStyle name="Note 2 4 2 4 2" xfId="39678"/>
    <cellStyle name="Note 2 4 2 5" xfId="28897"/>
    <cellStyle name="Note 2 4 2_Table 2A-1_EFT (Annual)" xfId="7284"/>
    <cellStyle name="Note 2 4 3" xfId="4714"/>
    <cellStyle name="Note 2 4 3 2" xfId="12974"/>
    <cellStyle name="Note 2 4 3 2 2" xfId="24980"/>
    <cellStyle name="Note 2 4 3 2 2 2" xfId="46166"/>
    <cellStyle name="Note 2 4 3 2 3" xfId="35562"/>
    <cellStyle name="Note 2 4 3 3" xfId="19867"/>
    <cellStyle name="Note 2 4 3 3 2" xfId="41054"/>
    <cellStyle name="Note 2 4 3 4" xfId="30371"/>
    <cellStyle name="Note 2 4 3_Table 2A-1_EFT (Annual)" xfId="15590"/>
    <cellStyle name="Note 2 4 4" xfId="10318"/>
    <cellStyle name="Note 2 4 4 2" xfId="22434"/>
    <cellStyle name="Note 2 4 4 2 2" xfId="43620"/>
    <cellStyle name="Note 2 4 4 3" xfId="33016"/>
    <cellStyle name="Note 2 4 5" xfId="17321"/>
    <cellStyle name="Note 2 4 5 2" xfId="38508"/>
    <cellStyle name="Note 2 4 6" xfId="27628"/>
    <cellStyle name="Note 2 4_Table 2A-1_EFT (Annual)" xfId="7283"/>
    <cellStyle name="Note 2 5" xfId="717"/>
    <cellStyle name="Note 2 5 2" xfId="4278"/>
    <cellStyle name="Note 2 5 2 2" xfId="12562"/>
    <cellStyle name="Note 2 5 2 2 2" xfId="24580"/>
    <cellStyle name="Note 2 5 2 2 2 2" xfId="45766"/>
    <cellStyle name="Note 2 5 2 2 3" xfId="35162"/>
    <cellStyle name="Note 2 5 2 3" xfId="19467"/>
    <cellStyle name="Note 2 5 2 3 2" xfId="40654"/>
    <cellStyle name="Note 2 5 2 4" xfId="29935"/>
    <cellStyle name="Note 2 5 2_Table 2A-1_EFT (Annual)" xfId="15591"/>
    <cellStyle name="Note 2 5 3" xfId="9909"/>
    <cellStyle name="Note 2 5 3 2" xfId="22034"/>
    <cellStyle name="Note 2 5 3 2 2" xfId="43220"/>
    <cellStyle name="Note 2 5 3 3" xfId="32616"/>
    <cellStyle name="Note 2 5 4" xfId="16921"/>
    <cellStyle name="Note 2 5 4 2" xfId="38108"/>
    <cellStyle name="Note 2 5 5" xfId="27192"/>
    <cellStyle name="Note 2 5_Table 2A-1_EFT (Annual)" xfId="7285"/>
    <cellStyle name="Note 2 6" xfId="1806"/>
    <cellStyle name="Note 2 6 2" xfId="5367"/>
    <cellStyle name="Note 2 6 2 2" xfId="13582"/>
    <cellStyle name="Note 2 6 2 2 2" xfId="25570"/>
    <cellStyle name="Note 2 6 2 2 2 2" xfId="46756"/>
    <cellStyle name="Note 2 6 2 2 3" xfId="36152"/>
    <cellStyle name="Note 2 6 2 3" xfId="20457"/>
    <cellStyle name="Note 2 6 2 3 2" xfId="41644"/>
    <cellStyle name="Note 2 6 2 4" xfId="31024"/>
    <cellStyle name="Note 2 6 2_Table 2A-1_EFT (Annual)" xfId="15592"/>
    <cellStyle name="Note 2 6 3" xfId="10926"/>
    <cellStyle name="Note 2 6 3 2" xfId="23024"/>
    <cellStyle name="Note 2 6 3 2 2" xfId="44210"/>
    <cellStyle name="Note 2 6 3 3" xfId="33606"/>
    <cellStyle name="Note 2 6 4" xfId="17911"/>
    <cellStyle name="Note 2 6 4 2" xfId="39098"/>
    <cellStyle name="Note 2 6 5" xfId="28281"/>
    <cellStyle name="Note 2 6_Table 2A-1_EFT (Annual)" xfId="7286"/>
    <cellStyle name="Note 2 7" xfId="3689"/>
    <cellStyle name="Note 2 7 2" xfId="12061"/>
    <cellStyle name="Note 2 7 2 2" xfId="24092"/>
    <cellStyle name="Note 2 7 2 2 2" xfId="45278"/>
    <cellStyle name="Note 2 7 2 3" xfId="34674"/>
    <cellStyle name="Note 2 7 3" xfId="18979"/>
    <cellStyle name="Note 2 7 3 2" xfId="40166"/>
    <cellStyle name="Note 2 7 4" xfId="29398"/>
    <cellStyle name="Note 2 7_Table 2A-1_EFT (Annual)" xfId="15593"/>
    <cellStyle name="Note 2 8" xfId="9379"/>
    <cellStyle name="Note 2 8 2" xfId="21546"/>
    <cellStyle name="Note 2 8 2 2" xfId="42732"/>
    <cellStyle name="Note 2 8 3" xfId="32128"/>
    <cellStyle name="Note 2 9" xfId="16433"/>
    <cellStyle name="Note 2 9 2" xfId="37620"/>
    <cellStyle name="Note 2_Table 2A-1_EFT (Annual)" xfId="3255"/>
    <cellStyle name="Note 20" xfId="179"/>
    <cellStyle name="Note 20 10" xfId="26734"/>
    <cellStyle name="Note 20 2" xfId="572"/>
    <cellStyle name="Note 20 2 2" xfId="1549"/>
    <cellStyle name="Note 20 2 2 2" xfId="2819"/>
    <cellStyle name="Note 20 2 2 2 2" xfId="6380"/>
    <cellStyle name="Note 20 2 2 2 2 2" xfId="14574"/>
    <cellStyle name="Note 20 2 2 2 2 2 2" xfId="26546"/>
    <cellStyle name="Note 20 2 2 2 2 2 2 2" xfId="47732"/>
    <cellStyle name="Note 20 2 2 2 2 2 3" xfId="37128"/>
    <cellStyle name="Note 20 2 2 2 2 3" xfId="21433"/>
    <cellStyle name="Note 20 2 2 2 2 3 2" xfId="42620"/>
    <cellStyle name="Note 20 2 2 2 2 4" xfId="32036"/>
    <cellStyle name="Note 20 2 2 2 2_Table 2A-1_EFT (Annual)" xfId="15594"/>
    <cellStyle name="Note 20 2 2 2 3" xfId="11916"/>
    <cellStyle name="Note 20 2 2 2 3 2" xfId="24000"/>
    <cellStyle name="Note 20 2 2 2 3 2 2" xfId="45186"/>
    <cellStyle name="Note 20 2 2 2 3 3" xfId="34582"/>
    <cellStyle name="Note 20 2 2 2 4" xfId="18887"/>
    <cellStyle name="Note 20 2 2 2 4 2" xfId="40074"/>
    <cellStyle name="Note 20 2 2 2 5" xfId="29293"/>
    <cellStyle name="Note 20 2 2 2_Table 2A-1_EFT (Annual)" xfId="7288"/>
    <cellStyle name="Note 20 2 2 3" xfId="5110"/>
    <cellStyle name="Note 20 2 2 3 2" xfId="13370"/>
    <cellStyle name="Note 20 2 2 3 2 2" xfId="25376"/>
    <cellStyle name="Note 20 2 2 3 2 2 2" xfId="46562"/>
    <cellStyle name="Note 20 2 2 3 2 3" xfId="35958"/>
    <cellStyle name="Note 20 2 2 3 3" xfId="20263"/>
    <cellStyle name="Note 20 2 2 3 3 2" xfId="41450"/>
    <cellStyle name="Note 20 2 2 3 4" xfId="30767"/>
    <cellStyle name="Note 20 2 2 3_Table 2A-1_EFT (Annual)" xfId="15595"/>
    <cellStyle name="Note 20 2 2 4" xfId="10714"/>
    <cellStyle name="Note 20 2 2 4 2" xfId="22830"/>
    <cellStyle name="Note 20 2 2 4 2 2" xfId="44016"/>
    <cellStyle name="Note 20 2 2 4 3" xfId="33412"/>
    <cellStyle name="Note 20 2 2 5" xfId="17717"/>
    <cellStyle name="Note 20 2 2 5 2" xfId="38904"/>
    <cellStyle name="Note 20 2 2 6" xfId="28024"/>
    <cellStyle name="Note 20 2 2_Table 2A-1_EFT (Annual)" xfId="7287"/>
    <cellStyle name="Note 20 2 3" xfId="1074"/>
    <cellStyle name="Note 20 2 3 2" xfId="4635"/>
    <cellStyle name="Note 20 2 3 2 2" xfId="12895"/>
    <cellStyle name="Note 20 2 3 2 2 2" xfId="24901"/>
    <cellStyle name="Note 20 2 3 2 2 2 2" xfId="46087"/>
    <cellStyle name="Note 20 2 3 2 2 3" xfId="35483"/>
    <cellStyle name="Note 20 2 3 2 3" xfId="19788"/>
    <cellStyle name="Note 20 2 3 2 3 2" xfId="40975"/>
    <cellStyle name="Note 20 2 3 2 4" xfId="30292"/>
    <cellStyle name="Note 20 2 3 2_Table 2A-1_EFT (Annual)" xfId="15596"/>
    <cellStyle name="Note 20 2 3 3" xfId="10239"/>
    <cellStyle name="Note 20 2 3 3 2" xfId="22355"/>
    <cellStyle name="Note 20 2 3 3 2 2" xfId="43541"/>
    <cellStyle name="Note 20 2 3 3 3" xfId="32937"/>
    <cellStyle name="Note 20 2 3 4" xfId="17242"/>
    <cellStyle name="Note 20 2 3 4 2" xfId="38429"/>
    <cellStyle name="Note 20 2 3 5" xfId="27549"/>
    <cellStyle name="Note 20 2 3_Table 2A-1_EFT (Annual)" xfId="7289"/>
    <cellStyle name="Note 20 2 4" xfId="2288"/>
    <cellStyle name="Note 20 2 4 2" xfId="5849"/>
    <cellStyle name="Note 20 2 4 2 2" xfId="14064"/>
    <cellStyle name="Note 20 2 4 2 2 2" xfId="26052"/>
    <cellStyle name="Note 20 2 4 2 2 2 2" xfId="47238"/>
    <cellStyle name="Note 20 2 4 2 2 3" xfId="36634"/>
    <cellStyle name="Note 20 2 4 2 3" xfId="20939"/>
    <cellStyle name="Note 20 2 4 2 3 2" xfId="42126"/>
    <cellStyle name="Note 20 2 4 2 4" xfId="31506"/>
    <cellStyle name="Note 20 2 4 2_Table 2A-1_EFT (Annual)" xfId="15597"/>
    <cellStyle name="Note 20 2 4 3" xfId="11408"/>
    <cellStyle name="Note 20 2 4 3 2" xfId="23506"/>
    <cellStyle name="Note 20 2 4 3 2 2" xfId="44692"/>
    <cellStyle name="Note 20 2 4 3 3" xfId="34088"/>
    <cellStyle name="Note 20 2 4 4" xfId="18393"/>
    <cellStyle name="Note 20 2 4 4 2" xfId="39580"/>
    <cellStyle name="Note 20 2 4 5" xfId="28763"/>
    <cellStyle name="Note 20 2 4_Table 2A-1_EFT (Annual)" xfId="7290"/>
    <cellStyle name="Note 20 2 5" xfId="4142"/>
    <cellStyle name="Note 20 2 5 2" xfId="12466"/>
    <cellStyle name="Note 20 2 5 2 2" xfId="24488"/>
    <cellStyle name="Note 20 2 5 2 2 2" xfId="45674"/>
    <cellStyle name="Note 20 2 5 2 3" xfId="35070"/>
    <cellStyle name="Note 20 2 5 3" xfId="19375"/>
    <cellStyle name="Note 20 2 5 3 2" xfId="40562"/>
    <cellStyle name="Note 20 2 5 4" xfId="29830"/>
    <cellStyle name="Note 20 2 5_Table 2A-1_EFT (Annual)" xfId="15598"/>
    <cellStyle name="Note 20 2 6" xfId="9805"/>
    <cellStyle name="Note 20 2 6 2" xfId="21942"/>
    <cellStyle name="Note 20 2 6 2 2" xfId="43128"/>
    <cellStyle name="Note 20 2 6 3" xfId="32524"/>
    <cellStyle name="Note 20 2 7" xfId="16829"/>
    <cellStyle name="Note 20 2 7 2" xfId="38016"/>
    <cellStyle name="Note 20 2 8" xfId="27087"/>
    <cellStyle name="Note 20 2_Table 2A-1_EFT (Annual)" xfId="3259"/>
    <cellStyle name="Note 20 3" xfId="410"/>
    <cellStyle name="Note 20 3 2" xfId="1393"/>
    <cellStyle name="Note 20 3 2 2" xfId="2663"/>
    <cellStyle name="Note 20 3 2 2 2" xfId="6224"/>
    <cellStyle name="Note 20 3 2 2 2 2" xfId="14418"/>
    <cellStyle name="Note 20 3 2 2 2 2 2" xfId="26390"/>
    <cellStyle name="Note 20 3 2 2 2 2 2 2" xfId="47576"/>
    <cellStyle name="Note 20 3 2 2 2 2 3" xfId="36972"/>
    <cellStyle name="Note 20 3 2 2 2 3" xfId="21277"/>
    <cellStyle name="Note 20 3 2 2 2 3 2" xfId="42464"/>
    <cellStyle name="Note 20 3 2 2 2 4" xfId="31880"/>
    <cellStyle name="Note 20 3 2 2 2_Table 2A-1_EFT (Annual)" xfId="15599"/>
    <cellStyle name="Note 20 3 2 2 3" xfId="11760"/>
    <cellStyle name="Note 20 3 2 2 3 2" xfId="23844"/>
    <cellStyle name="Note 20 3 2 2 3 2 2" xfId="45030"/>
    <cellStyle name="Note 20 3 2 2 3 3" xfId="34426"/>
    <cellStyle name="Note 20 3 2 2 4" xfId="18731"/>
    <cellStyle name="Note 20 3 2 2 4 2" xfId="39918"/>
    <cellStyle name="Note 20 3 2 2 5" xfId="29137"/>
    <cellStyle name="Note 20 3 2 2_Table 2A-1_EFT (Annual)" xfId="7292"/>
    <cellStyle name="Note 20 3 2 3" xfId="4954"/>
    <cellStyle name="Note 20 3 2 3 2" xfId="13214"/>
    <cellStyle name="Note 20 3 2 3 2 2" xfId="25220"/>
    <cellStyle name="Note 20 3 2 3 2 2 2" xfId="46406"/>
    <cellStyle name="Note 20 3 2 3 2 3" xfId="35802"/>
    <cellStyle name="Note 20 3 2 3 3" xfId="20107"/>
    <cellStyle name="Note 20 3 2 3 3 2" xfId="41294"/>
    <cellStyle name="Note 20 3 2 3 4" xfId="30611"/>
    <cellStyle name="Note 20 3 2 3_Table 2A-1_EFT (Annual)" xfId="15600"/>
    <cellStyle name="Note 20 3 2 4" xfId="10558"/>
    <cellStyle name="Note 20 3 2 4 2" xfId="22674"/>
    <cellStyle name="Note 20 3 2 4 2 2" xfId="43860"/>
    <cellStyle name="Note 20 3 2 4 3" xfId="33256"/>
    <cellStyle name="Note 20 3 2 5" xfId="17561"/>
    <cellStyle name="Note 20 3 2 5 2" xfId="38748"/>
    <cellStyle name="Note 20 3 2 6" xfId="27868"/>
    <cellStyle name="Note 20 3 2_Table 2A-1_EFT (Annual)" xfId="7291"/>
    <cellStyle name="Note 20 3 3" xfId="942"/>
    <cellStyle name="Note 20 3 3 2" xfId="4503"/>
    <cellStyle name="Note 20 3 3 2 2" xfId="12765"/>
    <cellStyle name="Note 20 3 3 2 2 2" xfId="24775"/>
    <cellStyle name="Note 20 3 3 2 2 2 2" xfId="45961"/>
    <cellStyle name="Note 20 3 3 2 2 3" xfId="35357"/>
    <cellStyle name="Note 20 3 3 2 3" xfId="19662"/>
    <cellStyle name="Note 20 3 3 2 3 2" xfId="40849"/>
    <cellStyle name="Note 20 3 3 2 4" xfId="30160"/>
    <cellStyle name="Note 20 3 3 2_Table 2A-1_EFT (Annual)" xfId="15601"/>
    <cellStyle name="Note 20 3 3 3" xfId="10112"/>
    <cellStyle name="Note 20 3 3 3 2" xfId="22229"/>
    <cellStyle name="Note 20 3 3 3 2 2" xfId="43415"/>
    <cellStyle name="Note 20 3 3 3 3" xfId="32811"/>
    <cellStyle name="Note 20 3 3 4" xfId="17116"/>
    <cellStyle name="Note 20 3 3 4 2" xfId="38303"/>
    <cellStyle name="Note 20 3 3 5" xfId="27417"/>
    <cellStyle name="Note 20 3 3_Table 2A-1_EFT (Annual)" xfId="7293"/>
    <cellStyle name="Note 20 3 4" xfId="2132"/>
    <cellStyle name="Note 20 3 4 2" xfId="5693"/>
    <cellStyle name="Note 20 3 4 2 2" xfId="13908"/>
    <cellStyle name="Note 20 3 4 2 2 2" xfId="25896"/>
    <cellStyle name="Note 20 3 4 2 2 2 2" xfId="47082"/>
    <cellStyle name="Note 20 3 4 2 2 3" xfId="36478"/>
    <cellStyle name="Note 20 3 4 2 3" xfId="20783"/>
    <cellStyle name="Note 20 3 4 2 3 2" xfId="41970"/>
    <cellStyle name="Note 20 3 4 2 4" xfId="31350"/>
    <cellStyle name="Note 20 3 4 2_Table 2A-1_EFT (Annual)" xfId="15602"/>
    <cellStyle name="Note 20 3 4 3" xfId="11252"/>
    <cellStyle name="Note 20 3 4 3 2" xfId="23350"/>
    <cellStyle name="Note 20 3 4 3 2 2" xfId="44536"/>
    <cellStyle name="Note 20 3 4 3 3" xfId="33932"/>
    <cellStyle name="Note 20 3 4 4" xfId="18237"/>
    <cellStyle name="Note 20 3 4 4 2" xfId="39424"/>
    <cellStyle name="Note 20 3 4 5" xfId="28607"/>
    <cellStyle name="Note 20 3 4_Table 2A-1_EFT (Annual)" xfId="7294"/>
    <cellStyle name="Note 20 3 5" xfId="3980"/>
    <cellStyle name="Note 20 3 5 2" xfId="12308"/>
    <cellStyle name="Note 20 3 5 2 2" xfId="24332"/>
    <cellStyle name="Note 20 3 5 2 2 2" xfId="45518"/>
    <cellStyle name="Note 20 3 5 2 3" xfId="34914"/>
    <cellStyle name="Note 20 3 5 3" xfId="19219"/>
    <cellStyle name="Note 20 3 5 3 2" xfId="40406"/>
    <cellStyle name="Note 20 3 5 4" xfId="29668"/>
    <cellStyle name="Note 20 3 5_Table 2A-1_EFT (Annual)" xfId="15603"/>
    <cellStyle name="Note 20 3 6" xfId="9645"/>
    <cellStyle name="Note 20 3 6 2" xfId="21786"/>
    <cellStyle name="Note 20 3 6 2 2" xfId="42972"/>
    <cellStyle name="Note 20 3 6 3" xfId="32368"/>
    <cellStyle name="Note 20 3 7" xfId="16673"/>
    <cellStyle name="Note 20 3 7 2" xfId="37860"/>
    <cellStyle name="Note 20 3 8" xfId="26925"/>
    <cellStyle name="Note 20 3_Table 2A-1_EFT (Annual)" xfId="3260"/>
    <cellStyle name="Note 20 4" xfId="1227"/>
    <cellStyle name="Note 20 4 2" xfId="2497"/>
    <cellStyle name="Note 20 4 2 2" xfId="6058"/>
    <cellStyle name="Note 20 4 2 2 2" xfId="14252"/>
    <cellStyle name="Note 20 4 2 2 2 2" xfId="26224"/>
    <cellStyle name="Note 20 4 2 2 2 2 2" xfId="47410"/>
    <cellStyle name="Note 20 4 2 2 2 3" xfId="36806"/>
    <cellStyle name="Note 20 4 2 2 3" xfId="21111"/>
    <cellStyle name="Note 20 4 2 2 3 2" xfId="42298"/>
    <cellStyle name="Note 20 4 2 2 4" xfId="31714"/>
    <cellStyle name="Note 20 4 2 2_Table 2A-1_EFT (Annual)" xfId="15604"/>
    <cellStyle name="Note 20 4 2 3" xfId="11594"/>
    <cellStyle name="Note 20 4 2 3 2" xfId="23678"/>
    <cellStyle name="Note 20 4 2 3 2 2" xfId="44864"/>
    <cellStyle name="Note 20 4 2 3 3" xfId="34260"/>
    <cellStyle name="Note 20 4 2 4" xfId="18565"/>
    <cellStyle name="Note 20 4 2 4 2" xfId="39752"/>
    <cellStyle name="Note 20 4 2 5" xfId="28971"/>
    <cellStyle name="Note 20 4 2_Table 2A-1_EFT (Annual)" xfId="7296"/>
    <cellStyle name="Note 20 4 3" xfId="4788"/>
    <cellStyle name="Note 20 4 3 2" xfId="13048"/>
    <cellStyle name="Note 20 4 3 2 2" xfId="25054"/>
    <cellStyle name="Note 20 4 3 2 2 2" xfId="46240"/>
    <cellStyle name="Note 20 4 3 2 3" xfId="35636"/>
    <cellStyle name="Note 20 4 3 3" xfId="19941"/>
    <cellStyle name="Note 20 4 3 3 2" xfId="41128"/>
    <cellStyle name="Note 20 4 3 4" xfId="30445"/>
    <cellStyle name="Note 20 4 3_Table 2A-1_EFT (Annual)" xfId="15605"/>
    <cellStyle name="Note 20 4 4" xfId="10392"/>
    <cellStyle name="Note 20 4 4 2" xfId="22508"/>
    <cellStyle name="Note 20 4 4 2 2" xfId="43694"/>
    <cellStyle name="Note 20 4 4 3" xfId="33090"/>
    <cellStyle name="Note 20 4 5" xfId="17395"/>
    <cellStyle name="Note 20 4 5 2" xfId="38582"/>
    <cellStyle name="Note 20 4 6" xfId="27702"/>
    <cellStyle name="Note 20 4_Table 2A-1_EFT (Annual)" xfId="7295"/>
    <cellStyle name="Note 20 5" xfId="783"/>
    <cellStyle name="Note 20 5 2" xfId="4344"/>
    <cellStyle name="Note 20 5 2 2" xfId="12624"/>
    <cellStyle name="Note 20 5 2 2 2" xfId="24641"/>
    <cellStyle name="Note 20 5 2 2 2 2" xfId="45827"/>
    <cellStyle name="Note 20 5 2 2 3" xfId="35223"/>
    <cellStyle name="Note 20 5 2 3" xfId="19528"/>
    <cellStyle name="Note 20 5 2 3 2" xfId="40715"/>
    <cellStyle name="Note 20 5 2 4" xfId="30001"/>
    <cellStyle name="Note 20 5 2_Table 2A-1_EFT (Annual)" xfId="15606"/>
    <cellStyle name="Note 20 5 3" xfId="9972"/>
    <cellStyle name="Note 20 5 3 2" xfId="22095"/>
    <cellStyle name="Note 20 5 3 2 2" xfId="43281"/>
    <cellStyle name="Note 20 5 3 3" xfId="32677"/>
    <cellStyle name="Note 20 5 4" xfId="16982"/>
    <cellStyle name="Note 20 5 4 2" xfId="38169"/>
    <cellStyle name="Note 20 5 5" xfId="27258"/>
    <cellStyle name="Note 20 5_Table 2A-1_EFT (Annual)" xfId="7297"/>
    <cellStyle name="Note 20 6" xfId="1966"/>
    <cellStyle name="Note 20 6 2" xfId="5527"/>
    <cellStyle name="Note 20 6 2 2" xfId="13742"/>
    <cellStyle name="Note 20 6 2 2 2" xfId="25730"/>
    <cellStyle name="Note 20 6 2 2 2 2" xfId="46916"/>
    <cellStyle name="Note 20 6 2 2 3" xfId="36312"/>
    <cellStyle name="Note 20 6 2 3" xfId="20617"/>
    <cellStyle name="Note 20 6 2 3 2" xfId="41804"/>
    <cellStyle name="Note 20 6 2 4" xfId="31184"/>
    <cellStyle name="Note 20 6 2_Table 2A-1_EFT (Annual)" xfId="15607"/>
    <cellStyle name="Note 20 6 3" xfId="11086"/>
    <cellStyle name="Note 20 6 3 2" xfId="23184"/>
    <cellStyle name="Note 20 6 3 2 2" xfId="44370"/>
    <cellStyle name="Note 20 6 3 3" xfId="33766"/>
    <cellStyle name="Note 20 6 4" xfId="18071"/>
    <cellStyle name="Note 20 6 4 2" xfId="39258"/>
    <cellStyle name="Note 20 6 5" xfId="28441"/>
    <cellStyle name="Note 20 6_Table 2A-1_EFT (Annual)" xfId="7298"/>
    <cellStyle name="Note 20 7" xfId="3768"/>
    <cellStyle name="Note 20 7 2" xfId="12136"/>
    <cellStyle name="Note 20 7 2 2" xfId="24166"/>
    <cellStyle name="Note 20 7 2 2 2" xfId="45352"/>
    <cellStyle name="Note 20 7 2 3" xfId="34748"/>
    <cellStyle name="Note 20 7 3" xfId="19053"/>
    <cellStyle name="Note 20 7 3 2" xfId="40240"/>
    <cellStyle name="Note 20 7 4" xfId="29477"/>
    <cellStyle name="Note 20 7_Table 2A-1_EFT (Annual)" xfId="15608"/>
    <cellStyle name="Note 20 8" xfId="9455"/>
    <cellStyle name="Note 20 8 2" xfId="21620"/>
    <cellStyle name="Note 20 8 2 2" xfId="42806"/>
    <cellStyle name="Note 20 8 3" xfId="32202"/>
    <cellStyle name="Note 20 9" xfId="16507"/>
    <cellStyle name="Note 20 9 2" xfId="37694"/>
    <cellStyle name="Note 20_Table 2A-1_EFT (Annual)" xfId="3258"/>
    <cellStyle name="Note 21" xfId="202"/>
    <cellStyle name="Note 21 10" xfId="26757"/>
    <cellStyle name="Note 21 2" xfId="595"/>
    <cellStyle name="Note 21 2 2" xfId="1572"/>
    <cellStyle name="Note 21 2 2 2" xfId="2842"/>
    <cellStyle name="Note 21 2 2 2 2" xfId="6403"/>
    <cellStyle name="Note 21 2 2 2 2 2" xfId="14597"/>
    <cellStyle name="Note 21 2 2 2 2 2 2" xfId="26569"/>
    <cellStyle name="Note 21 2 2 2 2 2 2 2" xfId="47755"/>
    <cellStyle name="Note 21 2 2 2 2 2 3" xfId="37151"/>
    <cellStyle name="Note 21 2 2 2 2 3" xfId="21456"/>
    <cellStyle name="Note 21 2 2 2 2 3 2" xfId="42643"/>
    <cellStyle name="Note 21 2 2 2 2 4" xfId="32059"/>
    <cellStyle name="Note 21 2 2 2 2_Table 2A-1_EFT (Annual)" xfId="15609"/>
    <cellStyle name="Note 21 2 2 2 3" xfId="11939"/>
    <cellStyle name="Note 21 2 2 2 3 2" xfId="24023"/>
    <cellStyle name="Note 21 2 2 2 3 2 2" xfId="45209"/>
    <cellStyle name="Note 21 2 2 2 3 3" xfId="34605"/>
    <cellStyle name="Note 21 2 2 2 4" xfId="18910"/>
    <cellStyle name="Note 21 2 2 2 4 2" xfId="40097"/>
    <cellStyle name="Note 21 2 2 2 5" xfId="29316"/>
    <cellStyle name="Note 21 2 2 2_Table 2A-1_EFT (Annual)" xfId="7300"/>
    <cellStyle name="Note 21 2 2 3" xfId="5133"/>
    <cellStyle name="Note 21 2 2 3 2" xfId="13393"/>
    <cellStyle name="Note 21 2 2 3 2 2" xfId="25399"/>
    <cellStyle name="Note 21 2 2 3 2 2 2" xfId="46585"/>
    <cellStyle name="Note 21 2 2 3 2 3" xfId="35981"/>
    <cellStyle name="Note 21 2 2 3 3" xfId="20286"/>
    <cellStyle name="Note 21 2 2 3 3 2" xfId="41473"/>
    <cellStyle name="Note 21 2 2 3 4" xfId="30790"/>
    <cellStyle name="Note 21 2 2 3_Table 2A-1_EFT (Annual)" xfId="15610"/>
    <cellStyle name="Note 21 2 2 4" xfId="10737"/>
    <cellStyle name="Note 21 2 2 4 2" xfId="22853"/>
    <cellStyle name="Note 21 2 2 4 2 2" xfId="44039"/>
    <cellStyle name="Note 21 2 2 4 3" xfId="33435"/>
    <cellStyle name="Note 21 2 2 5" xfId="17740"/>
    <cellStyle name="Note 21 2 2 5 2" xfId="38927"/>
    <cellStyle name="Note 21 2 2 6" xfId="28047"/>
    <cellStyle name="Note 21 2 2_Table 2A-1_EFT (Annual)" xfId="7299"/>
    <cellStyle name="Note 21 2 3" xfId="1092"/>
    <cellStyle name="Note 21 2 3 2" xfId="4653"/>
    <cellStyle name="Note 21 2 3 2 2" xfId="12913"/>
    <cellStyle name="Note 21 2 3 2 2 2" xfId="24919"/>
    <cellStyle name="Note 21 2 3 2 2 2 2" xfId="46105"/>
    <cellStyle name="Note 21 2 3 2 2 3" xfId="35501"/>
    <cellStyle name="Note 21 2 3 2 3" xfId="19806"/>
    <cellStyle name="Note 21 2 3 2 3 2" xfId="40993"/>
    <cellStyle name="Note 21 2 3 2 4" xfId="30310"/>
    <cellStyle name="Note 21 2 3 2_Table 2A-1_EFT (Annual)" xfId="15611"/>
    <cellStyle name="Note 21 2 3 3" xfId="10257"/>
    <cellStyle name="Note 21 2 3 3 2" xfId="22373"/>
    <cellStyle name="Note 21 2 3 3 2 2" xfId="43559"/>
    <cellStyle name="Note 21 2 3 3 3" xfId="32955"/>
    <cellStyle name="Note 21 2 3 4" xfId="17260"/>
    <cellStyle name="Note 21 2 3 4 2" xfId="38447"/>
    <cellStyle name="Note 21 2 3 5" xfId="27567"/>
    <cellStyle name="Note 21 2 3_Table 2A-1_EFT (Annual)" xfId="7301"/>
    <cellStyle name="Note 21 2 4" xfId="2311"/>
    <cellStyle name="Note 21 2 4 2" xfId="5872"/>
    <cellStyle name="Note 21 2 4 2 2" xfId="14087"/>
    <cellStyle name="Note 21 2 4 2 2 2" xfId="26075"/>
    <cellStyle name="Note 21 2 4 2 2 2 2" xfId="47261"/>
    <cellStyle name="Note 21 2 4 2 2 3" xfId="36657"/>
    <cellStyle name="Note 21 2 4 2 3" xfId="20962"/>
    <cellStyle name="Note 21 2 4 2 3 2" xfId="42149"/>
    <cellStyle name="Note 21 2 4 2 4" xfId="31529"/>
    <cellStyle name="Note 21 2 4 2_Table 2A-1_EFT (Annual)" xfId="15612"/>
    <cellStyle name="Note 21 2 4 3" xfId="11431"/>
    <cellStyle name="Note 21 2 4 3 2" xfId="23529"/>
    <cellStyle name="Note 21 2 4 3 2 2" xfId="44715"/>
    <cellStyle name="Note 21 2 4 3 3" xfId="34111"/>
    <cellStyle name="Note 21 2 4 4" xfId="18416"/>
    <cellStyle name="Note 21 2 4 4 2" xfId="39603"/>
    <cellStyle name="Note 21 2 4 5" xfId="28786"/>
    <cellStyle name="Note 21 2 4_Table 2A-1_EFT (Annual)" xfId="7302"/>
    <cellStyle name="Note 21 2 5" xfId="4165"/>
    <cellStyle name="Note 21 2 5 2" xfId="12489"/>
    <cellStyle name="Note 21 2 5 2 2" xfId="24511"/>
    <cellStyle name="Note 21 2 5 2 2 2" xfId="45697"/>
    <cellStyle name="Note 21 2 5 2 3" xfId="35093"/>
    <cellStyle name="Note 21 2 5 3" xfId="19398"/>
    <cellStyle name="Note 21 2 5 3 2" xfId="40585"/>
    <cellStyle name="Note 21 2 5 4" xfId="29853"/>
    <cellStyle name="Note 21 2 5_Table 2A-1_EFT (Annual)" xfId="15613"/>
    <cellStyle name="Note 21 2 6" xfId="9828"/>
    <cellStyle name="Note 21 2 6 2" xfId="21965"/>
    <cellStyle name="Note 21 2 6 2 2" xfId="43151"/>
    <cellStyle name="Note 21 2 6 3" xfId="32547"/>
    <cellStyle name="Note 21 2 7" xfId="16852"/>
    <cellStyle name="Note 21 2 7 2" xfId="38039"/>
    <cellStyle name="Note 21 2 8" xfId="27110"/>
    <cellStyle name="Note 21 2_Table 2A-1_EFT (Annual)" xfId="3262"/>
    <cellStyle name="Note 21 3" xfId="431"/>
    <cellStyle name="Note 21 3 2" xfId="1414"/>
    <cellStyle name="Note 21 3 2 2" xfId="2684"/>
    <cellStyle name="Note 21 3 2 2 2" xfId="6245"/>
    <cellStyle name="Note 21 3 2 2 2 2" xfId="14439"/>
    <cellStyle name="Note 21 3 2 2 2 2 2" xfId="26411"/>
    <cellStyle name="Note 21 3 2 2 2 2 2 2" xfId="47597"/>
    <cellStyle name="Note 21 3 2 2 2 2 3" xfId="36993"/>
    <cellStyle name="Note 21 3 2 2 2 3" xfId="21298"/>
    <cellStyle name="Note 21 3 2 2 2 3 2" xfId="42485"/>
    <cellStyle name="Note 21 3 2 2 2 4" xfId="31901"/>
    <cellStyle name="Note 21 3 2 2 2_Table 2A-1_EFT (Annual)" xfId="15614"/>
    <cellStyle name="Note 21 3 2 2 3" xfId="11781"/>
    <cellStyle name="Note 21 3 2 2 3 2" xfId="23865"/>
    <cellStyle name="Note 21 3 2 2 3 2 2" xfId="45051"/>
    <cellStyle name="Note 21 3 2 2 3 3" xfId="34447"/>
    <cellStyle name="Note 21 3 2 2 4" xfId="18752"/>
    <cellStyle name="Note 21 3 2 2 4 2" xfId="39939"/>
    <cellStyle name="Note 21 3 2 2 5" xfId="29158"/>
    <cellStyle name="Note 21 3 2 2_Table 2A-1_EFT (Annual)" xfId="7304"/>
    <cellStyle name="Note 21 3 2 3" xfId="4975"/>
    <cellStyle name="Note 21 3 2 3 2" xfId="13235"/>
    <cellStyle name="Note 21 3 2 3 2 2" xfId="25241"/>
    <cellStyle name="Note 21 3 2 3 2 2 2" xfId="46427"/>
    <cellStyle name="Note 21 3 2 3 2 3" xfId="35823"/>
    <cellStyle name="Note 21 3 2 3 3" xfId="20128"/>
    <cellStyle name="Note 21 3 2 3 3 2" xfId="41315"/>
    <cellStyle name="Note 21 3 2 3 4" xfId="30632"/>
    <cellStyle name="Note 21 3 2 3_Table 2A-1_EFT (Annual)" xfId="15615"/>
    <cellStyle name="Note 21 3 2 4" xfId="10579"/>
    <cellStyle name="Note 21 3 2 4 2" xfId="22695"/>
    <cellStyle name="Note 21 3 2 4 2 2" xfId="43881"/>
    <cellStyle name="Note 21 3 2 4 3" xfId="33277"/>
    <cellStyle name="Note 21 3 2 5" xfId="17582"/>
    <cellStyle name="Note 21 3 2 5 2" xfId="38769"/>
    <cellStyle name="Note 21 3 2 6" xfId="27889"/>
    <cellStyle name="Note 21 3 2_Table 2A-1_EFT (Annual)" xfId="7303"/>
    <cellStyle name="Note 21 3 3" xfId="958"/>
    <cellStyle name="Note 21 3 3 2" xfId="4519"/>
    <cellStyle name="Note 21 3 3 2 2" xfId="12781"/>
    <cellStyle name="Note 21 3 3 2 2 2" xfId="24791"/>
    <cellStyle name="Note 21 3 3 2 2 2 2" xfId="45977"/>
    <cellStyle name="Note 21 3 3 2 2 3" xfId="35373"/>
    <cellStyle name="Note 21 3 3 2 3" xfId="19678"/>
    <cellStyle name="Note 21 3 3 2 3 2" xfId="40865"/>
    <cellStyle name="Note 21 3 3 2 4" xfId="30176"/>
    <cellStyle name="Note 21 3 3 2_Table 2A-1_EFT (Annual)" xfId="15616"/>
    <cellStyle name="Note 21 3 3 3" xfId="10128"/>
    <cellStyle name="Note 21 3 3 3 2" xfId="22245"/>
    <cellStyle name="Note 21 3 3 3 2 2" xfId="43431"/>
    <cellStyle name="Note 21 3 3 3 3" xfId="32827"/>
    <cellStyle name="Note 21 3 3 4" xfId="17132"/>
    <cellStyle name="Note 21 3 3 4 2" xfId="38319"/>
    <cellStyle name="Note 21 3 3 5" xfId="27433"/>
    <cellStyle name="Note 21 3 3_Table 2A-1_EFT (Annual)" xfId="7305"/>
    <cellStyle name="Note 21 3 4" xfId="2153"/>
    <cellStyle name="Note 21 3 4 2" xfId="5714"/>
    <cellStyle name="Note 21 3 4 2 2" xfId="13929"/>
    <cellStyle name="Note 21 3 4 2 2 2" xfId="25917"/>
    <cellStyle name="Note 21 3 4 2 2 2 2" xfId="47103"/>
    <cellStyle name="Note 21 3 4 2 2 3" xfId="36499"/>
    <cellStyle name="Note 21 3 4 2 3" xfId="20804"/>
    <cellStyle name="Note 21 3 4 2 3 2" xfId="41991"/>
    <cellStyle name="Note 21 3 4 2 4" xfId="31371"/>
    <cellStyle name="Note 21 3 4 2_Table 2A-1_EFT (Annual)" xfId="15617"/>
    <cellStyle name="Note 21 3 4 3" xfId="11273"/>
    <cellStyle name="Note 21 3 4 3 2" xfId="23371"/>
    <cellStyle name="Note 21 3 4 3 2 2" xfId="44557"/>
    <cellStyle name="Note 21 3 4 3 3" xfId="33953"/>
    <cellStyle name="Note 21 3 4 4" xfId="18258"/>
    <cellStyle name="Note 21 3 4 4 2" xfId="39445"/>
    <cellStyle name="Note 21 3 4 5" xfId="28628"/>
    <cellStyle name="Note 21 3 4_Table 2A-1_EFT (Annual)" xfId="7306"/>
    <cellStyle name="Note 21 3 5" xfId="4001"/>
    <cellStyle name="Note 21 3 5 2" xfId="12329"/>
    <cellStyle name="Note 21 3 5 2 2" xfId="24353"/>
    <cellStyle name="Note 21 3 5 2 2 2" xfId="45539"/>
    <cellStyle name="Note 21 3 5 2 3" xfId="34935"/>
    <cellStyle name="Note 21 3 5 3" xfId="19240"/>
    <cellStyle name="Note 21 3 5 3 2" xfId="40427"/>
    <cellStyle name="Note 21 3 5 4" xfId="29689"/>
    <cellStyle name="Note 21 3 5_Table 2A-1_EFT (Annual)" xfId="15618"/>
    <cellStyle name="Note 21 3 6" xfId="9666"/>
    <cellStyle name="Note 21 3 6 2" xfId="21807"/>
    <cellStyle name="Note 21 3 6 2 2" xfId="42993"/>
    <cellStyle name="Note 21 3 6 3" xfId="32389"/>
    <cellStyle name="Note 21 3 7" xfId="16694"/>
    <cellStyle name="Note 21 3 7 2" xfId="37881"/>
    <cellStyle name="Note 21 3 8" xfId="26946"/>
    <cellStyle name="Note 21 3_Table 2A-1_EFT (Annual)" xfId="3263"/>
    <cellStyle name="Note 21 4" xfId="1250"/>
    <cellStyle name="Note 21 4 2" xfId="2520"/>
    <cellStyle name="Note 21 4 2 2" xfId="6081"/>
    <cellStyle name="Note 21 4 2 2 2" xfId="14275"/>
    <cellStyle name="Note 21 4 2 2 2 2" xfId="26247"/>
    <cellStyle name="Note 21 4 2 2 2 2 2" xfId="47433"/>
    <cellStyle name="Note 21 4 2 2 2 3" xfId="36829"/>
    <cellStyle name="Note 21 4 2 2 3" xfId="21134"/>
    <cellStyle name="Note 21 4 2 2 3 2" xfId="42321"/>
    <cellStyle name="Note 21 4 2 2 4" xfId="31737"/>
    <cellStyle name="Note 21 4 2 2_Table 2A-1_EFT (Annual)" xfId="15619"/>
    <cellStyle name="Note 21 4 2 3" xfId="11617"/>
    <cellStyle name="Note 21 4 2 3 2" xfId="23701"/>
    <cellStyle name="Note 21 4 2 3 2 2" xfId="44887"/>
    <cellStyle name="Note 21 4 2 3 3" xfId="34283"/>
    <cellStyle name="Note 21 4 2 4" xfId="18588"/>
    <cellStyle name="Note 21 4 2 4 2" xfId="39775"/>
    <cellStyle name="Note 21 4 2 5" xfId="28994"/>
    <cellStyle name="Note 21 4 2_Table 2A-1_EFT (Annual)" xfId="7308"/>
    <cellStyle name="Note 21 4 3" xfId="4811"/>
    <cellStyle name="Note 21 4 3 2" xfId="13071"/>
    <cellStyle name="Note 21 4 3 2 2" xfId="25077"/>
    <cellStyle name="Note 21 4 3 2 2 2" xfId="46263"/>
    <cellStyle name="Note 21 4 3 2 3" xfId="35659"/>
    <cellStyle name="Note 21 4 3 3" xfId="19964"/>
    <cellStyle name="Note 21 4 3 3 2" xfId="41151"/>
    <cellStyle name="Note 21 4 3 4" xfId="30468"/>
    <cellStyle name="Note 21 4 3_Table 2A-1_EFT (Annual)" xfId="15620"/>
    <cellStyle name="Note 21 4 4" xfId="10415"/>
    <cellStyle name="Note 21 4 4 2" xfId="22531"/>
    <cellStyle name="Note 21 4 4 2 2" xfId="43717"/>
    <cellStyle name="Note 21 4 4 3" xfId="33113"/>
    <cellStyle name="Note 21 4 5" xfId="17418"/>
    <cellStyle name="Note 21 4 5 2" xfId="38605"/>
    <cellStyle name="Note 21 4 6" xfId="27725"/>
    <cellStyle name="Note 21 4_Table 2A-1_EFT (Annual)" xfId="7307"/>
    <cellStyle name="Note 21 5" xfId="801"/>
    <cellStyle name="Note 21 5 2" xfId="4362"/>
    <cellStyle name="Note 21 5 2 2" xfId="12642"/>
    <cellStyle name="Note 21 5 2 2 2" xfId="24659"/>
    <cellStyle name="Note 21 5 2 2 2 2" xfId="45845"/>
    <cellStyle name="Note 21 5 2 2 3" xfId="35241"/>
    <cellStyle name="Note 21 5 2 3" xfId="19546"/>
    <cellStyle name="Note 21 5 2 3 2" xfId="40733"/>
    <cellStyle name="Note 21 5 2 4" xfId="30019"/>
    <cellStyle name="Note 21 5 2_Table 2A-1_EFT (Annual)" xfId="15621"/>
    <cellStyle name="Note 21 5 3" xfId="9990"/>
    <cellStyle name="Note 21 5 3 2" xfId="22113"/>
    <cellStyle name="Note 21 5 3 2 2" xfId="43299"/>
    <cellStyle name="Note 21 5 3 3" xfId="32695"/>
    <cellStyle name="Note 21 5 4" xfId="17000"/>
    <cellStyle name="Note 21 5 4 2" xfId="38187"/>
    <cellStyle name="Note 21 5 5" xfId="27276"/>
    <cellStyle name="Note 21 5_Table 2A-1_EFT (Annual)" xfId="7309"/>
    <cellStyle name="Note 21 6" xfId="1989"/>
    <cellStyle name="Note 21 6 2" xfId="5550"/>
    <cellStyle name="Note 21 6 2 2" xfId="13765"/>
    <cellStyle name="Note 21 6 2 2 2" xfId="25753"/>
    <cellStyle name="Note 21 6 2 2 2 2" xfId="46939"/>
    <cellStyle name="Note 21 6 2 2 3" xfId="36335"/>
    <cellStyle name="Note 21 6 2 3" xfId="20640"/>
    <cellStyle name="Note 21 6 2 3 2" xfId="41827"/>
    <cellStyle name="Note 21 6 2 4" xfId="31207"/>
    <cellStyle name="Note 21 6 2_Table 2A-1_EFT (Annual)" xfId="15622"/>
    <cellStyle name="Note 21 6 3" xfId="11109"/>
    <cellStyle name="Note 21 6 3 2" xfId="23207"/>
    <cellStyle name="Note 21 6 3 2 2" xfId="44393"/>
    <cellStyle name="Note 21 6 3 3" xfId="33789"/>
    <cellStyle name="Note 21 6 4" xfId="18094"/>
    <cellStyle name="Note 21 6 4 2" xfId="39281"/>
    <cellStyle name="Note 21 6 5" xfId="28464"/>
    <cellStyle name="Note 21 6_Table 2A-1_EFT (Annual)" xfId="7310"/>
    <cellStyle name="Note 21 7" xfId="3791"/>
    <cellStyle name="Note 21 7 2" xfId="12159"/>
    <cellStyle name="Note 21 7 2 2" xfId="24189"/>
    <cellStyle name="Note 21 7 2 2 2" xfId="45375"/>
    <cellStyle name="Note 21 7 2 3" xfId="34771"/>
    <cellStyle name="Note 21 7 3" xfId="19076"/>
    <cellStyle name="Note 21 7 3 2" xfId="40263"/>
    <cellStyle name="Note 21 7 4" xfId="29500"/>
    <cellStyle name="Note 21 7_Table 2A-1_EFT (Annual)" xfId="15623"/>
    <cellStyle name="Note 21 8" xfId="9478"/>
    <cellStyle name="Note 21 8 2" xfId="21643"/>
    <cellStyle name="Note 21 8 2 2" xfId="42829"/>
    <cellStyle name="Note 21 8 3" xfId="32225"/>
    <cellStyle name="Note 21 9" xfId="16530"/>
    <cellStyle name="Note 21 9 2" xfId="37717"/>
    <cellStyle name="Note 21_Table 2A-1_EFT (Annual)" xfId="3261"/>
    <cellStyle name="Note 22" xfId="187"/>
    <cellStyle name="Note 22 10" xfId="26742"/>
    <cellStyle name="Note 22 2" xfId="580"/>
    <cellStyle name="Note 22 2 2" xfId="1557"/>
    <cellStyle name="Note 22 2 2 2" xfId="2827"/>
    <cellStyle name="Note 22 2 2 2 2" xfId="6388"/>
    <cellStyle name="Note 22 2 2 2 2 2" xfId="14582"/>
    <cellStyle name="Note 22 2 2 2 2 2 2" xfId="26554"/>
    <cellStyle name="Note 22 2 2 2 2 2 2 2" xfId="47740"/>
    <cellStyle name="Note 22 2 2 2 2 2 3" xfId="37136"/>
    <cellStyle name="Note 22 2 2 2 2 3" xfId="21441"/>
    <cellStyle name="Note 22 2 2 2 2 3 2" xfId="42628"/>
    <cellStyle name="Note 22 2 2 2 2 4" xfId="32044"/>
    <cellStyle name="Note 22 2 2 2 2_Table 2A-1_EFT (Annual)" xfId="15624"/>
    <cellStyle name="Note 22 2 2 2 3" xfId="11924"/>
    <cellStyle name="Note 22 2 2 2 3 2" xfId="24008"/>
    <cellStyle name="Note 22 2 2 2 3 2 2" xfId="45194"/>
    <cellStyle name="Note 22 2 2 2 3 3" xfId="34590"/>
    <cellStyle name="Note 22 2 2 2 4" xfId="18895"/>
    <cellStyle name="Note 22 2 2 2 4 2" xfId="40082"/>
    <cellStyle name="Note 22 2 2 2 5" xfId="29301"/>
    <cellStyle name="Note 22 2 2 2_Table 2A-1_EFT (Annual)" xfId="7312"/>
    <cellStyle name="Note 22 2 2 3" xfId="5118"/>
    <cellStyle name="Note 22 2 2 3 2" xfId="13378"/>
    <cellStyle name="Note 22 2 2 3 2 2" xfId="25384"/>
    <cellStyle name="Note 22 2 2 3 2 2 2" xfId="46570"/>
    <cellStyle name="Note 22 2 2 3 2 3" xfId="35966"/>
    <cellStyle name="Note 22 2 2 3 3" xfId="20271"/>
    <cellStyle name="Note 22 2 2 3 3 2" xfId="41458"/>
    <cellStyle name="Note 22 2 2 3 4" xfId="30775"/>
    <cellStyle name="Note 22 2 2 3_Table 2A-1_EFT (Annual)" xfId="15625"/>
    <cellStyle name="Note 22 2 2 4" xfId="10722"/>
    <cellStyle name="Note 22 2 2 4 2" xfId="22838"/>
    <cellStyle name="Note 22 2 2 4 2 2" xfId="44024"/>
    <cellStyle name="Note 22 2 2 4 3" xfId="33420"/>
    <cellStyle name="Note 22 2 2 5" xfId="17725"/>
    <cellStyle name="Note 22 2 2 5 2" xfId="38912"/>
    <cellStyle name="Note 22 2 2 6" xfId="28032"/>
    <cellStyle name="Note 22 2 2_Table 2A-1_EFT (Annual)" xfId="7311"/>
    <cellStyle name="Note 22 2 3" xfId="1080"/>
    <cellStyle name="Note 22 2 3 2" xfId="4641"/>
    <cellStyle name="Note 22 2 3 2 2" xfId="12901"/>
    <cellStyle name="Note 22 2 3 2 2 2" xfId="24907"/>
    <cellStyle name="Note 22 2 3 2 2 2 2" xfId="46093"/>
    <cellStyle name="Note 22 2 3 2 2 3" xfId="35489"/>
    <cellStyle name="Note 22 2 3 2 3" xfId="19794"/>
    <cellStyle name="Note 22 2 3 2 3 2" xfId="40981"/>
    <cellStyle name="Note 22 2 3 2 4" xfId="30298"/>
    <cellStyle name="Note 22 2 3 2_Table 2A-1_EFT (Annual)" xfId="15626"/>
    <cellStyle name="Note 22 2 3 3" xfId="10245"/>
    <cellStyle name="Note 22 2 3 3 2" xfId="22361"/>
    <cellStyle name="Note 22 2 3 3 2 2" xfId="43547"/>
    <cellStyle name="Note 22 2 3 3 3" xfId="32943"/>
    <cellStyle name="Note 22 2 3 4" xfId="17248"/>
    <cellStyle name="Note 22 2 3 4 2" xfId="38435"/>
    <cellStyle name="Note 22 2 3 5" xfId="27555"/>
    <cellStyle name="Note 22 2 3_Table 2A-1_EFT (Annual)" xfId="7313"/>
    <cellStyle name="Note 22 2 4" xfId="2296"/>
    <cellStyle name="Note 22 2 4 2" xfId="5857"/>
    <cellStyle name="Note 22 2 4 2 2" xfId="14072"/>
    <cellStyle name="Note 22 2 4 2 2 2" xfId="26060"/>
    <cellStyle name="Note 22 2 4 2 2 2 2" xfId="47246"/>
    <cellStyle name="Note 22 2 4 2 2 3" xfId="36642"/>
    <cellStyle name="Note 22 2 4 2 3" xfId="20947"/>
    <cellStyle name="Note 22 2 4 2 3 2" xfId="42134"/>
    <cellStyle name="Note 22 2 4 2 4" xfId="31514"/>
    <cellStyle name="Note 22 2 4 2_Table 2A-1_EFT (Annual)" xfId="15627"/>
    <cellStyle name="Note 22 2 4 3" xfId="11416"/>
    <cellStyle name="Note 22 2 4 3 2" xfId="23514"/>
    <cellStyle name="Note 22 2 4 3 2 2" xfId="44700"/>
    <cellStyle name="Note 22 2 4 3 3" xfId="34096"/>
    <cellStyle name="Note 22 2 4 4" xfId="18401"/>
    <cellStyle name="Note 22 2 4 4 2" xfId="39588"/>
    <cellStyle name="Note 22 2 4 5" xfId="28771"/>
    <cellStyle name="Note 22 2 4_Table 2A-1_EFT (Annual)" xfId="7314"/>
    <cellStyle name="Note 22 2 5" xfId="4150"/>
    <cellStyle name="Note 22 2 5 2" xfId="12474"/>
    <cellStyle name="Note 22 2 5 2 2" xfId="24496"/>
    <cellStyle name="Note 22 2 5 2 2 2" xfId="45682"/>
    <cellStyle name="Note 22 2 5 2 3" xfId="35078"/>
    <cellStyle name="Note 22 2 5 3" xfId="19383"/>
    <cellStyle name="Note 22 2 5 3 2" xfId="40570"/>
    <cellStyle name="Note 22 2 5 4" xfId="29838"/>
    <cellStyle name="Note 22 2 5_Table 2A-1_EFT (Annual)" xfId="15628"/>
    <cellStyle name="Note 22 2 6" xfId="9813"/>
    <cellStyle name="Note 22 2 6 2" xfId="21950"/>
    <cellStyle name="Note 22 2 6 2 2" xfId="43136"/>
    <cellStyle name="Note 22 2 6 3" xfId="32532"/>
    <cellStyle name="Note 22 2 7" xfId="16837"/>
    <cellStyle name="Note 22 2 7 2" xfId="38024"/>
    <cellStyle name="Note 22 2 8" xfId="27095"/>
    <cellStyle name="Note 22 2_Table 2A-1_EFT (Annual)" xfId="3265"/>
    <cellStyle name="Note 22 3" xfId="417"/>
    <cellStyle name="Note 22 3 2" xfId="1400"/>
    <cellStyle name="Note 22 3 2 2" xfId="2670"/>
    <cellStyle name="Note 22 3 2 2 2" xfId="6231"/>
    <cellStyle name="Note 22 3 2 2 2 2" xfId="14425"/>
    <cellStyle name="Note 22 3 2 2 2 2 2" xfId="26397"/>
    <cellStyle name="Note 22 3 2 2 2 2 2 2" xfId="47583"/>
    <cellStyle name="Note 22 3 2 2 2 2 3" xfId="36979"/>
    <cellStyle name="Note 22 3 2 2 2 3" xfId="21284"/>
    <cellStyle name="Note 22 3 2 2 2 3 2" xfId="42471"/>
    <cellStyle name="Note 22 3 2 2 2 4" xfId="31887"/>
    <cellStyle name="Note 22 3 2 2 2_Table 2A-1_EFT (Annual)" xfId="15629"/>
    <cellStyle name="Note 22 3 2 2 3" xfId="11767"/>
    <cellStyle name="Note 22 3 2 2 3 2" xfId="23851"/>
    <cellStyle name="Note 22 3 2 2 3 2 2" xfId="45037"/>
    <cellStyle name="Note 22 3 2 2 3 3" xfId="34433"/>
    <cellStyle name="Note 22 3 2 2 4" xfId="18738"/>
    <cellStyle name="Note 22 3 2 2 4 2" xfId="39925"/>
    <cellStyle name="Note 22 3 2 2 5" xfId="29144"/>
    <cellStyle name="Note 22 3 2 2_Table 2A-1_EFT (Annual)" xfId="7316"/>
    <cellStyle name="Note 22 3 2 3" xfId="4961"/>
    <cellStyle name="Note 22 3 2 3 2" xfId="13221"/>
    <cellStyle name="Note 22 3 2 3 2 2" xfId="25227"/>
    <cellStyle name="Note 22 3 2 3 2 2 2" xfId="46413"/>
    <cellStyle name="Note 22 3 2 3 2 3" xfId="35809"/>
    <cellStyle name="Note 22 3 2 3 3" xfId="20114"/>
    <cellStyle name="Note 22 3 2 3 3 2" xfId="41301"/>
    <cellStyle name="Note 22 3 2 3 4" xfId="30618"/>
    <cellStyle name="Note 22 3 2 3_Table 2A-1_EFT (Annual)" xfId="15630"/>
    <cellStyle name="Note 22 3 2 4" xfId="10565"/>
    <cellStyle name="Note 22 3 2 4 2" xfId="22681"/>
    <cellStyle name="Note 22 3 2 4 2 2" xfId="43867"/>
    <cellStyle name="Note 22 3 2 4 3" xfId="33263"/>
    <cellStyle name="Note 22 3 2 5" xfId="17568"/>
    <cellStyle name="Note 22 3 2 5 2" xfId="38755"/>
    <cellStyle name="Note 22 3 2 6" xfId="27875"/>
    <cellStyle name="Note 22 3 2_Table 2A-1_EFT (Annual)" xfId="7315"/>
    <cellStyle name="Note 22 3 3" xfId="947"/>
    <cellStyle name="Note 22 3 3 2" xfId="4508"/>
    <cellStyle name="Note 22 3 3 2 2" xfId="12770"/>
    <cellStyle name="Note 22 3 3 2 2 2" xfId="24780"/>
    <cellStyle name="Note 22 3 3 2 2 2 2" xfId="45966"/>
    <cellStyle name="Note 22 3 3 2 2 3" xfId="35362"/>
    <cellStyle name="Note 22 3 3 2 3" xfId="19667"/>
    <cellStyle name="Note 22 3 3 2 3 2" xfId="40854"/>
    <cellStyle name="Note 22 3 3 2 4" xfId="30165"/>
    <cellStyle name="Note 22 3 3 2_Table 2A-1_EFT (Annual)" xfId="15631"/>
    <cellStyle name="Note 22 3 3 3" xfId="10117"/>
    <cellStyle name="Note 22 3 3 3 2" xfId="22234"/>
    <cellStyle name="Note 22 3 3 3 2 2" xfId="43420"/>
    <cellStyle name="Note 22 3 3 3 3" xfId="32816"/>
    <cellStyle name="Note 22 3 3 4" xfId="17121"/>
    <cellStyle name="Note 22 3 3 4 2" xfId="38308"/>
    <cellStyle name="Note 22 3 3 5" xfId="27422"/>
    <cellStyle name="Note 22 3 3_Table 2A-1_EFT (Annual)" xfId="7317"/>
    <cellStyle name="Note 22 3 4" xfId="2139"/>
    <cellStyle name="Note 22 3 4 2" xfId="5700"/>
    <cellStyle name="Note 22 3 4 2 2" xfId="13915"/>
    <cellStyle name="Note 22 3 4 2 2 2" xfId="25903"/>
    <cellStyle name="Note 22 3 4 2 2 2 2" xfId="47089"/>
    <cellStyle name="Note 22 3 4 2 2 3" xfId="36485"/>
    <cellStyle name="Note 22 3 4 2 3" xfId="20790"/>
    <cellStyle name="Note 22 3 4 2 3 2" xfId="41977"/>
    <cellStyle name="Note 22 3 4 2 4" xfId="31357"/>
    <cellStyle name="Note 22 3 4 2_Table 2A-1_EFT (Annual)" xfId="15632"/>
    <cellStyle name="Note 22 3 4 3" xfId="11259"/>
    <cellStyle name="Note 22 3 4 3 2" xfId="23357"/>
    <cellStyle name="Note 22 3 4 3 2 2" xfId="44543"/>
    <cellStyle name="Note 22 3 4 3 3" xfId="33939"/>
    <cellStyle name="Note 22 3 4 4" xfId="18244"/>
    <cellStyle name="Note 22 3 4 4 2" xfId="39431"/>
    <cellStyle name="Note 22 3 4 5" xfId="28614"/>
    <cellStyle name="Note 22 3 4_Table 2A-1_EFT (Annual)" xfId="7318"/>
    <cellStyle name="Note 22 3 5" xfId="3987"/>
    <cellStyle name="Note 22 3 5 2" xfId="12315"/>
    <cellStyle name="Note 22 3 5 2 2" xfId="24339"/>
    <cellStyle name="Note 22 3 5 2 2 2" xfId="45525"/>
    <cellStyle name="Note 22 3 5 2 3" xfId="34921"/>
    <cellStyle name="Note 22 3 5 3" xfId="19226"/>
    <cellStyle name="Note 22 3 5 3 2" xfId="40413"/>
    <cellStyle name="Note 22 3 5 4" xfId="29675"/>
    <cellStyle name="Note 22 3 5_Table 2A-1_EFT (Annual)" xfId="15633"/>
    <cellStyle name="Note 22 3 6" xfId="9652"/>
    <cellStyle name="Note 22 3 6 2" xfId="21793"/>
    <cellStyle name="Note 22 3 6 2 2" xfId="42979"/>
    <cellStyle name="Note 22 3 6 3" xfId="32375"/>
    <cellStyle name="Note 22 3 7" xfId="16680"/>
    <cellStyle name="Note 22 3 7 2" xfId="37867"/>
    <cellStyle name="Note 22 3 8" xfId="26932"/>
    <cellStyle name="Note 22 3_Table 2A-1_EFT (Annual)" xfId="3266"/>
    <cellStyle name="Note 22 4" xfId="1235"/>
    <cellStyle name="Note 22 4 2" xfId="2505"/>
    <cellStyle name="Note 22 4 2 2" xfId="6066"/>
    <cellStyle name="Note 22 4 2 2 2" xfId="14260"/>
    <cellStyle name="Note 22 4 2 2 2 2" xfId="26232"/>
    <cellStyle name="Note 22 4 2 2 2 2 2" xfId="47418"/>
    <cellStyle name="Note 22 4 2 2 2 3" xfId="36814"/>
    <cellStyle name="Note 22 4 2 2 3" xfId="21119"/>
    <cellStyle name="Note 22 4 2 2 3 2" xfId="42306"/>
    <cellStyle name="Note 22 4 2 2 4" xfId="31722"/>
    <cellStyle name="Note 22 4 2 2_Table 2A-1_EFT (Annual)" xfId="15634"/>
    <cellStyle name="Note 22 4 2 3" xfId="11602"/>
    <cellStyle name="Note 22 4 2 3 2" xfId="23686"/>
    <cellStyle name="Note 22 4 2 3 2 2" xfId="44872"/>
    <cellStyle name="Note 22 4 2 3 3" xfId="34268"/>
    <cellStyle name="Note 22 4 2 4" xfId="18573"/>
    <cellStyle name="Note 22 4 2 4 2" xfId="39760"/>
    <cellStyle name="Note 22 4 2 5" xfId="28979"/>
    <cellStyle name="Note 22 4 2_Table 2A-1_EFT (Annual)" xfId="7320"/>
    <cellStyle name="Note 22 4 3" xfId="4796"/>
    <cellStyle name="Note 22 4 3 2" xfId="13056"/>
    <cellStyle name="Note 22 4 3 2 2" xfId="25062"/>
    <cellStyle name="Note 22 4 3 2 2 2" xfId="46248"/>
    <cellStyle name="Note 22 4 3 2 3" xfId="35644"/>
    <cellStyle name="Note 22 4 3 3" xfId="19949"/>
    <cellStyle name="Note 22 4 3 3 2" xfId="41136"/>
    <cellStyle name="Note 22 4 3 4" xfId="30453"/>
    <cellStyle name="Note 22 4 3_Table 2A-1_EFT (Annual)" xfId="15635"/>
    <cellStyle name="Note 22 4 4" xfId="10400"/>
    <cellStyle name="Note 22 4 4 2" xfId="22516"/>
    <cellStyle name="Note 22 4 4 2 2" xfId="43702"/>
    <cellStyle name="Note 22 4 4 3" xfId="33098"/>
    <cellStyle name="Note 22 4 5" xfId="17403"/>
    <cellStyle name="Note 22 4 5 2" xfId="38590"/>
    <cellStyle name="Note 22 4 6" xfId="27710"/>
    <cellStyle name="Note 22 4_Table 2A-1_EFT (Annual)" xfId="7319"/>
    <cellStyle name="Note 22 5" xfId="789"/>
    <cellStyle name="Note 22 5 2" xfId="4350"/>
    <cellStyle name="Note 22 5 2 2" xfId="12630"/>
    <cellStyle name="Note 22 5 2 2 2" xfId="24647"/>
    <cellStyle name="Note 22 5 2 2 2 2" xfId="45833"/>
    <cellStyle name="Note 22 5 2 2 3" xfId="35229"/>
    <cellStyle name="Note 22 5 2 3" xfId="19534"/>
    <cellStyle name="Note 22 5 2 3 2" xfId="40721"/>
    <cellStyle name="Note 22 5 2 4" xfId="30007"/>
    <cellStyle name="Note 22 5 2_Table 2A-1_EFT (Annual)" xfId="15636"/>
    <cellStyle name="Note 22 5 3" xfId="9978"/>
    <cellStyle name="Note 22 5 3 2" xfId="22101"/>
    <cellStyle name="Note 22 5 3 2 2" xfId="43287"/>
    <cellStyle name="Note 22 5 3 3" xfId="32683"/>
    <cellStyle name="Note 22 5 4" xfId="16988"/>
    <cellStyle name="Note 22 5 4 2" xfId="38175"/>
    <cellStyle name="Note 22 5 5" xfId="27264"/>
    <cellStyle name="Note 22 5_Table 2A-1_EFT (Annual)" xfId="7321"/>
    <cellStyle name="Note 22 6" xfId="1974"/>
    <cellStyle name="Note 22 6 2" xfId="5535"/>
    <cellStyle name="Note 22 6 2 2" xfId="13750"/>
    <cellStyle name="Note 22 6 2 2 2" xfId="25738"/>
    <cellStyle name="Note 22 6 2 2 2 2" xfId="46924"/>
    <cellStyle name="Note 22 6 2 2 3" xfId="36320"/>
    <cellStyle name="Note 22 6 2 3" xfId="20625"/>
    <cellStyle name="Note 22 6 2 3 2" xfId="41812"/>
    <cellStyle name="Note 22 6 2 4" xfId="31192"/>
    <cellStyle name="Note 22 6 2_Table 2A-1_EFT (Annual)" xfId="15637"/>
    <cellStyle name="Note 22 6 3" xfId="11094"/>
    <cellStyle name="Note 22 6 3 2" xfId="23192"/>
    <cellStyle name="Note 22 6 3 2 2" xfId="44378"/>
    <cellStyle name="Note 22 6 3 3" xfId="33774"/>
    <cellStyle name="Note 22 6 4" xfId="18079"/>
    <cellStyle name="Note 22 6 4 2" xfId="39266"/>
    <cellStyle name="Note 22 6 5" xfId="28449"/>
    <cellStyle name="Note 22 6_Table 2A-1_EFT (Annual)" xfId="7322"/>
    <cellStyle name="Note 22 7" xfId="3776"/>
    <cellStyle name="Note 22 7 2" xfId="12144"/>
    <cellStyle name="Note 22 7 2 2" xfId="24174"/>
    <cellStyle name="Note 22 7 2 2 2" xfId="45360"/>
    <cellStyle name="Note 22 7 2 3" xfId="34756"/>
    <cellStyle name="Note 22 7 3" xfId="19061"/>
    <cellStyle name="Note 22 7 3 2" xfId="40248"/>
    <cellStyle name="Note 22 7 4" xfId="29485"/>
    <cellStyle name="Note 22 7_Table 2A-1_EFT (Annual)" xfId="15638"/>
    <cellStyle name="Note 22 8" xfId="9463"/>
    <cellStyle name="Note 22 8 2" xfId="21628"/>
    <cellStyle name="Note 22 8 2 2" xfId="42814"/>
    <cellStyle name="Note 22 8 3" xfId="32210"/>
    <cellStyle name="Note 22 9" xfId="16515"/>
    <cellStyle name="Note 22 9 2" xfId="37702"/>
    <cellStyle name="Note 22_Table 2A-1_EFT (Annual)" xfId="3264"/>
    <cellStyle name="Note 23" xfId="213"/>
    <cellStyle name="Note 23 10" xfId="26768"/>
    <cellStyle name="Note 23 2" xfId="606"/>
    <cellStyle name="Note 23 2 2" xfId="1583"/>
    <cellStyle name="Note 23 2 2 2" xfId="2853"/>
    <cellStyle name="Note 23 2 2 2 2" xfId="6414"/>
    <cellStyle name="Note 23 2 2 2 2 2" xfId="14608"/>
    <cellStyle name="Note 23 2 2 2 2 2 2" xfId="26580"/>
    <cellStyle name="Note 23 2 2 2 2 2 2 2" xfId="47766"/>
    <cellStyle name="Note 23 2 2 2 2 2 3" xfId="37162"/>
    <cellStyle name="Note 23 2 2 2 2 3" xfId="21467"/>
    <cellStyle name="Note 23 2 2 2 2 3 2" xfId="42654"/>
    <cellStyle name="Note 23 2 2 2 2 4" xfId="32070"/>
    <cellStyle name="Note 23 2 2 2 2_Table 2A-1_EFT (Annual)" xfId="15639"/>
    <cellStyle name="Note 23 2 2 2 3" xfId="11950"/>
    <cellStyle name="Note 23 2 2 2 3 2" xfId="24034"/>
    <cellStyle name="Note 23 2 2 2 3 2 2" xfId="45220"/>
    <cellStyle name="Note 23 2 2 2 3 3" xfId="34616"/>
    <cellStyle name="Note 23 2 2 2 4" xfId="18921"/>
    <cellStyle name="Note 23 2 2 2 4 2" xfId="40108"/>
    <cellStyle name="Note 23 2 2 2 5" xfId="29327"/>
    <cellStyle name="Note 23 2 2 2_Table 2A-1_EFT (Annual)" xfId="7324"/>
    <cellStyle name="Note 23 2 2 3" xfId="5144"/>
    <cellStyle name="Note 23 2 2 3 2" xfId="13404"/>
    <cellStyle name="Note 23 2 2 3 2 2" xfId="25410"/>
    <cellStyle name="Note 23 2 2 3 2 2 2" xfId="46596"/>
    <cellStyle name="Note 23 2 2 3 2 3" xfId="35992"/>
    <cellStyle name="Note 23 2 2 3 3" xfId="20297"/>
    <cellStyle name="Note 23 2 2 3 3 2" xfId="41484"/>
    <cellStyle name="Note 23 2 2 3 4" xfId="30801"/>
    <cellStyle name="Note 23 2 2 3_Table 2A-1_EFT (Annual)" xfId="15640"/>
    <cellStyle name="Note 23 2 2 4" xfId="10748"/>
    <cellStyle name="Note 23 2 2 4 2" xfId="22864"/>
    <cellStyle name="Note 23 2 2 4 2 2" xfId="44050"/>
    <cellStyle name="Note 23 2 2 4 3" xfId="33446"/>
    <cellStyle name="Note 23 2 2 5" xfId="17751"/>
    <cellStyle name="Note 23 2 2 5 2" xfId="38938"/>
    <cellStyle name="Note 23 2 2 6" xfId="28058"/>
    <cellStyle name="Note 23 2 2_Table 2A-1_EFT (Annual)" xfId="7323"/>
    <cellStyle name="Note 23 2 3" xfId="1101"/>
    <cellStyle name="Note 23 2 3 2" xfId="4662"/>
    <cellStyle name="Note 23 2 3 2 2" xfId="12922"/>
    <cellStyle name="Note 23 2 3 2 2 2" xfId="24928"/>
    <cellStyle name="Note 23 2 3 2 2 2 2" xfId="46114"/>
    <cellStyle name="Note 23 2 3 2 2 3" xfId="35510"/>
    <cellStyle name="Note 23 2 3 2 3" xfId="19815"/>
    <cellStyle name="Note 23 2 3 2 3 2" xfId="41002"/>
    <cellStyle name="Note 23 2 3 2 4" xfId="30319"/>
    <cellStyle name="Note 23 2 3 2_Table 2A-1_EFT (Annual)" xfId="15641"/>
    <cellStyle name="Note 23 2 3 3" xfId="10266"/>
    <cellStyle name="Note 23 2 3 3 2" xfId="22382"/>
    <cellStyle name="Note 23 2 3 3 2 2" xfId="43568"/>
    <cellStyle name="Note 23 2 3 3 3" xfId="32964"/>
    <cellStyle name="Note 23 2 3 4" xfId="17269"/>
    <cellStyle name="Note 23 2 3 4 2" xfId="38456"/>
    <cellStyle name="Note 23 2 3 5" xfId="27576"/>
    <cellStyle name="Note 23 2 3_Table 2A-1_EFT (Annual)" xfId="7325"/>
    <cellStyle name="Note 23 2 4" xfId="2322"/>
    <cellStyle name="Note 23 2 4 2" xfId="5883"/>
    <cellStyle name="Note 23 2 4 2 2" xfId="14098"/>
    <cellStyle name="Note 23 2 4 2 2 2" xfId="26086"/>
    <cellStyle name="Note 23 2 4 2 2 2 2" xfId="47272"/>
    <cellStyle name="Note 23 2 4 2 2 3" xfId="36668"/>
    <cellStyle name="Note 23 2 4 2 3" xfId="20973"/>
    <cellStyle name="Note 23 2 4 2 3 2" xfId="42160"/>
    <cellStyle name="Note 23 2 4 2 4" xfId="31540"/>
    <cellStyle name="Note 23 2 4 2_Table 2A-1_EFT (Annual)" xfId="15642"/>
    <cellStyle name="Note 23 2 4 3" xfId="11442"/>
    <cellStyle name="Note 23 2 4 3 2" xfId="23540"/>
    <cellStyle name="Note 23 2 4 3 2 2" xfId="44726"/>
    <cellStyle name="Note 23 2 4 3 3" xfId="34122"/>
    <cellStyle name="Note 23 2 4 4" xfId="18427"/>
    <cellStyle name="Note 23 2 4 4 2" xfId="39614"/>
    <cellStyle name="Note 23 2 4 5" xfId="28797"/>
    <cellStyle name="Note 23 2 4_Table 2A-1_EFT (Annual)" xfId="7326"/>
    <cellStyle name="Note 23 2 5" xfId="4176"/>
    <cellStyle name="Note 23 2 5 2" xfId="12500"/>
    <cellStyle name="Note 23 2 5 2 2" xfId="24522"/>
    <cellStyle name="Note 23 2 5 2 2 2" xfId="45708"/>
    <cellStyle name="Note 23 2 5 2 3" xfId="35104"/>
    <cellStyle name="Note 23 2 5 3" xfId="19409"/>
    <cellStyle name="Note 23 2 5 3 2" xfId="40596"/>
    <cellStyle name="Note 23 2 5 4" xfId="29864"/>
    <cellStyle name="Note 23 2 5_Table 2A-1_EFT (Annual)" xfId="15643"/>
    <cellStyle name="Note 23 2 6" xfId="9839"/>
    <cellStyle name="Note 23 2 6 2" xfId="21976"/>
    <cellStyle name="Note 23 2 6 2 2" xfId="43162"/>
    <cellStyle name="Note 23 2 6 3" xfId="32558"/>
    <cellStyle name="Note 23 2 7" xfId="16863"/>
    <cellStyle name="Note 23 2 7 2" xfId="38050"/>
    <cellStyle name="Note 23 2 8" xfId="27121"/>
    <cellStyle name="Note 23 2_Table 2A-1_EFT (Annual)" xfId="3268"/>
    <cellStyle name="Note 23 3" xfId="441"/>
    <cellStyle name="Note 23 3 2" xfId="1424"/>
    <cellStyle name="Note 23 3 2 2" xfId="2694"/>
    <cellStyle name="Note 23 3 2 2 2" xfId="6255"/>
    <cellStyle name="Note 23 3 2 2 2 2" xfId="14449"/>
    <cellStyle name="Note 23 3 2 2 2 2 2" xfId="26421"/>
    <cellStyle name="Note 23 3 2 2 2 2 2 2" xfId="47607"/>
    <cellStyle name="Note 23 3 2 2 2 2 3" xfId="37003"/>
    <cellStyle name="Note 23 3 2 2 2 3" xfId="21308"/>
    <cellStyle name="Note 23 3 2 2 2 3 2" xfId="42495"/>
    <cellStyle name="Note 23 3 2 2 2 4" xfId="31911"/>
    <cellStyle name="Note 23 3 2 2 2_Table 2A-1_EFT (Annual)" xfId="15644"/>
    <cellStyle name="Note 23 3 2 2 3" xfId="11791"/>
    <cellStyle name="Note 23 3 2 2 3 2" xfId="23875"/>
    <cellStyle name="Note 23 3 2 2 3 2 2" xfId="45061"/>
    <cellStyle name="Note 23 3 2 2 3 3" xfId="34457"/>
    <cellStyle name="Note 23 3 2 2 4" xfId="18762"/>
    <cellStyle name="Note 23 3 2 2 4 2" xfId="39949"/>
    <cellStyle name="Note 23 3 2 2 5" xfId="29168"/>
    <cellStyle name="Note 23 3 2 2_Table 2A-1_EFT (Annual)" xfId="7328"/>
    <cellStyle name="Note 23 3 2 3" xfId="4985"/>
    <cellStyle name="Note 23 3 2 3 2" xfId="13245"/>
    <cellStyle name="Note 23 3 2 3 2 2" xfId="25251"/>
    <cellStyle name="Note 23 3 2 3 2 2 2" xfId="46437"/>
    <cellStyle name="Note 23 3 2 3 2 3" xfId="35833"/>
    <cellStyle name="Note 23 3 2 3 3" xfId="20138"/>
    <cellStyle name="Note 23 3 2 3 3 2" xfId="41325"/>
    <cellStyle name="Note 23 3 2 3 4" xfId="30642"/>
    <cellStyle name="Note 23 3 2 3_Table 2A-1_EFT (Annual)" xfId="15645"/>
    <cellStyle name="Note 23 3 2 4" xfId="10589"/>
    <cellStyle name="Note 23 3 2 4 2" xfId="22705"/>
    <cellStyle name="Note 23 3 2 4 2 2" xfId="43891"/>
    <cellStyle name="Note 23 3 2 4 3" xfId="33287"/>
    <cellStyle name="Note 23 3 2 5" xfId="17592"/>
    <cellStyle name="Note 23 3 2 5 2" xfId="38779"/>
    <cellStyle name="Note 23 3 2 6" xfId="27899"/>
    <cellStyle name="Note 23 3 2_Table 2A-1_EFT (Annual)" xfId="7327"/>
    <cellStyle name="Note 23 3 3" xfId="966"/>
    <cellStyle name="Note 23 3 3 2" xfId="4527"/>
    <cellStyle name="Note 23 3 3 2 2" xfId="12789"/>
    <cellStyle name="Note 23 3 3 2 2 2" xfId="24799"/>
    <cellStyle name="Note 23 3 3 2 2 2 2" xfId="45985"/>
    <cellStyle name="Note 23 3 3 2 2 3" xfId="35381"/>
    <cellStyle name="Note 23 3 3 2 3" xfId="19686"/>
    <cellStyle name="Note 23 3 3 2 3 2" xfId="40873"/>
    <cellStyle name="Note 23 3 3 2 4" xfId="30184"/>
    <cellStyle name="Note 23 3 3 2_Table 2A-1_EFT (Annual)" xfId="15646"/>
    <cellStyle name="Note 23 3 3 3" xfId="10136"/>
    <cellStyle name="Note 23 3 3 3 2" xfId="22253"/>
    <cellStyle name="Note 23 3 3 3 2 2" xfId="43439"/>
    <cellStyle name="Note 23 3 3 3 3" xfId="32835"/>
    <cellStyle name="Note 23 3 3 4" xfId="17140"/>
    <cellStyle name="Note 23 3 3 4 2" xfId="38327"/>
    <cellStyle name="Note 23 3 3 5" xfId="27441"/>
    <cellStyle name="Note 23 3 3_Table 2A-1_EFT (Annual)" xfId="7329"/>
    <cellStyle name="Note 23 3 4" xfId="2163"/>
    <cellStyle name="Note 23 3 4 2" xfId="5724"/>
    <cellStyle name="Note 23 3 4 2 2" xfId="13939"/>
    <cellStyle name="Note 23 3 4 2 2 2" xfId="25927"/>
    <cellStyle name="Note 23 3 4 2 2 2 2" xfId="47113"/>
    <cellStyle name="Note 23 3 4 2 2 3" xfId="36509"/>
    <cellStyle name="Note 23 3 4 2 3" xfId="20814"/>
    <cellStyle name="Note 23 3 4 2 3 2" xfId="42001"/>
    <cellStyle name="Note 23 3 4 2 4" xfId="31381"/>
    <cellStyle name="Note 23 3 4 2_Table 2A-1_EFT (Annual)" xfId="15647"/>
    <cellStyle name="Note 23 3 4 3" xfId="11283"/>
    <cellStyle name="Note 23 3 4 3 2" xfId="23381"/>
    <cellStyle name="Note 23 3 4 3 2 2" xfId="44567"/>
    <cellStyle name="Note 23 3 4 3 3" xfId="33963"/>
    <cellStyle name="Note 23 3 4 4" xfId="18268"/>
    <cellStyle name="Note 23 3 4 4 2" xfId="39455"/>
    <cellStyle name="Note 23 3 4 5" xfId="28638"/>
    <cellStyle name="Note 23 3 4_Table 2A-1_EFT (Annual)" xfId="7330"/>
    <cellStyle name="Note 23 3 5" xfId="4011"/>
    <cellStyle name="Note 23 3 5 2" xfId="12339"/>
    <cellStyle name="Note 23 3 5 2 2" xfId="24363"/>
    <cellStyle name="Note 23 3 5 2 2 2" xfId="45549"/>
    <cellStyle name="Note 23 3 5 2 3" xfId="34945"/>
    <cellStyle name="Note 23 3 5 3" xfId="19250"/>
    <cellStyle name="Note 23 3 5 3 2" xfId="40437"/>
    <cellStyle name="Note 23 3 5 4" xfId="29699"/>
    <cellStyle name="Note 23 3 5_Table 2A-1_EFT (Annual)" xfId="15648"/>
    <cellStyle name="Note 23 3 6" xfId="9676"/>
    <cellStyle name="Note 23 3 6 2" xfId="21817"/>
    <cellStyle name="Note 23 3 6 2 2" xfId="43003"/>
    <cellStyle name="Note 23 3 6 3" xfId="32399"/>
    <cellStyle name="Note 23 3 7" xfId="16704"/>
    <cellStyle name="Note 23 3 7 2" xfId="37891"/>
    <cellStyle name="Note 23 3 8" xfId="26956"/>
    <cellStyle name="Note 23 3_Table 2A-1_EFT (Annual)" xfId="3269"/>
    <cellStyle name="Note 23 4" xfId="1261"/>
    <cellStyle name="Note 23 4 2" xfId="2531"/>
    <cellStyle name="Note 23 4 2 2" xfId="6092"/>
    <cellStyle name="Note 23 4 2 2 2" xfId="14286"/>
    <cellStyle name="Note 23 4 2 2 2 2" xfId="26258"/>
    <cellStyle name="Note 23 4 2 2 2 2 2" xfId="47444"/>
    <cellStyle name="Note 23 4 2 2 2 3" xfId="36840"/>
    <cellStyle name="Note 23 4 2 2 3" xfId="21145"/>
    <cellStyle name="Note 23 4 2 2 3 2" xfId="42332"/>
    <cellStyle name="Note 23 4 2 2 4" xfId="31748"/>
    <cellStyle name="Note 23 4 2 2_Table 2A-1_EFT (Annual)" xfId="15649"/>
    <cellStyle name="Note 23 4 2 3" xfId="11628"/>
    <cellStyle name="Note 23 4 2 3 2" xfId="23712"/>
    <cellStyle name="Note 23 4 2 3 2 2" xfId="44898"/>
    <cellStyle name="Note 23 4 2 3 3" xfId="34294"/>
    <cellStyle name="Note 23 4 2 4" xfId="18599"/>
    <cellStyle name="Note 23 4 2 4 2" xfId="39786"/>
    <cellStyle name="Note 23 4 2 5" xfId="29005"/>
    <cellStyle name="Note 23 4 2_Table 2A-1_EFT (Annual)" xfId="7332"/>
    <cellStyle name="Note 23 4 3" xfId="4822"/>
    <cellStyle name="Note 23 4 3 2" xfId="13082"/>
    <cellStyle name="Note 23 4 3 2 2" xfId="25088"/>
    <cellStyle name="Note 23 4 3 2 2 2" xfId="46274"/>
    <cellStyle name="Note 23 4 3 2 3" xfId="35670"/>
    <cellStyle name="Note 23 4 3 3" xfId="19975"/>
    <cellStyle name="Note 23 4 3 3 2" xfId="41162"/>
    <cellStyle name="Note 23 4 3 4" xfId="30479"/>
    <cellStyle name="Note 23 4 3_Table 2A-1_EFT (Annual)" xfId="15650"/>
    <cellStyle name="Note 23 4 4" xfId="10426"/>
    <cellStyle name="Note 23 4 4 2" xfId="22542"/>
    <cellStyle name="Note 23 4 4 2 2" xfId="43728"/>
    <cellStyle name="Note 23 4 4 3" xfId="33124"/>
    <cellStyle name="Note 23 4 5" xfId="17429"/>
    <cellStyle name="Note 23 4 5 2" xfId="38616"/>
    <cellStyle name="Note 23 4 6" xfId="27736"/>
    <cellStyle name="Note 23 4_Table 2A-1_EFT (Annual)" xfId="7331"/>
    <cellStyle name="Note 23 5" xfId="810"/>
    <cellStyle name="Note 23 5 2" xfId="4371"/>
    <cellStyle name="Note 23 5 2 2" xfId="12651"/>
    <cellStyle name="Note 23 5 2 2 2" xfId="24668"/>
    <cellStyle name="Note 23 5 2 2 2 2" xfId="45854"/>
    <cellStyle name="Note 23 5 2 2 3" xfId="35250"/>
    <cellStyle name="Note 23 5 2 3" xfId="19555"/>
    <cellStyle name="Note 23 5 2 3 2" xfId="40742"/>
    <cellStyle name="Note 23 5 2 4" xfId="30028"/>
    <cellStyle name="Note 23 5 2_Table 2A-1_EFT (Annual)" xfId="15651"/>
    <cellStyle name="Note 23 5 3" xfId="9999"/>
    <cellStyle name="Note 23 5 3 2" xfId="22122"/>
    <cellStyle name="Note 23 5 3 2 2" xfId="43308"/>
    <cellStyle name="Note 23 5 3 3" xfId="32704"/>
    <cellStyle name="Note 23 5 4" xfId="17009"/>
    <cellStyle name="Note 23 5 4 2" xfId="38196"/>
    <cellStyle name="Note 23 5 5" xfId="27285"/>
    <cellStyle name="Note 23 5_Table 2A-1_EFT (Annual)" xfId="7333"/>
    <cellStyle name="Note 23 6" xfId="2000"/>
    <cellStyle name="Note 23 6 2" xfId="5561"/>
    <cellStyle name="Note 23 6 2 2" xfId="13776"/>
    <cellStyle name="Note 23 6 2 2 2" xfId="25764"/>
    <cellStyle name="Note 23 6 2 2 2 2" xfId="46950"/>
    <cellStyle name="Note 23 6 2 2 3" xfId="36346"/>
    <cellStyle name="Note 23 6 2 3" xfId="20651"/>
    <cellStyle name="Note 23 6 2 3 2" xfId="41838"/>
    <cellStyle name="Note 23 6 2 4" xfId="31218"/>
    <cellStyle name="Note 23 6 2_Table 2A-1_EFT (Annual)" xfId="15652"/>
    <cellStyle name="Note 23 6 3" xfId="11120"/>
    <cellStyle name="Note 23 6 3 2" xfId="23218"/>
    <cellStyle name="Note 23 6 3 2 2" xfId="44404"/>
    <cellStyle name="Note 23 6 3 3" xfId="33800"/>
    <cellStyle name="Note 23 6 4" xfId="18105"/>
    <cellStyle name="Note 23 6 4 2" xfId="39292"/>
    <cellStyle name="Note 23 6 5" xfId="28475"/>
    <cellStyle name="Note 23 6_Table 2A-1_EFT (Annual)" xfId="7334"/>
    <cellStyle name="Note 23 7" xfId="3802"/>
    <cellStyle name="Note 23 7 2" xfId="12170"/>
    <cellStyle name="Note 23 7 2 2" xfId="24200"/>
    <cellStyle name="Note 23 7 2 2 2" xfId="45386"/>
    <cellStyle name="Note 23 7 2 3" xfId="34782"/>
    <cellStyle name="Note 23 7 3" xfId="19087"/>
    <cellStyle name="Note 23 7 3 2" xfId="40274"/>
    <cellStyle name="Note 23 7 4" xfId="29511"/>
    <cellStyle name="Note 23 7_Table 2A-1_EFT (Annual)" xfId="15653"/>
    <cellStyle name="Note 23 8" xfId="9489"/>
    <cellStyle name="Note 23 8 2" xfId="21654"/>
    <cellStyle name="Note 23 8 2 2" xfId="42840"/>
    <cellStyle name="Note 23 8 3" xfId="32236"/>
    <cellStyle name="Note 23 9" xfId="16541"/>
    <cellStyle name="Note 23 9 2" xfId="37728"/>
    <cellStyle name="Note 23_Table 2A-1_EFT (Annual)" xfId="3267"/>
    <cellStyle name="Note 24" xfId="185"/>
    <cellStyle name="Note 24 10" xfId="26740"/>
    <cellStyle name="Note 24 2" xfId="578"/>
    <cellStyle name="Note 24 2 2" xfId="1555"/>
    <cellStyle name="Note 24 2 2 2" xfId="2825"/>
    <cellStyle name="Note 24 2 2 2 2" xfId="6386"/>
    <cellStyle name="Note 24 2 2 2 2 2" xfId="14580"/>
    <cellStyle name="Note 24 2 2 2 2 2 2" xfId="26552"/>
    <cellStyle name="Note 24 2 2 2 2 2 2 2" xfId="47738"/>
    <cellStyle name="Note 24 2 2 2 2 2 3" xfId="37134"/>
    <cellStyle name="Note 24 2 2 2 2 3" xfId="21439"/>
    <cellStyle name="Note 24 2 2 2 2 3 2" xfId="42626"/>
    <cellStyle name="Note 24 2 2 2 2 4" xfId="32042"/>
    <cellStyle name="Note 24 2 2 2 2_Table 2A-1_EFT (Annual)" xfId="15654"/>
    <cellStyle name="Note 24 2 2 2 3" xfId="11922"/>
    <cellStyle name="Note 24 2 2 2 3 2" xfId="24006"/>
    <cellStyle name="Note 24 2 2 2 3 2 2" xfId="45192"/>
    <cellStyle name="Note 24 2 2 2 3 3" xfId="34588"/>
    <cellStyle name="Note 24 2 2 2 4" xfId="18893"/>
    <cellStyle name="Note 24 2 2 2 4 2" xfId="40080"/>
    <cellStyle name="Note 24 2 2 2 5" xfId="29299"/>
    <cellStyle name="Note 24 2 2 2_Table 2A-1_EFT (Annual)" xfId="7336"/>
    <cellStyle name="Note 24 2 2 3" xfId="5116"/>
    <cellStyle name="Note 24 2 2 3 2" xfId="13376"/>
    <cellStyle name="Note 24 2 2 3 2 2" xfId="25382"/>
    <cellStyle name="Note 24 2 2 3 2 2 2" xfId="46568"/>
    <cellStyle name="Note 24 2 2 3 2 3" xfId="35964"/>
    <cellStyle name="Note 24 2 2 3 3" xfId="20269"/>
    <cellStyle name="Note 24 2 2 3 3 2" xfId="41456"/>
    <cellStyle name="Note 24 2 2 3 4" xfId="30773"/>
    <cellStyle name="Note 24 2 2 3_Table 2A-1_EFT (Annual)" xfId="15655"/>
    <cellStyle name="Note 24 2 2 4" xfId="10720"/>
    <cellStyle name="Note 24 2 2 4 2" xfId="22836"/>
    <cellStyle name="Note 24 2 2 4 2 2" xfId="44022"/>
    <cellStyle name="Note 24 2 2 4 3" xfId="33418"/>
    <cellStyle name="Note 24 2 2 5" xfId="17723"/>
    <cellStyle name="Note 24 2 2 5 2" xfId="38910"/>
    <cellStyle name="Note 24 2 2 6" xfId="28030"/>
    <cellStyle name="Note 24 2 2_Table 2A-1_EFT (Annual)" xfId="7335"/>
    <cellStyle name="Note 24 2 3" xfId="1078"/>
    <cellStyle name="Note 24 2 3 2" xfId="4639"/>
    <cellStyle name="Note 24 2 3 2 2" xfId="12899"/>
    <cellStyle name="Note 24 2 3 2 2 2" xfId="24905"/>
    <cellStyle name="Note 24 2 3 2 2 2 2" xfId="46091"/>
    <cellStyle name="Note 24 2 3 2 2 3" xfId="35487"/>
    <cellStyle name="Note 24 2 3 2 3" xfId="19792"/>
    <cellStyle name="Note 24 2 3 2 3 2" xfId="40979"/>
    <cellStyle name="Note 24 2 3 2 4" xfId="30296"/>
    <cellStyle name="Note 24 2 3 2_Table 2A-1_EFT (Annual)" xfId="15656"/>
    <cellStyle name="Note 24 2 3 3" xfId="10243"/>
    <cellStyle name="Note 24 2 3 3 2" xfId="22359"/>
    <cellStyle name="Note 24 2 3 3 2 2" xfId="43545"/>
    <cellStyle name="Note 24 2 3 3 3" xfId="32941"/>
    <cellStyle name="Note 24 2 3 4" xfId="17246"/>
    <cellStyle name="Note 24 2 3 4 2" xfId="38433"/>
    <cellStyle name="Note 24 2 3 5" xfId="27553"/>
    <cellStyle name="Note 24 2 3_Table 2A-1_EFT (Annual)" xfId="7337"/>
    <cellStyle name="Note 24 2 4" xfId="2294"/>
    <cellStyle name="Note 24 2 4 2" xfId="5855"/>
    <cellStyle name="Note 24 2 4 2 2" xfId="14070"/>
    <cellStyle name="Note 24 2 4 2 2 2" xfId="26058"/>
    <cellStyle name="Note 24 2 4 2 2 2 2" xfId="47244"/>
    <cellStyle name="Note 24 2 4 2 2 3" xfId="36640"/>
    <cellStyle name="Note 24 2 4 2 3" xfId="20945"/>
    <cellStyle name="Note 24 2 4 2 3 2" xfId="42132"/>
    <cellStyle name="Note 24 2 4 2 4" xfId="31512"/>
    <cellStyle name="Note 24 2 4 2_Table 2A-1_EFT (Annual)" xfId="15657"/>
    <cellStyle name="Note 24 2 4 3" xfId="11414"/>
    <cellStyle name="Note 24 2 4 3 2" xfId="23512"/>
    <cellStyle name="Note 24 2 4 3 2 2" xfId="44698"/>
    <cellStyle name="Note 24 2 4 3 3" xfId="34094"/>
    <cellStyle name="Note 24 2 4 4" xfId="18399"/>
    <cellStyle name="Note 24 2 4 4 2" xfId="39586"/>
    <cellStyle name="Note 24 2 4 5" xfId="28769"/>
    <cellStyle name="Note 24 2 4_Table 2A-1_EFT (Annual)" xfId="7338"/>
    <cellStyle name="Note 24 2 5" xfId="4148"/>
    <cellStyle name="Note 24 2 5 2" xfId="12472"/>
    <cellStyle name="Note 24 2 5 2 2" xfId="24494"/>
    <cellStyle name="Note 24 2 5 2 2 2" xfId="45680"/>
    <cellStyle name="Note 24 2 5 2 3" xfId="35076"/>
    <cellStyle name="Note 24 2 5 3" xfId="19381"/>
    <cellStyle name="Note 24 2 5 3 2" xfId="40568"/>
    <cellStyle name="Note 24 2 5 4" xfId="29836"/>
    <cellStyle name="Note 24 2 5_Table 2A-1_EFT (Annual)" xfId="15658"/>
    <cellStyle name="Note 24 2 6" xfId="9811"/>
    <cellStyle name="Note 24 2 6 2" xfId="21948"/>
    <cellStyle name="Note 24 2 6 2 2" xfId="43134"/>
    <cellStyle name="Note 24 2 6 3" xfId="32530"/>
    <cellStyle name="Note 24 2 7" xfId="16835"/>
    <cellStyle name="Note 24 2 7 2" xfId="38022"/>
    <cellStyle name="Note 24 2 8" xfId="27093"/>
    <cellStyle name="Note 24 2_Table 2A-1_EFT (Annual)" xfId="3271"/>
    <cellStyle name="Note 24 3" xfId="416"/>
    <cellStyle name="Note 24 3 2" xfId="1399"/>
    <cellStyle name="Note 24 3 2 2" xfId="2669"/>
    <cellStyle name="Note 24 3 2 2 2" xfId="6230"/>
    <cellStyle name="Note 24 3 2 2 2 2" xfId="14424"/>
    <cellStyle name="Note 24 3 2 2 2 2 2" xfId="26396"/>
    <cellStyle name="Note 24 3 2 2 2 2 2 2" xfId="47582"/>
    <cellStyle name="Note 24 3 2 2 2 2 3" xfId="36978"/>
    <cellStyle name="Note 24 3 2 2 2 3" xfId="21283"/>
    <cellStyle name="Note 24 3 2 2 2 3 2" xfId="42470"/>
    <cellStyle name="Note 24 3 2 2 2 4" xfId="31886"/>
    <cellStyle name="Note 24 3 2 2 2_Table 2A-1_EFT (Annual)" xfId="15659"/>
    <cellStyle name="Note 24 3 2 2 3" xfId="11766"/>
    <cellStyle name="Note 24 3 2 2 3 2" xfId="23850"/>
    <cellStyle name="Note 24 3 2 2 3 2 2" xfId="45036"/>
    <cellStyle name="Note 24 3 2 2 3 3" xfId="34432"/>
    <cellStyle name="Note 24 3 2 2 4" xfId="18737"/>
    <cellStyle name="Note 24 3 2 2 4 2" xfId="39924"/>
    <cellStyle name="Note 24 3 2 2 5" xfId="29143"/>
    <cellStyle name="Note 24 3 2 2_Table 2A-1_EFT (Annual)" xfId="7340"/>
    <cellStyle name="Note 24 3 2 3" xfId="4960"/>
    <cellStyle name="Note 24 3 2 3 2" xfId="13220"/>
    <cellStyle name="Note 24 3 2 3 2 2" xfId="25226"/>
    <cellStyle name="Note 24 3 2 3 2 2 2" xfId="46412"/>
    <cellStyle name="Note 24 3 2 3 2 3" xfId="35808"/>
    <cellStyle name="Note 24 3 2 3 3" xfId="20113"/>
    <cellStyle name="Note 24 3 2 3 3 2" xfId="41300"/>
    <cellStyle name="Note 24 3 2 3 4" xfId="30617"/>
    <cellStyle name="Note 24 3 2 3_Table 2A-1_EFT (Annual)" xfId="15660"/>
    <cellStyle name="Note 24 3 2 4" xfId="10564"/>
    <cellStyle name="Note 24 3 2 4 2" xfId="22680"/>
    <cellStyle name="Note 24 3 2 4 2 2" xfId="43866"/>
    <cellStyle name="Note 24 3 2 4 3" xfId="33262"/>
    <cellStyle name="Note 24 3 2 5" xfId="17567"/>
    <cellStyle name="Note 24 3 2 5 2" xfId="38754"/>
    <cellStyle name="Note 24 3 2 6" xfId="27874"/>
    <cellStyle name="Note 24 3 2_Table 2A-1_EFT (Annual)" xfId="7339"/>
    <cellStyle name="Note 24 3 3" xfId="946"/>
    <cellStyle name="Note 24 3 3 2" xfId="4507"/>
    <cellStyle name="Note 24 3 3 2 2" xfId="12769"/>
    <cellStyle name="Note 24 3 3 2 2 2" xfId="24779"/>
    <cellStyle name="Note 24 3 3 2 2 2 2" xfId="45965"/>
    <cellStyle name="Note 24 3 3 2 2 3" xfId="35361"/>
    <cellStyle name="Note 24 3 3 2 3" xfId="19666"/>
    <cellStyle name="Note 24 3 3 2 3 2" xfId="40853"/>
    <cellStyle name="Note 24 3 3 2 4" xfId="30164"/>
    <cellStyle name="Note 24 3 3 2_Table 2A-1_EFT (Annual)" xfId="15661"/>
    <cellStyle name="Note 24 3 3 3" xfId="10116"/>
    <cellStyle name="Note 24 3 3 3 2" xfId="22233"/>
    <cellStyle name="Note 24 3 3 3 2 2" xfId="43419"/>
    <cellStyle name="Note 24 3 3 3 3" xfId="32815"/>
    <cellStyle name="Note 24 3 3 4" xfId="17120"/>
    <cellStyle name="Note 24 3 3 4 2" xfId="38307"/>
    <cellStyle name="Note 24 3 3 5" xfId="27421"/>
    <cellStyle name="Note 24 3 3_Table 2A-1_EFT (Annual)" xfId="7341"/>
    <cellStyle name="Note 24 3 4" xfId="2138"/>
    <cellStyle name="Note 24 3 4 2" xfId="5699"/>
    <cellStyle name="Note 24 3 4 2 2" xfId="13914"/>
    <cellStyle name="Note 24 3 4 2 2 2" xfId="25902"/>
    <cellStyle name="Note 24 3 4 2 2 2 2" xfId="47088"/>
    <cellStyle name="Note 24 3 4 2 2 3" xfId="36484"/>
    <cellStyle name="Note 24 3 4 2 3" xfId="20789"/>
    <cellStyle name="Note 24 3 4 2 3 2" xfId="41976"/>
    <cellStyle name="Note 24 3 4 2 4" xfId="31356"/>
    <cellStyle name="Note 24 3 4 2_Table 2A-1_EFT (Annual)" xfId="15662"/>
    <cellStyle name="Note 24 3 4 3" xfId="11258"/>
    <cellStyle name="Note 24 3 4 3 2" xfId="23356"/>
    <cellStyle name="Note 24 3 4 3 2 2" xfId="44542"/>
    <cellStyle name="Note 24 3 4 3 3" xfId="33938"/>
    <cellStyle name="Note 24 3 4 4" xfId="18243"/>
    <cellStyle name="Note 24 3 4 4 2" xfId="39430"/>
    <cellStyle name="Note 24 3 4 5" xfId="28613"/>
    <cellStyle name="Note 24 3 4_Table 2A-1_EFT (Annual)" xfId="7342"/>
    <cellStyle name="Note 24 3 5" xfId="3986"/>
    <cellStyle name="Note 24 3 5 2" xfId="12314"/>
    <cellStyle name="Note 24 3 5 2 2" xfId="24338"/>
    <cellStyle name="Note 24 3 5 2 2 2" xfId="45524"/>
    <cellStyle name="Note 24 3 5 2 3" xfId="34920"/>
    <cellStyle name="Note 24 3 5 3" xfId="19225"/>
    <cellStyle name="Note 24 3 5 3 2" xfId="40412"/>
    <cellStyle name="Note 24 3 5 4" xfId="29674"/>
    <cellStyle name="Note 24 3 5_Table 2A-1_EFT (Annual)" xfId="15663"/>
    <cellStyle name="Note 24 3 6" xfId="9651"/>
    <cellStyle name="Note 24 3 6 2" xfId="21792"/>
    <cellStyle name="Note 24 3 6 2 2" xfId="42978"/>
    <cellStyle name="Note 24 3 6 3" xfId="32374"/>
    <cellStyle name="Note 24 3 7" xfId="16679"/>
    <cellStyle name="Note 24 3 7 2" xfId="37866"/>
    <cellStyle name="Note 24 3 8" xfId="26931"/>
    <cellStyle name="Note 24 3_Table 2A-1_EFT (Annual)" xfId="3272"/>
    <cellStyle name="Note 24 4" xfId="1233"/>
    <cellStyle name="Note 24 4 2" xfId="2503"/>
    <cellStyle name="Note 24 4 2 2" xfId="6064"/>
    <cellStyle name="Note 24 4 2 2 2" xfId="14258"/>
    <cellStyle name="Note 24 4 2 2 2 2" xfId="26230"/>
    <cellStyle name="Note 24 4 2 2 2 2 2" xfId="47416"/>
    <cellStyle name="Note 24 4 2 2 2 3" xfId="36812"/>
    <cellStyle name="Note 24 4 2 2 3" xfId="21117"/>
    <cellStyle name="Note 24 4 2 2 3 2" xfId="42304"/>
    <cellStyle name="Note 24 4 2 2 4" xfId="31720"/>
    <cellStyle name="Note 24 4 2 2_Table 2A-1_EFT (Annual)" xfId="15664"/>
    <cellStyle name="Note 24 4 2 3" xfId="11600"/>
    <cellStyle name="Note 24 4 2 3 2" xfId="23684"/>
    <cellStyle name="Note 24 4 2 3 2 2" xfId="44870"/>
    <cellStyle name="Note 24 4 2 3 3" xfId="34266"/>
    <cellStyle name="Note 24 4 2 4" xfId="18571"/>
    <cellStyle name="Note 24 4 2 4 2" xfId="39758"/>
    <cellStyle name="Note 24 4 2 5" xfId="28977"/>
    <cellStyle name="Note 24 4 2_Table 2A-1_EFT (Annual)" xfId="7344"/>
    <cellStyle name="Note 24 4 3" xfId="4794"/>
    <cellStyle name="Note 24 4 3 2" xfId="13054"/>
    <cellStyle name="Note 24 4 3 2 2" xfId="25060"/>
    <cellStyle name="Note 24 4 3 2 2 2" xfId="46246"/>
    <cellStyle name="Note 24 4 3 2 3" xfId="35642"/>
    <cellStyle name="Note 24 4 3 3" xfId="19947"/>
    <cellStyle name="Note 24 4 3 3 2" xfId="41134"/>
    <cellStyle name="Note 24 4 3 4" xfId="30451"/>
    <cellStyle name="Note 24 4 3_Table 2A-1_EFT (Annual)" xfId="15665"/>
    <cellStyle name="Note 24 4 4" xfId="10398"/>
    <cellStyle name="Note 24 4 4 2" xfId="22514"/>
    <cellStyle name="Note 24 4 4 2 2" xfId="43700"/>
    <cellStyle name="Note 24 4 4 3" xfId="33096"/>
    <cellStyle name="Note 24 4 5" xfId="17401"/>
    <cellStyle name="Note 24 4 5 2" xfId="38588"/>
    <cellStyle name="Note 24 4 6" xfId="27708"/>
    <cellStyle name="Note 24 4_Table 2A-1_EFT (Annual)" xfId="7343"/>
    <cellStyle name="Note 24 5" xfId="787"/>
    <cellStyle name="Note 24 5 2" xfId="4348"/>
    <cellStyle name="Note 24 5 2 2" xfId="12628"/>
    <cellStyle name="Note 24 5 2 2 2" xfId="24645"/>
    <cellStyle name="Note 24 5 2 2 2 2" xfId="45831"/>
    <cellStyle name="Note 24 5 2 2 3" xfId="35227"/>
    <cellStyle name="Note 24 5 2 3" xfId="19532"/>
    <cellStyle name="Note 24 5 2 3 2" xfId="40719"/>
    <cellStyle name="Note 24 5 2 4" xfId="30005"/>
    <cellStyle name="Note 24 5 2_Table 2A-1_EFT (Annual)" xfId="15666"/>
    <cellStyle name="Note 24 5 3" xfId="9976"/>
    <cellStyle name="Note 24 5 3 2" xfId="22099"/>
    <cellStyle name="Note 24 5 3 2 2" xfId="43285"/>
    <cellStyle name="Note 24 5 3 3" xfId="32681"/>
    <cellStyle name="Note 24 5 4" xfId="16986"/>
    <cellStyle name="Note 24 5 4 2" xfId="38173"/>
    <cellStyle name="Note 24 5 5" xfId="27262"/>
    <cellStyle name="Note 24 5_Table 2A-1_EFT (Annual)" xfId="7345"/>
    <cellStyle name="Note 24 6" xfId="1972"/>
    <cellStyle name="Note 24 6 2" xfId="5533"/>
    <cellStyle name="Note 24 6 2 2" xfId="13748"/>
    <cellStyle name="Note 24 6 2 2 2" xfId="25736"/>
    <cellStyle name="Note 24 6 2 2 2 2" xfId="46922"/>
    <cellStyle name="Note 24 6 2 2 3" xfId="36318"/>
    <cellStyle name="Note 24 6 2 3" xfId="20623"/>
    <cellStyle name="Note 24 6 2 3 2" xfId="41810"/>
    <cellStyle name="Note 24 6 2 4" xfId="31190"/>
    <cellStyle name="Note 24 6 2_Table 2A-1_EFT (Annual)" xfId="15667"/>
    <cellStyle name="Note 24 6 3" xfId="11092"/>
    <cellStyle name="Note 24 6 3 2" xfId="23190"/>
    <cellStyle name="Note 24 6 3 2 2" xfId="44376"/>
    <cellStyle name="Note 24 6 3 3" xfId="33772"/>
    <cellStyle name="Note 24 6 4" xfId="18077"/>
    <cellStyle name="Note 24 6 4 2" xfId="39264"/>
    <cellStyle name="Note 24 6 5" xfId="28447"/>
    <cellStyle name="Note 24 6_Table 2A-1_EFT (Annual)" xfId="7346"/>
    <cellStyle name="Note 24 7" xfId="3774"/>
    <cellStyle name="Note 24 7 2" xfId="12142"/>
    <cellStyle name="Note 24 7 2 2" xfId="24172"/>
    <cellStyle name="Note 24 7 2 2 2" xfId="45358"/>
    <cellStyle name="Note 24 7 2 3" xfId="34754"/>
    <cellStyle name="Note 24 7 3" xfId="19059"/>
    <cellStyle name="Note 24 7 3 2" xfId="40246"/>
    <cellStyle name="Note 24 7 4" xfId="29483"/>
    <cellStyle name="Note 24 7_Table 2A-1_EFT (Annual)" xfId="15668"/>
    <cellStyle name="Note 24 8" xfId="9461"/>
    <cellStyle name="Note 24 8 2" xfId="21626"/>
    <cellStyle name="Note 24 8 2 2" xfId="42812"/>
    <cellStyle name="Note 24 8 3" xfId="32208"/>
    <cellStyle name="Note 24 9" xfId="16513"/>
    <cellStyle name="Note 24 9 2" xfId="37700"/>
    <cellStyle name="Note 24_Table 2A-1_EFT (Annual)" xfId="3270"/>
    <cellStyle name="Note 25" xfId="239"/>
    <cellStyle name="Note 25 10" xfId="26794"/>
    <cellStyle name="Note 25 2" xfId="626"/>
    <cellStyle name="Note 25 2 2" xfId="1603"/>
    <cellStyle name="Note 25 2 2 2" xfId="2873"/>
    <cellStyle name="Note 25 2 2 2 2" xfId="6434"/>
    <cellStyle name="Note 25 2 2 2 2 2" xfId="14628"/>
    <cellStyle name="Note 25 2 2 2 2 2 2" xfId="26600"/>
    <cellStyle name="Note 25 2 2 2 2 2 2 2" xfId="47786"/>
    <cellStyle name="Note 25 2 2 2 2 2 3" xfId="37182"/>
    <cellStyle name="Note 25 2 2 2 2 3" xfId="21487"/>
    <cellStyle name="Note 25 2 2 2 2 3 2" xfId="42674"/>
    <cellStyle name="Note 25 2 2 2 2 4" xfId="32090"/>
    <cellStyle name="Note 25 2 2 2 2_Table 2A-1_EFT (Annual)" xfId="15669"/>
    <cellStyle name="Note 25 2 2 2 3" xfId="11970"/>
    <cellStyle name="Note 25 2 2 2 3 2" xfId="24054"/>
    <cellStyle name="Note 25 2 2 2 3 2 2" xfId="45240"/>
    <cellStyle name="Note 25 2 2 2 3 3" xfId="34636"/>
    <cellStyle name="Note 25 2 2 2 4" xfId="18941"/>
    <cellStyle name="Note 25 2 2 2 4 2" xfId="40128"/>
    <cellStyle name="Note 25 2 2 2 5" xfId="29347"/>
    <cellStyle name="Note 25 2 2 2_Table 2A-1_EFT (Annual)" xfId="7348"/>
    <cellStyle name="Note 25 2 2 3" xfId="5164"/>
    <cellStyle name="Note 25 2 2 3 2" xfId="13424"/>
    <cellStyle name="Note 25 2 2 3 2 2" xfId="25430"/>
    <cellStyle name="Note 25 2 2 3 2 2 2" xfId="46616"/>
    <cellStyle name="Note 25 2 2 3 2 3" xfId="36012"/>
    <cellStyle name="Note 25 2 2 3 3" xfId="20317"/>
    <cellStyle name="Note 25 2 2 3 3 2" xfId="41504"/>
    <cellStyle name="Note 25 2 2 3 4" xfId="30821"/>
    <cellStyle name="Note 25 2 2 3_Table 2A-1_EFT (Annual)" xfId="15670"/>
    <cellStyle name="Note 25 2 2 4" xfId="10768"/>
    <cellStyle name="Note 25 2 2 4 2" xfId="22884"/>
    <cellStyle name="Note 25 2 2 4 2 2" xfId="44070"/>
    <cellStyle name="Note 25 2 2 4 3" xfId="33466"/>
    <cellStyle name="Note 25 2 2 5" xfId="17771"/>
    <cellStyle name="Note 25 2 2 5 2" xfId="38958"/>
    <cellStyle name="Note 25 2 2 6" xfId="28078"/>
    <cellStyle name="Note 25 2 2_Table 2A-1_EFT (Annual)" xfId="7347"/>
    <cellStyle name="Note 25 2 3" xfId="1117"/>
    <cellStyle name="Note 25 2 3 2" xfId="4678"/>
    <cellStyle name="Note 25 2 3 2 2" xfId="12938"/>
    <cellStyle name="Note 25 2 3 2 2 2" xfId="24944"/>
    <cellStyle name="Note 25 2 3 2 2 2 2" xfId="46130"/>
    <cellStyle name="Note 25 2 3 2 2 3" xfId="35526"/>
    <cellStyle name="Note 25 2 3 2 3" xfId="19831"/>
    <cellStyle name="Note 25 2 3 2 3 2" xfId="41018"/>
    <cellStyle name="Note 25 2 3 2 4" xfId="30335"/>
    <cellStyle name="Note 25 2 3 2_Table 2A-1_EFT (Annual)" xfId="15671"/>
    <cellStyle name="Note 25 2 3 3" xfId="10282"/>
    <cellStyle name="Note 25 2 3 3 2" xfId="22398"/>
    <cellStyle name="Note 25 2 3 3 2 2" xfId="43584"/>
    <cellStyle name="Note 25 2 3 3 3" xfId="32980"/>
    <cellStyle name="Note 25 2 3 4" xfId="17285"/>
    <cellStyle name="Note 25 2 3 4 2" xfId="38472"/>
    <cellStyle name="Note 25 2 3 5" xfId="27592"/>
    <cellStyle name="Note 25 2 3_Table 2A-1_EFT (Annual)" xfId="7349"/>
    <cellStyle name="Note 25 2 4" xfId="2342"/>
    <cellStyle name="Note 25 2 4 2" xfId="5903"/>
    <cellStyle name="Note 25 2 4 2 2" xfId="14118"/>
    <cellStyle name="Note 25 2 4 2 2 2" xfId="26106"/>
    <cellStyle name="Note 25 2 4 2 2 2 2" xfId="47292"/>
    <cellStyle name="Note 25 2 4 2 2 3" xfId="36688"/>
    <cellStyle name="Note 25 2 4 2 3" xfId="20993"/>
    <cellStyle name="Note 25 2 4 2 3 2" xfId="42180"/>
    <cellStyle name="Note 25 2 4 2 4" xfId="31560"/>
    <cellStyle name="Note 25 2 4 2_Table 2A-1_EFT (Annual)" xfId="15672"/>
    <cellStyle name="Note 25 2 4 3" xfId="11462"/>
    <cellStyle name="Note 25 2 4 3 2" xfId="23560"/>
    <cellStyle name="Note 25 2 4 3 2 2" xfId="44746"/>
    <cellStyle name="Note 25 2 4 3 3" xfId="34142"/>
    <cellStyle name="Note 25 2 4 4" xfId="18447"/>
    <cellStyle name="Note 25 2 4 4 2" xfId="39634"/>
    <cellStyle name="Note 25 2 4 5" xfId="28817"/>
    <cellStyle name="Note 25 2 4_Table 2A-1_EFT (Annual)" xfId="7350"/>
    <cellStyle name="Note 25 2 5" xfId="4196"/>
    <cellStyle name="Note 25 2 5 2" xfId="12520"/>
    <cellStyle name="Note 25 2 5 2 2" xfId="24542"/>
    <cellStyle name="Note 25 2 5 2 2 2" xfId="45728"/>
    <cellStyle name="Note 25 2 5 2 3" xfId="35124"/>
    <cellStyle name="Note 25 2 5 3" xfId="19429"/>
    <cellStyle name="Note 25 2 5 3 2" xfId="40616"/>
    <cellStyle name="Note 25 2 5 4" xfId="29884"/>
    <cellStyle name="Note 25 2 5_Table 2A-1_EFT (Annual)" xfId="15673"/>
    <cellStyle name="Note 25 2 6" xfId="9859"/>
    <cellStyle name="Note 25 2 6 2" xfId="21996"/>
    <cellStyle name="Note 25 2 6 2 2" xfId="43182"/>
    <cellStyle name="Note 25 2 6 3" xfId="32578"/>
    <cellStyle name="Note 25 2 7" xfId="16883"/>
    <cellStyle name="Note 25 2 7 2" xfId="38070"/>
    <cellStyle name="Note 25 2 8" xfId="27141"/>
    <cellStyle name="Note 25 2_Table 2A-1_EFT (Annual)" xfId="3274"/>
    <cellStyle name="Note 25 3" xfId="465"/>
    <cellStyle name="Note 25 3 2" xfId="1442"/>
    <cellStyle name="Note 25 3 2 2" xfId="2712"/>
    <cellStyle name="Note 25 3 2 2 2" xfId="6273"/>
    <cellStyle name="Note 25 3 2 2 2 2" xfId="14467"/>
    <cellStyle name="Note 25 3 2 2 2 2 2" xfId="26439"/>
    <cellStyle name="Note 25 3 2 2 2 2 2 2" xfId="47625"/>
    <cellStyle name="Note 25 3 2 2 2 2 3" xfId="37021"/>
    <cellStyle name="Note 25 3 2 2 2 3" xfId="21326"/>
    <cellStyle name="Note 25 3 2 2 2 3 2" xfId="42513"/>
    <cellStyle name="Note 25 3 2 2 2 4" xfId="31929"/>
    <cellStyle name="Note 25 3 2 2 2_Table 2A-1_EFT (Annual)" xfId="15674"/>
    <cellStyle name="Note 25 3 2 2 3" xfId="11809"/>
    <cellStyle name="Note 25 3 2 2 3 2" xfId="23893"/>
    <cellStyle name="Note 25 3 2 2 3 2 2" xfId="45079"/>
    <cellStyle name="Note 25 3 2 2 3 3" xfId="34475"/>
    <cellStyle name="Note 25 3 2 2 4" xfId="18780"/>
    <cellStyle name="Note 25 3 2 2 4 2" xfId="39967"/>
    <cellStyle name="Note 25 3 2 2 5" xfId="29186"/>
    <cellStyle name="Note 25 3 2 2_Table 2A-1_EFT (Annual)" xfId="7352"/>
    <cellStyle name="Note 25 3 2 3" xfId="5003"/>
    <cellStyle name="Note 25 3 2 3 2" xfId="13263"/>
    <cellStyle name="Note 25 3 2 3 2 2" xfId="25269"/>
    <cellStyle name="Note 25 3 2 3 2 2 2" xfId="46455"/>
    <cellStyle name="Note 25 3 2 3 2 3" xfId="35851"/>
    <cellStyle name="Note 25 3 2 3 3" xfId="20156"/>
    <cellStyle name="Note 25 3 2 3 3 2" xfId="41343"/>
    <cellStyle name="Note 25 3 2 3 4" xfId="30660"/>
    <cellStyle name="Note 25 3 2 3_Table 2A-1_EFT (Annual)" xfId="15675"/>
    <cellStyle name="Note 25 3 2 4" xfId="10607"/>
    <cellStyle name="Note 25 3 2 4 2" xfId="22723"/>
    <cellStyle name="Note 25 3 2 4 2 2" xfId="43909"/>
    <cellStyle name="Note 25 3 2 4 3" xfId="33305"/>
    <cellStyle name="Note 25 3 2 5" xfId="17610"/>
    <cellStyle name="Note 25 3 2 5 2" xfId="38797"/>
    <cellStyle name="Note 25 3 2 6" xfId="27917"/>
    <cellStyle name="Note 25 3 2_Table 2A-1_EFT (Annual)" xfId="7351"/>
    <cellStyle name="Note 25 3 3" xfId="987"/>
    <cellStyle name="Note 25 3 3 2" xfId="4548"/>
    <cellStyle name="Note 25 3 3 2 2" xfId="12808"/>
    <cellStyle name="Note 25 3 3 2 2 2" xfId="24814"/>
    <cellStyle name="Note 25 3 3 2 2 2 2" xfId="46000"/>
    <cellStyle name="Note 25 3 3 2 2 3" xfId="35396"/>
    <cellStyle name="Note 25 3 3 2 3" xfId="19701"/>
    <cellStyle name="Note 25 3 3 2 3 2" xfId="40888"/>
    <cellStyle name="Note 25 3 3 2 4" xfId="30205"/>
    <cellStyle name="Note 25 3 3 2_Table 2A-1_EFT (Annual)" xfId="15676"/>
    <cellStyle name="Note 25 3 3 3" xfId="10152"/>
    <cellStyle name="Note 25 3 3 3 2" xfId="22268"/>
    <cellStyle name="Note 25 3 3 3 2 2" xfId="43454"/>
    <cellStyle name="Note 25 3 3 3 3" xfId="32850"/>
    <cellStyle name="Note 25 3 3 4" xfId="17155"/>
    <cellStyle name="Note 25 3 3 4 2" xfId="38342"/>
    <cellStyle name="Note 25 3 3 5" xfId="27462"/>
    <cellStyle name="Note 25 3 3_Table 2A-1_EFT (Annual)" xfId="7353"/>
    <cellStyle name="Note 25 3 4" xfId="2181"/>
    <cellStyle name="Note 25 3 4 2" xfId="5742"/>
    <cellStyle name="Note 25 3 4 2 2" xfId="13957"/>
    <cellStyle name="Note 25 3 4 2 2 2" xfId="25945"/>
    <cellStyle name="Note 25 3 4 2 2 2 2" xfId="47131"/>
    <cellStyle name="Note 25 3 4 2 2 3" xfId="36527"/>
    <cellStyle name="Note 25 3 4 2 3" xfId="20832"/>
    <cellStyle name="Note 25 3 4 2 3 2" xfId="42019"/>
    <cellStyle name="Note 25 3 4 2 4" xfId="31399"/>
    <cellStyle name="Note 25 3 4 2_Table 2A-1_EFT (Annual)" xfId="15677"/>
    <cellStyle name="Note 25 3 4 3" xfId="11301"/>
    <cellStyle name="Note 25 3 4 3 2" xfId="23399"/>
    <cellStyle name="Note 25 3 4 3 2 2" xfId="44585"/>
    <cellStyle name="Note 25 3 4 3 3" xfId="33981"/>
    <cellStyle name="Note 25 3 4 4" xfId="18286"/>
    <cellStyle name="Note 25 3 4 4 2" xfId="39473"/>
    <cellStyle name="Note 25 3 4 5" xfId="28656"/>
    <cellStyle name="Note 25 3 4_Table 2A-1_EFT (Annual)" xfId="7354"/>
    <cellStyle name="Note 25 3 5" xfId="4035"/>
    <cellStyle name="Note 25 3 5 2" xfId="12359"/>
    <cellStyle name="Note 25 3 5 2 2" xfId="24381"/>
    <cellStyle name="Note 25 3 5 2 2 2" xfId="45567"/>
    <cellStyle name="Note 25 3 5 2 3" xfId="34963"/>
    <cellStyle name="Note 25 3 5 3" xfId="19268"/>
    <cellStyle name="Note 25 3 5 3 2" xfId="40455"/>
    <cellStyle name="Note 25 3 5 4" xfId="29723"/>
    <cellStyle name="Note 25 3 5_Table 2A-1_EFT (Annual)" xfId="15678"/>
    <cellStyle name="Note 25 3 6" xfId="9698"/>
    <cellStyle name="Note 25 3 6 2" xfId="21835"/>
    <cellStyle name="Note 25 3 6 2 2" xfId="43021"/>
    <cellStyle name="Note 25 3 6 3" xfId="32417"/>
    <cellStyle name="Note 25 3 7" xfId="16722"/>
    <cellStyle name="Note 25 3 7 2" xfId="37909"/>
    <cellStyle name="Note 25 3 8" xfId="26980"/>
    <cellStyle name="Note 25 3_Table 2A-1_EFT (Annual)" xfId="3275"/>
    <cellStyle name="Note 25 4" xfId="1281"/>
    <cellStyle name="Note 25 4 2" xfId="2551"/>
    <cellStyle name="Note 25 4 2 2" xfId="6112"/>
    <cellStyle name="Note 25 4 2 2 2" xfId="14306"/>
    <cellStyle name="Note 25 4 2 2 2 2" xfId="26278"/>
    <cellStyle name="Note 25 4 2 2 2 2 2" xfId="47464"/>
    <cellStyle name="Note 25 4 2 2 2 3" xfId="36860"/>
    <cellStyle name="Note 25 4 2 2 3" xfId="21165"/>
    <cellStyle name="Note 25 4 2 2 3 2" xfId="42352"/>
    <cellStyle name="Note 25 4 2 2 4" xfId="31768"/>
    <cellStyle name="Note 25 4 2 2_Table 2A-1_EFT (Annual)" xfId="15679"/>
    <cellStyle name="Note 25 4 2 3" xfId="11648"/>
    <cellStyle name="Note 25 4 2 3 2" xfId="23732"/>
    <cellStyle name="Note 25 4 2 3 2 2" xfId="44918"/>
    <cellStyle name="Note 25 4 2 3 3" xfId="34314"/>
    <cellStyle name="Note 25 4 2 4" xfId="18619"/>
    <cellStyle name="Note 25 4 2 4 2" xfId="39806"/>
    <cellStyle name="Note 25 4 2 5" xfId="29025"/>
    <cellStyle name="Note 25 4 2_Table 2A-1_EFT (Annual)" xfId="7356"/>
    <cellStyle name="Note 25 4 3" xfId="4842"/>
    <cellStyle name="Note 25 4 3 2" xfId="13102"/>
    <cellStyle name="Note 25 4 3 2 2" xfId="25108"/>
    <cellStyle name="Note 25 4 3 2 2 2" xfId="46294"/>
    <cellStyle name="Note 25 4 3 2 3" xfId="35690"/>
    <cellStyle name="Note 25 4 3 3" xfId="19995"/>
    <cellStyle name="Note 25 4 3 3 2" xfId="41182"/>
    <cellStyle name="Note 25 4 3 4" xfId="30499"/>
    <cellStyle name="Note 25 4 3_Table 2A-1_EFT (Annual)" xfId="15680"/>
    <cellStyle name="Note 25 4 4" xfId="10446"/>
    <cellStyle name="Note 25 4 4 2" xfId="22562"/>
    <cellStyle name="Note 25 4 4 2 2" xfId="43748"/>
    <cellStyle name="Note 25 4 4 3" xfId="33144"/>
    <cellStyle name="Note 25 4 5" xfId="17449"/>
    <cellStyle name="Note 25 4 5 2" xfId="38636"/>
    <cellStyle name="Note 25 4 6" xfId="27756"/>
    <cellStyle name="Note 25 4_Table 2A-1_EFT (Annual)" xfId="7355"/>
    <cellStyle name="Note 25 5" xfId="832"/>
    <cellStyle name="Note 25 5 2" xfId="4393"/>
    <cellStyle name="Note 25 5 2 2" xfId="12667"/>
    <cellStyle name="Note 25 5 2 2 2" xfId="24684"/>
    <cellStyle name="Note 25 5 2 2 2 2" xfId="45870"/>
    <cellStyle name="Note 25 5 2 2 3" xfId="35266"/>
    <cellStyle name="Note 25 5 2 3" xfId="19571"/>
    <cellStyle name="Note 25 5 2 3 2" xfId="40758"/>
    <cellStyle name="Note 25 5 2 4" xfId="30050"/>
    <cellStyle name="Note 25 5 2_Table 2A-1_EFT (Annual)" xfId="15681"/>
    <cellStyle name="Note 25 5 3" xfId="10016"/>
    <cellStyle name="Note 25 5 3 2" xfId="22138"/>
    <cellStyle name="Note 25 5 3 2 2" xfId="43324"/>
    <cellStyle name="Note 25 5 3 3" xfId="32720"/>
    <cellStyle name="Note 25 5 4" xfId="17025"/>
    <cellStyle name="Note 25 5 4 2" xfId="38212"/>
    <cellStyle name="Note 25 5 5" xfId="27307"/>
    <cellStyle name="Note 25 5_Table 2A-1_EFT (Annual)" xfId="7357"/>
    <cellStyle name="Note 25 6" xfId="2020"/>
    <cellStyle name="Note 25 6 2" xfId="5581"/>
    <cellStyle name="Note 25 6 2 2" xfId="13796"/>
    <cellStyle name="Note 25 6 2 2 2" xfId="25784"/>
    <cellStyle name="Note 25 6 2 2 2 2" xfId="46970"/>
    <cellStyle name="Note 25 6 2 2 3" xfId="36366"/>
    <cellStyle name="Note 25 6 2 3" xfId="20671"/>
    <cellStyle name="Note 25 6 2 3 2" xfId="41858"/>
    <cellStyle name="Note 25 6 2 4" xfId="31238"/>
    <cellStyle name="Note 25 6 2_Table 2A-1_EFT (Annual)" xfId="15682"/>
    <cellStyle name="Note 25 6 3" xfId="11140"/>
    <cellStyle name="Note 25 6 3 2" xfId="23238"/>
    <cellStyle name="Note 25 6 3 2 2" xfId="44424"/>
    <cellStyle name="Note 25 6 3 3" xfId="33820"/>
    <cellStyle name="Note 25 6 4" xfId="18125"/>
    <cellStyle name="Note 25 6 4 2" xfId="39312"/>
    <cellStyle name="Note 25 6 5" xfId="28495"/>
    <cellStyle name="Note 25 6_Table 2A-1_EFT (Annual)" xfId="7358"/>
    <cellStyle name="Note 25 7" xfId="3828"/>
    <cellStyle name="Note 25 7 2" xfId="12191"/>
    <cellStyle name="Note 25 7 2 2" xfId="24220"/>
    <cellStyle name="Note 25 7 2 2 2" xfId="45406"/>
    <cellStyle name="Note 25 7 2 3" xfId="34802"/>
    <cellStyle name="Note 25 7 3" xfId="19107"/>
    <cellStyle name="Note 25 7 3 2" xfId="40294"/>
    <cellStyle name="Note 25 7 4" xfId="29537"/>
    <cellStyle name="Note 25 7_Table 2A-1_EFT (Annual)" xfId="15683"/>
    <cellStyle name="Note 25 8" xfId="9510"/>
    <cellStyle name="Note 25 8 2" xfId="21674"/>
    <cellStyle name="Note 25 8 2 2" xfId="42860"/>
    <cellStyle name="Note 25 8 3" xfId="32256"/>
    <cellStyle name="Note 25 9" xfId="16561"/>
    <cellStyle name="Note 25 9 2" xfId="37748"/>
    <cellStyle name="Note 25_Table 2A-1_EFT (Annual)" xfId="3273"/>
    <cellStyle name="Note 26" xfId="207"/>
    <cellStyle name="Note 26 10" xfId="26762"/>
    <cellStyle name="Note 26 2" xfId="600"/>
    <cellStyle name="Note 26 2 2" xfId="1577"/>
    <cellStyle name="Note 26 2 2 2" xfId="2847"/>
    <cellStyle name="Note 26 2 2 2 2" xfId="6408"/>
    <cellStyle name="Note 26 2 2 2 2 2" xfId="14602"/>
    <cellStyle name="Note 26 2 2 2 2 2 2" xfId="26574"/>
    <cellStyle name="Note 26 2 2 2 2 2 2 2" xfId="47760"/>
    <cellStyle name="Note 26 2 2 2 2 2 3" xfId="37156"/>
    <cellStyle name="Note 26 2 2 2 2 3" xfId="21461"/>
    <cellStyle name="Note 26 2 2 2 2 3 2" xfId="42648"/>
    <cellStyle name="Note 26 2 2 2 2 4" xfId="32064"/>
    <cellStyle name="Note 26 2 2 2 2_Table 2A-1_EFT (Annual)" xfId="15684"/>
    <cellStyle name="Note 26 2 2 2 3" xfId="11944"/>
    <cellStyle name="Note 26 2 2 2 3 2" xfId="24028"/>
    <cellStyle name="Note 26 2 2 2 3 2 2" xfId="45214"/>
    <cellStyle name="Note 26 2 2 2 3 3" xfId="34610"/>
    <cellStyle name="Note 26 2 2 2 4" xfId="18915"/>
    <cellStyle name="Note 26 2 2 2 4 2" xfId="40102"/>
    <cellStyle name="Note 26 2 2 2 5" xfId="29321"/>
    <cellStyle name="Note 26 2 2 2_Table 2A-1_EFT (Annual)" xfId="7360"/>
    <cellStyle name="Note 26 2 2 3" xfId="5138"/>
    <cellStyle name="Note 26 2 2 3 2" xfId="13398"/>
    <cellStyle name="Note 26 2 2 3 2 2" xfId="25404"/>
    <cellStyle name="Note 26 2 2 3 2 2 2" xfId="46590"/>
    <cellStyle name="Note 26 2 2 3 2 3" xfId="35986"/>
    <cellStyle name="Note 26 2 2 3 3" xfId="20291"/>
    <cellStyle name="Note 26 2 2 3 3 2" xfId="41478"/>
    <cellStyle name="Note 26 2 2 3 4" xfId="30795"/>
    <cellStyle name="Note 26 2 2 3_Table 2A-1_EFT (Annual)" xfId="15685"/>
    <cellStyle name="Note 26 2 2 4" xfId="10742"/>
    <cellStyle name="Note 26 2 2 4 2" xfId="22858"/>
    <cellStyle name="Note 26 2 2 4 2 2" xfId="44044"/>
    <cellStyle name="Note 26 2 2 4 3" xfId="33440"/>
    <cellStyle name="Note 26 2 2 5" xfId="17745"/>
    <cellStyle name="Note 26 2 2 5 2" xfId="38932"/>
    <cellStyle name="Note 26 2 2 6" xfId="28052"/>
    <cellStyle name="Note 26 2 2_Table 2A-1_EFT (Annual)" xfId="7359"/>
    <cellStyle name="Note 26 2 3" xfId="1097"/>
    <cellStyle name="Note 26 2 3 2" xfId="4658"/>
    <cellStyle name="Note 26 2 3 2 2" xfId="12918"/>
    <cellStyle name="Note 26 2 3 2 2 2" xfId="24924"/>
    <cellStyle name="Note 26 2 3 2 2 2 2" xfId="46110"/>
    <cellStyle name="Note 26 2 3 2 2 3" xfId="35506"/>
    <cellStyle name="Note 26 2 3 2 3" xfId="19811"/>
    <cellStyle name="Note 26 2 3 2 3 2" xfId="40998"/>
    <cellStyle name="Note 26 2 3 2 4" xfId="30315"/>
    <cellStyle name="Note 26 2 3 2_Table 2A-1_EFT (Annual)" xfId="15686"/>
    <cellStyle name="Note 26 2 3 3" xfId="10262"/>
    <cellStyle name="Note 26 2 3 3 2" xfId="22378"/>
    <cellStyle name="Note 26 2 3 3 2 2" xfId="43564"/>
    <cellStyle name="Note 26 2 3 3 3" xfId="32960"/>
    <cellStyle name="Note 26 2 3 4" xfId="17265"/>
    <cellStyle name="Note 26 2 3 4 2" xfId="38452"/>
    <cellStyle name="Note 26 2 3 5" xfId="27572"/>
    <cellStyle name="Note 26 2 3_Table 2A-1_EFT (Annual)" xfId="7361"/>
    <cellStyle name="Note 26 2 4" xfId="2316"/>
    <cellStyle name="Note 26 2 4 2" xfId="5877"/>
    <cellStyle name="Note 26 2 4 2 2" xfId="14092"/>
    <cellStyle name="Note 26 2 4 2 2 2" xfId="26080"/>
    <cellStyle name="Note 26 2 4 2 2 2 2" xfId="47266"/>
    <cellStyle name="Note 26 2 4 2 2 3" xfId="36662"/>
    <cellStyle name="Note 26 2 4 2 3" xfId="20967"/>
    <cellStyle name="Note 26 2 4 2 3 2" xfId="42154"/>
    <cellStyle name="Note 26 2 4 2 4" xfId="31534"/>
    <cellStyle name="Note 26 2 4 2_Table 2A-1_EFT (Annual)" xfId="15687"/>
    <cellStyle name="Note 26 2 4 3" xfId="11436"/>
    <cellStyle name="Note 26 2 4 3 2" xfId="23534"/>
    <cellStyle name="Note 26 2 4 3 2 2" xfId="44720"/>
    <cellStyle name="Note 26 2 4 3 3" xfId="34116"/>
    <cellStyle name="Note 26 2 4 4" xfId="18421"/>
    <cellStyle name="Note 26 2 4 4 2" xfId="39608"/>
    <cellStyle name="Note 26 2 4 5" xfId="28791"/>
    <cellStyle name="Note 26 2 4_Table 2A-1_EFT (Annual)" xfId="7362"/>
    <cellStyle name="Note 26 2 5" xfId="4170"/>
    <cellStyle name="Note 26 2 5 2" xfId="12494"/>
    <cellStyle name="Note 26 2 5 2 2" xfId="24516"/>
    <cellStyle name="Note 26 2 5 2 2 2" xfId="45702"/>
    <cellStyle name="Note 26 2 5 2 3" xfId="35098"/>
    <cellStyle name="Note 26 2 5 3" xfId="19403"/>
    <cellStyle name="Note 26 2 5 3 2" xfId="40590"/>
    <cellStyle name="Note 26 2 5 4" xfId="29858"/>
    <cellStyle name="Note 26 2 5_Table 2A-1_EFT (Annual)" xfId="15688"/>
    <cellStyle name="Note 26 2 6" xfId="9833"/>
    <cellStyle name="Note 26 2 6 2" xfId="21970"/>
    <cellStyle name="Note 26 2 6 2 2" xfId="43156"/>
    <cellStyle name="Note 26 2 6 3" xfId="32552"/>
    <cellStyle name="Note 26 2 7" xfId="16857"/>
    <cellStyle name="Note 26 2 7 2" xfId="38044"/>
    <cellStyle name="Note 26 2 8" xfId="27115"/>
    <cellStyle name="Note 26 2_Table 2A-1_EFT (Annual)" xfId="3277"/>
    <cellStyle name="Note 26 3" xfId="435"/>
    <cellStyle name="Note 26 3 2" xfId="1418"/>
    <cellStyle name="Note 26 3 2 2" xfId="2688"/>
    <cellStyle name="Note 26 3 2 2 2" xfId="6249"/>
    <cellStyle name="Note 26 3 2 2 2 2" xfId="14443"/>
    <cellStyle name="Note 26 3 2 2 2 2 2" xfId="26415"/>
    <cellStyle name="Note 26 3 2 2 2 2 2 2" xfId="47601"/>
    <cellStyle name="Note 26 3 2 2 2 2 3" xfId="36997"/>
    <cellStyle name="Note 26 3 2 2 2 3" xfId="21302"/>
    <cellStyle name="Note 26 3 2 2 2 3 2" xfId="42489"/>
    <cellStyle name="Note 26 3 2 2 2 4" xfId="31905"/>
    <cellStyle name="Note 26 3 2 2 2_Table 2A-1_EFT (Annual)" xfId="15689"/>
    <cellStyle name="Note 26 3 2 2 3" xfId="11785"/>
    <cellStyle name="Note 26 3 2 2 3 2" xfId="23869"/>
    <cellStyle name="Note 26 3 2 2 3 2 2" xfId="45055"/>
    <cellStyle name="Note 26 3 2 2 3 3" xfId="34451"/>
    <cellStyle name="Note 26 3 2 2 4" xfId="18756"/>
    <cellStyle name="Note 26 3 2 2 4 2" xfId="39943"/>
    <cellStyle name="Note 26 3 2 2 5" xfId="29162"/>
    <cellStyle name="Note 26 3 2 2_Table 2A-1_EFT (Annual)" xfId="7364"/>
    <cellStyle name="Note 26 3 2 3" xfId="4979"/>
    <cellStyle name="Note 26 3 2 3 2" xfId="13239"/>
    <cellStyle name="Note 26 3 2 3 2 2" xfId="25245"/>
    <cellStyle name="Note 26 3 2 3 2 2 2" xfId="46431"/>
    <cellStyle name="Note 26 3 2 3 2 3" xfId="35827"/>
    <cellStyle name="Note 26 3 2 3 3" xfId="20132"/>
    <cellStyle name="Note 26 3 2 3 3 2" xfId="41319"/>
    <cellStyle name="Note 26 3 2 3 4" xfId="30636"/>
    <cellStyle name="Note 26 3 2 3_Table 2A-1_EFT (Annual)" xfId="15690"/>
    <cellStyle name="Note 26 3 2 4" xfId="10583"/>
    <cellStyle name="Note 26 3 2 4 2" xfId="22699"/>
    <cellStyle name="Note 26 3 2 4 2 2" xfId="43885"/>
    <cellStyle name="Note 26 3 2 4 3" xfId="33281"/>
    <cellStyle name="Note 26 3 2 5" xfId="17586"/>
    <cellStyle name="Note 26 3 2 5 2" xfId="38773"/>
    <cellStyle name="Note 26 3 2 6" xfId="27893"/>
    <cellStyle name="Note 26 3 2_Table 2A-1_EFT (Annual)" xfId="7363"/>
    <cellStyle name="Note 26 3 3" xfId="962"/>
    <cellStyle name="Note 26 3 3 2" xfId="4523"/>
    <cellStyle name="Note 26 3 3 2 2" xfId="12785"/>
    <cellStyle name="Note 26 3 3 2 2 2" xfId="24795"/>
    <cellStyle name="Note 26 3 3 2 2 2 2" xfId="45981"/>
    <cellStyle name="Note 26 3 3 2 2 3" xfId="35377"/>
    <cellStyle name="Note 26 3 3 2 3" xfId="19682"/>
    <cellStyle name="Note 26 3 3 2 3 2" xfId="40869"/>
    <cellStyle name="Note 26 3 3 2 4" xfId="30180"/>
    <cellStyle name="Note 26 3 3 2_Table 2A-1_EFT (Annual)" xfId="15691"/>
    <cellStyle name="Note 26 3 3 3" xfId="10132"/>
    <cellStyle name="Note 26 3 3 3 2" xfId="22249"/>
    <cellStyle name="Note 26 3 3 3 2 2" xfId="43435"/>
    <cellStyle name="Note 26 3 3 3 3" xfId="32831"/>
    <cellStyle name="Note 26 3 3 4" xfId="17136"/>
    <cellStyle name="Note 26 3 3 4 2" xfId="38323"/>
    <cellStyle name="Note 26 3 3 5" xfId="27437"/>
    <cellStyle name="Note 26 3 3_Table 2A-1_EFT (Annual)" xfId="7365"/>
    <cellStyle name="Note 26 3 4" xfId="2157"/>
    <cellStyle name="Note 26 3 4 2" xfId="5718"/>
    <cellStyle name="Note 26 3 4 2 2" xfId="13933"/>
    <cellStyle name="Note 26 3 4 2 2 2" xfId="25921"/>
    <cellStyle name="Note 26 3 4 2 2 2 2" xfId="47107"/>
    <cellStyle name="Note 26 3 4 2 2 3" xfId="36503"/>
    <cellStyle name="Note 26 3 4 2 3" xfId="20808"/>
    <cellStyle name="Note 26 3 4 2 3 2" xfId="41995"/>
    <cellStyle name="Note 26 3 4 2 4" xfId="31375"/>
    <cellStyle name="Note 26 3 4 2_Table 2A-1_EFT (Annual)" xfId="15692"/>
    <cellStyle name="Note 26 3 4 3" xfId="11277"/>
    <cellStyle name="Note 26 3 4 3 2" xfId="23375"/>
    <cellStyle name="Note 26 3 4 3 2 2" xfId="44561"/>
    <cellStyle name="Note 26 3 4 3 3" xfId="33957"/>
    <cellStyle name="Note 26 3 4 4" xfId="18262"/>
    <cellStyle name="Note 26 3 4 4 2" xfId="39449"/>
    <cellStyle name="Note 26 3 4 5" xfId="28632"/>
    <cellStyle name="Note 26 3 4_Table 2A-1_EFT (Annual)" xfId="7366"/>
    <cellStyle name="Note 26 3 5" xfId="4005"/>
    <cellStyle name="Note 26 3 5 2" xfId="12333"/>
    <cellStyle name="Note 26 3 5 2 2" xfId="24357"/>
    <cellStyle name="Note 26 3 5 2 2 2" xfId="45543"/>
    <cellStyle name="Note 26 3 5 2 3" xfId="34939"/>
    <cellStyle name="Note 26 3 5 3" xfId="19244"/>
    <cellStyle name="Note 26 3 5 3 2" xfId="40431"/>
    <cellStyle name="Note 26 3 5 4" xfId="29693"/>
    <cellStyle name="Note 26 3 5_Table 2A-1_EFT (Annual)" xfId="15693"/>
    <cellStyle name="Note 26 3 6" xfId="9670"/>
    <cellStyle name="Note 26 3 6 2" xfId="21811"/>
    <cellStyle name="Note 26 3 6 2 2" xfId="42997"/>
    <cellStyle name="Note 26 3 6 3" xfId="32393"/>
    <cellStyle name="Note 26 3 7" xfId="16698"/>
    <cellStyle name="Note 26 3 7 2" xfId="37885"/>
    <cellStyle name="Note 26 3 8" xfId="26950"/>
    <cellStyle name="Note 26 3_Table 2A-1_EFT (Annual)" xfId="3278"/>
    <cellStyle name="Note 26 4" xfId="1255"/>
    <cellStyle name="Note 26 4 2" xfId="2525"/>
    <cellStyle name="Note 26 4 2 2" xfId="6086"/>
    <cellStyle name="Note 26 4 2 2 2" xfId="14280"/>
    <cellStyle name="Note 26 4 2 2 2 2" xfId="26252"/>
    <cellStyle name="Note 26 4 2 2 2 2 2" xfId="47438"/>
    <cellStyle name="Note 26 4 2 2 2 3" xfId="36834"/>
    <cellStyle name="Note 26 4 2 2 3" xfId="21139"/>
    <cellStyle name="Note 26 4 2 2 3 2" xfId="42326"/>
    <cellStyle name="Note 26 4 2 2 4" xfId="31742"/>
    <cellStyle name="Note 26 4 2 2_Table 2A-1_EFT (Annual)" xfId="15694"/>
    <cellStyle name="Note 26 4 2 3" xfId="11622"/>
    <cellStyle name="Note 26 4 2 3 2" xfId="23706"/>
    <cellStyle name="Note 26 4 2 3 2 2" xfId="44892"/>
    <cellStyle name="Note 26 4 2 3 3" xfId="34288"/>
    <cellStyle name="Note 26 4 2 4" xfId="18593"/>
    <cellStyle name="Note 26 4 2 4 2" xfId="39780"/>
    <cellStyle name="Note 26 4 2 5" xfId="28999"/>
    <cellStyle name="Note 26 4 2_Table 2A-1_EFT (Annual)" xfId="7368"/>
    <cellStyle name="Note 26 4 3" xfId="4816"/>
    <cellStyle name="Note 26 4 3 2" xfId="13076"/>
    <cellStyle name="Note 26 4 3 2 2" xfId="25082"/>
    <cellStyle name="Note 26 4 3 2 2 2" xfId="46268"/>
    <cellStyle name="Note 26 4 3 2 3" xfId="35664"/>
    <cellStyle name="Note 26 4 3 3" xfId="19969"/>
    <cellStyle name="Note 26 4 3 3 2" xfId="41156"/>
    <cellStyle name="Note 26 4 3 4" xfId="30473"/>
    <cellStyle name="Note 26 4 3_Table 2A-1_EFT (Annual)" xfId="15695"/>
    <cellStyle name="Note 26 4 4" xfId="10420"/>
    <cellStyle name="Note 26 4 4 2" xfId="22536"/>
    <cellStyle name="Note 26 4 4 2 2" xfId="43722"/>
    <cellStyle name="Note 26 4 4 3" xfId="33118"/>
    <cellStyle name="Note 26 4 5" xfId="17423"/>
    <cellStyle name="Note 26 4 5 2" xfId="38610"/>
    <cellStyle name="Note 26 4 6" xfId="27730"/>
    <cellStyle name="Note 26 4_Table 2A-1_EFT (Annual)" xfId="7367"/>
    <cellStyle name="Note 26 5" xfId="806"/>
    <cellStyle name="Note 26 5 2" xfId="4367"/>
    <cellStyle name="Note 26 5 2 2" xfId="12647"/>
    <cellStyle name="Note 26 5 2 2 2" xfId="24664"/>
    <cellStyle name="Note 26 5 2 2 2 2" xfId="45850"/>
    <cellStyle name="Note 26 5 2 2 3" xfId="35246"/>
    <cellStyle name="Note 26 5 2 3" xfId="19551"/>
    <cellStyle name="Note 26 5 2 3 2" xfId="40738"/>
    <cellStyle name="Note 26 5 2 4" xfId="30024"/>
    <cellStyle name="Note 26 5 2_Table 2A-1_EFT (Annual)" xfId="15696"/>
    <cellStyle name="Note 26 5 3" xfId="9995"/>
    <cellStyle name="Note 26 5 3 2" xfId="22118"/>
    <cellStyle name="Note 26 5 3 2 2" xfId="43304"/>
    <cellStyle name="Note 26 5 3 3" xfId="32700"/>
    <cellStyle name="Note 26 5 4" xfId="17005"/>
    <cellStyle name="Note 26 5 4 2" xfId="38192"/>
    <cellStyle name="Note 26 5 5" xfId="27281"/>
    <cellStyle name="Note 26 5_Table 2A-1_EFT (Annual)" xfId="7369"/>
    <cellStyle name="Note 26 6" xfId="1994"/>
    <cellStyle name="Note 26 6 2" xfId="5555"/>
    <cellStyle name="Note 26 6 2 2" xfId="13770"/>
    <cellStyle name="Note 26 6 2 2 2" xfId="25758"/>
    <cellStyle name="Note 26 6 2 2 2 2" xfId="46944"/>
    <cellStyle name="Note 26 6 2 2 3" xfId="36340"/>
    <cellStyle name="Note 26 6 2 3" xfId="20645"/>
    <cellStyle name="Note 26 6 2 3 2" xfId="41832"/>
    <cellStyle name="Note 26 6 2 4" xfId="31212"/>
    <cellStyle name="Note 26 6 2_Table 2A-1_EFT (Annual)" xfId="15697"/>
    <cellStyle name="Note 26 6 3" xfId="11114"/>
    <cellStyle name="Note 26 6 3 2" xfId="23212"/>
    <cellStyle name="Note 26 6 3 2 2" xfId="44398"/>
    <cellStyle name="Note 26 6 3 3" xfId="33794"/>
    <cellStyle name="Note 26 6 4" xfId="18099"/>
    <cellStyle name="Note 26 6 4 2" xfId="39286"/>
    <cellStyle name="Note 26 6 5" xfId="28469"/>
    <cellStyle name="Note 26 6_Table 2A-1_EFT (Annual)" xfId="7370"/>
    <cellStyle name="Note 26 7" xfId="3796"/>
    <cellStyle name="Note 26 7 2" xfId="12164"/>
    <cellStyle name="Note 26 7 2 2" xfId="24194"/>
    <cellStyle name="Note 26 7 2 2 2" xfId="45380"/>
    <cellStyle name="Note 26 7 2 3" xfId="34776"/>
    <cellStyle name="Note 26 7 3" xfId="19081"/>
    <cellStyle name="Note 26 7 3 2" xfId="40268"/>
    <cellStyle name="Note 26 7 4" xfId="29505"/>
    <cellStyle name="Note 26 7_Table 2A-1_EFT (Annual)" xfId="15698"/>
    <cellStyle name="Note 26 8" xfId="9483"/>
    <cellStyle name="Note 26 8 2" xfId="21648"/>
    <cellStyle name="Note 26 8 2 2" xfId="42834"/>
    <cellStyle name="Note 26 8 3" xfId="32230"/>
    <cellStyle name="Note 26 9" xfId="16535"/>
    <cellStyle name="Note 26 9 2" xfId="37722"/>
    <cellStyle name="Note 26_Table 2A-1_EFT (Annual)" xfId="3276"/>
    <cellStyle name="Note 27" xfId="197"/>
    <cellStyle name="Note 27 10" xfId="26752"/>
    <cellStyle name="Note 27 2" xfId="590"/>
    <cellStyle name="Note 27 2 2" xfId="1567"/>
    <cellStyle name="Note 27 2 2 2" xfId="2837"/>
    <cellStyle name="Note 27 2 2 2 2" xfId="6398"/>
    <cellStyle name="Note 27 2 2 2 2 2" xfId="14592"/>
    <cellStyle name="Note 27 2 2 2 2 2 2" xfId="26564"/>
    <cellStyle name="Note 27 2 2 2 2 2 2 2" xfId="47750"/>
    <cellStyle name="Note 27 2 2 2 2 2 3" xfId="37146"/>
    <cellStyle name="Note 27 2 2 2 2 3" xfId="21451"/>
    <cellStyle name="Note 27 2 2 2 2 3 2" xfId="42638"/>
    <cellStyle name="Note 27 2 2 2 2 4" xfId="32054"/>
    <cellStyle name="Note 27 2 2 2 2_Table 2A-1_EFT (Annual)" xfId="15699"/>
    <cellStyle name="Note 27 2 2 2 3" xfId="11934"/>
    <cellStyle name="Note 27 2 2 2 3 2" xfId="24018"/>
    <cellStyle name="Note 27 2 2 2 3 2 2" xfId="45204"/>
    <cellStyle name="Note 27 2 2 2 3 3" xfId="34600"/>
    <cellStyle name="Note 27 2 2 2 4" xfId="18905"/>
    <cellStyle name="Note 27 2 2 2 4 2" xfId="40092"/>
    <cellStyle name="Note 27 2 2 2 5" xfId="29311"/>
    <cellStyle name="Note 27 2 2 2_Table 2A-1_EFT (Annual)" xfId="7372"/>
    <cellStyle name="Note 27 2 2 3" xfId="5128"/>
    <cellStyle name="Note 27 2 2 3 2" xfId="13388"/>
    <cellStyle name="Note 27 2 2 3 2 2" xfId="25394"/>
    <cellStyle name="Note 27 2 2 3 2 2 2" xfId="46580"/>
    <cellStyle name="Note 27 2 2 3 2 3" xfId="35976"/>
    <cellStyle name="Note 27 2 2 3 3" xfId="20281"/>
    <cellStyle name="Note 27 2 2 3 3 2" xfId="41468"/>
    <cellStyle name="Note 27 2 2 3 4" xfId="30785"/>
    <cellStyle name="Note 27 2 2 3_Table 2A-1_EFT (Annual)" xfId="15700"/>
    <cellStyle name="Note 27 2 2 4" xfId="10732"/>
    <cellStyle name="Note 27 2 2 4 2" xfId="22848"/>
    <cellStyle name="Note 27 2 2 4 2 2" xfId="44034"/>
    <cellStyle name="Note 27 2 2 4 3" xfId="33430"/>
    <cellStyle name="Note 27 2 2 5" xfId="17735"/>
    <cellStyle name="Note 27 2 2 5 2" xfId="38922"/>
    <cellStyle name="Note 27 2 2 6" xfId="28042"/>
    <cellStyle name="Note 27 2 2_Table 2A-1_EFT (Annual)" xfId="7371"/>
    <cellStyle name="Note 27 2 3" xfId="1088"/>
    <cellStyle name="Note 27 2 3 2" xfId="4649"/>
    <cellStyle name="Note 27 2 3 2 2" xfId="12909"/>
    <cellStyle name="Note 27 2 3 2 2 2" xfId="24915"/>
    <cellStyle name="Note 27 2 3 2 2 2 2" xfId="46101"/>
    <cellStyle name="Note 27 2 3 2 2 3" xfId="35497"/>
    <cellStyle name="Note 27 2 3 2 3" xfId="19802"/>
    <cellStyle name="Note 27 2 3 2 3 2" xfId="40989"/>
    <cellStyle name="Note 27 2 3 2 4" xfId="30306"/>
    <cellStyle name="Note 27 2 3 2_Table 2A-1_EFT (Annual)" xfId="15701"/>
    <cellStyle name="Note 27 2 3 3" xfId="10253"/>
    <cellStyle name="Note 27 2 3 3 2" xfId="22369"/>
    <cellStyle name="Note 27 2 3 3 2 2" xfId="43555"/>
    <cellStyle name="Note 27 2 3 3 3" xfId="32951"/>
    <cellStyle name="Note 27 2 3 4" xfId="17256"/>
    <cellStyle name="Note 27 2 3 4 2" xfId="38443"/>
    <cellStyle name="Note 27 2 3 5" xfId="27563"/>
    <cellStyle name="Note 27 2 3_Table 2A-1_EFT (Annual)" xfId="7373"/>
    <cellStyle name="Note 27 2 4" xfId="2306"/>
    <cellStyle name="Note 27 2 4 2" xfId="5867"/>
    <cellStyle name="Note 27 2 4 2 2" xfId="14082"/>
    <cellStyle name="Note 27 2 4 2 2 2" xfId="26070"/>
    <cellStyle name="Note 27 2 4 2 2 2 2" xfId="47256"/>
    <cellStyle name="Note 27 2 4 2 2 3" xfId="36652"/>
    <cellStyle name="Note 27 2 4 2 3" xfId="20957"/>
    <cellStyle name="Note 27 2 4 2 3 2" xfId="42144"/>
    <cellStyle name="Note 27 2 4 2 4" xfId="31524"/>
    <cellStyle name="Note 27 2 4 2_Table 2A-1_EFT (Annual)" xfId="15702"/>
    <cellStyle name="Note 27 2 4 3" xfId="11426"/>
    <cellStyle name="Note 27 2 4 3 2" xfId="23524"/>
    <cellStyle name="Note 27 2 4 3 2 2" xfId="44710"/>
    <cellStyle name="Note 27 2 4 3 3" xfId="34106"/>
    <cellStyle name="Note 27 2 4 4" xfId="18411"/>
    <cellStyle name="Note 27 2 4 4 2" xfId="39598"/>
    <cellStyle name="Note 27 2 4 5" xfId="28781"/>
    <cellStyle name="Note 27 2 4_Table 2A-1_EFT (Annual)" xfId="7374"/>
    <cellStyle name="Note 27 2 5" xfId="4160"/>
    <cellStyle name="Note 27 2 5 2" xfId="12484"/>
    <cellStyle name="Note 27 2 5 2 2" xfId="24506"/>
    <cellStyle name="Note 27 2 5 2 2 2" xfId="45692"/>
    <cellStyle name="Note 27 2 5 2 3" xfId="35088"/>
    <cellStyle name="Note 27 2 5 3" xfId="19393"/>
    <cellStyle name="Note 27 2 5 3 2" xfId="40580"/>
    <cellStyle name="Note 27 2 5 4" xfId="29848"/>
    <cellStyle name="Note 27 2 5_Table 2A-1_EFT (Annual)" xfId="15703"/>
    <cellStyle name="Note 27 2 6" xfId="9823"/>
    <cellStyle name="Note 27 2 6 2" xfId="21960"/>
    <cellStyle name="Note 27 2 6 2 2" xfId="43146"/>
    <cellStyle name="Note 27 2 6 3" xfId="32542"/>
    <cellStyle name="Note 27 2 7" xfId="16847"/>
    <cellStyle name="Note 27 2 7 2" xfId="38034"/>
    <cellStyle name="Note 27 2 8" xfId="27105"/>
    <cellStyle name="Note 27 2_Table 2A-1_EFT (Annual)" xfId="3280"/>
    <cellStyle name="Note 27 3" xfId="426"/>
    <cellStyle name="Note 27 3 2" xfId="1409"/>
    <cellStyle name="Note 27 3 2 2" xfId="2679"/>
    <cellStyle name="Note 27 3 2 2 2" xfId="6240"/>
    <cellStyle name="Note 27 3 2 2 2 2" xfId="14434"/>
    <cellStyle name="Note 27 3 2 2 2 2 2" xfId="26406"/>
    <cellStyle name="Note 27 3 2 2 2 2 2 2" xfId="47592"/>
    <cellStyle name="Note 27 3 2 2 2 2 3" xfId="36988"/>
    <cellStyle name="Note 27 3 2 2 2 3" xfId="21293"/>
    <cellStyle name="Note 27 3 2 2 2 3 2" xfId="42480"/>
    <cellStyle name="Note 27 3 2 2 2 4" xfId="31896"/>
    <cellStyle name="Note 27 3 2 2 2_Table 2A-1_EFT (Annual)" xfId="15704"/>
    <cellStyle name="Note 27 3 2 2 3" xfId="11776"/>
    <cellStyle name="Note 27 3 2 2 3 2" xfId="23860"/>
    <cellStyle name="Note 27 3 2 2 3 2 2" xfId="45046"/>
    <cellStyle name="Note 27 3 2 2 3 3" xfId="34442"/>
    <cellStyle name="Note 27 3 2 2 4" xfId="18747"/>
    <cellStyle name="Note 27 3 2 2 4 2" xfId="39934"/>
    <cellStyle name="Note 27 3 2 2 5" xfId="29153"/>
    <cellStyle name="Note 27 3 2 2_Table 2A-1_EFT (Annual)" xfId="7376"/>
    <cellStyle name="Note 27 3 2 3" xfId="4970"/>
    <cellStyle name="Note 27 3 2 3 2" xfId="13230"/>
    <cellStyle name="Note 27 3 2 3 2 2" xfId="25236"/>
    <cellStyle name="Note 27 3 2 3 2 2 2" xfId="46422"/>
    <cellStyle name="Note 27 3 2 3 2 3" xfId="35818"/>
    <cellStyle name="Note 27 3 2 3 3" xfId="20123"/>
    <cellStyle name="Note 27 3 2 3 3 2" xfId="41310"/>
    <cellStyle name="Note 27 3 2 3 4" xfId="30627"/>
    <cellStyle name="Note 27 3 2 3_Table 2A-1_EFT (Annual)" xfId="15705"/>
    <cellStyle name="Note 27 3 2 4" xfId="10574"/>
    <cellStyle name="Note 27 3 2 4 2" xfId="22690"/>
    <cellStyle name="Note 27 3 2 4 2 2" xfId="43876"/>
    <cellStyle name="Note 27 3 2 4 3" xfId="33272"/>
    <cellStyle name="Note 27 3 2 5" xfId="17577"/>
    <cellStyle name="Note 27 3 2 5 2" xfId="38764"/>
    <cellStyle name="Note 27 3 2 6" xfId="27884"/>
    <cellStyle name="Note 27 3 2_Table 2A-1_EFT (Annual)" xfId="7375"/>
    <cellStyle name="Note 27 3 3" xfId="954"/>
    <cellStyle name="Note 27 3 3 2" xfId="4515"/>
    <cellStyle name="Note 27 3 3 2 2" xfId="12777"/>
    <cellStyle name="Note 27 3 3 2 2 2" xfId="24787"/>
    <cellStyle name="Note 27 3 3 2 2 2 2" xfId="45973"/>
    <cellStyle name="Note 27 3 3 2 2 3" xfId="35369"/>
    <cellStyle name="Note 27 3 3 2 3" xfId="19674"/>
    <cellStyle name="Note 27 3 3 2 3 2" xfId="40861"/>
    <cellStyle name="Note 27 3 3 2 4" xfId="30172"/>
    <cellStyle name="Note 27 3 3 2_Table 2A-1_EFT (Annual)" xfId="15706"/>
    <cellStyle name="Note 27 3 3 3" xfId="10124"/>
    <cellStyle name="Note 27 3 3 3 2" xfId="22241"/>
    <cellStyle name="Note 27 3 3 3 2 2" xfId="43427"/>
    <cellStyle name="Note 27 3 3 3 3" xfId="32823"/>
    <cellStyle name="Note 27 3 3 4" xfId="17128"/>
    <cellStyle name="Note 27 3 3 4 2" xfId="38315"/>
    <cellStyle name="Note 27 3 3 5" xfId="27429"/>
    <cellStyle name="Note 27 3 3_Table 2A-1_EFT (Annual)" xfId="7377"/>
    <cellStyle name="Note 27 3 4" xfId="2148"/>
    <cellStyle name="Note 27 3 4 2" xfId="5709"/>
    <cellStyle name="Note 27 3 4 2 2" xfId="13924"/>
    <cellStyle name="Note 27 3 4 2 2 2" xfId="25912"/>
    <cellStyle name="Note 27 3 4 2 2 2 2" xfId="47098"/>
    <cellStyle name="Note 27 3 4 2 2 3" xfId="36494"/>
    <cellStyle name="Note 27 3 4 2 3" xfId="20799"/>
    <cellStyle name="Note 27 3 4 2 3 2" xfId="41986"/>
    <cellStyle name="Note 27 3 4 2 4" xfId="31366"/>
    <cellStyle name="Note 27 3 4 2_Table 2A-1_EFT (Annual)" xfId="15707"/>
    <cellStyle name="Note 27 3 4 3" xfId="11268"/>
    <cellStyle name="Note 27 3 4 3 2" xfId="23366"/>
    <cellStyle name="Note 27 3 4 3 2 2" xfId="44552"/>
    <cellStyle name="Note 27 3 4 3 3" xfId="33948"/>
    <cellStyle name="Note 27 3 4 4" xfId="18253"/>
    <cellStyle name="Note 27 3 4 4 2" xfId="39440"/>
    <cellStyle name="Note 27 3 4 5" xfId="28623"/>
    <cellStyle name="Note 27 3 4_Table 2A-1_EFT (Annual)" xfId="7378"/>
    <cellStyle name="Note 27 3 5" xfId="3996"/>
    <cellStyle name="Note 27 3 5 2" xfId="12324"/>
    <cellStyle name="Note 27 3 5 2 2" xfId="24348"/>
    <cellStyle name="Note 27 3 5 2 2 2" xfId="45534"/>
    <cellStyle name="Note 27 3 5 2 3" xfId="34930"/>
    <cellStyle name="Note 27 3 5 3" xfId="19235"/>
    <cellStyle name="Note 27 3 5 3 2" xfId="40422"/>
    <cellStyle name="Note 27 3 5 4" xfId="29684"/>
    <cellStyle name="Note 27 3 5_Table 2A-1_EFT (Annual)" xfId="15708"/>
    <cellStyle name="Note 27 3 6" xfId="9661"/>
    <cellStyle name="Note 27 3 6 2" xfId="21802"/>
    <cellStyle name="Note 27 3 6 2 2" xfId="42988"/>
    <cellStyle name="Note 27 3 6 3" xfId="32384"/>
    <cellStyle name="Note 27 3 7" xfId="16689"/>
    <cellStyle name="Note 27 3 7 2" xfId="37876"/>
    <cellStyle name="Note 27 3 8" xfId="26941"/>
    <cellStyle name="Note 27 3_Table 2A-1_EFT (Annual)" xfId="3281"/>
    <cellStyle name="Note 27 4" xfId="1245"/>
    <cellStyle name="Note 27 4 2" xfId="2515"/>
    <cellStyle name="Note 27 4 2 2" xfId="6076"/>
    <cellStyle name="Note 27 4 2 2 2" xfId="14270"/>
    <cellStyle name="Note 27 4 2 2 2 2" xfId="26242"/>
    <cellStyle name="Note 27 4 2 2 2 2 2" xfId="47428"/>
    <cellStyle name="Note 27 4 2 2 2 3" xfId="36824"/>
    <cellStyle name="Note 27 4 2 2 3" xfId="21129"/>
    <cellStyle name="Note 27 4 2 2 3 2" xfId="42316"/>
    <cellStyle name="Note 27 4 2 2 4" xfId="31732"/>
    <cellStyle name="Note 27 4 2 2_Table 2A-1_EFT (Annual)" xfId="15709"/>
    <cellStyle name="Note 27 4 2 3" xfId="11612"/>
    <cellStyle name="Note 27 4 2 3 2" xfId="23696"/>
    <cellStyle name="Note 27 4 2 3 2 2" xfId="44882"/>
    <cellStyle name="Note 27 4 2 3 3" xfId="34278"/>
    <cellStyle name="Note 27 4 2 4" xfId="18583"/>
    <cellStyle name="Note 27 4 2 4 2" xfId="39770"/>
    <cellStyle name="Note 27 4 2 5" xfId="28989"/>
    <cellStyle name="Note 27 4 2_Table 2A-1_EFT (Annual)" xfId="7380"/>
    <cellStyle name="Note 27 4 3" xfId="4806"/>
    <cellStyle name="Note 27 4 3 2" xfId="13066"/>
    <cellStyle name="Note 27 4 3 2 2" xfId="25072"/>
    <cellStyle name="Note 27 4 3 2 2 2" xfId="46258"/>
    <cellStyle name="Note 27 4 3 2 3" xfId="35654"/>
    <cellStyle name="Note 27 4 3 3" xfId="19959"/>
    <cellStyle name="Note 27 4 3 3 2" xfId="41146"/>
    <cellStyle name="Note 27 4 3 4" xfId="30463"/>
    <cellStyle name="Note 27 4 3_Table 2A-1_EFT (Annual)" xfId="15710"/>
    <cellStyle name="Note 27 4 4" xfId="10410"/>
    <cellStyle name="Note 27 4 4 2" xfId="22526"/>
    <cellStyle name="Note 27 4 4 2 2" xfId="43712"/>
    <cellStyle name="Note 27 4 4 3" xfId="33108"/>
    <cellStyle name="Note 27 4 5" xfId="17413"/>
    <cellStyle name="Note 27 4 5 2" xfId="38600"/>
    <cellStyle name="Note 27 4 6" xfId="27720"/>
    <cellStyle name="Note 27 4_Table 2A-1_EFT (Annual)" xfId="7379"/>
    <cellStyle name="Note 27 5" xfId="797"/>
    <cellStyle name="Note 27 5 2" xfId="4358"/>
    <cellStyle name="Note 27 5 2 2" xfId="12638"/>
    <cellStyle name="Note 27 5 2 2 2" xfId="24655"/>
    <cellStyle name="Note 27 5 2 2 2 2" xfId="45841"/>
    <cellStyle name="Note 27 5 2 2 3" xfId="35237"/>
    <cellStyle name="Note 27 5 2 3" xfId="19542"/>
    <cellStyle name="Note 27 5 2 3 2" xfId="40729"/>
    <cellStyle name="Note 27 5 2 4" xfId="30015"/>
    <cellStyle name="Note 27 5 2_Table 2A-1_EFT (Annual)" xfId="15711"/>
    <cellStyle name="Note 27 5 3" xfId="9986"/>
    <cellStyle name="Note 27 5 3 2" xfId="22109"/>
    <cellStyle name="Note 27 5 3 2 2" xfId="43295"/>
    <cellStyle name="Note 27 5 3 3" xfId="32691"/>
    <cellStyle name="Note 27 5 4" xfId="16996"/>
    <cellStyle name="Note 27 5 4 2" xfId="38183"/>
    <cellStyle name="Note 27 5 5" xfId="27272"/>
    <cellStyle name="Note 27 5_Table 2A-1_EFT (Annual)" xfId="7381"/>
    <cellStyle name="Note 27 6" xfId="1984"/>
    <cellStyle name="Note 27 6 2" xfId="5545"/>
    <cellStyle name="Note 27 6 2 2" xfId="13760"/>
    <cellStyle name="Note 27 6 2 2 2" xfId="25748"/>
    <cellStyle name="Note 27 6 2 2 2 2" xfId="46934"/>
    <cellStyle name="Note 27 6 2 2 3" xfId="36330"/>
    <cellStyle name="Note 27 6 2 3" xfId="20635"/>
    <cellStyle name="Note 27 6 2 3 2" xfId="41822"/>
    <cellStyle name="Note 27 6 2 4" xfId="31202"/>
    <cellStyle name="Note 27 6 2_Table 2A-1_EFT (Annual)" xfId="15712"/>
    <cellStyle name="Note 27 6 3" xfId="11104"/>
    <cellStyle name="Note 27 6 3 2" xfId="23202"/>
    <cellStyle name="Note 27 6 3 2 2" xfId="44388"/>
    <cellStyle name="Note 27 6 3 3" xfId="33784"/>
    <cellStyle name="Note 27 6 4" xfId="18089"/>
    <cellStyle name="Note 27 6 4 2" xfId="39276"/>
    <cellStyle name="Note 27 6 5" xfId="28459"/>
    <cellStyle name="Note 27 6_Table 2A-1_EFT (Annual)" xfId="7382"/>
    <cellStyle name="Note 27 7" xfId="3786"/>
    <cellStyle name="Note 27 7 2" xfId="12154"/>
    <cellStyle name="Note 27 7 2 2" xfId="24184"/>
    <cellStyle name="Note 27 7 2 2 2" xfId="45370"/>
    <cellStyle name="Note 27 7 2 3" xfId="34766"/>
    <cellStyle name="Note 27 7 3" xfId="19071"/>
    <cellStyle name="Note 27 7 3 2" xfId="40258"/>
    <cellStyle name="Note 27 7 4" xfId="29495"/>
    <cellStyle name="Note 27 7_Table 2A-1_EFT (Annual)" xfId="15713"/>
    <cellStyle name="Note 27 8" xfId="9473"/>
    <cellStyle name="Note 27 8 2" xfId="21638"/>
    <cellStyle name="Note 27 8 2 2" xfId="42824"/>
    <cellStyle name="Note 27 8 3" xfId="32220"/>
    <cellStyle name="Note 27 9" xfId="16525"/>
    <cellStyle name="Note 27 9 2" xfId="37712"/>
    <cellStyle name="Note 27_Table 2A-1_EFT (Annual)" xfId="3279"/>
    <cellStyle name="Note 28" xfId="212"/>
    <cellStyle name="Note 28 10" xfId="26767"/>
    <cellStyle name="Note 28 2" xfId="605"/>
    <cellStyle name="Note 28 2 2" xfId="1582"/>
    <cellStyle name="Note 28 2 2 2" xfId="2852"/>
    <cellStyle name="Note 28 2 2 2 2" xfId="6413"/>
    <cellStyle name="Note 28 2 2 2 2 2" xfId="14607"/>
    <cellStyle name="Note 28 2 2 2 2 2 2" xfId="26579"/>
    <cellStyle name="Note 28 2 2 2 2 2 2 2" xfId="47765"/>
    <cellStyle name="Note 28 2 2 2 2 2 3" xfId="37161"/>
    <cellStyle name="Note 28 2 2 2 2 3" xfId="21466"/>
    <cellStyle name="Note 28 2 2 2 2 3 2" xfId="42653"/>
    <cellStyle name="Note 28 2 2 2 2 4" xfId="32069"/>
    <cellStyle name="Note 28 2 2 2 2_Table 2A-1_EFT (Annual)" xfId="15714"/>
    <cellStyle name="Note 28 2 2 2 3" xfId="11949"/>
    <cellStyle name="Note 28 2 2 2 3 2" xfId="24033"/>
    <cellStyle name="Note 28 2 2 2 3 2 2" xfId="45219"/>
    <cellStyle name="Note 28 2 2 2 3 3" xfId="34615"/>
    <cellStyle name="Note 28 2 2 2 4" xfId="18920"/>
    <cellStyle name="Note 28 2 2 2 4 2" xfId="40107"/>
    <cellStyle name="Note 28 2 2 2 5" xfId="29326"/>
    <cellStyle name="Note 28 2 2 2_Table 2A-1_EFT (Annual)" xfId="7384"/>
    <cellStyle name="Note 28 2 2 3" xfId="5143"/>
    <cellStyle name="Note 28 2 2 3 2" xfId="13403"/>
    <cellStyle name="Note 28 2 2 3 2 2" xfId="25409"/>
    <cellStyle name="Note 28 2 2 3 2 2 2" xfId="46595"/>
    <cellStyle name="Note 28 2 2 3 2 3" xfId="35991"/>
    <cellStyle name="Note 28 2 2 3 3" xfId="20296"/>
    <cellStyle name="Note 28 2 2 3 3 2" xfId="41483"/>
    <cellStyle name="Note 28 2 2 3 4" xfId="30800"/>
    <cellStyle name="Note 28 2 2 3_Table 2A-1_EFT (Annual)" xfId="15715"/>
    <cellStyle name="Note 28 2 2 4" xfId="10747"/>
    <cellStyle name="Note 28 2 2 4 2" xfId="22863"/>
    <cellStyle name="Note 28 2 2 4 2 2" xfId="44049"/>
    <cellStyle name="Note 28 2 2 4 3" xfId="33445"/>
    <cellStyle name="Note 28 2 2 5" xfId="17750"/>
    <cellStyle name="Note 28 2 2 5 2" xfId="38937"/>
    <cellStyle name="Note 28 2 2 6" xfId="28057"/>
    <cellStyle name="Note 28 2 2_Table 2A-1_EFT (Annual)" xfId="7383"/>
    <cellStyle name="Note 28 2 3" xfId="1100"/>
    <cellStyle name="Note 28 2 3 2" xfId="4661"/>
    <cellStyle name="Note 28 2 3 2 2" xfId="12921"/>
    <cellStyle name="Note 28 2 3 2 2 2" xfId="24927"/>
    <cellStyle name="Note 28 2 3 2 2 2 2" xfId="46113"/>
    <cellStyle name="Note 28 2 3 2 2 3" xfId="35509"/>
    <cellStyle name="Note 28 2 3 2 3" xfId="19814"/>
    <cellStyle name="Note 28 2 3 2 3 2" xfId="41001"/>
    <cellStyle name="Note 28 2 3 2 4" xfId="30318"/>
    <cellStyle name="Note 28 2 3 2_Table 2A-1_EFT (Annual)" xfId="15716"/>
    <cellStyle name="Note 28 2 3 3" xfId="10265"/>
    <cellStyle name="Note 28 2 3 3 2" xfId="22381"/>
    <cellStyle name="Note 28 2 3 3 2 2" xfId="43567"/>
    <cellStyle name="Note 28 2 3 3 3" xfId="32963"/>
    <cellStyle name="Note 28 2 3 4" xfId="17268"/>
    <cellStyle name="Note 28 2 3 4 2" xfId="38455"/>
    <cellStyle name="Note 28 2 3 5" xfId="27575"/>
    <cellStyle name="Note 28 2 3_Table 2A-1_EFT (Annual)" xfId="7385"/>
    <cellStyle name="Note 28 2 4" xfId="2321"/>
    <cellStyle name="Note 28 2 4 2" xfId="5882"/>
    <cellStyle name="Note 28 2 4 2 2" xfId="14097"/>
    <cellStyle name="Note 28 2 4 2 2 2" xfId="26085"/>
    <cellStyle name="Note 28 2 4 2 2 2 2" xfId="47271"/>
    <cellStyle name="Note 28 2 4 2 2 3" xfId="36667"/>
    <cellStyle name="Note 28 2 4 2 3" xfId="20972"/>
    <cellStyle name="Note 28 2 4 2 3 2" xfId="42159"/>
    <cellStyle name="Note 28 2 4 2 4" xfId="31539"/>
    <cellStyle name="Note 28 2 4 2_Table 2A-1_EFT (Annual)" xfId="15717"/>
    <cellStyle name="Note 28 2 4 3" xfId="11441"/>
    <cellStyle name="Note 28 2 4 3 2" xfId="23539"/>
    <cellStyle name="Note 28 2 4 3 2 2" xfId="44725"/>
    <cellStyle name="Note 28 2 4 3 3" xfId="34121"/>
    <cellStyle name="Note 28 2 4 4" xfId="18426"/>
    <cellStyle name="Note 28 2 4 4 2" xfId="39613"/>
    <cellStyle name="Note 28 2 4 5" xfId="28796"/>
    <cellStyle name="Note 28 2 4_Table 2A-1_EFT (Annual)" xfId="7386"/>
    <cellStyle name="Note 28 2 5" xfId="4175"/>
    <cellStyle name="Note 28 2 5 2" xfId="12499"/>
    <cellStyle name="Note 28 2 5 2 2" xfId="24521"/>
    <cellStyle name="Note 28 2 5 2 2 2" xfId="45707"/>
    <cellStyle name="Note 28 2 5 2 3" xfId="35103"/>
    <cellStyle name="Note 28 2 5 3" xfId="19408"/>
    <cellStyle name="Note 28 2 5 3 2" xfId="40595"/>
    <cellStyle name="Note 28 2 5 4" xfId="29863"/>
    <cellStyle name="Note 28 2 5_Table 2A-1_EFT (Annual)" xfId="15718"/>
    <cellStyle name="Note 28 2 6" xfId="9838"/>
    <cellStyle name="Note 28 2 6 2" xfId="21975"/>
    <cellStyle name="Note 28 2 6 2 2" xfId="43161"/>
    <cellStyle name="Note 28 2 6 3" xfId="32557"/>
    <cellStyle name="Note 28 2 7" xfId="16862"/>
    <cellStyle name="Note 28 2 7 2" xfId="38049"/>
    <cellStyle name="Note 28 2 8" xfId="27120"/>
    <cellStyle name="Note 28 2_Table 2A-1_EFT (Annual)" xfId="3283"/>
    <cellStyle name="Note 28 3" xfId="440"/>
    <cellStyle name="Note 28 3 2" xfId="1423"/>
    <cellStyle name="Note 28 3 2 2" xfId="2693"/>
    <cellStyle name="Note 28 3 2 2 2" xfId="6254"/>
    <cellStyle name="Note 28 3 2 2 2 2" xfId="14448"/>
    <cellStyle name="Note 28 3 2 2 2 2 2" xfId="26420"/>
    <cellStyle name="Note 28 3 2 2 2 2 2 2" xfId="47606"/>
    <cellStyle name="Note 28 3 2 2 2 2 3" xfId="37002"/>
    <cellStyle name="Note 28 3 2 2 2 3" xfId="21307"/>
    <cellStyle name="Note 28 3 2 2 2 3 2" xfId="42494"/>
    <cellStyle name="Note 28 3 2 2 2 4" xfId="31910"/>
    <cellStyle name="Note 28 3 2 2 2_Table 2A-1_EFT (Annual)" xfId="15719"/>
    <cellStyle name="Note 28 3 2 2 3" xfId="11790"/>
    <cellStyle name="Note 28 3 2 2 3 2" xfId="23874"/>
    <cellStyle name="Note 28 3 2 2 3 2 2" xfId="45060"/>
    <cellStyle name="Note 28 3 2 2 3 3" xfId="34456"/>
    <cellStyle name="Note 28 3 2 2 4" xfId="18761"/>
    <cellStyle name="Note 28 3 2 2 4 2" xfId="39948"/>
    <cellStyle name="Note 28 3 2 2 5" xfId="29167"/>
    <cellStyle name="Note 28 3 2 2_Table 2A-1_EFT (Annual)" xfId="7388"/>
    <cellStyle name="Note 28 3 2 3" xfId="4984"/>
    <cellStyle name="Note 28 3 2 3 2" xfId="13244"/>
    <cellStyle name="Note 28 3 2 3 2 2" xfId="25250"/>
    <cellStyle name="Note 28 3 2 3 2 2 2" xfId="46436"/>
    <cellStyle name="Note 28 3 2 3 2 3" xfId="35832"/>
    <cellStyle name="Note 28 3 2 3 3" xfId="20137"/>
    <cellStyle name="Note 28 3 2 3 3 2" xfId="41324"/>
    <cellStyle name="Note 28 3 2 3 4" xfId="30641"/>
    <cellStyle name="Note 28 3 2 3_Table 2A-1_EFT (Annual)" xfId="15720"/>
    <cellStyle name="Note 28 3 2 4" xfId="10588"/>
    <cellStyle name="Note 28 3 2 4 2" xfId="22704"/>
    <cellStyle name="Note 28 3 2 4 2 2" xfId="43890"/>
    <cellStyle name="Note 28 3 2 4 3" xfId="33286"/>
    <cellStyle name="Note 28 3 2 5" xfId="17591"/>
    <cellStyle name="Note 28 3 2 5 2" xfId="38778"/>
    <cellStyle name="Note 28 3 2 6" xfId="27898"/>
    <cellStyle name="Note 28 3 2_Table 2A-1_EFT (Annual)" xfId="7387"/>
    <cellStyle name="Note 28 3 3" xfId="965"/>
    <cellStyle name="Note 28 3 3 2" xfId="4526"/>
    <cellStyle name="Note 28 3 3 2 2" xfId="12788"/>
    <cellStyle name="Note 28 3 3 2 2 2" xfId="24798"/>
    <cellStyle name="Note 28 3 3 2 2 2 2" xfId="45984"/>
    <cellStyle name="Note 28 3 3 2 2 3" xfId="35380"/>
    <cellStyle name="Note 28 3 3 2 3" xfId="19685"/>
    <cellStyle name="Note 28 3 3 2 3 2" xfId="40872"/>
    <cellStyle name="Note 28 3 3 2 4" xfId="30183"/>
    <cellStyle name="Note 28 3 3 2_Table 2A-1_EFT (Annual)" xfId="15721"/>
    <cellStyle name="Note 28 3 3 3" xfId="10135"/>
    <cellStyle name="Note 28 3 3 3 2" xfId="22252"/>
    <cellStyle name="Note 28 3 3 3 2 2" xfId="43438"/>
    <cellStyle name="Note 28 3 3 3 3" xfId="32834"/>
    <cellStyle name="Note 28 3 3 4" xfId="17139"/>
    <cellStyle name="Note 28 3 3 4 2" xfId="38326"/>
    <cellStyle name="Note 28 3 3 5" xfId="27440"/>
    <cellStyle name="Note 28 3 3_Table 2A-1_EFT (Annual)" xfId="7389"/>
    <cellStyle name="Note 28 3 4" xfId="2162"/>
    <cellStyle name="Note 28 3 4 2" xfId="5723"/>
    <cellStyle name="Note 28 3 4 2 2" xfId="13938"/>
    <cellStyle name="Note 28 3 4 2 2 2" xfId="25926"/>
    <cellStyle name="Note 28 3 4 2 2 2 2" xfId="47112"/>
    <cellStyle name="Note 28 3 4 2 2 3" xfId="36508"/>
    <cellStyle name="Note 28 3 4 2 3" xfId="20813"/>
    <cellStyle name="Note 28 3 4 2 3 2" xfId="42000"/>
    <cellStyle name="Note 28 3 4 2 4" xfId="31380"/>
    <cellStyle name="Note 28 3 4 2_Table 2A-1_EFT (Annual)" xfId="15722"/>
    <cellStyle name="Note 28 3 4 3" xfId="11282"/>
    <cellStyle name="Note 28 3 4 3 2" xfId="23380"/>
    <cellStyle name="Note 28 3 4 3 2 2" xfId="44566"/>
    <cellStyle name="Note 28 3 4 3 3" xfId="33962"/>
    <cellStyle name="Note 28 3 4 4" xfId="18267"/>
    <cellStyle name="Note 28 3 4 4 2" xfId="39454"/>
    <cellStyle name="Note 28 3 4 5" xfId="28637"/>
    <cellStyle name="Note 28 3 4_Table 2A-1_EFT (Annual)" xfId="7390"/>
    <cellStyle name="Note 28 3 5" xfId="4010"/>
    <cellStyle name="Note 28 3 5 2" xfId="12338"/>
    <cellStyle name="Note 28 3 5 2 2" xfId="24362"/>
    <cellStyle name="Note 28 3 5 2 2 2" xfId="45548"/>
    <cellStyle name="Note 28 3 5 2 3" xfId="34944"/>
    <cellStyle name="Note 28 3 5 3" xfId="19249"/>
    <cellStyle name="Note 28 3 5 3 2" xfId="40436"/>
    <cellStyle name="Note 28 3 5 4" xfId="29698"/>
    <cellStyle name="Note 28 3 5_Table 2A-1_EFT (Annual)" xfId="15723"/>
    <cellStyle name="Note 28 3 6" xfId="9675"/>
    <cellStyle name="Note 28 3 6 2" xfId="21816"/>
    <cellStyle name="Note 28 3 6 2 2" xfId="43002"/>
    <cellStyle name="Note 28 3 6 3" xfId="32398"/>
    <cellStyle name="Note 28 3 7" xfId="16703"/>
    <cellStyle name="Note 28 3 7 2" xfId="37890"/>
    <cellStyle name="Note 28 3 8" xfId="26955"/>
    <cellStyle name="Note 28 3_Table 2A-1_EFT (Annual)" xfId="3284"/>
    <cellStyle name="Note 28 4" xfId="1260"/>
    <cellStyle name="Note 28 4 2" xfId="2530"/>
    <cellStyle name="Note 28 4 2 2" xfId="6091"/>
    <cellStyle name="Note 28 4 2 2 2" xfId="14285"/>
    <cellStyle name="Note 28 4 2 2 2 2" xfId="26257"/>
    <cellStyle name="Note 28 4 2 2 2 2 2" xfId="47443"/>
    <cellStyle name="Note 28 4 2 2 2 3" xfId="36839"/>
    <cellStyle name="Note 28 4 2 2 3" xfId="21144"/>
    <cellStyle name="Note 28 4 2 2 3 2" xfId="42331"/>
    <cellStyle name="Note 28 4 2 2 4" xfId="31747"/>
    <cellStyle name="Note 28 4 2 2_Table 2A-1_EFT (Annual)" xfId="15724"/>
    <cellStyle name="Note 28 4 2 3" xfId="11627"/>
    <cellStyle name="Note 28 4 2 3 2" xfId="23711"/>
    <cellStyle name="Note 28 4 2 3 2 2" xfId="44897"/>
    <cellStyle name="Note 28 4 2 3 3" xfId="34293"/>
    <cellStyle name="Note 28 4 2 4" xfId="18598"/>
    <cellStyle name="Note 28 4 2 4 2" xfId="39785"/>
    <cellStyle name="Note 28 4 2 5" xfId="29004"/>
    <cellStyle name="Note 28 4 2_Table 2A-1_EFT (Annual)" xfId="7392"/>
    <cellStyle name="Note 28 4 3" xfId="4821"/>
    <cellStyle name="Note 28 4 3 2" xfId="13081"/>
    <cellStyle name="Note 28 4 3 2 2" xfId="25087"/>
    <cellStyle name="Note 28 4 3 2 2 2" xfId="46273"/>
    <cellStyle name="Note 28 4 3 2 3" xfId="35669"/>
    <cellStyle name="Note 28 4 3 3" xfId="19974"/>
    <cellStyle name="Note 28 4 3 3 2" xfId="41161"/>
    <cellStyle name="Note 28 4 3 4" xfId="30478"/>
    <cellStyle name="Note 28 4 3_Table 2A-1_EFT (Annual)" xfId="15725"/>
    <cellStyle name="Note 28 4 4" xfId="10425"/>
    <cellStyle name="Note 28 4 4 2" xfId="22541"/>
    <cellStyle name="Note 28 4 4 2 2" xfId="43727"/>
    <cellStyle name="Note 28 4 4 3" xfId="33123"/>
    <cellStyle name="Note 28 4 5" xfId="17428"/>
    <cellStyle name="Note 28 4 5 2" xfId="38615"/>
    <cellStyle name="Note 28 4 6" xfId="27735"/>
    <cellStyle name="Note 28 4_Table 2A-1_EFT (Annual)" xfId="7391"/>
    <cellStyle name="Note 28 5" xfId="809"/>
    <cellStyle name="Note 28 5 2" xfId="4370"/>
    <cellStyle name="Note 28 5 2 2" xfId="12650"/>
    <cellStyle name="Note 28 5 2 2 2" xfId="24667"/>
    <cellStyle name="Note 28 5 2 2 2 2" xfId="45853"/>
    <cellStyle name="Note 28 5 2 2 3" xfId="35249"/>
    <cellStyle name="Note 28 5 2 3" xfId="19554"/>
    <cellStyle name="Note 28 5 2 3 2" xfId="40741"/>
    <cellStyle name="Note 28 5 2 4" xfId="30027"/>
    <cellStyle name="Note 28 5 2_Table 2A-1_EFT (Annual)" xfId="15726"/>
    <cellStyle name="Note 28 5 3" xfId="9998"/>
    <cellStyle name="Note 28 5 3 2" xfId="22121"/>
    <cellStyle name="Note 28 5 3 2 2" xfId="43307"/>
    <cellStyle name="Note 28 5 3 3" xfId="32703"/>
    <cellStyle name="Note 28 5 4" xfId="17008"/>
    <cellStyle name="Note 28 5 4 2" xfId="38195"/>
    <cellStyle name="Note 28 5 5" xfId="27284"/>
    <cellStyle name="Note 28 5_Table 2A-1_EFT (Annual)" xfId="7393"/>
    <cellStyle name="Note 28 6" xfId="1999"/>
    <cellStyle name="Note 28 6 2" xfId="5560"/>
    <cellStyle name="Note 28 6 2 2" xfId="13775"/>
    <cellStyle name="Note 28 6 2 2 2" xfId="25763"/>
    <cellStyle name="Note 28 6 2 2 2 2" xfId="46949"/>
    <cellStyle name="Note 28 6 2 2 3" xfId="36345"/>
    <cellStyle name="Note 28 6 2 3" xfId="20650"/>
    <cellStyle name="Note 28 6 2 3 2" xfId="41837"/>
    <cellStyle name="Note 28 6 2 4" xfId="31217"/>
    <cellStyle name="Note 28 6 2_Table 2A-1_EFT (Annual)" xfId="15727"/>
    <cellStyle name="Note 28 6 3" xfId="11119"/>
    <cellStyle name="Note 28 6 3 2" xfId="23217"/>
    <cellStyle name="Note 28 6 3 2 2" xfId="44403"/>
    <cellStyle name="Note 28 6 3 3" xfId="33799"/>
    <cellStyle name="Note 28 6 4" xfId="18104"/>
    <cellStyle name="Note 28 6 4 2" xfId="39291"/>
    <cellStyle name="Note 28 6 5" xfId="28474"/>
    <cellStyle name="Note 28 6_Table 2A-1_EFT (Annual)" xfId="7394"/>
    <cellStyle name="Note 28 7" xfId="3801"/>
    <cellStyle name="Note 28 7 2" xfId="12169"/>
    <cellStyle name="Note 28 7 2 2" xfId="24199"/>
    <cellStyle name="Note 28 7 2 2 2" xfId="45385"/>
    <cellStyle name="Note 28 7 2 3" xfId="34781"/>
    <cellStyle name="Note 28 7 3" xfId="19086"/>
    <cellStyle name="Note 28 7 3 2" xfId="40273"/>
    <cellStyle name="Note 28 7 4" xfId="29510"/>
    <cellStyle name="Note 28 7_Table 2A-1_EFT (Annual)" xfId="15728"/>
    <cellStyle name="Note 28 8" xfId="9488"/>
    <cellStyle name="Note 28 8 2" xfId="21653"/>
    <cellStyle name="Note 28 8 2 2" xfId="42839"/>
    <cellStyle name="Note 28 8 3" xfId="32235"/>
    <cellStyle name="Note 28 9" xfId="16540"/>
    <cellStyle name="Note 28 9 2" xfId="37727"/>
    <cellStyle name="Note 28_Table 2A-1_EFT (Annual)" xfId="3282"/>
    <cellStyle name="Note 29" xfId="200"/>
    <cellStyle name="Note 29 10" xfId="26755"/>
    <cellStyle name="Note 29 2" xfId="593"/>
    <cellStyle name="Note 29 2 2" xfId="1570"/>
    <cellStyle name="Note 29 2 2 2" xfId="2840"/>
    <cellStyle name="Note 29 2 2 2 2" xfId="6401"/>
    <cellStyle name="Note 29 2 2 2 2 2" xfId="14595"/>
    <cellStyle name="Note 29 2 2 2 2 2 2" xfId="26567"/>
    <cellStyle name="Note 29 2 2 2 2 2 2 2" xfId="47753"/>
    <cellStyle name="Note 29 2 2 2 2 2 3" xfId="37149"/>
    <cellStyle name="Note 29 2 2 2 2 3" xfId="21454"/>
    <cellStyle name="Note 29 2 2 2 2 3 2" xfId="42641"/>
    <cellStyle name="Note 29 2 2 2 2 4" xfId="32057"/>
    <cellStyle name="Note 29 2 2 2 2_Table 2A-1_EFT (Annual)" xfId="15729"/>
    <cellStyle name="Note 29 2 2 2 3" xfId="11937"/>
    <cellStyle name="Note 29 2 2 2 3 2" xfId="24021"/>
    <cellStyle name="Note 29 2 2 2 3 2 2" xfId="45207"/>
    <cellStyle name="Note 29 2 2 2 3 3" xfId="34603"/>
    <cellStyle name="Note 29 2 2 2 4" xfId="18908"/>
    <cellStyle name="Note 29 2 2 2 4 2" xfId="40095"/>
    <cellStyle name="Note 29 2 2 2 5" xfId="29314"/>
    <cellStyle name="Note 29 2 2 2_Table 2A-1_EFT (Annual)" xfId="7396"/>
    <cellStyle name="Note 29 2 2 3" xfId="5131"/>
    <cellStyle name="Note 29 2 2 3 2" xfId="13391"/>
    <cellStyle name="Note 29 2 2 3 2 2" xfId="25397"/>
    <cellStyle name="Note 29 2 2 3 2 2 2" xfId="46583"/>
    <cellStyle name="Note 29 2 2 3 2 3" xfId="35979"/>
    <cellStyle name="Note 29 2 2 3 3" xfId="20284"/>
    <cellStyle name="Note 29 2 2 3 3 2" xfId="41471"/>
    <cellStyle name="Note 29 2 2 3 4" xfId="30788"/>
    <cellStyle name="Note 29 2 2 3_Table 2A-1_EFT (Annual)" xfId="15730"/>
    <cellStyle name="Note 29 2 2 4" xfId="10735"/>
    <cellStyle name="Note 29 2 2 4 2" xfId="22851"/>
    <cellStyle name="Note 29 2 2 4 2 2" xfId="44037"/>
    <cellStyle name="Note 29 2 2 4 3" xfId="33433"/>
    <cellStyle name="Note 29 2 2 5" xfId="17738"/>
    <cellStyle name="Note 29 2 2 5 2" xfId="38925"/>
    <cellStyle name="Note 29 2 2 6" xfId="28045"/>
    <cellStyle name="Note 29 2 2_Table 2A-1_EFT (Annual)" xfId="7395"/>
    <cellStyle name="Note 29 2 3" xfId="1091"/>
    <cellStyle name="Note 29 2 3 2" xfId="4652"/>
    <cellStyle name="Note 29 2 3 2 2" xfId="12912"/>
    <cellStyle name="Note 29 2 3 2 2 2" xfId="24918"/>
    <cellStyle name="Note 29 2 3 2 2 2 2" xfId="46104"/>
    <cellStyle name="Note 29 2 3 2 2 3" xfId="35500"/>
    <cellStyle name="Note 29 2 3 2 3" xfId="19805"/>
    <cellStyle name="Note 29 2 3 2 3 2" xfId="40992"/>
    <cellStyle name="Note 29 2 3 2 4" xfId="30309"/>
    <cellStyle name="Note 29 2 3 2_Table 2A-1_EFT (Annual)" xfId="15731"/>
    <cellStyle name="Note 29 2 3 3" xfId="10256"/>
    <cellStyle name="Note 29 2 3 3 2" xfId="22372"/>
    <cellStyle name="Note 29 2 3 3 2 2" xfId="43558"/>
    <cellStyle name="Note 29 2 3 3 3" xfId="32954"/>
    <cellStyle name="Note 29 2 3 4" xfId="17259"/>
    <cellStyle name="Note 29 2 3 4 2" xfId="38446"/>
    <cellStyle name="Note 29 2 3 5" xfId="27566"/>
    <cellStyle name="Note 29 2 3_Table 2A-1_EFT (Annual)" xfId="7397"/>
    <cellStyle name="Note 29 2 4" xfId="2309"/>
    <cellStyle name="Note 29 2 4 2" xfId="5870"/>
    <cellStyle name="Note 29 2 4 2 2" xfId="14085"/>
    <cellStyle name="Note 29 2 4 2 2 2" xfId="26073"/>
    <cellStyle name="Note 29 2 4 2 2 2 2" xfId="47259"/>
    <cellStyle name="Note 29 2 4 2 2 3" xfId="36655"/>
    <cellStyle name="Note 29 2 4 2 3" xfId="20960"/>
    <cellStyle name="Note 29 2 4 2 3 2" xfId="42147"/>
    <cellStyle name="Note 29 2 4 2 4" xfId="31527"/>
    <cellStyle name="Note 29 2 4 2_Table 2A-1_EFT (Annual)" xfId="15732"/>
    <cellStyle name="Note 29 2 4 3" xfId="11429"/>
    <cellStyle name="Note 29 2 4 3 2" xfId="23527"/>
    <cellStyle name="Note 29 2 4 3 2 2" xfId="44713"/>
    <cellStyle name="Note 29 2 4 3 3" xfId="34109"/>
    <cellStyle name="Note 29 2 4 4" xfId="18414"/>
    <cellStyle name="Note 29 2 4 4 2" xfId="39601"/>
    <cellStyle name="Note 29 2 4 5" xfId="28784"/>
    <cellStyle name="Note 29 2 4_Table 2A-1_EFT (Annual)" xfId="7398"/>
    <cellStyle name="Note 29 2 5" xfId="4163"/>
    <cellStyle name="Note 29 2 5 2" xfId="12487"/>
    <cellStyle name="Note 29 2 5 2 2" xfId="24509"/>
    <cellStyle name="Note 29 2 5 2 2 2" xfId="45695"/>
    <cellStyle name="Note 29 2 5 2 3" xfId="35091"/>
    <cellStyle name="Note 29 2 5 3" xfId="19396"/>
    <cellStyle name="Note 29 2 5 3 2" xfId="40583"/>
    <cellStyle name="Note 29 2 5 4" xfId="29851"/>
    <cellStyle name="Note 29 2 5_Table 2A-1_EFT (Annual)" xfId="15733"/>
    <cellStyle name="Note 29 2 6" xfId="9826"/>
    <cellStyle name="Note 29 2 6 2" xfId="21963"/>
    <cellStyle name="Note 29 2 6 2 2" xfId="43149"/>
    <cellStyle name="Note 29 2 6 3" xfId="32545"/>
    <cellStyle name="Note 29 2 7" xfId="16850"/>
    <cellStyle name="Note 29 2 7 2" xfId="38037"/>
    <cellStyle name="Note 29 2 8" xfId="27108"/>
    <cellStyle name="Note 29 2_Table 2A-1_EFT (Annual)" xfId="3286"/>
    <cellStyle name="Note 29 3" xfId="429"/>
    <cellStyle name="Note 29 3 2" xfId="1412"/>
    <cellStyle name="Note 29 3 2 2" xfId="2682"/>
    <cellStyle name="Note 29 3 2 2 2" xfId="6243"/>
    <cellStyle name="Note 29 3 2 2 2 2" xfId="14437"/>
    <cellStyle name="Note 29 3 2 2 2 2 2" xfId="26409"/>
    <cellStyle name="Note 29 3 2 2 2 2 2 2" xfId="47595"/>
    <cellStyle name="Note 29 3 2 2 2 2 3" xfId="36991"/>
    <cellStyle name="Note 29 3 2 2 2 3" xfId="21296"/>
    <cellStyle name="Note 29 3 2 2 2 3 2" xfId="42483"/>
    <cellStyle name="Note 29 3 2 2 2 4" xfId="31899"/>
    <cellStyle name="Note 29 3 2 2 2_Table 2A-1_EFT (Annual)" xfId="15734"/>
    <cellStyle name="Note 29 3 2 2 3" xfId="11779"/>
    <cellStyle name="Note 29 3 2 2 3 2" xfId="23863"/>
    <cellStyle name="Note 29 3 2 2 3 2 2" xfId="45049"/>
    <cellStyle name="Note 29 3 2 2 3 3" xfId="34445"/>
    <cellStyle name="Note 29 3 2 2 4" xfId="18750"/>
    <cellStyle name="Note 29 3 2 2 4 2" xfId="39937"/>
    <cellStyle name="Note 29 3 2 2 5" xfId="29156"/>
    <cellStyle name="Note 29 3 2 2_Table 2A-1_EFT (Annual)" xfId="7400"/>
    <cellStyle name="Note 29 3 2 3" xfId="4973"/>
    <cellStyle name="Note 29 3 2 3 2" xfId="13233"/>
    <cellStyle name="Note 29 3 2 3 2 2" xfId="25239"/>
    <cellStyle name="Note 29 3 2 3 2 2 2" xfId="46425"/>
    <cellStyle name="Note 29 3 2 3 2 3" xfId="35821"/>
    <cellStyle name="Note 29 3 2 3 3" xfId="20126"/>
    <cellStyle name="Note 29 3 2 3 3 2" xfId="41313"/>
    <cellStyle name="Note 29 3 2 3 4" xfId="30630"/>
    <cellStyle name="Note 29 3 2 3_Table 2A-1_EFT (Annual)" xfId="15735"/>
    <cellStyle name="Note 29 3 2 4" xfId="10577"/>
    <cellStyle name="Note 29 3 2 4 2" xfId="22693"/>
    <cellStyle name="Note 29 3 2 4 2 2" xfId="43879"/>
    <cellStyle name="Note 29 3 2 4 3" xfId="33275"/>
    <cellStyle name="Note 29 3 2 5" xfId="17580"/>
    <cellStyle name="Note 29 3 2 5 2" xfId="38767"/>
    <cellStyle name="Note 29 3 2 6" xfId="27887"/>
    <cellStyle name="Note 29 3 2_Table 2A-1_EFT (Annual)" xfId="7399"/>
    <cellStyle name="Note 29 3 3" xfId="957"/>
    <cellStyle name="Note 29 3 3 2" xfId="4518"/>
    <cellStyle name="Note 29 3 3 2 2" xfId="12780"/>
    <cellStyle name="Note 29 3 3 2 2 2" xfId="24790"/>
    <cellStyle name="Note 29 3 3 2 2 2 2" xfId="45976"/>
    <cellStyle name="Note 29 3 3 2 2 3" xfId="35372"/>
    <cellStyle name="Note 29 3 3 2 3" xfId="19677"/>
    <cellStyle name="Note 29 3 3 2 3 2" xfId="40864"/>
    <cellStyle name="Note 29 3 3 2 4" xfId="30175"/>
    <cellStyle name="Note 29 3 3 2_Table 2A-1_EFT (Annual)" xfId="15736"/>
    <cellStyle name="Note 29 3 3 3" xfId="10127"/>
    <cellStyle name="Note 29 3 3 3 2" xfId="22244"/>
    <cellStyle name="Note 29 3 3 3 2 2" xfId="43430"/>
    <cellStyle name="Note 29 3 3 3 3" xfId="32826"/>
    <cellStyle name="Note 29 3 3 4" xfId="17131"/>
    <cellStyle name="Note 29 3 3 4 2" xfId="38318"/>
    <cellStyle name="Note 29 3 3 5" xfId="27432"/>
    <cellStyle name="Note 29 3 3_Table 2A-1_EFT (Annual)" xfId="7401"/>
    <cellStyle name="Note 29 3 4" xfId="2151"/>
    <cellStyle name="Note 29 3 4 2" xfId="5712"/>
    <cellStyle name="Note 29 3 4 2 2" xfId="13927"/>
    <cellStyle name="Note 29 3 4 2 2 2" xfId="25915"/>
    <cellStyle name="Note 29 3 4 2 2 2 2" xfId="47101"/>
    <cellStyle name="Note 29 3 4 2 2 3" xfId="36497"/>
    <cellStyle name="Note 29 3 4 2 3" xfId="20802"/>
    <cellStyle name="Note 29 3 4 2 3 2" xfId="41989"/>
    <cellStyle name="Note 29 3 4 2 4" xfId="31369"/>
    <cellStyle name="Note 29 3 4 2_Table 2A-1_EFT (Annual)" xfId="15737"/>
    <cellStyle name="Note 29 3 4 3" xfId="11271"/>
    <cellStyle name="Note 29 3 4 3 2" xfId="23369"/>
    <cellStyle name="Note 29 3 4 3 2 2" xfId="44555"/>
    <cellStyle name="Note 29 3 4 3 3" xfId="33951"/>
    <cellStyle name="Note 29 3 4 4" xfId="18256"/>
    <cellStyle name="Note 29 3 4 4 2" xfId="39443"/>
    <cellStyle name="Note 29 3 4 5" xfId="28626"/>
    <cellStyle name="Note 29 3 4_Table 2A-1_EFT (Annual)" xfId="7402"/>
    <cellStyle name="Note 29 3 5" xfId="3999"/>
    <cellStyle name="Note 29 3 5 2" xfId="12327"/>
    <cellStyle name="Note 29 3 5 2 2" xfId="24351"/>
    <cellStyle name="Note 29 3 5 2 2 2" xfId="45537"/>
    <cellStyle name="Note 29 3 5 2 3" xfId="34933"/>
    <cellStyle name="Note 29 3 5 3" xfId="19238"/>
    <cellStyle name="Note 29 3 5 3 2" xfId="40425"/>
    <cellStyle name="Note 29 3 5 4" xfId="29687"/>
    <cellStyle name="Note 29 3 5_Table 2A-1_EFT (Annual)" xfId="15738"/>
    <cellStyle name="Note 29 3 6" xfId="9664"/>
    <cellStyle name="Note 29 3 6 2" xfId="21805"/>
    <cellStyle name="Note 29 3 6 2 2" xfId="42991"/>
    <cellStyle name="Note 29 3 6 3" xfId="32387"/>
    <cellStyle name="Note 29 3 7" xfId="16692"/>
    <cellStyle name="Note 29 3 7 2" xfId="37879"/>
    <cellStyle name="Note 29 3 8" xfId="26944"/>
    <cellStyle name="Note 29 3_Table 2A-1_EFT (Annual)" xfId="3287"/>
    <cellStyle name="Note 29 4" xfId="1248"/>
    <cellStyle name="Note 29 4 2" xfId="2518"/>
    <cellStyle name="Note 29 4 2 2" xfId="6079"/>
    <cellStyle name="Note 29 4 2 2 2" xfId="14273"/>
    <cellStyle name="Note 29 4 2 2 2 2" xfId="26245"/>
    <cellStyle name="Note 29 4 2 2 2 2 2" xfId="47431"/>
    <cellStyle name="Note 29 4 2 2 2 3" xfId="36827"/>
    <cellStyle name="Note 29 4 2 2 3" xfId="21132"/>
    <cellStyle name="Note 29 4 2 2 3 2" xfId="42319"/>
    <cellStyle name="Note 29 4 2 2 4" xfId="31735"/>
    <cellStyle name="Note 29 4 2 2_Table 2A-1_EFT (Annual)" xfId="15739"/>
    <cellStyle name="Note 29 4 2 3" xfId="11615"/>
    <cellStyle name="Note 29 4 2 3 2" xfId="23699"/>
    <cellStyle name="Note 29 4 2 3 2 2" xfId="44885"/>
    <cellStyle name="Note 29 4 2 3 3" xfId="34281"/>
    <cellStyle name="Note 29 4 2 4" xfId="18586"/>
    <cellStyle name="Note 29 4 2 4 2" xfId="39773"/>
    <cellStyle name="Note 29 4 2 5" xfId="28992"/>
    <cellStyle name="Note 29 4 2_Table 2A-1_EFT (Annual)" xfId="7404"/>
    <cellStyle name="Note 29 4 3" xfId="4809"/>
    <cellStyle name="Note 29 4 3 2" xfId="13069"/>
    <cellStyle name="Note 29 4 3 2 2" xfId="25075"/>
    <cellStyle name="Note 29 4 3 2 2 2" xfId="46261"/>
    <cellStyle name="Note 29 4 3 2 3" xfId="35657"/>
    <cellStyle name="Note 29 4 3 3" xfId="19962"/>
    <cellStyle name="Note 29 4 3 3 2" xfId="41149"/>
    <cellStyle name="Note 29 4 3 4" xfId="30466"/>
    <cellStyle name="Note 29 4 3_Table 2A-1_EFT (Annual)" xfId="15740"/>
    <cellStyle name="Note 29 4 4" xfId="10413"/>
    <cellStyle name="Note 29 4 4 2" xfId="22529"/>
    <cellStyle name="Note 29 4 4 2 2" xfId="43715"/>
    <cellStyle name="Note 29 4 4 3" xfId="33111"/>
    <cellStyle name="Note 29 4 5" xfId="17416"/>
    <cellStyle name="Note 29 4 5 2" xfId="38603"/>
    <cellStyle name="Note 29 4 6" xfId="27723"/>
    <cellStyle name="Note 29 4_Table 2A-1_EFT (Annual)" xfId="7403"/>
    <cellStyle name="Note 29 5" xfId="800"/>
    <cellStyle name="Note 29 5 2" xfId="4361"/>
    <cellStyle name="Note 29 5 2 2" xfId="12641"/>
    <cellStyle name="Note 29 5 2 2 2" xfId="24658"/>
    <cellStyle name="Note 29 5 2 2 2 2" xfId="45844"/>
    <cellStyle name="Note 29 5 2 2 3" xfId="35240"/>
    <cellStyle name="Note 29 5 2 3" xfId="19545"/>
    <cellStyle name="Note 29 5 2 3 2" xfId="40732"/>
    <cellStyle name="Note 29 5 2 4" xfId="30018"/>
    <cellStyle name="Note 29 5 2_Table 2A-1_EFT (Annual)" xfId="15741"/>
    <cellStyle name="Note 29 5 3" xfId="9989"/>
    <cellStyle name="Note 29 5 3 2" xfId="22112"/>
    <cellStyle name="Note 29 5 3 2 2" xfId="43298"/>
    <cellStyle name="Note 29 5 3 3" xfId="32694"/>
    <cellStyle name="Note 29 5 4" xfId="16999"/>
    <cellStyle name="Note 29 5 4 2" xfId="38186"/>
    <cellStyle name="Note 29 5 5" xfId="27275"/>
    <cellStyle name="Note 29 5_Table 2A-1_EFT (Annual)" xfId="7405"/>
    <cellStyle name="Note 29 6" xfId="1987"/>
    <cellStyle name="Note 29 6 2" xfId="5548"/>
    <cellStyle name="Note 29 6 2 2" xfId="13763"/>
    <cellStyle name="Note 29 6 2 2 2" xfId="25751"/>
    <cellStyle name="Note 29 6 2 2 2 2" xfId="46937"/>
    <cellStyle name="Note 29 6 2 2 3" xfId="36333"/>
    <cellStyle name="Note 29 6 2 3" xfId="20638"/>
    <cellStyle name="Note 29 6 2 3 2" xfId="41825"/>
    <cellStyle name="Note 29 6 2 4" xfId="31205"/>
    <cellStyle name="Note 29 6 2_Table 2A-1_EFT (Annual)" xfId="15742"/>
    <cellStyle name="Note 29 6 3" xfId="11107"/>
    <cellStyle name="Note 29 6 3 2" xfId="23205"/>
    <cellStyle name="Note 29 6 3 2 2" xfId="44391"/>
    <cellStyle name="Note 29 6 3 3" xfId="33787"/>
    <cellStyle name="Note 29 6 4" xfId="18092"/>
    <cellStyle name="Note 29 6 4 2" xfId="39279"/>
    <cellStyle name="Note 29 6 5" xfId="28462"/>
    <cellStyle name="Note 29 6_Table 2A-1_EFT (Annual)" xfId="7406"/>
    <cellStyle name="Note 29 7" xfId="3789"/>
    <cellStyle name="Note 29 7 2" xfId="12157"/>
    <cellStyle name="Note 29 7 2 2" xfId="24187"/>
    <cellStyle name="Note 29 7 2 2 2" xfId="45373"/>
    <cellStyle name="Note 29 7 2 3" xfId="34769"/>
    <cellStyle name="Note 29 7 3" xfId="19074"/>
    <cellStyle name="Note 29 7 3 2" xfId="40261"/>
    <cellStyle name="Note 29 7 4" xfId="29498"/>
    <cellStyle name="Note 29 7_Table 2A-1_EFT (Annual)" xfId="15743"/>
    <cellStyle name="Note 29 8" xfId="9476"/>
    <cellStyle name="Note 29 8 2" xfId="21641"/>
    <cellStyle name="Note 29 8 2 2" xfId="42827"/>
    <cellStyle name="Note 29 8 3" xfId="32223"/>
    <cellStyle name="Note 29 9" xfId="16528"/>
    <cellStyle name="Note 29 9 2" xfId="37715"/>
    <cellStyle name="Note 29_Table 2A-1_EFT (Annual)" xfId="3285"/>
    <cellStyle name="Note 3" xfId="113"/>
    <cellStyle name="Note 3 10" xfId="21508"/>
    <cellStyle name="Note 3 10 2" xfId="42695"/>
    <cellStyle name="Note 3 11" xfId="26668"/>
    <cellStyle name="Note 3 2" xfId="506"/>
    <cellStyle name="Note 3 2 2" xfId="1483"/>
    <cellStyle name="Note 3 2 2 2" xfId="2753"/>
    <cellStyle name="Note 3 2 2 2 2" xfId="6314"/>
    <cellStyle name="Note 3 2 2 2 2 2" xfId="14508"/>
    <cellStyle name="Note 3 2 2 2 2 2 2" xfId="26480"/>
    <cellStyle name="Note 3 2 2 2 2 2 2 2" xfId="47666"/>
    <cellStyle name="Note 3 2 2 2 2 2 3" xfId="37062"/>
    <cellStyle name="Note 3 2 2 2 2 3" xfId="21367"/>
    <cellStyle name="Note 3 2 2 2 2 3 2" xfId="42554"/>
    <cellStyle name="Note 3 2 2 2 2 4" xfId="31970"/>
    <cellStyle name="Note 3 2 2 2 2_Table 2A-1_EFT (Annual)" xfId="15744"/>
    <cellStyle name="Note 3 2 2 2 3" xfId="11850"/>
    <cellStyle name="Note 3 2 2 2 3 2" xfId="23934"/>
    <cellStyle name="Note 3 2 2 2 3 2 2" xfId="45120"/>
    <cellStyle name="Note 3 2 2 2 3 3" xfId="34516"/>
    <cellStyle name="Note 3 2 2 2 4" xfId="18821"/>
    <cellStyle name="Note 3 2 2 2 4 2" xfId="40008"/>
    <cellStyle name="Note 3 2 2 2 5" xfId="29227"/>
    <cellStyle name="Note 3 2 2 2_Table 2A-1_EFT (Annual)" xfId="7408"/>
    <cellStyle name="Note 3 2 2 3" xfId="5044"/>
    <cellStyle name="Note 3 2 2 3 2" xfId="13304"/>
    <cellStyle name="Note 3 2 2 3 2 2" xfId="25310"/>
    <cellStyle name="Note 3 2 2 3 2 2 2" xfId="46496"/>
    <cellStyle name="Note 3 2 2 3 2 3" xfId="35892"/>
    <cellStyle name="Note 3 2 2 3 3" xfId="20197"/>
    <cellStyle name="Note 3 2 2 3 3 2" xfId="41384"/>
    <cellStyle name="Note 3 2 2 3 4" xfId="30701"/>
    <cellStyle name="Note 3 2 2 3_Table 2A-1_EFT (Annual)" xfId="15745"/>
    <cellStyle name="Note 3 2 2 4" xfId="10648"/>
    <cellStyle name="Note 3 2 2 4 2" xfId="22764"/>
    <cellStyle name="Note 3 2 2 4 2 2" xfId="43950"/>
    <cellStyle name="Note 3 2 2 4 3" xfId="33346"/>
    <cellStyle name="Note 3 2 2 5" xfId="17651"/>
    <cellStyle name="Note 3 2 2 5 2" xfId="38838"/>
    <cellStyle name="Note 3 2 2 6" xfId="27958"/>
    <cellStyle name="Note 3 2 2_Table 2A-1_EFT (Annual)" xfId="7407"/>
    <cellStyle name="Note 3 2 3" xfId="1019"/>
    <cellStyle name="Note 3 2 3 2" xfId="4580"/>
    <cellStyle name="Note 3 2 3 2 2" xfId="12840"/>
    <cellStyle name="Note 3 2 3 2 2 2" xfId="24846"/>
    <cellStyle name="Note 3 2 3 2 2 2 2" xfId="46032"/>
    <cellStyle name="Note 3 2 3 2 2 3" xfId="35428"/>
    <cellStyle name="Note 3 2 3 2 3" xfId="19733"/>
    <cellStyle name="Note 3 2 3 2 3 2" xfId="40920"/>
    <cellStyle name="Note 3 2 3 2 4" xfId="30237"/>
    <cellStyle name="Note 3 2 3 2_Table 2A-1_EFT (Annual)" xfId="15746"/>
    <cellStyle name="Note 3 2 3 3" xfId="10184"/>
    <cellStyle name="Note 3 2 3 3 2" xfId="22300"/>
    <cellStyle name="Note 3 2 3 3 2 2" xfId="43486"/>
    <cellStyle name="Note 3 2 3 3 3" xfId="32882"/>
    <cellStyle name="Note 3 2 3 4" xfId="17187"/>
    <cellStyle name="Note 3 2 3 4 2" xfId="38374"/>
    <cellStyle name="Note 3 2 3 5" xfId="27494"/>
    <cellStyle name="Note 3 2 3_Table 2A-1_EFT (Annual)" xfId="7409"/>
    <cellStyle name="Note 3 2 4" xfId="2222"/>
    <cellStyle name="Note 3 2 4 2" xfId="5783"/>
    <cellStyle name="Note 3 2 4 2 2" xfId="13998"/>
    <cellStyle name="Note 3 2 4 2 2 2" xfId="25986"/>
    <cellStyle name="Note 3 2 4 2 2 2 2" xfId="47172"/>
    <cellStyle name="Note 3 2 4 2 2 3" xfId="36568"/>
    <cellStyle name="Note 3 2 4 2 3" xfId="20873"/>
    <cellStyle name="Note 3 2 4 2 3 2" xfId="42060"/>
    <cellStyle name="Note 3 2 4 2 4" xfId="31440"/>
    <cellStyle name="Note 3 2 4 2_Table 2A-1_EFT (Annual)" xfId="15747"/>
    <cellStyle name="Note 3 2 4 3" xfId="11342"/>
    <cellStyle name="Note 3 2 4 3 2" xfId="23440"/>
    <cellStyle name="Note 3 2 4 3 2 2" xfId="44626"/>
    <cellStyle name="Note 3 2 4 3 3" xfId="34022"/>
    <cellStyle name="Note 3 2 4 4" xfId="18327"/>
    <cellStyle name="Note 3 2 4 4 2" xfId="39514"/>
    <cellStyle name="Note 3 2 4 5" xfId="28697"/>
    <cellStyle name="Note 3 2 4_Table 2A-1_EFT (Annual)" xfId="7410"/>
    <cellStyle name="Note 3 2 5" xfId="4076"/>
    <cellStyle name="Note 3 2 5 2" xfId="12400"/>
    <cellStyle name="Note 3 2 5 2 2" xfId="24422"/>
    <cellStyle name="Note 3 2 5 2 2 2" xfId="45608"/>
    <cellStyle name="Note 3 2 5 2 3" xfId="35004"/>
    <cellStyle name="Note 3 2 5 3" xfId="19309"/>
    <cellStyle name="Note 3 2 5 3 2" xfId="40496"/>
    <cellStyle name="Note 3 2 5 4" xfId="29764"/>
    <cellStyle name="Note 3 2 5_Table 2A-1_EFT (Annual)" xfId="15748"/>
    <cellStyle name="Note 3 2 6" xfId="9739"/>
    <cellStyle name="Note 3 2 6 2" xfId="21876"/>
    <cellStyle name="Note 3 2 6 2 2" xfId="43062"/>
    <cellStyle name="Note 3 2 6 3" xfId="32458"/>
    <cellStyle name="Note 3 2 7" xfId="16763"/>
    <cellStyle name="Note 3 2 7 2" xfId="37950"/>
    <cellStyle name="Note 3 2 8" xfId="27021"/>
    <cellStyle name="Note 3 2_Table 2A-1_EFT (Annual)" xfId="3289"/>
    <cellStyle name="Note 3 3" xfId="344"/>
    <cellStyle name="Note 3 3 2" xfId="1327"/>
    <cellStyle name="Note 3 3 2 2" xfId="2597"/>
    <cellStyle name="Note 3 3 2 2 2" xfId="6158"/>
    <cellStyle name="Note 3 3 2 2 2 2" xfId="14352"/>
    <cellStyle name="Note 3 3 2 2 2 2 2" xfId="26324"/>
    <cellStyle name="Note 3 3 2 2 2 2 2 2" xfId="47510"/>
    <cellStyle name="Note 3 3 2 2 2 2 3" xfId="36906"/>
    <cellStyle name="Note 3 3 2 2 2 3" xfId="21211"/>
    <cellStyle name="Note 3 3 2 2 2 3 2" xfId="42398"/>
    <cellStyle name="Note 3 3 2 2 2 4" xfId="31814"/>
    <cellStyle name="Note 3 3 2 2 2_Table 2A-1_EFT (Annual)" xfId="15749"/>
    <cellStyle name="Note 3 3 2 2 3" xfId="11694"/>
    <cellStyle name="Note 3 3 2 2 3 2" xfId="23778"/>
    <cellStyle name="Note 3 3 2 2 3 2 2" xfId="44964"/>
    <cellStyle name="Note 3 3 2 2 3 3" xfId="34360"/>
    <cellStyle name="Note 3 3 2 2 4" xfId="18665"/>
    <cellStyle name="Note 3 3 2 2 4 2" xfId="39852"/>
    <cellStyle name="Note 3 3 2 2 5" xfId="29071"/>
    <cellStyle name="Note 3 3 2 2_Table 2A-1_EFT (Annual)" xfId="7412"/>
    <cellStyle name="Note 3 3 2 3" xfId="4888"/>
    <cellStyle name="Note 3 3 2 3 2" xfId="13148"/>
    <cellStyle name="Note 3 3 2 3 2 2" xfId="25154"/>
    <cellStyle name="Note 3 3 2 3 2 2 2" xfId="46340"/>
    <cellStyle name="Note 3 3 2 3 2 3" xfId="35736"/>
    <cellStyle name="Note 3 3 2 3 3" xfId="20041"/>
    <cellStyle name="Note 3 3 2 3 3 2" xfId="41228"/>
    <cellStyle name="Note 3 3 2 3 4" xfId="30545"/>
    <cellStyle name="Note 3 3 2 3_Table 2A-1_EFT (Annual)" xfId="15750"/>
    <cellStyle name="Note 3 3 2 4" xfId="10492"/>
    <cellStyle name="Note 3 3 2 4 2" xfId="22608"/>
    <cellStyle name="Note 3 3 2 4 2 2" xfId="43794"/>
    <cellStyle name="Note 3 3 2 4 3" xfId="33190"/>
    <cellStyle name="Note 3 3 2 5" xfId="17495"/>
    <cellStyle name="Note 3 3 2 5 2" xfId="38682"/>
    <cellStyle name="Note 3 3 2 6" xfId="27802"/>
    <cellStyle name="Note 3 3 2_Table 2A-1_EFT (Annual)" xfId="7411"/>
    <cellStyle name="Note 3 3 3" xfId="887"/>
    <cellStyle name="Note 3 3 3 2" xfId="4448"/>
    <cellStyle name="Note 3 3 3 2 2" xfId="12710"/>
    <cellStyle name="Note 3 3 3 2 2 2" xfId="24720"/>
    <cellStyle name="Note 3 3 3 2 2 2 2" xfId="45906"/>
    <cellStyle name="Note 3 3 3 2 2 3" xfId="35302"/>
    <cellStyle name="Note 3 3 3 2 3" xfId="19607"/>
    <cellStyle name="Note 3 3 3 2 3 2" xfId="40794"/>
    <cellStyle name="Note 3 3 3 2 4" xfId="30105"/>
    <cellStyle name="Note 3 3 3 2_Table 2A-1_EFT (Annual)" xfId="15751"/>
    <cellStyle name="Note 3 3 3 3" xfId="10057"/>
    <cellStyle name="Note 3 3 3 3 2" xfId="22174"/>
    <cellStyle name="Note 3 3 3 3 2 2" xfId="43360"/>
    <cellStyle name="Note 3 3 3 3 3" xfId="32756"/>
    <cellStyle name="Note 3 3 3 4" xfId="17061"/>
    <cellStyle name="Note 3 3 3 4 2" xfId="38248"/>
    <cellStyle name="Note 3 3 3 5" xfId="27362"/>
    <cellStyle name="Note 3 3 3_Table 2A-1_EFT (Annual)" xfId="7413"/>
    <cellStyle name="Note 3 3 4" xfId="2066"/>
    <cellStyle name="Note 3 3 4 2" xfId="5627"/>
    <cellStyle name="Note 3 3 4 2 2" xfId="13842"/>
    <cellStyle name="Note 3 3 4 2 2 2" xfId="25830"/>
    <cellStyle name="Note 3 3 4 2 2 2 2" xfId="47016"/>
    <cellStyle name="Note 3 3 4 2 2 3" xfId="36412"/>
    <cellStyle name="Note 3 3 4 2 3" xfId="20717"/>
    <cellStyle name="Note 3 3 4 2 3 2" xfId="41904"/>
    <cellStyle name="Note 3 3 4 2 4" xfId="31284"/>
    <cellStyle name="Note 3 3 4 2_Table 2A-1_EFT (Annual)" xfId="15752"/>
    <cellStyle name="Note 3 3 4 3" xfId="11186"/>
    <cellStyle name="Note 3 3 4 3 2" xfId="23284"/>
    <cellStyle name="Note 3 3 4 3 2 2" xfId="44470"/>
    <cellStyle name="Note 3 3 4 3 3" xfId="33866"/>
    <cellStyle name="Note 3 3 4 4" xfId="18171"/>
    <cellStyle name="Note 3 3 4 4 2" xfId="39358"/>
    <cellStyle name="Note 3 3 4 5" xfId="28541"/>
    <cellStyle name="Note 3 3 4_Table 2A-1_EFT (Annual)" xfId="7414"/>
    <cellStyle name="Note 3 3 5" xfId="3914"/>
    <cellStyle name="Note 3 3 5 2" xfId="12242"/>
    <cellStyle name="Note 3 3 5 2 2" xfId="24266"/>
    <cellStyle name="Note 3 3 5 2 2 2" xfId="45452"/>
    <cellStyle name="Note 3 3 5 2 3" xfId="34848"/>
    <cellStyle name="Note 3 3 5 3" xfId="19153"/>
    <cellStyle name="Note 3 3 5 3 2" xfId="40340"/>
    <cellStyle name="Note 3 3 5 4" xfId="29602"/>
    <cellStyle name="Note 3 3 5_Table 2A-1_EFT (Annual)" xfId="15753"/>
    <cellStyle name="Note 3 3 6" xfId="9579"/>
    <cellStyle name="Note 3 3 6 2" xfId="21720"/>
    <cellStyle name="Note 3 3 6 2 2" xfId="42906"/>
    <cellStyle name="Note 3 3 6 3" xfId="32302"/>
    <cellStyle name="Note 3 3 7" xfId="16607"/>
    <cellStyle name="Note 3 3 7 2" xfId="37794"/>
    <cellStyle name="Note 3 3 8" xfId="26859"/>
    <cellStyle name="Note 3 3_Table 2A-1_EFT (Annual)" xfId="3290"/>
    <cellStyle name="Note 3 4" xfId="1161"/>
    <cellStyle name="Note 3 4 2" xfId="2431"/>
    <cellStyle name="Note 3 4 2 2" xfId="5992"/>
    <cellStyle name="Note 3 4 2 2 2" xfId="14186"/>
    <cellStyle name="Note 3 4 2 2 2 2" xfId="26158"/>
    <cellStyle name="Note 3 4 2 2 2 2 2" xfId="47344"/>
    <cellStyle name="Note 3 4 2 2 2 3" xfId="36740"/>
    <cellStyle name="Note 3 4 2 2 3" xfId="21045"/>
    <cellStyle name="Note 3 4 2 2 3 2" xfId="42232"/>
    <cellStyle name="Note 3 4 2 2 4" xfId="31648"/>
    <cellStyle name="Note 3 4 2 2_Table 2A-1_EFT (Annual)" xfId="15754"/>
    <cellStyle name="Note 3 4 2 3" xfId="11528"/>
    <cellStyle name="Note 3 4 2 3 2" xfId="23612"/>
    <cellStyle name="Note 3 4 2 3 2 2" xfId="44798"/>
    <cellStyle name="Note 3 4 2 3 3" xfId="34194"/>
    <cellStyle name="Note 3 4 2 4" xfId="18499"/>
    <cellStyle name="Note 3 4 2 4 2" xfId="39686"/>
    <cellStyle name="Note 3 4 2 5" xfId="28905"/>
    <cellStyle name="Note 3 4 2_Table 2A-1_EFT (Annual)" xfId="7416"/>
    <cellStyle name="Note 3 4 3" xfId="4722"/>
    <cellStyle name="Note 3 4 3 2" xfId="12982"/>
    <cellStyle name="Note 3 4 3 2 2" xfId="24988"/>
    <cellStyle name="Note 3 4 3 2 2 2" xfId="46174"/>
    <cellStyle name="Note 3 4 3 2 3" xfId="35570"/>
    <cellStyle name="Note 3 4 3 3" xfId="19875"/>
    <cellStyle name="Note 3 4 3 3 2" xfId="41062"/>
    <cellStyle name="Note 3 4 3 4" xfId="30379"/>
    <cellStyle name="Note 3 4 3_Table 2A-1_EFT (Annual)" xfId="15755"/>
    <cellStyle name="Note 3 4 4" xfId="10326"/>
    <cellStyle name="Note 3 4 4 2" xfId="22442"/>
    <cellStyle name="Note 3 4 4 2 2" xfId="43628"/>
    <cellStyle name="Note 3 4 4 3" xfId="33024"/>
    <cellStyle name="Note 3 4 5" xfId="17329"/>
    <cellStyle name="Note 3 4 5 2" xfId="38516"/>
    <cellStyle name="Note 3 4 6" xfId="27636"/>
    <cellStyle name="Note 3 4_Table 2A-1_EFT (Annual)" xfId="7415"/>
    <cellStyle name="Note 3 5" xfId="728"/>
    <cellStyle name="Note 3 5 2" xfId="4289"/>
    <cellStyle name="Note 3 5 2 2" xfId="12569"/>
    <cellStyle name="Note 3 5 2 2 2" xfId="24586"/>
    <cellStyle name="Note 3 5 2 2 2 2" xfId="45772"/>
    <cellStyle name="Note 3 5 2 2 3" xfId="35168"/>
    <cellStyle name="Note 3 5 2 3" xfId="19473"/>
    <cellStyle name="Note 3 5 2 3 2" xfId="40660"/>
    <cellStyle name="Note 3 5 2 4" xfId="29946"/>
    <cellStyle name="Note 3 5 2_Table 2A-1_EFT (Annual)" xfId="15756"/>
    <cellStyle name="Note 3 5 3" xfId="9917"/>
    <cellStyle name="Note 3 5 3 2" xfId="22040"/>
    <cellStyle name="Note 3 5 3 2 2" xfId="43226"/>
    <cellStyle name="Note 3 5 3 3" xfId="32622"/>
    <cellStyle name="Note 3 5 4" xfId="16927"/>
    <cellStyle name="Note 3 5 4 2" xfId="38114"/>
    <cellStyle name="Note 3 5 5" xfId="27203"/>
    <cellStyle name="Note 3 5_Table 2A-1_EFT (Annual)" xfId="7417"/>
    <cellStyle name="Note 3 6" xfId="1800"/>
    <cellStyle name="Note 3 6 2" xfId="5361"/>
    <cellStyle name="Note 3 6 2 2" xfId="13576"/>
    <cellStyle name="Note 3 6 2 2 2" xfId="25564"/>
    <cellStyle name="Note 3 6 2 2 2 2" xfId="46750"/>
    <cellStyle name="Note 3 6 2 2 3" xfId="36146"/>
    <cellStyle name="Note 3 6 2 3" xfId="20451"/>
    <cellStyle name="Note 3 6 2 3 2" xfId="41638"/>
    <cellStyle name="Note 3 6 2 4" xfId="31018"/>
    <cellStyle name="Note 3 6 2_Table 2A-1_EFT (Annual)" xfId="15757"/>
    <cellStyle name="Note 3 6 3" xfId="10920"/>
    <cellStyle name="Note 3 6 3 2" xfId="23018"/>
    <cellStyle name="Note 3 6 3 2 2" xfId="44204"/>
    <cellStyle name="Note 3 6 3 3" xfId="33600"/>
    <cellStyle name="Note 3 6 4" xfId="17905"/>
    <cellStyle name="Note 3 6 4 2" xfId="39092"/>
    <cellStyle name="Note 3 6 5" xfId="28275"/>
    <cellStyle name="Note 3 6_Table 2A-1_EFT (Annual)" xfId="7418"/>
    <cellStyle name="Note 3 7" xfId="3702"/>
    <cellStyle name="Note 3 7 2" xfId="12070"/>
    <cellStyle name="Note 3 7 2 2" xfId="24100"/>
    <cellStyle name="Note 3 7 2 2 2" xfId="45286"/>
    <cellStyle name="Note 3 7 2 3" xfId="34682"/>
    <cellStyle name="Note 3 7 3" xfId="18987"/>
    <cellStyle name="Note 3 7 3 2" xfId="40174"/>
    <cellStyle name="Note 3 7 4" xfId="29411"/>
    <cellStyle name="Note 3 7_Table 2A-1_EFT (Annual)" xfId="15758"/>
    <cellStyle name="Note 3 8" xfId="9389"/>
    <cellStyle name="Note 3 8 2" xfId="21554"/>
    <cellStyle name="Note 3 8 2 2" xfId="42740"/>
    <cellStyle name="Note 3 8 3" xfId="32136"/>
    <cellStyle name="Note 3 9" xfId="16441"/>
    <cellStyle name="Note 3 9 2" xfId="37628"/>
    <cellStyle name="Note 3_Table 2A-1_EFT (Annual)" xfId="3288"/>
    <cellStyle name="Note 30" xfId="242"/>
    <cellStyle name="Note 30 10" xfId="26797"/>
    <cellStyle name="Note 30 2" xfId="629"/>
    <cellStyle name="Note 30 2 2" xfId="1606"/>
    <cellStyle name="Note 30 2 2 2" xfId="2876"/>
    <cellStyle name="Note 30 2 2 2 2" xfId="6437"/>
    <cellStyle name="Note 30 2 2 2 2 2" xfId="14631"/>
    <cellStyle name="Note 30 2 2 2 2 2 2" xfId="26603"/>
    <cellStyle name="Note 30 2 2 2 2 2 2 2" xfId="47789"/>
    <cellStyle name="Note 30 2 2 2 2 2 3" xfId="37185"/>
    <cellStyle name="Note 30 2 2 2 2 3" xfId="21490"/>
    <cellStyle name="Note 30 2 2 2 2 3 2" xfId="42677"/>
    <cellStyle name="Note 30 2 2 2 2 4" xfId="32093"/>
    <cellStyle name="Note 30 2 2 2 2_Table 2A-1_EFT (Annual)" xfId="15759"/>
    <cellStyle name="Note 30 2 2 2 3" xfId="11973"/>
    <cellStyle name="Note 30 2 2 2 3 2" xfId="24057"/>
    <cellStyle name="Note 30 2 2 2 3 2 2" xfId="45243"/>
    <cellStyle name="Note 30 2 2 2 3 3" xfId="34639"/>
    <cellStyle name="Note 30 2 2 2 4" xfId="18944"/>
    <cellStyle name="Note 30 2 2 2 4 2" xfId="40131"/>
    <cellStyle name="Note 30 2 2 2 5" xfId="29350"/>
    <cellStyle name="Note 30 2 2 2_Table 2A-1_EFT (Annual)" xfId="7420"/>
    <cellStyle name="Note 30 2 2 3" xfId="5167"/>
    <cellStyle name="Note 30 2 2 3 2" xfId="13427"/>
    <cellStyle name="Note 30 2 2 3 2 2" xfId="25433"/>
    <cellStyle name="Note 30 2 2 3 2 2 2" xfId="46619"/>
    <cellStyle name="Note 30 2 2 3 2 3" xfId="36015"/>
    <cellStyle name="Note 30 2 2 3 3" xfId="20320"/>
    <cellStyle name="Note 30 2 2 3 3 2" xfId="41507"/>
    <cellStyle name="Note 30 2 2 3 4" xfId="30824"/>
    <cellStyle name="Note 30 2 2 3_Table 2A-1_EFT (Annual)" xfId="15760"/>
    <cellStyle name="Note 30 2 2 4" xfId="10771"/>
    <cellStyle name="Note 30 2 2 4 2" xfId="22887"/>
    <cellStyle name="Note 30 2 2 4 2 2" xfId="44073"/>
    <cellStyle name="Note 30 2 2 4 3" xfId="33469"/>
    <cellStyle name="Note 30 2 2 5" xfId="17774"/>
    <cellStyle name="Note 30 2 2 5 2" xfId="38961"/>
    <cellStyle name="Note 30 2 2 6" xfId="28081"/>
    <cellStyle name="Note 30 2 2_Table 2A-1_EFT (Annual)" xfId="7419"/>
    <cellStyle name="Note 30 2 3" xfId="1119"/>
    <cellStyle name="Note 30 2 3 2" xfId="4680"/>
    <cellStyle name="Note 30 2 3 2 2" xfId="12940"/>
    <cellStyle name="Note 30 2 3 2 2 2" xfId="24946"/>
    <cellStyle name="Note 30 2 3 2 2 2 2" xfId="46132"/>
    <cellStyle name="Note 30 2 3 2 2 3" xfId="35528"/>
    <cellStyle name="Note 30 2 3 2 3" xfId="19833"/>
    <cellStyle name="Note 30 2 3 2 3 2" xfId="41020"/>
    <cellStyle name="Note 30 2 3 2 4" xfId="30337"/>
    <cellStyle name="Note 30 2 3 2_Table 2A-1_EFT (Annual)" xfId="15761"/>
    <cellStyle name="Note 30 2 3 3" xfId="10284"/>
    <cellStyle name="Note 30 2 3 3 2" xfId="22400"/>
    <cellStyle name="Note 30 2 3 3 2 2" xfId="43586"/>
    <cellStyle name="Note 30 2 3 3 3" xfId="32982"/>
    <cellStyle name="Note 30 2 3 4" xfId="17287"/>
    <cellStyle name="Note 30 2 3 4 2" xfId="38474"/>
    <cellStyle name="Note 30 2 3 5" xfId="27594"/>
    <cellStyle name="Note 30 2 3_Table 2A-1_EFT (Annual)" xfId="7421"/>
    <cellStyle name="Note 30 2 4" xfId="2345"/>
    <cellStyle name="Note 30 2 4 2" xfId="5906"/>
    <cellStyle name="Note 30 2 4 2 2" xfId="14121"/>
    <cellStyle name="Note 30 2 4 2 2 2" xfId="26109"/>
    <cellStyle name="Note 30 2 4 2 2 2 2" xfId="47295"/>
    <cellStyle name="Note 30 2 4 2 2 3" xfId="36691"/>
    <cellStyle name="Note 30 2 4 2 3" xfId="20996"/>
    <cellStyle name="Note 30 2 4 2 3 2" xfId="42183"/>
    <cellStyle name="Note 30 2 4 2 4" xfId="31563"/>
    <cellStyle name="Note 30 2 4 2_Table 2A-1_EFT (Annual)" xfId="15762"/>
    <cellStyle name="Note 30 2 4 3" xfId="11465"/>
    <cellStyle name="Note 30 2 4 3 2" xfId="23563"/>
    <cellStyle name="Note 30 2 4 3 2 2" xfId="44749"/>
    <cellStyle name="Note 30 2 4 3 3" xfId="34145"/>
    <cellStyle name="Note 30 2 4 4" xfId="18450"/>
    <cellStyle name="Note 30 2 4 4 2" xfId="39637"/>
    <cellStyle name="Note 30 2 4 5" xfId="28820"/>
    <cellStyle name="Note 30 2 4_Table 2A-1_EFT (Annual)" xfId="7422"/>
    <cellStyle name="Note 30 2 5" xfId="4199"/>
    <cellStyle name="Note 30 2 5 2" xfId="12523"/>
    <cellStyle name="Note 30 2 5 2 2" xfId="24545"/>
    <cellStyle name="Note 30 2 5 2 2 2" xfId="45731"/>
    <cellStyle name="Note 30 2 5 2 3" xfId="35127"/>
    <cellStyle name="Note 30 2 5 3" xfId="19432"/>
    <cellStyle name="Note 30 2 5 3 2" xfId="40619"/>
    <cellStyle name="Note 30 2 5 4" xfId="29887"/>
    <cellStyle name="Note 30 2 5_Table 2A-1_EFT (Annual)" xfId="15763"/>
    <cellStyle name="Note 30 2 6" xfId="9862"/>
    <cellStyle name="Note 30 2 6 2" xfId="21999"/>
    <cellStyle name="Note 30 2 6 2 2" xfId="43185"/>
    <cellStyle name="Note 30 2 6 3" xfId="32581"/>
    <cellStyle name="Note 30 2 7" xfId="16886"/>
    <cellStyle name="Note 30 2 7 2" xfId="38073"/>
    <cellStyle name="Note 30 2 8" xfId="27144"/>
    <cellStyle name="Note 30 2_Table 2A-1_EFT (Annual)" xfId="3292"/>
    <cellStyle name="Note 30 3" xfId="468"/>
    <cellStyle name="Note 30 3 2" xfId="1445"/>
    <cellStyle name="Note 30 3 2 2" xfId="2715"/>
    <cellStyle name="Note 30 3 2 2 2" xfId="6276"/>
    <cellStyle name="Note 30 3 2 2 2 2" xfId="14470"/>
    <cellStyle name="Note 30 3 2 2 2 2 2" xfId="26442"/>
    <cellStyle name="Note 30 3 2 2 2 2 2 2" xfId="47628"/>
    <cellStyle name="Note 30 3 2 2 2 2 3" xfId="37024"/>
    <cellStyle name="Note 30 3 2 2 2 3" xfId="21329"/>
    <cellStyle name="Note 30 3 2 2 2 3 2" xfId="42516"/>
    <cellStyle name="Note 30 3 2 2 2 4" xfId="31932"/>
    <cellStyle name="Note 30 3 2 2 2_Table 2A-1_EFT (Annual)" xfId="15764"/>
    <cellStyle name="Note 30 3 2 2 3" xfId="11812"/>
    <cellStyle name="Note 30 3 2 2 3 2" xfId="23896"/>
    <cellStyle name="Note 30 3 2 2 3 2 2" xfId="45082"/>
    <cellStyle name="Note 30 3 2 2 3 3" xfId="34478"/>
    <cellStyle name="Note 30 3 2 2 4" xfId="18783"/>
    <cellStyle name="Note 30 3 2 2 4 2" xfId="39970"/>
    <cellStyle name="Note 30 3 2 2 5" xfId="29189"/>
    <cellStyle name="Note 30 3 2 2_Table 2A-1_EFT (Annual)" xfId="7424"/>
    <cellStyle name="Note 30 3 2 3" xfId="5006"/>
    <cellStyle name="Note 30 3 2 3 2" xfId="13266"/>
    <cellStyle name="Note 30 3 2 3 2 2" xfId="25272"/>
    <cellStyle name="Note 30 3 2 3 2 2 2" xfId="46458"/>
    <cellStyle name="Note 30 3 2 3 2 3" xfId="35854"/>
    <cellStyle name="Note 30 3 2 3 3" xfId="20159"/>
    <cellStyle name="Note 30 3 2 3 3 2" xfId="41346"/>
    <cellStyle name="Note 30 3 2 3 4" xfId="30663"/>
    <cellStyle name="Note 30 3 2 3_Table 2A-1_EFT (Annual)" xfId="15765"/>
    <cellStyle name="Note 30 3 2 4" xfId="10610"/>
    <cellStyle name="Note 30 3 2 4 2" xfId="22726"/>
    <cellStyle name="Note 30 3 2 4 2 2" xfId="43912"/>
    <cellStyle name="Note 30 3 2 4 3" xfId="33308"/>
    <cellStyle name="Note 30 3 2 5" xfId="17613"/>
    <cellStyle name="Note 30 3 2 5 2" xfId="38800"/>
    <cellStyle name="Note 30 3 2 6" xfId="27920"/>
    <cellStyle name="Note 30 3 2_Table 2A-1_EFT (Annual)" xfId="7423"/>
    <cellStyle name="Note 30 3 3" xfId="989"/>
    <cellStyle name="Note 30 3 3 2" xfId="4550"/>
    <cellStyle name="Note 30 3 3 2 2" xfId="12810"/>
    <cellStyle name="Note 30 3 3 2 2 2" xfId="24816"/>
    <cellStyle name="Note 30 3 3 2 2 2 2" xfId="46002"/>
    <cellStyle name="Note 30 3 3 2 2 3" xfId="35398"/>
    <cellStyle name="Note 30 3 3 2 3" xfId="19703"/>
    <cellStyle name="Note 30 3 3 2 3 2" xfId="40890"/>
    <cellStyle name="Note 30 3 3 2 4" xfId="30207"/>
    <cellStyle name="Note 30 3 3 2_Table 2A-1_EFT (Annual)" xfId="15766"/>
    <cellStyle name="Note 30 3 3 3" xfId="10154"/>
    <cellStyle name="Note 30 3 3 3 2" xfId="22270"/>
    <cellStyle name="Note 30 3 3 3 2 2" xfId="43456"/>
    <cellStyle name="Note 30 3 3 3 3" xfId="32852"/>
    <cellStyle name="Note 30 3 3 4" xfId="17157"/>
    <cellStyle name="Note 30 3 3 4 2" xfId="38344"/>
    <cellStyle name="Note 30 3 3 5" xfId="27464"/>
    <cellStyle name="Note 30 3 3_Table 2A-1_EFT (Annual)" xfId="7425"/>
    <cellStyle name="Note 30 3 4" xfId="2184"/>
    <cellStyle name="Note 30 3 4 2" xfId="5745"/>
    <cellStyle name="Note 30 3 4 2 2" xfId="13960"/>
    <cellStyle name="Note 30 3 4 2 2 2" xfId="25948"/>
    <cellStyle name="Note 30 3 4 2 2 2 2" xfId="47134"/>
    <cellStyle name="Note 30 3 4 2 2 3" xfId="36530"/>
    <cellStyle name="Note 30 3 4 2 3" xfId="20835"/>
    <cellStyle name="Note 30 3 4 2 3 2" xfId="42022"/>
    <cellStyle name="Note 30 3 4 2 4" xfId="31402"/>
    <cellStyle name="Note 30 3 4 2_Table 2A-1_EFT (Annual)" xfId="15767"/>
    <cellStyle name="Note 30 3 4 3" xfId="11304"/>
    <cellStyle name="Note 30 3 4 3 2" xfId="23402"/>
    <cellStyle name="Note 30 3 4 3 2 2" xfId="44588"/>
    <cellStyle name="Note 30 3 4 3 3" xfId="33984"/>
    <cellStyle name="Note 30 3 4 4" xfId="18289"/>
    <cellStyle name="Note 30 3 4 4 2" xfId="39476"/>
    <cellStyle name="Note 30 3 4 5" xfId="28659"/>
    <cellStyle name="Note 30 3 4_Table 2A-1_EFT (Annual)" xfId="7426"/>
    <cellStyle name="Note 30 3 5" xfId="4038"/>
    <cellStyle name="Note 30 3 5 2" xfId="12362"/>
    <cellStyle name="Note 30 3 5 2 2" xfId="24384"/>
    <cellStyle name="Note 30 3 5 2 2 2" xfId="45570"/>
    <cellStyle name="Note 30 3 5 2 3" xfId="34966"/>
    <cellStyle name="Note 30 3 5 3" xfId="19271"/>
    <cellStyle name="Note 30 3 5 3 2" xfId="40458"/>
    <cellStyle name="Note 30 3 5 4" xfId="29726"/>
    <cellStyle name="Note 30 3 5_Table 2A-1_EFT (Annual)" xfId="15768"/>
    <cellStyle name="Note 30 3 6" xfId="9701"/>
    <cellStyle name="Note 30 3 6 2" xfId="21838"/>
    <cellStyle name="Note 30 3 6 2 2" xfId="43024"/>
    <cellStyle name="Note 30 3 6 3" xfId="32420"/>
    <cellStyle name="Note 30 3 7" xfId="16725"/>
    <cellStyle name="Note 30 3 7 2" xfId="37912"/>
    <cellStyle name="Note 30 3 8" xfId="26983"/>
    <cellStyle name="Note 30 3_Table 2A-1_EFT (Annual)" xfId="3293"/>
    <cellStyle name="Note 30 4" xfId="1284"/>
    <cellStyle name="Note 30 4 2" xfId="2554"/>
    <cellStyle name="Note 30 4 2 2" xfId="6115"/>
    <cellStyle name="Note 30 4 2 2 2" xfId="14309"/>
    <cellStyle name="Note 30 4 2 2 2 2" xfId="26281"/>
    <cellStyle name="Note 30 4 2 2 2 2 2" xfId="47467"/>
    <cellStyle name="Note 30 4 2 2 2 3" xfId="36863"/>
    <cellStyle name="Note 30 4 2 2 3" xfId="21168"/>
    <cellStyle name="Note 30 4 2 2 3 2" xfId="42355"/>
    <cellStyle name="Note 30 4 2 2 4" xfId="31771"/>
    <cellStyle name="Note 30 4 2 2_Table 2A-1_EFT (Annual)" xfId="15769"/>
    <cellStyle name="Note 30 4 2 3" xfId="11651"/>
    <cellStyle name="Note 30 4 2 3 2" xfId="23735"/>
    <cellStyle name="Note 30 4 2 3 2 2" xfId="44921"/>
    <cellStyle name="Note 30 4 2 3 3" xfId="34317"/>
    <cellStyle name="Note 30 4 2 4" xfId="18622"/>
    <cellStyle name="Note 30 4 2 4 2" xfId="39809"/>
    <cellStyle name="Note 30 4 2 5" xfId="29028"/>
    <cellStyle name="Note 30 4 2_Table 2A-1_EFT (Annual)" xfId="7428"/>
    <cellStyle name="Note 30 4 3" xfId="4845"/>
    <cellStyle name="Note 30 4 3 2" xfId="13105"/>
    <cellStyle name="Note 30 4 3 2 2" xfId="25111"/>
    <cellStyle name="Note 30 4 3 2 2 2" xfId="46297"/>
    <cellStyle name="Note 30 4 3 2 3" xfId="35693"/>
    <cellStyle name="Note 30 4 3 3" xfId="19998"/>
    <cellStyle name="Note 30 4 3 3 2" xfId="41185"/>
    <cellStyle name="Note 30 4 3 4" xfId="30502"/>
    <cellStyle name="Note 30 4 3_Table 2A-1_EFT (Annual)" xfId="15770"/>
    <cellStyle name="Note 30 4 4" xfId="10449"/>
    <cellStyle name="Note 30 4 4 2" xfId="22565"/>
    <cellStyle name="Note 30 4 4 2 2" xfId="43751"/>
    <cellStyle name="Note 30 4 4 3" xfId="33147"/>
    <cellStyle name="Note 30 4 5" xfId="17452"/>
    <cellStyle name="Note 30 4 5 2" xfId="38639"/>
    <cellStyle name="Note 30 4 6" xfId="27759"/>
    <cellStyle name="Note 30 4_Table 2A-1_EFT (Annual)" xfId="7427"/>
    <cellStyle name="Note 30 5" xfId="834"/>
    <cellStyle name="Note 30 5 2" xfId="4395"/>
    <cellStyle name="Note 30 5 2 2" xfId="12669"/>
    <cellStyle name="Note 30 5 2 2 2" xfId="24686"/>
    <cellStyle name="Note 30 5 2 2 2 2" xfId="45872"/>
    <cellStyle name="Note 30 5 2 2 3" xfId="35268"/>
    <cellStyle name="Note 30 5 2 3" xfId="19573"/>
    <cellStyle name="Note 30 5 2 3 2" xfId="40760"/>
    <cellStyle name="Note 30 5 2 4" xfId="30052"/>
    <cellStyle name="Note 30 5 2_Table 2A-1_EFT (Annual)" xfId="15771"/>
    <cellStyle name="Note 30 5 3" xfId="10018"/>
    <cellStyle name="Note 30 5 3 2" xfId="22140"/>
    <cellStyle name="Note 30 5 3 2 2" xfId="43326"/>
    <cellStyle name="Note 30 5 3 3" xfId="32722"/>
    <cellStyle name="Note 30 5 4" xfId="17027"/>
    <cellStyle name="Note 30 5 4 2" xfId="38214"/>
    <cellStyle name="Note 30 5 5" xfId="27309"/>
    <cellStyle name="Note 30 5_Table 2A-1_EFT (Annual)" xfId="7429"/>
    <cellStyle name="Note 30 6" xfId="2023"/>
    <cellStyle name="Note 30 6 2" xfId="5584"/>
    <cellStyle name="Note 30 6 2 2" xfId="13799"/>
    <cellStyle name="Note 30 6 2 2 2" xfId="25787"/>
    <cellStyle name="Note 30 6 2 2 2 2" xfId="46973"/>
    <cellStyle name="Note 30 6 2 2 3" xfId="36369"/>
    <cellStyle name="Note 30 6 2 3" xfId="20674"/>
    <cellStyle name="Note 30 6 2 3 2" xfId="41861"/>
    <cellStyle name="Note 30 6 2 4" xfId="31241"/>
    <cellStyle name="Note 30 6 2_Table 2A-1_EFT (Annual)" xfId="15772"/>
    <cellStyle name="Note 30 6 3" xfId="11143"/>
    <cellStyle name="Note 30 6 3 2" xfId="23241"/>
    <cellStyle name="Note 30 6 3 2 2" xfId="44427"/>
    <cellStyle name="Note 30 6 3 3" xfId="33823"/>
    <cellStyle name="Note 30 6 4" xfId="18128"/>
    <cellStyle name="Note 30 6 4 2" xfId="39315"/>
    <cellStyle name="Note 30 6 5" xfId="28498"/>
    <cellStyle name="Note 30 6_Table 2A-1_EFT (Annual)" xfId="7430"/>
    <cellStyle name="Note 30 7" xfId="3831"/>
    <cellStyle name="Note 30 7 2" xfId="12194"/>
    <cellStyle name="Note 30 7 2 2" xfId="24223"/>
    <cellStyle name="Note 30 7 2 2 2" xfId="45409"/>
    <cellStyle name="Note 30 7 2 3" xfId="34805"/>
    <cellStyle name="Note 30 7 3" xfId="19110"/>
    <cellStyle name="Note 30 7 3 2" xfId="40297"/>
    <cellStyle name="Note 30 7 4" xfId="29540"/>
    <cellStyle name="Note 30 7_Table 2A-1_EFT (Annual)" xfId="15773"/>
    <cellStyle name="Note 30 8" xfId="9513"/>
    <cellStyle name="Note 30 8 2" xfId="21677"/>
    <cellStyle name="Note 30 8 2 2" xfId="42863"/>
    <cellStyle name="Note 30 8 3" xfId="32259"/>
    <cellStyle name="Note 30 9" xfId="16564"/>
    <cellStyle name="Note 30 9 2" xfId="37751"/>
    <cellStyle name="Note 30_Table 2A-1_EFT (Annual)" xfId="3291"/>
    <cellStyle name="Note 31" xfId="250"/>
    <cellStyle name="Note 31 10" xfId="26805"/>
    <cellStyle name="Note 31 2" xfId="637"/>
    <cellStyle name="Note 31 2 2" xfId="1614"/>
    <cellStyle name="Note 31 2 2 2" xfId="2884"/>
    <cellStyle name="Note 31 2 2 2 2" xfId="6445"/>
    <cellStyle name="Note 31 2 2 2 2 2" xfId="14639"/>
    <cellStyle name="Note 31 2 2 2 2 2 2" xfId="26611"/>
    <cellStyle name="Note 31 2 2 2 2 2 2 2" xfId="47797"/>
    <cellStyle name="Note 31 2 2 2 2 2 3" xfId="37193"/>
    <cellStyle name="Note 31 2 2 2 2 3" xfId="21498"/>
    <cellStyle name="Note 31 2 2 2 2 3 2" xfId="42685"/>
    <cellStyle name="Note 31 2 2 2 2 4" xfId="32101"/>
    <cellStyle name="Note 31 2 2 2 2_Table 2A-1_EFT (Annual)" xfId="15774"/>
    <cellStyle name="Note 31 2 2 2 3" xfId="11981"/>
    <cellStyle name="Note 31 2 2 2 3 2" xfId="24065"/>
    <cellStyle name="Note 31 2 2 2 3 2 2" xfId="45251"/>
    <cellStyle name="Note 31 2 2 2 3 3" xfId="34647"/>
    <cellStyle name="Note 31 2 2 2 4" xfId="18952"/>
    <cellStyle name="Note 31 2 2 2 4 2" xfId="40139"/>
    <cellStyle name="Note 31 2 2 2 5" xfId="29358"/>
    <cellStyle name="Note 31 2 2 2_Table 2A-1_EFT (Annual)" xfId="7432"/>
    <cellStyle name="Note 31 2 2 3" xfId="5175"/>
    <cellStyle name="Note 31 2 2 3 2" xfId="13435"/>
    <cellStyle name="Note 31 2 2 3 2 2" xfId="25441"/>
    <cellStyle name="Note 31 2 2 3 2 2 2" xfId="46627"/>
    <cellStyle name="Note 31 2 2 3 2 3" xfId="36023"/>
    <cellStyle name="Note 31 2 2 3 3" xfId="20328"/>
    <cellStyle name="Note 31 2 2 3 3 2" xfId="41515"/>
    <cellStyle name="Note 31 2 2 3 4" xfId="30832"/>
    <cellStyle name="Note 31 2 2 3_Table 2A-1_EFT (Annual)" xfId="15775"/>
    <cellStyle name="Note 31 2 2 4" xfId="10779"/>
    <cellStyle name="Note 31 2 2 4 2" xfId="22895"/>
    <cellStyle name="Note 31 2 2 4 2 2" xfId="44081"/>
    <cellStyle name="Note 31 2 2 4 3" xfId="33477"/>
    <cellStyle name="Note 31 2 2 5" xfId="17782"/>
    <cellStyle name="Note 31 2 2 5 2" xfId="38969"/>
    <cellStyle name="Note 31 2 2 6" xfId="28089"/>
    <cellStyle name="Note 31 2 2_Table 2A-1_EFT (Annual)" xfId="7431"/>
    <cellStyle name="Note 31 2 3" xfId="1126"/>
    <cellStyle name="Note 31 2 3 2" xfId="4687"/>
    <cellStyle name="Note 31 2 3 2 2" xfId="12947"/>
    <cellStyle name="Note 31 2 3 2 2 2" xfId="24953"/>
    <cellStyle name="Note 31 2 3 2 2 2 2" xfId="46139"/>
    <cellStyle name="Note 31 2 3 2 2 3" xfId="35535"/>
    <cellStyle name="Note 31 2 3 2 3" xfId="19840"/>
    <cellStyle name="Note 31 2 3 2 3 2" xfId="41027"/>
    <cellStyle name="Note 31 2 3 2 4" xfId="30344"/>
    <cellStyle name="Note 31 2 3 2_Table 2A-1_EFT (Annual)" xfId="15776"/>
    <cellStyle name="Note 31 2 3 3" xfId="10291"/>
    <cellStyle name="Note 31 2 3 3 2" xfId="22407"/>
    <cellStyle name="Note 31 2 3 3 2 2" xfId="43593"/>
    <cellStyle name="Note 31 2 3 3 3" xfId="32989"/>
    <cellStyle name="Note 31 2 3 4" xfId="17294"/>
    <cellStyle name="Note 31 2 3 4 2" xfId="38481"/>
    <cellStyle name="Note 31 2 3 5" xfId="27601"/>
    <cellStyle name="Note 31 2 3_Table 2A-1_EFT (Annual)" xfId="7433"/>
    <cellStyle name="Note 31 2 4" xfId="2353"/>
    <cellStyle name="Note 31 2 4 2" xfId="5914"/>
    <cellStyle name="Note 31 2 4 2 2" xfId="14129"/>
    <cellStyle name="Note 31 2 4 2 2 2" xfId="26117"/>
    <cellStyle name="Note 31 2 4 2 2 2 2" xfId="47303"/>
    <cellStyle name="Note 31 2 4 2 2 3" xfId="36699"/>
    <cellStyle name="Note 31 2 4 2 3" xfId="21004"/>
    <cellStyle name="Note 31 2 4 2 3 2" xfId="42191"/>
    <cellStyle name="Note 31 2 4 2 4" xfId="31571"/>
    <cellStyle name="Note 31 2 4 2_Table 2A-1_EFT (Annual)" xfId="15777"/>
    <cellStyle name="Note 31 2 4 3" xfId="11473"/>
    <cellStyle name="Note 31 2 4 3 2" xfId="23571"/>
    <cellStyle name="Note 31 2 4 3 2 2" xfId="44757"/>
    <cellStyle name="Note 31 2 4 3 3" xfId="34153"/>
    <cellStyle name="Note 31 2 4 4" xfId="18458"/>
    <cellStyle name="Note 31 2 4 4 2" xfId="39645"/>
    <cellStyle name="Note 31 2 4 5" xfId="28828"/>
    <cellStyle name="Note 31 2 4_Table 2A-1_EFT (Annual)" xfId="7434"/>
    <cellStyle name="Note 31 2 5" xfId="4207"/>
    <cellStyle name="Note 31 2 5 2" xfId="12531"/>
    <cellStyle name="Note 31 2 5 2 2" xfId="24553"/>
    <cellStyle name="Note 31 2 5 2 2 2" xfId="45739"/>
    <cellStyle name="Note 31 2 5 2 3" xfId="35135"/>
    <cellStyle name="Note 31 2 5 3" xfId="19440"/>
    <cellStyle name="Note 31 2 5 3 2" xfId="40627"/>
    <cellStyle name="Note 31 2 5 4" xfId="29895"/>
    <cellStyle name="Note 31 2 5_Table 2A-1_EFT (Annual)" xfId="15778"/>
    <cellStyle name="Note 31 2 6" xfId="9870"/>
    <cellStyle name="Note 31 2 6 2" xfId="22007"/>
    <cellStyle name="Note 31 2 6 2 2" xfId="43193"/>
    <cellStyle name="Note 31 2 6 3" xfId="32589"/>
    <cellStyle name="Note 31 2 7" xfId="16894"/>
    <cellStyle name="Note 31 2 7 2" xfId="38081"/>
    <cellStyle name="Note 31 2 8" xfId="27152"/>
    <cellStyle name="Note 31 2_Table 2A-1_EFT (Annual)" xfId="3295"/>
    <cellStyle name="Note 31 3" xfId="476"/>
    <cellStyle name="Note 31 3 2" xfId="1453"/>
    <cellStyle name="Note 31 3 2 2" xfId="2723"/>
    <cellStyle name="Note 31 3 2 2 2" xfId="6284"/>
    <cellStyle name="Note 31 3 2 2 2 2" xfId="14478"/>
    <cellStyle name="Note 31 3 2 2 2 2 2" xfId="26450"/>
    <cellStyle name="Note 31 3 2 2 2 2 2 2" xfId="47636"/>
    <cellStyle name="Note 31 3 2 2 2 2 3" xfId="37032"/>
    <cellStyle name="Note 31 3 2 2 2 3" xfId="21337"/>
    <cellStyle name="Note 31 3 2 2 2 3 2" xfId="42524"/>
    <cellStyle name="Note 31 3 2 2 2 4" xfId="31940"/>
    <cellStyle name="Note 31 3 2 2 2_Table 2A-1_EFT (Annual)" xfId="15779"/>
    <cellStyle name="Note 31 3 2 2 3" xfId="11820"/>
    <cellStyle name="Note 31 3 2 2 3 2" xfId="23904"/>
    <cellStyle name="Note 31 3 2 2 3 2 2" xfId="45090"/>
    <cellStyle name="Note 31 3 2 2 3 3" xfId="34486"/>
    <cellStyle name="Note 31 3 2 2 4" xfId="18791"/>
    <cellStyle name="Note 31 3 2 2 4 2" xfId="39978"/>
    <cellStyle name="Note 31 3 2 2 5" xfId="29197"/>
    <cellStyle name="Note 31 3 2 2_Table 2A-1_EFT (Annual)" xfId="7436"/>
    <cellStyle name="Note 31 3 2 3" xfId="5014"/>
    <cellStyle name="Note 31 3 2 3 2" xfId="13274"/>
    <cellStyle name="Note 31 3 2 3 2 2" xfId="25280"/>
    <cellStyle name="Note 31 3 2 3 2 2 2" xfId="46466"/>
    <cellStyle name="Note 31 3 2 3 2 3" xfId="35862"/>
    <cellStyle name="Note 31 3 2 3 3" xfId="20167"/>
    <cellStyle name="Note 31 3 2 3 3 2" xfId="41354"/>
    <cellStyle name="Note 31 3 2 3 4" xfId="30671"/>
    <cellStyle name="Note 31 3 2 3_Table 2A-1_EFT (Annual)" xfId="15780"/>
    <cellStyle name="Note 31 3 2 4" xfId="10618"/>
    <cellStyle name="Note 31 3 2 4 2" xfId="22734"/>
    <cellStyle name="Note 31 3 2 4 2 2" xfId="43920"/>
    <cellStyle name="Note 31 3 2 4 3" xfId="33316"/>
    <cellStyle name="Note 31 3 2 5" xfId="17621"/>
    <cellStyle name="Note 31 3 2 5 2" xfId="38808"/>
    <cellStyle name="Note 31 3 2 6" xfId="27928"/>
    <cellStyle name="Note 31 3 2_Table 2A-1_EFT (Annual)" xfId="7435"/>
    <cellStyle name="Note 31 3 3" xfId="996"/>
    <cellStyle name="Note 31 3 3 2" xfId="4557"/>
    <cellStyle name="Note 31 3 3 2 2" xfId="12817"/>
    <cellStyle name="Note 31 3 3 2 2 2" xfId="24823"/>
    <cellStyle name="Note 31 3 3 2 2 2 2" xfId="46009"/>
    <cellStyle name="Note 31 3 3 2 2 3" xfId="35405"/>
    <cellStyle name="Note 31 3 3 2 3" xfId="19710"/>
    <cellStyle name="Note 31 3 3 2 3 2" xfId="40897"/>
    <cellStyle name="Note 31 3 3 2 4" xfId="30214"/>
    <cellStyle name="Note 31 3 3 2_Table 2A-1_EFT (Annual)" xfId="15781"/>
    <cellStyle name="Note 31 3 3 3" xfId="10161"/>
    <cellStyle name="Note 31 3 3 3 2" xfId="22277"/>
    <cellStyle name="Note 31 3 3 3 2 2" xfId="43463"/>
    <cellStyle name="Note 31 3 3 3 3" xfId="32859"/>
    <cellStyle name="Note 31 3 3 4" xfId="17164"/>
    <cellStyle name="Note 31 3 3 4 2" xfId="38351"/>
    <cellStyle name="Note 31 3 3 5" xfId="27471"/>
    <cellStyle name="Note 31 3 3_Table 2A-1_EFT (Annual)" xfId="7437"/>
    <cellStyle name="Note 31 3 4" xfId="2192"/>
    <cellStyle name="Note 31 3 4 2" xfId="5753"/>
    <cellStyle name="Note 31 3 4 2 2" xfId="13968"/>
    <cellStyle name="Note 31 3 4 2 2 2" xfId="25956"/>
    <cellStyle name="Note 31 3 4 2 2 2 2" xfId="47142"/>
    <cellStyle name="Note 31 3 4 2 2 3" xfId="36538"/>
    <cellStyle name="Note 31 3 4 2 3" xfId="20843"/>
    <cellStyle name="Note 31 3 4 2 3 2" xfId="42030"/>
    <cellStyle name="Note 31 3 4 2 4" xfId="31410"/>
    <cellStyle name="Note 31 3 4 2_Table 2A-1_EFT (Annual)" xfId="15782"/>
    <cellStyle name="Note 31 3 4 3" xfId="11312"/>
    <cellStyle name="Note 31 3 4 3 2" xfId="23410"/>
    <cellStyle name="Note 31 3 4 3 2 2" xfId="44596"/>
    <cellStyle name="Note 31 3 4 3 3" xfId="33992"/>
    <cellStyle name="Note 31 3 4 4" xfId="18297"/>
    <cellStyle name="Note 31 3 4 4 2" xfId="39484"/>
    <cellStyle name="Note 31 3 4 5" xfId="28667"/>
    <cellStyle name="Note 31 3 4_Table 2A-1_EFT (Annual)" xfId="7438"/>
    <cellStyle name="Note 31 3 5" xfId="4046"/>
    <cellStyle name="Note 31 3 5 2" xfId="12370"/>
    <cellStyle name="Note 31 3 5 2 2" xfId="24392"/>
    <cellStyle name="Note 31 3 5 2 2 2" xfId="45578"/>
    <cellStyle name="Note 31 3 5 2 3" xfId="34974"/>
    <cellStyle name="Note 31 3 5 3" xfId="19279"/>
    <cellStyle name="Note 31 3 5 3 2" xfId="40466"/>
    <cellStyle name="Note 31 3 5 4" xfId="29734"/>
    <cellStyle name="Note 31 3 5_Table 2A-1_EFT (Annual)" xfId="15783"/>
    <cellStyle name="Note 31 3 6" xfId="9709"/>
    <cellStyle name="Note 31 3 6 2" xfId="21846"/>
    <cellStyle name="Note 31 3 6 2 2" xfId="43032"/>
    <cellStyle name="Note 31 3 6 3" xfId="32428"/>
    <cellStyle name="Note 31 3 7" xfId="16733"/>
    <cellStyle name="Note 31 3 7 2" xfId="37920"/>
    <cellStyle name="Note 31 3 8" xfId="26991"/>
    <cellStyle name="Note 31 3_Table 2A-1_EFT (Annual)" xfId="3296"/>
    <cellStyle name="Note 31 4" xfId="1292"/>
    <cellStyle name="Note 31 4 2" xfId="2562"/>
    <cellStyle name="Note 31 4 2 2" xfId="6123"/>
    <cellStyle name="Note 31 4 2 2 2" xfId="14317"/>
    <cellStyle name="Note 31 4 2 2 2 2" xfId="26289"/>
    <cellStyle name="Note 31 4 2 2 2 2 2" xfId="47475"/>
    <cellStyle name="Note 31 4 2 2 2 3" xfId="36871"/>
    <cellStyle name="Note 31 4 2 2 3" xfId="21176"/>
    <cellStyle name="Note 31 4 2 2 3 2" xfId="42363"/>
    <cellStyle name="Note 31 4 2 2 4" xfId="31779"/>
    <cellStyle name="Note 31 4 2 2_Table 2A-1_EFT (Annual)" xfId="15784"/>
    <cellStyle name="Note 31 4 2 3" xfId="11659"/>
    <cellStyle name="Note 31 4 2 3 2" xfId="23743"/>
    <cellStyle name="Note 31 4 2 3 2 2" xfId="44929"/>
    <cellStyle name="Note 31 4 2 3 3" xfId="34325"/>
    <cellStyle name="Note 31 4 2 4" xfId="18630"/>
    <cellStyle name="Note 31 4 2 4 2" xfId="39817"/>
    <cellStyle name="Note 31 4 2 5" xfId="29036"/>
    <cellStyle name="Note 31 4 2_Table 2A-1_EFT (Annual)" xfId="7440"/>
    <cellStyle name="Note 31 4 3" xfId="4853"/>
    <cellStyle name="Note 31 4 3 2" xfId="13113"/>
    <cellStyle name="Note 31 4 3 2 2" xfId="25119"/>
    <cellStyle name="Note 31 4 3 2 2 2" xfId="46305"/>
    <cellStyle name="Note 31 4 3 2 3" xfId="35701"/>
    <cellStyle name="Note 31 4 3 3" xfId="20006"/>
    <cellStyle name="Note 31 4 3 3 2" xfId="41193"/>
    <cellStyle name="Note 31 4 3 4" xfId="30510"/>
    <cellStyle name="Note 31 4 3_Table 2A-1_EFT (Annual)" xfId="15785"/>
    <cellStyle name="Note 31 4 4" xfId="10457"/>
    <cellStyle name="Note 31 4 4 2" xfId="22573"/>
    <cellStyle name="Note 31 4 4 2 2" xfId="43759"/>
    <cellStyle name="Note 31 4 4 3" xfId="33155"/>
    <cellStyle name="Note 31 4 5" xfId="17460"/>
    <cellStyle name="Note 31 4 5 2" xfId="38647"/>
    <cellStyle name="Note 31 4 6" xfId="27767"/>
    <cellStyle name="Note 31 4_Table 2A-1_EFT (Annual)" xfId="7439"/>
    <cellStyle name="Note 31 5" xfId="841"/>
    <cellStyle name="Note 31 5 2" xfId="4402"/>
    <cellStyle name="Note 31 5 2 2" xfId="12676"/>
    <cellStyle name="Note 31 5 2 2 2" xfId="24693"/>
    <cellStyle name="Note 31 5 2 2 2 2" xfId="45879"/>
    <cellStyle name="Note 31 5 2 2 3" xfId="35275"/>
    <cellStyle name="Note 31 5 2 3" xfId="19580"/>
    <cellStyle name="Note 31 5 2 3 2" xfId="40767"/>
    <cellStyle name="Note 31 5 2 4" xfId="30059"/>
    <cellStyle name="Note 31 5 2_Table 2A-1_EFT (Annual)" xfId="15786"/>
    <cellStyle name="Note 31 5 3" xfId="10025"/>
    <cellStyle name="Note 31 5 3 2" xfId="22147"/>
    <cellStyle name="Note 31 5 3 2 2" xfId="43333"/>
    <cellStyle name="Note 31 5 3 3" xfId="32729"/>
    <cellStyle name="Note 31 5 4" xfId="17034"/>
    <cellStyle name="Note 31 5 4 2" xfId="38221"/>
    <cellStyle name="Note 31 5 5" xfId="27316"/>
    <cellStyle name="Note 31 5_Table 2A-1_EFT (Annual)" xfId="7441"/>
    <cellStyle name="Note 31 6" xfId="2031"/>
    <cellStyle name="Note 31 6 2" xfId="5592"/>
    <cellStyle name="Note 31 6 2 2" xfId="13807"/>
    <cellStyle name="Note 31 6 2 2 2" xfId="25795"/>
    <cellStyle name="Note 31 6 2 2 2 2" xfId="46981"/>
    <cellStyle name="Note 31 6 2 2 3" xfId="36377"/>
    <cellStyle name="Note 31 6 2 3" xfId="20682"/>
    <cellStyle name="Note 31 6 2 3 2" xfId="41869"/>
    <cellStyle name="Note 31 6 2 4" xfId="31249"/>
    <cellStyle name="Note 31 6 2_Table 2A-1_EFT (Annual)" xfId="15787"/>
    <cellStyle name="Note 31 6 3" xfId="11151"/>
    <cellStyle name="Note 31 6 3 2" xfId="23249"/>
    <cellStyle name="Note 31 6 3 2 2" xfId="44435"/>
    <cellStyle name="Note 31 6 3 3" xfId="33831"/>
    <cellStyle name="Note 31 6 4" xfId="18136"/>
    <cellStyle name="Note 31 6 4 2" xfId="39323"/>
    <cellStyle name="Note 31 6 5" xfId="28506"/>
    <cellStyle name="Note 31 6_Table 2A-1_EFT (Annual)" xfId="7442"/>
    <cellStyle name="Note 31 7" xfId="3839"/>
    <cellStyle name="Note 31 7 2" xfId="12202"/>
    <cellStyle name="Note 31 7 2 2" xfId="24231"/>
    <cellStyle name="Note 31 7 2 2 2" xfId="45417"/>
    <cellStyle name="Note 31 7 2 3" xfId="34813"/>
    <cellStyle name="Note 31 7 3" xfId="19118"/>
    <cellStyle name="Note 31 7 3 2" xfId="40305"/>
    <cellStyle name="Note 31 7 4" xfId="29548"/>
    <cellStyle name="Note 31 7_Table 2A-1_EFT (Annual)" xfId="15788"/>
    <cellStyle name="Note 31 8" xfId="9521"/>
    <cellStyle name="Note 31 8 2" xfId="21685"/>
    <cellStyle name="Note 31 8 2 2" xfId="42871"/>
    <cellStyle name="Note 31 8 3" xfId="32267"/>
    <cellStyle name="Note 31 9" xfId="16572"/>
    <cellStyle name="Note 31 9 2" xfId="37759"/>
    <cellStyle name="Note 31_Table 2A-1_EFT (Annual)" xfId="3294"/>
    <cellStyle name="Note 32" xfId="234"/>
    <cellStyle name="Note 32 10" xfId="26789"/>
    <cellStyle name="Note 32 2" xfId="621"/>
    <cellStyle name="Note 32 2 2" xfId="1598"/>
    <cellStyle name="Note 32 2 2 2" xfId="2868"/>
    <cellStyle name="Note 32 2 2 2 2" xfId="6429"/>
    <cellStyle name="Note 32 2 2 2 2 2" xfId="14623"/>
    <cellStyle name="Note 32 2 2 2 2 2 2" xfId="26595"/>
    <cellStyle name="Note 32 2 2 2 2 2 2 2" xfId="47781"/>
    <cellStyle name="Note 32 2 2 2 2 2 3" xfId="37177"/>
    <cellStyle name="Note 32 2 2 2 2 3" xfId="21482"/>
    <cellStyle name="Note 32 2 2 2 2 3 2" xfId="42669"/>
    <cellStyle name="Note 32 2 2 2 2 4" xfId="32085"/>
    <cellStyle name="Note 32 2 2 2 2_Table 2A-1_EFT (Annual)" xfId="15789"/>
    <cellStyle name="Note 32 2 2 2 3" xfId="11965"/>
    <cellStyle name="Note 32 2 2 2 3 2" xfId="24049"/>
    <cellStyle name="Note 32 2 2 2 3 2 2" xfId="45235"/>
    <cellStyle name="Note 32 2 2 2 3 3" xfId="34631"/>
    <cellStyle name="Note 32 2 2 2 4" xfId="18936"/>
    <cellStyle name="Note 32 2 2 2 4 2" xfId="40123"/>
    <cellStyle name="Note 32 2 2 2 5" xfId="29342"/>
    <cellStyle name="Note 32 2 2 2_Table 2A-1_EFT (Annual)" xfId="7444"/>
    <cellStyle name="Note 32 2 2 3" xfId="5159"/>
    <cellStyle name="Note 32 2 2 3 2" xfId="13419"/>
    <cellStyle name="Note 32 2 2 3 2 2" xfId="25425"/>
    <cellStyle name="Note 32 2 2 3 2 2 2" xfId="46611"/>
    <cellStyle name="Note 32 2 2 3 2 3" xfId="36007"/>
    <cellStyle name="Note 32 2 2 3 3" xfId="20312"/>
    <cellStyle name="Note 32 2 2 3 3 2" xfId="41499"/>
    <cellStyle name="Note 32 2 2 3 4" xfId="30816"/>
    <cellStyle name="Note 32 2 2 3_Table 2A-1_EFT (Annual)" xfId="15790"/>
    <cellStyle name="Note 32 2 2 4" xfId="10763"/>
    <cellStyle name="Note 32 2 2 4 2" xfId="22879"/>
    <cellStyle name="Note 32 2 2 4 2 2" xfId="44065"/>
    <cellStyle name="Note 32 2 2 4 3" xfId="33461"/>
    <cellStyle name="Note 32 2 2 5" xfId="17766"/>
    <cellStyle name="Note 32 2 2 5 2" xfId="38953"/>
    <cellStyle name="Note 32 2 2 6" xfId="28073"/>
    <cellStyle name="Note 32 2 2_Table 2A-1_EFT (Annual)" xfId="7443"/>
    <cellStyle name="Note 32 2 3" xfId="1113"/>
    <cellStyle name="Note 32 2 3 2" xfId="4674"/>
    <cellStyle name="Note 32 2 3 2 2" xfId="12934"/>
    <cellStyle name="Note 32 2 3 2 2 2" xfId="24940"/>
    <cellStyle name="Note 32 2 3 2 2 2 2" xfId="46126"/>
    <cellStyle name="Note 32 2 3 2 2 3" xfId="35522"/>
    <cellStyle name="Note 32 2 3 2 3" xfId="19827"/>
    <cellStyle name="Note 32 2 3 2 3 2" xfId="41014"/>
    <cellStyle name="Note 32 2 3 2 4" xfId="30331"/>
    <cellStyle name="Note 32 2 3 2_Table 2A-1_EFT (Annual)" xfId="15791"/>
    <cellStyle name="Note 32 2 3 3" xfId="10278"/>
    <cellStyle name="Note 32 2 3 3 2" xfId="22394"/>
    <cellStyle name="Note 32 2 3 3 2 2" xfId="43580"/>
    <cellStyle name="Note 32 2 3 3 3" xfId="32976"/>
    <cellStyle name="Note 32 2 3 4" xfId="17281"/>
    <cellStyle name="Note 32 2 3 4 2" xfId="38468"/>
    <cellStyle name="Note 32 2 3 5" xfId="27588"/>
    <cellStyle name="Note 32 2 3_Table 2A-1_EFT (Annual)" xfId="7445"/>
    <cellStyle name="Note 32 2 4" xfId="2337"/>
    <cellStyle name="Note 32 2 4 2" xfId="5898"/>
    <cellStyle name="Note 32 2 4 2 2" xfId="14113"/>
    <cellStyle name="Note 32 2 4 2 2 2" xfId="26101"/>
    <cellStyle name="Note 32 2 4 2 2 2 2" xfId="47287"/>
    <cellStyle name="Note 32 2 4 2 2 3" xfId="36683"/>
    <cellStyle name="Note 32 2 4 2 3" xfId="20988"/>
    <cellStyle name="Note 32 2 4 2 3 2" xfId="42175"/>
    <cellStyle name="Note 32 2 4 2 4" xfId="31555"/>
    <cellStyle name="Note 32 2 4 2_Table 2A-1_EFT (Annual)" xfId="15792"/>
    <cellStyle name="Note 32 2 4 3" xfId="11457"/>
    <cellStyle name="Note 32 2 4 3 2" xfId="23555"/>
    <cellStyle name="Note 32 2 4 3 2 2" xfId="44741"/>
    <cellStyle name="Note 32 2 4 3 3" xfId="34137"/>
    <cellStyle name="Note 32 2 4 4" xfId="18442"/>
    <cellStyle name="Note 32 2 4 4 2" xfId="39629"/>
    <cellStyle name="Note 32 2 4 5" xfId="28812"/>
    <cellStyle name="Note 32 2 4_Table 2A-1_EFT (Annual)" xfId="7446"/>
    <cellStyle name="Note 32 2 5" xfId="4191"/>
    <cellStyle name="Note 32 2 5 2" xfId="12515"/>
    <cellStyle name="Note 32 2 5 2 2" xfId="24537"/>
    <cellStyle name="Note 32 2 5 2 2 2" xfId="45723"/>
    <cellStyle name="Note 32 2 5 2 3" xfId="35119"/>
    <cellStyle name="Note 32 2 5 3" xfId="19424"/>
    <cellStyle name="Note 32 2 5 3 2" xfId="40611"/>
    <cellStyle name="Note 32 2 5 4" xfId="29879"/>
    <cellStyle name="Note 32 2 5_Table 2A-1_EFT (Annual)" xfId="15793"/>
    <cellStyle name="Note 32 2 6" xfId="9854"/>
    <cellStyle name="Note 32 2 6 2" xfId="21991"/>
    <cellStyle name="Note 32 2 6 2 2" xfId="43177"/>
    <cellStyle name="Note 32 2 6 3" xfId="32573"/>
    <cellStyle name="Note 32 2 7" xfId="16878"/>
    <cellStyle name="Note 32 2 7 2" xfId="38065"/>
    <cellStyle name="Note 32 2 8" xfId="27136"/>
    <cellStyle name="Note 32 2_Table 2A-1_EFT (Annual)" xfId="3298"/>
    <cellStyle name="Note 32 3" xfId="460"/>
    <cellStyle name="Note 32 3 2" xfId="1437"/>
    <cellStyle name="Note 32 3 2 2" xfId="2707"/>
    <cellStyle name="Note 32 3 2 2 2" xfId="6268"/>
    <cellStyle name="Note 32 3 2 2 2 2" xfId="14462"/>
    <cellStyle name="Note 32 3 2 2 2 2 2" xfId="26434"/>
    <cellStyle name="Note 32 3 2 2 2 2 2 2" xfId="47620"/>
    <cellStyle name="Note 32 3 2 2 2 2 3" xfId="37016"/>
    <cellStyle name="Note 32 3 2 2 2 3" xfId="21321"/>
    <cellStyle name="Note 32 3 2 2 2 3 2" xfId="42508"/>
    <cellStyle name="Note 32 3 2 2 2 4" xfId="31924"/>
    <cellStyle name="Note 32 3 2 2 2_Table 2A-1_EFT (Annual)" xfId="15794"/>
    <cellStyle name="Note 32 3 2 2 3" xfId="11804"/>
    <cellStyle name="Note 32 3 2 2 3 2" xfId="23888"/>
    <cellStyle name="Note 32 3 2 2 3 2 2" xfId="45074"/>
    <cellStyle name="Note 32 3 2 2 3 3" xfId="34470"/>
    <cellStyle name="Note 32 3 2 2 4" xfId="18775"/>
    <cellStyle name="Note 32 3 2 2 4 2" xfId="39962"/>
    <cellStyle name="Note 32 3 2 2 5" xfId="29181"/>
    <cellStyle name="Note 32 3 2 2_Table 2A-1_EFT (Annual)" xfId="7448"/>
    <cellStyle name="Note 32 3 2 3" xfId="4998"/>
    <cellStyle name="Note 32 3 2 3 2" xfId="13258"/>
    <cellStyle name="Note 32 3 2 3 2 2" xfId="25264"/>
    <cellStyle name="Note 32 3 2 3 2 2 2" xfId="46450"/>
    <cellStyle name="Note 32 3 2 3 2 3" xfId="35846"/>
    <cellStyle name="Note 32 3 2 3 3" xfId="20151"/>
    <cellStyle name="Note 32 3 2 3 3 2" xfId="41338"/>
    <cellStyle name="Note 32 3 2 3 4" xfId="30655"/>
    <cellStyle name="Note 32 3 2 3_Table 2A-1_EFT (Annual)" xfId="15795"/>
    <cellStyle name="Note 32 3 2 4" xfId="10602"/>
    <cellStyle name="Note 32 3 2 4 2" xfId="22718"/>
    <cellStyle name="Note 32 3 2 4 2 2" xfId="43904"/>
    <cellStyle name="Note 32 3 2 4 3" xfId="33300"/>
    <cellStyle name="Note 32 3 2 5" xfId="17605"/>
    <cellStyle name="Note 32 3 2 5 2" xfId="38792"/>
    <cellStyle name="Note 32 3 2 6" xfId="27912"/>
    <cellStyle name="Note 32 3 2_Table 2A-1_EFT (Annual)" xfId="7447"/>
    <cellStyle name="Note 32 3 3" xfId="983"/>
    <cellStyle name="Note 32 3 3 2" xfId="4544"/>
    <cellStyle name="Note 32 3 3 2 2" xfId="12804"/>
    <cellStyle name="Note 32 3 3 2 2 2" xfId="24810"/>
    <cellStyle name="Note 32 3 3 2 2 2 2" xfId="45996"/>
    <cellStyle name="Note 32 3 3 2 2 3" xfId="35392"/>
    <cellStyle name="Note 32 3 3 2 3" xfId="19697"/>
    <cellStyle name="Note 32 3 3 2 3 2" xfId="40884"/>
    <cellStyle name="Note 32 3 3 2 4" xfId="30201"/>
    <cellStyle name="Note 32 3 3 2_Table 2A-1_EFT (Annual)" xfId="15796"/>
    <cellStyle name="Note 32 3 3 3" xfId="10148"/>
    <cellStyle name="Note 32 3 3 3 2" xfId="22264"/>
    <cellStyle name="Note 32 3 3 3 2 2" xfId="43450"/>
    <cellStyle name="Note 32 3 3 3 3" xfId="32846"/>
    <cellStyle name="Note 32 3 3 4" xfId="17151"/>
    <cellStyle name="Note 32 3 3 4 2" xfId="38338"/>
    <cellStyle name="Note 32 3 3 5" xfId="27458"/>
    <cellStyle name="Note 32 3 3_Table 2A-1_EFT (Annual)" xfId="7449"/>
    <cellStyle name="Note 32 3 4" xfId="2176"/>
    <cellStyle name="Note 32 3 4 2" xfId="5737"/>
    <cellStyle name="Note 32 3 4 2 2" xfId="13952"/>
    <cellStyle name="Note 32 3 4 2 2 2" xfId="25940"/>
    <cellStyle name="Note 32 3 4 2 2 2 2" xfId="47126"/>
    <cellStyle name="Note 32 3 4 2 2 3" xfId="36522"/>
    <cellStyle name="Note 32 3 4 2 3" xfId="20827"/>
    <cellStyle name="Note 32 3 4 2 3 2" xfId="42014"/>
    <cellStyle name="Note 32 3 4 2 4" xfId="31394"/>
    <cellStyle name="Note 32 3 4 2_Table 2A-1_EFT (Annual)" xfId="15797"/>
    <cellStyle name="Note 32 3 4 3" xfId="11296"/>
    <cellStyle name="Note 32 3 4 3 2" xfId="23394"/>
    <cellStyle name="Note 32 3 4 3 2 2" xfId="44580"/>
    <cellStyle name="Note 32 3 4 3 3" xfId="33976"/>
    <cellStyle name="Note 32 3 4 4" xfId="18281"/>
    <cellStyle name="Note 32 3 4 4 2" xfId="39468"/>
    <cellStyle name="Note 32 3 4 5" xfId="28651"/>
    <cellStyle name="Note 32 3 4_Table 2A-1_EFT (Annual)" xfId="7450"/>
    <cellStyle name="Note 32 3 5" xfId="4030"/>
    <cellStyle name="Note 32 3 5 2" xfId="12354"/>
    <cellStyle name="Note 32 3 5 2 2" xfId="24376"/>
    <cellStyle name="Note 32 3 5 2 2 2" xfId="45562"/>
    <cellStyle name="Note 32 3 5 2 3" xfId="34958"/>
    <cellStyle name="Note 32 3 5 3" xfId="19263"/>
    <cellStyle name="Note 32 3 5 3 2" xfId="40450"/>
    <cellStyle name="Note 32 3 5 4" xfId="29718"/>
    <cellStyle name="Note 32 3 5_Table 2A-1_EFT (Annual)" xfId="15798"/>
    <cellStyle name="Note 32 3 6" xfId="9693"/>
    <cellStyle name="Note 32 3 6 2" xfId="21830"/>
    <cellStyle name="Note 32 3 6 2 2" xfId="43016"/>
    <cellStyle name="Note 32 3 6 3" xfId="32412"/>
    <cellStyle name="Note 32 3 7" xfId="16717"/>
    <cellStyle name="Note 32 3 7 2" xfId="37904"/>
    <cellStyle name="Note 32 3 8" xfId="26975"/>
    <cellStyle name="Note 32 3_Table 2A-1_EFT (Annual)" xfId="3299"/>
    <cellStyle name="Note 32 4" xfId="1276"/>
    <cellStyle name="Note 32 4 2" xfId="2546"/>
    <cellStyle name="Note 32 4 2 2" xfId="6107"/>
    <cellStyle name="Note 32 4 2 2 2" xfId="14301"/>
    <cellStyle name="Note 32 4 2 2 2 2" xfId="26273"/>
    <cellStyle name="Note 32 4 2 2 2 2 2" xfId="47459"/>
    <cellStyle name="Note 32 4 2 2 2 3" xfId="36855"/>
    <cellStyle name="Note 32 4 2 2 3" xfId="21160"/>
    <cellStyle name="Note 32 4 2 2 3 2" xfId="42347"/>
    <cellStyle name="Note 32 4 2 2 4" xfId="31763"/>
    <cellStyle name="Note 32 4 2 2_Table 2A-1_EFT (Annual)" xfId="15799"/>
    <cellStyle name="Note 32 4 2 3" xfId="11643"/>
    <cellStyle name="Note 32 4 2 3 2" xfId="23727"/>
    <cellStyle name="Note 32 4 2 3 2 2" xfId="44913"/>
    <cellStyle name="Note 32 4 2 3 3" xfId="34309"/>
    <cellStyle name="Note 32 4 2 4" xfId="18614"/>
    <cellStyle name="Note 32 4 2 4 2" xfId="39801"/>
    <cellStyle name="Note 32 4 2 5" xfId="29020"/>
    <cellStyle name="Note 32 4 2_Table 2A-1_EFT (Annual)" xfId="7452"/>
    <cellStyle name="Note 32 4 3" xfId="4837"/>
    <cellStyle name="Note 32 4 3 2" xfId="13097"/>
    <cellStyle name="Note 32 4 3 2 2" xfId="25103"/>
    <cellStyle name="Note 32 4 3 2 2 2" xfId="46289"/>
    <cellStyle name="Note 32 4 3 2 3" xfId="35685"/>
    <cellStyle name="Note 32 4 3 3" xfId="19990"/>
    <cellStyle name="Note 32 4 3 3 2" xfId="41177"/>
    <cellStyle name="Note 32 4 3 4" xfId="30494"/>
    <cellStyle name="Note 32 4 3_Table 2A-1_EFT (Annual)" xfId="15800"/>
    <cellStyle name="Note 32 4 4" xfId="10441"/>
    <cellStyle name="Note 32 4 4 2" xfId="22557"/>
    <cellStyle name="Note 32 4 4 2 2" xfId="43743"/>
    <cellStyle name="Note 32 4 4 3" xfId="33139"/>
    <cellStyle name="Note 32 4 5" xfId="17444"/>
    <cellStyle name="Note 32 4 5 2" xfId="38631"/>
    <cellStyle name="Note 32 4 6" xfId="27751"/>
    <cellStyle name="Note 32 4_Table 2A-1_EFT (Annual)" xfId="7451"/>
    <cellStyle name="Note 32 5" xfId="828"/>
    <cellStyle name="Note 32 5 2" xfId="4389"/>
    <cellStyle name="Note 32 5 2 2" xfId="12663"/>
    <cellStyle name="Note 32 5 2 2 2" xfId="24680"/>
    <cellStyle name="Note 32 5 2 2 2 2" xfId="45866"/>
    <cellStyle name="Note 32 5 2 2 3" xfId="35262"/>
    <cellStyle name="Note 32 5 2 3" xfId="19567"/>
    <cellStyle name="Note 32 5 2 3 2" xfId="40754"/>
    <cellStyle name="Note 32 5 2 4" xfId="30046"/>
    <cellStyle name="Note 32 5 2_Table 2A-1_EFT (Annual)" xfId="15801"/>
    <cellStyle name="Note 32 5 3" xfId="10012"/>
    <cellStyle name="Note 32 5 3 2" xfId="22134"/>
    <cellStyle name="Note 32 5 3 2 2" xfId="43320"/>
    <cellStyle name="Note 32 5 3 3" xfId="32716"/>
    <cellStyle name="Note 32 5 4" xfId="17021"/>
    <cellStyle name="Note 32 5 4 2" xfId="38208"/>
    <cellStyle name="Note 32 5 5" xfId="27303"/>
    <cellStyle name="Note 32 5_Table 2A-1_EFT (Annual)" xfId="7453"/>
    <cellStyle name="Note 32 6" xfId="2015"/>
    <cellStyle name="Note 32 6 2" xfId="5576"/>
    <cellStyle name="Note 32 6 2 2" xfId="13791"/>
    <cellStyle name="Note 32 6 2 2 2" xfId="25779"/>
    <cellStyle name="Note 32 6 2 2 2 2" xfId="46965"/>
    <cellStyle name="Note 32 6 2 2 3" xfId="36361"/>
    <cellStyle name="Note 32 6 2 3" xfId="20666"/>
    <cellStyle name="Note 32 6 2 3 2" xfId="41853"/>
    <cellStyle name="Note 32 6 2 4" xfId="31233"/>
    <cellStyle name="Note 32 6 2_Table 2A-1_EFT (Annual)" xfId="15802"/>
    <cellStyle name="Note 32 6 3" xfId="11135"/>
    <cellStyle name="Note 32 6 3 2" xfId="23233"/>
    <cellStyle name="Note 32 6 3 2 2" xfId="44419"/>
    <cellStyle name="Note 32 6 3 3" xfId="33815"/>
    <cellStyle name="Note 32 6 4" xfId="18120"/>
    <cellStyle name="Note 32 6 4 2" xfId="39307"/>
    <cellStyle name="Note 32 6 5" xfId="28490"/>
    <cellStyle name="Note 32 6_Table 2A-1_EFT (Annual)" xfId="7454"/>
    <cellStyle name="Note 32 7" xfId="3823"/>
    <cellStyle name="Note 32 7 2" xfId="12186"/>
    <cellStyle name="Note 32 7 2 2" xfId="24215"/>
    <cellStyle name="Note 32 7 2 2 2" xfId="45401"/>
    <cellStyle name="Note 32 7 2 3" xfId="34797"/>
    <cellStyle name="Note 32 7 3" xfId="19102"/>
    <cellStyle name="Note 32 7 3 2" xfId="40289"/>
    <cellStyle name="Note 32 7 4" xfId="29532"/>
    <cellStyle name="Note 32 7_Table 2A-1_EFT (Annual)" xfId="15803"/>
    <cellStyle name="Note 32 8" xfId="9505"/>
    <cellStyle name="Note 32 8 2" xfId="21669"/>
    <cellStyle name="Note 32 8 2 2" xfId="42855"/>
    <cellStyle name="Note 32 8 3" xfId="32251"/>
    <cellStyle name="Note 32 9" xfId="16556"/>
    <cellStyle name="Note 32 9 2" xfId="37743"/>
    <cellStyle name="Note 32_Table 2A-1_EFT (Annual)" xfId="3297"/>
    <cellStyle name="Note 33" xfId="205"/>
    <cellStyle name="Note 33 2" xfId="598"/>
    <cellStyle name="Note 33 2 2" xfId="1575"/>
    <cellStyle name="Note 33 2 2 2" xfId="2845"/>
    <cellStyle name="Note 33 2 2 2 2" xfId="6406"/>
    <cellStyle name="Note 33 2 2 2 2 2" xfId="14600"/>
    <cellStyle name="Note 33 2 2 2 2 2 2" xfId="26572"/>
    <cellStyle name="Note 33 2 2 2 2 2 2 2" xfId="47758"/>
    <cellStyle name="Note 33 2 2 2 2 2 3" xfId="37154"/>
    <cellStyle name="Note 33 2 2 2 2 3" xfId="21459"/>
    <cellStyle name="Note 33 2 2 2 2 3 2" xfId="42646"/>
    <cellStyle name="Note 33 2 2 2 2 4" xfId="32062"/>
    <cellStyle name="Note 33 2 2 2 2_Table 2A-1_EFT (Annual)" xfId="15804"/>
    <cellStyle name="Note 33 2 2 2 3" xfId="11942"/>
    <cellStyle name="Note 33 2 2 2 3 2" xfId="24026"/>
    <cellStyle name="Note 33 2 2 2 3 2 2" xfId="45212"/>
    <cellStyle name="Note 33 2 2 2 3 3" xfId="34608"/>
    <cellStyle name="Note 33 2 2 2 4" xfId="18913"/>
    <cellStyle name="Note 33 2 2 2 4 2" xfId="40100"/>
    <cellStyle name="Note 33 2 2 2 5" xfId="29319"/>
    <cellStyle name="Note 33 2 2 2_Table 2A-1_EFT (Annual)" xfId="7456"/>
    <cellStyle name="Note 33 2 2 3" xfId="5136"/>
    <cellStyle name="Note 33 2 2 3 2" xfId="13396"/>
    <cellStyle name="Note 33 2 2 3 2 2" xfId="25402"/>
    <cellStyle name="Note 33 2 2 3 2 2 2" xfId="46588"/>
    <cellStyle name="Note 33 2 2 3 2 3" xfId="35984"/>
    <cellStyle name="Note 33 2 2 3 3" xfId="20289"/>
    <cellStyle name="Note 33 2 2 3 3 2" xfId="41476"/>
    <cellStyle name="Note 33 2 2 3 4" xfId="30793"/>
    <cellStyle name="Note 33 2 2 3_Table 2A-1_EFT (Annual)" xfId="15805"/>
    <cellStyle name="Note 33 2 2 4" xfId="10740"/>
    <cellStyle name="Note 33 2 2 4 2" xfId="22856"/>
    <cellStyle name="Note 33 2 2 4 2 2" xfId="44042"/>
    <cellStyle name="Note 33 2 2 4 3" xfId="33438"/>
    <cellStyle name="Note 33 2 2 5" xfId="17743"/>
    <cellStyle name="Note 33 2 2 5 2" xfId="38930"/>
    <cellStyle name="Note 33 2 2 6" xfId="28050"/>
    <cellStyle name="Note 33 2 2_Table 2A-1_EFT (Annual)" xfId="7455"/>
    <cellStyle name="Note 33 2 3" xfId="1095"/>
    <cellStyle name="Note 33 2 3 2" xfId="4656"/>
    <cellStyle name="Note 33 2 3 2 2" xfId="12916"/>
    <cellStyle name="Note 33 2 3 2 2 2" xfId="24922"/>
    <cellStyle name="Note 33 2 3 2 2 2 2" xfId="46108"/>
    <cellStyle name="Note 33 2 3 2 2 3" xfId="35504"/>
    <cellStyle name="Note 33 2 3 2 3" xfId="19809"/>
    <cellStyle name="Note 33 2 3 2 3 2" xfId="40996"/>
    <cellStyle name="Note 33 2 3 2 4" xfId="30313"/>
    <cellStyle name="Note 33 2 3 2_Table 2A-1_EFT (Annual)" xfId="15806"/>
    <cellStyle name="Note 33 2 3 3" xfId="10260"/>
    <cellStyle name="Note 33 2 3 3 2" xfId="22376"/>
    <cellStyle name="Note 33 2 3 3 2 2" xfId="43562"/>
    <cellStyle name="Note 33 2 3 3 3" xfId="32958"/>
    <cellStyle name="Note 33 2 3 4" xfId="17263"/>
    <cellStyle name="Note 33 2 3 4 2" xfId="38450"/>
    <cellStyle name="Note 33 2 3 5" xfId="27570"/>
    <cellStyle name="Note 33 2 3_Table 2A-1_EFT (Annual)" xfId="7457"/>
    <cellStyle name="Note 33 2 4" xfId="2314"/>
    <cellStyle name="Note 33 2 4 2" xfId="5875"/>
    <cellStyle name="Note 33 2 4 2 2" xfId="14090"/>
    <cellStyle name="Note 33 2 4 2 2 2" xfId="26078"/>
    <cellStyle name="Note 33 2 4 2 2 2 2" xfId="47264"/>
    <cellStyle name="Note 33 2 4 2 2 3" xfId="36660"/>
    <cellStyle name="Note 33 2 4 2 3" xfId="20965"/>
    <cellStyle name="Note 33 2 4 2 3 2" xfId="42152"/>
    <cellStyle name="Note 33 2 4 2 4" xfId="31532"/>
    <cellStyle name="Note 33 2 4 2_Table 2A-1_EFT (Annual)" xfId="15807"/>
    <cellStyle name="Note 33 2 4 3" xfId="11434"/>
    <cellStyle name="Note 33 2 4 3 2" xfId="23532"/>
    <cellStyle name="Note 33 2 4 3 2 2" xfId="44718"/>
    <cellStyle name="Note 33 2 4 3 3" xfId="34114"/>
    <cellStyle name="Note 33 2 4 4" xfId="18419"/>
    <cellStyle name="Note 33 2 4 4 2" xfId="39606"/>
    <cellStyle name="Note 33 2 4 5" xfId="28789"/>
    <cellStyle name="Note 33 2 4_Table 2A-1_EFT (Annual)" xfId="7458"/>
    <cellStyle name="Note 33 2 5" xfId="4168"/>
    <cellStyle name="Note 33 2 5 2" xfId="12492"/>
    <cellStyle name="Note 33 2 5 2 2" xfId="24514"/>
    <cellStyle name="Note 33 2 5 2 2 2" xfId="45700"/>
    <cellStyle name="Note 33 2 5 2 3" xfId="35096"/>
    <cellStyle name="Note 33 2 5 3" xfId="19401"/>
    <cellStyle name="Note 33 2 5 3 2" xfId="40588"/>
    <cellStyle name="Note 33 2 5 4" xfId="29856"/>
    <cellStyle name="Note 33 2 5_Table 2A-1_EFT (Annual)" xfId="15808"/>
    <cellStyle name="Note 33 2 6" xfId="9831"/>
    <cellStyle name="Note 33 2 6 2" xfId="21968"/>
    <cellStyle name="Note 33 2 6 2 2" xfId="43154"/>
    <cellStyle name="Note 33 2 6 3" xfId="32550"/>
    <cellStyle name="Note 33 2 7" xfId="16855"/>
    <cellStyle name="Note 33 2 7 2" xfId="38042"/>
    <cellStyle name="Note 33 2 8" xfId="27113"/>
    <cellStyle name="Note 33 2_Table 2A-1_EFT (Annual)" xfId="3301"/>
    <cellStyle name="Note 33 3" xfId="1253"/>
    <cellStyle name="Note 33 3 2" xfId="2523"/>
    <cellStyle name="Note 33 3 2 2" xfId="6084"/>
    <cellStyle name="Note 33 3 2 2 2" xfId="14278"/>
    <cellStyle name="Note 33 3 2 2 2 2" xfId="26250"/>
    <cellStyle name="Note 33 3 2 2 2 2 2" xfId="47436"/>
    <cellStyle name="Note 33 3 2 2 2 3" xfId="36832"/>
    <cellStyle name="Note 33 3 2 2 3" xfId="21137"/>
    <cellStyle name="Note 33 3 2 2 3 2" xfId="42324"/>
    <cellStyle name="Note 33 3 2 2 4" xfId="31740"/>
    <cellStyle name="Note 33 3 2 2_Table 2A-1_EFT (Annual)" xfId="15809"/>
    <cellStyle name="Note 33 3 2 3" xfId="11620"/>
    <cellStyle name="Note 33 3 2 3 2" xfId="23704"/>
    <cellStyle name="Note 33 3 2 3 2 2" xfId="44890"/>
    <cellStyle name="Note 33 3 2 3 3" xfId="34286"/>
    <cellStyle name="Note 33 3 2 4" xfId="18591"/>
    <cellStyle name="Note 33 3 2 4 2" xfId="39778"/>
    <cellStyle name="Note 33 3 2 5" xfId="28997"/>
    <cellStyle name="Note 33 3 2_Table 2A-1_EFT (Annual)" xfId="7460"/>
    <cellStyle name="Note 33 3 3" xfId="4814"/>
    <cellStyle name="Note 33 3 3 2" xfId="13074"/>
    <cellStyle name="Note 33 3 3 2 2" xfId="25080"/>
    <cellStyle name="Note 33 3 3 2 2 2" xfId="46266"/>
    <cellStyle name="Note 33 3 3 2 3" xfId="35662"/>
    <cellStyle name="Note 33 3 3 3" xfId="19967"/>
    <cellStyle name="Note 33 3 3 3 2" xfId="41154"/>
    <cellStyle name="Note 33 3 3 4" xfId="30471"/>
    <cellStyle name="Note 33 3 3_Table 2A-1_EFT (Annual)" xfId="15810"/>
    <cellStyle name="Note 33 3 4" xfId="10418"/>
    <cellStyle name="Note 33 3 4 2" xfId="22534"/>
    <cellStyle name="Note 33 3 4 2 2" xfId="43720"/>
    <cellStyle name="Note 33 3 4 3" xfId="33116"/>
    <cellStyle name="Note 33 3 5" xfId="17421"/>
    <cellStyle name="Note 33 3 5 2" xfId="38608"/>
    <cellStyle name="Note 33 3 6" xfId="27728"/>
    <cellStyle name="Note 33 3_Table 2A-1_EFT (Annual)" xfId="7459"/>
    <cellStyle name="Note 33 4" xfId="804"/>
    <cellStyle name="Note 33 4 2" xfId="4365"/>
    <cellStyle name="Note 33 4 2 2" xfId="12645"/>
    <cellStyle name="Note 33 4 2 2 2" xfId="24662"/>
    <cellStyle name="Note 33 4 2 2 2 2" xfId="45848"/>
    <cellStyle name="Note 33 4 2 2 3" xfId="35244"/>
    <cellStyle name="Note 33 4 2 3" xfId="19549"/>
    <cellStyle name="Note 33 4 2 3 2" xfId="40736"/>
    <cellStyle name="Note 33 4 2 4" xfId="30022"/>
    <cellStyle name="Note 33 4 2_Table 2A-1_EFT (Annual)" xfId="15811"/>
    <cellStyle name="Note 33 4 3" xfId="9993"/>
    <cellStyle name="Note 33 4 3 2" xfId="22116"/>
    <cellStyle name="Note 33 4 3 2 2" xfId="43302"/>
    <cellStyle name="Note 33 4 3 3" xfId="32698"/>
    <cellStyle name="Note 33 4 4" xfId="17003"/>
    <cellStyle name="Note 33 4 4 2" xfId="38190"/>
    <cellStyle name="Note 33 4 5" xfId="27279"/>
    <cellStyle name="Note 33 4_Table 2A-1_EFT (Annual)" xfId="7461"/>
    <cellStyle name="Note 33 5" xfId="1992"/>
    <cellStyle name="Note 33 5 2" xfId="5553"/>
    <cellStyle name="Note 33 5 2 2" xfId="13768"/>
    <cellStyle name="Note 33 5 2 2 2" xfId="25756"/>
    <cellStyle name="Note 33 5 2 2 2 2" xfId="46942"/>
    <cellStyle name="Note 33 5 2 2 3" xfId="36338"/>
    <cellStyle name="Note 33 5 2 3" xfId="20643"/>
    <cellStyle name="Note 33 5 2 3 2" xfId="41830"/>
    <cellStyle name="Note 33 5 2 4" xfId="31210"/>
    <cellStyle name="Note 33 5 2_Table 2A-1_EFT (Annual)" xfId="15812"/>
    <cellStyle name="Note 33 5 3" xfId="11112"/>
    <cellStyle name="Note 33 5 3 2" xfId="23210"/>
    <cellStyle name="Note 33 5 3 2 2" xfId="44396"/>
    <cellStyle name="Note 33 5 3 3" xfId="33792"/>
    <cellStyle name="Note 33 5 4" xfId="18097"/>
    <cellStyle name="Note 33 5 4 2" xfId="39284"/>
    <cellStyle name="Note 33 5 5" xfId="28467"/>
    <cellStyle name="Note 33 5_Table 2A-1_EFT (Annual)" xfId="7462"/>
    <cellStyle name="Note 33 6" xfId="3794"/>
    <cellStyle name="Note 33 6 2" xfId="12162"/>
    <cellStyle name="Note 33 6 2 2" xfId="24192"/>
    <cellStyle name="Note 33 6 2 2 2" xfId="45378"/>
    <cellStyle name="Note 33 6 2 3" xfId="34774"/>
    <cellStyle name="Note 33 6 3" xfId="19079"/>
    <cellStyle name="Note 33 6 3 2" xfId="40266"/>
    <cellStyle name="Note 33 6 4" xfId="29503"/>
    <cellStyle name="Note 33 6_Table 2A-1_EFT (Annual)" xfId="15813"/>
    <cellStyle name="Note 33 7" xfId="9481"/>
    <cellStyle name="Note 33 7 2" xfId="21646"/>
    <cellStyle name="Note 33 7 2 2" xfId="42832"/>
    <cellStyle name="Note 33 7 3" xfId="32228"/>
    <cellStyle name="Note 33 8" xfId="16533"/>
    <cellStyle name="Note 33 8 2" xfId="37720"/>
    <cellStyle name="Note 33 9" xfId="26760"/>
    <cellStyle name="Note 33_Table 2A-1_EFT (Annual)" xfId="3300"/>
    <cellStyle name="Note 34" xfId="292"/>
    <cellStyle name="Note 34 2" xfId="1296"/>
    <cellStyle name="Note 34 2 2" xfId="2566"/>
    <cellStyle name="Note 34 2 2 2" xfId="6127"/>
    <cellStyle name="Note 34 2 2 2 2" xfId="14321"/>
    <cellStyle name="Note 34 2 2 2 2 2" xfId="26293"/>
    <cellStyle name="Note 34 2 2 2 2 2 2" xfId="47479"/>
    <cellStyle name="Note 34 2 2 2 2 3" xfId="36875"/>
    <cellStyle name="Note 34 2 2 2 3" xfId="21180"/>
    <cellStyle name="Note 34 2 2 2 3 2" xfId="42367"/>
    <cellStyle name="Note 34 2 2 2 4" xfId="31783"/>
    <cellStyle name="Note 34 2 2 2_Table 2A-1_EFT (Annual)" xfId="15814"/>
    <cellStyle name="Note 34 2 2 3" xfId="11663"/>
    <cellStyle name="Note 34 2 2 3 2" xfId="23747"/>
    <cellStyle name="Note 34 2 2 3 2 2" xfId="44933"/>
    <cellStyle name="Note 34 2 2 3 3" xfId="34329"/>
    <cellStyle name="Note 34 2 2 4" xfId="18634"/>
    <cellStyle name="Note 34 2 2 4 2" xfId="39821"/>
    <cellStyle name="Note 34 2 2 5" xfId="29040"/>
    <cellStyle name="Note 34 2 2_Table 2A-1_EFT (Annual)" xfId="7464"/>
    <cellStyle name="Note 34 2 3" xfId="4857"/>
    <cellStyle name="Note 34 2 3 2" xfId="13117"/>
    <cellStyle name="Note 34 2 3 2 2" xfId="25123"/>
    <cellStyle name="Note 34 2 3 2 2 2" xfId="46309"/>
    <cellStyle name="Note 34 2 3 2 3" xfId="35705"/>
    <cellStyle name="Note 34 2 3 3" xfId="20010"/>
    <cellStyle name="Note 34 2 3 3 2" xfId="41197"/>
    <cellStyle name="Note 34 2 3 4" xfId="30514"/>
    <cellStyle name="Note 34 2 3_Table 2A-1_EFT (Annual)" xfId="15815"/>
    <cellStyle name="Note 34 2 4" xfId="10461"/>
    <cellStyle name="Note 34 2 4 2" xfId="22577"/>
    <cellStyle name="Note 34 2 4 2 2" xfId="43763"/>
    <cellStyle name="Note 34 2 4 3" xfId="33159"/>
    <cellStyle name="Note 34 2 5" xfId="17464"/>
    <cellStyle name="Note 34 2 5 2" xfId="38651"/>
    <cellStyle name="Note 34 2 6" xfId="27771"/>
    <cellStyle name="Note 34 2_Table 2A-1_EFT (Annual)" xfId="7463"/>
    <cellStyle name="Note 34 3" xfId="846"/>
    <cellStyle name="Note 34 3 2" xfId="4407"/>
    <cellStyle name="Note 34 3 2 2" xfId="12680"/>
    <cellStyle name="Note 34 3 2 2 2" xfId="24697"/>
    <cellStyle name="Note 34 3 2 2 2 2" xfId="45883"/>
    <cellStyle name="Note 34 3 2 2 3" xfId="35279"/>
    <cellStyle name="Note 34 3 2 3" xfId="19584"/>
    <cellStyle name="Note 34 3 2 3 2" xfId="40771"/>
    <cellStyle name="Note 34 3 2 4" xfId="30064"/>
    <cellStyle name="Note 34 3 2_Table 2A-1_EFT (Annual)" xfId="15816"/>
    <cellStyle name="Note 34 3 3" xfId="10029"/>
    <cellStyle name="Note 34 3 3 2" xfId="22151"/>
    <cellStyle name="Note 34 3 3 2 2" xfId="43337"/>
    <cellStyle name="Note 34 3 3 3" xfId="32733"/>
    <cellStyle name="Note 34 3 4" xfId="17038"/>
    <cellStyle name="Note 34 3 4 2" xfId="38225"/>
    <cellStyle name="Note 34 3 5" xfId="27321"/>
    <cellStyle name="Note 34 3_Table 2A-1_EFT (Annual)" xfId="7465"/>
    <cellStyle name="Note 34 4" xfId="2035"/>
    <cellStyle name="Note 34 4 2" xfId="5596"/>
    <cellStyle name="Note 34 4 2 2" xfId="13811"/>
    <cellStyle name="Note 34 4 2 2 2" xfId="25799"/>
    <cellStyle name="Note 34 4 2 2 2 2" xfId="46985"/>
    <cellStyle name="Note 34 4 2 2 3" xfId="36381"/>
    <cellStyle name="Note 34 4 2 3" xfId="20686"/>
    <cellStyle name="Note 34 4 2 3 2" xfId="41873"/>
    <cellStyle name="Note 34 4 2 4" xfId="31253"/>
    <cellStyle name="Note 34 4 2_Table 2A-1_EFT (Annual)" xfId="15817"/>
    <cellStyle name="Note 34 4 3" xfId="11155"/>
    <cellStyle name="Note 34 4 3 2" xfId="23253"/>
    <cellStyle name="Note 34 4 3 2 2" xfId="44439"/>
    <cellStyle name="Note 34 4 3 3" xfId="33835"/>
    <cellStyle name="Note 34 4 4" xfId="18140"/>
    <cellStyle name="Note 34 4 4 2" xfId="39327"/>
    <cellStyle name="Note 34 4 5" xfId="28510"/>
    <cellStyle name="Note 34 4_Table 2A-1_EFT (Annual)" xfId="7466"/>
    <cellStyle name="Note 34 5" xfId="3864"/>
    <cellStyle name="Note 34 5 2" xfId="12206"/>
    <cellStyle name="Note 34 5 2 2" xfId="24235"/>
    <cellStyle name="Note 34 5 2 2 2" xfId="45421"/>
    <cellStyle name="Note 34 5 2 3" xfId="34817"/>
    <cellStyle name="Note 34 5 3" xfId="19122"/>
    <cellStyle name="Note 34 5 3 2" xfId="40309"/>
    <cellStyle name="Note 34 5 4" xfId="29553"/>
    <cellStyle name="Note 34 5_Table 2A-1_EFT (Annual)" xfId="15818"/>
    <cellStyle name="Note 34 6" xfId="9541"/>
    <cellStyle name="Note 34 6 2" xfId="21689"/>
    <cellStyle name="Note 34 6 2 2" xfId="42875"/>
    <cellStyle name="Note 34 6 3" xfId="32271"/>
    <cellStyle name="Note 34 7" xfId="16576"/>
    <cellStyle name="Note 34 7 2" xfId="37763"/>
    <cellStyle name="Note 34 8" xfId="26810"/>
    <cellStyle name="Note 34_Table 2A-1_EFT (Annual)" xfId="3302"/>
    <cellStyle name="Note 35" xfId="641"/>
    <cellStyle name="Note 35 2" xfId="1618"/>
    <cellStyle name="Note 35 2 2" xfId="2888"/>
    <cellStyle name="Note 35 2 2 2" xfId="6449"/>
    <cellStyle name="Note 35 2 2 2 2" xfId="14643"/>
    <cellStyle name="Note 35 2 2 2 2 2" xfId="26615"/>
    <cellStyle name="Note 35 2 2 2 2 2 2" xfId="47801"/>
    <cellStyle name="Note 35 2 2 2 2 3" xfId="37197"/>
    <cellStyle name="Note 35 2 2 2 3" xfId="21502"/>
    <cellStyle name="Note 35 2 2 2 3 2" xfId="42689"/>
    <cellStyle name="Note 35 2 2 2 4" xfId="32105"/>
    <cellStyle name="Note 35 2 2 2_Table 2A-1_EFT (Annual)" xfId="15819"/>
    <cellStyle name="Note 35 2 2 3" xfId="11985"/>
    <cellStyle name="Note 35 2 2 3 2" xfId="24069"/>
    <cellStyle name="Note 35 2 2 3 2 2" xfId="45255"/>
    <cellStyle name="Note 35 2 2 3 3" xfId="34651"/>
    <cellStyle name="Note 35 2 2 4" xfId="18956"/>
    <cellStyle name="Note 35 2 2 4 2" xfId="40143"/>
    <cellStyle name="Note 35 2 2 5" xfId="29362"/>
    <cellStyle name="Note 35 2 2_Table 2A-1_EFT (Annual)" xfId="7468"/>
    <cellStyle name="Note 35 2 3" xfId="5179"/>
    <cellStyle name="Note 35 2 3 2" xfId="13439"/>
    <cellStyle name="Note 35 2 3 2 2" xfId="25445"/>
    <cellStyle name="Note 35 2 3 2 2 2" xfId="46631"/>
    <cellStyle name="Note 35 2 3 2 3" xfId="36027"/>
    <cellStyle name="Note 35 2 3 3" xfId="20332"/>
    <cellStyle name="Note 35 2 3 3 2" xfId="41519"/>
    <cellStyle name="Note 35 2 3 4" xfId="30836"/>
    <cellStyle name="Note 35 2 3_Table 2A-1_EFT (Annual)" xfId="15820"/>
    <cellStyle name="Note 35 2 4" xfId="10783"/>
    <cellStyle name="Note 35 2 4 2" xfId="22899"/>
    <cellStyle name="Note 35 2 4 2 2" xfId="44085"/>
    <cellStyle name="Note 35 2 4 3" xfId="33481"/>
    <cellStyle name="Note 35 2 5" xfId="17786"/>
    <cellStyle name="Note 35 2 5 2" xfId="38973"/>
    <cellStyle name="Note 35 2 6" xfId="28093"/>
    <cellStyle name="Note 35 2_Table 2A-1_EFT (Annual)" xfId="7467"/>
    <cellStyle name="Note 35 3" xfId="1130"/>
    <cellStyle name="Note 35 3 2" xfId="4691"/>
    <cellStyle name="Note 35 3 2 2" xfId="12951"/>
    <cellStyle name="Note 35 3 2 2 2" xfId="24957"/>
    <cellStyle name="Note 35 3 2 2 2 2" xfId="46143"/>
    <cellStyle name="Note 35 3 2 2 3" xfId="35539"/>
    <cellStyle name="Note 35 3 2 3" xfId="19844"/>
    <cellStyle name="Note 35 3 2 3 2" xfId="41031"/>
    <cellStyle name="Note 35 3 2 4" xfId="30348"/>
    <cellStyle name="Note 35 3 2_Table 2A-1_EFT (Annual)" xfId="15821"/>
    <cellStyle name="Note 35 3 3" xfId="10295"/>
    <cellStyle name="Note 35 3 3 2" xfId="22411"/>
    <cellStyle name="Note 35 3 3 2 2" xfId="43597"/>
    <cellStyle name="Note 35 3 3 3" xfId="32993"/>
    <cellStyle name="Note 35 3 4" xfId="17298"/>
    <cellStyle name="Note 35 3 4 2" xfId="38485"/>
    <cellStyle name="Note 35 3 5" xfId="27605"/>
    <cellStyle name="Note 35 3_Table 2A-1_EFT (Annual)" xfId="7469"/>
    <cellStyle name="Note 35 4" xfId="2357"/>
    <cellStyle name="Note 35 4 2" xfId="5918"/>
    <cellStyle name="Note 35 4 2 2" xfId="14133"/>
    <cellStyle name="Note 35 4 2 2 2" xfId="26121"/>
    <cellStyle name="Note 35 4 2 2 2 2" xfId="47307"/>
    <cellStyle name="Note 35 4 2 2 3" xfId="36703"/>
    <cellStyle name="Note 35 4 2 3" xfId="21008"/>
    <cellStyle name="Note 35 4 2 3 2" xfId="42195"/>
    <cellStyle name="Note 35 4 2 4" xfId="31575"/>
    <cellStyle name="Note 35 4 2_Table 2A-1_EFT (Annual)" xfId="15822"/>
    <cellStyle name="Note 35 4 3" xfId="11477"/>
    <cellStyle name="Note 35 4 3 2" xfId="23575"/>
    <cellStyle name="Note 35 4 3 2 2" xfId="44761"/>
    <cellStyle name="Note 35 4 3 3" xfId="34157"/>
    <cellStyle name="Note 35 4 4" xfId="18462"/>
    <cellStyle name="Note 35 4 4 2" xfId="39649"/>
    <cellStyle name="Note 35 4 5" xfId="28832"/>
    <cellStyle name="Note 35 4_Table 2A-1_EFT (Annual)" xfId="7470"/>
    <cellStyle name="Note 35 5" xfId="4211"/>
    <cellStyle name="Note 35 5 2" xfId="12535"/>
    <cellStyle name="Note 35 5 2 2" xfId="24557"/>
    <cellStyle name="Note 35 5 2 2 2" xfId="45743"/>
    <cellStyle name="Note 35 5 2 3" xfId="35139"/>
    <cellStyle name="Note 35 5 3" xfId="19444"/>
    <cellStyle name="Note 35 5 3 2" xfId="40631"/>
    <cellStyle name="Note 35 5 4" xfId="29899"/>
    <cellStyle name="Note 35 5_Table 2A-1_EFT (Annual)" xfId="15823"/>
    <cellStyle name="Note 35 6" xfId="9874"/>
    <cellStyle name="Note 35 6 2" xfId="22011"/>
    <cellStyle name="Note 35 6 2 2" xfId="43197"/>
    <cellStyle name="Note 35 6 3" xfId="32593"/>
    <cellStyle name="Note 35 7" xfId="16898"/>
    <cellStyle name="Note 35 7 2" xfId="38085"/>
    <cellStyle name="Note 35 8" xfId="27156"/>
    <cellStyle name="Note 35_Table 2A-1_EFT (Annual)" xfId="3303"/>
    <cellStyle name="Note 36" xfId="696"/>
    <cellStyle name="Note 36 2" xfId="2363"/>
    <cellStyle name="Note 36 2 2" xfId="5924"/>
    <cellStyle name="Note 36 2 2 2" xfId="14138"/>
    <cellStyle name="Note 36 2 2 2 2" xfId="26126"/>
    <cellStyle name="Note 36 2 2 2 2 2" xfId="47312"/>
    <cellStyle name="Note 36 2 2 2 3" xfId="36708"/>
    <cellStyle name="Note 36 2 2 3" xfId="21013"/>
    <cellStyle name="Note 36 2 2 3 2" xfId="42200"/>
    <cellStyle name="Note 36 2 2 4" xfId="31580"/>
    <cellStyle name="Note 36 2 2_Table 2A-1_EFT (Annual)" xfId="15824"/>
    <cellStyle name="Note 36 2 3" xfId="11483"/>
    <cellStyle name="Note 36 2 3 2" xfId="23580"/>
    <cellStyle name="Note 36 2 3 2 2" xfId="44766"/>
    <cellStyle name="Note 36 2 3 3" xfId="34162"/>
    <cellStyle name="Note 36 2 4" xfId="18467"/>
    <cellStyle name="Note 36 2 4 2" xfId="39654"/>
    <cellStyle name="Note 36 2 5" xfId="28837"/>
    <cellStyle name="Note 36 2_Table 2A-1_EFT (Annual)" xfId="7472"/>
    <cellStyle name="Note 36 3" xfId="4259"/>
    <cellStyle name="Note 36 3 2" xfId="12544"/>
    <cellStyle name="Note 36 3 2 2" xfId="24562"/>
    <cellStyle name="Note 36 3 2 2 2" xfId="45748"/>
    <cellStyle name="Note 36 3 2 3" xfId="35144"/>
    <cellStyle name="Note 36 3 3" xfId="19449"/>
    <cellStyle name="Note 36 3 3 2" xfId="40636"/>
    <cellStyle name="Note 36 3 4" xfId="29917"/>
    <cellStyle name="Note 36 3_Table 2A-1_EFT (Annual)" xfId="15825"/>
    <cellStyle name="Note 36 4" xfId="9890"/>
    <cellStyle name="Note 36 4 2" xfId="22016"/>
    <cellStyle name="Note 36 4 2 2" xfId="43202"/>
    <cellStyle name="Note 36 4 3" xfId="32598"/>
    <cellStyle name="Note 36 5" xfId="16903"/>
    <cellStyle name="Note 36 5 2" xfId="38090"/>
    <cellStyle name="Note 36 6" xfId="27174"/>
    <cellStyle name="Note 36_Table 2A-1_EFT (Annual)" xfId="7471"/>
    <cellStyle name="Note 37" xfId="16010"/>
    <cellStyle name="Note 37 2" xfId="37203"/>
    <cellStyle name="Note 38" xfId="47807"/>
    <cellStyle name="Note 4" xfId="91"/>
    <cellStyle name="Note 4 10" xfId="21519"/>
    <cellStyle name="Note 4 10 2" xfId="42706"/>
    <cellStyle name="Note 4 11" xfId="26647"/>
    <cellStyle name="Note 4 2" xfId="490"/>
    <cellStyle name="Note 4 2 2" xfId="1467"/>
    <cellStyle name="Note 4 2 2 2" xfId="2737"/>
    <cellStyle name="Note 4 2 2 2 2" xfId="6298"/>
    <cellStyle name="Note 4 2 2 2 2 2" xfId="14492"/>
    <cellStyle name="Note 4 2 2 2 2 2 2" xfId="26464"/>
    <cellStyle name="Note 4 2 2 2 2 2 2 2" xfId="47650"/>
    <cellStyle name="Note 4 2 2 2 2 2 3" xfId="37046"/>
    <cellStyle name="Note 4 2 2 2 2 3" xfId="21351"/>
    <cellStyle name="Note 4 2 2 2 2 3 2" xfId="42538"/>
    <cellStyle name="Note 4 2 2 2 2 4" xfId="31954"/>
    <cellStyle name="Note 4 2 2 2 2_Table 2A-1_EFT (Annual)" xfId="15826"/>
    <cellStyle name="Note 4 2 2 2 3" xfId="11834"/>
    <cellStyle name="Note 4 2 2 2 3 2" xfId="23918"/>
    <cellStyle name="Note 4 2 2 2 3 2 2" xfId="45104"/>
    <cellStyle name="Note 4 2 2 2 3 3" xfId="34500"/>
    <cellStyle name="Note 4 2 2 2 4" xfId="18805"/>
    <cellStyle name="Note 4 2 2 2 4 2" xfId="39992"/>
    <cellStyle name="Note 4 2 2 2 5" xfId="29211"/>
    <cellStyle name="Note 4 2 2 2_Table 2A-1_EFT (Annual)" xfId="7474"/>
    <cellStyle name="Note 4 2 2 3" xfId="5028"/>
    <cellStyle name="Note 4 2 2 3 2" xfId="13288"/>
    <cellStyle name="Note 4 2 2 3 2 2" xfId="25294"/>
    <cellStyle name="Note 4 2 2 3 2 2 2" xfId="46480"/>
    <cellStyle name="Note 4 2 2 3 2 3" xfId="35876"/>
    <cellStyle name="Note 4 2 2 3 3" xfId="20181"/>
    <cellStyle name="Note 4 2 2 3 3 2" xfId="41368"/>
    <cellStyle name="Note 4 2 2 3 4" xfId="30685"/>
    <cellStyle name="Note 4 2 2 3_Table 2A-1_EFT (Annual)" xfId="15827"/>
    <cellStyle name="Note 4 2 2 4" xfId="10632"/>
    <cellStyle name="Note 4 2 2 4 2" xfId="22748"/>
    <cellStyle name="Note 4 2 2 4 2 2" xfId="43934"/>
    <cellStyle name="Note 4 2 2 4 3" xfId="33330"/>
    <cellStyle name="Note 4 2 2 5" xfId="17635"/>
    <cellStyle name="Note 4 2 2 5 2" xfId="38822"/>
    <cellStyle name="Note 4 2 2 6" xfId="27942"/>
    <cellStyle name="Note 4 2 2_Table 2A-1_EFT (Annual)" xfId="7473"/>
    <cellStyle name="Note 4 2 3" xfId="1007"/>
    <cellStyle name="Note 4 2 3 2" xfId="4568"/>
    <cellStyle name="Note 4 2 3 2 2" xfId="12828"/>
    <cellStyle name="Note 4 2 3 2 2 2" xfId="24834"/>
    <cellStyle name="Note 4 2 3 2 2 2 2" xfId="46020"/>
    <cellStyle name="Note 4 2 3 2 2 3" xfId="35416"/>
    <cellStyle name="Note 4 2 3 2 3" xfId="19721"/>
    <cellStyle name="Note 4 2 3 2 3 2" xfId="40908"/>
    <cellStyle name="Note 4 2 3 2 4" xfId="30225"/>
    <cellStyle name="Note 4 2 3 2_Table 2A-1_EFT (Annual)" xfId="15828"/>
    <cellStyle name="Note 4 2 3 3" xfId="10172"/>
    <cellStyle name="Note 4 2 3 3 2" xfId="22288"/>
    <cellStyle name="Note 4 2 3 3 2 2" xfId="43474"/>
    <cellStyle name="Note 4 2 3 3 3" xfId="32870"/>
    <cellStyle name="Note 4 2 3 4" xfId="17175"/>
    <cellStyle name="Note 4 2 3 4 2" xfId="38362"/>
    <cellStyle name="Note 4 2 3 5" xfId="27482"/>
    <cellStyle name="Note 4 2 3_Table 2A-1_EFT (Annual)" xfId="7475"/>
    <cellStyle name="Note 4 2 4" xfId="2206"/>
    <cellStyle name="Note 4 2 4 2" xfId="5767"/>
    <cellStyle name="Note 4 2 4 2 2" xfId="13982"/>
    <cellStyle name="Note 4 2 4 2 2 2" xfId="25970"/>
    <cellStyle name="Note 4 2 4 2 2 2 2" xfId="47156"/>
    <cellStyle name="Note 4 2 4 2 2 3" xfId="36552"/>
    <cellStyle name="Note 4 2 4 2 3" xfId="20857"/>
    <cellStyle name="Note 4 2 4 2 3 2" xfId="42044"/>
    <cellStyle name="Note 4 2 4 2 4" xfId="31424"/>
    <cellStyle name="Note 4 2 4 2_Table 2A-1_EFT (Annual)" xfId="15829"/>
    <cellStyle name="Note 4 2 4 3" xfId="11326"/>
    <cellStyle name="Note 4 2 4 3 2" xfId="23424"/>
    <cellStyle name="Note 4 2 4 3 2 2" xfId="44610"/>
    <cellStyle name="Note 4 2 4 3 3" xfId="34006"/>
    <cellStyle name="Note 4 2 4 4" xfId="18311"/>
    <cellStyle name="Note 4 2 4 4 2" xfId="39498"/>
    <cellStyle name="Note 4 2 4 5" xfId="28681"/>
    <cellStyle name="Note 4 2 4_Table 2A-1_EFT (Annual)" xfId="7476"/>
    <cellStyle name="Note 4 2 5" xfId="4060"/>
    <cellStyle name="Note 4 2 5 2" xfId="12384"/>
    <cellStyle name="Note 4 2 5 2 2" xfId="24406"/>
    <cellStyle name="Note 4 2 5 2 2 2" xfId="45592"/>
    <cellStyle name="Note 4 2 5 2 3" xfId="34988"/>
    <cellStyle name="Note 4 2 5 3" xfId="19293"/>
    <cellStyle name="Note 4 2 5 3 2" xfId="40480"/>
    <cellStyle name="Note 4 2 5 4" xfId="29748"/>
    <cellStyle name="Note 4 2 5_Table 2A-1_EFT (Annual)" xfId="15830"/>
    <cellStyle name="Note 4 2 6" xfId="9723"/>
    <cellStyle name="Note 4 2 6 2" xfId="21860"/>
    <cellStyle name="Note 4 2 6 2 2" xfId="43046"/>
    <cellStyle name="Note 4 2 6 3" xfId="32442"/>
    <cellStyle name="Note 4 2 7" xfId="16747"/>
    <cellStyle name="Note 4 2 7 2" xfId="37934"/>
    <cellStyle name="Note 4 2 8" xfId="27005"/>
    <cellStyle name="Note 4 2_Table 2A-1_EFT (Annual)" xfId="3305"/>
    <cellStyle name="Note 4 3" xfId="323"/>
    <cellStyle name="Note 4 3 2" xfId="1311"/>
    <cellStyle name="Note 4 3 2 2" xfId="2581"/>
    <cellStyle name="Note 4 3 2 2 2" xfId="6142"/>
    <cellStyle name="Note 4 3 2 2 2 2" xfId="14336"/>
    <cellStyle name="Note 4 3 2 2 2 2 2" xfId="26308"/>
    <cellStyle name="Note 4 3 2 2 2 2 2 2" xfId="47494"/>
    <cellStyle name="Note 4 3 2 2 2 2 3" xfId="36890"/>
    <cellStyle name="Note 4 3 2 2 2 3" xfId="21195"/>
    <cellStyle name="Note 4 3 2 2 2 3 2" xfId="42382"/>
    <cellStyle name="Note 4 3 2 2 2 4" xfId="31798"/>
    <cellStyle name="Note 4 3 2 2 2_Table 2A-1_EFT (Annual)" xfId="15831"/>
    <cellStyle name="Note 4 3 2 2 3" xfId="11678"/>
    <cellStyle name="Note 4 3 2 2 3 2" xfId="23762"/>
    <cellStyle name="Note 4 3 2 2 3 2 2" xfId="44948"/>
    <cellStyle name="Note 4 3 2 2 3 3" xfId="34344"/>
    <cellStyle name="Note 4 3 2 2 4" xfId="18649"/>
    <cellStyle name="Note 4 3 2 2 4 2" xfId="39836"/>
    <cellStyle name="Note 4 3 2 2 5" xfId="29055"/>
    <cellStyle name="Note 4 3 2 2_Table 2A-1_EFT (Annual)" xfId="7478"/>
    <cellStyle name="Note 4 3 2 3" xfId="4872"/>
    <cellStyle name="Note 4 3 2 3 2" xfId="13132"/>
    <cellStyle name="Note 4 3 2 3 2 2" xfId="25138"/>
    <cellStyle name="Note 4 3 2 3 2 2 2" xfId="46324"/>
    <cellStyle name="Note 4 3 2 3 2 3" xfId="35720"/>
    <cellStyle name="Note 4 3 2 3 3" xfId="20025"/>
    <cellStyle name="Note 4 3 2 3 3 2" xfId="41212"/>
    <cellStyle name="Note 4 3 2 3 4" xfId="30529"/>
    <cellStyle name="Note 4 3 2 3_Table 2A-1_EFT (Annual)" xfId="15832"/>
    <cellStyle name="Note 4 3 2 4" xfId="10476"/>
    <cellStyle name="Note 4 3 2 4 2" xfId="22592"/>
    <cellStyle name="Note 4 3 2 4 2 2" xfId="43778"/>
    <cellStyle name="Note 4 3 2 4 3" xfId="33174"/>
    <cellStyle name="Note 4 3 2 5" xfId="17479"/>
    <cellStyle name="Note 4 3 2 5 2" xfId="38666"/>
    <cellStyle name="Note 4 3 2 6" xfId="27786"/>
    <cellStyle name="Note 4 3 2_Table 2A-1_EFT (Annual)" xfId="7477"/>
    <cellStyle name="Note 4 3 3" xfId="870"/>
    <cellStyle name="Note 4 3 3 2" xfId="4431"/>
    <cellStyle name="Note 4 3 3 2 2" xfId="12696"/>
    <cellStyle name="Note 4 3 3 2 2 2" xfId="24708"/>
    <cellStyle name="Note 4 3 3 2 2 2 2" xfId="45894"/>
    <cellStyle name="Note 4 3 3 2 2 3" xfId="35290"/>
    <cellStyle name="Note 4 3 3 2 3" xfId="19595"/>
    <cellStyle name="Note 4 3 3 2 3 2" xfId="40782"/>
    <cellStyle name="Note 4 3 3 2 4" xfId="30088"/>
    <cellStyle name="Note 4 3 3 2_Table 2A-1_EFT (Annual)" xfId="15833"/>
    <cellStyle name="Note 4 3 3 3" xfId="10043"/>
    <cellStyle name="Note 4 3 3 3 2" xfId="22162"/>
    <cellStyle name="Note 4 3 3 3 2 2" xfId="43348"/>
    <cellStyle name="Note 4 3 3 3 3" xfId="32744"/>
    <cellStyle name="Note 4 3 3 4" xfId="17049"/>
    <cellStyle name="Note 4 3 3 4 2" xfId="38236"/>
    <cellStyle name="Note 4 3 3 5" xfId="27345"/>
    <cellStyle name="Note 4 3 3_Table 2A-1_EFT (Annual)" xfId="7479"/>
    <cellStyle name="Note 4 3 4" xfId="2050"/>
    <cellStyle name="Note 4 3 4 2" xfId="5611"/>
    <cellStyle name="Note 4 3 4 2 2" xfId="13826"/>
    <cellStyle name="Note 4 3 4 2 2 2" xfId="25814"/>
    <cellStyle name="Note 4 3 4 2 2 2 2" xfId="47000"/>
    <cellStyle name="Note 4 3 4 2 2 3" xfId="36396"/>
    <cellStyle name="Note 4 3 4 2 3" xfId="20701"/>
    <cellStyle name="Note 4 3 4 2 3 2" xfId="41888"/>
    <cellStyle name="Note 4 3 4 2 4" xfId="31268"/>
    <cellStyle name="Note 4 3 4 2_Table 2A-1_EFT (Annual)" xfId="15834"/>
    <cellStyle name="Note 4 3 4 3" xfId="11170"/>
    <cellStyle name="Note 4 3 4 3 2" xfId="23268"/>
    <cellStyle name="Note 4 3 4 3 2 2" xfId="44454"/>
    <cellStyle name="Note 4 3 4 3 3" xfId="33850"/>
    <cellStyle name="Note 4 3 4 4" xfId="18155"/>
    <cellStyle name="Note 4 3 4 4 2" xfId="39342"/>
    <cellStyle name="Note 4 3 4 5" xfId="28525"/>
    <cellStyle name="Note 4 3 4_Table 2A-1_EFT (Annual)" xfId="7480"/>
    <cellStyle name="Note 4 3 5" xfId="3893"/>
    <cellStyle name="Note 4 3 5 2" xfId="12225"/>
    <cellStyle name="Note 4 3 5 2 2" xfId="24250"/>
    <cellStyle name="Note 4 3 5 2 2 2" xfId="45436"/>
    <cellStyle name="Note 4 3 5 2 3" xfId="34832"/>
    <cellStyle name="Note 4 3 5 3" xfId="19137"/>
    <cellStyle name="Note 4 3 5 3 2" xfId="40324"/>
    <cellStyle name="Note 4 3 5 4" xfId="29581"/>
    <cellStyle name="Note 4 3 5_Table 2A-1_EFT (Annual)" xfId="15835"/>
    <cellStyle name="Note 4 3 6" xfId="9562"/>
    <cellStyle name="Note 4 3 6 2" xfId="21704"/>
    <cellStyle name="Note 4 3 6 2 2" xfId="42890"/>
    <cellStyle name="Note 4 3 6 3" xfId="32286"/>
    <cellStyle name="Note 4 3 7" xfId="16591"/>
    <cellStyle name="Note 4 3 7 2" xfId="37778"/>
    <cellStyle name="Note 4 3 8" xfId="26838"/>
    <cellStyle name="Note 4 3_Table 2A-1_EFT (Annual)" xfId="3306"/>
    <cellStyle name="Note 4 4" xfId="1145"/>
    <cellStyle name="Note 4 4 2" xfId="2415"/>
    <cellStyle name="Note 4 4 2 2" xfId="5976"/>
    <cellStyle name="Note 4 4 2 2 2" xfId="14170"/>
    <cellStyle name="Note 4 4 2 2 2 2" xfId="26142"/>
    <cellStyle name="Note 4 4 2 2 2 2 2" xfId="47328"/>
    <cellStyle name="Note 4 4 2 2 2 3" xfId="36724"/>
    <cellStyle name="Note 4 4 2 2 3" xfId="21029"/>
    <cellStyle name="Note 4 4 2 2 3 2" xfId="42216"/>
    <cellStyle name="Note 4 4 2 2 4" xfId="31632"/>
    <cellStyle name="Note 4 4 2 2_Table 2A-1_EFT (Annual)" xfId="15836"/>
    <cellStyle name="Note 4 4 2 3" xfId="11512"/>
    <cellStyle name="Note 4 4 2 3 2" xfId="23596"/>
    <cellStyle name="Note 4 4 2 3 2 2" xfId="44782"/>
    <cellStyle name="Note 4 4 2 3 3" xfId="34178"/>
    <cellStyle name="Note 4 4 2 4" xfId="18483"/>
    <cellStyle name="Note 4 4 2 4 2" xfId="39670"/>
    <cellStyle name="Note 4 4 2 5" xfId="28889"/>
    <cellStyle name="Note 4 4 2_Table 2A-1_EFT (Annual)" xfId="7482"/>
    <cellStyle name="Note 4 4 3" xfId="4706"/>
    <cellStyle name="Note 4 4 3 2" xfId="12966"/>
    <cellStyle name="Note 4 4 3 2 2" xfId="24972"/>
    <cellStyle name="Note 4 4 3 2 2 2" xfId="46158"/>
    <cellStyle name="Note 4 4 3 2 3" xfId="35554"/>
    <cellStyle name="Note 4 4 3 3" xfId="19859"/>
    <cellStyle name="Note 4 4 3 3 2" xfId="41046"/>
    <cellStyle name="Note 4 4 3 4" xfId="30363"/>
    <cellStyle name="Note 4 4 3_Table 2A-1_EFT (Annual)" xfId="15837"/>
    <cellStyle name="Note 4 4 4" xfId="10310"/>
    <cellStyle name="Note 4 4 4 2" xfId="22426"/>
    <cellStyle name="Note 4 4 4 2 2" xfId="43612"/>
    <cellStyle name="Note 4 4 4 3" xfId="33008"/>
    <cellStyle name="Note 4 4 5" xfId="17313"/>
    <cellStyle name="Note 4 4 5 2" xfId="38500"/>
    <cellStyle name="Note 4 4 6" xfId="27620"/>
    <cellStyle name="Note 4 4_Table 2A-1_EFT (Annual)" xfId="7481"/>
    <cellStyle name="Note 4 5" xfId="711"/>
    <cellStyle name="Note 4 5 2" xfId="4272"/>
    <cellStyle name="Note 4 5 2 2" xfId="12556"/>
    <cellStyle name="Note 4 5 2 2 2" xfId="24574"/>
    <cellStyle name="Note 4 5 2 2 2 2" xfId="45760"/>
    <cellStyle name="Note 4 5 2 2 3" xfId="35156"/>
    <cellStyle name="Note 4 5 2 3" xfId="19461"/>
    <cellStyle name="Note 4 5 2 3 2" xfId="40648"/>
    <cellStyle name="Note 4 5 2 4" xfId="29929"/>
    <cellStyle name="Note 4 5 2_Table 2A-1_EFT (Annual)" xfId="15838"/>
    <cellStyle name="Note 4 5 3" xfId="9903"/>
    <cellStyle name="Note 4 5 3 2" xfId="22028"/>
    <cellStyle name="Note 4 5 3 2 2" xfId="43214"/>
    <cellStyle name="Note 4 5 3 3" xfId="32610"/>
    <cellStyle name="Note 4 5 4" xfId="16915"/>
    <cellStyle name="Note 4 5 4 2" xfId="38102"/>
    <cellStyle name="Note 4 5 5" xfId="27186"/>
    <cellStyle name="Note 4 5_Table 2A-1_EFT (Annual)" xfId="7483"/>
    <cellStyle name="Note 4 6" xfId="1941"/>
    <cellStyle name="Note 4 6 2" xfId="5502"/>
    <cellStyle name="Note 4 6 2 2" xfId="13717"/>
    <cellStyle name="Note 4 6 2 2 2" xfId="25705"/>
    <cellStyle name="Note 4 6 2 2 2 2" xfId="46891"/>
    <cellStyle name="Note 4 6 2 2 3" xfId="36287"/>
    <cellStyle name="Note 4 6 2 3" xfId="20592"/>
    <cellStyle name="Note 4 6 2 3 2" xfId="41779"/>
    <cellStyle name="Note 4 6 2 4" xfId="31159"/>
    <cellStyle name="Note 4 6 2_Table 2A-1_EFT (Annual)" xfId="15839"/>
    <cellStyle name="Note 4 6 3" xfId="11061"/>
    <cellStyle name="Note 4 6 3 2" xfId="23159"/>
    <cellStyle name="Note 4 6 3 2 2" xfId="44345"/>
    <cellStyle name="Note 4 6 3 3" xfId="33741"/>
    <cellStyle name="Note 4 6 4" xfId="18046"/>
    <cellStyle name="Note 4 6 4 2" xfId="39233"/>
    <cellStyle name="Note 4 6 5" xfId="28416"/>
    <cellStyle name="Note 4 6_Table 2A-1_EFT (Annual)" xfId="7484"/>
    <cellStyle name="Note 4 7" xfId="3680"/>
    <cellStyle name="Note 4 7 2" xfId="12053"/>
    <cellStyle name="Note 4 7 2 2" xfId="24084"/>
    <cellStyle name="Note 4 7 2 2 2" xfId="45270"/>
    <cellStyle name="Note 4 7 2 3" xfId="34666"/>
    <cellStyle name="Note 4 7 3" xfId="18971"/>
    <cellStyle name="Note 4 7 3 2" xfId="40158"/>
    <cellStyle name="Note 4 7 4" xfId="29390"/>
    <cellStyle name="Note 4 7_Table 2A-1_EFT (Annual)" xfId="15840"/>
    <cellStyle name="Note 4 8" xfId="9370"/>
    <cellStyle name="Note 4 8 2" xfId="21538"/>
    <cellStyle name="Note 4 8 2 2" xfId="42724"/>
    <cellStyle name="Note 4 8 3" xfId="32120"/>
    <cellStyle name="Note 4 9" xfId="16425"/>
    <cellStyle name="Note 4 9 2" xfId="37612"/>
    <cellStyle name="Note 4_Table 2A-1_EFT (Annual)" xfId="3304"/>
    <cellStyle name="Note 5" xfId="81"/>
    <cellStyle name="Note 5 10" xfId="21524"/>
    <cellStyle name="Note 5 10 2" xfId="42711"/>
    <cellStyle name="Note 5 11" xfId="26637"/>
    <cellStyle name="Note 5 2" xfId="480"/>
    <cellStyle name="Note 5 2 2" xfId="1457"/>
    <cellStyle name="Note 5 2 2 2" xfId="2727"/>
    <cellStyle name="Note 5 2 2 2 2" xfId="6288"/>
    <cellStyle name="Note 5 2 2 2 2 2" xfId="14482"/>
    <cellStyle name="Note 5 2 2 2 2 2 2" xfId="26454"/>
    <cellStyle name="Note 5 2 2 2 2 2 2 2" xfId="47640"/>
    <cellStyle name="Note 5 2 2 2 2 2 3" xfId="37036"/>
    <cellStyle name="Note 5 2 2 2 2 3" xfId="21341"/>
    <cellStyle name="Note 5 2 2 2 2 3 2" xfId="42528"/>
    <cellStyle name="Note 5 2 2 2 2 4" xfId="31944"/>
    <cellStyle name="Note 5 2 2 2 2_Table 2A-1_EFT (Annual)" xfId="15841"/>
    <cellStyle name="Note 5 2 2 2 3" xfId="11824"/>
    <cellStyle name="Note 5 2 2 2 3 2" xfId="23908"/>
    <cellStyle name="Note 5 2 2 2 3 2 2" xfId="45094"/>
    <cellStyle name="Note 5 2 2 2 3 3" xfId="34490"/>
    <cellStyle name="Note 5 2 2 2 4" xfId="18795"/>
    <cellStyle name="Note 5 2 2 2 4 2" xfId="39982"/>
    <cellStyle name="Note 5 2 2 2 5" xfId="29201"/>
    <cellStyle name="Note 5 2 2 2_Table 2A-1_EFT (Annual)" xfId="7486"/>
    <cellStyle name="Note 5 2 2 3" xfId="5018"/>
    <cellStyle name="Note 5 2 2 3 2" xfId="13278"/>
    <cellStyle name="Note 5 2 2 3 2 2" xfId="25284"/>
    <cellStyle name="Note 5 2 2 3 2 2 2" xfId="46470"/>
    <cellStyle name="Note 5 2 2 3 2 3" xfId="35866"/>
    <cellStyle name="Note 5 2 2 3 3" xfId="20171"/>
    <cellStyle name="Note 5 2 2 3 3 2" xfId="41358"/>
    <cellStyle name="Note 5 2 2 3 4" xfId="30675"/>
    <cellStyle name="Note 5 2 2 3_Table 2A-1_EFT (Annual)" xfId="15842"/>
    <cellStyle name="Note 5 2 2 4" xfId="10622"/>
    <cellStyle name="Note 5 2 2 4 2" xfId="22738"/>
    <cellStyle name="Note 5 2 2 4 2 2" xfId="43924"/>
    <cellStyle name="Note 5 2 2 4 3" xfId="33320"/>
    <cellStyle name="Note 5 2 2 5" xfId="17625"/>
    <cellStyle name="Note 5 2 2 5 2" xfId="38812"/>
    <cellStyle name="Note 5 2 2 6" xfId="27932"/>
    <cellStyle name="Note 5 2 2_Table 2A-1_EFT (Annual)" xfId="7485"/>
    <cellStyle name="Note 5 2 3" xfId="1000"/>
    <cellStyle name="Note 5 2 3 2" xfId="4561"/>
    <cellStyle name="Note 5 2 3 2 2" xfId="12821"/>
    <cellStyle name="Note 5 2 3 2 2 2" xfId="24827"/>
    <cellStyle name="Note 5 2 3 2 2 2 2" xfId="46013"/>
    <cellStyle name="Note 5 2 3 2 2 3" xfId="35409"/>
    <cellStyle name="Note 5 2 3 2 3" xfId="19714"/>
    <cellStyle name="Note 5 2 3 2 3 2" xfId="40901"/>
    <cellStyle name="Note 5 2 3 2 4" xfId="30218"/>
    <cellStyle name="Note 5 2 3 2_Table 2A-1_EFT (Annual)" xfId="15843"/>
    <cellStyle name="Note 5 2 3 3" xfId="10165"/>
    <cellStyle name="Note 5 2 3 3 2" xfId="22281"/>
    <cellStyle name="Note 5 2 3 3 2 2" xfId="43467"/>
    <cellStyle name="Note 5 2 3 3 3" xfId="32863"/>
    <cellStyle name="Note 5 2 3 4" xfId="17168"/>
    <cellStyle name="Note 5 2 3 4 2" xfId="38355"/>
    <cellStyle name="Note 5 2 3 5" xfId="27475"/>
    <cellStyle name="Note 5 2 3_Table 2A-1_EFT (Annual)" xfId="7487"/>
    <cellStyle name="Note 5 2 4" xfId="2196"/>
    <cellStyle name="Note 5 2 4 2" xfId="5757"/>
    <cellStyle name="Note 5 2 4 2 2" xfId="13972"/>
    <cellStyle name="Note 5 2 4 2 2 2" xfId="25960"/>
    <cellStyle name="Note 5 2 4 2 2 2 2" xfId="47146"/>
    <cellStyle name="Note 5 2 4 2 2 3" xfId="36542"/>
    <cellStyle name="Note 5 2 4 2 3" xfId="20847"/>
    <cellStyle name="Note 5 2 4 2 3 2" xfId="42034"/>
    <cellStyle name="Note 5 2 4 2 4" xfId="31414"/>
    <cellStyle name="Note 5 2 4 2_Table 2A-1_EFT (Annual)" xfId="15844"/>
    <cellStyle name="Note 5 2 4 3" xfId="11316"/>
    <cellStyle name="Note 5 2 4 3 2" xfId="23414"/>
    <cellStyle name="Note 5 2 4 3 2 2" xfId="44600"/>
    <cellStyle name="Note 5 2 4 3 3" xfId="33996"/>
    <cellStyle name="Note 5 2 4 4" xfId="18301"/>
    <cellStyle name="Note 5 2 4 4 2" xfId="39488"/>
    <cellStyle name="Note 5 2 4 5" xfId="28671"/>
    <cellStyle name="Note 5 2 4_Table 2A-1_EFT (Annual)" xfId="7488"/>
    <cellStyle name="Note 5 2 5" xfId="4050"/>
    <cellStyle name="Note 5 2 5 2" xfId="12374"/>
    <cellStyle name="Note 5 2 5 2 2" xfId="24396"/>
    <cellStyle name="Note 5 2 5 2 2 2" xfId="45582"/>
    <cellStyle name="Note 5 2 5 2 3" xfId="34978"/>
    <cellStyle name="Note 5 2 5 3" xfId="19283"/>
    <cellStyle name="Note 5 2 5 3 2" xfId="40470"/>
    <cellStyle name="Note 5 2 5 4" xfId="29738"/>
    <cellStyle name="Note 5 2 5_Table 2A-1_EFT (Annual)" xfId="15845"/>
    <cellStyle name="Note 5 2 6" xfId="9713"/>
    <cellStyle name="Note 5 2 6 2" xfId="21850"/>
    <cellStyle name="Note 5 2 6 2 2" xfId="43036"/>
    <cellStyle name="Note 5 2 6 3" xfId="32432"/>
    <cellStyle name="Note 5 2 7" xfId="16737"/>
    <cellStyle name="Note 5 2 7 2" xfId="37924"/>
    <cellStyle name="Note 5 2 8" xfId="26995"/>
    <cellStyle name="Note 5 2_Table 2A-1_EFT (Annual)" xfId="3308"/>
    <cellStyle name="Note 5 3" xfId="313"/>
    <cellStyle name="Note 5 3 2" xfId="1301"/>
    <cellStyle name="Note 5 3 2 2" xfId="2571"/>
    <cellStyle name="Note 5 3 2 2 2" xfId="6132"/>
    <cellStyle name="Note 5 3 2 2 2 2" xfId="14326"/>
    <cellStyle name="Note 5 3 2 2 2 2 2" xfId="26298"/>
    <cellStyle name="Note 5 3 2 2 2 2 2 2" xfId="47484"/>
    <cellStyle name="Note 5 3 2 2 2 2 3" xfId="36880"/>
    <cellStyle name="Note 5 3 2 2 2 3" xfId="21185"/>
    <cellStyle name="Note 5 3 2 2 2 3 2" xfId="42372"/>
    <cellStyle name="Note 5 3 2 2 2 4" xfId="31788"/>
    <cellStyle name="Note 5 3 2 2 2_Table 2A-1_EFT (Annual)" xfId="15846"/>
    <cellStyle name="Note 5 3 2 2 3" xfId="11668"/>
    <cellStyle name="Note 5 3 2 2 3 2" xfId="23752"/>
    <cellStyle name="Note 5 3 2 2 3 2 2" xfId="44938"/>
    <cellStyle name="Note 5 3 2 2 3 3" xfId="34334"/>
    <cellStyle name="Note 5 3 2 2 4" xfId="18639"/>
    <cellStyle name="Note 5 3 2 2 4 2" xfId="39826"/>
    <cellStyle name="Note 5 3 2 2 5" xfId="29045"/>
    <cellStyle name="Note 5 3 2 2_Table 2A-1_EFT (Annual)" xfId="7490"/>
    <cellStyle name="Note 5 3 2 3" xfId="4862"/>
    <cellStyle name="Note 5 3 2 3 2" xfId="13122"/>
    <cellStyle name="Note 5 3 2 3 2 2" xfId="25128"/>
    <cellStyle name="Note 5 3 2 3 2 2 2" xfId="46314"/>
    <cellStyle name="Note 5 3 2 3 2 3" xfId="35710"/>
    <cellStyle name="Note 5 3 2 3 3" xfId="20015"/>
    <cellStyle name="Note 5 3 2 3 3 2" xfId="41202"/>
    <cellStyle name="Note 5 3 2 3 4" xfId="30519"/>
    <cellStyle name="Note 5 3 2 3_Table 2A-1_EFT (Annual)" xfId="15847"/>
    <cellStyle name="Note 5 3 2 4" xfId="10466"/>
    <cellStyle name="Note 5 3 2 4 2" xfId="22582"/>
    <cellStyle name="Note 5 3 2 4 2 2" xfId="43768"/>
    <cellStyle name="Note 5 3 2 4 3" xfId="33164"/>
    <cellStyle name="Note 5 3 2 5" xfId="17469"/>
    <cellStyle name="Note 5 3 2 5 2" xfId="38656"/>
    <cellStyle name="Note 5 3 2 6" xfId="27776"/>
    <cellStyle name="Note 5 3 2_Table 2A-1_EFT (Annual)" xfId="7489"/>
    <cellStyle name="Note 5 3 3" xfId="863"/>
    <cellStyle name="Note 5 3 3 2" xfId="4424"/>
    <cellStyle name="Note 5 3 3 2 2" xfId="12689"/>
    <cellStyle name="Note 5 3 3 2 2 2" xfId="24701"/>
    <cellStyle name="Note 5 3 3 2 2 2 2" xfId="45887"/>
    <cellStyle name="Note 5 3 3 2 2 3" xfId="35283"/>
    <cellStyle name="Note 5 3 3 2 3" xfId="19588"/>
    <cellStyle name="Note 5 3 3 2 3 2" xfId="40775"/>
    <cellStyle name="Note 5 3 3 2 4" xfId="30081"/>
    <cellStyle name="Note 5 3 3 2_Table 2A-1_EFT (Annual)" xfId="15848"/>
    <cellStyle name="Note 5 3 3 3" xfId="10036"/>
    <cellStyle name="Note 5 3 3 3 2" xfId="22155"/>
    <cellStyle name="Note 5 3 3 3 2 2" xfId="43341"/>
    <cellStyle name="Note 5 3 3 3 3" xfId="32737"/>
    <cellStyle name="Note 5 3 3 4" xfId="17042"/>
    <cellStyle name="Note 5 3 3 4 2" xfId="38229"/>
    <cellStyle name="Note 5 3 3 5" xfId="27338"/>
    <cellStyle name="Note 5 3 3_Table 2A-1_EFT (Annual)" xfId="7491"/>
    <cellStyle name="Note 5 3 4" xfId="2040"/>
    <cellStyle name="Note 5 3 4 2" xfId="5601"/>
    <cellStyle name="Note 5 3 4 2 2" xfId="13816"/>
    <cellStyle name="Note 5 3 4 2 2 2" xfId="25804"/>
    <cellStyle name="Note 5 3 4 2 2 2 2" xfId="46990"/>
    <cellStyle name="Note 5 3 4 2 2 3" xfId="36386"/>
    <cellStyle name="Note 5 3 4 2 3" xfId="20691"/>
    <cellStyle name="Note 5 3 4 2 3 2" xfId="41878"/>
    <cellStyle name="Note 5 3 4 2 4" xfId="31258"/>
    <cellStyle name="Note 5 3 4 2_Table 2A-1_EFT (Annual)" xfId="15849"/>
    <cellStyle name="Note 5 3 4 3" xfId="11160"/>
    <cellStyle name="Note 5 3 4 3 2" xfId="23258"/>
    <cellStyle name="Note 5 3 4 3 2 2" xfId="44444"/>
    <cellStyle name="Note 5 3 4 3 3" xfId="33840"/>
    <cellStyle name="Note 5 3 4 4" xfId="18145"/>
    <cellStyle name="Note 5 3 4 4 2" xfId="39332"/>
    <cellStyle name="Note 5 3 4 5" xfId="28515"/>
    <cellStyle name="Note 5 3 4_Table 2A-1_EFT (Annual)" xfId="7492"/>
    <cellStyle name="Note 5 3 5" xfId="3883"/>
    <cellStyle name="Note 5 3 5 2" xfId="12215"/>
    <cellStyle name="Note 5 3 5 2 2" xfId="24240"/>
    <cellStyle name="Note 5 3 5 2 2 2" xfId="45426"/>
    <cellStyle name="Note 5 3 5 2 3" xfId="34822"/>
    <cellStyle name="Note 5 3 5 3" xfId="19127"/>
    <cellStyle name="Note 5 3 5 3 2" xfId="40314"/>
    <cellStyle name="Note 5 3 5 4" xfId="29571"/>
    <cellStyle name="Note 5 3 5_Table 2A-1_EFT (Annual)" xfId="15850"/>
    <cellStyle name="Note 5 3 6" xfId="9552"/>
    <cellStyle name="Note 5 3 6 2" xfId="21694"/>
    <cellStyle name="Note 5 3 6 2 2" xfId="42880"/>
    <cellStyle name="Note 5 3 6 3" xfId="32276"/>
    <cellStyle name="Note 5 3 7" xfId="16581"/>
    <cellStyle name="Note 5 3 7 2" xfId="37768"/>
    <cellStyle name="Note 5 3 8" xfId="26828"/>
    <cellStyle name="Note 5 3_Table 2A-1_EFT (Annual)" xfId="3309"/>
    <cellStyle name="Note 5 4" xfId="1135"/>
    <cellStyle name="Note 5 4 2" xfId="2405"/>
    <cellStyle name="Note 5 4 2 2" xfId="5966"/>
    <cellStyle name="Note 5 4 2 2 2" xfId="14160"/>
    <cellStyle name="Note 5 4 2 2 2 2" xfId="26132"/>
    <cellStyle name="Note 5 4 2 2 2 2 2" xfId="47318"/>
    <cellStyle name="Note 5 4 2 2 2 3" xfId="36714"/>
    <cellStyle name="Note 5 4 2 2 3" xfId="21019"/>
    <cellStyle name="Note 5 4 2 2 3 2" xfId="42206"/>
    <cellStyle name="Note 5 4 2 2 4" xfId="31622"/>
    <cellStyle name="Note 5 4 2 2_Table 2A-1_EFT (Annual)" xfId="15851"/>
    <cellStyle name="Note 5 4 2 3" xfId="11502"/>
    <cellStyle name="Note 5 4 2 3 2" xfId="23586"/>
    <cellStyle name="Note 5 4 2 3 2 2" xfId="44772"/>
    <cellStyle name="Note 5 4 2 3 3" xfId="34168"/>
    <cellStyle name="Note 5 4 2 4" xfId="18473"/>
    <cellStyle name="Note 5 4 2 4 2" xfId="39660"/>
    <cellStyle name="Note 5 4 2 5" xfId="28879"/>
    <cellStyle name="Note 5 4 2_Table 2A-1_EFT (Annual)" xfId="7494"/>
    <cellStyle name="Note 5 4 3" xfId="4696"/>
    <cellStyle name="Note 5 4 3 2" xfId="12956"/>
    <cellStyle name="Note 5 4 3 2 2" xfId="24962"/>
    <cellStyle name="Note 5 4 3 2 2 2" xfId="46148"/>
    <cellStyle name="Note 5 4 3 2 3" xfId="35544"/>
    <cellStyle name="Note 5 4 3 3" xfId="19849"/>
    <cellStyle name="Note 5 4 3 3 2" xfId="41036"/>
    <cellStyle name="Note 5 4 3 4" xfId="30353"/>
    <cellStyle name="Note 5 4 3_Table 2A-1_EFT (Annual)" xfId="15852"/>
    <cellStyle name="Note 5 4 4" xfId="10300"/>
    <cellStyle name="Note 5 4 4 2" xfId="22416"/>
    <cellStyle name="Note 5 4 4 2 2" xfId="43602"/>
    <cellStyle name="Note 5 4 4 3" xfId="32998"/>
    <cellStyle name="Note 5 4 5" xfId="17303"/>
    <cellStyle name="Note 5 4 5 2" xfId="38490"/>
    <cellStyle name="Note 5 4 6" xfId="27610"/>
    <cellStyle name="Note 5 4_Table 2A-1_EFT (Annual)" xfId="7493"/>
    <cellStyle name="Note 5 5" xfId="704"/>
    <cellStyle name="Note 5 5 2" xfId="4265"/>
    <cellStyle name="Note 5 5 2 2" xfId="12549"/>
    <cellStyle name="Note 5 5 2 2 2" xfId="24567"/>
    <cellStyle name="Note 5 5 2 2 2 2" xfId="45753"/>
    <cellStyle name="Note 5 5 2 2 3" xfId="35149"/>
    <cellStyle name="Note 5 5 2 3" xfId="19454"/>
    <cellStyle name="Note 5 5 2 3 2" xfId="40641"/>
    <cellStyle name="Note 5 5 2 4" xfId="29922"/>
    <cellStyle name="Note 5 5 2_Table 2A-1_EFT (Annual)" xfId="15853"/>
    <cellStyle name="Note 5 5 3" xfId="9896"/>
    <cellStyle name="Note 5 5 3 2" xfId="22021"/>
    <cellStyle name="Note 5 5 3 2 2" xfId="43207"/>
    <cellStyle name="Note 5 5 3 3" xfId="32603"/>
    <cellStyle name="Note 5 5 4" xfId="16908"/>
    <cellStyle name="Note 5 5 4 2" xfId="38095"/>
    <cellStyle name="Note 5 5 5" xfId="27179"/>
    <cellStyle name="Note 5 5_Table 2A-1_EFT (Annual)" xfId="7495"/>
    <cellStyle name="Note 5 6" xfId="1943"/>
    <cellStyle name="Note 5 6 2" xfId="5504"/>
    <cellStyle name="Note 5 6 2 2" xfId="13719"/>
    <cellStyle name="Note 5 6 2 2 2" xfId="25707"/>
    <cellStyle name="Note 5 6 2 2 2 2" xfId="46893"/>
    <cellStyle name="Note 5 6 2 2 3" xfId="36289"/>
    <cellStyle name="Note 5 6 2 3" xfId="20594"/>
    <cellStyle name="Note 5 6 2 3 2" xfId="41781"/>
    <cellStyle name="Note 5 6 2 4" xfId="31161"/>
    <cellStyle name="Note 5 6 2_Table 2A-1_EFT (Annual)" xfId="15854"/>
    <cellStyle name="Note 5 6 3" xfId="11063"/>
    <cellStyle name="Note 5 6 3 2" xfId="23161"/>
    <cellStyle name="Note 5 6 3 2 2" xfId="44347"/>
    <cellStyle name="Note 5 6 3 3" xfId="33743"/>
    <cellStyle name="Note 5 6 4" xfId="18048"/>
    <cellStyle name="Note 5 6 4 2" xfId="39235"/>
    <cellStyle name="Note 5 6 5" xfId="28418"/>
    <cellStyle name="Note 5 6_Table 2A-1_EFT (Annual)" xfId="7496"/>
    <cellStyle name="Note 5 7" xfId="3670"/>
    <cellStyle name="Note 5 7 2" xfId="12043"/>
    <cellStyle name="Note 5 7 2 2" xfId="24074"/>
    <cellStyle name="Note 5 7 2 2 2" xfId="45260"/>
    <cellStyle name="Note 5 7 2 3" xfId="34656"/>
    <cellStyle name="Note 5 7 3" xfId="18961"/>
    <cellStyle name="Note 5 7 3 2" xfId="40148"/>
    <cellStyle name="Note 5 7 4" xfId="29380"/>
    <cellStyle name="Note 5 7_Table 2A-1_EFT (Annual)" xfId="15855"/>
    <cellStyle name="Note 5 8" xfId="9360"/>
    <cellStyle name="Note 5 8 2" xfId="21528"/>
    <cellStyle name="Note 5 8 2 2" xfId="42714"/>
    <cellStyle name="Note 5 8 3" xfId="32110"/>
    <cellStyle name="Note 5 9" xfId="16415"/>
    <cellStyle name="Note 5 9 2" xfId="37602"/>
    <cellStyle name="Note 5_Table 2A-1_EFT (Annual)" xfId="3307"/>
    <cellStyle name="Note 6" xfId="89"/>
    <cellStyle name="Note 6 10" xfId="26645"/>
    <cellStyle name="Note 6 2" xfId="488"/>
    <cellStyle name="Note 6 2 2" xfId="1465"/>
    <cellStyle name="Note 6 2 2 2" xfId="2735"/>
    <cellStyle name="Note 6 2 2 2 2" xfId="6296"/>
    <cellStyle name="Note 6 2 2 2 2 2" xfId="14490"/>
    <cellStyle name="Note 6 2 2 2 2 2 2" xfId="26462"/>
    <cellStyle name="Note 6 2 2 2 2 2 2 2" xfId="47648"/>
    <cellStyle name="Note 6 2 2 2 2 2 3" xfId="37044"/>
    <cellStyle name="Note 6 2 2 2 2 3" xfId="21349"/>
    <cellStyle name="Note 6 2 2 2 2 3 2" xfId="42536"/>
    <cellStyle name="Note 6 2 2 2 2 4" xfId="31952"/>
    <cellStyle name="Note 6 2 2 2 2_Table 2A-1_EFT (Annual)" xfId="15856"/>
    <cellStyle name="Note 6 2 2 2 3" xfId="11832"/>
    <cellStyle name="Note 6 2 2 2 3 2" xfId="23916"/>
    <cellStyle name="Note 6 2 2 2 3 2 2" xfId="45102"/>
    <cellStyle name="Note 6 2 2 2 3 3" xfId="34498"/>
    <cellStyle name="Note 6 2 2 2 4" xfId="18803"/>
    <cellStyle name="Note 6 2 2 2 4 2" xfId="39990"/>
    <cellStyle name="Note 6 2 2 2 5" xfId="29209"/>
    <cellStyle name="Note 6 2 2 2_Table 2A-1_EFT (Annual)" xfId="7498"/>
    <cellStyle name="Note 6 2 2 3" xfId="5026"/>
    <cellStyle name="Note 6 2 2 3 2" xfId="13286"/>
    <cellStyle name="Note 6 2 2 3 2 2" xfId="25292"/>
    <cellStyle name="Note 6 2 2 3 2 2 2" xfId="46478"/>
    <cellStyle name="Note 6 2 2 3 2 3" xfId="35874"/>
    <cellStyle name="Note 6 2 2 3 3" xfId="20179"/>
    <cellStyle name="Note 6 2 2 3 3 2" xfId="41366"/>
    <cellStyle name="Note 6 2 2 3 4" xfId="30683"/>
    <cellStyle name="Note 6 2 2 3_Table 2A-1_EFT (Annual)" xfId="15857"/>
    <cellStyle name="Note 6 2 2 4" xfId="10630"/>
    <cellStyle name="Note 6 2 2 4 2" xfId="22746"/>
    <cellStyle name="Note 6 2 2 4 2 2" xfId="43932"/>
    <cellStyle name="Note 6 2 2 4 3" xfId="33328"/>
    <cellStyle name="Note 6 2 2 5" xfId="17633"/>
    <cellStyle name="Note 6 2 2 5 2" xfId="38820"/>
    <cellStyle name="Note 6 2 2 6" xfId="27940"/>
    <cellStyle name="Note 6 2 2_Table 2A-1_EFT (Annual)" xfId="7497"/>
    <cellStyle name="Note 6 2 3" xfId="1006"/>
    <cellStyle name="Note 6 2 3 2" xfId="4567"/>
    <cellStyle name="Note 6 2 3 2 2" xfId="12827"/>
    <cellStyle name="Note 6 2 3 2 2 2" xfId="24833"/>
    <cellStyle name="Note 6 2 3 2 2 2 2" xfId="46019"/>
    <cellStyle name="Note 6 2 3 2 2 3" xfId="35415"/>
    <cellStyle name="Note 6 2 3 2 3" xfId="19720"/>
    <cellStyle name="Note 6 2 3 2 3 2" xfId="40907"/>
    <cellStyle name="Note 6 2 3 2 4" xfId="30224"/>
    <cellStyle name="Note 6 2 3 2_Table 2A-1_EFT (Annual)" xfId="15858"/>
    <cellStyle name="Note 6 2 3 3" xfId="10171"/>
    <cellStyle name="Note 6 2 3 3 2" xfId="22287"/>
    <cellStyle name="Note 6 2 3 3 2 2" xfId="43473"/>
    <cellStyle name="Note 6 2 3 3 3" xfId="32869"/>
    <cellStyle name="Note 6 2 3 4" xfId="17174"/>
    <cellStyle name="Note 6 2 3 4 2" xfId="38361"/>
    <cellStyle name="Note 6 2 3 5" xfId="27481"/>
    <cellStyle name="Note 6 2 3_Table 2A-1_EFT (Annual)" xfId="7499"/>
    <cellStyle name="Note 6 2 4" xfId="2204"/>
    <cellStyle name="Note 6 2 4 2" xfId="5765"/>
    <cellStyle name="Note 6 2 4 2 2" xfId="13980"/>
    <cellStyle name="Note 6 2 4 2 2 2" xfId="25968"/>
    <cellStyle name="Note 6 2 4 2 2 2 2" xfId="47154"/>
    <cellStyle name="Note 6 2 4 2 2 3" xfId="36550"/>
    <cellStyle name="Note 6 2 4 2 3" xfId="20855"/>
    <cellStyle name="Note 6 2 4 2 3 2" xfId="42042"/>
    <cellStyle name="Note 6 2 4 2 4" xfId="31422"/>
    <cellStyle name="Note 6 2 4 2_Table 2A-1_EFT (Annual)" xfId="15859"/>
    <cellStyle name="Note 6 2 4 3" xfId="11324"/>
    <cellStyle name="Note 6 2 4 3 2" xfId="23422"/>
    <cellStyle name="Note 6 2 4 3 2 2" xfId="44608"/>
    <cellStyle name="Note 6 2 4 3 3" xfId="34004"/>
    <cellStyle name="Note 6 2 4 4" xfId="18309"/>
    <cellStyle name="Note 6 2 4 4 2" xfId="39496"/>
    <cellStyle name="Note 6 2 4 5" xfId="28679"/>
    <cellStyle name="Note 6 2 4_Table 2A-1_EFT (Annual)" xfId="7500"/>
    <cellStyle name="Note 6 2 5" xfId="4058"/>
    <cellStyle name="Note 6 2 5 2" xfId="12382"/>
    <cellStyle name="Note 6 2 5 2 2" xfId="24404"/>
    <cellStyle name="Note 6 2 5 2 2 2" xfId="45590"/>
    <cellStyle name="Note 6 2 5 2 3" xfId="34986"/>
    <cellStyle name="Note 6 2 5 3" xfId="19291"/>
    <cellStyle name="Note 6 2 5 3 2" xfId="40478"/>
    <cellStyle name="Note 6 2 5 4" xfId="29746"/>
    <cellStyle name="Note 6 2 5_Table 2A-1_EFT (Annual)" xfId="15860"/>
    <cellStyle name="Note 6 2 6" xfId="9721"/>
    <cellStyle name="Note 6 2 6 2" xfId="21858"/>
    <cellStyle name="Note 6 2 6 2 2" xfId="43044"/>
    <cellStyle name="Note 6 2 6 3" xfId="32440"/>
    <cellStyle name="Note 6 2 7" xfId="16745"/>
    <cellStyle name="Note 6 2 7 2" xfId="37932"/>
    <cellStyle name="Note 6 2 8" xfId="27003"/>
    <cellStyle name="Note 6 2_Table 2A-1_EFT (Annual)" xfId="3311"/>
    <cellStyle name="Note 6 3" xfId="321"/>
    <cellStyle name="Note 6 3 2" xfId="1309"/>
    <cellStyle name="Note 6 3 2 2" xfId="2579"/>
    <cellStyle name="Note 6 3 2 2 2" xfId="6140"/>
    <cellStyle name="Note 6 3 2 2 2 2" xfId="14334"/>
    <cellStyle name="Note 6 3 2 2 2 2 2" xfId="26306"/>
    <cellStyle name="Note 6 3 2 2 2 2 2 2" xfId="47492"/>
    <cellStyle name="Note 6 3 2 2 2 2 3" xfId="36888"/>
    <cellStyle name="Note 6 3 2 2 2 3" xfId="21193"/>
    <cellStyle name="Note 6 3 2 2 2 3 2" xfId="42380"/>
    <cellStyle name="Note 6 3 2 2 2 4" xfId="31796"/>
    <cellStyle name="Note 6 3 2 2 2_Table 2A-1_EFT (Annual)" xfId="15861"/>
    <cellStyle name="Note 6 3 2 2 3" xfId="11676"/>
    <cellStyle name="Note 6 3 2 2 3 2" xfId="23760"/>
    <cellStyle name="Note 6 3 2 2 3 2 2" xfId="44946"/>
    <cellStyle name="Note 6 3 2 2 3 3" xfId="34342"/>
    <cellStyle name="Note 6 3 2 2 4" xfId="18647"/>
    <cellStyle name="Note 6 3 2 2 4 2" xfId="39834"/>
    <cellStyle name="Note 6 3 2 2 5" xfId="29053"/>
    <cellStyle name="Note 6 3 2 2_Table 2A-1_EFT (Annual)" xfId="7502"/>
    <cellStyle name="Note 6 3 2 3" xfId="4870"/>
    <cellStyle name="Note 6 3 2 3 2" xfId="13130"/>
    <cellStyle name="Note 6 3 2 3 2 2" xfId="25136"/>
    <cellStyle name="Note 6 3 2 3 2 2 2" xfId="46322"/>
    <cellStyle name="Note 6 3 2 3 2 3" xfId="35718"/>
    <cellStyle name="Note 6 3 2 3 3" xfId="20023"/>
    <cellStyle name="Note 6 3 2 3 3 2" xfId="41210"/>
    <cellStyle name="Note 6 3 2 3 4" xfId="30527"/>
    <cellStyle name="Note 6 3 2 3_Table 2A-1_EFT (Annual)" xfId="15862"/>
    <cellStyle name="Note 6 3 2 4" xfId="10474"/>
    <cellStyle name="Note 6 3 2 4 2" xfId="22590"/>
    <cellStyle name="Note 6 3 2 4 2 2" xfId="43776"/>
    <cellStyle name="Note 6 3 2 4 3" xfId="33172"/>
    <cellStyle name="Note 6 3 2 5" xfId="17477"/>
    <cellStyle name="Note 6 3 2 5 2" xfId="38664"/>
    <cellStyle name="Note 6 3 2 6" xfId="27784"/>
    <cellStyle name="Note 6 3 2_Table 2A-1_EFT (Annual)" xfId="7501"/>
    <cellStyle name="Note 6 3 3" xfId="869"/>
    <cellStyle name="Note 6 3 3 2" xfId="4430"/>
    <cellStyle name="Note 6 3 3 2 2" xfId="12695"/>
    <cellStyle name="Note 6 3 3 2 2 2" xfId="24707"/>
    <cellStyle name="Note 6 3 3 2 2 2 2" xfId="45893"/>
    <cellStyle name="Note 6 3 3 2 2 3" xfId="35289"/>
    <cellStyle name="Note 6 3 3 2 3" xfId="19594"/>
    <cellStyle name="Note 6 3 3 2 3 2" xfId="40781"/>
    <cellStyle name="Note 6 3 3 2 4" xfId="30087"/>
    <cellStyle name="Note 6 3 3 2_Table 2A-1_EFT (Annual)" xfId="15863"/>
    <cellStyle name="Note 6 3 3 3" xfId="10042"/>
    <cellStyle name="Note 6 3 3 3 2" xfId="22161"/>
    <cellStyle name="Note 6 3 3 3 2 2" xfId="43347"/>
    <cellStyle name="Note 6 3 3 3 3" xfId="32743"/>
    <cellStyle name="Note 6 3 3 4" xfId="17048"/>
    <cellStyle name="Note 6 3 3 4 2" xfId="38235"/>
    <cellStyle name="Note 6 3 3 5" xfId="27344"/>
    <cellStyle name="Note 6 3 3_Table 2A-1_EFT (Annual)" xfId="7503"/>
    <cellStyle name="Note 6 3 4" xfId="2048"/>
    <cellStyle name="Note 6 3 4 2" xfId="5609"/>
    <cellStyle name="Note 6 3 4 2 2" xfId="13824"/>
    <cellStyle name="Note 6 3 4 2 2 2" xfId="25812"/>
    <cellStyle name="Note 6 3 4 2 2 2 2" xfId="46998"/>
    <cellStyle name="Note 6 3 4 2 2 3" xfId="36394"/>
    <cellStyle name="Note 6 3 4 2 3" xfId="20699"/>
    <cellStyle name="Note 6 3 4 2 3 2" xfId="41886"/>
    <cellStyle name="Note 6 3 4 2 4" xfId="31266"/>
    <cellStyle name="Note 6 3 4 2_Table 2A-1_EFT (Annual)" xfId="15864"/>
    <cellStyle name="Note 6 3 4 3" xfId="11168"/>
    <cellStyle name="Note 6 3 4 3 2" xfId="23266"/>
    <cellStyle name="Note 6 3 4 3 2 2" xfId="44452"/>
    <cellStyle name="Note 6 3 4 3 3" xfId="33848"/>
    <cellStyle name="Note 6 3 4 4" xfId="18153"/>
    <cellStyle name="Note 6 3 4 4 2" xfId="39340"/>
    <cellStyle name="Note 6 3 4 5" xfId="28523"/>
    <cellStyle name="Note 6 3 4_Table 2A-1_EFT (Annual)" xfId="7504"/>
    <cellStyle name="Note 6 3 5" xfId="3891"/>
    <cellStyle name="Note 6 3 5 2" xfId="12223"/>
    <cellStyle name="Note 6 3 5 2 2" xfId="24248"/>
    <cellStyle name="Note 6 3 5 2 2 2" xfId="45434"/>
    <cellStyle name="Note 6 3 5 2 3" xfId="34830"/>
    <cellStyle name="Note 6 3 5 3" xfId="19135"/>
    <cellStyle name="Note 6 3 5 3 2" xfId="40322"/>
    <cellStyle name="Note 6 3 5 4" xfId="29579"/>
    <cellStyle name="Note 6 3 5_Table 2A-1_EFT (Annual)" xfId="15865"/>
    <cellStyle name="Note 6 3 6" xfId="9560"/>
    <cellStyle name="Note 6 3 6 2" xfId="21702"/>
    <cellStyle name="Note 6 3 6 2 2" xfId="42888"/>
    <cellStyle name="Note 6 3 6 3" xfId="32284"/>
    <cellStyle name="Note 6 3 7" xfId="16589"/>
    <cellStyle name="Note 6 3 7 2" xfId="37776"/>
    <cellStyle name="Note 6 3 8" xfId="26836"/>
    <cellStyle name="Note 6 3_Table 2A-1_EFT (Annual)" xfId="3312"/>
    <cellStyle name="Note 6 4" xfId="1143"/>
    <cellStyle name="Note 6 4 2" xfId="2413"/>
    <cellStyle name="Note 6 4 2 2" xfId="5974"/>
    <cellStyle name="Note 6 4 2 2 2" xfId="14168"/>
    <cellStyle name="Note 6 4 2 2 2 2" xfId="26140"/>
    <cellStyle name="Note 6 4 2 2 2 2 2" xfId="47326"/>
    <cellStyle name="Note 6 4 2 2 2 3" xfId="36722"/>
    <cellStyle name="Note 6 4 2 2 3" xfId="21027"/>
    <cellStyle name="Note 6 4 2 2 3 2" xfId="42214"/>
    <cellStyle name="Note 6 4 2 2 4" xfId="31630"/>
    <cellStyle name="Note 6 4 2 2_Table 2A-1_EFT (Annual)" xfId="15866"/>
    <cellStyle name="Note 6 4 2 3" xfId="11510"/>
    <cellStyle name="Note 6 4 2 3 2" xfId="23594"/>
    <cellStyle name="Note 6 4 2 3 2 2" xfId="44780"/>
    <cellStyle name="Note 6 4 2 3 3" xfId="34176"/>
    <cellStyle name="Note 6 4 2 4" xfId="18481"/>
    <cellStyle name="Note 6 4 2 4 2" xfId="39668"/>
    <cellStyle name="Note 6 4 2 5" xfId="28887"/>
    <cellStyle name="Note 6 4 2_Table 2A-1_EFT (Annual)" xfId="7506"/>
    <cellStyle name="Note 6 4 3" xfId="4704"/>
    <cellStyle name="Note 6 4 3 2" xfId="12964"/>
    <cellStyle name="Note 6 4 3 2 2" xfId="24970"/>
    <cellStyle name="Note 6 4 3 2 2 2" xfId="46156"/>
    <cellStyle name="Note 6 4 3 2 3" xfId="35552"/>
    <cellStyle name="Note 6 4 3 3" xfId="19857"/>
    <cellStyle name="Note 6 4 3 3 2" xfId="41044"/>
    <cellStyle name="Note 6 4 3 4" xfId="30361"/>
    <cellStyle name="Note 6 4 3_Table 2A-1_EFT (Annual)" xfId="15867"/>
    <cellStyle name="Note 6 4 4" xfId="10308"/>
    <cellStyle name="Note 6 4 4 2" xfId="22424"/>
    <cellStyle name="Note 6 4 4 2 2" xfId="43610"/>
    <cellStyle name="Note 6 4 4 3" xfId="33006"/>
    <cellStyle name="Note 6 4 5" xfId="17311"/>
    <cellStyle name="Note 6 4 5 2" xfId="38498"/>
    <cellStyle name="Note 6 4 6" xfId="27618"/>
    <cellStyle name="Note 6 4_Table 2A-1_EFT (Annual)" xfId="7505"/>
    <cellStyle name="Note 6 5" xfId="710"/>
    <cellStyle name="Note 6 5 2" xfId="4271"/>
    <cellStyle name="Note 6 5 2 2" xfId="12555"/>
    <cellStyle name="Note 6 5 2 2 2" xfId="24573"/>
    <cellStyle name="Note 6 5 2 2 2 2" xfId="45759"/>
    <cellStyle name="Note 6 5 2 2 3" xfId="35155"/>
    <cellStyle name="Note 6 5 2 3" xfId="19460"/>
    <cellStyle name="Note 6 5 2 3 2" xfId="40647"/>
    <cellStyle name="Note 6 5 2 4" xfId="29928"/>
    <cellStyle name="Note 6 5 2_Table 2A-1_EFT (Annual)" xfId="15868"/>
    <cellStyle name="Note 6 5 3" xfId="9902"/>
    <cellStyle name="Note 6 5 3 2" xfId="22027"/>
    <cellStyle name="Note 6 5 3 2 2" xfId="43213"/>
    <cellStyle name="Note 6 5 3 3" xfId="32609"/>
    <cellStyle name="Note 6 5 4" xfId="16914"/>
    <cellStyle name="Note 6 5 4 2" xfId="38101"/>
    <cellStyle name="Note 6 5 5" xfId="27185"/>
    <cellStyle name="Note 6 5_Table 2A-1_EFT (Annual)" xfId="7507"/>
    <cellStyle name="Note 6 6" xfId="1819"/>
    <cellStyle name="Note 6 6 2" xfId="5380"/>
    <cellStyle name="Note 6 6 2 2" xfId="13595"/>
    <cellStyle name="Note 6 6 2 2 2" xfId="25583"/>
    <cellStyle name="Note 6 6 2 2 2 2" xfId="46769"/>
    <cellStyle name="Note 6 6 2 2 3" xfId="36165"/>
    <cellStyle name="Note 6 6 2 3" xfId="20470"/>
    <cellStyle name="Note 6 6 2 3 2" xfId="41657"/>
    <cellStyle name="Note 6 6 2 4" xfId="31037"/>
    <cellStyle name="Note 6 6 2_Table 2A-1_EFT (Annual)" xfId="15869"/>
    <cellStyle name="Note 6 6 3" xfId="10939"/>
    <cellStyle name="Note 6 6 3 2" xfId="23037"/>
    <cellStyle name="Note 6 6 3 2 2" xfId="44223"/>
    <cellStyle name="Note 6 6 3 3" xfId="33619"/>
    <cellStyle name="Note 6 6 4" xfId="17924"/>
    <cellStyle name="Note 6 6 4 2" xfId="39111"/>
    <cellStyle name="Note 6 6 5" xfId="28294"/>
    <cellStyle name="Note 6 6_Table 2A-1_EFT (Annual)" xfId="7508"/>
    <cellStyle name="Note 6 7" xfId="3678"/>
    <cellStyle name="Note 6 7 2" xfId="12051"/>
    <cellStyle name="Note 6 7 2 2" xfId="24082"/>
    <cellStyle name="Note 6 7 2 2 2" xfId="45268"/>
    <cellStyle name="Note 6 7 2 3" xfId="34664"/>
    <cellStyle name="Note 6 7 3" xfId="18969"/>
    <cellStyle name="Note 6 7 3 2" xfId="40156"/>
    <cellStyle name="Note 6 7 4" xfId="29388"/>
    <cellStyle name="Note 6 7_Table 2A-1_EFT (Annual)" xfId="15870"/>
    <cellStyle name="Note 6 8" xfId="9368"/>
    <cellStyle name="Note 6 8 2" xfId="21536"/>
    <cellStyle name="Note 6 8 2 2" xfId="42722"/>
    <cellStyle name="Note 6 8 3" xfId="32118"/>
    <cellStyle name="Note 6 9" xfId="16423"/>
    <cellStyle name="Note 6 9 2" xfId="37610"/>
    <cellStyle name="Note 6_Table 2A-1_EFT (Annual)" xfId="3310"/>
    <cellStyle name="Note 7" xfId="108"/>
    <cellStyle name="Note 7 10" xfId="26663"/>
    <cellStyle name="Note 7 2" xfId="501"/>
    <cellStyle name="Note 7 2 2" xfId="1478"/>
    <cellStyle name="Note 7 2 2 2" xfId="2748"/>
    <cellStyle name="Note 7 2 2 2 2" xfId="6309"/>
    <cellStyle name="Note 7 2 2 2 2 2" xfId="14503"/>
    <cellStyle name="Note 7 2 2 2 2 2 2" xfId="26475"/>
    <cellStyle name="Note 7 2 2 2 2 2 2 2" xfId="47661"/>
    <cellStyle name="Note 7 2 2 2 2 2 3" xfId="37057"/>
    <cellStyle name="Note 7 2 2 2 2 3" xfId="21362"/>
    <cellStyle name="Note 7 2 2 2 2 3 2" xfId="42549"/>
    <cellStyle name="Note 7 2 2 2 2 4" xfId="31965"/>
    <cellStyle name="Note 7 2 2 2 2_Table 2A-1_EFT (Annual)" xfId="15871"/>
    <cellStyle name="Note 7 2 2 2 3" xfId="11845"/>
    <cellStyle name="Note 7 2 2 2 3 2" xfId="23929"/>
    <cellStyle name="Note 7 2 2 2 3 2 2" xfId="45115"/>
    <cellStyle name="Note 7 2 2 2 3 3" xfId="34511"/>
    <cellStyle name="Note 7 2 2 2 4" xfId="18816"/>
    <cellStyle name="Note 7 2 2 2 4 2" xfId="40003"/>
    <cellStyle name="Note 7 2 2 2 5" xfId="29222"/>
    <cellStyle name="Note 7 2 2 2_Table 2A-1_EFT (Annual)" xfId="7510"/>
    <cellStyle name="Note 7 2 2 3" xfId="5039"/>
    <cellStyle name="Note 7 2 2 3 2" xfId="13299"/>
    <cellStyle name="Note 7 2 2 3 2 2" xfId="25305"/>
    <cellStyle name="Note 7 2 2 3 2 2 2" xfId="46491"/>
    <cellStyle name="Note 7 2 2 3 2 3" xfId="35887"/>
    <cellStyle name="Note 7 2 2 3 3" xfId="20192"/>
    <cellStyle name="Note 7 2 2 3 3 2" xfId="41379"/>
    <cellStyle name="Note 7 2 2 3 4" xfId="30696"/>
    <cellStyle name="Note 7 2 2 3_Table 2A-1_EFT (Annual)" xfId="15872"/>
    <cellStyle name="Note 7 2 2 4" xfId="10643"/>
    <cellStyle name="Note 7 2 2 4 2" xfId="22759"/>
    <cellStyle name="Note 7 2 2 4 2 2" xfId="43945"/>
    <cellStyle name="Note 7 2 2 4 3" xfId="33341"/>
    <cellStyle name="Note 7 2 2 5" xfId="17646"/>
    <cellStyle name="Note 7 2 2 5 2" xfId="38833"/>
    <cellStyle name="Note 7 2 2 6" xfId="27953"/>
    <cellStyle name="Note 7 2 2_Table 2A-1_EFT (Annual)" xfId="7509"/>
    <cellStyle name="Note 7 2 3" xfId="1015"/>
    <cellStyle name="Note 7 2 3 2" xfId="4576"/>
    <cellStyle name="Note 7 2 3 2 2" xfId="12836"/>
    <cellStyle name="Note 7 2 3 2 2 2" xfId="24842"/>
    <cellStyle name="Note 7 2 3 2 2 2 2" xfId="46028"/>
    <cellStyle name="Note 7 2 3 2 2 3" xfId="35424"/>
    <cellStyle name="Note 7 2 3 2 3" xfId="19729"/>
    <cellStyle name="Note 7 2 3 2 3 2" xfId="40916"/>
    <cellStyle name="Note 7 2 3 2 4" xfId="30233"/>
    <cellStyle name="Note 7 2 3 2_Table 2A-1_EFT (Annual)" xfId="15873"/>
    <cellStyle name="Note 7 2 3 3" xfId="10180"/>
    <cellStyle name="Note 7 2 3 3 2" xfId="22296"/>
    <cellStyle name="Note 7 2 3 3 2 2" xfId="43482"/>
    <cellStyle name="Note 7 2 3 3 3" xfId="32878"/>
    <cellStyle name="Note 7 2 3 4" xfId="17183"/>
    <cellStyle name="Note 7 2 3 4 2" xfId="38370"/>
    <cellStyle name="Note 7 2 3 5" xfId="27490"/>
    <cellStyle name="Note 7 2 3_Table 2A-1_EFT (Annual)" xfId="7511"/>
    <cellStyle name="Note 7 2 4" xfId="2217"/>
    <cellStyle name="Note 7 2 4 2" xfId="5778"/>
    <cellStyle name="Note 7 2 4 2 2" xfId="13993"/>
    <cellStyle name="Note 7 2 4 2 2 2" xfId="25981"/>
    <cellStyle name="Note 7 2 4 2 2 2 2" xfId="47167"/>
    <cellStyle name="Note 7 2 4 2 2 3" xfId="36563"/>
    <cellStyle name="Note 7 2 4 2 3" xfId="20868"/>
    <cellStyle name="Note 7 2 4 2 3 2" xfId="42055"/>
    <cellStyle name="Note 7 2 4 2 4" xfId="31435"/>
    <cellStyle name="Note 7 2 4 2_Table 2A-1_EFT (Annual)" xfId="15874"/>
    <cellStyle name="Note 7 2 4 3" xfId="11337"/>
    <cellStyle name="Note 7 2 4 3 2" xfId="23435"/>
    <cellStyle name="Note 7 2 4 3 2 2" xfId="44621"/>
    <cellStyle name="Note 7 2 4 3 3" xfId="34017"/>
    <cellStyle name="Note 7 2 4 4" xfId="18322"/>
    <cellStyle name="Note 7 2 4 4 2" xfId="39509"/>
    <cellStyle name="Note 7 2 4 5" xfId="28692"/>
    <cellStyle name="Note 7 2 4_Table 2A-1_EFT (Annual)" xfId="7512"/>
    <cellStyle name="Note 7 2 5" xfId="4071"/>
    <cellStyle name="Note 7 2 5 2" xfId="12395"/>
    <cellStyle name="Note 7 2 5 2 2" xfId="24417"/>
    <cellStyle name="Note 7 2 5 2 2 2" xfId="45603"/>
    <cellStyle name="Note 7 2 5 2 3" xfId="34999"/>
    <cellStyle name="Note 7 2 5 3" xfId="19304"/>
    <cellStyle name="Note 7 2 5 3 2" xfId="40491"/>
    <cellStyle name="Note 7 2 5 4" xfId="29759"/>
    <cellStyle name="Note 7 2 5_Table 2A-1_EFT (Annual)" xfId="15875"/>
    <cellStyle name="Note 7 2 6" xfId="9734"/>
    <cellStyle name="Note 7 2 6 2" xfId="21871"/>
    <cellStyle name="Note 7 2 6 2 2" xfId="43057"/>
    <cellStyle name="Note 7 2 6 3" xfId="32453"/>
    <cellStyle name="Note 7 2 7" xfId="16758"/>
    <cellStyle name="Note 7 2 7 2" xfId="37945"/>
    <cellStyle name="Note 7 2 8" xfId="27016"/>
    <cellStyle name="Note 7 2_Table 2A-1_EFT (Annual)" xfId="3314"/>
    <cellStyle name="Note 7 3" xfId="339"/>
    <cellStyle name="Note 7 3 2" xfId="1322"/>
    <cellStyle name="Note 7 3 2 2" xfId="2592"/>
    <cellStyle name="Note 7 3 2 2 2" xfId="6153"/>
    <cellStyle name="Note 7 3 2 2 2 2" xfId="14347"/>
    <cellStyle name="Note 7 3 2 2 2 2 2" xfId="26319"/>
    <cellStyle name="Note 7 3 2 2 2 2 2 2" xfId="47505"/>
    <cellStyle name="Note 7 3 2 2 2 2 3" xfId="36901"/>
    <cellStyle name="Note 7 3 2 2 2 3" xfId="21206"/>
    <cellStyle name="Note 7 3 2 2 2 3 2" xfId="42393"/>
    <cellStyle name="Note 7 3 2 2 2 4" xfId="31809"/>
    <cellStyle name="Note 7 3 2 2 2_Table 2A-1_EFT (Annual)" xfId="15876"/>
    <cellStyle name="Note 7 3 2 2 3" xfId="11689"/>
    <cellStyle name="Note 7 3 2 2 3 2" xfId="23773"/>
    <cellStyle name="Note 7 3 2 2 3 2 2" xfId="44959"/>
    <cellStyle name="Note 7 3 2 2 3 3" xfId="34355"/>
    <cellStyle name="Note 7 3 2 2 4" xfId="18660"/>
    <cellStyle name="Note 7 3 2 2 4 2" xfId="39847"/>
    <cellStyle name="Note 7 3 2 2 5" xfId="29066"/>
    <cellStyle name="Note 7 3 2 2_Table 2A-1_EFT (Annual)" xfId="7514"/>
    <cellStyle name="Note 7 3 2 3" xfId="4883"/>
    <cellStyle name="Note 7 3 2 3 2" xfId="13143"/>
    <cellStyle name="Note 7 3 2 3 2 2" xfId="25149"/>
    <cellStyle name="Note 7 3 2 3 2 2 2" xfId="46335"/>
    <cellStyle name="Note 7 3 2 3 2 3" xfId="35731"/>
    <cellStyle name="Note 7 3 2 3 3" xfId="20036"/>
    <cellStyle name="Note 7 3 2 3 3 2" xfId="41223"/>
    <cellStyle name="Note 7 3 2 3 4" xfId="30540"/>
    <cellStyle name="Note 7 3 2 3_Table 2A-1_EFT (Annual)" xfId="15877"/>
    <cellStyle name="Note 7 3 2 4" xfId="10487"/>
    <cellStyle name="Note 7 3 2 4 2" xfId="22603"/>
    <cellStyle name="Note 7 3 2 4 2 2" xfId="43789"/>
    <cellStyle name="Note 7 3 2 4 3" xfId="33185"/>
    <cellStyle name="Note 7 3 2 5" xfId="17490"/>
    <cellStyle name="Note 7 3 2 5 2" xfId="38677"/>
    <cellStyle name="Note 7 3 2 6" xfId="27797"/>
    <cellStyle name="Note 7 3 2_Table 2A-1_EFT (Annual)" xfId="7513"/>
    <cellStyle name="Note 7 3 3" xfId="883"/>
    <cellStyle name="Note 7 3 3 2" xfId="4444"/>
    <cellStyle name="Note 7 3 3 2 2" xfId="12706"/>
    <cellStyle name="Note 7 3 3 2 2 2" xfId="24716"/>
    <cellStyle name="Note 7 3 3 2 2 2 2" xfId="45902"/>
    <cellStyle name="Note 7 3 3 2 2 3" xfId="35298"/>
    <cellStyle name="Note 7 3 3 2 3" xfId="19603"/>
    <cellStyle name="Note 7 3 3 2 3 2" xfId="40790"/>
    <cellStyle name="Note 7 3 3 2 4" xfId="30101"/>
    <cellStyle name="Note 7 3 3 2_Table 2A-1_EFT (Annual)" xfId="15878"/>
    <cellStyle name="Note 7 3 3 3" xfId="10053"/>
    <cellStyle name="Note 7 3 3 3 2" xfId="22170"/>
    <cellStyle name="Note 7 3 3 3 2 2" xfId="43356"/>
    <cellStyle name="Note 7 3 3 3 3" xfId="32752"/>
    <cellStyle name="Note 7 3 3 4" xfId="17057"/>
    <cellStyle name="Note 7 3 3 4 2" xfId="38244"/>
    <cellStyle name="Note 7 3 3 5" xfId="27358"/>
    <cellStyle name="Note 7 3 3_Table 2A-1_EFT (Annual)" xfId="7515"/>
    <cellStyle name="Note 7 3 4" xfId="2061"/>
    <cellStyle name="Note 7 3 4 2" xfId="5622"/>
    <cellStyle name="Note 7 3 4 2 2" xfId="13837"/>
    <cellStyle name="Note 7 3 4 2 2 2" xfId="25825"/>
    <cellStyle name="Note 7 3 4 2 2 2 2" xfId="47011"/>
    <cellStyle name="Note 7 3 4 2 2 3" xfId="36407"/>
    <cellStyle name="Note 7 3 4 2 3" xfId="20712"/>
    <cellStyle name="Note 7 3 4 2 3 2" xfId="41899"/>
    <cellStyle name="Note 7 3 4 2 4" xfId="31279"/>
    <cellStyle name="Note 7 3 4 2_Table 2A-1_EFT (Annual)" xfId="15879"/>
    <cellStyle name="Note 7 3 4 3" xfId="11181"/>
    <cellStyle name="Note 7 3 4 3 2" xfId="23279"/>
    <cellStyle name="Note 7 3 4 3 2 2" xfId="44465"/>
    <cellStyle name="Note 7 3 4 3 3" xfId="33861"/>
    <cellStyle name="Note 7 3 4 4" xfId="18166"/>
    <cellStyle name="Note 7 3 4 4 2" xfId="39353"/>
    <cellStyle name="Note 7 3 4 5" xfId="28536"/>
    <cellStyle name="Note 7 3 4_Table 2A-1_EFT (Annual)" xfId="7516"/>
    <cellStyle name="Note 7 3 5" xfId="3909"/>
    <cellStyle name="Note 7 3 5 2" xfId="12237"/>
    <cellStyle name="Note 7 3 5 2 2" xfId="24261"/>
    <cellStyle name="Note 7 3 5 2 2 2" xfId="45447"/>
    <cellStyle name="Note 7 3 5 2 3" xfId="34843"/>
    <cellStyle name="Note 7 3 5 3" xfId="19148"/>
    <cellStyle name="Note 7 3 5 3 2" xfId="40335"/>
    <cellStyle name="Note 7 3 5 4" xfId="29597"/>
    <cellStyle name="Note 7 3 5_Table 2A-1_EFT (Annual)" xfId="15880"/>
    <cellStyle name="Note 7 3 6" xfId="9574"/>
    <cellStyle name="Note 7 3 6 2" xfId="21715"/>
    <cellStyle name="Note 7 3 6 2 2" xfId="42901"/>
    <cellStyle name="Note 7 3 6 3" xfId="32297"/>
    <cellStyle name="Note 7 3 7" xfId="16602"/>
    <cellStyle name="Note 7 3 7 2" xfId="37789"/>
    <cellStyle name="Note 7 3 8" xfId="26854"/>
    <cellStyle name="Note 7 3_Table 2A-1_EFT (Annual)" xfId="3315"/>
    <cellStyle name="Note 7 4" xfId="1156"/>
    <cellStyle name="Note 7 4 2" xfId="2426"/>
    <cellStyle name="Note 7 4 2 2" xfId="5987"/>
    <cellStyle name="Note 7 4 2 2 2" xfId="14181"/>
    <cellStyle name="Note 7 4 2 2 2 2" xfId="26153"/>
    <cellStyle name="Note 7 4 2 2 2 2 2" xfId="47339"/>
    <cellStyle name="Note 7 4 2 2 2 3" xfId="36735"/>
    <cellStyle name="Note 7 4 2 2 3" xfId="21040"/>
    <cellStyle name="Note 7 4 2 2 3 2" xfId="42227"/>
    <cellStyle name="Note 7 4 2 2 4" xfId="31643"/>
    <cellStyle name="Note 7 4 2 2_Table 2A-1_EFT (Annual)" xfId="15881"/>
    <cellStyle name="Note 7 4 2 3" xfId="11523"/>
    <cellStyle name="Note 7 4 2 3 2" xfId="23607"/>
    <cellStyle name="Note 7 4 2 3 2 2" xfId="44793"/>
    <cellStyle name="Note 7 4 2 3 3" xfId="34189"/>
    <cellStyle name="Note 7 4 2 4" xfId="18494"/>
    <cellStyle name="Note 7 4 2 4 2" xfId="39681"/>
    <cellStyle name="Note 7 4 2 5" xfId="28900"/>
    <cellStyle name="Note 7 4 2_Table 2A-1_EFT (Annual)" xfId="7518"/>
    <cellStyle name="Note 7 4 3" xfId="4717"/>
    <cellStyle name="Note 7 4 3 2" xfId="12977"/>
    <cellStyle name="Note 7 4 3 2 2" xfId="24983"/>
    <cellStyle name="Note 7 4 3 2 2 2" xfId="46169"/>
    <cellStyle name="Note 7 4 3 2 3" xfId="35565"/>
    <cellStyle name="Note 7 4 3 3" xfId="19870"/>
    <cellStyle name="Note 7 4 3 3 2" xfId="41057"/>
    <cellStyle name="Note 7 4 3 4" xfId="30374"/>
    <cellStyle name="Note 7 4 3_Table 2A-1_EFT (Annual)" xfId="15882"/>
    <cellStyle name="Note 7 4 4" xfId="10321"/>
    <cellStyle name="Note 7 4 4 2" xfId="22437"/>
    <cellStyle name="Note 7 4 4 2 2" xfId="43623"/>
    <cellStyle name="Note 7 4 4 3" xfId="33019"/>
    <cellStyle name="Note 7 4 5" xfId="17324"/>
    <cellStyle name="Note 7 4 5 2" xfId="38511"/>
    <cellStyle name="Note 7 4 6" xfId="27631"/>
    <cellStyle name="Note 7 4_Table 2A-1_EFT (Annual)" xfId="7517"/>
    <cellStyle name="Note 7 5" xfId="724"/>
    <cellStyle name="Note 7 5 2" xfId="4285"/>
    <cellStyle name="Note 7 5 2 2" xfId="12565"/>
    <cellStyle name="Note 7 5 2 2 2" xfId="24582"/>
    <cellStyle name="Note 7 5 2 2 2 2" xfId="45768"/>
    <cellStyle name="Note 7 5 2 2 3" xfId="35164"/>
    <cellStyle name="Note 7 5 2 3" xfId="19469"/>
    <cellStyle name="Note 7 5 2 3 2" xfId="40656"/>
    <cellStyle name="Note 7 5 2 4" xfId="29942"/>
    <cellStyle name="Note 7 5 2_Table 2A-1_EFT (Annual)" xfId="15883"/>
    <cellStyle name="Note 7 5 3" xfId="9913"/>
    <cellStyle name="Note 7 5 3 2" xfId="22036"/>
    <cellStyle name="Note 7 5 3 2 2" xfId="43222"/>
    <cellStyle name="Note 7 5 3 3" xfId="32618"/>
    <cellStyle name="Note 7 5 4" xfId="16923"/>
    <cellStyle name="Note 7 5 4 2" xfId="38110"/>
    <cellStyle name="Note 7 5 5" xfId="27199"/>
    <cellStyle name="Note 7 5_Table 2A-1_EFT (Annual)" xfId="7519"/>
    <cellStyle name="Note 7 6" xfId="1870"/>
    <cellStyle name="Note 7 6 2" xfId="5431"/>
    <cellStyle name="Note 7 6 2 2" xfId="13646"/>
    <cellStyle name="Note 7 6 2 2 2" xfId="25634"/>
    <cellStyle name="Note 7 6 2 2 2 2" xfId="46820"/>
    <cellStyle name="Note 7 6 2 2 3" xfId="36216"/>
    <cellStyle name="Note 7 6 2 3" xfId="20521"/>
    <cellStyle name="Note 7 6 2 3 2" xfId="41708"/>
    <cellStyle name="Note 7 6 2 4" xfId="31088"/>
    <cellStyle name="Note 7 6 2_Table 2A-1_EFT (Annual)" xfId="15884"/>
    <cellStyle name="Note 7 6 3" xfId="10990"/>
    <cellStyle name="Note 7 6 3 2" xfId="23088"/>
    <cellStyle name="Note 7 6 3 2 2" xfId="44274"/>
    <cellStyle name="Note 7 6 3 3" xfId="33670"/>
    <cellStyle name="Note 7 6 4" xfId="17975"/>
    <cellStyle name="Note 7 6 4 2" xfId="39162"/>
    <cellStyle name="Note 7 6 5" xfId="28345"/>
    <cellStyle name="Note 7 6_Table 2A-1_EFT (Annual)" xfId="7520"/>
    <cellStyle name="Note 7 7" xfId="3697"/>
    <cellStyle name="Note 7 7 2" xfId="12065"/>
    <cellStyle name="Note 7 7 2 2" xfId="24095"/>
    <cellStyle name="Note 7 7 2 2 2" xfId="45281"/>
    <cellStyle name="Note 7 7 2 3" xfId="34677"/>
    <cellStyle name="Note 7 7 3" xfId="18982"/>
    <cellStyle name="Note 7 7 3 2" xfId="40169"/>
    <cellStyle name="Note 7 7 4" xfId="29406"/>
    <cellStyle name="Note 7 7_Table 2A-1_EFT (Annual)" xfId="15885"/>
    <cellStyle name="Note 7 8" xfId="9384"/>
    <cellStyle name="Note 7 8 2" xfId="21549"/>
    <cellStyle name="Note 7 8 2 2" xfId="42735"/>
    <cellStyle name="Note 7 8 3" xfId="32131"/>
    <cellStyle name="Note 7 9" xfId="16436"/>
    <cellStyle name="Note 7 9 2" xfId="37623"/>
    <cellStyle name="Note 7_Table 2A-1_EFT (Annual)" xfId="3313"/>
    <cellStyle name="Note 8" xfId="130"/>
    <cellStyle name="Note 8 10" xfId="26685"/>
    <cellStyle name="Note 8 2" xfId="523"/>
    <cellStyle name="Note 8 2 2" xfId="1500"/>
    <cellStyle name="Note 8 2 2 2" xfId="2770"/>
    <cellStyle name="Note 8 2 2 2 2" xfId="6331"/>
    <cellStyle name="Note 8 2 2 2 2 2" xfId="14525"/>
    <cellStyle name="Note 8 2 2 2 2 2 2" xfId="26497"/>
    <cellStyle name="Note 8 2 2 2 2 2 2 2" xfId="47683"/>
    <cellStyle name="Note 8 2 2 2 2 2 3" xfId="37079"/>
    <cellStyle name="Note 8 2 2 2 2 3" xfId="21384"/>
    <cellStyle name="Note 8 2 2 2 2 3 2" xfId="42571"/>
    <cellStyle name="Note 8 2 2 2 2 4" xfId="31987"/>
    <cellStyle name="Note 8 2 2 2 2_Table 2A-1_EFT (Annual)" xfId="15886"/>
    <cellStyle name="Note 8 2 2 2 3" xfId="11867"/>
    <cellStyle name="Note 8 2 2 2 3 2" xfId="23951"/>
    <cellStyle name="Note 8 2 2 2 3 2 2" xfId="45137"/>
    <cellStyle name="Note 8 2 2 2 3 3" xfId="34533"/>
    <cellStyle name="Note 8 2 2 2 4" xfId="18838"/>
    <cellStyle name="Note 8 2 2 2 4 2" xfId="40025"/>
    <cellStyle name="Note 8 2 2 2 5" xfId="29244"/>
    <cellStyle name="Note 8 2 2 2_Table 2A-1_EFT (Annual)" xfId="7522"/>
    <cellStyle name="Note 8 2 2 3" xfId="5061"/>
    <cellStyle name="Note 8 2 2 3 2" xfId="13321"/>
    <cellStyle name="Note 8 2 2 3 2 2" xfId="25327"/>
    <cellStyle name="Note 8 2 2 3 2 2 2" xfId="46513"/>
    <cellStyle name="Note 8 2 2 3 2 3" xfId="35909"/>
    <cellStyle name="Note 8 2 2 3 3" xfId="20214"/>
    <cellStyle name="Note 8 2 2 3 3 2" xfId="41401"/>
    <cellStyle name="Note 8 2 2 3 4" xfId="30718"/>
    <cellStyle name="Note 8 2 2 3_Table 2A-1_EFT (Annual)" xfId="15887"/>
    <cellStyle name="Note 8 2 2 4" xfId="10665"/>
    <cellStyle name="Note 8 2 2 4 2" xfId="22781"/>
    <cellStyle name="Note 8 2 2 4 2 2" xfId="43967"/>
    <cellStyle name="Note 8 2 2 4 3" xfId="33363"/>
    <cellStyle name="Note 8 2 2 5" xfId="17668"/>
    <cellStyle name="Note 8 2 2 5 2" xfId="38855"/>
    <cellStyle name="Note 8 2 2 6" xfId="27975"/>
    <cellStyle name="Note 8 2 2_Table 2A-1_EFT (Annual)" xfId="7521"/>
    <cellStyle name="Note 8 2 3" xfId="1033"/>
    <cellStyle name="Note 8 2 3 2" xfId="4594"/>
    <cellStyle name="Note 8 2 3 2 2" xfId="12854"/>
    <cellStyle name="Note 8 2 3 2 2 2" xfId="24860"/>
    <cellStyle name="Note 8 2 3 2 2 2 2" xfId="46046"/>
    <cellStyle name="Note 8 2 3 2 2 3" xfId="35442"/>
    <cellStyle name="Note 8 2 3 2 3" xfId="19747"/>
    <cellStyle name="Note 8 2 3 2 3 2" xfId="40934"/>
    <cellStyle name="Note 8 2 3 2 4" xfId="30251"/>
    <cellStyle name="Note 8 2 3 2_Table 2A-1_EFT (Annual)" xfId="15888"/>
    <cellStyle name="Note 8 2 3 3" xfId="10198"/>
    <cellStyle name="Note 8 2 3 3 2" xfId="22314"/>
    <cellStyle name="Note 8 2 3 3 2 2" xfId="43500"/>
    <cellStyle name="Note 8 2 3 3 3" xfId="32896"/>
    <cellStyle name="Note 8 2 3 4" xfId="17201"/>
    <cellStyle name="Note 8 2 3 4 2" xfId="38388"/>
    <cellStyle name="Note 8 2 3 5" xfId="27508"/>
    <cellStyle name="Note 8 2 3_Table 2A-1_EFT (Annual)" xfId="7523"/>
    <cellStyle name="Note 8 2 4" xfId="2239"/>
    <cellStyle name="Note 8 2 4 2" xfId="5800"/>
    <cellStyle name="Note 8 2 4 2 2" xfId="14015"/>
    <cellStyle name="Note 8 2 4 2 2 2" xfId="26003"/>
    <cellStyle name="Note 8 2 4 2 2 2 2" xfId="47189"/>
    <cellStyle name="Note 8 2 4 2 2 3" xfId="36585"/>
    <cellStyle name="Note 8 2 4 2 3" xfId="20890"/>
    <cellStyle name="Note 8 2 4 2 3 2" xfId="42077"/>
    <cellStyle name="Note 8 2 4 2 4" xfId="31457"/>
    <cellStyle name="Note 8 2 4 2_Table 2A-1_EFT (Annual)" xfId="15889"/>
    <cellStyle name="Note 8 2 4 3" xfId="11359"/>
    <cellStyle name="Note 8 2 4 3 2" xfId="23457"/>
    <cellStyle name="Note 8 2 4 3 2 2" xfId="44643"/>
    <cellStyle name="Note 8 2 4 3 3" xfId="34039"/>
    <cellStyle name="Note 8 2 4 4" xfId="18344"/>
    <cellStyle name="Note 8 2 4 4 2" xfId="39531"/>
    <cellStyle name="Note 8 2 4 5" xfId="28714"/>
    <cellStyle name="Note 8 2 4_Table 2A-1_EFT (Annual)" xfId="7524"/>
    <cellStyle name="Note 8 2 5" xfId="4093"/>
    <cellStyle name="Note 8 2 5 2" xfId="12417"/>
    <cellStyle name="Note 8 2 5 2 2" xfId="24439"/>
    <cellStyle name="Note 8 2 5 2 2 2" xfId="45625"/>
    <cellStyle name="Note 8 2 5 2 3" xfId="35021"/>
    <cellStyle name="Note 8 2 5 3" xfId="19326"/>
    <cellStyle name="Note 8 2 5 3 2" xfId="40513"/>
    <cellStyle name="Note 8 2 5 4" xfId="29781"/>
    <cellStyle name="Note 8 2 5_Table 2A-1_EFT (Annual)" xfId="15890"/>
    <cellStyle name="Note 8 2 6" xfId="9756"/>
    <cellStyle name="Note 8 2 6 2" xfId="21893"/>
    <cellStyle name="Note 8 2 6 2 2" xfId="43079"/>
    <cellStyle name="Note 8 2 6 3" xfId="32475"/>
    <cellStyle name="Note 8 2 7" xfId="16780"/>
    <cellStyle name="Note 8 2 7 2" xfId="37967"/>
    <cellStyle name="Note 8 2 8" xfId="27038"/>
    <cellStyle name="Note 8 2_Table 2A-1_EFT (Annual)" xfId="3317"/>
    <cellStyle name="Note 8 3" xfId="361"/>
    <cellStyle name="Note 8 3 2" xfId="1344"/>
    <cellStyle name="Note 8 3 2 2" xfId="2614"/>
    <cellStyle name="Note 8 3 2 2 2" xfId="6175"/>
    <cellStyle name="Note 8 3 2 2 2 2" xfId="14369"/>
    <cellStyle name="Note 8 3 2 2 2 2 2" xfId="26341"/>
    <cellStyle name="Note 8 3 2 2 2 2 2 2" xfId="47527"/>
    <cellStyle name="Note 8 3 2 2 2 2 3" xfId="36923"/>
    <cellStyle name="Note 8 3 2 2 2 3" xfId="21228"/>
    <cellStyle name="Note 8 3 2 2 2 3 2" xfId="42415"/>
    <cellStyle name="Note 8 3 2 2 2 4" xfId="31831"/>
    <cellStyle name="Note 8 3 2 2 2_Table 2A-1_EFT (Annual)" xfId="15891"/>
    <cellStyle name="Note 8 3 2 2 3" xfId="11711"/>
    <cellStyle name="Note 8 3 2 2 3 2" xfId="23795"/>
    <cellStyle name="Note 8 3 2 2 3 2 2" xfId="44981"/>
    <cellStyle name="Note 8 3 2 2 3 3" xfId="34377"/>
    <cellStyle name="Note 8 3 2 2 4" xfId="18682"/>
    <cellStyle name="Note 8 3 2 2 4 2" xfId="39869"/>
    <cellStyle name="Note 8 3 2 2 5" xfId="29088"/>
    <cellStyle name="Note 8 3 2 2_Table 2A-1_EFT (Annual)" xfId="7526"/>
    <cellStyle name="Note 8 3 2 3" xfId="4905"/>
    <cellStyle name="Note 8 3 2 3 2" xfId="13165"/>
    <cellStyle name="Note 8 3 2 3 2 2" xfId="25171"/>
    <cellStyle name="Note 8 3 2 3 2 2 2" xfId="46357"/>
    <cellStyle name="Note 8 3 2 3 2 3" xfId="35753"/>
    <cellStyle name="Note 8 3 2 3 3" xfId="20058"/>
    <cellStyle name="Note 8 3 2 3 3 2" xfId="41245"/>
    <cellStyle name="Note 8 3 2 3 4" xfId="30562"/>
    <cellStyle name="Note 8 3 2 3_Table 2A-1_EFT (Annual)" xfId="15892"/>
    <cellStyle name="Note 8 3 2 4" xfId="10509"/>
    <cellStyle name="Note 8 3 2 4 2" xfId="22625"/>
    <cellStyle name="Note 8 3 2 4 2 2" xfId="43811"/>
    <cellStyle name="Note 8 3 2 4 3" xfId="33207"/>
    <cellStyle name="Note 8 3 2 5" xfId="17512"/>
    <cellStyle name="Note 8 3 2 5 2" xfId="38699"/>
    <cellStyle name="Note 8 3 2 6" xfId="27819"/>
    <cellStyle name="Note 8 3 2_Table 2A-1_EFT (Annual)" xfId="7525"/>
    <cellStyle name="Note 8 3 3" xfId="901"/>
    <cellStyle name="Note 8 3 3 2" xfId="4462"/>
    <cellStyle name="Note 8 3 3 2 2" xfId="12724"/>
    <cellStyle name="Note 8 3 3 2 2 2" xfId="24734"/>
    <cellStyle name="Note 8 3 3 2 2 2 2" xfId="45920"/>
    <cellStyle name="Note 8 3 3 2 2 3" xfId="35316"/>
    <cellStyle name="Note 8 3 3 2 3" xfId="19621"/>
    <cellStyle name="Note 8 3 3 2 3 2" xfId="40808"/>
    <cellStyle name="Note 8 3 3 2 4" xfId="30119"/>
    <cellStyle name="Note 8 3 3 2_Table 2A-1_EFT (Annual)" xfId="15893"/>
    <cellStyle name="Note 8 3 3 3" xfId="10071"/>
    <cellStyle name="Note 8 3 3 3 2" xfId="22188"/>
    <cellStyle name="Note 8 3 3 3 2 2" xfId="43374"/>
    <cellStyle name="Note 8 3 3 3 3" xfId="32770"/>
    <cellStyle name="Note 8 3 3 4" xfId="17075"/>
    <cellStyle name="Note 8 3 3 4 2" xfId="38262"/>
    <cellStyle name="Note 8 3 3 5" xfId="27376"/>
    <cellStyle name="Note 8 3 3_Table 2A-1_EFT (Annual)" xfId="7527"/>
    <cellStyle name="Note 8 3 4" xfId="2083"/>
    <cellStyle name="Note 8 3 4 2" xfId="5644"/>
    <cellStyle name="Note 8 3 4 2 2" xfId="13859"/>
    <cellStyle name="Note 8 3 4 2 2 2" xfId="25847"/>
    <cellStyle name="Note 8 3 4 2 2 2 2" xfId="47033"/>
    <cellStyle name="Note 8 3 4 2 2 3" xfId="36429"/>
    <cellStyle name="Note 8 3 4 2 3" xfId="20734"/>
    <cellStyle name="Note 8 3 4 2 3 2" xfId="41921"/>
    <cellStyle name="Note 8 3 4 2 4" xfId="31301"/>
    <cellStyle name="Note 8 3 4 2_Table 2A-1_EFT (Annual)" xfId="15894"/>
    <cellStyle name="Note 8 3 4 3" xfId="11203"/>
    <cellStyle name="Note 8 3 4 3 2" xfId="23301"/>
    <cellStyle name="Note 8 3 4 3 2 2" xfId="44487"/>
    <cellStyle name="Note 8 3 4 3 3" xfId="33883"/>
    <cellStyle name="Note 8 3 4 4" xfId="18188"/>
    <cellStyle name="Note 8 3 4 4 2" xfId="39375"/>
    <cellStyle name="Note 8 3 4 5" xfId="28558"/>
    <cellStyle name="Note 8 3 4_Table 2A-1_EFT (Annual)" xfId="7528"/>
    <cellStyle name="Note 8 3 5" xfId="3931"/>
    <cellStyle name="Note 8 3 5 2" xfId="12259"/>
    <cellStyle name="Note 8 3 5 2 2" xfId="24283"/>
    <cellStyle name="Note 8 3 5 2 2 2" xfId="45469"/>
    <cellStyle name="Note 8 3 5 2 3" xfId="34865"/>
    <cellStyle name="Note 8 3 5 3" xfId="19170"/>
    <cellStyle name="Note 8 3 5 3 2" xfId="40357"/>
    <cellStyle name="Note 8 3 5 4" xfId="29619"/>
    <cellStyle name="Note 8 3 5_Table 2A-1_EFT (Annual)" xfId="15895"/>
    <cellStyle name="Note 8 3 6" xfId="9596"/>
    <cellStyle name="Note 8 3 6 2" xfId="21737"/>
    <cellStyle name="Note 8 3 6 2 2" xfId="42923"/>
    <cellStyle name="Note 8 3 6 3" xfId="32319"/>
    <cellStyle name="Note 8 3 7" xfId="16624"/>
    <cellStyle name="Note 8 3 7 2" xfId="37811"/>
    <cellStyle name="Note 8 3 8" xfId="26876"/>
    <cellStyle name="Note 8 3_Table 2A-1_EFT (Annual)" xfId="3318"/>
    <cellStyle name="Note 8 4" xfId="1178"/>
    <cellStyle name="Note 8 4 2" xfId="2448"/>
    <cellStyle name="Note 8 4 2 2" xfId="6009"/>
    <cellStyle name="Note 8 4 2 2 2" xfId="14203"/>
    <cellStyle name="Note 8 4 2 2 2 2" xfId="26175"/>
    <cellStyle name="Note 8 4 2 2 2 2 2" xfId="47361"/>
    <cellStyle name="Note 8 4 2 2 2 3" xfId="36757"/>
    <cellStyle name="Note 8 4 2 2 3" xfId="21062"/>
    <cellStyle name="Note 8 4 2 2 3 2" xfId="42249"/>
    <cellStyle name="Note 8 4 2 2 4" xfId="31665"/>
    <cellStyle name="Note 8 4 2 2_Table 2A-1_EFT (Annual)" xfId="15896"/>
    <cellStyle name="Note 8 4 2 3" xfId="11545"/>
    <cellStyle name="Note 8 4 2 3 2" xfId="23629"/>
    <cellStyle name="Note 8 4 2 3 2 2" xfId="44815"/>
    <cellStyle name="Note 8 4 2 3 3" xfId="34211"/>
    <cellStyle name="Note 8 4 2 4" xfId="18516"/>
    <cellStyle name="Note 8 4 2 4 2" xfId="39703"/>
    <cellStyle name="Note 8 4 2 5" xfId="28922"/>
    <cellStyle name="Note 8 4 2_Table 2A-1_EFT (Annual)" xfId="7530"/>
    <cellStyle name="Note 8 4 3" xfId="4739"/>
    <cellStyle name="Note 8 4 3 2" xfId="12999"/>
    <cellStyle name="Note 8 4 3 2 2" xfId="25005"/>
    <cellStyle name="Note 8 4 3 2 2 2" xfId="46191"/>
    <cellStyle name="Note 8 4 3 2 3" xfId="35587"/>
    <cellStyle name="Note 8 4 3 3" xfId="19892"/>
    <cellStyle name="Note 8 4 3 3 2" xfId="41079"/>
    <cellStyle name="Note 8 4 3 4" xfId="30396"/>
    <cellStyle name="Note 8 4 3_Table 2A-1_EFT (Annual)" xfId="15897"/>
    <cellStyle name="Note 8 4 4" xfId="10343"/>
    <cellStyle name="Note 8 4 4 2" xfId="22459"/>
    <cellStyle name="Note 8 4 4 2 2" xfId="43645"/>
    <cellStyle name="Note 8 4 4 3" xfId="33041"/>
    <cellStyle name="Note 8 4 5" xfId="17346"/>
    <cellStyle name="Note 8 4 5 2" xfId="38533"/>
    <cellStyle name="Note 8 4 6" xfId="27653"/>
    <cellStyle name="Note 8 4_Table 2A-1_EFT (Annual)" xfId="7529"/>
    <cellStyle name="Note 8 5" xfId="742"/>
    <cellStyle name="Note 8 5 2" xfId="4303"/>
    <cellStyle name="Note 8 5 2 2" xfId="12583"/>
    <cellStyle name="Note 8 5 2 2 2" xfId="24600"/>
    <cellStyle name="Note 8 5 2 2 2 2" xfId="45786"/>
    <cellStyle name="Note 8 5 2 2 3" xfId="35182"/>
    <cellStyle name="Note 8 5 2 3" xfId="19487"/>
    <cellStyle name="Note 8 5 2 3 2" xfId="40674"/>
    <cellStyle name="Note 8 5 2 4" xfId="29960"/>
    <cellStyle name="Note 8 5 2_Table 2A-1_EFT (Annual)" xfId="15898"/>
    <cellStyle name="Note 8 5 3" xfId="9931"/>
    <cellStyle name="Note 8 5 3 2" xfId="22054"/>
    <cellStyle name="Note 8 5 3 2 2" xfId="43240"/>
    <cellStyle name="Note 8 5 3 3" xfId="32636"/>
    <cellStyle name="Note 8 5 4" xfId="16941"/>
    <cellStyle name="Note 8 5 4 2" xfId="38128"/>
    <cellStyle name="Note 8 5 5" xfId="27217"/>
    <cellStyle name="Note 8 5_Table 2A-1_EFT (Annual)" xfId="7531"/>
    <cellStyle name="Note 8 6" xfId="1859"/>
    <cellStyle name="Note 8 6 2" xfId="5420"/>
    <cellStyle name="Note 8 6 2 2" xfId="13635"/>
    <cellStyle name="Note 8 6 2 2 2" xfId="25623"/>
    <cellStyle name="Note 8 6 2 2 2 2" xfId="46809"/>
    <cellStyle name="Note 8 6 2 2 3" xfId="36205"/>
    <cellStyle name="Note 8 6 2 3" xfId="20510"/>
    <cellStyle name="Note 8 6 2 3 2" xfId="41697"/>
    <cellStyle name="Note 8 6 2 4" xfId="31077"/>
    <cellStyle name="Note 8 6 2_Table 2A-1_EFT (Annual)" xfId="15899"/>
    <cellStyle name="Note 8 6 3" xfId="10979"/>
    <cellStyle name="Note 8 6 3 2" xfId="23077"/>
    <cellStyle name="Note 8 6 3 2 2" xfId="44263"/>
    <cellStyle name="Note 8 6 3 3" xfId="33659"/>
    <cellStyle name="Note 8 6 4" xfId="17964"/>
    <cellStyle name="Note 8 6 4 2" xfId="39151"/>
    <cellStyle name="Note 8 6 5" xfId="28334"/>
    <cellStyle name="Note 8 6_Table 2A-1_EFT (Annual)" xfId="7532"/>
    <cellStyle name="Note 8 7" xfId="3719"/>
    <cellStyle name="Note 8 7 2" xfId="12087"/>
    <cellStyle name="Note 8 7 2 2" xfId="24117"/>
    <cellStyle name="Note 8 7 2 2 2" xfId="45303"/>
    <cellStyle name="Note 8 7 2 3" xfId="34699"/>
    <cellStyle name="Note 8 7 3" xfId="19004"/>
    <cellStyle name="Note 8 7 3 2" xfId="40191"/>
    <cellStyle name="Note 8 7 4" xfId="29428"/>
    <cellStyle name="Note 8 7_Table 2A-1_EFT (Annual)" xfId="15900"/>
    <cellStyle name="Note 8 8" xfId="9406"/>
    <cellStyle name="Note 8 8 2" xfId="21571"/>
    <cellStyle name="Note 8 8 2 2" xfId="42757"/>
    <cellStyle name="Note 8 8 3" xfId="32153"/>
    <cellStyle name="Note 8 9" xfId="16458"/>
    <cellStyle name="Note 8 9 2" xfId="37645"/>
    <cellStyle name="Note 8_Table 2A-1_EFT (Annual)" xfId="3316"/>
    <cellStyle name="Note 9" xfId="80"/>
    <cellStyle name="Note 9 10" xfId="26636"/>
    <cellStyle name="Note 9 2" xfId="479"/>
    <cellStyle name="Note 9 2 2" xfId="1456"/>
    <cellStyle name="Note 9 2 2 2" xfId="2726"/>
    <cellStyle name="Note 9 2 2 2 2" xfId="6287"/>
    <cellStyle name="Note 9 2 2 2 2 2" xfId="14481"/>
    <cellStyle name="Note 9 2 2 2 2 2 2" xfId="26453"/>
    <cellStyle name="Note 9 2 2 2 2 2 2 2" xfId="47639"/>
    <cellStyle name="Note 9 2 2 2 2 2 3" xfId="37035"/>
    <cellStyle name="Note 9 2 2 2 2 3" xfId="21340"/>
    <cellStyle name="Note 9 2 2 2 2 3 2" xfId="42527"/>
    <cellStyle name="Note 9 2 2 2 2 4" xfId="31943"/>
    <cellStyle name="Note 9 2 2 2 2_Table 2A-1_EFT (Annual)" xfId="15901"/>
    <cellStyle name="Note 9 2 2 2 3" xfId="11823"/>
    <cellStyle name="Note 9 2 2 2 3 2" xfId="23907"/>
    <cellStyle name="Note 9 2 2 2 3 2 2" xfId="45093"/>
    <cellStyle name="Note 9 2 2 2 3 3" xfId="34489"/>
    <cellStyle name="Note 9 2 2 2 4" xfId="18794"/>
    <cellStyle name="Note 9 2 2 2 4 2" xfId="39981"/>
    <cellStyle name="Note 9 2 2 2 5" xfId="29200"/>
    <cellStyle name="Note 9 2 2 2_Table 2A-1_EFT (Annual)" xfId="7534"/>
    <cellStyle name="Note 9 2 2 3" xfId="5017"/>
    <cellStyle name="Note 9 2 2 3 2" xfId="13277"/>
    <cellStyle name="Note 9 2 2 3 2 2" xfId="25283"/>
    <cellStyle name="Note 9 2 2 3 2 2 2" xfId="46469"/>
    <cellStyle name="Note 9 2 2 3 2 3" xfId="35865"/>
    <cellStyle name="Note 9 2 2 3 3" xfId="20170"/>
    <cellStyle name="Note 9 2 2 3 3 2" xfId="41357"/>
    <cellStyle name="Note 9 2 2 3 4" xfId="30674"/>
    <cellStyle name="Note 9 2 2 3_Table 2A-1_EFT (Annual)" xfId="15902"/>
    <cellStyle name="Note 9 2 2 4" xfId="10621"/>
    <cellStyle name="Note 9 2 2 4 2" xfId="22737"/>
    <cellStyle name="Note 9 2 2 4 2 2" xfId="43923"/>
    <cellStyle name="Note 9 2 2 4 3" xfId="33319"/>
    <cellStyle name="Note 9 2 2 5" xfId="17624"/>
    <cellStyle name="Note 9 2 2 5 2" xfId="38811"/>
    <cellStyle name="Note 9 2 2 6" xfId="27931"/>
    <cellStyle name="Note 9 2 2_Table 2A-1_EFT (Annual)" xfId="7533"/>
    <cellStyle name="Note 9 2 3" xfId="999"/>
    <cellStyle name="Note 9 2 3 2" xfId="4560"/>
    <cellStyle name="Note 9 2 3 2 2" xfId="12820"/>
    <cellStyle name="Note 9 2 3 2 2 2" xfId="24826"/>
    <cellStyle name="Note 9 2 3 2 2 2 2" xfId="46012"/>
    <cellStyle name="Note 9 2 3 2 2 3" xfId="35408"/>
    <cellStyle name="Note 9 2 3 2 3" xfId="19713"/>
    <cellStyle name="Note 9 2 3 2 3 2" xfId="40900"/>
    <cellStyle name="Note 9 2 3 2 4" xfId="30217"/>
    <cellStyle name="Note 9 2 3 2_Table 2A-1_EFT (Annual)" xfId="15903"/>
    <cellStyle name="Note 9 2 3 3" xfId="10164"/>
    <cellStyle name="Note 9 2 3 3 2" xfId="22280"/>
    <cellStyle name="Note 9 2 3 3 2 2" xfId="43466"/>
    <cellStyle name="Note 9 2 3 3 3" xfId="32862"/>
    <cellStyle name="Note 9 2 3 4" xfId="17167"/>
    <cellStyle name="Note 9 2 3 4 2" xfId="38354"/>
    <cellStyle name="Note 9 2 3 5" xfId="27474"/>
    <cellStyle name="Note 9 2 3_Table 2A-1_EFT (Annual)" xfId="7535"/>
    <cellStyle name="Note 9 2 4" xfId="2195"/>
    <cellStyle name="Note 9 2 4 2" xfId="5756"/>
    <cellStyle name="Note 9 2 4 2 2" xfId="13971"/>
    <cellStyle name="Note 9 2 4 2 2 2" xfId="25959"/>
    <cellStyle name="Note 9 2 4 2 2 2 2" xfId="47145"/>
    <cellStyle name="Note 9 2 4 2 2 3" xfId="36541"/>
    <cellStyle name="Note 9 2 4 2 3" xfId="20846"/>
    <cellStyle name="Note 9 2 4 2 3 2" xfId="42033"/>
    <cellStyle name="Note 9 2 4 2 4" xfId="31413"/>
    <cellStyle name="Note 9 2 4 2_Table 2A-1_EFT (Annual)" xfId="15904"/>
    <cellStyle name="Note 9 2 4 3" xfId="11315"/>
    <cellStyle name="Note 9 2 4 3 2" xfId="23413"/>
    <cellStyle name="Note 9 2 4 3 2 2" xfId="44599"/>
    <cellStyle name="Note 9 2 4 3 3" xfId="33995"/>
    <cellStyle name="Note 9 2 4 4" xfId="18300"/>
    <cellStyle name="Note 9 2 4 4 2" xfId="39487"/>
    <cellStyle name="Note 9 2 4 5" xfId="28670"/>
    <cellStyle name="Note 9 2 4_Table 2A-1_EFT (Annual)" xfId="7536"/>
    <cellStyle name="Note 9 2 5" xfId="4049"/>
    <cellStyle name="Note 9 2 5 2" xfId="12373"/>
    <cellStyle name="Note 9 2 5 2 2" xfId="24395"/>
    <cellStyle name="Note 9 2 5 2 2 2" xfId="45581"/>
    <cellStyle name="Note 9 2 5 2 3" xfId="34977"/>
    <cellStyle name="Note 9 2 5 3" xfId="19282"/>
    <cellStyle name="Note 9 2 5 3 2" xfId="40469"/>
    <cellStyle name="Note 9 2 5 4" xfId="29737"/>
    <cellStyle name="Note 9 2 5_Table 2A-1_EFT (Annual)" xfId="15905"/>
    <cellStyle name="Note 9 2 6" xfId="9712"/>
    <cellStyle name="Note 9 2 6 2" xfId="21849"/>
    <cellStyle name="Note 9 2 6 2 2" xfId="43035"/>
    <cellStyle name="Note 9 2 6 3" xfId="32431"/>
    <cellStyle name="Note 9 2 7" xfId="16736"/>
    <cellStyle name="Note 9 2 7 2" xfId="37923"/>
    <cellStyle name="Note 9 2 8" xfId="26994"/>
    <cellStyle name="Note 9 2_Table 2A-1_EFT (Annual)" xfId="3320"/>
    <cellStyle name="Note 9 3" xfId="312"/>
    <cellStyle name="Note 9 3 2" xfId="1300"/>
    <cellStyle name="Note 9 3 2 2" xfId="2570"/>
    <cellStyle name="Note 9 3 2 2 2" xfId="6131"/>
    <cellStyle name="Note 9 3 2 2 2 2" xfId="14325"/>
    <cellStyle name="Note 9 3 2 2 2 2 2" xfId="26297"/>
    <cellStyle name="Note 9 3 2 2 2 2 2 2" xfId="47483"/>
    <cellStyle name="Note 9 3 2 2 2 2 3" xfId="36879"/>
    <cellStyle name="Note 9 3 2 2 2 3" xfId="21184"/>
    <cellStyle name="Note 9 3 2 2 2 3 2" xfId="42371"/>
    <cellStyle name="Note 9 3 2 2 2 4" xfId="31787"/>
    <cellStyle name="Note 9 3 2 2 2_Table 2A-1_EFT (Annual)" xfId="15906"/>
    <cellStyle name="Note 9 3 2 2 3" xfId="11667"/>
    <cellStyle name="Note 9 3 2 2 3 2" xfId="23751"/>
    <cellStyle name="Note 9 3 2 2 3 2 2" xfId="44937"/>
    <cellStyle name="Note 9 3 2 2 3 3" xfId="34333"/>
    <cellStyle name="Note 9 3 2 2 4" xfId="18638"/>
    <cellStyle name="Note 9 3 2 2 4 2" xfId="39825"/>
    <cellStyle name="Note 9 3 2 2 5" xfId="29044"/>
    <cellStyle name="Note 9 3 2 2_Table 2A-1_EFT (Annual)" xfId="7538"/>
    <cellStyle name="Note 9 3 2 3" xfId="4861"/>
    <cellStyle name="Note 9 3 2 3 2" xfId="13121"/>
    <cellStyle name="Note 9 3 2 3 2 2" xfId="25127"/>
    <cellStyle name="Note 9 3 2 3 2 2 2" xfId="46313"/>
    <cellStyle name="Note 9 3 2 3 2 3" xfId="35709"/>
    <cellStyle name="Note 9 3 2 3 3" xfId="20014"/>
    <cellStyle name="Note 9 3 2 3 3 2" xfId="41201"/>
    <cellStyle name="Note 9 3 2 3 4" xfId="30518"/>
    <cellStyle name="Note 9 3 2 3_Table 2A-1_EFT (Annual)" xfId="15907"/>
    <cellStyle name="Note 9 3 2 4" xfId="10465"/>
    <cellStyle name="Note 9 3 2 4 2" xfId="22581"/>
    <cellStyle name="Note 9 3 2 4 2 2" xfId="43767"/>
    <cellStyle name="Note 9 3 2 4 3" xfId="33163"/>
    <cellStyle name="Note 9 3 2 5" xfId="17468"/>
    <cellStyle name="Note 9 3 2 5 2" xfId="38655"/>
    <cellStyle name="Note 9 3 2 6" xfId="27775"/>
    <cellStyle name="Note 9 3 2_Table 2A-1_EFT (Annual)" xfId="7537"/>
    <cellStyle name="Note 9 3 3" xfId="862"/>
    <cellStyle name="Note 9 3 3 2" xfId="4423"/>
    <cellStyle name="Note 9 3 3 2 2" xfId="12688"/>
    <cellStyle name="Note 9 3 3 2 2 2" xfId="24700"/>
    <cellStyle name="Note 9 3 3 2 2 2 2" xfId="45886"/>
    <cellStyle name="Note 9 3 3 2 2 3" xfId="35282"/>
    <cellStyle name="Note 9 3 3 2 3" xfId="19587"/>
    <cellStyle name="Note 9 3 3 2 3 2" xfId="40774"/>
    <cellStyle name="Note 9 3 3 2 4" xfId="30080"/>
    <cellStyle name="Note 9 3 3 2_Table 2A-1_EFT (Annual)" xfId="15908"/>
    <cellStyle name="Note 9 3 3 3" xfId="10035"/>
    <cellStyle name="Note 9 3 3 3 2" xfId="22154"/>
    <cellStyle name="Note 9 3 3 3 2 2" xfId="43340"/>
    <cellStyle name="Note 9 3 3 3 3" xfId="32736"/>
    <cellStyle name="Note 9 3 3 4" xfId="17041"/>
    <cellStyle name="Note 9 3 3 4 2" xfId="38228"/>
    <cellStyle name="Note 9 3 3 5" xfId="27337"/>
    <cellStyle name="Note 9 3 3_Table 2A-1_EFT (Annual)" xfId="7539"/>
    <cellStyle name="Note 9 3 4" xfId="2039"/>
    <cellStyle name="Note 9 3 4 2" xfId="5600"/>
    <cellStyle name="Note 9 3 4 2 2" xfId="13815"/>
    <cellStyle name="Note 9 3 4 2 2 2" xfId="25803"/>
    <cellStyle name="Note 9 3 4 2 2 2 2" xfId="46989"/>
    <cellStyle name="Note 9 3 4 2 2 3" xfId="36385"/>
    <cellStyle name="Note 9 3 4 2 3" xfId="20690"/>
    <cellStyle name="Note 9 3 4 2 3 2" xfId="41877"/>
    <cellStyle name="Note 9 3 4 2 4" xfId="31257"/>
    <cellStyle name="Note 9 3 4 2_Table 2A-1_EFT (Annual)" xfId="15909"/>
    <cellStyle name="Note 9 3 4 3" xfId="11159"/>
    <cellStyle name="Note 9 3 4 3 2" xfId="23257"/>
    <cellStyle name="Note 9 3 4 3 2 2" xfId="44443"/>
    <cellStyle name="Note 9 3 4 3 3" xfId="33839"/>
    <cellStyle name="Note 9 3 4 4" xfId="18144"/>
    <cellStyle name="Note 9 3 4 4 2" xfId="39331"/>
    <cellStyle name="Note 9 3 4 5" xfId="28514"/>
    <cellStyle name="Note 9 3 4_Table 2A-1_EFT (Annual)" xfId="7540"/>
    <cellStyle name="Note 9 3 5" xfId="3882"/>
    <cellStyle name="Note 9 3 5 2" xfId="12214"/>
    <cellStyle name="Note 9 3 5 2 2" xfId="24239"/>
    <cellStyle name="Note 9 3 5 2 2 2" xfId="45425"/>
    <cellStyle name="Note 9 3 5 2 3" xfId="34821"/>
    <cellStyle name="Note 9 3 5 3" xfId="19126"/>
    <cellStyle name="Note 9 3 5 3 2" xfId="40313"/>
    <cellStyle name="Note 9 3 5 4" xfId="29570"/>
    <cellStyle name="Note 9 3 5_Table 2A-1_EFT (Annual)" xfId="15910"/>
    <cellStyle name="Note 9 3 6" xfId="9551"/>
    <cellStyle name="Note 9 3 6 2" xfId="21693"/>
    <cellStyle name="Note 9 3 6 2 2" xfId="42879"/>
    <cellStyle name="Note 9 3 6 3" xfId="32275"/>
    <cellStyle name="Note 9 3 7" xfId="16580"/>
    <cellStyle name="Note 9 3 7 2" xfId="37767"/>
    <cellStyle name="Note 9 3 8" xfId="26827"/>
    <cellStyle name="Note 9 3_Table 2A-1_EFT (Annual)" xfId="3321"/>
    <cellStyle name="Note 9 4" xfId="1134"/>
    <cellStyle name="Note 9 4 2" xfId="2404"/>
    <cellStyle name="Note 9 4 2 2" xfId="5965"/>
    <cellStyle name="Note 9 4 2 2 2" xfId="14159"/>
    <cellStyle name="Note 9 4 2 2 2 2" xfId="26131"/>
    <cellStyle name="Note 9 4 2 2 2 2 2" xfId="47317"/>
    <cellStyle name="Note 9 4 2 2 2 3" xfId="36713"/>
    <cellStyle name="Note 9 4 2 2 3" xfId="21018"/>
    <cellStyle name="Note 9 4 2 2 3 2" xfId="42205"/>
    <cellStyle name="Note 9 4 2 2 4" xfId="31621"/>
    <cellStyle name="Note 9 4 2 2_Table 2A-1_EFT (Annual)" xfId="15911"/>
    <cellStyle name="Note 9 4 2 3" xfId="11501"/>
    <cellStyle name="Note 9 4 2 3 2" xfId="23585"/>
    <cellStyle name="Note 9 4 2 3 2 2" xfId="44771"/>
    <cellStyle name="Note 9 4 2 3 3" xfId="34167"/>
    <cellStyle name="Note 9 4 2 4" xfId="18472"/>
    <cellStyle name="Note 9 4 2 4 2" xfId="39659"/>
    <cellStyle name="Note 9 4 2 5" xfId="28878"/>
    <cellStyle name="Note 9 4 2_Table 2A-1_EFT (Annual)" xfId="7542"/>
    <cellStyle name="Note 9 4 3" xfId="4695"/>
    <cellStyle name="Note 9 4 3 2" xfId="12955"/>
    <cellStyle name="Note 9 4 3 2 2" xfId="24961"/>
    <cellStyle name="Note 9 4 3 2 2 2" xfId="46147"/>
    <cellStyle name="Note 9 4 3 2 3" xfId="35543"/>
    <cellStyle name="Note 9 4 3 3" xfId="19848"/>
    <cellStyle name="Note 9 4 3 3 2" xfId="41035"/>
    <cellStyle name="Note 9 4 3 4" xfId="30352"/>
    <cellStyle name="Note 9 4 3_Table 2A-1_EFT (Annual)" xfId="15912"/>
    <cellStyle name="Note 9 4 4" xfId="10299"/>
    <cellStyle name="Note 9 4 4 2" xfId="22415"/>
    <cellStyle name="Note 9 4 4 2 2" xfId="43601"/>
    <cellStyle name="Note 9 4 4 3" xfId="32997"/>
    <cellStyle name="Note 9 4 5" xfId="17302"/>
    <cellStyle name="Note 9 4 5 2" xfId="38489"/>
    <cellStyle name="Note 9 4 6" xfId="27609"/>
    <cellStyle name="Note 9 4_Table 2A-1_EFT (Annual)" xfId="7541"/>
    <cellStyle name="Note 9 5" xfId="703"/>
    <cellStyle name="Note 9 5 2" xfId="4264"/>
    <cellStyle name="Note 9 5 2 2" xfId="12548"/>
    <cellStyle name="Note 9 5 2 2 2" xfId="24566"/>
    <cellStyle name="Note 9 5 2 2 2 2" xfId="45752"/>
    <cellStyle name="Note 9 5 2 2 3" xfId="35148"/>
    <cellStyle name="Note 9 5 2 3" xfId="19453"/>
    <cellStyle name="Note 9 5 2 3 2" xfId="40640"/>
    <cellStyle name="Note 9 5 2 4" xfId="29921"/>
    <cellStyle name="Note 9 5 2_Table 2A-1_EFT (Annual)" xfId="15913"/>
    <cellStyle name="Note 9 5 3" xfId="9895"/>
    <cellStyle name="Note 9 5 3 2" xfId="22020"/>
    <cellStyle name="Note 9 5 3 2 2" xfId="43206"/>
    <cellStyle name="Note 9 5 3 3" xfId="32602"/>
    <cellStyle name="Note 9 5 4" xfId="16907"/>
    <cellStyle name="Note 9 5 4 2" xfId="38094"/>
    <cellStyle name="Note 9 5 5" xfId="27178"/>
    <cellStyle name="Note 9 5_Table 2A-1_EFT (Annual)" xfId="7543"/>
    <cellStyle name="Note 9 6" xfId="1871"/>
    <cellStyle name="Note 9 6 2" xfId="5432"/>
    <cellStyle name="Note 9 6 2 2" xfId="13647"/>
    <cellStyle name="Note 9 6 2 2 2" xfId="25635"/>
    <cellStyle name="Note 9 6 2 2 2 2" xfId="46821"/>
    <cellStyle name="Note 9 6 2 2 3" xfId="36217"/>
    <cellStyle name="Note 9 6 2 3" xfId="20522"/>
    <cellStyle name="Note 9 6 2 3 2" xfId="41709"/>
    <cellStyle name="Note 9 6 2 4" xfId="31089"/>
    <cellStyle name="Note 9 6 2_Table 2A-1_EFT (Annual)" xfId="15914"/>
    <cellStyle name="Note 9 6 3" xfId="10991"/>
    <cellStyle name="Note 9 6 3 2" xfId="23089"/>
    <cellStyle name="Note 9 6 3 2 2" xfId="44275"/>
    <cellStyle name="Note 9 6 3 3" xfId="33671"/>
    <cellStyle name="Note 9 6 4" xfId="17976"/>
    <cellStyle name="Note 9 6 4 2" xfId="39163"/>
    <cellStyle name="Note 9 6 5" xfId="28346"/>
    <cellStyle name="Note 9 6_Table 2A-1_EFT (Annual)" xfId="7544"/>
    <cellStyle name="Note 9 7" xfId="3669"/>
    <cellStyle name="Note 9 7 2" xfId="12042"/>
    <cellStyle name="Note 9 7 2 2" xfId="24073"/>
    <cellStyle name="Note 9 7 2 2 2" xfId="45259"/>
    <cellStyle name="Note 9 7 2 3" xfId="34655"/>
    <cellStyle name="Note 9 7 3" xfId="18960"/>
    <cellStyle name="Note 9 7 3 2" xfId="40147"/>
    <cellStyle name="Note 9 7 4" xfId="29379"/>
    <cellStyle name="Note 9 7_Table 2A-1_EFT (Annual)" xfId="15915"/>
    <cellStyle name="Note 9 8" xfId="9359"/>
    <cellStyle name="Note 9 8 2" xfId="21527"/>
    <cellStyle name="Note 9 8 2 2" xfId="42713"/>
    <cellStyle name="Note 9 8 3" xfId="32109"/>
    <cellStyle name="Note 9 9" xfId="16414"/>
    <cellStyle name="Note 9 9 2" xfId="37601"/>
    <cellStyle name="Note 9_Table 2A-1_EFT (Annual)" xfId="3319"/>
    <cellStyle name="Output" xfId="47" builtinId="21" customBuiltin="1"/>
    <cellStyle name="Output 10" xfId="137"/>
    <cellStyle name="Output 10 10" xfId="26692"/>
    <cellStyle name="Output 10 2" xfId="530"/>
    <cellStyle name="Output 10 2 2" xfId="1507"/>
    <cellStyle name="Output 10 2 2 2" xfId="2777"/>
    <cellStyle name="Output 10 2 2 2 2" xfId="6338"/>
    <cellStyle name="Output 10 2 2 2 2 2" xfId="14532"/>
    <cellStyle name="Output 10 2 2 2 2 2 2" xfId="26504"/>
    <cellStyle name="Output 10 2 2 2 2 2 2 2" xfId="47690"/>
    <cellStyle name="Output 10 2 2 2 2 2 3" xfId="37086"/>
    <cellStyle name="Output 10 2 2 2 2 3" xfId="21391"/>
    <cellStyle name="Output 10 2 2 2 2 3 2" xfId="42578"/>
    <cellStyle name="Output 10 2 2 2 2 4" xfId="31994"/>
    <cellStyle name="Output 10 2 2 2 2_Table 2A-1_EFT (Annual)" xfId="15916"/>
    <cellStyle name="Output 10 2 2 2 3" xfId="11874"/>
    <cellStyle name="Output 10 2 2 2 3 2" xfId="23958"/>
    <cellStyle name="Output 10 2 2 2 3 2 2" xfId="45144"/>
    <cellStyle name="Output 10 2 2 2 3 3" xfId="34540"/>
    <cellStyle name="Output 10 2 2 2 4" xfId="18845"/>
    <cellStyle name="Output 10 2 2 2 4 2" xfId="40032"/>
    <cellStyle name="Output 10 2 2 2 5" xfId="29251"/>
    <cellStyle name="Output 10 2 2 2_Table 2A-1_EFT (Annual)" xfId="7545"/>
    <cellStyle name="Output 10 2 2 3" xfId="1919"/>
    <cellStyle name="Output 10 2 2 3 2" xfId="5480"/>
    <cellStyle name="Output 10 2 2 3 2 2" xfId="13695"/>
    <cellStyle name="Output 10 2 2 3 2 2 2" xfId="25683"/>
    <cellStyle name="Output 10 2 2 3 2 2 2 2" xfId="46869"/>
    <cellStyle name="Output 10 2 2 3 2 2 3" xfId="36265"/>
    <cellStyle name="Output 10 2 2 3 2 3" xfId="20570"/>
    <cellStyle name="Output 10 2 2 3 2 3 2" xfId="41757"/>
    <cellStyle name="Output 10 2 2 3 2 4" xfId="31137"/>
    <cellStyle name="Output 10 2 2 3 2_Table 2A-1_EFT (Annual)" xfId="15917"/>
    <cellStyle name="Output 10 2 2 3 3" xfId="11039"/>
    <cellStyle name="Output 10 2 2 3 3 2" xfId="23137"/>
    <cellStyle name="Output 10 2 2 3 3 2 2" xfId="44323"/>
    <cellStyle name="Output 10 2 2 3 3 3" xfId="33719"/>
    <cellStyle name="Output 10 2 2 3 4" xfId="18024"/>
    <cellStyle name="Output 10 2 2 3 4 2" xfId="39211"/>
    <cellStyle name="Output 10 2 2 3 5" xfId="28394"/>
    <cellStyle name="Output 10 2 2 3_Table 2A-1_EFT (Annual)" xfId="7546"/>
    <cellStyle name="Output 10 2 2 4" xfId="5068"/>
    <cellStyle name="Output 10 2 2 4 2" xfId="13328"/>
    <cellStyle name="Output 10 2 2 4 2 2" xfId="25334"/>
    <cellStyle name="Output 10 2 2 4 2 2 2" xfId="46520"/>
    <cellStyle name="Output 10 2 2 4 2 3" xfId="35916"/>
    <cellStyle name="Output 10 2 2 4 3" xfId="20221"/>
    <cellStyle name="Output 10 2 2 4 3 2" xfId="41408"/>
    <cellStyle name="Output 10 2 2 4 4" xfId="30725"/>
    <cellStyle name="Output 10 2 2 4_Table 2A-1_EFT (Annual)" xfId="15918"/>
    <cellStyle name="Output 10 2 2 5" xfId="10672"/>
    <cellStyle name="Output 10 2 2 5 2" xfId="22788"/>
    <cellStyle name="Output 10 2 2 5 2 2" xfId="43974"/>
    <cellStyle name="Output 10 2 2 5 3" xfId="33370"/>
    <cellStyle name="Output 10 2 2 6" xfId="17675"/>
    <cellStyle name="Output 10 2 2 6 2" xfId="38862"/>
    <cellStyle name="Output 10 2 2 7" xfId="27982"/>
    <cellStyle name="Output 10 2 2_Table 2A-1_EFT (Annual)" xfId="3324"/>
    <cellStyle name="Output 10 2 3" xfId="2246"/>
    <cellStyle name="Output 10 2 3 2" xfId="5807"/>
    <cellStyle name="Output 10 2 3 2 2" xfId="14022"/>
    <cellStyle name="Output 10 2 3 2 2 2" xfId="26010"/>
    <cellStyle name="Output 10 2 3 2 2 2 2" xfId="47196"/>
    <cellStyle name="Output 10 2 3 2 2 3" xfId="36592"/>
    <cellStyle name="Output 10 2 3 2 3" xfId="20897"/>
    <cellStyle name="Output 10 2 3 2 3 2" xfId="42084"/>
    <cellStyle name="Output 10 2 3 2 4" xfId="31464"/>
    <cellStyle name="Output 10 2 3 2_Table 2A-1_EFT (Annual)" xfId="15919"/>
    <cellStyle name="Output 10 2 3 3" xfId="11366"/>
    <cellStyle name="Output 10 2 3 3 2" xfId="23464"/>
    <cellStyle name="Output 10 2 3 3 2 2" xfId="44650"/>
    <cellStyle name="Output 10 2 3 3 3" xfId="34046"/>
    <cellStyle name="Output 10 2 3 4" xfId="18351"/>
    <cellStyle name="Output 10 2 3 4 2" xfId="39538"/>
    <cellStyle name="Output 10 2 3 5" xfId="28721"/>
    <cellStyle name="Output 10 2 3_Table 2A-1_EFT (Annual)" xfId="7547"/>
    <cellStyle name="Output 10 2 4" xfId="1744"/>
    <cellStyle name="Output 10 2 4 2" xfId="5305"/>
    <cellStyle name="Output 10 2 4 2 2" xfId="13530"/>
    <cellStyle name="Output 10 2 4 2 2 2" xfId="25521"/>
    <cellStyle name="Output 10 2 4 2 2 2 2" xfId="46707"/>
    <cellStyle name="Output 10 2 4 2 2 3" xfId="36103"/>
    <cellStyle name="Output 10 2 4 2 3" xfId="20408"/>
    <cellStyle name="Output 10 2 4 2 3 2" xfId="41595"/>
    <cellStyle name="Output 10 2 4 2 4" xfId="30962"/>
    <cellStyle name="Output 10 2 4 2_Table 2A-1_EFT (Annual)" xfId="15920"/>
    <cellStyle name="Output 10 2 4 3" xfId="10873"/>
    <cellStyle name="Output 10 2 4 3 2" xfId="22975"/>
    <cellStyle name="Output 10 2 4 3 2 2" xfId="44161"/>
    <cellStyle name="Output 10 2 4 3 3" xfId="33557"/>
    <cellStyle name="Output 10 2 4 4" xfId="17862"/>
    <cellStyle name="Output 10 2 4 4 2" xfId="39049"/>
    <cellStyle name="Output 10 2 4 5" xfId="28219"/>
    <cellStyle name="Output 10 2 4_Table 2A-1_EFT (Annual)" xfId="7548"/>
    <cellStyle name="Output 10 2 5" xfId="4100"/>
    <cellStyle name="Output 10 2 5 2" xfId="12424"/>
    <cellStyle name="Output 10 2 5 2 2" xfId="24446"/>
    <cellStyle name="Output 10 2 5 2 2 2" xfId="45632"/>
    <cellStyle name="Output 10 2 5 2 3" xfId="35028"/>
    <cellStyle name="Output 10 2 5 3" xfId="19333"/>
    <cellStyle name="Output 10 2 5 3 2" xfId="40520"/>
    <cellStyle name="Output 10 2 5 4" xfId="29788"/>
    <cellStyle name="Output 10 2 5_Table 2A-1_EFT (Annual)" xfId="15921"/>
    <cellStyle name="Output 10 2 6" xfId="9763"/>
    <cellStyle name="Output 10 2 6 2" xfId="21900"/>
    <cellStyle name="Output 10 2 6 2 2" xfId="43086"/>
    <cellStyle name="Output 10 2 6 3" xfId="32482"/>
    <cellStyle name="Output 10 2 7" xfId="16787"/>
    <cellStyle name="Output 10 2 7 2" xfId="37974"/>
    <cellStyle name="Output 10 2 8" xfId="27045"/>
    <cellStyle name="Output 10 2_Table 2A-1_EFT (Annual)" xfId="3323"/>
    <cellStyle name="Output 10 3" xfId="368"/>
    <cellStyle name="Output 10 3 2" xfId="1351"/>
    <cellStyle name="Output 10 3 2 2" xfId="2621"/>
    <cellStyle name="Output 10 3 2 2 2" xfId="6182"/>
    <cellStyle name="Output 10 3 2 2 2 2" xfId="14376"/>
    <cellStyle name="Output 10 3 2 2 2 2 2" xfId="26348"/>
    <cellStyle name="Output 10 3 2 2 2 2 2 2" xfId="47534"/>
    <cellStyle name="Output 10 3 2 2 2 2 3" xfId="36930"/>
    <cellStyle name="Output 10 3 2 2 2 3" xfId="21235"/>
    <cellStyle name="Output 10 3 2 2 2 3 2" xfId="42422"/>
    <cellStyle name="Output 10 3 2 2 2 4" xfId="31838"/>
    <cellStyle name="Output 10 3 2 2 2_Table 2A-1_EFT (Annual)" xfId="15922"/>
    <cellStyle name="Output 10 3 2 2 3" xfId="11718"/>
    <cellStyle name="Output 10 3 2 2 3 2" xfId="23802"/>
    <cellStyle name="Output 10 3 2 2 3 2 2" xfId="44988"/>
    <cellStyle name="Output 10 3 2 2 3 3" xfId="34384"/>
    <cellStyle name="Output 10 3 2 2 4" xfId="18689"/>
    <cellStyle name="Output 10 3 2 2 4 2" xfId="39876"/>
    <cellStyle name="Output 10 3 2 2 5" xfId="29095"/>
    <cellStyle name="Output 10 3 2 2_Table 2A-1_EFT (Annual)" xfId="7549"/>
    <cellStyle name="Output 10 3 2 3" xfId="1888"/>
    <cellStyle name="Output 10 3 2 3 2" xfId="5449"/>
    <cellStyle name="Output 10 3 2 3 2 2" xfId="13664"/>
    <cellStyle name="Output 10 3 2 3 2 2 2" xfId="25652"/>
    <cellStyle name="Output 10 3 2 3 2 2 2 2" xfId="46838"/>
    <cellStyle name="Output 10 3 2 3 2 2 3" xfId="36234"/>
    <cellStyle name="Output 10 3 2 3 2 3" xfId="20539"/>
    <cellStyle name="Output 10 3 2 3 2 3 2" xfId="41726"/>
    <cellStyle name="Output 10 3 2 3 2 4" xfId="31106"/>
    <cellStyle name="Output 10 3 2 3 2_Table 2A-1_EFT (Annual)" xfId="15923"/>
    <cellStyle name="Output 10 3 2 3 3" xfId="11008"/>
    <cellStyle name="Output 10 3 2 3 3 2" xfId="23106"/>
    <cellStyle name="Output 10 3 2 3 3 2 2" xfId="44292"/>
    <cellStyle name="Output 10 3 2 3 3 3" xfId="33688"/>
    <cellStyle name="Output 10 3 2 3 4" xfId="17993"/>
    <cellStyle name="Output 10 3 2 3 4 2" xfId="39180"/>
    <cellStyle name="Output 10 3 2 3 5" xfId="28363"/>
    <cellStyle name="Output 10 3 2 3_Table 2A-1_EFT (Annual)" xfId="7550"/>
    <cellStyle name="Output 10 3 2 4" xfId="4912"/>
    <cellStyle name="Output 10 3 2 4 2" xfId="13172"/>
    <cellStyle name="Output 10 3 2 4 2 2" xfId="25178"/>
    <cellStyle name="Output 10 3 2 4 2 2 2" xfId="46364"/>
    <cellStyle name="Output 10 3 2 4 2 3" xfId="35760"/>
    <cellStyle name="Output 10 3 2 4 3" xfId="20065"/>
    <cellStyle name="Output 10 3 2 4 3 2" xfId="41252"/>
    <cellStyle name="Output 10 3 2 4 4" xfId="30569"/>
    <cellStyle name="Output 10 3 2 4_Table 2A-1_EFT (Annual)" xfId="15924"/>
    <cellStyle name="Output 10 3 2 5" xfId="10516"/>
    <cellStyle name="Output 10 3 2 5 2" xfId="22632"/>
    <cellStyle name="Output 10 3 2 5 2 2" xfId="43818"/>
    <cellStyle name="Output 10 3 2 5 3" xfId="33214"/>
    <cellStyle name="Output 10 3 2 6" xfId="17519"/>
    <cellStyle name="Output 10 3 2 6 2" xfId="38706"/>
    <cellStyle name="Output 10 3 2 7" xfId="27826"/>
    <cellStyle name="Output 10 3 2_Table 2A-1_EFT (Annual)" xfId="3326"/>
    <cellStyle name="Output 10 3 3" xfId="2090"/>
    <cellStyle name="Output 10 3 3 2" xfId="5651"/>
    <cellStyle name="Output 10 3 3 2 2" xfId="13866"/>
    <cellStyle name="Output 10 3 3 2 2 2" xfId="25854"/>
    <cellStyle name="Output 10 3 3 2 2 2 2" xfId="47040"/>
    <cellStyle name="Output 10 3 3 2 2 3" xfId="36436"/>
    <cellStyle name="Output 10 3 3 2 3" xfId="20741"/>
    <cellStyle name="Output 10 3 3 2 3 2" xfId="41928"/>
    <cellStyle name="Output 10 3 3 2 4" xfId="31308"/>
    <cellStyle name="Output 10 3 3 2_Table 2A-1_EFT (Annual)" xfId="15925"/>
    <cellStyle name="Output 10 3 3 3" xfId="11210"/>
    <cellStyle name="Output 10 3 3 3 2" xfId="23308"/>
    <cellStyle name="Output 10 3 3 3 2 2" xfId="44494"/>
    <cellStyle name="Output 10 3 3 3 3" xfId="33890"/>
    <cellStyle name="Output 10 3 3 4" xfId="18195"/>
    <cellStyle name="Output 10 3 3 4 2" xfId="39382"/>
    <cellStyle name="Output 10 3 3 5" xfId="28565"/>
    <cellStyle name="Output 10 3 3_Table 2A-1_EFT (Annual)" xfId="7551"/>
    <cellStyle name="Output 10 3 4" xfId="1708"/>
    <cellStyle name="Output 10 3 4 2" xfId="5269"/>
    <cellStyle name="Output 10 3 4 2 2" xfId="13498"/>
    <cellStyle name="Output 10 3 4 2 2 2" xfId="25491"/>
    <cellStyle name="Output 10 3 4 2 2 2 2" xfId="46677"/>
    <cellStyle name="Output 10 3 4 2 2 3" xfId="36073"/>
    <cellStyle name="Output 10 3 4 2 3" xfId="20378"/>
    <cellStyle name="Output 10 3 4 2 3 2" xfId="41565"/>
    <cellStyle name="Output 10 3 4 2 4" xfId="30926"/>
    <cellStyle name="Output 10 3 4 2_Table 2A-1_EFT (Annual)" xfId="15926"/>
    <cellStyle name="Output 10 3 4 3" xfId="10842"/>
    <cellStyle name="Output 10 3 4 3 2" xfId="22945"/>
    <cellStyle name="Output 10 3 4 3 2 2" xfId="44131"/>
    <cellStyle name="Output 10 3 4 3 3" xfId="33527"/>
    <cellStyle name="Output 10 3 4 4" xfId="17832"/>
    <cellStyle name="Output 10 3 4 4 2" xfId="39019"/>
    <cellStyle name="Output 10 3 4 5" xfId="28183"/>
    <cellStyle name="Output 10 3 4_Table 2A-1_EFT (Annual)" xfId="7552"/>
    <cellStyle name="Output 10 3 5" xfId="3938"/>
    <cellStyle name="Output 10 3 5 2" xfId="12266"/>
    <cellStyle name="Output 10 3 5 2 2" xfId="24290"/>
    <cellStyle name="Output 10 3 5 2 2 2" xfId="45476"/>
    <cellStyle name="Output 10 3 5 2 3" xfId="34872"/>
    <cellStyle name="Output 10 3 5 3" xfId="19177"/>
    <cellStyle name="Output 10 3 5 3 2" xfId="40364"/>
    <cellStyle name="Output 10 3 5 4" xfId="29626"/>
    <cellStyle name="Output 10 3 5_Table 2A-1_EFT (Annual)" xfId="15927"/>
    <cellStyle name="Output 10 3 6" xfId="9603"/>
    <cellStyle name="Output 10 3 6 2" xfId="21744"/>
    <cellStyle name="Output 10 3 6 2 2" xfId="42930"/>
    <cellStyle name="Output 10 3 6 3" xfId="32326"/>
    <cellStyle name="Output 10 3 7" xfId="16631"/>
    <cellStyle name="Output 10 3 7 2" xfId="37818"/>
    <cellStyle name="Output 10 3 8" xfId="26883"/>
    <cellStyle name="Output 10 3_Table 2A-1_EFT (Annual)" xfId="3325"/>
    <cellStyle name="Output 10 4" xfId="1185"/>
    <cellStyle name="Output 10 4 2" xfId="2455"/>
    <cellStyle name="Output 10 4 2 2" xfId="6016"/>
    <cellStyle name="Output 10 4 2 2 2" xfId="14210"/>
    <cellStyle name="Output 10 4 2 2 2 2" xfId="26182"/>
    <cellStyle name="Output 10 4 2 2 2 2 2" xfId="47368"/>
    <cellStyle name="Output 10 4 2 2 2 3" xfId="36764"/>
    <cellStyle name="Output 10 4 2 2 3" xfId="21069"/>
    <cellStyle name="Output 10 4 2 2 3 2" xfId="42256"/>
    <cellStyle name="Output 10 4 2 2 4" xfId="31672"/>
    <cellStyle name="Output 10 4 2 2_Table 2A-1_EFT (Annual)" xfId="15928"/>
    <cellStyle name="Output 10 4 2 3" xfId="11552"/>
    <cellStyle name="Output 10 4 2 3 2" xfId="23636"/>
    <cellStyle name="Output 10 4 2 3 2 2" xfId="44822"/>
    <cellStyle name="Output 10 4 2 3 3" xfId="34218"/>
    <cellStyle name="Output 10 4 2 4" xfId="18523"/>
    <cellStyle name="Output 10 4 2 4 2" xfId="39710"/>
    <cellStyle name="Output 10 4 2 5" xfId="28929"/>
    <cellStyle name="Output 10 4 2_Table 2A-1_EFT (Annual)" xfId="7553"/>
    <cellStyle name="Output 10 4 3" xfId="1824"/>
    <cellStyle name="Output 10 4 3 2" xfId="5385"/>
    <cellStyle name="Output 10 4 3 2 2" xfId="13600"/>
    <cellStyle name="Output 10 4 3 2 2 2" xfId="25588"/>
    <cellStyle name="Output 10 4 3 2 2 2 2" xfId="46774"/>
    <cellStyle name="Output 10 4 3 2 2 3" xfId="36170"/>
    <cellStyle name="Output 10 4 3 2 3" xfId="20475"/>
    <cellStyle name="Output 10 4 3 2 3 2" xfId="41662"/>
    <cellStyle name="Output 10 4 3 2 4" xfId="31042"/>
    <cellStyle name="Output 10 4 3 2_Table 2A-1_EFT (Annual)" xfId="15929"/>
    <cellStyle name="Output 10 4 3 3" xfId="10944"/>
    <cellStyle name="Output 10 4 3 3 2" xfId="23042"/>
    <cellStyle name="Output 10 4 3 3 2 2" xfId="44228"/>
    <cellStyle name="Output 10 4 3 3 3" xfId="33624"/>
    <cellStyle name="Output 10 4 3 4" xfId="17929"/>
    <cellStyle name="Output 10 4 3 4 2" xfId="39116"/>
    <cellStyle name="Output 10 4 3 5" xfId="28299"/>
    <cellStyle name="Output 10 4 3_Table 2A-1_EFT (Annual)" xfId="7554"/>
    <cellStyle name="Output 10 4 4" xfId="4746"/>
    <cellStyle name="Output 10 4 4 2" xfId="13006"/>
    <cellStyle name="Output 10 4 4 2 2" xfId="25012"/>
    <cellStyle name="Output 10 4 4 2 2 2" xfId="46198"/>
    <cellStyle name="Output 10 4 4 2 3" xfId="35594"/>
    <cellStyle name="Output 10 4 4 3" xfId="19899"/>
    <cellStyle name="Output 10 4 4 3 2" xfId="41086"/>
    <cellStyle name="Output 10 4 4 4" xfId="30403"/>
    <cellStyle name="Output 10 4 4_Table 2A-1_EFT (Annual)" xfId="15930"/>
    <cellStyle name="Output 10 4 5" xfId="10350"/>
    <cellStyle name="Output 10 4 5 2" xfId="22466"/>
    <cellStyle name="Output 10 4 5 2 2" xfId="43652"/>
    <cellStyle name="Output 10 4 5 3" xfId="33048"/>
    <cellStyle name="Output 10 4 6" xfId="17353"/>
    <cellStyle name="Output 10 4 6 2" xfId="38540"/>
    <cellStyle name="Output 10 4 7" xfId="27660"/>
    <cellStyle name="Output 10 4_Table 2A-1_EFT (Annual)" xfId="3327"/>
    <cellStyle name="Output 10 5" xfId="1788"/>
    <cellStyle name="Output 10 5 2" xfId="5349"/>
    <cellStyle name="Output 10 5 2 2" xfId="13564"/>
    <cellStyle name="Output 10 5 2 2 2" xfId="25552"/>
    <cellStyle name="Output 10 5 2 2 2 2" xfId="46738"/>
    <cellStyle name="Output 10 5 2 2 3" xfId="36134"/>
    <cellStyle name="Output 10 5 2 3" xfId="20439"/>
    <cellStyle name="Output 10 5 2 3 2" xfId="41626"/>
    <cellStyle name="Output 10 5 2 4" xfId="31006"/>
    <cellStyle name="Output 10 5 2_Table 2A-1_EFT (Annual)" xfId="15931"/>
    <cellStyle name="Output 10 5 3" xfId="10908"/>
    <cellStyle name="Output 10 5 3 2" xfId="23006"/>
    <cellStyle name="Output 10 5 3 2 2" xfId="44192"/>
    <cellStyle name="Output 10 5 3 3" xfId="33588"/>
    <cellStyle name="Output 10 5 4" xfId="17893"/>
    <cellStyle name="Output 10 5 4 2" xfId="39080"/>
    <cellStyle name="Output 10 5 5" xfId="28263"/>
    <cellStyle name="Output 10 5_Table 2A-1_EFT (Annual)" xfId="7555"/>
    <cellStyle name="Output 10 6" xfId="1651"/>
    <cellStyle name="Output 10 6 2" xfId="5212"/>
    <cellStyle name="Output 10 6 2 2" xfId="13459"/>
    <cellStyle name="Output 10 6 2 2 2" xfId="25459"/>
    <cellStyle name="Output 10 6 2 2 2 2" xfId="46645"/>
    <cellStyle name="Output 10 6 2 2 3" xfId="36041"/>
    <cellStyle name="Output 10 6 2 3" xfId="20346"/>
    <cellStyle name="Output 10 6 2 3 2" xfId="41533"/>
    <cellStyle name="Output 10 6 2 4" xfId="30869"/>
    <cellStyle name="Output 10 6 2_Table 2A-1_EFT (Annual)" xfId="15932"/>
    <cellStyle name="Output 10 6 3" xfId="10804"/>
    <cellStyle name="Output 10 6 3 2" xfId="22913"/>
    <cellStyle name="Output 10 6 3 2 2" xfId="44099"/>
    <cellStyle name="Output 10 6 3 3" xfId="33495"/>
    <cellStyle name="Output 10 6 4" xfId="17800"/>
    <cellStyle name="Output 10 6 4 2" xfId="38987"/>
    <cellStyle name="Output 10 6 5" xfId="28126"/>
    <cellStyle name="Output 10 6_Table 2A-1_EFT (Annual)" xfId="7556"/>
    <cellStyle name="Output 10 7" xfId="3726"/>
    <cellStyle name="Output 10 7 2" xfId="12094"/>
    <cellStyle name="Output 10 7 2 2" xfId="24124"/>
    <cellStyle name="Output 10 7 2 2 2" xfId="45310"/>
    <cellStyle name="Output 10 7 2 3" xfId="34706"/>
    <cellStyle name="Output 10 7 3" xfId="19011"/>
    <cellStyle name="Output 10 7 3 2" xfId="40198"/>
    <cellStyle name="Output 10 7 4" xfId="29435"/>
    <cellStyle name="Output 10 7_Table 2A-1_EFT (Annual)" xfId="15933"/>
    <cellStyle name="Output 10 8" xfId="9413"/>
    <cellStyle name="Output 10 8 2" xfId="21578"/>
    <cellStyle name="Output 10 8 2 2" xfId="42764"/>
    <cellStyle name="Output 10 8 3" xfId="32160"/>
    <cellStyle name="Output 10 9" xfId="16465"/>
    <cellStyle name="Output 10 9 2" xfId="37652"/>
    <cellStyle name="Output 10_Table 2A-1_EFT (Annual)" xfId="3322"/>
    <cellStyle name="Output 11" xfId="86"/>
    <cellStyle name="Output 11 10" xfId="26642"/>
    <cellStyle name="Output 11 2" xfId="485"/>
    <cellStyle name="Output 11 2 2" xfId="1462"/>
    <cellStyle name="Output 11 2 2 2" xfId="2732"/>
    <cellStyle name="Output 11 2 2 2 2" xfId="6293"/>
    <cellStyle name="Output 11 2 2 2 2 2" xfId="14487"/>
    <cellStyle name="Output 11 2 2 2 2 2 2" xfId="26459"/>
    <cellStyle name="Output 11 2 2 2 2 2 2 2" xfId="47645"/>
    <cellStyle name="Output 11 2 2 2 2 2 3" xfId="37041"/>
    <cellStyle name="Output 11 2 2 2 2 3" xfId="21346"/>
    <cellStyle name="Output 11 2 2 2 2 3 2" xfId="42533"/>
    <cellStyle name="Output 11 2 2 2 2 4" xfId="31949"/>
    <cellStyle name="Output 11 2 2 2 2_Table 2A-1_EFT (Annual)" xfId="15934"/>
    <cellStyle name="Output 11 2 2 2 3" xfId="11829"/>
    <cellStyle name="Output 11 2 2 2 3 2" xfId="23913"/>
    <cellStyle name="Output 11 2 2 2 3 2 2" xfId="45099"/>
    <cellStyle name="Output 11 2 2 2 3 3" xfId="34495"/>
    <cellStyle name="Output 11 2 2 2 4" xfId="18800"/>
    <cellStyle name="Output 11 2 2 2 4 2" xfId="39987"/>
    <cellStyle name="Output 11 2 2 2 5" xfId="29206"/>
    <cellStyle name="Output 11 2 2 2_Table 2A-1_EFT (Annual)" xfId="7557"/>
    <cellStyle name="Output 11 2 2 3" xfId="1910"/>
    <cellStyle name="Output 11 2 2 3 2" xfId="5471"/>
    <cellStyle name="Output 11 2 2 3 2 2" xfId="13686"/>
    <cellStyle name="Output 11 2 2 3 2 2 2" xfId="25674"/>
    <cellStyle name="Output 11 2 2 3 2 2 2 2" xfId="46860"/>
    <cellStyle name="Output 11 2 2 3 2 2 3" xfId="36256"/>
    <cellStyle name="Output 11 2 2 3 2 3" xfId="20561"/>
    <cellStyle name="Output 11 2 2 3 2 3 2" xfId="41748"/>
    <cellStyle name="Output 11 2 2 3 2 4" xfId="31128"/>
    <cellStyle name="Output 11 2 2 3 2_Table 2A-1_EFT (Annual)" xfId="15935"/>
    <cellStyle name="Output 11 2 2 3 3" xfId="11030"/>
    <cellStyle name="Output 11 2 2 3 3 2" xfId="23128"/>
    <cellStyle name="Output 11 2 2 3 3 2 2" xfId="44314"/>
    <cellStyle name="Output 11 2 2 3 3 3" xfId="33710"/>
    <cellStyle name="Output 11 2 2 3 4" xfId="18015"/>
    <cellStyle name="Output 11 2 2 3 4 2" xfId="39202"/>
    <cellStyle name="Output 11 2 2 3 5" xfId="28385"/>
    <cellStyle name="Output 11 2 2 3_Table 2A-1_EFT (Annual)" xfId="7558"/>
    <cellStyle name="Output 11 2 2 4" xfId="5023"/>
    <cellStyle name="Output 11 2 2 4 2" xfId="13283"/>
    <cellStyle name="Output 11 2 2 4 2 2" xfId="25289"/>
    <cellStyle name="Output 11 2 2 4 2 2 2" xfId="46475"/>
    <cellStyle name="Output 11 2 2 4 2 3" xfId="35871"/>
    <cellStyle name="Output 11 2 2 4 3" xfId="20176"/>
    <cellStyle name="Output 11 2 2 4 3 2" xfId="41363"/>
    <cellStyle name="Output 11 2 2 4 4" xfId="30680"/>
    <cellStyle name="Output 11 2 2 4_Table 2A-1_EFT (Annual)" xfId="15936"/>
    <cellStyle name="Output 11 2 2 5" xfId="10627"/>
    <cellStyle name="Output 11 2 2 5 2" xfId="22743"/>
    <cellStyle name="Output 11 2 2 5 2 2" xfId="43929"/>
    <cellStyle name="Output 11 2 2 5 3" xfId="33325"/>
    <cellStyle name="Output 11 2 2 6" xfId="17630"/>
    <cellStyle name="Output 11 2 2 6 2" xfId="38817"/>
    <cellStyle name="Output 11 2 2 7" xfId="27937"/>
    <cellStyle name="Output 11 2 2_Table 2A-1_EFT (Annual)" xfId="3330"/>
    <cellStyle name="Output 11 2 3" xfId="2201"/>
    <cellStyle name="Output 11 2 3 2" xfId="5762"/>
    <cellStyle name="Output 11 2 3 2 2" xfId="13977"/>
    <cellStyle name="Output 11 2 3 2 2 2" xfId="25965"/>
    <cellStyle name="Output 11 2 3 2 2 2 2" xfId="47151"/>
    <cellStyle name="Output 11 2 3 2 2 3" xfId="36547"/>
    <cellStyle name="Output 11 2 3 2 3" xfId="20852"/>
    <cellStyle name="Output 11 2 3 2 3 2" xfId="42039"/>
    <cellStyle name="Output 11 2 3 2 4" xfId="31419"/>
    <cellStyle name="Output 11 2 3 2_Table 2A-1_EFT (Annual)" xfId="15937"/>
    <cellStyle name="Output 11 2 3 3" xfId="11321"/>
    <cellStyle name="Output 11 2 3 3 2" xfId="23419"/>
    <cellStyle name="Output 11 2 3 3 2 2" xfId="44605"/>
    <cellStyle name="Output 11 2 3 3 3" xfId="34001"/>
    <cellStyle name="Output 11 2 3 4" xfId="18306"/>
    <cellStyle name="Output 11 2 3 4 2" xfId="39493"/>
    <cellStyle name="Output 11 2 3 5" xfId="28676"/>
    <cellStyle name="Output 11 2 3_Table 2A-1_EFT (Annual)" xfId="7559"/>
    <cellStyle name="Output 11 2 4" xfId="1735"/>
    <cellStyle name="Output 11 2 4 2" xfId="5296"/>
    <cellStyle name="Output 11 2 4 2 2" xfId="13521"/>
    <cellStyle name="Output 11 2 4 2 2 2" xfId="25512"/>
    <cellStyle name="Output 11 2 4 2 2 2 2" xfId="46698"/>
    <cellStyle name="Output 11 2 4 2 2 3" xfId="36094"/>
    <cellStyle name="Output 11 2 4 2 3" xfId="20399"/>
    <cellStyle name="Output 11 2 4 2 3 2" xfId="41586"/>
    <cellStyle name="Output 11 2 4 2 4" xfId="30953"/>
    <cellStyle name="Output 11 2 4 2_Table 2A-1_EFT (Annual)" xfId="15938"/>
    <cellStyle name="Output 11 2 4 3" xfId="10864"/>
    <cellStyle name="Output 11 2 4 3 2" xfId="22966"/>
    <cellStyle name="Output 11 2 4 3 2 2" xfId="44152"/>
    <cellStyle name="Output 11 2 4 3 3" xfId="33548"/>
    <cellStyle name="Output 11 2 4 4" xfId="17853"/>
    <cellStyle name="Output 11 2 4 4 2" xfId="39040"/>
    <cellStyle name="Output 11 2 4 5" xfId="28210"/>
    <cellStyle name="Output 11 2 4_Table 2A-1_EFT (Annual)" xfId="7560"/>
    <cellStyle name="Output 11 2 5" xfId="4055"/>
    <cellStyle name="Output 11 2 5 2" xfId="12379"/>
    <cellStyle name="Output 11 2 5 2 2" xfId="24401"/>
    <cellStyle name="Output 11 2 5 2 2 2" xfId="45587"/>
    <cellStyle name="Output 11 2 5 2 3" xfId="34983"/>
    <cellStyle name="Output 11 2 5 3" xfId="19288"/>
    <cellStyle name="Output 11 2 5 3 2" xfId="40475"/>
    <cellStyle name="Output 11 2 5 4" xfId="29743"/>
    <cellStyle name="Output 11 2 5_Table 2A-1_EFT (Annual)" xfId="15939"/>
    <cellStyle name="Output 11 2 6" xfId="9718"/>
    <cellStyle name="Output 11 2 6 2" xfId="21855"/>
    <cellStyle name="Output 11 2 6 2 2" xfId="43041"/>
    <cellStyle name="Output 11 2 6 3" xfId="32437"/>
    <cellStyle name="Output 11 2 7" xfId="16742"/>
    <cellStyle name="Output 11 2 7 2" xfId="37929"/>
    <cellStyle name="Output 11 2 8" xfId="27000"/>
    <cellStyle name="Output 11 2_Table 2A-1_EFT (Annual)" xfId="3329"/>
    <cellStyle name="Output 11 3" xfId="318"/>
    <cellStyle name="Output 11 3 2" xfId="1306"/>
    <cellStyle name="Output 11 3 2 2" xfId="2576"/>
    <cellStyle name="Output 11 3 2 2 2" xfId="6137"/>
    <cellStyle name="Output 11 3 2 2 2 2" xfId="14331"/>
    <cellStyle name="Output 11 3 2 2 2 2 2" xfId="26303"/>
    <cellStyle name="Output 11 3 2 2 2 2 2 2" xfId="47489"/>
    <cellStyle name="Output 11 3 2 2 2 2 3" xfId="36885"/>
    <cellStyle name="Output 11 3 2 2 2 3" xfId="21190"/>
    <cellStyle name="Output 11 3 2 2 2 3 2" xfId="42377"/>
    <cellStyle name="Output 11 3 2 2 2 4" xfId="31793"/>
    <cellStyle name="Output 11 3 2 2 2_Table 2A-1_EFT (Annual)" xfId="15940"/>
    <cellStyle name="Output 11 3 2 2 3" xfId="11673"/>
    <cellStyle name="Output 11 3 2 2 3 2" xfId="23757"/>
    <cellStyle name="Output 11 3 2 2 3 2 2" xfId="44943"/>
    <cellStyle name="Output 11 3 2 2 3 3" xfId="34339"/>
    <cellStyle name="Output 11 3 2 2 4" xfId="18644"/>
    <cellStyle name="Output 11 3 2 2 4 2" xfId="39831"/>
    <cellStyle name="Output 11 3 2 2 5" xfId="29050"/>
    <cellStyle name="Output 11 3 2 2_Table 2A-1_EFT (Annual)" xfId="7561"/>
    <cellStyle name="Output 11 3 2 3" xfId="1878"/>
    <cellStyle name="Output 11 3 2 3 2" xfId="5439"/>
    <cellStyle name="Output 11 3 2 3 2 2" xfId="13654"/>
    <cellStyle name="Output 11 3 2 3 2 2 2" xfId="25642"/>
    <cellStyle name="Output 11 3 2 3 2 2 2 2" xfId="46828"/>
    <cellStyle name="Output 11 3 2 3 2 2 3" xfId="36224"/>
    <cellStyle name="Output 11 3 2 3 2 3" xfId="20529"/>
    <cellStyle name="Output 11 3 2 3 2 3 2" xfId="41716"/>
    <cellStyle name="Output 11 3 2 3 2 4" xfId="31096"/>
    <cellStyle name="Output 11 3 2 3 2_Table 2A-1_EFT (Annual)" xfId="15941"/>
    <cellStyle name="Output 11 3 2 3 3" xfId="10998"/>
    <cellStyle name="Output 11 3 2 3 3 2" xfId="23096"/>
    <cellStyle name="Output 11 3 2 3 3 2 2" xfId="44282"/>
    <cellStyle name="Output 11 3 2 3 3 3" xfId="33678"/>
    <cellStyle name="Output 11 3 2 3 4" xfId="17983"/>
    <cellStyle name="Output 11 3 2 3 4 2" xfId="39170"/>
    <cellStyle name="Output 11 3 2 3 5" xfId="28353"/>
    <cellStyle name="Output 11 3 2 3_Table 2A-1_EFT (Annual)" xfId="7562"/>
    <cellStyle name="Output 11 3 2 4" xfId="4867"/>
    <cellStyle name="Output 11 3 2 4 2" xfId="13127"/>
    <cellStyle name="Output 11 3 2 4 2 2" xfId="25133"/>
    <cellStyle name="Output 11 3 2 4 2 2 2" xfId="46319"/>
    <cellStyle name="Output 11 3 2 4 2 3" xfId="35715"/>
    <cellStyle name="Output 11 3 2 4 3" xfId="20020"/>
    <cellStyle name="Output 11 3 2 4 3 2" xfId="41207"/>
    <cellStyle name="Output 11 3 2 4 4" xfId="30524"/>
    <cellStyle name="Output 11 3 2 4_Table 2A-1_EFT (Annual)" xfId="15942"/>
    <cellStyle name="Output 11 3 2 5" xfId="10471"/>
    <cellStyle name="Output 11 3 2 5 2" xfId="22587"/>
    <cellStyle name="Output 11 3 2 5 2 2" xfId="43773"/>
    <cellStyle name="Output 11 3 2 5 3" xfId="33169"/>
    <cellStyle name="Output 11 3 2 6" xfId="17474"/>
    <cellStyle name="Output 11 3 2 6 2" xfId="38661"/>
    <cellStyle name="Output 11 3 2 7" xfId="27781"/>
    <cellStyle name="Output 11 3 2_Table 2A-1_EFT (Annual)" xfId="3332"/>
    <cellStyle name="Output 11 3 3" xfId="2045"/>
    <cellStyle name="Output 11 3 3 2" xfId="5606"/>
    <cellStyle name="Output 11 3 3 2 2" xfId="13821"/>
    <cellStyle name="Output 11 3 3 2 2 2" xfId="25809"/>
    <cellStyle name="Output 11 3 3 2 2 2 2" xfId="46995"/>
    <cellStyle name="Output 11 3 3 2 2 3" xfId="36391"/>
    <cellStyle name="Output 11 3 3 2 3" xfId="20696"/>
    <cellStyle name="Output 11 3 3 2 3 2" xfId="41883"/>
    <cellStyle name="Output 11 3 3 2 4" xfId="31263"/>
    <cellStyle name="Output 11 3 3 2_Table 2A-1_EFT (Annual)" xfId="15943"/>
    <cellStyle name="Output 11 3 3 3" xfId="11165"/>
    <cellStyle name="Output 11 3 3 3 2" xfId="23263"/>
    <cellStyle name="Output 11 3 3 3 2 2" xfId="44449"/>
    <cellStyle name="Output 11 3 3 3 3" xfId="33845"/>
    <cellStyle name="Output 11 3 3 4" xfId="18150"/>
    <cellStyle name="Output 11 3 3 4 2" xfId="39337"/>
    <cellStyle name="Output 11 3 3 5" xfId="28520"/>
    <cellStyle name="Output 11 3 3_Table 2A-1_EFT (Annual)" xfId="7563"/>
    <cellStyle name="Output 11 3 4" xfId="1694"/>
    <cellStyle name="Output 11 3 4 2" xfId="5255"/>
    <cellStyle name="Output 11 3 4 2 2" xfId="13488"/>
    <cellStyle name="Output 11 3 4 2 2 2" xfId="25482"/>
    <cellStyle name="Output 11 3 4 2 2 2 2" xfId="46668"/>
    <cellStyle name="Output 11 3 4 2 2 3" xfId="36064"/>
    <cellStyle name="Output 11 3 4 2 3" xfId="20369"/>
    <cellStyle name="Output 11 3 4 2 3 2" xfId="41556"/>
    <cellStyle name="Output 11 3 4 2 4" xfId="30912"/>
    <cellStyle name="Output 11 3 4 2_Table 2A-1_EFT (Annual)" xfId="15944"/>
    <cellStyle name="Output 11 3 4 3" xfId="10832"/>
    <cellStyle name="Output 11 3 4 3 2" xfId="22936"/>
    <cellStyle name="Output 11 3 4 3 2 2" xfId="44122"/>
    <cellStyle name="Output 11 3 4 3 3" xfId="33518"/>
    <cellStyle name="Output 11 3 4 4" xfId="17823"/>
    <cellStyle name="Output 11 3 4 4 2" xfId="39010"/>
    <cellStyle name="Output 11 3 4 5" xfId="28169"/>
    <cellStyle name="Output 11 3 4_Table 2A-1_EFT (Annual)" xfId="7564"/>
    <cellStyle name="Output 11 3 5" xfId="3888"/>
    <cellStyle name="Output 11 3 5 2" xfId="12220"/>
    <cellStyle name="Output 11 3 5 2 2" xfId="24245"/>
    <cellStyle name="Output 11 3 5 2 2 2" xfId="45431"/>
    <cellStyle name="Output 11 3 5 2 3" xfId="34827"/>
    <cellStyle name="Output 11 3 5 3" xfId="19132"/>
    <cellStyle name="Output 11 3 5 3 2" xfId="40319"/>
    <cellStyle name="Output 11 3 5 4" xfId="29576"/>
    <cellStyle name="Output 11 3 5_Table 2A-1_EFT (Annual)" xfId="15945"/>
    <cellStyle name="Output 11 3 6" xfId="9557"/>
    <cellStyle name="Output 11 3 6 2" xfId="21699"/>
    <cellStyle name="Output 11 3 6 2 2" xfId="42885"/>
    <cellStyle name="Output 11 3 6 3" xfId="32281"/>
    <cellStyle name="Output 11 3 7" xfId="16586"/>
    <cellStyle name="Output 11 3 7 2" xfId="37773"/>
    <cellStyle name="Output 11 3 8" xfId="26833"/>
    <cellStyle name="Output 11 3_Table 2A-1_EFT (Annual)" xfId="3331"/>
    <cellStyle name="Output 11 4" xfId="1140"/>
    <cellStyle name="Output 11 4 2" xfId="2410"/>
    <cellStyle name="Output 11 4 2 2" xfId="5971"/>
    <cellStyle name="Output 11 4 2 2 2" xfId="14165"/>
    <cellStyle name="Output 11 4 2 2 2 2" xfId="26137"/>
    <cellStyle name="Output 11 4 2 2 2 2 2" xfId="47323"/>
    <cellStyle name="Output 11 4 2 2 2 3" xfId="36719"/>
    <cellStyle name="Output 11 4 2 2 3" xfId="21024"/>
    <cellStyle name="Output 11 4 2 2 3 2" xfId="42211"/>
    <cellStyle name="Output 11 4 2 2 4" xfId="31627"/>
    <cellStyle name="Output 11 4 2 2_Table 2A-1_EFT (Annual)" xfId="15946"/>
    <cellStyle name="Output 11 4 2 3" xfId="11507"/>
    <cellStyle name="Output 11 4 2 3 2" xfId="23591"/>
    <cellStyle name="Output 11 4 2 3 2 2" xfId="44777"/>
    <cellStyle name="Output 11 4 2 3 3" xfId="34173"/>
    <cellStyle name="Output 11 4 2 4" xfId="18478"/>
    <cellStyle name="Output 11 4 2 4 2" xfId="39665"/>
    <cellStyle name="Output 11 4 2 5" xfId="28884"/>
    <cellStyle name="Output 11 4 2_Table 2A-1_EFT (Annual)" xfId="7565"/>
    <cellStyle name="Output 11 4 3" xfId="1813"/>
    <cellStyle name="Output 11 4 3 2" xfId="5374"/>
    <cellStyle name="Output 11 4 3 2 2" xfId="13589"/>
    <cellStyle name="Output 11 4 3 2 2 2" xfId="25577"/>
    <cellStyle name="Output 11 4 3 2 2 2 2" xfId="46763"/>
    <cellStyle name="Output 11 4 3 2 2 3" xfId="36159"/>
    <cellStyle name="Output 11 4 3 2 3" xfId="20464"/>
    <cellStyle name="Output 11 4 3 2 3 2" xfId="41651"/>
    <cellStyle name="Output 11 4 3 2 4" xfId="31031"/>
    <cellStyle name="Output 11 4 3 2_Table 2A-1_EFT (Annual)" xfId="15947"/>
    <cellStyle name="Output 11 4 3 3" xfId="10933"/>
    <cellStyle name="Output 11 4 3 3 2" xfId="23031"/>
    <cellStyle name="Output 11 4 3 3 2 2" xfId="44217"/>
    <cellStyle name="Output 11 4 3 3 3" xfId="33613"/>
    <cellStyle name="Output 11 4 3 4" xfId="17918"/>
    <cellStyle name="Output 11 4 3 4 2" xfId="39105"/>
    <cellStyle name="Output 11 4 3 5" xfId="28288"/>
    <cellStyle name="Output 11 4 3_Table 2A-1_EFT (Annual)" xfId="7566"/>
    <cellStyle name="Output 11 4 4" xfId="4701"/>
    <cellStyle name="Output 11 4 4 2" xfId="12961"/>
    <cellStyle name="Output 11 4 4 2 2" xfId="24967"/>
    <cellStyle name="Output 11 4 4 2 2 2" xfId="46153"/>
    <cellStyle name="Output 11 4 4 2 3" xfId="35549"/>
    <cellStyle name="Output 11 4 4 3" xfId="19854"/>
    <cellStyle name="Output 11 4 4 3 2" xfId="41041"/>
    <cellStyle name="Output 11 4 4 4" xfId="30358"/>
    <cellStyle name="Output 11 4 4_Table 2A-1_EFT (Annual)" xfId="15948"/>
    <cellStyle name="Output 11 4 5" xfId="10305"/>
    <cellStyle name="Output 11 4 5 2" xfId="22421"/>
    <cellStyle name="Output 11 4 5 2 2" xfId="43607"/>
    <cellStyle name="Output 11 4 5 3" xfId="33003"/>
    <cellStyle name="Output 11 4 6" xfId="17308"/>
    <cellStyle name="Output 11 4 6 2" xfId="38495"/>
    <cellStyle name="Output 11 4 7" xfId="27615"/>
    <cellStyle name="Output 11 4_Table 2A-1_EFT (Annual)" xfId="3333"/>
    <cellStyle name="Output 11 5" xfId="1942"/>
    <cellStyle name="Output 11 5 2" xfId="5503"/>
    <cellStyle name="Output 11 5 2 2" xfId="13718"/>
    <cellStyle name="Output 11 5 2 2 2" xfId="25706"/>
    <cellStyle name="Output 11 5 2 2 2 2" xfId="46892"/>
    <cellStyle name="Output 11 5 2 2 3" xfId="36288"/>
    <cellStyle name="Output 11 5 2 3" xfId="20593"/>
    <cellStyle name="Output 11 5 2 3 2" xfId="41780"/>
    <cellStyle name="Output 11 5 2 4" xfId="31160"/>
    <cellStyle name="Output 11 5 2_Table 2A-1_EFT (Annual)" xfId="15949"/>
    <cellStyle name="Output 11 5 3" xfId="11062"/>
    <cellStyle name="Output 11 5 3 2" xfId="23160"/>
    <cellStyle name="Output 11 5 3 2 2" xfId="44346"/>
    <cellStyle name="Output 11 5 3 3" xfId="33742"/>
    <cellStyle name="Output 11 5 4" xfId="18047"/>
    <cellStyle name="Output 11 5 4 2" xfId="39234"/>
    <cellStyle name="Output 11 5 5" xfId="28417"/>
    <cellStyle name="Output 11 5_Table 2A-1_EFT (Annual)" xfId="7567"/>
    <cellStyle name="Output 11 6" xfId="1637"/>
    <cellStyle name="Output 11 6 2" xfId="5198"/>
    <cellStyle name="Output 11 6 2 2" xfId="13450"/>
    <cellStyle name="Output 11 6 2 2 2" xfId="25450"/>
    <cellStyle name="Output 11 6 2 2 2 2" xfId="46636"/>
    <cellStyle name="Output 11 6 2 2 3" xfId="36032"/>
    <cellStyle name="Output 11 6 2 3" xfId="20337"/>
    <cellStyle name="Output 11 6 2 3 2" xfId="41524"/>
    <cellStyle name="Output 11 6 2 4" xfId="30855"/>
    <cellStyle name="Output 11 6 2_Table 2A-1_EFT (Annual)" xfId="15950"/>
    <cellStyle name="Output 11 6 3" xfId="10794"/>
    <cellStyle name="Output 11 6 3 2" xfId="22904"/>
    <cellStyle name="Output 11 6 3 2 2" xfId="44090"/>
    <cellStyle name="Output 11 6 3 3" xfId="33486"/>
    <cellStyle name="Output 11 6 4" xfId="17791"/>
    <cellStyle name="Output 11 6 4 2" xfId="38978"/>
    <cellStyle name="Output 11 6 5" xfId="28112"/>
    <cellStyle name="Output 11 6_Table 2A-1_EFT (Annual)" xfId="7568"/>
    <cellStyle name="Output 11 7" xfId="3675"/>
    <cellStyle name="Output 11 7 2" xfId="12048"/>
    <cellStyle name="Output 11 7 2 2" xfId="24079"/>
    <cellStyle name="Output 11 7 2 2 2" xfId="45265"/>
    <cellStyle name="Output 11 7 2 3" xfId="34661"/>
    <cellStyle name="Output 11 7 3" xfId="18966"/>
    <cellStyle name="Output 11 7 3 2" xfId="40153"/>
    <cellStyle name="Output 11 7 4" xfId="29385"/>
    <cellStyle name="Output 11 7_Table 2A-1_EFT (Annual)" xfId="15951"/>
    <cellStyle name="Output 11 8" xfId="9365"/>
    <cellStyle name="Output 11 8 2" xfId="21533"/>
    <cellStyle name="Output 11 8 2 2" xfId="42719"/>
    <cellStyle name="Output 11 8 3" xfId="32115"/>
    <cellStyle name="Output 11 9" xfId="16420"/>
    <cellStyle name="Output 11 9 2" xfId="37607"/>
    <cellStyle name="Output 11_Table 2A-1_EFT (Annual)" xfId="3328"/>
    <cellStyle name="Output 12" xfId="85"/>
    <cellStyle name="Output 12 10" xfId="26641"/>
    <cellStyle name="Output 12 2" xfId="484"/>
    <cellStyle name="Output 12 2 2" xfId="1461"/>
    <cellStyle name="Output 12 2 2 2" xfId="2731"/>
    <cellStyle name="Output 12 2 2 2 2" xfId="6292"/>
    <cellStyle name="Output 12 2 2 2 2 2" xfId="14486"/>
    <cellStyle name="Output 12 2 2 2 2 2 2" xfId="26458"/>
    <cellStyle name="Output 12 2 2 2 2 2 2 2" xfId="47644"/>
    <cellStyle name="Output 12 2 2 2 2 2 3" xfId="37040"/>
    <cellStyle name="Output 12 2 2 2 2 3" xfId="21345"/>
    <cellStyle name="Output 12 2 2 2 2 3 2" xfId="42532"/>
    <cellStyle name="Output 12 2 2 2 2 4" xfId="31948"/>
    <cellStyle name="Output 12 2 2 2 2_Table 2A-1_EFT (Annual)" xfId="15952"/>
    <cellStyle name="Output 12 2 2 2 3" xfId="11828"/>
    <cellStyle name="Output 12 2 2 2 3 2" xfId="23912"/>
    <cellStyle name="Output 12 2 2 2 3 2 2" xfId="45098"/>
    <cellStyle name="Output 12 2 2 2 3 3" xfId="34494"/>
    <cellStyle name="Output 12 2 2 2 4" xfId="18799"/>
    <cellStyle name="Output 12 2 2 2 4 2" xfId="39986"/>
    <cellStyle name="Output 12 2 2 2 5" xfId="29205"/>
    <cellStyle name="Output 12 2 2 2_Table 2A-1_EFT (Annual)" xfId="7569"/>
    <cellStyle name="Output 12 2 2 3" xfId="1909"/>
    <cellStyle name="Output 12 2 2 3 2" xfId="5470"/>
    <cellStyle name="Output 12 2 2 3 2 2" xfId="13685"/>
    <cellStyle name="Output 12 2 2 3 2 2 2" xfId="25673"/>
    <cellStyle name="Output 12 2 2 3 2 2 2 2" xfId="46859"/>
    <cellStyle name="Output 12 2 2 3 2 2 3" xfId="36255"/>
    <cellStyle name="Output 12 2 2 3 2 3" xfId="20560"/>
    <cellStyle name="Output 12 2 2 3 2 3 2" xfId="41747"/>
    <cellStyle name="Output 12 2 2 3 2 4" xfId="31127"/>
    <cellStyle name="Output 12 2 2 3 2_Table 2A-1_EFT (Annual)" xfId="15953"/>
    <cellStyle name="Output 12 2 2 3 3" xfId="11029"/>
    <cellStyle name="Output 12 2 2 3 3 2" xfId="23127"/>
    <cellStyle name="Output 12 2 2 3 3 2 2" xfId="44313"/>
    <cellStyle name="Output 12 2 2 3 3 3" xfId="33709"/>
    <cellStyle name="Output 12 2 2 3 4" xfId="18014"/>
    <cellStyle name="Output 12 2 2 3 4 2" xfId="39201"/>
    <cellStyle name="Output 12 2 2 3 5" xfId="28384"/>
    <cellStyle name="Output 12 2 2 3_Table 2A-1_EFT (Annual)" xfId="7570"/>
    <cellStyle name="Output 12 2 2 4" xfId="5022"/>
    <cellStyle name="Output 12 2 2 4 2" xfId="13282"/>
    <cellStyle name="Output 12 2 2 4 2 2" xfId="25288"/>
    <cellStyle name="Output 12 2 2 4 2 2 2" xfId="46474"/>
    <cellStyle name="Output 12 2 2 4 2 3" xfId="35870"/>
    <cellStyle name="Output 12 2 2 4 3" xfId="20175"/>
    <cellStyle name="Output 12 2 2 4 3 2" xfId="41362"/>
    <cellStyle name="Output 12 2 2 4 4" xfId="30679"/>
    <cellStyle name="Output 12 2 2 4_Table 2A-1_EFT (Annual)" xfId="15954"/>
    <cellStyle name="Output 12 2 2 5" xfId="10626"/>
    <cellStyle name="Output 12 2 2 5 2" xfId="22742"/>
    <cellStyle name="Output 12 2 2 5 2 2" xfId="43928"/>
    <cellStyle name="Output 12 2 2 5 3" xfId="33324"/>
    <cellStyle name="Output 12 2 2 6" xfId="17629"/>
    <cellStyle name="Output 12 2 2 6 2" xfId="38816"/>
    <cellStyle name="Output 12 2 2 7" xfId="27936"/>
    <cellStyle name="Output 12 2 2_Table 2A-1_EFT (Annual)" xfId="3336"/>
    <cellStyle name="Output 12 2 3" xfId="2200"/>
    <cellStyle name="Output 12 2 3 2" xfId="5761"/>
    <cellStyle name="Output 12 2 3 2 2" xfId="13976"/>
    <cellStyle name="Output 12 2 3 2 2 2" xfId="25964"/>
    <cellStyle name="Output 12 2 3 2 2 2 2" xfId="47150"/>
    <cellStyle name="Output 12 2 3 2 2 3" xfId="36546"/>
    <cellStyle name="Output 12 2 3 2 3" xfId="20851"/>
    <cellStyle name="Output 12 2 3 2 3 2" xfId="42038"/>
    <cellStyle name="Output 12 2 3 2 4" xfId="31418"/>
    <cellStyle name="Output 12 2 3 2_Table 2A-1_EFT (Annual)" xfId="15955"/>
    <cellStyle name="Output 12 2 3 3" xfId="11320"/>
    <cellStyle name="Output 12 2 3 3 2" xfId="23418"/>
    <cellStyle name="Output 12 2 3 3 2 2" xfId="44604"/>
    <cellStyle name="Output 12 2 3 3 3" xfId="34000"/>
    <cellStyle name="Output 12 2 3 4" xfId="18305"/>
    <cellStyle name="Output 12 2 3 4 2" xfId="39492"/>
    <cellStyle name="Output 12 2 3 5" xfId="28675"/>
    <cellStyle name="Output 12 2 3_Table 2A-1_EFT (Annual)" xfId="7571"/>
    <cellStyle name="Output 12 2 4" xfId="1734"/>
    <cellStyle name="Output 12 2 4 2" xfId="5295"/>
    <cellStyle name="Output 12 2 4 2 2" xfId="13520"/>
    <cellStyle name="Output 12 2 4 2 2 2" xfId="25511"/>
    <cellStyle name="Output 12 2 4 2 2 2 2" xfId="46697"/>
    <cellStyle name="Output 12 2 4 2 2 3" xfId="36093"/>
    <cellStyle name="Output 12 2 4 2 3" xfId="20398"/>
    <cellStyle name="Output 12 2 4 2 3 2" xfId="41585"/>
    <cellStyle name="Output 12 2 4 2 4" xfId="30952"/>
    <cellStyle name="Output 12 2 4 2_Table 2A-1_EFT (Annual)" xfId="15956"/>
    <cellStyle name="Output 12 2 4 3" xfId="10863"/>
    <cellStyle name="Output 12 2 4 3 2" xfId="22965"/>
    <cellStyle name="Output 12 2 4 3 2 2" xfId="44151"/>
    <cellStyle name="Output 12 2 4 3 3" xfId="33547"/>
    <cellStyle name="Output 12 2 4 4" xfId="17852"/>
    <cellStyle name="Output 12 2 4 4 2" xfId="39039"/>
    <cellStyle name="Output 12 2 4 5" xfId="28209"/>
    <cellStyle name="Output 12 2 4_Table 2A-1_EFT (Annual)" xfId="7572"/>
    <cellStyle name="Output 12 2 5" xfId="4054"/>
    <cellStyle name="Output 12 2 5 2" xfId="12378"/>
    <cellStyle name="Output 12 2 5 2 2" xfId="24400"/>
    <cellStyle name="Output 12 2 5 2 2 2" xfId="45586"/>
    <cellStyle name="Output 12 2 5 2 3" xfId="34982"/>
    <cellStyle name="Output 12 2 5 3" xfId="19287"/>
    <cellStyle name="Output 12 2 5 3 2" xfId="40474"/>
    <cellStyle name="Output 12 2 5 4" xfId="29742"/>
    <cellStyle name="Output 12 2 5_Table 2A-1_EFT (Annual)" xfId="15957"/>
    <cellStyle name="Output 12 2 6" xfId="9717"/>
    <cellStyle name="Output 12 2 6 2" xfId="21854"/>
    <cellStyle name="Output 12 2 6 2 2" xfId="43040"/>
    <cellStyle name="Output 12 2 6 3" xfId="32436"/>
    <cellStyle name="Output 12 2 7" xfId="16741"/>
    <cellStyle name="Output 12 2 7 2" xfId="37928"/>
    <cellStyle name="Output 12 2 8" xfId="26999"/>
    <cellStyle name="Output 12 2_Table 2A-1_EFT (Annual)" xfId="3335"/>
    <cellStyle name="Output 12 3" xfId="317"/>
    <cellStyle name="Output 12 3 2" xfId="1305"/>
    <cellStyle name="Output 12 3 2 2" xfId="2575"/>
    <cellStyle name="Output 12 3 2 2 2" xfId="6136"/>
    <cellStyle name="Output 12 3 2 2 2 2" xfId="14330"/>
    <cellStyle name="Output 12 3 2 2 2 2 2" xfId="26302"/>
    <cellStyle name="Output 12 3 2 2 2 2 2 2" xfId="47488"/>
    <cellStyle name="Output 12 3 2 2 2 2 3" xfId="36884"/>
    <cellStyle name="Output 12 3 2 2 2 3" xfId="21189"/>
    <cellStyle name="Output 12 3 2 2 2 3 2" xfId="42376"/>
    <cellStyle name="Output 12 3 2 2 2 4" xfId="31792"/>
    <cellStyle name="Output 12 3 2 2 2_Table 2A-1_EFT (Annual)" xfId="15958"/>
    <cellStyle name="Output 12 3 2 2 3" xfId="11672"/>
    <cellStyle name="Output 12 3 2 2 3 2" xfId="23756"/>
    <cellStyle name="Output 12 3 2 2 3 2 2" xfId="44942"/>
    <cellStyle name="Output 12 3 2 2 3 3" xfId="34338"/>
    <cellStyle name="Output 12 3 2 2 4" xfId="18643"/>
    <cellStyle name="Output 12 3 2 2 4 2" xfId="39830"/>
    <cellStyle name="Output 12 3 2 2 5" xfId="29049"/>
    <cellStyle name="Output 12 3 2 2_Table 2A-1_EFT (Annual)" xfId="7573"/>
    <cellStyle name="Output 12 3 2 3" xfId="1877"/>
    <cellStyle name="Output 12 3 2 3 2" xfId="5438"/>
    <cellStyle name="Output 12 3 2 3 2 2" xfId="13653"/>
    <cellStyle name="Output 12 3 2 3 2 2 2" xfId="25641"/>
    <cellStyle name="Output 12 3 2 3 2 2 2 2" xfId="46827"/>
    <cellStyle name="Output 12 3 2 3 2 2 3" xfId="36223"/>
    <cellStyle name="Output 12 3 2 3 2 3" xfId="20528"/>
    <cellStyle name="Output 12 3 2 3 2 3 2" xfId="41715"/>
    <cellStyle name="Output 12 3 2 3 2 4" xfId="31095"/>
    <cellStyle name="Output 12 3 2 3 2_Table 2A-1_EFT (Annual)" xfId="15959"/>
    <cellStyle name="Output 12 3 2 3 3" xfId="10997"/>
    <cellStyle name="Output 12 3 2 3 3 2" xfId="23095"/>
    <cellStyle name="Output 12 3 2 3 3 2 2" xfId="44281"/>
    <cellStyle name="Output 12 3 2 3 3 3" xfId="33677"/>
    <cellStyle name="Output 12 3 2 3 4" xfId="17982"/>
    <cellStyle name="Output 12 3 2 3 4 2" xfId="39169"/>
    <cellStyle name="Output 12 3 2 3 5" xfId="28352"/>
    <cellStyle name="Output 12 3 2 3_Table 2A-1_EFT (Annual)" xfId="7574"/>
    <cellStyle name="Output 12 3 2 4" xfId="4866"/>
    <cellStyle name="Output 12 3 2 4 2" xfId="13126"/>
    <cellStyle name="Output 12 3 2 4 2 2" xfId="25132"/>
    <cellStyle name="Output 12 3 2 4 2 2 2" xfId="46318"/>
    <cellStyle name="Output 12 3 2 4 2 3" xfId="35714"/>
    <cellStyle name="Output 12 3 2 4 3" xfId="20019"/>
    <cellStyle name="Output 12 3 2 4 3 2" xfId="41206"/>
    <cellStyle name="Output 12 3 2 4 4" xfId="30523"/>
    <cellStyle name="Output 12 3 2 4_Table 2A-1_EFT (Annual)" xfId="15960"/>
    <cellStyle name="Output 12 3 2 5" xfId="10470"/>
    <cellStyle name="Output 12 3 2 5 2" xfId="22586"/>
    <cellStyle name="Output 12 3 2 5 2 2" xfId="43772"/>
    <cellStyle name="Output 12 3 2 5 3" xfId="33168"/>
    <cellStyle name="Output 12 3 2 6" xfId="17473"/>
    <cellStyle name="Output 12 3 2 6 2" xfId="38660"/>
    <cellStyle name="Output 12 3 2 7" xfId="27780"/>
    <cellStyle name="Output 12 3 2_Table 2A-1_EFT (Annual)" xfId="3338"/>
    <cellStyle name="Output 12 3 3" xfId="2044"/>
    <cellStyle name="Output 12 3 3 2" xfId="5605"/>
    <cellStyle name="Output 12 3 3 2 2" xfId="13820"/>
    <cellStyle name="Output 12 3 3 2 2 2" xfId="25808"/>
    <cellStyle name="Output 12 3 3 2 2 2 2" xfId="46994"/>
    <cellStyle name="Output 12 3 3 2 2 3" xfId="36390"/>
    <cellStyle name="Output 12 3 3 2 3" xfId="20695"/>
    <cellStyle name="Output 12 3 3 2 3 2" xfId="41882"/>
    <cellStyle name="Output 12 3 3 2 4" xfId="31262"/>
    <cellStyle name="Output 12 3 3 2_Table 2A-1_EFT (Annual)" xfId="15961"/>
    <cellStyle name="Output 12 3 3 3" xfId="11164"/>
    <cellStyle name="Output 12 3 3 3 2" xfId="23262"/>
    <cellStyle name="Output 12 3 3 3 2 2" xfId="44448"/>
    <cellStyle name="Output 12 3 3 3 3" xfId="33844"/>
    <cellStyle name="Output 12 3 3 4" xfId="18149"/>
    <cellStyle name="Output 12 3 3 4 2" xfId="39336"/>
    <cellStyle name="Output 12 3 3 5" xfId="28519"/>
    <cellStyle name="Output 12 3 3_Table 2A-1_EFT (Annual)" xfId="7575"/>
    <cellStyle name="Output 12 3 4" xfId="1693"/>
    <cellStyle name="Output 12 3 4 2" xfId="5254"/>
    <cellStyle name="Output 12 3 4 2 2" xfId="13487"/>
    <cellStyle name="Output 12 3 4 2 2 2" xfId="25481"/>
    <cellStyle name="Output 12 3 4 2 2 2 2" xfId="46667"/>
    <cellStyle name="Output 12 3 4 2 2 3" xfId="36063"/>
    <cellStyle name="Output 12 3 4 2 3" xfId="20368"/>
    <cellStyle name="Output 12 3 4 2 3 2" xfId="41555"/>
    <cellStyle name="Output 12 3 4 2 4" xfId="30911"/>
    <cellStyle name="Output 12 3 4 2_Table 2A-1_EFT (Annual)" xfId="15962"/>
    <cellStyle name="Output 12 3 4 3" xfId="10831"/>
    <cellStyle name="Output 12 3 4 3 2" xfId="22935"/>
    <cellStyle name="Output 12 3 4 3 2 2" xfId="44121"/>
    <cellStyle name="Output 12 3 4 3 3" xfId="33517"/>
    <cellStyle name="Output 12 3 4 4" xfId="17822"/>
    <cellStyle name="Output 12 3 4 4 2" xfId="39009"/>
    <cellStyle name="Output 12 3 4 5" xfId="28168"/>
    <cellStyle name="Output 12 3 4_Table 2A-1_EFT (Annual)" xfId="7576"/>
    <cellStyle name="Output 12 3 5" xfId="3887"/>
    <cellStyle name="Output 12 3 5 2" xfId="12219"/>
    <cellStyle name="Output 12 3 5 2 2" xfId="24244"/>
    <cellStyle name="Output 12 3 5 2 2 2" xfId="45430"/>
    <cellStyle name="Output 12 3 5 2 3" xfId="34826"/>
    <cellStyle name="Output 12 3 5 3" xfId="19131"/>
    <cellStyle name="Output 12 3 5 3 2" xfId="40318"/>
    <cellStyle name="Output 12 3 5 4" xfId="29575"/>
    <cellStyle name="Output 12 3 5_Table 2A-1_EFT (Annual)" xfId="15963"/>
    <cellStyle name="Output 12 3 6" xfId="9556"/>
    <cellStyle name="Output 12 3 6 2" xfId="21698"/>
    <cellStyle name="Output 12 3 6 2 2" xfId="42884"/>
    <cellStyle name="Output 12 3 6 3" xfId="32280"/>
    <cellStyle name="Output 12 3 7" xfId="16585"/>
    <cellStyle name="Output 12 3 7 2" xfId="37772"/>
    <cellStyle name="Output 12 3 8" xfId="26832"/>
    <cellStyle name="Output 12 3_Table 2A-1_EFT (Annual)" xfId="3337"/>
    <cellStyle name="Output 12 4" xfId="1139"/>
    <cellStyle name="Output 12 4 2" xfId="2409"/>
    <cellStyle name="Output 12 4 2 2" xfId="5970"/>
    <cellStyle name="Output 12 4 2 2 2" xfId="14164"/>
    <cellStyle name="Output 12 4 2 2 2 2" xfId="26136"/>
    <cellStyle name="Output 12 4 2 2 2 2 2" xfId="47322"/>
    <cellStyle name="Output 12 4 2 2 2 3" xfId="36718"/>
    <cellStyle name="Output 12 4 2 2 3" xfId="21023"/>
    <cellStyle name="Output 12 4 2 2 3 2" xfId="42210"/>
    <cellStyle name="Output 12 4 2 2 4" xfId="31626"/>
    <cellStyle name="Output 12 4 2 2_Table 2A-1_EFT (Annual)" xfId="15964"/>
    <cellStyle name="Output 12 4 2 3" xfId="11506"/>
    <cellStyle name="Output 12 4 2 3 2" xfId="23590"/>
    <cellStyle name="Output 12 4 2 3 2 2" xfId="44776"/>
    <cellStyle name="Output 12 4 2 3 3" xfId="34172"/>
    <cellStyle name="Output 12 4 2 4" xfId="18477"/>
    <cellStyle name="Output 12 4 2 4 2" xfId="39664"/>
    <cellStyle name="Output 12 4 2 5" xfId="28883"/>
    <cellStyle name="Output 12 4 2_Table 2A-1_EFT (Annual)" xfId="7577"/>
    <cellStyle name="Output 12 4 3" xfId="1812"/>
    <cellStyle name="Output 12 4 3 2" xfId="5373"/>
    <cellStyle name="Output 12 4 3 2 2" xfId="13588"/>
    <cellStyle name="Output 12 4 3 2 2 2" xfId="25576"/>
    <cellStyle name="Output 12 4 3 2 2 2 2" xfId="46762"/>
    <cellStyle name="Output 12 4 3 2 2 3" xfId="36158"/>
    <cellStyle name="Output 12 4 3 2 3" xfId="20463"/>
    <cellStyle name="Output 12 4 3 2 3 2" xfId="41650"/>
    <cellStyle name="Output 12 4 3 2 4" xfId="31030"/>
    <cellStyle name="Output 12 4 3 2_Table 2A-1_EFT (Annual)" xfId="15965"/>
    <cellStyle name="Output 12 4 3 3" xfId="10932"/>
    <cellStyle name="Output 12 4 3 3 2" xfId="23030"/>
    <cellStyle name="Output 12 4 3 3 2 2" xfId="44216"/>
    <cellStyle name="Output 12 4 3 3 3" xfId="33612"/>
    <cellStyle name="Output 12 4 3 4" xfId="17917"/>
    <cellStyle name="Output 12 4 3 4 2" xfId="39104"/>
    <cellStyle name="Output 12 4 3 5" xfId="28287"/>
    <cellStyle name="Output 12 4 3_Table 2A-1_EFT (Annual)" xfId="7578"/>
    <cellStyle name="Output 12 4 4" xfId="4700"/>
    <cellStyle name="Output 12 4 4 2" xfId="12960"/>
    <cellStyle name="Output 12 4 4 2 2" xfId="24966"/>
    <cellStyle name="Output 12 4 4 2 2 2" xfId="46152"/>
    <cellStyle name="Output 12 4 4 2 3" xfId="35548"/>
    <cellStyle name="Output 12 4 4 3" xfId="19853"/>
    <cellStyle name="Output 12 4 4 3 2" xfId="41040"/>
    <cellStyle name="Output 12 4 4 4" xfId="30357"/>
    <cellStyle name="Output 12 4 4_Table 2A-1_EFT (Annual)" xfId="15966"/>
    <cellStyle name="Output 12 4 5" xfId="10304"/>
    <cellStyle name="Output 12 4 5 2" xfId="22420"/>
    <cellStyle name="Output 12 4 5 2 2" xfId="43606"/>
    <cellStyle name="Output 12 4 5 3" xfId="33002"/>
    <cellStyle name="Output 12 4 6" xfId="17307"/>
    <cellStyle name="Output 12 4 6 2" xfId="38494"/>
    <cellStyle name="Output 12 4 7" xfId="27614"/>
    <cellStyle name="Output 12 4_Table 2A-1_EFT (Annual)" xfId="3339"/>
    <cellStyle name="Output 12 5" xfId="1810"/>
    <cellStyle name="Output 12 5 2" xfId="5371"/>
    <cellStyle name="Output 12 5 2 2" xfId="13586"/>
    <cellStyle name="Output 12 5 2 2 2" xfId="25574"/>
    <cellStyle name="Output 12 5 2 2 2 2" xfId="46760"/>
    <cellStyle name="Output 12 5 2 2 3" xfId="36156"/>
    <cellStyle name="Output 12 5 2 3" xfId="20461"/>
    <cellStyle name="Output 12 5 2 3 2" xfId="41648"/>
    <cellStyle name="Output 12 5 2 4" xfId="31028"/>
    <cellStyle name="Output 12 5 2_Table 2A-1_EFT (Annual)" xfId="15967"/>
    <cellStyle name="Output 12 5 3" xfId="10930"/>
    <cellStyle name="Output 12 5 3 2" xfId="23028"/>
    <cellStyle name="Output 12 5 3 2 2" xfId="44214"/>
    <cellStyle name="Output 12 5 3 3" xfId="33610"/>
    <cellStyle name="Output 12 5 4" xfId="17915"/>
    <cellStyle name="Output 12 5 4 2" xfId="39102"/>
    <cellStyle name="Output 12 5 5" xfId="28285"/>
    <cellStyle name="Output 12 5_Table 2A-1_EFT (Annual)" xfId="7579"/>
    <cellStyle name="Output 12 6" xfId="1636"/>
    <cellStyle name="Output 12 6 2" xfId="5197"/>
    <cellStyle name="Output 12 6 2 2" xfId="13449"/>
    <cellStyle name="Output 12 6 2 2 2" xfId="25449"/>
    <cellStyle name="Output 12 6 2 2 2 2" xfId="46635"/>
    <cellStyle name="Output 12 6 2 2 3" xfId="36031"/>
    <cellStyle name="Output 12 6 2 3" xfId="20336"/>
    <cellStyle name="Output 12 6 2 3 2" xfId="41523"/>
    <cellStyle name="Output 12 6 2 4" xfId="30854"/>
    <cellStyle name="Output 12 6 2_Table 2A-1_EFT (Annual)" xfId="15968"/>
    <cellStyle name="Output 12 6 3" xfId="10793"/>
    <cellStyle name="Output 12 6 3 2" xfId="22903"/>
    <cellStyle name="Output 12 6 3 2 2" xfId="44089"/>
    <cellStyle name="Output 12 6 3 3" xfId="33485"/>
    <cellStyle name="Output 12 6 4" xfId="17790"/>
    <cellStyle name="Output 12 6 4 2" xfId="38977"/>
    <cellStyle name="Output 12 6 5" xfId="28111"/>
    <cellStyle name="Output 12 6_Table 2A-1_EFT (Annual)" xfId="7580"/>
    <cellStyle name="Output 12 7" xfId="3674"/>
    <cellStyle name="Output 12 7 2" xfId="12047"/>
    <cellStyle name="Output 12 7 2 2" xfId="24078"/>
    <cellStyle name="Output 12 7 2 2 2" xfId="45264"/>
    <cellStyle name="Output 12 7 2 3" xfId="34660"/>
    <cellStyle name="Output 12 7 3" xfId="18965"/>
    <cellStyle name="Output 12 7 3 2" xfId="40152"/>
    <cellStyle name="Output 12 7 4" xfId="29384"/>
    <cellStyle name="Output 12 7_Table 2A-1_EFT (Annual)" xfId="15969"/>
    <cellStyle name="Output 12 8" xfId="9364"/>
    <cellStyle name="Output 12 8 2" xfId="21532"/>
    <cellStyle name="Output 12 8 2 2" xfId="42718"/>
    <cellStyle name="Output 12 8 3" xfId="32114"/>
    <cellStyle name="Output 12 9" xfId="16419"/>
    <cellStyle name="Output 12 9 2" xfId="37606"/>
    <cellStyle name="Output 12_Table 2A-1_EFT (Annual)" xfId="3334"/>
    <cellStyle name="Output 13" xfId="151"/>
    <cellStyle name="Output 13 10" xfId="26706"/>
    <cellStyle name="Output 13 2" xfId="544"/>
    <cellStyle name="Output 13 2 2" xfId="1521"/>
    <cellStyle name="Output 13 2 2 2" xfId="2791"/>
    <cellStyle name="Output 13 2 2 2 2" xfId="6352"/>
    <cellStyle name="Output 13 2 2 2 2 2" xfId="14546"/>
    <cellStyle name="Output 13 2 2 2 2 2 2" xfId="26518"/>
    <cellStyle name="Output 13 2 2 2 2 2 2 2" xfId="47704"/>
    <cellStyle name="Output 13 2 2 2 2 2 3" xfId="37100"/>
    <cellStyle name="Output 13 2 2 2 2 3" xfId="21405"/>
    <cellStyle name="Output 13 2 2 2 2 3 2" xfId="42592"/>
    <cellStyle name="Output 13 2 2 2 2 4" xfId="32008"/>
    <cellStyle name="Output 13 2 2 2 2_Table 2A-1_EFT (Annual)" xfId="7582"/>
    <cellStyle name="Output 13 2 2 2 3" xfId="11888"/>
    <cellStyle name="Output 13 2 2 2 3 2" xfId="23972"/>
    <cellStyle name="Output 13 2 2 2 3 2 2" xfId="45158"/>
    <cellStyle name="Output 13 2 2 2 3 3" xfId="34554"/>
    <cellStyle name="Output 13 2 2 2 4" xfId="18859"/>
    <cellStyle name="Output 13 2 2 2 4 2" xfId="40046"/>
    <cellStyle name="Output 13 2 2 2 5" xfId="29265"/>
    <cellStyle name="Output 13 2 2 2_Table 2A-1_EFT (Annual)" xfId="7581"/>
    <cellStyle name="Output 13 2 2 3" xfId="1921"/>
    <cellStyle name="Output 13 2 2 3 2" xfId="5482"/>
    <cellStyle name="Output 13 2 2 3 2 2" xfId="13697"/>
    <cellStyle name="Output 13 2 2 3 2 2 2" xfId="25685"/>
    <cellStyle name="Output 13 2 2 3 2 2 2 2" xfId="46871"/>
    <cellStyle name="Output 13 2 2 3 2 2 3" xfId="36267"/>
    <cellStyle name="Output 13 2 2 3 2 3" xfId="20572"/>
    <cellStyle name="Output 13 2 2 3 2 3 2" xfId="41759"/>
    <cellStyle name="Output 13 2 2 3 2 4" xfId="31139"/>
    <cellStyle name="Output 13 2 2 3 2_Table 2A-1_EFT (Annual)" xfId="7584"/>
    <cellStyle name="Output 13 2 2 3 3" xfId="11041"/>
    <cellStyle name="Output 13 2 2 3 3 2" xfId="23139"/>
    <cellStyle name="Output 13 2 2 3 3 2 2" xfId="44325"/>
    <cellStyle name="Output 13 2 2 3 3 3" xfId="33721"/>
    <cellStyle name="Output 13 2 2 3 4" xfId="18026"/>
    <cellStyle name="Output 13 2 2 3 4 2" xfId="39213"/>
    <cellStyle name="Output 13 2 2 3 5" xfId="28396"/>
    <cellStyle name="Output 13 2 2 3_Table 2A-1_EFT (Annual)" xfId="7583"/>
    <cellStyle name="Output 13 2 2 4" xfId="5082"/>
    <cellStyle name="Output 13 2 2 4 2" xfId="13342"/>
    <cellStyle name="Output 13 2 2 4 2 2" xfId="25348"/>
    <cellStyle name="Output 13 2 2 4 2 2 2" xfId="46534"/>
    <cellStyle name="Output 13 2 2 4 2 3" xfId="35930"/>
    <cellStyle name="Output 13 2 2 4 3" xfId="20235"/>
    <cellStyle name="Output 13 2 2 4 3 2" xfId="41422"/>
    <cellStyle name="Output 13 2 2 4 4" xfId="30739"/>
    <cellStyle name="Output 13 2 2 4_Table 2A-1_EFT (Annual)" xfId="7585"/>
    <cellStyle name="Output 13 2 2 5" xfId="10686"/>
    <cellStyle name="Output 13 2 2 5 2" xfId="22802"/>
    <cellStyle name="Output 13 2 2 5 2 2" xfId="43988"/>
    <cellStyle name="Output 13 2 2 5 3" xfId="33384"/>
    <cellStyle name="Output 13 2 2 6" xfId="17689"/>
    <cellStyle name="Output 13 2 2 6 2" xfId="38876"/>
    <cellStyle name="Output 13 2 2 7" xfId="27996"/>
    <cellStyle name="Output 13 2 2_Table 2A-1_EFT (Annual)" xfId="3342"/>
    <cellStyle name="Output 13 2 3" xfId="2260"/>
    <cellStyle name="Output 13 2 3 2" xfId="5821"/>
    <cellStyle name="Output 13 2 3 2 2" xfId="14036"/>
    <cellStyle name="Output 13 2 3 2 2 2" xfId="26024"/>
    <cellStyle name="Output 13 2 3 2 2 2 2" xfId="47210"/>
    <cellStyle name="Output 13 2 3 2 2 3" xfId="36606"/>
    <cellStyle name="Output 13 2 3 2 3" xfId="20911"/>
    <cellStyle name="Output 13 2 3 2 3 2" xfId="42098"/>
    <cellStyle name="Output 13 2 3 2 4" xfId="31478"/>
    <cellStyle name="Output 13 2 3 2_Table 2A-1_EFT (Annual)" xfId="7587"/>
    <cellStyle name="Output 13 2 3 3" xfId="11380"/>
    <cellStyle name="Output 13 2 3 3 2" xfId="23478"/>
    <cellStyle name="Output 13 2 3 3 2 2" xfId="44664"/>
    <cellStyle name="Output 13 2 3 3 3" xfId="34060"/>
    <cellStyle name="Output 13 2 3 4" xfId="18365"/>
    <cellStyle name="Output 13 2 3 4 2" xfId="39552"/>
    <cellStyle name="Output 13 2 3 5" xfId="28735"/>
    <cellStyle name="Output 13 2 3_Table 2A-1_EFT (Annual)" xfId="7586"/>
    <cellStyle name="Output 13 2 4" xfId="1746"/>
    <cellStyle name="Output 13 2 4 2" xfId="5307"/>
    <cellStyle name="Output 13 2 4 2 2" xfId="13532"/>
    <cellStyle name="Output 13 2 4 2 2 2" xfId="25523"/>
    <cellStyle name="Output 13 2 4 2 2 2 2" xfId="46709"/>
    <cellStyle name="Output 13 2 4 2 2 3" xfId="36105"/>
    <cellStyle name="Output 13 2 4 2 3" xfId="20410"/>
    <cellStyle name="Output 13 2 4 2 3 2" xfId="41597"/>
    <cellStyle name="Output 13 2 4 2 4" xfId="30964"/>
    <cellStyle name="Output 13 2 4 2_Table 2A-1_EFT (Annual)" xfId="7589"/>
    <cellStyle name="Output 13 2 4 3" xfId="10875"/>
    <cellStyle name="Output 13 2 4 3 2" xfId="22977"/>
    <cellStyle name="Output 13 2 4 3 2 2" xfId="44163"/>
    <cellStyle name="Output 13 2 4 3 3" xfId="33559"/>
    <cellStyle name="Output 13 2 4 4" xfId="17864"/>
    <cellStyle name="Output 13 2 4 4 2" xfId="39051"/>
    <cellStyle name="Output 13 2 4 5" xfId="28221"/>
    <cellStyle name="Output 13 2 4_Table 2A-1_EFT (Annual)" xfId="7588"/>
    <cellStyle name="Output 13 2 5" xfId="4114"/>
    <cellStyle name="Output 13 2 5 2" xfId="12438"/>
    <cellStyle name="Output 13 2 5 2 2" xfId="24460"/>
    <cellStyle name="Output 13 2 5 2 2 2" xfId="45646"/>
    <cellStyle name="Output 13 2 5 2 3" xfId="35042"/>
    <cellStyle name="Output 13 2 5 3" xfId="19347"/>
    <cellStyle name="Output 13 2 5 3 2" xfId="40534"/>
    <cellStyle name="Output 13 2 5 4" xfId="29802"/>
    <cellStyle name="Output 13 2 5_Table 2A-1_EFT (Annual)" xfId="7590"/>
    <cellStyle name="Output 13 2 6" xfId="9777"/>
    <cellStyle name="Output 13 2 6 2" xfId="21914"/>
    <cellStyle name="Output 13 2 6 2 2" xfId="43100"/>
    <cellStyle name="Output 13 2 6 3" xfId="32496"/>
    <cellStyle name="Output 13 2 7" xfId="16801"/>
    <cellStyle name="Output 13 2 7 2" xfId="37988"/>
    <cellStyle name="Output 13 2 8" xfId="27059"/>
    <cellStyle name="Output 13 2_Table 2A-1_EFT (Annual)" xfId="3341"/>
    <cellStyle name="Output 13 3" xfId="382"/>
    <cellStyle name="Output 13 3 2" xfId="1365"/>
    <cellStyle name="Output 13 3 2 2" xfId="2635"/>
    <cellStyle name="Output 13 3 2 2 2" xfId="6196"/>
    <cellStyle name="Output 13 3 2 2 2 2" xfId="14390"/>
    <cellStyle name="Output 13 3 2 2 2 2 2" xfId="26362"/>
    <cellStyle name="Output 13 3 2 2 2 2 2 2" xfId="47548"/>
    <cellStyle name="Output 13 3 2 2 2 2 3" xfId="36944"/>
    <cellStyle name="Output 13 3 2 2 2 3" xfId="21249"/>
    <cellStyle name="Output 13 3 2 2 2 3 2" xfId="42436"/>
    <cellStyle name="Output 13 3 2 2 2 4" xfId="31852"/>
    <cellStyle name="Output 13 3 2 2 2_Table 2A-1_EFT (Annual)" xfId="7592"/>
    <cellStyle name="Output 13 3 2 2 3" xfId="11732"/>
    <cellStyle name="Output 13 3 2 2 3 2" xfId="23816"/>
    <cellStyle name="Output 13 3 2 2 3 2 2" xfId="45002"/>
    <cellStyle name="Output 13 3 2 2 3 3" xfId="34398"/>
    <cellStyle name="Output 13 3 2 2 4" xfId="18703"/>
    <cellStyle name="Output 13 3 2 2 4 2" xfId="39890"/>
    <cellStyle name="Output 13 3 2 2 5" xfId="29109"/>
    <cellStyle name="Output 13 3 2 2_Table 2A-1_EFT (Annual)" xfId="7591"/>
    <cellStyle name="Output 13 3 2 3" xfId="1890"/>
    <cellStyle name="Output 13 3 2 3 2" xfId="5451"/>
    <cellStyle name="Output 13 3 2 3 2 2" xfId="13666"/>
    <cellStyle name="Output 13 3 2 3 2 2 2" xfId="25654"/>
    <cellStyle name="Output 13 3 2 3 2 2 2 2" xfId="46840"/>
    <cellStyle name="Output 13 3 2 3 2 2 3" xfId="36236"/>
    <cellStyle name="Output 13 3 2 3 2 3" xfId="20541"/>
    <cellStyle name="Output 13 3 2 3 2 3 2" xfId="41728"/>
    <cellStyle name="Output 13 3 2 3 2 4" xfId="31108"/>
    <cellStyle name="Output 13 3 2 3 2_Table 2A-1_EFT (Annual)" xfId="7594"/>
    <cellStyle name="Output 13 3 2 3 3" xfId="11010"/>
    <cellStyle name="Output 13 3 2 3 3 2" xfId="23108"/>
    <cellStyle name="Output 13 3 2 3 3 2 2" xfId="44294"/>
    <cellStyle name="Output 13 3 2 3 3 3" xfId="33690"/>
    <cellStyle name="Output 13 3 2 3 4" xfId="17995"/>
    <cellStyle name="Output 13 3 2 3 4 2" xfId="39182"/>
    <cellStyle name="Output 13 3 2 3 5" xfId="28365"/>
    <cellStyle name="Output 13 3 2 3_Table 2A-1_EFT (Annual)" xfId="7593"/>
    <cellStyle name="Output 13 3 2 4" xfId="4926"/>
    <cellStyle name="Output 13 3 2 4 2" xfId="13186"/>
    <cellStyle name="Output 13 3 2 4 2 2" xfId="25192"/>
    <cellStyle name="Output 13 3 2 4 2 2 2" xfId="46378"/>
    <cellStyle name="Output 13 3 2 4 2 3" xfId="35774"/>
    <cellStyle name="Output 13 3 2 4 3" xfId="20079"/>
    <cellStyle name="Output 13 3 2 4 3 2" xfId="41266"/>
    <cellStyle name="Output 13 3 2 4 4" xfId="30583"/>
    <cellStyle name="Output 13 3 2 4_Table 2A-1_EFT (Annual)" xfId="7595"/>
    <cellStyle name="Output 13 3 2 5" xfId="10530"/>
    <cellStyle name="Output 13 3 2 5 2" xfId="22646"/>
    <cellStyle name="Output 13 3 2 5 2 2" xfId="43832"/>
    <cellStyle name="Output 13 3 2 5 3" xfId="33228"/>
    <cellStyle name="Output 13 3 2 6" xfId="17533"/>
    <cellStyle name="Output 13 3 2 6 2" xfId="38720"/>
    <cellStyle name="Output 13 3 2 7" xfId="27840"/>
    <cellStyle name="Output 13 3 2_Table 2A-1_EFT (Annual)" xfId="3344"/>
    <cellStyle name="Output 13 3 3" xfId="2104"/>
    <cellStyle name="Output 13 3 3 2" xfId="5665"/>
    <cellStyle name="Output 13 3 3 2 2" xfId="13880"/>
    <cellStyle name="Output 13 3 3 2 2 2" xfId="25868"/>
    <cellStyle name="Output 13 3 3 2 2 2 2" xfId="47054"/>
    <cellStyle name="Output 13 3 3 2 2 3" xfId="36450"/>
    <cellStyle name="Output 13 3 3 2 3" xfId="20755"/>
    <cellStyle name="Output 13 3 3 2 3 2" xfId="41942"/>
    <cellStyle name="Output 13 3 3 2 4" xfId="31322"/>
    <cellStyle name="Output 13 3 3 2_Table 2A-1_EFT (Annual)" xfId="7597"/>
    <cellStyle name="Output 13 3 3 3" xfId="11224"/>
    <cellStyle name="Output 13 3 3 3 2" xfId="23322"/>
    <cellStyle name="Output 13 3 3 3 2 2" xfId="44508"/>
    <cellStyle name="Output 13 3 3 3 3" xfId="33904"/>
    <cellStyle name="Output 13 3 3 4" xfId="18209"/>
    <cellStyle name="Output 13 3 3 4 2" xfId="39396"/>
    <cellStyle name="Output 13 3 3 5" xfId="28579"/>
    <cellStyle name="Output 13 3 3_Table 2A-1_EFT (Annual)" xfId="7596"/>
    <cellStyle name="Output 13 3 4" xfId="1710"/>
    <cellStyle name="Output 13 3 4 2" xfId="5271"/>
    <cellStyle name="Output 13 3 4 2 2" xfId="13500"/>
    <cellStyle name="Output 13 3 4 2 2 2" xfId="25493"/>
    <cellStyle name="Output 13 3 4 2 2 2 2" xfId="46679"/>
    <cellStyle name="Output 13 3 4 2 2 3" xfId="36075"/>
    <cellStyle name="Output 13 3 4 2 3" xfId="20380"/>
    <cellStyle name="Output 13 3 4 2 3 2" xfId="41567"/>
    <cellStyle name="Output 13 3 4 2 4" xfId="30928"/>
    <cellStyle name="Output 13 3 4 2_Table 2A-1_EFT (Annual)" xfId="7599"/>
    <cellStyle name="Output 13 3 4 3" xfId="10844"/>
    <cellStyle name="Output 13 3 4 3 2" xfId="22947"/>
    <cellStyle name="Output 13 3 4 3 2 2" xfId="44133"/>
    <cellStyle name="Output 13 3 4 3 3" xfId="33529"/>
    <cellStyle name="Output 13 3 4 4" xfId="17834"/>
    <cellStyle name="Output 13 3 4 4 2" xfId="39021"/>
    <cellStyle name="Output 13 3 4 5" xfId="28185"/>
    <cellStyle name="Output 13 3 4_Table 2A-1_EFT (Annual)" xfId="7598"/>
    <cellStyle name="Output 13 3 5" xfId="3952"/>
    <cellStyle name="Output 13 3 5 2" xfId="12280"/>
    <cellStyle name="Output 13 3 5 2 2" xfId="24304"/>
    <cellStyle name="Output 13 3 5 2 2 2" xfId="45490"/>
    <cellStyle name="Output 13 3 5 2 3" xfId="34886"/>
    <cellStyle name="Output 13 3 5 3" xfId="19191"/>
    <cellStyle name="Output 13 3 5 3 2" xfId="40378"/>
    <cellStyle name="Output 13 3 5 4" xfId="29640"/>
    <cellStyle name="Output 13 3 5_Table 2A-1_EFT (Annual)" xfId="7600"/>
    <cellStyle name="Output 13 3 6" xfId="9617"/>
    <cellStyle name="Output 13 3 6 2" xfId="21758"/>
    <cellStyle name="Output 13 3 6 2 2" xfId="42944"/>
    <cellStyle name="Output 13 3 6 3" xfId="32340"/>
    <cellStyle name="Output 13 3 7" xfId="16645"/>
    <cellStyle name="Output 13 3 7 2" xfId="37832"/>
    <cellStyle name="Output 13 3 8" xfId="26897"/>
    <cellStyle name="Output 13 3_Table 2A-1_EFT (Annual)" xfId="3343"/>
    <cellStyle name="Output 13 4" xfId="1199"/>
    <cellStyle name="Output 13 4 2" xfId="2469"/>
    <cellStyle name="Output 13 4 2 2" xfId="6030"/>
    <cellStyle name="Output 13 4 2 2 2" xfId="14224"/>
    <cellStyle name="Output 13 4 2 2 2 2" xfId="26196"/>
    <cellStyle name="Output 13 4 2 2 2 2 2" xfId="47382"/>
    <cellStyle name="Output 13 4 2 2 2 3" xfId="36778"/>
    <cellStyle name="Output 13 4 2 2 3" xfId="21083"/>
    <cellStyle name="Output 13 4 2 2 3 2" xfId="42270"/>
    <cellStyle name="Output 13 4 2 2 4" xfId="31686"/>
    <cellStyle name="Output 13 4 2 2_Table 2A-1_EFT (Annual)" xfId="7602"/>
    <cellStyle name="Output 13 4 2 3" xfId="11566"/>
    <cellStyle name="Output 13 4 2 3 2" xfId="23650"/>
    <cellStyle name="Output 13 4 2 3 2 2" xfId="44836"/>
    <cellStyle name="Output 13 4 2 3 3" xfId="34232"/>
    <cellStyle name="Output 13 4 2 4" xfId="18537"/>
    <cellStyle name="Output 13 4 2 4 2" xfId="39724"/>
    <cellStyle name="Output 13 4 2 5" xfId="28943"/>
    <cellStyle name="Output 13 4 2_Table 2A-1_EFT (Annual)" xfId="7601"/>
    <cellStyle name="Output 13 4 3" xfId="1826"/>
    <cellStyle name="Output 13 4 3 2" xfId="5387"/>
    <cellStyle name="Output 13 4 3 2 2" xfId="13602"/>
    <cellStyle name="Output 13 4 3 2 2 2" xfId="25590"/>
    <cellStyle name="Output 13 4 3 2 2 2 2" xfId="46776"/>
    <cellStyle name="Output 13 4 3 2 2 3" xfId="36172"/>
    <cellStyle name="Output 13 4 3 2 3" xfId="20477"/>
    <cellStyle name="Output 13 4 3 2 3 2" xfId="41664"/>
    <cellStyle name="Output 13 4 3 2 4" xfId="31044"/>
    <cellStyle name="Output 13 4 3 2_Table 2A-1_EFT (Annual)" xfId="7604"/>
    <cellStyle name="Output 13 4 3 3" xfId="10946"/>
    <cellStyle name="Output 13 4 3 3 2" xfId="23044"/>
    <cellStyle name="Output 13 4 3 3 2 2" xfId="44230"/>
    <cellStyle name="Output 13 4 3 3 3" xfId="33626"/>
    <cellStyle name="Output 13 4 3 4" xfId="17931"/>
    <cellStyle name="Output 13 4 3 4 2" xfId="39118"/>
    <cellStyle name="Output 13 4 3 5" xfId="28301"/>
    <cellStyle name="Output 13 4 3_Table 2A-1_EFT (Annual)" xfId="7603"/>
    <cellStyle name="Output 13 4 4" xfId="4760"/>
    <cellStyle name="Output 13 4 4 2" xfId="13020"/>
    <cellStyle name="Output 13 4 4 2 2" xfId="25026"/>
    <cellStyle name="Output 13 4 4 2 2 2" xfId="46212"/>
    <cellStyle name="Output 13 4 4 2 3" xfId="35608"/>
    <cellStyle name="Output 13 4 4 3" xfId="19913"/>
    <cellStyle name="Output 13 4 4 3 2" xfId="41100"/>
    <cellStyle name="Output 13 4 4 4" xfId="30417"/>
    <cellStyle name="Output 13 4 4_Table 2A-1_EFT (Annual)" xfId="7605"/>
    <cellStyle name="Output 13 4 5" xfId="10364"/>
    <cellStyle name="Output 13 4 5 2" xfId="22480"/>
    <cellStyle name="Output 13 4 5 2 2" xfId="43666"/>
    <cellStyle name="Output 13 4 5 3" xfId="33062"/>
    <cellStyle name="Output 13 4 6" xfId="17367"/>
    <cellStyle name="Output 13 4 6 2" xfId="38554"/>
    <cellStyle name="Output 13 4 7" xfId="27674"/>
    <cellStyle name="Output 13 4_Table 2A-1_EFT (Annual)" xfId="3345"/>
    <cellStyle name="Output 13 5" xfId="1781"/>
    <cellStyle name="Output 13 5 2" xfId="5342"/>
    <cellStyle name="Output 13 5 2 2" xfId="13557"/>
    <cellStyle name="Output 13 5 2 2 2" xfId="25545"/>
    <cellStyle name="Output 13 5 2 2 2 2" xfId="46731"/>
    <cellStyle name="Output 13 5 2 2 3" xfId="36127"/>
    <cellStyle name="Output 13 5 2 3" xfId="20432"/>
    <cellStyle name="Output 13 5 2 3 2" xfId="41619"/>
    <cellStyle name="Output 13 5 2 4" xfId="30999"/>
    <cellStyle name="Output 13 5 2_Table 2A-1_EFT (Annual)" xfId="7607"/>
    <cellStyle name="Output 13 5 3" xfId="10901"/>
    <cellStyle name="Output 13 5 3 2" xfId="22999"/>
    <cellStyle name="Output 13 5 3 2 2" xfId="44185"/>
    <cellStyle name="Output 13 5 3 3" xfId="33581"/>
    <cellStyle name="Output 13 5 4" xfId="17886"/>
    <cellStyle name="Output 13 5 4 2" xfId="39073"/>
    <cellStyle name="Output 13 5 5" xfId="28256"/>
    <cellStyle name="Output 13 5_Table 2A-1_EFT (Annual)" xfId="7606"/>
    <cellStyle name="Output 13 6" xfId="1653"/>
    <cellStyle name="Output 13 6 2" xfId="5214"/>
    <cellStyle name="Output 13 6 2 2" xfId="13461"/>
    <cellStyle name="Output 13 6 2 2 2" xfId="25461"/>
    <cellStyle name="Output 13 6 2 2 2 2" xfId="46647"/>
    <cellStyle name="Output 13 6 2 2 3" xfId="36043"/>
    <cellStyle name="Output 13 6 2 3" xfId="20348"/>
    <cellStyle name="Output 13 6 2 3 2" xfId="41535"/>
    <cellStyle name="Output 13 6 2 4" xfId="30871"/>
    <cellStyle name="Output 13 6 2_Table 2A-1_EFT (Annual)" xfId="7609"/>
    <cellStyle name="Output 13 6 3" xfId="10806"/>
    <cellStyle name="Output 13 6 3 2" xfId="22915"/>
    <cellStyle name="Output 13 6 3 2 2" xfId="44101"/>
    <cellStyle name="Output 13 6 3 3" xfId="33497"/>
    <cellStyle name="Output 13 6 4" xfId="17802"/>
    <cellStyle name="Output 13 6 4 2" xfId="38989"/>
    <cellStyle name="Output 13 6 5" xfId="28128"/>
    <cellStyle name="Output 13 6_Table 2A-1_EFT (Annual)" xfId="7608"/>
    <cellStyle name="Output 13 7" xfId="3740"/>
    <cellStyle name="Output 13 7 2" xfId="12108"/>
    <cellStyle name="Output 13 7 2 2" xfId="24138"/>
    <cellStyle name="Output 13 7 2 2 2" xfId="45324"/>
    <cellStyle name="Output 13 7 2 3" xfId="34720"/>
    <cellStyle name="Output 13 7 3" xfId="19025"/>
    <cellStyle name="Output 13 7 3 2" xfId="40212"/>
    <cellStyle name="Output 13 7 4" xfId="29449"/>
    <cellStyle name="Output 13 7_Table 2A-1_EFT (Annual)" xfId="7610"/>
    <cellStyle name="Output 13 8" xfId="9427"/>
    <cellStyle name="Output 13 8 2" xfId="21592"/>
    <cellStyle name="Output 13 8 2 2" xfId="42778"/>
    <cellStyle name="Output 13 8 3" xfId="32174"/>
    <cellStyle name="Output 13 9" xfId="16479"/>
    <cellStyle name="Output 13 9 2" xfId="37666"/>
    <cellStyle name="Output 13_Table 2A-1_EFT (Annual)" xfId="3340"/>
    <cellStyle name="Output 14" xfId="145"/>
    <cellStyle name="Output 14 10" xfId="26700"/>
    <cellStyle name="Output 14 2" xfId="538"/>
    <cellStyle name="Output 14 2 2" xfId="1515"/>
    <cellStyle name="Output 14 2 2 2" xfId="2785"/>
    <cellStyle name="Output 14 2 2 2 2" xfId="6346"/>
    <cellStyle name="Output 14 2 2 2 2 2" xfId="14540"/>
    <cellStyle name="Output 14 2 2 2 2 2 2" xfId="26512"/>
    <cellStyle name="Output 14 2 2 2 2 2 2 2" xfId="47698"/>
    <cellStyle name="Output 14 2 2 2 2 2 3" xfId="37094"/>
    <cellStyle name="Output 14 2 2 2 2 3" xfId="21399"/>
    <cellStyle name="Output 14 2 2 2 2 3 2" xfId="42586"/>
    <cellStyle name="Output 14 2 2 2 2 4" xfId="32002"/>
    <cellStyle name="Output 14 2 2 2 2_Table 2A-1_EFT (Annual)" xfId="7612"/>
    <cellStyle name="Output 14 2 2 2 3" xfId="11882"/>
    <cellStyle name="Output 14 2 2 2 3 2" xfId="23966"/>
    <cellStyle name="Output 14 2 2 2 3 2 2" xfId="45152"/>
    <cellStyle name="Output 14 2 2 2 3 3" xfId="34548"/>
    <cellStyle name="Output 14 2 2 2 4" xfId="18853"/>
    <cellStyle name="Output 14 2 2 2 4 2" xfId="40040"/>
    <cellStyle name="Output 14 2 2 2 5" xfId="29259"/>
    <cellStyle name="Output 14 2 2 2_Table 2A-1_EFT (Annual)" xfId="7611"/>
    <cellStyle name="Output 14 2 2 3" xfId="1920"/>
    <cellStyle name="Output 14 2 2 3 2" xfId="5481"/>
    <cellStyle name="Output 14 2 2 3 2 2" xfId="13696"/>
    <cellStyle name="Output 14 2 2 3 2 2 2" xfId="25684"/>
    <cellStyle name="Output 14 2 2 3 2 2 2 2" xfId="46870"/>
    <cellStyle name="Output 14 2 2 3 2 2 3" xfId="36266"/>
    <cellStyle name="Output 14 2 2 3 2 3" xfId="20571"/>
    <cellStyle name="Output 14 2 2 3 2 3 2" xfId="41758"/>
    <cellStyle name="Output 14 2 2 3 2 4" xfId="31138"/>
    <cellStyle name="Output 14 2 2 3 2_Table 2A-1_EFT (Annual)" xfId="7614"/>
    <cellStyle name="Output 14 2 2 3 3" xfId="11040"/>
    <cellStyle name="Output 14 2 2 3 3 2" xfId="23138"/>
    <cellStyle name="Output 14 2 2 3 3 2 2" xfId="44324"/>
    <cellStyle name="Output 14 2 2 3 3 3" xfId="33720"/>
    <cellStyle name="Output 14 2 2 3 4" xfId="18025"/>
    <cellStyle name="Output 14 2 2 3 4 2" xfId="39212"/>
    <cellStyle name="Output 14 2 2 3 5" xfId="28395"/>
    <cellStyle name="Output 14 2 2 3_Table 2A-1_EFT (Annual)" xfId="7613"/>
    <cellStyle name="Output 14 2 2 4" xfId="5076"/>
    <cellStyle name="Output 14 2 2 4 2" xfId="13336"/>
    <cellStyle name="Output 14 2 2 4 2 2" xfId="25342"/>
    <cellStyle name="Output 14 2 2 4 2 2 2" xfId="46528"/>
    <cellStyle name="Output 14 2 2 4 2 3" xfId="35924"/>
    <cellStyle name="Output 14 2 2 4 3" xfId="20229"/>
    <cellStyle name="Output 14 2 2 4 3 2" xfId="41416"/>
    <cellStyle name="Output 14 2 2 4 4" xfId="30733"/>
    <cellStyle name="Output 14 2 2 4_Table 2A-1_EFT (Annual)" xfId="7615"/>
    <cellStyle name="Output 14 2 2 5" xfId="10680"/>
    <cellStyle name="Output 14 2 2 5 2" xfId="22796"/>
    <cellStyle name="Output 14 2 2 5 2 2" xfId="43982"/>
    <cellStyle name="Output 14 2 2 5 3" xfId="33378"/>
    <cellStyle name="Output 14 2 2 6" xfId="17683"/>
    <cellStyle name="Output 14 2 2 6 2" xfId="38870"/>
    <cellStyle name="Output 14 2 2 7" xfId="27990"/>
    <cellStyle name="Output 14 2 2_Table 2A-1_EFT (Annual)" xfId="3348"/>
    <cellStyle name="Output 14 2 3" xfId="2254"/>
    <cellStyle name="Output 14 2 3 2" xfId="5815"/>
    <cellStyle name="Output 14 2 3 2 2" xfId="14030"/>
    <cellStyle name="Output 14 2 3 2 2 2" xfId="26018"/>
    <cellStyle name="Output 14 2 3 2 2 2 2" xfId="47204"/>
    <cellStyle name="Output 14 2 3 2 2 3" xfId="36600"/>
    <cellStyle name="Output 14 2 3 2 3" xfId="20905"/>
    <cellStyle name="Output 14 2 3 2 3 2" xfId="42092"/>
    <cellStyle name="Output 14 2 3 2 4" xfId="31472"/>
    <cellStyle name="Output 14 2 3 2_Table 2A-1_EFT (Annual)" xfId="7617"/>
    <cellStyle name="Output 14 2 3 3" xfId="11374"/>
    <cellStyle name="Output 14 2 3 3 2" xfId="23472"/>
    <cellStyle name="Output 14 2 3 3 2 2" xfId="44658"/>
    <cellStyle name="Output 14 2 3 3 3" xfId="34054"/>
    <cellStyle name="Output 14 2 3 4" xfId="18359"/>
    <cellStyle name="Output 14 2 3 4 2" xfId="39546"/>
    <cellStyle name="Output 14 2 3 5" xfId="28729"/>
    <cellStyle name="Output 14 2 3_Table 2A-1_EFT (Annual)" xfId="7616"/>
    <cellStyle name="Output 14 2 4" xfId="1745"/>
    <cellStyle name="Output 14 2 4 2" xfId="5306"/>
    <cellStyle name="Output 14 2 4 2 2" xfId="13531"/>
    <cellStyle name="Output 14 2 4 2 2 2" xfId="25522"/>
    <cellStyle name="Output 14 2 4 2 2 2 2" xfId="46708"/>
    <cellStyle name="Output 14 2 4 2 2 3" xfId="36104"/>
    <cellStyle name="Output 14 2 4 2 3" xfId="20409"/>
    <cellStyle name="Output 14 2 4 2 3 2" xfId="41596"/>
    <cellStyle name="Output 14 2 4 2 4" xfId="30963"/>
    <cellStyle name="Output 14 2 4 2_Table 2A-1_EFT (Annual)" xfId="7619"/>
    <cellStyle name="Output 14 2 4 3" xfId="10874"/>
    <cellStyle name="Output 14 2 4 3 2" xfId="22976"/>
    <cellStyle name="Output 14 2 4 3 2 2" xfId="44162"/>
    <cellStyle name="Output 14 2 4 3 3" xfId="33558"/>
    <cellStyle name="Output 14 2 4 4" xfId="17863"/>
    <cellStyle name="Output 14 2 4 4 2" xfId="39050"/>
    <cellStyle name="Output 14 2 4 5" xfId="28220"/>
    <cellStyle name="Output 14 2 4_Table 2A-1_EFT (Annual)" xfId="7618"/>
    <cellStyle name="Output 14 2 5" xfId="4108"/>
    <cellStyle name="Output 14 2 5 2" xfId="12432"/>
    <cellStyle name="Output 14 2 5 2 2" xfId="24454"/>
    <cellStyle name="Output 14 2 5 2 2 2" xfId="45640"/>
    <cellStyle name="Output 14 2 5 2 3" xfId="35036"/>
    <cellStyle name="Output 14 2 5 3" xfId="19341"/>
    <cellStyle name="Output 14 2 5 3 2" xfId="40528"/>
    <cellStyle name="Output 14 2 5 4" xfId="29796"/>
    <cellStyle name="Output 14 2 5_Table 2A-1_EFT (Annual)" xfId="7620"/>
    <cellStyle name="Output 14 2 6" xfId="9771"/>
    <cellStyle name="Output 14 2 6 2" xfId="21908"/>
    <cellStyle name="Output 14 2 6 2 2" xfId="43094"/>
    <cellStyle name="Output 14 2 6 3" xfId="32490"/>
    <cellStyle name="Output 14 2 7" xfId="16795"/>
    <cellStyle name="Output 14 2 7 2" xfId="37982"/>
    <cellStyle name="Output 14 2 8" xfId="27053"/>
    <cellStyle name="Output 14 2_Table 2A-1_EFT (Annual)" xfId="3347"/>
    <cellStyle name="Output 14 3" xfId="376"/>
    <cellStyle name="Output 14 3 2" xfId="1359"/>
    <cellStyle name="Output 14 3 2 2" xfId="2629"/>
    <cellStyle name="Output 14 3 2 2 2" xfId="6190"/>
    <cellStyle name="Output 14 3 2 2 2 2" xfId="14384"/>
    <cellStyle name="Output 14 3 2 2 2 2 2" xfId="26356"/>
    <cellStyle name="Output 14 3 2 2 2 2 2 2" xfId="47542"/>
    <cellStyle name="Output 14 3 2 2 2 2 3" xfId="36938"/>
    <cellStyle name="Output 14 3 2 2 2 3" xfId="21243"/>
    <cellStyle name="Output 14 3 2 2 2 3 2" xfId="42430"/>
    <cellStyle name="Output 14 3 2 2 2 4" xfId="31846"/>
    <cellStyle name="Output 14 3 2 2 2_Table 2A-1_EFT (Annual)" xfId="7622"/>
    <cellStyle name="Output 14 3 2 2 3" xfId="11726"/>
    <cellStyle name="Output 14 3 2 2 3 2" xfId="23810"/>
    <cellStyle name="Output 14 3 2 2 3 2 2" xfId="44996"/>
    <cellStyle name="Output 14 3 2 2 3 3" xfId="34392"/>
    <cellStyle name="Output 14 3 2 2 4" xfId="18697"/>
    <cellStyle name="Output 14 3 2 2 4 2" xfId="39884"/>
    <cellStyle name="Output 14 3 2 2 5" xfId="29103"/>
    <cellStyle name="Output 14 3 2 2_Table 2A-1_EFT (Annual)" xfId="7621"/>
    <cellStyle name="Output 14 3 2 3" xfId="1889"/>
    <cellStyle name="Output 14 3 2 3 2" xfId="5450"/>
    <cellStyle name="Output 14 3 2 3 2 2" xfId="13665"/>
    <cellStyle name="Output 14 3 2 3 2 2 2" xfId="25653"/>
    <cellStyle name="Output 14 3 2 3 2 2 2 2" xfId="46839"/>
    <cellStyle name="Output 14 3 2 3 2 2 3" xfId="36235"/>
    <cellStyle name="Output 14 3 2 3 2 3" xfId="20540"/>
    <cellStyle name="Output 14 3 2 3 2 3 2" xfId="41727"/>
    <cellStyle name="Output 14 3 2 3 2 4" xfId="31107"/>
    <cellStyle name="Output 14 3 2 3 2_Table 2A-1_EFT (Annual)" xfId="7624"/>
    <cellStyle name="Output 14 3 2 3 3" xfId="11009"/>
    <cellStyle name="Output 14 3 2 3 3 2" xfId="23107"/>
    <cellStyle name="Output 14 3 2 3 3 2 2" xfId="44293"/>
    <cellStyle name="Output 14 3 2 3 3 3" xfId="33689"/>
    <cellStyle name="Output 14 3 2 3 4" xfId="17994"/>
    <cellStyle name="Output 14 3 2 3 4 2" xfId="39181"/>
    <cellStyle name="Output 14 3 2 3 5" xfId="28364"/>
    <cellStyle name="Output 14 3 2 3_Table 2A-1_EFT (Annual)" xfId="7623"/>
    <cellStyle name="Output 14 3 2 4" xfId="4920"/>
    <cellStyle name="Output 14 3 2 4 2" xfId="13180"/>
    <cellStyle name="Output 14 3 2 4 2 2" xfId="25186"/>
    <cellStyle name="Output 14 3 2 4 2 2 2" xfId="46372"/>
    <cellStyle name="Output 14 3 2 4 2 3" xfId="35768"/>
    <cellStyle name="Output 14 3 2 4 3" xfId="20073"/>
    <cellStyle name="Output 14 3 2 4 3 2" xfId="41260"/>
    <cellStyle name="Output 14 3 2 4 4" xfId="30577"/>
    <cellStyle name="Output 14 3 2 4_Table 2A-1_EFT (Annual)" xfId="7625"/>
    <cellStyle name="Output 14 3 2 5" xfId="10524"/>
    <cellStyle name="Output 14 3 2 5 2" xfId="22640"/>
    <cellStyle name="Output 14 3 2 5 2 2" xfId="43826"/>
    <cellStyle name="Output 14 3 2 5 3" xfId="33222"/>
    <cellStyle name="Output 14 3 2 6" xfId="17527"/>
    <cellStyle name="Output 14 3 2 6 2" xfId="38714"/>
    <cellStyle name="Output 14 3 2 7" xfId="27834"/>
    <cellStyle name="Output 14 3 2_Table 2A-1_EFT (Annual)" xfId="3350"/>
    <cellStyle name="Output 14 3 3" xfId="2098"/>
    <cellStyle name="Output 14 3 3 2" xfId="5659"/>
    <cellStyle name="Output 14 3 3 2 2" xfId="13874"/>
    <cellStyle name="Output 14 3 3 2 2 2" xfId="25862"/>
    <cellStyle name="Output 14 3 3 2 2 2 2" xfId="47048"/>
    <cellStyle name="Output 14 3 3 2 2 3" xfId="36444"/>
    <cellStyle name="Output 14 3 3 2 3" xfId="20749"/>
    <cellStyle name="Output 14 3 3 2 3 2" xfId="41936"/>
    <cellStyle name="Output 14 3 3 2 4" xfId="31316"/>
    <cellStyle name="Output 14 3 3 2_Table 2A-1_EFT (Annual)" xfId="7627"/>
    <cellStyle name="Output 14 3 3 3" xfId="11218"/>
    <cellStyle name="Output 14 3 3 3 2" xfId="23316"/>
    <cellStyle name="Output 14 3 3 3 2 2" xfId="44502"/>
    <cellStyle name="Output 14 3 3 3 3" xfId="33898"/>
    <cellStyle name="Output 14 3 3 4" xfId="18203"/>
    <cellStyle name="Output 14 3 3 4 2" xfId="39390"/>
    <cellStyle name="Output 14 3 3 5" xfId="28573"/>
    <cellStyle name="Output 14 3 3_Table 2A-1_EFT (Annual)" xfId="7626"/>
    <cellStyle name="Output 14 3 4" xfId="1709"/>
    <cellStyle name="Output 14 3 4 2" xfId="5270"/>
    <cellStyle name="Output 14 3 4 2 2" xfId="13499"/>
    <cellStyle name="Output 14 3 4 2 2 2" xfId="25492"/>
    <cellStyle name="Output 14 3 4 2 2 2 2" xfId="46678"/>
    <cellStyle name="Output 14 3 4 2 2 3" xfId="36074"/>
    <cellStyle name="Output 14 3 4 2 3" xfId="20379"/>
    <cellStyle name="Output 14 3 4 2 3 2" xfId="41566"/>
    <cellStyle name="Output 14 3 4 2 4" xfId="30927"/>
    <cellStyle name="Output 14 3 4 2_Table 2A-1_EFT (Annual)" xfId="7629"/>
    <cellStyle name="Output 14 3 4 3" xfId="10843"/>
    <cellStyle name="Output 14 3 4 3 2" xfId="22946"/>
    <cellStyle name="Output 14 3 4 3 2 2" xfId="44132"/>
    <cellStyle name="Output 14 3 4 3 3" xfId="33528"/>
    <cellStyle name="Output 14 3 4 4" xfId="17833"/>
    <cellStyle name="Output 14 3 4 4 2" xfId="39020"/>
    <cellStyle name="Output 14 3 4 5" xfId="28184"/>
    <cellStyle name="Output 14 3 4_Table 2A-1_EFT (Annual)" xfId="7628"/>
    <cellStyle name="Output 14 3 5" xfId="3946"/>
    <cellStyle name="Output 14 3 5 2" xfId="12274"/>
    <cellStyle name="Output 14 3 5 2 2" xfId="24298"/>
    <cellStyle name="Output 14 3 5 2 2 2" xfId="45484"/>
    <cellStyle name="Output 14 3 5 2 3" xfId="34880"/>
    <cellStyle name="Output 14 3 5 3" xfId="19185"/>
    <cellStyle name="Output 14 3 5 3 2" xfId="40372"/>
    <cellStyle name="Output 14 3 5 4" xfId="29634"/>
    <cellStyle name="Output 14 3 5_Table 2A-1_EFT (Annual)" xfId="7630"/>
    <cellStyle name="Output 14 3 6" xfId="9611"/>
    <cellStyle name="Output 14 3 6 2" xfId="21752"/>
    <cellStyle name="Output 14 3 6 2 2" xfId="42938"/>
    <cellStyle name="Output 14 3 6 3" xfId="32334"/>
    <cellStyle name="Output 14 3 7" xfId="16639"/>
    <cellStyle name="Output 14 3 7 2" xfId="37826"/>
    <cellStyle name="Output 14 3 8" xfId="26891"/>
    <cellStyle name="Output 14 3_Table 2A-1_EFT (Annual)" xfId="3349"/>
    <cellStyle name="Output 14 4" xfId="1193"/>
    <cellStyle name="Output 14 4 2" xfId="2463"/>
    <cellStyle name="Output 14 4 2 2" xfId="6024"/>
    <cellStyle name="Output 14 4 2 2 2" xfId="14218"/>
    <cellStyle name="Output 14 4 2 2 2 2" xfId="26190"/>
    <cellStyle name="Output 14 4 2 2 2 2 2" xfId="47376"/>
    <cellStyle name="Output 14 4 2 2 2 3" xfId="36772"/>
    <cellStyle name="Output 14 4 2 2 3" xfId="21077"/>
    <cellStyle name="Output 14 4 2 2 3 2" xfId="42264"/>
    <cellStyle name="Output 14 4 2 2 4" xfId="31680"/>
    <cellStyle name="Output 14 4 2 2_Table 2A-1_EFT (Annual)" xfId="7632"/>
    <cellStyle name="Output 14 4 2 3" xfId="11560"/>
    <cellStyle name="Output 14 4 2 3 2" xfId="23644"/>
    <cellStyle name="Output 14 4 2 3 2 2" xfId="44830"/>
    <cellStyle name="Output 14 4 2 3 3" xfId="34226"/>
    <cellStyle name="Output 14 4 2 4" xfId="18531"/>
    <cellStyle name="Output 14 4 2 4 2" xfId="39718"/>
    <cellStyle name="Output 14 4 2 5" xfId="28937"/>
    <cellStyle name="Output 14 4 2_Table 2A-1_EFT (Annual)" xfId="7631"/>
    <cellStyle name="Output 14 4 3" xfId="1825"/>
    <cellStyle name="Output 14 4 3 2" xfId="5386"/>
    <cellStyle name="Output 14 4 3 2 2" xfId="13601"/>
    <cellStyle name="Output 14 4 3 2 2 2" xfId="25589"/>
    <cellStyle name="Output 14 4 3 2 2 2 2" xfId="46775"/>
    <cellStyle name="Output 14 4 3 2 2 3" xfId="36171"/>
    <cellStyle name="Output 14 4 3 2 3" xfId="20476"/>
    <cellStyle name="Output 14 4 3 2 3 2" xfId="41663"/>
    <cellStyle name="Output 14 4 3 2 4" xfId="31043"/>
    <cellStyle name="Output 14 4 3 2_Table 2A-1_EFT (Annual)" xfId="7634"/>
    <cellStyle name="Output 14 4 3 3" xfId="10945"/>
    <cellStyle name="Output 14 4 3 3 2" xfId="23043"/>
    <cellStyle name="Output 14 4 3 3 2 2" xfId="44229"/>
    <cellStyle name="Output 14 4 3 3 3" xfId="33625"/>
    <cellStyle name="Output 14 4 3 4" xfId="17930"/>
    <cellStyle name="Output 14 4 3 4 2" xfId="39117"/>
    <cellStyle name="Output 14 4 3 5" xfId="28300"/>
    <cellStyle name="Output 14 4 3_Table 2A-1_EFT (Annual)" xfId="7633"/>
    <cellStyle name="Output 14 4 4" xfId="4754"/>
    <cellStyle name="Output 14 4 4 2" xfId="13014"/>
    <cellStyle name="Output 14 4 4 2 2" xfId="25020"/>
    <cellStyle name="Output 14 4 4 2 2 2" xfId="46206"/>
    <cellStyle name="Output 14 4 4 2 3" xfId="35602"/>
    <cellStyle name="Output 14 4 4 3" xfId="19907"/>
    <cellStyle name="Output 14 4 4 3 2" xfId="41094"/>
    <cellStyle name="Output 14 4 4 4" xfId="30411"/>
    <cellStyle name="Output 14 4 4_Table 2A-1_EFT (Annual)" xfId="7635"/>
    <cellStyle name="Output 14 4 5" xfId="10358"/>
    <cellStyle name="Output 14 4 5 2" xfId="22474"/>
    <cellStyle name="Output 14 4 5 2 2" xfId="43660"/>
    <cellStyle name="Output 14 4 5 3" xfId="33056"/>
    <cellStyle name="Output 14 4 6" xfId="17361"/>
    <cellStyle name="Output 14 4 6 2" xfId="38548"/>
    <cellStyle name="Output 14 4 7" xfId="27668"/>
    <cellStyle name="Output 14 4_Table 2A-1_EFT (Annual)" xfId="3351"/>
    <cellStyle name="Output 14 5" xfId="1784"/>
    <cellStyle name="Output 14 5 2" xfId="5345"/>
    <cellStyle name="Output 14 5 2 2" xfId="13560"/>
    <cellStyle name="Output 14 5 2 2 2" xfId="25548"/>
    <cellStyle name="Output 14 5 2 2 2 2" xfId="46734"/>
    <cellStyle name="Output 14 5 2 2 3" xfId="36130"/>
    <cellStyle name="Output 14 5 2 3" xfId="20435"/>
    <cellStyle name="Output 14 5 2 3 2" xfId="41622"/>
    <cellStyle name="Output 14 5 2 4" xfId="31002"/>
    <cellStyle name="Output 14 5 2_Table 2A-1_EFT (Annual)" xfId="7637"/>
    <cellStyle name="Output 14 5 3" xfId="10904"/>
    <cellStyle name="Output 14 5 3 2" xfId="23002"/>
    <cellStyle name="Output 14 5 3 2 2" xfId="44188"/>
    <cellStyle name="Output 14 5 3 3" xfId="33584"/>
    <cellStyle name="Output 14 5 4" xfId="17889"/>
    <cellStyle name="Output 14 5 4 2" xfId="39076"/>
    <cellStyle name="Output 14 5 5" xfId="28259"/>
    <cellStyle name="Output 14 5_Table 2A-1_EFT (Annual)" xfId="7636"/>
    <cellStyle name="Output 14 6" xfId="1652"/>
    <cellStyle name="Output 14 6 2" xfId="5213"/>
    <cellStyle name="Output 14 6 2 2" xfId="13460"/>
    <cellStyle name="Output 14 6 2 2 2" xfId="25460"/>
    <cellStyle name="Output 14 6 2 2 2 2" xfId="46646"/>
    <cellStyle name="Output 14 6 2 2 3" xfId="36042"/>
    <cellStyle name="Output 14 6 2 3" xfId="20347"/>
    <cellStyle name="Output 14 6 2 3 2" xfId="41534"/>
    <cellStyle name="Output 14 6 2 4" xfId="30870"/>
    <cellStyle name="Output 14 6 2_Table 2A-1_EFT (Annual)" xfId="7639"/>
    <cellStyle name="Output 14 6 3" xfId="10805"/>
    <cellStyle name="Output 14 6 3 2" xfId="22914"/>
    <cellStyle name="Output 14 6 3 2 2" xfId="44100"/>
    <cellStyle name="Output 14 6 3 3" xfId="33496"/>
    <cellStyle name="Output 14 6 4" xfId="17801"/>
    <cellStyle name="Output 14 6 4 2" xfId="38988"/>
    <cellStyle name="Output 14 6 5" xfId="28127"/>
    <cellStyle name="Output 14 6_Table 2A-1_EFT (Annual)" xfId="7638"/>
    <cellStyle name="Output 14 7" xfId="3734"/>
    <cellStyle name="Output 14 7 2" xfId="12102"/>
    <cellStyle name="Output 14 7 2 2" xfId="24132"/>
    <cellStyle name="Output 14 7 2 2 2" xfId="45318"/>
    <cellStyle name="Output 14 7 2 3" xfId="34714"/>
    <cellStyle name="Output 14 7 3" xfId="19019"/>
    <cellStyle name="Output 14 7 3 2" xfId="40206"/>
    <cellStyle name="Output 14 7 4" xfId="29443"/>
    <cellStyle name="Output 14 7_Table 2A-1_EFT (Annual)" xfId="7640"/>
    <cellStyle name="Output 14 8" xfId="9421"/>
    <cellStyle name="Output 14 8 2" xfId="21586"/>
    <cellStyle name="Output 14 8 2 2" xfId="42772"/>
    <cellStyle name="Output 14 8 3" xfId="32168"/>
    <cellStyle name="Output 14 9" xfId="16473"/>
    <cellStyle name="Output 14 9 2" xfId="37660"/>
    <cellStyle name="Output 14_Table 2A-1_EFT (Annual)" xfId="3346"/>
    <cellStyle name="Output 15" xfId="153"/>
    <cellStyle name="Output 15 10" xfId="26708"/>
    <cellStyle name="Output 15 2" xfId="546"/>
    <cellStyle name="Output 15 2 2" xfId="1523"/>
    <cellStyle name="Output 15 2 2 2" xfId="2793"/>
    <cellStyle name="Output 15 2 2 2 2" xfId="6354"/>
    <cellStyle name="Output 15 2 2 2 2 2" xfId="14548"/>
    <cellStyle name="Output 15 2 2 2 2 2 2" xfId="26520"/>
    <cellStyle name="Output 15 2 2 2 2 2 2 2" xfId="47706"/>
    <cellStyle name="Output 15 2 2 2 2 2 3" xfId="37102"/>
    <cellStyle name="Output 15 2 2 2 2 3" xfId="21407"/>
    <cellStyle name="Output 15 2 2 2 2 3 2" xfId="42594"/>
    <cellStyle name="Output 15 2 2 2 2 4" xfId="32010"/>
    <cellStyle name="Output 15 2 2 2 2_Table 2A-1_EFT (Annual)" xfId="7642"/>
    <cellStyle name="Output 15 2 2 2 3" xfId="11890"/>
    <cellStyle name="Output 15 2 2 2 3 2" xfId="23974"/>
    <cellStyle name="Output 15 2 2 2 3 2 2" xfId="45160"/>
    <cellStyle name="Output 15 2 2 2 3 3" xfId="34556"/>
    <cellStyle name="Output 15 2 2 2 4" xfId="18861"/>
    <cellStyle name="Output 15 2 2 2 4 2" xfId="40048"/>
    <cellStyle name="Output 15 2 2 2 5" xfId="29267"/>
    <cellStyle name="Output 15 2 2 2_Table 2A-1_EFT (Annual)" xfId="7641"/>
    <cellStyle name="Output 15 2 2 3" xfId="1922"/>
    <cellStyle name="Output 15 2 2 3 2" xfId="5483"/>
    <cellStyle name="Output 15 2 2 3 2 2" xfId="13698"/>
    <cellStyle name="Output 15 2 2 3 2 2 2" xfId="25686"/>
    <cellStyle name="Output 15 2 2 3 2 2 2 2" xfId="46872"/>
    <cellStyle name="Output 15 2 2 3 2 2 3" xfId="36268"/>
    <cellStyle name="Output 15 2 2 3 2 3" xfId="20573"/>
    <cellStyle name="Output 15 2 2 3 2 3 2" xfId="41760"/>
    <cellStyle name="Output 15 2 2 3 2 4" xfId="31140"/>
    <cellStyle name="Output 15 2 2 3 2_Table 2A-1_EFT (Annual)" xfId="7644"/>
    <cellStyle name="Output 15 2 2 3 3" xfId="11042"/>
    <cellStyle name="Output 15 2 2 3 3 2" xfId="23140"/>
    <cellStyle name="Output 15 2 2 3 3 2 2" xfId="44326"/>
    <cellStyle name="Output 15 2 2 3 3 3" xfId="33722"/>
    <cellStyle name="Output 15 2 2 3 4" xfId="18027"/>
    <cellStyle name="Output 15 2 2 3 4 2" xfId="39214"/>
    <cellStyle name="Output 15 2 2 3 5" xfId="28397"/>
    <cellStyle name="Output 15 2 2 3_Table 2A-1_EFT (Annual)" xfId="7643"/>
    <cellStyle name="Output 15 2 2 4" xfId="5084"/>
    <cellStyle name="Output 15 2 2 4 2" xfId="13344"/>
    <cellStyle name="Output 15 2 2 4 2 2" xfId="25350"/>
    <cellStyle name="Output 15 2 2 4 2 2 2" xfId="46536"/>
    <cellStyle name="Output 15 2 2 4 2 3" xfId="35932"/>
    <cellStyle name="Output 15 2 2 4 3" xfId="20237"/>
    <cellStyle name="Output 15 2 2 4 3 2" xfId="41424"/>
    <cellStyle name="Output 15 2 2 4 4" xfId="30741"/>
    <cellStyle name="Output 15 2 2 4_Table 2A-1_EFT (Annual)" xfId="7645"/>
    <cellStyle name="Output 15 2 2 5" xfId="10688"/>
    <cellStyle name="Output 15 2 2 5 2" xfId="22804"/>
    <cellStyle name="Output 15 2 2 5 2 2" xfId="43990"/>
    <cellStyle name="Output 15 2 2 5 3" xfId="33386"/>
    <cellStyle name="Output 15 2 2 6" xfId="17691"/>
    <cellStyle name="Output 15 2 2 6 2" xfId="38878"/>
    <cellStyle name="Output 15 2 2 7" xfId="27998"/>
    <cellStyle name="Output 15 2 2_Table 2A-1_EFT (Annual)" xfId="3354"/>
    <cellStyle name="Output 15 2 3" xfId="2262"/>
    <cellStyle name="Output 15 2 3 2" xfId="5823"/>
    <cellStyle name="Output 15 2 3 2 2" xfId="14038"/>
    <cellStyle name="Output 15 2 3 2 2 2" xfId="26026"/>
    <cellStyle name="Output 15 2 3 2 2 2 2" xfId="47212"/>
    <cellStyle name="Output 15 2 3 2 2 3" xfId="36608"/>
    <cellStyle name="Output 15 2 3 2 3" xfId="20913"/>
    <cellStyle name="Output 15 2 3 2 3 2" xfId="42100"/>
    <cellStyle name="Output 15 2 3 2 4" xfId="31480"/>
    <cellStyle name="Output 15 2 3 2_Table 2A-1_EFT (Annual)" xfId="7647"/>
    <cellStyle name="Output 15 2 3 3" xfId="11382"/>
    <cellStyle name="Output 15 2 3 3 2" xfId="23480"/>
    <cellStyle name="Output 15 2 3 3 2 2" xfId="44666"/>
    <cellStyle name="Output 15 2 3 3 3" xfId="34062"/>
    <cellStyle name="Output 15 2 3 4" xfId="18367"/>
    <cellStyle name="Output 15 2 3 4 2" xfId="39554"/>
    <cellStyle name="Output 15 2 3 5" xfId="28737"/>
    <cellStyle name="Output 15 2 3_Table 2A-1_EFT (Annual)" xfId="7646"/>
    <cellStyle name="Output 15 2 4" xfId="1747"/>
    <cellStyle name="Output 15 2 4 2" xfId="5308"/>
    <cellStyle name="Output 15 2 4 2 2" xfId="13533"/>
    <cellStyle name="Output 15 2 4 2 2 2" xfId="25524"/>
    <cellStyle name="Output 15 2 4 2 2 2 2" xfId="46710"/>
    <cellStyle name="Output 15 2 4 2 2 3" xfId="36106"/>
    <cellStyle name="Output 15 2 4 2 3" xfId="20411"/>
    <cellStyle name="Output 15 2 4 2 3 2" xfId="41598"/>
    <cellStyle name="Output 15 2 4 2 4" xfId="30965"/>
    <cellStyle name="Output 15 2 4 2_Table 2A-1_EFT (Annual)" xfId="7649"/>
    <cellStyle name="Output 15 2 4 3" xfId="10876"/>
    <cellStyle name="Output 15 2 4 3 2" xfId="22978"/>
    <cellStyle name="Output 15 2 4 3 2 2" xfId="44164"/>
    <cellStyle name="Output 15 2 4 3 3" xfId="33560"/>
    <cellStyle name="Output 15 2 4 4" xfId="17865"/>
    <cellStyle name="Output 15 2 4 4 2" xfId="39052"/>
    <cellStyle name="Output 15 2 4 5" xfId="28222"/>
    <cellStyle name="Output 15 2 4_Table 2A-1_EFT (Annual)" xfId="7648"/>
    <cellStyle name="Output 15 2 5" xfId="4116"/>
    <cellStyle name="Output 15 2 5 2" xfId="12440"/>
    <cellStyle name="Output 15 2 5 2 2" xfId="24462"/>
    <cellStyle name="Output 15 2 5 2 2 2" xfId="45648"/>
    <cellStyle name="Output 15 2 5 2 3" xfId="35044"/>
    <cellStyle name="Output 15 2 5 3" xfId="19349"/>
    <cellStyle name="Output 15 2 5 3 2" xfId="40536"/>
    <cellStyle name="Output 15 2 5 4" xfId="29804"/>
    <cellStyle name="Output 15 2 5_Table 2A-1_EFT (Annual)" xfId="7650"/>
    <cellStyle name="Output 15 2 6" xfId="9779"/>
    <cellStyle name="Output 15 2 6 2" xfId="21916"/>
    <cellStyle name="Output 15 2 6 2 2" xfId="43102"/>
    <cellStyle name="Output 15 2 6 3" xfId="32498"/>
    <cellStyle name="Output 15 2 7" xfId="16803"/>
    <cellStyle name="Output 15 2 7 2" xfId="37990"/>
    <cellStyle name="Output 15 2 8" xfId="27061"/>
    <cellStyle name="Output 15 2_Table 2A-1_EFT (Annual)" xfId="3353"/>
    <cellStyle name="Output 15 3" xfId="384"/>
    <cellStyle name="Output 15 3 2" xfId="1367"/>
    <cellStyle name="Output 15 3 2 2" xfId="2637"/>
    <cellStyle name="Output 15 3 2 2 2" xfId="6198"/>
    <cellStyle name="Output 15 3 2 2 2 2" xfId="14392"/>
    <cellStyle name="Output 15 3 2 2 2 2 2" xfId="26364"/>
    <cellStyle name="Output 15 3 2 2 2 2 2 2" xfId="47550"/>
    <cellStyle name="Output 15 3 2 2 2 2 3" xfId="36946"/>
    <cellStyle name="Output 15 3 2 2 2 3" xfId="21251"/>
    <cellStyle name="Output 15 3 2 2 2 3 2" xfId="42438"/>
    <cellStyle name="Output 15 3 2 2 2 4" xfId="31854"/>
    <cellStyle name="Output 15 3 2 2 2_Table 2A-1_EFT (Annual)" xfId="7652"/>
    <cellStyle name="Output 15 3 2 2 3" xfId="11734"/>
    <cellStyle name="Output 15 3 2 2 3 2" xfId="23818"/>
    <cellStyle name="Output 15 3 2 2 3 2 2" xfId="45004"/>
    <cellStyle name="Output 15 3 2 2 3 3" xfId="34400"/>
    <cellStyle name="Output 15 3 2 2 4" xfId="18705"/>
    <cellStyle name="Output 15 3 2 2 4 2" xfId="39892"/>
    <cellStyle name="Output 15 3 2 2 5" xfId="29111"/>
    <cellStyle name="Output 15 3 2 2_Table 2A-1_EFT (Annual)" xfId="7651"/>
    <cellStyle name="Output 15 3 2 3" xfId="1891"/>
    <cellStyle name="Output 15 3 2 3 2" xfId="5452"/>
    <cellStyle name="Output 15 3 2 3 2 2" xfId="13667"/>
    <cellStyle name="Output 15 3 2 3 2 2 2" xfId="25655"/>
    <cellStyle name="Output 15 3 2 3 2 2 2 2" xfId="46841"/>
    <cellStyle name="Output 15 3 2 3 2 2 3" xfId="36237"/>
    <cellStyle name="Output 15 3 2 3 2 3" xfId="20542"/>
    <cellStyle name="Output 15 3 2 3 2 3 2" xfId="41729"/>
    <cellStyle name="Output 15 3 2 3 2 4" xfId="31109"/>
    <cellStyle name="Output 15 3 2 3 2_Table 2A-1_EFT (Annual)" xfId="7654"/>
    <cellStyle name="Output 15 3 2 3 3" xfId="11011"/>
    <cellStyle name="Output 15 3 2 3 3 2" xfId="23109"/>
    <cellStyle name="Output 15 3 2 3 3 2 2" xfId="44295"/>
    <cellStyle name="Output 15 3 2 3 3 3" xfId="33691"/>
    <cellStyle name="Output 15 3 2 3 4" xfId="17996"/>
    <cellStyle name="Output 15 3 2 3 4 2" xfId="39183"/>
    <cellStyle name="Output 15 3 2 3 5" xfId="28366"/>
    <cellStyle name="Output 15 3 2 3_Table 2A-1_EFT (Annual)" xfId="7653"/>
    <cellStyle name="Output 15 3 2 4" xfId="4928"/>
    <cellStyle name="Output 15 3 2 4 2" xfId="13188"/>
    <cellStyle name="Output 15 3 2 4 2 2" xfId="25194"/>
    <cellStyle name="Output 15 3 2 4 2 2 2" xfId="46380"/>
    <cellStyle name="Output 15 3 2 4 2 3" xfId="35776"/>
    <cellStyle name="Output 15 3 2 4 3" xfId="20081"/>
    <cellStyle name="Output 15 3 2 4 3 2" xfId="41268"/>
    <cellStyle name="Output 15 3 2 4 4" xfId="30585"/>
    <cellStyle name="Output 15 3 2 4_Table 2A-1_EFT (Annual)" xfId="7655"/>
    <cellStyle name="Output 15 3 2 5" xfId="10532"/>
    <cellStyle name="Output 15 3 2 5 2" xfId="22648"/>
    <cellStyle name="Output 15 3 2 5 2 2" xfId="43834"/>
    <cellStyle name="Output 15 3 2 5 3" xfId="33230"/>
    <cellStyle name="Output 15 3 2 6" xfId="17535"/>
    <cellStyle name="Output 15 3 2 6 2" xfId="38722"/>
    <cellStyle name="Output 15 3 2 7" xfId="27842"/>
    <cellStyle name="Output 15 3 2_Table 2A-1_EFT (Annual)" xfId="3356"/>
    <cellStyle name="Output 15 3 3" xfId="2106"/>
    <cellStyle name="Output 15 3 3 2" xfId="5667"/>
    <cellStyle name="Output 15 3 3 2 2" xfId="13882"/>
    <cellStyle name="Output 15 3 3 2 2 2" xfId="25870"/>
    <cellStyle name="Output 15 3 3 2 2 2 2" xfId="47056"/>
    <cellStyle name="Output 15 3 3 2 2 3" xfId="36452"/>
    <cellStyle name="Output 15 3 3 2 3" xfId="20757"/>
    <cellStyle name="Output 15 3 3 2 3 2" xfId="41944"/>
    <cellStyle name="Output 15 3 3 2 4" xfId="31324"/>
    <cellStyle name="Output 15 3 3 2_Table 2A-1_EFT (Annual)" xfId="7657"/>
    <cellStyle name="Output 15 3 3 3" xfId="11226"/>
    <cellStyle name="Output 15 3 3 3 2" xfId="23324"/>
    <cellStyle name="Output 15 3 3 3 2 2" xfId="44510"/>
    <cellStyle name="Output 15 3 3 3 3" xfId="33906"/>
    <cellStyle name="Output 15 3 3 4" xfId="18211"/>
    <cellStyle name="Output 15 3 3 4 2" xfId="39398"/>
    <cellStyle name="Output 15 3 3 5" xfId="28581"/>
    <cellStyle name="Output 15 3 3_Table 2A-1_EFT (Annual)" xfId="7656"/>
    <cellStyle name="Output 15 3 4" xfId="1711"/>
    <cellStyle name="Output 15 3 4 2" xfId="5272"/>
    <cellStyle name="Output 15 3 4 2 2" xfId="13501"/>
    <cellStyle name="Output 15 3 4 2 2 2" xfId="25494"/>
    <cellStyle name="Output 15 3 4 2 2 2 2" xfId="46680"/>
    <cellStyle name="Output 15 3 4 2 2 3" xfId="36076"/>
    <cellStyle name="Output 15 3 4 2 3" xfId="20381"/>
    <cellStyle name="Output 15 3 4 2 3 2" xfId="41568"/>
    <cellStyle name="Output 15 3 4 2 4" xfId="30929"/>
    <cellStyle name="Output 15 3 4 2_Table 2A-1_EFT (Annual)" xfId="7659"/>
    <cellStyle name="Output 15 3 4 3" xfId="10845"/>
    <cellStyle name="Output 15 3 4 3 2" xfId="22948"/>
    <cellStyle name="Output 15 3 4 3 2 2" xfId="44134"/>
    <cellStyle name="Output 15 3 4 3 3" xfId="33530"/>
    <cellStyle name="Output 15 3 4 4" xfId="17835"/>
    <cellStyle name="Output 15 3 4 4 2" xfId="39022"/>
    <cellStyle name="Output 15 3 4 5" xfId="28186"/>
    <cellStyle name="Output 15 3 4_Table 2A-1_EFT (Annual)" xfId="7658"/>
    <cellStyle name="Output 15 3 5" xfId="3954"/>
    <cellStyle name="Output 15 3 5 2" xfId="12282"/>
    <cellStyle name="Output 15 3 5 2 2" xfId="24306"/>
    <cellStyle name="Output 15 3 5 2 2 2" xfId="45492"/>
    <cellStyle name="Output 15 3 5 2 3" xfId="34888"/>
    <cellStyle name="Output 15 3 5 3" xfId="19193"/>
    <cellStyle name="Output 15 3 5 3 2" xfId="40380"/>
    <cellStyle name="Output 15 3 5 4" xfId="29642"/>
    <cellStyle name="Output 15 3 5_Table 2A-1_EFT (Annual)" xfId="7660"/>
    <cellStyle name="Output 15 3 6" xfId="9619"/>
    <cellStyle name="Output 15 3 6 2" xfId="21760"/>
    <cellStyle name="Output 15 3 6 2 2" xfId="42946"/>
    <cellStyle name="Output 15 3 6 3" xfId="32342"/>
    <cellStyle name="Output 15 3 7" xfId="16647"/>
    <cellStyle name="Output 15 3 7 2" xfId="37834"/>
    <cellStyle name="Output 15 3 8" xfId="26899"/>
    <cellStyle name="Output 15 3_Table 2A-1_EFT (Annual)" xfId="3355"/>
    <cellStyle name="Output 15 4" xfId="1201"/>
    <cellStyle name="Output 15 4 2" xfId="2471"/>
    <cellStyle name="Output 15 4 2 2" xfId="6032"/>
    <cellStyle name="Output 15 4 2 2 2" xfId="14226"/>
    <cellStyle name="Output 15 4 2 2 2 2" xfId="26198"/>
    <cellStyle name="Output 15 4 2 2 2 2 2" xfId="47384"/>
    <cellStyle name="Output 15 4 2 2 2 3" xfId="36780"/>
    <cellStyle name="Output 15 4 2 2 3" xfId="21085"/>
    <cellStyle name="Output 15 4 2 2 3 2" xfId="42272"/>
    <cellStyle name="Output 15 4 2 2 4" xfId="31688"/>
    <cellStyle name="Output 15 4 2 2_Table 2A-1_EFT (Annual)" xfId="7662"/>
    <cellStyle name="Output 15 4 2 3" xfId="11568"/>
    <cellStyle name="Output 15 4 2 3 2" xfId="23652"/>
    <cellStyle name="Output 15 4 2 3 2 2" xfId="44838"/>
    <cellStyle name="Output 15 4 2 3 3" xfId="34234"/>
    <cellStyle name="Output 15 4 2 4" xfId="18539"/>
    <cellStyle name="Output 15 4 2 4 2" xfId="39726"/>
    <cellStyle name="Output 15 4 2 5" xfId="28945"/>
    <cellStyle name="Output 15 4 2_Table 2A-1_EFT (Annual)" xfId="7661"/>
    <cellStyle name="Output 15 4 3" xfId="1827"/>
    <cellStyle name="Output 15 4 3 2" xfId="5388"/>
    <cellStyle name="Output 15 4 3 2 2" xfId="13603"/>
    <cellStyle name="Output 15 4 3 2 2 2" xfId="25591"/>
    <cellStyle name="Output 15 4 3 2 2 2 2" xfId="46777"/>
    <cellStyle name="Output 15 4 3 2 2 3" xfId="36173"/>
    <cellStyle name="Output 15 4 3 2 3" xfId="20478"/>
    <cellStyle name="Output 15 4 3 2 3 2" xfId="41665"/>
    <cellStyle name="Output 15 4 3 2 4" xfId="31045"/>
    <cellStyle name="Output 15 4 3 2_Table 2A-1_EFT (Annual)" xfId="7664"/>
    <cellStyle name="Output 15 4 3 3" xfId="10947"/>
    <cellStyle name="Output 15 4 3 3 2" xfId="23045"/>
    <cellStyle name="Output 15 4 3 3 2 2" xfId="44231"/>
    <cellStyle name="Output 15 4 3 3 3" xfId="33627"/>
    <cellStyle name="Output 15 4 3 4" xfId="17932"/>
    <cellStyle name="Output 15 4 3 4 2" xfId="39119"/>
    <cellStyle name="Output 15 4 3 5" xfId="28302"/>
    <cellStyle name="Output 15 4 3_Table 2A-1_EFT (Annual)" xfId="7663"/>
    <cellStyle name="Output 15 4 4" xfId="4762"/>
    <cellStyle name="Output 15 4 4 2" xfId="13022"/>
    <cellStyle name="Output 15 4 4 2 2" xfId="25028"/>
    <cellStyle name="Output 15 4 4 2 2 2" xfId="46214"/>
    <cellStyle name="Output 15 4 4 2 3" xfId="35610"/>
    <cellStyle name="Output 15 4 4 3" xfId="19915"/>
    <cellStyle name="Output 15 4 4 3 2" xfId="41102"/>
    <cellStyle name="Output 15 4 4 4" xfId="30419"/>
    <cellStyle name="Output 15 4 4_Table 2A-1_EFT (Annual)" xfId="7665"/>
    <cellStyle name="Output 15 4 5" xfId="10366"/>
    <cellStyle name="Output 15 4 5 2" xfId="22482"/>
    <cellStyle name="Output 15 4 5 2 2" xfId="43668"/>
    <cellStyle name="Output 15 4 5 3" xfId="33064"/>
    <cellStyle name="Output 15 4 6" xfId="17369"/>
    <cellStyle name="Output 15 4 6 2" xfId="38556"/>
    <cellStyle name="Output 15 4 7" xfId="27676"/>
    <cellStyle name="Output 15 4_Table 2A-1_EFT (Annual)" xfId="3357"/>
    <cellStyle name="Output 15 5" xfId="1780"/>
    <cellStyle name="Output 15 5 2" xfId="5341"/>
    <cellStyle name="Output 15 5 2 2" xfId="13556"/>
    <cellStyle name="Output 15 5 2 2 2" xfId="25544"/>
    <cellStyle name="Output 15 5 2 2 2 2" xfId="46730"/>
    <cellStyle name="Output 15 5 2 2 3" xfId="36126"/>
    <cellStyle name="Output 15 5 2 3" xfId="20431"/>
    <cellStyle name="Output 15 5 2 3 2" xfId="41618"/>
    <cellStyle name="Output 15 5 2 4" xfId="30998"/>
    <cellStyle name="Output 15 5 2_Table 2A-1_EFT (Annual)" xfId="7667"/>
    <cellStyle name="Output 15 5 3" xfId="10900"/>
    <cellStyle name="Output 15 5 3 2" xfId="22998"/>
    <cellStyle name="Output 15 5 3 2 2" xfId="44184"/>
    <cellStyle name="Output 15 5 3 3" xfId="33580"/>
    <cellStyle name="Output 15 5 4" xfId="17885"/>
    <cellStyle name="Output 15 5 4 2" xfId="39072"/>
    <cellStyle name="Output 15 5 5" xfId="28255"/>
    <cellStyle name="Output 15 5_Table 2A-1_EFT (Annual)" xfId="7666"/>
    <cellStyle name="Output 15 6" xfId="1654"/>
    <cellStyle name="Output 15 6 2" xfId="5215"/>
    <cellStyle name="Output 15 6 2 2" xfId="13462"/>
    <cellStyle name="Output 15 6 2 2 2" xfId="25462"/>
    <cellStyle name="Output 15 6 2 2 2 2" xfId="46648"/>
    <cellStyle name="Output 15 6 2 2 3" xfId="36044"/>
    <cellStyle name="Output 15 6 2 3" xfId="20349"/>
    <cellStyle name="Output 15 6 2 3 2" xfId="41536"/>
    <cellStyle name="Output 15 6 2 4" xfId="30872"/>
    <cellStyle name="Output 15 6 2_Table 2A-1_EFT (Annual)" xfId="7669"/>
    <cellStyle name="Output 15 6 3" xfId="10807"/>
    <cellStyle name="Output 15 6 3 2" xfId="22916"/>
    <cellStyle name="Output 15 6 3 2 2" xfId="44102"/>
    <cellStyle name="Output 15 6 3 3" xfId="33498"/>
    <cellStyle name="Output 15 6 4" xfId="17803"/>
    <cellStyle name="Output 15 6 4 2" xfId="38990"/>
    <cellStyle name="Output 15 6 5" xfId="28129"/>
    <cellStyle name="Output 15 6_Table 2A-1_EFT (Annual)" xfId="7668"/>
    <cellStyle name="Output 15 7" xfId="3742"/>
    <cellStyle name="Output 15 7 2" xfId="12110"/>
    <cellStyle name="Output 15 7 2 2" xfId="24140"/>
    <cellStyle name="Output 15 7 2 2 2" xfId="45326"/>
    <cellStyle name="Output 15 7 2 3" xfId="34722"/>
    <cellStyle name="Output 15 7 3" xfId="19027"/>
    <cellStyle name="Output 15 7 3 2" xfId="40214"/>
    <cellStyle name="Output 15 7 4" xfId="29451"/>
    <cellStyle name="Output 15 7_Table 2A-1_EFT (Annual)" xfId="7670"/>
    <cellStyle name="Output 15 8" xfId="9429"/>
    <cellStyle name="Output 15 8 2" xfId="21594"/>
    <cellStyle name="Output 15 8 2 2" xfId="42780"/>
    <cellStyle name="Output 15 8 3" xfId="32176"/>
    <cellStyle name="Output 15 9" xfId="16481"/>
    <cellStyle name="Output 15 9 2" xfId="37668"/>
    <cellStyle name="Output 15_Table 2A-1_EFT (Annual)" xfId="3352"/>
    <cellStyle name="Output 16" xfId="163"/>
    <cellStyle name="Output 16 10" xfId="26718"/>
    <cellStyle name="Output 16 2" xfId="556"/>
    <cellStyle name="Output 16 2 2" xfId="1533"/>
    <cellStyle name="Output 16 2 2 2" xfId="2803"/>
    <cellStyle name="Output 16 2 2 2 2" xfId="6364"/>
    <cellStyle name="Output 16 2 2 2 2 2" xfId="14558"/>
    <cellStyle name="Output 16 2 2 2 2 2 2" xfId="26530"/>
    <cellStyle name="Output 16 2 2 2 2 2 2 2" xfId="47716"/>
    <cellStyle name="Output 16 2 2 2 2 2 3" xfId="37112"/>
    <cellStyle name="Output 16 2 2 2 2 3" xfId="21417"/>
    <cellStyle name="Output 16 2 2 2 2 3 2" xfId="42604"/>
    <cellStyle name="Output 16 2 2 2 2 4" xfId="32020"/>
    <cellStyle name="Output 16 2 2 2 2_Table 2A-1_EFT (Annual)" xfId="7672"/>
    <cellStyle name="Output 16 2 2 2 3" xfId="11900"/>
    <cellStyle name="Output 16 2 2 2 3 2" xfId="23984"/>
    <cellStyle name="Output 16 2 2 2 3 2 2" xfId="45170"/>
    <cellStyle name="Output 16 2 2 2 3 3" xfId="34566"/>
    <cellStyle name="Output 16 2 2 2 4" xfId="18871"/>
    <cellStyle name="Output 16 2 2 2 4 2" xfId="40058"/>
    <cellStyle name="Output 16 2 2 2 5" xfId="29277"/>
    <cellStyle name="Output 16 2 2 2_Table 2A-1_EFT (Annual)" xfId="7671"/>
    <cellStyle name="Output 16 2 2 3" xfId="1924"/>
    <cellStyle name="Output 16 2 2 3 2" xfId="5485"/>
    <cellStyle name="Output 16 2 2 3 2 2" xfId="13700"/>
    <cellStyle name="Output 16 2 2 3 2 2 2" xfId="25688"/>
    <cellStyle name="Output 16 2 2 3 2 2 2 2" xfId="46874"/>
    <cellStyle name="Output 16 2 2 3 2 2 3" xfId="36270"/>
    <cellStyle name="Output 16 2 2 3 2 3" xfId="20575"/>
    <cellStyle name="Output 16 2 2 3 2 3 2" xfId="41762"/>
    <cellStyle name="Output 16 2 2 3 2 4" xfId="31142"/>
    <cellStyle name="Output 16 2 2 3 2_Table 2A-1_EFT (Annual)" xfId="7674"/>
    <cellStyle name="Output 16 2 2 3 3" xfId="11044"/>
    <cellStyle name="Output 16 2 2 3 3 2" xfId="23142"/>
    <cellStyle name="Output 16 2 2 3 3 2 2" xfId="44328"/>
    <cellStyle name="Output 16 2 2 3 3 3" xfId="33724"/>
    <cellStyle name="Output 16 2 2 3 4" xfId="18029"/>
    <cellStyle name="Output 16 2 2 3 4 2" xfId="39216"/>
    <cellStyle name="Output 16 2 2 3 5" xfId="28399"/>
    <cellStyle name="Output 16 2 2 3_Table 2A-1_EFT (Annual)" xfId="7673"/>
    <cellStyle name="Output 16 2 2 4" xfId="5094"/>
    <cellStyle name="Output 16 2 2 4 2" xfId="13354"/>
    <cellStyle name="Output 16 2 2 4 2 2" xfId="25360"/>
    <cellStyle name="Output 16 2 2 4 2 2 2" xfId="46546"/>
    <cellStyle name="Output 16 2 2 4 2 3" xfId="35942"/>
    <cellStyle name="Output 16 2 2 4 3" xfId="20247"/>
    <cellStyle name="Output 16 2 2 4 3 2" xfId="41434"/>
    <cellStyle name="Output 16 2 2 4 4" xfId="30751"/>
    <cellStyle name="Output 16 2 2 4_Table 2A-1_EFT (Annual)" xfId="7675"/>
    <cellStyle name="Output 16 2 2 5" xfId="10698"/>
    <cellStyle name="Output 16 2 2 5 2" xfId="22814"/>
    <cellStyle name="Output 16 2 2 5 2 2" xfId="44000"/>
    <cellStyle name="Output 16 2 2 5 3" xfId="33396"/>
    <cellStyle name="Output 16 2 2 6" xfId="17701"/>
    <cellStyle name="Output 16 2 2 6 2" xfId="38888"/>
    <cellStyle name="Output 16 2 2 7" xfId="28008"/>
    <cellStyle name="Output 16 2 2_Table 2A-1_EFT (Annual)" xfId="3360"/>
    <cellStyle name="Output 16 2 3" xfId="2272"/>
    <cellStyle name="Output 16 2 3 2" xfId="5833"/>
    <cellStyle name="Output 16 2 3 2 2" xfId="14048"/>
    <cellStyle name="Output 16 2 3 2 2 2" xfId="26036"/>
    <cellStyle name="Output 16 2 3 2 2 2 2" xfId="47222"/>
    <cellStyle name="Output 16 2 3 2 2 3" xfId="36618"/>
    <cellStyle name="Output 16 2 3 2 3" xfId="20923"/>
    <cellStyle name="Output 16 2 3 2 3 2" xfId="42110"/>
    <cellStyle name="Output 16 2 3 2 4" xfId="31490"/>
    <cellStyle name="Output 16 2 3 2_Table 2A-1_EFT (Annual)" xfId="7677"/>
    <cellStyle name="Output 16 2 3 3" xfId="11392"/>
    <cellStyle name="Output 16 2 3 3 2" xfId="23490"/>
    <cellStyle name="Output 16 2 3 3 2 2" xfId="44676"/>
    <cellStyle name="Output 16 2 3 3 3" xfId="34072"/>
    <cellStyle name="Output 16 2 3 4" xfId="18377"/>
    <cellStyle name="Output 16 2 3 4 2" xfId="39564"/>
    <cellStyle name="Output 16 2 3 5" xfId="28747"/>
    <cellStyle name="Output 16 2 3_Table 2A-1_EFT (Annual)" xfId="7676"/>
    <cellStyle name="Output 16 2 4" xfId="1749"/>
    <cellStyle name="Output 16 2 4 2" xfId="5310"/>
    <cellStyle name="Output 16 2 4 2 2" xfId="13535"/>
    <cellStyle name="Output 16 2 4 2 2 2" xfId="25526"/>
    <cellStyle name="Output 16 2 4 2 2 2 2" xfId="46712"/>
    <cellStyle name="Output 16 2 4 2 2 3" xfId="36108"/>
    <cellStyle name="Output 16 2 4 2 3" xfId="20413"/>
    <cellStyle name="Output 16 2 4 2 3 2" xfId="41600"/>
    <cellStyle name="Output 16 2 4 2 4" xfId="30967"/>
    <cellStyle name="Output 16 2 4 2_Table 2A-1_EFT (Annual)" xfId="7679"/>
    <cellStyle name="Output 16 2 4 3" xfId="10878"/>
    <cellStyle name="Output 16 2 4 3 2" xfId="22980"/>
    <cellStyle name="Output 16 2 4 3 2 2" xfId="44166"/>
    <cellStyle name="Output 16 2 4 3 3" xfId="33562"/>
    <cellStyle name="Output 16 2 4 4" xfId="17867"/>
    <cellStyle name="Output 16 2 4 4 2" xfId="39054"/>
    <cellStyle name="Output 16 2 4 5" xfId="28224"/>
    <cellStyle name="Output 16 2 4_Table 2A-1_EFT (Annual)" xfId="7678"/>
    <cellStyle name="Output 16 2 5" xfId="4126"/>
    <cellStyle name="Output 16 2 5 2" xfId="12450"/>
    <cellStyle name="Output 16 2 5 2 2" xfId="24472"/>
    <cellStyle name="Output 16 2 5 2 2 2" xfId="45658"/>
    <cellStyle name="Output 16 2 5 2 3" xfId="35054"/>
    <cellStyle name="Output 16 2 5 3" xfId="19359"/>
    <cellStyle name="Output 16 2 5 3 2" xfId="40546"/>
    <cellStyle name="Output 16 2 5 4" xfId="29814"/>
    <cellStyle name="Output 16 2 5_Table 2A-1_EFT (Annual)" xfId="7680"/>
    <cellStyle name="Output 16 2 6" xfId="9789"/>
    <cellStyle name="Output 16 2 6 2" xfId="21926"/>
    <cellStyle name="Output 16 2 6 2 2" xfId="43112"/>
    <cellStyle name="Output 16 2 6 3" xfId="32508"/>
    <cellStyle name="Output 16 2 7" xfId="16813"/>
    <cellStyle name="Output 16 2 7 2" xfId="38000"/>
    <cellStyle name="Output 16 2 8" xfId="27071"/>
    <cellStyle name="Output 16 2_Table 2A-1_EFT (Annual)" xfId="3359"/>
    <cellStyle name="Output 16 3" xfId="394"/>
    <cellStyle name="Output 16 3 2" xfId="1377"/>
    <cellStyle name="Output 16 3 2 2" xfId="2647"/>
    <cellStyle name="Output 16 3 2 2 2" xfId="6208"/>
    <cellStyle name="Output 16 3 2 2 2 2" xfId="14402"/>
    <cellStyle name="Output 16 3 2 2 2 2 2" xfId="26374"/>
    <cellStyle name="Output 16 3 2 2 2 2 2 2" xfId="47560"/>
    <cellStyle name="Output 16 3 2 2 2 2 3" xfId="36956"/>
    <cellStyle name="Output 16 3 2 2 2 3" xfId="21261"/>
    <cellStyle name="Output 16 3 2 2 2 3 2" xfId="42448"/>
    <cellStyle name="Output 16 3 2 2 2 4" xfId="31864"/>
    <cellStyle name="Output 16 3 2 2 2_Table 2A-1_EFT (Annual)" xfId="7682"/>
    <cellStyle name="Output 16 3 2 2 3" xfId="11744"/>
    <cellStyle name="Output 16 3 2 2 3 2" xfId="23828"/>
    <cellStyle name="Output 16 3 2 2 3 2 2" xfId="45014"/>
    <cellStyle name="Output 16 3 2 2 3 3" xfId="34410"/>
    <cellStyle name="Output 16 3 2 2 4" xfId="18715"/>
    <cellStyle name="Output 16 3 2 2 4 2" xfId="39902"/>
    <cellStyle name="Output 16 3 2 2 5" xfId="29121"/>
    <cellStyle name="Output 16 3 2 2_Table 2A-1_EFT (Annual)" xfId="7681"/>
    <cellStyle name="Output 16 3 2 3" xfId="1893"/>
    <cellStyle name="Output 16 3 2 3 2" xfId="5454"/>
    <cellStyle name="Output 16 3 2 3 2 2" xfId="13669"/>
    <cellStyle name="Output 16 3 2 3 2 2 2" xfId="25657"/>
    <cellStyle name="Output 16 3 2 3 2 2 2 2" xfId="46843"/>
    <cellStyle name="Output 16 3 2 3 2 2 3" xfId="36239"/>
    <cellStyle name="Output 16 3 2 3 2 3" xfId="20544"/>
    <cellStyle name="Output 16 3 2 3 2 3 2" xfId="41731"/>
    <cellStyle name="Output 16 3 2 3 2 4" xfId="31111"/>
    <cellStyle name="Output 16 3 2 3 2_Table 2A-1_EFT (Annual)" xfId="7684"/>
    <cellStyle name="Output 16 3 2 3 3" xfId="11013"/>
    <cellStyle name="Output 16 3 2 3 3 2" xfId="23111"/>
    <cellStyle name="Output 16 3 2 3 3 2 2" xfId="44297"/>
    <cellStyle name="Output 16 3 2 3 3 3" xfId="33693"/>
    <cellStyle name="Output 16 3 2 3 4" xfId="17998"/>
    <cellStyle name="Output 16 3 2 3 4 2" xfId="39185"/>
    <cellStyle name="Output 16 3 2 3 5" xfId="28368"/>
    <cellStyle name="Output 16 3 2 3_Table 2A-1_EFT (Annual)" xfId="7683"/>
    <cellStyle name="Output 16 3 2 4" xfId="4938"/>
    <cellStyle name="Output 16 3 2 4 2" xfId="13198"/>
    <cellStyle name="Output 16 3 2 4 2 2" xfId="25204"/>
    <cellStyle name="Output 16 3 2 4 2 2 2" xfId="46390"/>
    <cellStyle name="Output 16 3 2 4 2 3" xfId="35786"/>
    <cellStyle name="Output 16 3 2 4 3" xfId="20091"/>
    <cellStyle name="Output 16 3 2 4 3 2" xfId="41278"/>
    <cellStyle name="Output 16 3 2 4 4" xfId="30595"/>
    <cellStyle name="Output 16 3 2 4_Table 2A-1_EFT (Annual)" xfId="7685"/>
    <cellStyle name="Output 16 3 2 5" xfId="10542"/>
    <cellStyle name="Output 16 3 2 5 2" xfId="22658"/>
    <cellStyle name="Output 16 3 2 5 2 2" xfId="43844"/>
    <cellStyle name="Output 16 3 2 5 3" xfId="33240"/>
    <cellStyle name="Output 16 3 2 6" xfId="17545"/>
    <cellStyle name="Output 16 3 2 6 2" xfId="38732"/>
    <cellStyle name="Output 16 3 2 7" xfId="27852"/>
    <cellStyle name="Output 16 3 2_Table 2A-1_EFT (Annual)" xfId="3362"/>
    <cellStyle name="Output 16 3 3" xfId="2116"/>
    <cellStyle name="Output 16 3 3 2" xfId="5677"/>
    <cellStyle name="Output 16 3 3 2 2" xfId="13892"/>
    <cellStyle name="Output 16 3 3 2 2 2" xfId="25880"/>
    <cellStyle name="Output 16 3 3 2 2 2 2" xfId="47066"/>
    <cellStyle name="Output 16 3 3 2 2 3" xfId="36462"/>
    <cellStyle name="Output 16 3 3 2 3" xfId="20767"/>
    <cellStyle name="Output 16 3 3 2 3 2" xfId="41954"/>
    <cellStyle name="Output 16 3 3 2 4" xfId="31334"/>
    <cellStyle name="Output 16 3 3 2_Table 2A-1_EFT (Annual)" xfId="7687"/>
    <cellStyle name="Output 16 3 3 3" xfId="11236"/>
    <cellStyle name="Output 16 3 3 3 2" xfId="23334"/>
    <cellStyle name="Output 16 3 3 3 2 2" xfId="44520"/>
    <cellStyle name="Output 16 3 3 3 3" xfId="33916"/>
    <cellStyle name="Output 16 3 3 4" xfId="18221"/>
    <cellStyle name="Output 16 3 3 4 2" xfId="39408"/>
    <cellStyle name="Output 16 3 3 5" xfId="28591"/>
    <cellStyle name="Output 16 3 3_Table 2A-1_EFT (Annual)" xfId="7686"/>
    <cellStyle name="Output 16 3 4" xfId="1713"/>
    <cellStyle name="Output 16 3 4 2" xfId="5274"/>
    <cellStyle name="Output 16 3 4 2 2" xfId="13503"/>
    <cellStyle name="Output 16 3 4 2 2 2" xfId="25496"/>
    <cellStyle name="Output 16 3 4 2 2 2 2" xfId="46682"/>
    <cellStyle name="Output 16 3 4 2 2 3" xfId="36078"/>
    <cellStyle name="Output 16 3 4 2 3" xfId="20383"/>
    <cellStyle name="Output 16 3 4 2 3 2" xfId="41570"/>
    <cellStyle name="Output 16 3 4 2 4" xfId="30931"/>
    <cellStyle name="Output 16 3 4 2_Table 2A-1_EFT (Annual)" xfId="7689"/>
    <cellStyle name="Output 16 3 4 3" xfId="10847"/>
    <cellStyle name="Output 16 3 4 3 2" xfId="22950"/>
    <cellStyle name="Output 16 3 4 3 2 2" xfId="44136"/>
    <cellStyle name="Output 16 3 4 3 3" xfId="33532"/>
    <cellStyle name="Output 16 3 4 4" xfId="17837"/>
    <cellStyle name="Output 16 3 4 4 2" xfId="39024"/>
    <cellStyle name="Output 16 3 4 5" xfId="28188"/>
    <cellStyle name="Output 16 3 4_Table 2A-1_EFT (Annual)" xfId="7688"/>
    <cellStyle name="Output 16 3 5" xfId="3964"/>
    <cellStyle name="Output 16 3 5 2" xfId="12292"/>
    <cellStyle name="Output 16 3 5 2 2" xfId="24316"/>
    <cellStyle name="Output 16 3 5 2 2 2" xfId="45502"/>
    <cellStyle name="Output 16 3 5 2 3" xfId="34898"/>
    <cellStyle name="Output 16 3 5 3" xfId="19203"/>
    <cellStyle name="Output 16 3 5 3 2" xfId="40390"/>
    <cellStyle name="Output 16 3 5 4" xfId="29652"/>
    <cellStyle name="Output 16 3 5_Table 2A-1_EFT (Annual)" xfId="7690"/>
    <cellStyle name="Output 16 3 6" xfId="9629"/>
    <cellStyle name="Output 16 3 6 2" xfId="21770"/>
    <cellStyle name="Output 16 3 6 2 2" xfId="42956"/>
    <cellStyle name="Output 16 3 6 3" xfId="32352"/>
    <cellStyle name="Output 16 3 7" xfId="16657"/>
    <cellStyle name="Output 16 3 7 2" xfId="37844"/>
    <cellStyle name="Output 16 3 8" xfId="26909"/>
    <cellStyle name="Output 16 3_Table 2A-1_EFT (Annual)" xfId="3361"/>
    <cellStyle name="Output 16 4" xfId="1211"/>
    <cellStyle name="Output 16 4 2" xfId="2481"/>
    <cellStyle name="Output 16 4 2 2" xfId="6042"/>
    <cellStyle name="Output 16 4 2 2 2" xfId="14236"/>
    <cellStyle name="Output 16 4 2 2 2 2" xfId="26208"/>
    <cellStyle name="Output 16 4 2 2 2 2 2" xfId="47394"/>
    <cellStyle name="Output 16 4 2 2 2 3" xfId="36790"/>
    <cellStyle name="Output 16 4 2 2 3" xfId="21095"/>
    <cellStyle name="Output 16 4 2 2 3 2" xfId="42282"/>
    <cellStyle name="Output 16 4 2 2 4" xfId="31698"/>
    <cellStyle name="Output 16 4 2 2_Table 2A-1_EFT (Annual)" xfId="7692"/>
    <cellStyle name="Output 16 4 2 3" xfId="11578"/>
    <cellStyle name="Output 16 4 2 3 2" xfId="23662"/>
    <cellStyle name="Output 16 4 2 3 2 2" xfId="44848"/>
    <cellStyle name="Output 16 4 2 3 3" xfId="34244"/>
    <cellStyle name="Output 16 4 2 4" xfId="18549"/>
    <cellStyle name="Output 16 4 2 4 2" xfId="39736"/>
    <cellStyle name="Output 16 4 2 5" xfId="28955"/>
    <cellStyle name="Output 16 4 2_Table 2A-1_EFT (Annual)" xfId="7691"/>
    <cellStyle name="Output 16 4 3" xfId="1829"/>
    <cellStyle name="Output 16 4 3 2" xfId="5390"/>
    <cellStyle name="Output 16 4 3 2 2" xfId="13605"/>
    <cellStyle name="Output 16 4 3 2 2 2" xfId="25593"/>
    <cellStyle name="Output 16 4 3 2 2 2 2" xfId="46779"/>
    <cellStyle name="Output 16 4 3 2 2 3" xfId="36175"/>
    <cellStyle name="Output 16 4 3 2 3" xfId="20480"/>
    <cellStyle name="Output 16 4 3 2 3 2" xfId="41667"/>
    <cellStyle name="Output 16 4 3 2 4" xfId="31047"/>
    <cellStyle name="Output 16 4 3 2_Table 2A-1_EFT (Annual)" xfId="7694"/>
    <cellStyle name="Output 16 4 3 3" xfId="10949"/>
    <cellStyle name="Output 16 4 3 3 2" xfId="23047"/>
    <cellStyle name="Output 16 4 3 3 2 2" xfId="44233"/>
    <cellStyle name="Output 16 4 3 3 3" xfId="33629"/>
    <cellStyle name="Output 16 4 3 4" xfId="17934"/>
    <cellStyle name="Output 16 4 3 4 2" xfId="39121"/>
    <cellStyle name="Output 16 4 3 5" xfId="28304"/>
    <cellStyle name="Output 16 4 3_Table 2A-1_EFT (Annual)" xfId="7693"/>
    <cellStyle name="Output 16 4 4" xfId="4772"/>
    <cellStyle name="Output 16 4 4 2" xfId="13032"/>
    <cellStyle name="Output 16 4 4 2 2" xfId="25038"/>
    <cellStyle name="Output 16 4 4 2 2 2" xfId="46224"/>
    <cellStyle name="Output 16 4 4 2 3" xfId="35620"/>
    <cellStyle name="Output 16 4 4 3" xfId="19925"/>
    <cellStyle name="Output 16 4 4 3 2" xfId="41112"/>
    <cellStyle name="Output 16 4 4 4" xfId="30429"/>
    <cellStyle name="Output 16 4 4_Table 2A-1_EFT (Annual)" xfId="7695"/>
    <cellStyle name="Output 16 4 5" xfId="10376"/>
    <cellStyle name="Output 16 4 5 2" xfId="22492"/>
    <cellStyle name="Output 16 4 5 2 2" xfId="43678"/>
    <cellStyle name="Output 16 4 5 3" xfId="33074"/>
    <cellStyle name="Output 16 4 6" xfId="17379"/>
    <cellStyle name="Output 16 4 6 2" xfId="38566"/>
    <cellStyle name="Output 16 4 7" xfId="27686"/>
    <cellStyle name="Output 16 4_Table 2A-1_EFT (Annual)" xfId="3363"/>
    <cellStyle name="Output 16 5" xfId="1950"/>
    <cellStyle name="Output 16 5 2" xfId="5511"/>
    <cellStyle name="Output 16 5 2 2" xfId="13726"/>
    <cellStyle name="Output 16 5 2 2 2" xfId="25714"/>
    <cellStyle name="Output 16 5 2 2 2 2" xfId="46900"/>
    <cellStyle name="Output 16 5 2 2 3" xfId="36296"/>
    <cellStyle name="Output 16 5 2 3" xfId="20601"/>
    <cellStyle name="Output 16 5 2 3 2" xfId="41788"/>
    <cellStyle name="Output 16 5 2 4" xfId="31168"/>
    <cellStyle name="Output 16 5 2_Table 2A-1_EFT (Annual)" xfId="7697"/>
    <cellStyle name="Output 16 5 3" xfId="11070"/>
    <cellStyle name="Output 16 5 3 2" xfId="23168"/>
    <cellStyle name="Output 16 5 3 2 2" xfId="44354"/>
    <cellStyle name="Output 16 5 3 3" xfId="33750"/>
    <cellStyle name="Output 16 5 4" xfId="18055"/>
    <cellStyle name="Output 16 5 4 2" xfId="39242"/>
    <cellStyle name="Output 16 5 5" xfId="28425"/>
    <cellStyle name="Output 16 5_Table 2A-1_EFT (Annual)" xfId="7696"/>
    <cellStyle name="Output 16 6" xfId="1656"/>
    <cellStyle name="Output 16 6 2" xfId="5217"/>
    <cellStyle name="Output 16 6 2 2" xfId="13464"/>
    <cellStyle name="Output 16 6 2 2 2" xfId="25464"/>
    <cellStyle name="Output 16 6 2 2 2 2" xfId="46650"/>
    <cellStyle name="Output 16 6 2 2 3" xfId="36046"/>
    <cellStyle name="Output 16 6 2 3" xfId="20351"/>
    <cellStyle name="Output 16 6 2 3 2" xfId="41538"/>
    <cellStyle name="Output 16 6 2 4" xfId="30874"/>
    <cellStyle name="Output 16 6 2_Table 2A-1_EFT (Annual)" xfId="7699"/>
    <cellStyle name="Output 16 6 3" xfId="10809"/>
    <cellStyle name="Output 16 6 3 2" xfId="22918"/>
    <cellStyle name="Output 16 6 3 2 2" xfId="44104"/>
    <cellStyle name="Output 16 6 3 3" xfId="33500"/>
    <cellStyle name="Output 16 6 4" xfId="17805"/>
    <cellStyle name="Output 16 6 4 2" xfId="38992"/>
    <cellStyle name="Output 16 6 5" xfId="28131"/>
    <cellStyle name="Output 16 6_Table 2A-1_EFT (Annual)" xfId="7698"/>
    <cellStyle name="Output 16 7" xfId="3752"/>
    <cellStyle name="Output 16 7 2" xfId="12120"/>
    <cellStyle name="Output 16 7 2 2" xfId="24150"/>
    <cellStyle name="Output 16 7 2 2 2" xfId="45336"/>
    <cellStyle name="Output 16 7 2 3" xfId="34732"/>
    <cellStyle name="Output 16 7 3" xfId="19037"/>
    <cellStyle name="Output 16 7 3 2" xfId="40224"/>
    <cellStyle name="Output 16 7 4" xfId="29461"/>
    <cellStyle name="Output 16 7_Table 2A-1_EFT (Annual)" xfId="7700"/>
    <cellStyle name="Output 16 8" xfId="9439"/>
    <cellStyle name="Output 16 8 2" xfId="21604"/>
    <cellStyle name="Output 16 8 2 2" xfId="42790"/>
    <cellStyle name="Output 16 8 3" xfId="32186"/>
    <cellStyle name="Output 16 9" xfId="16491"/>
    <cellStyle name="Output 16 9 2" xfId="37678"/>
    <cellStyle name="Output 16_Table 2A-1_EFT (Annual)" xfId="3358"/>
    <cellStyle name="Output 17" xfId="158"/>
    <cellStyle name="Output 17 10" xfId="26713"/>
    <cellStyle name="Output 17 2" xfId="551"/>
    <cellStyle name="Output 17 2 2" xfId="1528"/>
    <cellStyle name="Output 17 2 2 2" xfId="2798"/>
    <cellStyle name="Output 17 2 2 2 2" xfId="6359"/>
    <cellStyle name="Output 17 2 2 2 2 2" xfId="14553"/>
    <cellStyle name="Output 17 2 2 2 2 2 2" xfId="26525"/>
    <cellStyle name="Output 17 2 2 2 2 2 2 2" xfId="47711"/>
    <cellStyle name="Output 17 2 2 2 2 2 3" xfId="37107"/>
    <cellStyle name="Output 17 2 2 2 2 3" xfId="21412"/>
    <cellStyle name="Output 17 2 2 2 2 3 2" xfId="42599"/>
    <cellStyle name="Output 17 2 2 2 2 4" xfId="32015"/>
    <cellStyle name="Output 17 2 2 2 2_Table 2A-1_EFT (Annual)" xfId="7702"/>
    <cellStyle name="Output 17 2 2 2 3" xfId="11895"/>
    <cellStyle name="Output 17 2 2 2 3 2" xfId="23979"/>
    <cellStyle name="Output 17 2 2 2 3 2 2" xfId="45165"/>
    <cellStyle name="Output 17 2 2 2 3 3" xfId="34561"/>
    <cellStyle name="Output 17 2 2 2 4" xfId="18866"/>
    <cellStyle name="Output 17 2 2 2 4 2" xfId="40053"/>
    <cellStyle name="Output 17 2 2 2 5" xfId="29272"/>
    <cellStyle name="Output 17 2 2 2_Table 2A-1_EFT (Annual)" xfId="7701"/>
    <cellStyle name="Output 17 2 2 3" xfId="1923"/>
    <cellStyle name="Output 17 2 2 3 2" xfId="5484"/>
    <cellStyle name="Output 17 2 2 3 2 2" xfId="13699"/>
    <cellStyle name="Output 17 2 2 3 2 2 2" xfId="25687"/>
    <cellStyle name="Output 17 2 2 3 2 2 2 2" xfId="46873"/>
    <cellStyle name="Output 17 2 2 3 2 2 3" xfId="36269"/>
    <cellStyle name="Output 17 2 2 3 2 3" xfId="20574"/>
    <cellStyle name="Output 17 2 2 3 2 3 2" xfId="41761"/>
    <cellStyle name="Output 17 2 2 3 2 4" xfId="31141"/>
    <cellStyle name="Output 17 2 2 3 2_Table 2A-1_EFT (Annual)" xfId="7704"/>
    <cellStyle name="Output 17 2 2 3 3" xfId="11043"/>
    <cellStyle name="Output 17 2 2 3 3 2" xfId="23141"/>
    <cellStyle name="Output 17 2 2 3 3 2 2" xfId="44327"/>
    <cellStyle name="Output 17 2 2 3 3 3" xfId="33723"/>
    <cellStyle name="Output 17 2 2 3 4" xfId="18028"/>
    <cellStyle name="Output 17 2 2 3 4 2" xfId="39215"/>
    <cellStyle name="Output 17 2 2 3 5" xfId="28398"/>
    <cellStyle name="Output 17 2 2 3_Table 2A-1_EFT (Annual)" xfId="7703"/>
    <cellStyle name="Output 17 2 2 4" xfId="5089"/>
    <cellStyle name="Output 17 2 2 4 2" xfId="13349"/>
    <cellStyle name="Output 17 2 2 4 2 2" xfId="25355"/>
    <cellStyle name="Output 17 2 2 4 2 2 2" xfId="46541"/>
    <cellStyle name="Output 17 2 2 4 2 3" xfId="35937"/>
    <cellStyle name="Output 17 2 2 4 3" xfId="20242"/>
    <cellStyle name="Output 17 2 2 4 3 2" xfId="41429"/>
    <cellStyle name="Output 17 2 2 4 4" xfId="30746"/>
    <cellStyle name="Output 17 2 2 4_Table 2A-1_EFT (Annual)" xfId="7705"/>
    <cellStyle name="Output 17 2 2 5" xfId="10693"/>
    <cellStyle name="Output 17 2 2 5 2" xfId="22809"/>
    <cellStyle name="Output 17 2 2 5 2 2" xfId="43995"/>
    <cellStyle name="Output 17 2 2 5 3" xfId="33391"/>
    <cellStyle name="Output 17 2 2 6" xfId="17696"/>
    <cellStyle name="Output 17 2 2 6 2" xfId="38883"/>
    <cellStyle name="Output 17 2 2 7" xfId="28003"/>
    <cellStyle name="Output 17 2 2_Table 2A-1_EFT (Annual)" xfId="3366"/>
    <cellStyle name="Output 17 2 3" xfId="2267"/>
    <cellStyle name="Output 17 2 3 2" xfId="5828"/>
    <cellStyle name="Output 17 2 3 2 2" xfId="14043"/>
    <cellStyle name="Output 17 2 3 2 2 2" xfId="26031"/>
    <cellStyle name="Output 17 2 3 2 2 2 2" xfId="47217"/>
    <cellStyle name="Output 17 2 3 2 2 3" xfId="36613"/>
    <cellStyle name="Output 17 2 3 2 3" xfId="20918"/>
    <cellStyle name="Output 17 2 3 2 3 2" xfId="42105"/>
    <cellStyle name="Output 17 2 3 2 4" xfId="31485"/>
    <cellStyle name="Output 17 2 3 2_Table 2A-1_EFT (Annual)" xfId="7707"/>
    <cellStyle name="Output 17 2 3 3" xfId="11387"/>
    <cellStyle name="Output 17 2 3 3 2" xfId="23485"/>
    <cellStyle name="Output 17 2 3 3 2 2" xfId="44671"/>
    <cellStyle name="Output 17 2 3 3 3" xfId="34067"/>
    <cellStyle name="Output 17 2 3 4" xfId="18372"/>
    <cellStyle name="Output 17 2 3 4 2" xfId="39559"/>
    <cellStyle name="Output 17 2 3 5" xfId="28742"/>
    <cellStyle name="Output 17 2 3_Table 2A-1_EFT (Annual)" xfId="7706"/>
    <cellStyle name="Output 17 2 4" xfId="1748"/>
    <cellStyle name="Output 17 2 4 2" xfId="5309"/>
    <cellStyle name="Output 17 2 4 2 2" xfId="13534"/>
    <cellStyle name="Output 17 2 4 2 2 2" xfId="25525"/>
    <cellStyle name="Output 17 2 4 2 2 2 2" xfId="46711"/>
    <cellStyle name="Output 17 2 4 2 2 3" xfId="36107"/>
    <cellStyle name="Output 17 2 4 2 3" xfId="20412"/>
    <cellStyle name="Output 17 2 4 2 3 2" xfId="41599"/>
    <cellStyle name="Output 17 2 4 2 4" xfId="30966"/>
    <cellStyle name="Output 17 2 4 2_Table 2A-1_EFT (Annual)" xfId="7709"/>
    <cellStyle name="Output 17 2 4 3" xfId="10877"/>
    <cellStyle name="Output 17 2 4 3 2" xfId="22979"/>
    <cellStyle name="Output 17 2 4 3 2 2" xfId="44165"/>
    <cellStyle name="Output 17 2 4 3 3" xfId="33561"/>
    <cellStyle name="Output 17 2 4 4" xfId="17866"/>
    <cellStyle name="Output 17 2 4 4 2" xfId="39053"/>
    <cellStyle name="Output 17 2 4 5" xfId="28223"/>
    <cellStyle name="Output 17 2 4_Table 2A-1_EFT (Annual)" xfId="7708"/>
    <cellStyle name="Output 17 2 5" xfId="4121"/>
    <cellStyle name="Output 17 2 5 2" xfId="12445"/>
    <cellStyle name="Output 17 2 5 2 2" xfId="24467"/>
    <cellStyle name="Output 17 2 5 2 2 2" xfId="45653"/>
    <cellStyle name="Output 17 2 5 2 3" xfId="35049"/>
    <cellStyle name="Output 17 2 5 3" xfId="19354"/>
    <cellStyle name="Output 17 2 5 3 2" xfId="40541"/>
    <cellStyle name="Output 17 2 5 4" xfId="29809"/>
    <cellStyle name="Output 17 2 5_Table 2A-1_EFT (Annual)" xfId="7710"/>
    <cellStyle name="Output 17 2 6" xfId="9784"/>
    <cellStyle name="Output 17 2 6 2" xfId="21921"/>
    <cellStyle name="Output 17 2 6 2 2" xfId="43107"/>
    <cellStyle name="Output 17 2 6 3" xfId="32503"/>
    <cellStyle name="Output 17 2 7" xfId="16808"/>
    <cellStyle name="Output 17 2 7 2" xfId="37995"/>
    <cellStyle name="Output 17 2 8" xfId="27066"/>
    <cellStyle name="Output 17 2_Table 2A-1_EFT (Annual)" xfId="3365"/>
    <cellStyle name="Output 17 3" xfId="389"/>
    <cellStyle name="Output 17 3 2" xfId="1372"/>
    <cellStyle name="Output 17 3 2 2" xfId="2642"/>
    <cellStyle name="Output 17 3 2 2 2" xfId="6203"/>
    <cellStyle name="Output 17 3 2 2 2 2" xfId="14397"/>
    <cellStyle name="Output 17 3 2 2 2 2 2" xfId="26369"/>
    <cellStyle name="Output 17 3 2 2 2 2 2 2" xfId="47555"/>
    <cellStyle name="Output 17 3 2 2 2 2 3" xfId="36951"/>
    <cellStyle name="Output 17 3 2 2 2 3" xfId="21256"/>
    <cellStyle name="Output 17 3 2 2 2 3 2" xfId="42443"/>
    <cellStyle name="Output 17 3 2 2 2 4" xfId="31859"/>
    <cellStyle name="Output 17 3 2 2 2_Table 2A-1_EFT (Annual)" xfId="7712"/>
    <cellStyle name="Output 17 3 2 2 3" xfId="11739"/>
    <cellStyle name="Output 17 3 2 2 3 2" xfId="23823"/>
    <cellStyle name="Output 17 3 2 2 3 2 2" xfId="45009"/>
    <cellStyle name="Output 17 3 2 2 3 3" xfId="34405"/>
    <cellStyle name="Output 17 3 2 2 4" xfId="18710"/>
    <cellStyle name="Output 17 3 2 2 4 2" xfId="39897"/>
    <cellStyle name="Output 17 3 2 2 5" xfId="29116"/>
    <cellStyle name="Output 17 3 2 2_Table 2A-1_EFT (Annual)" xfId="7711"/>
    <cellStyle name="Output 17 3 2 3" xfId="1892"/>
    <cellStyle name="Output 17 3 2 3 2" xfId="5453"/>
    <cellStyle name="Output 17 3 2 3 2 2" xfId="13668"/>
    <cellStyle name="Output 17 3 2 3 2 2 2" xfId="25656"/>
    <cellStyle name="Output 17 3 2 3 2 2 2 2" xfId="46842"/>
    <cellStyle name="Output 17 3 2 3 2 2 3" xfId="36238"/>
    <cellStyle name="Output 17 3 2 3 2 3" xfId="20543"/>
    <cellStyle name="Output 17 3 2 3 2 3 2" xfId="41730"/>
    <cellStyle name="Output 17 3 2 3 2 4" xfId="31110"/>
    <cellStyle name="Output 17 3 2 3 2_Table 2A-1_EFT (Annual)" xfId="7714"/>
    <cellStyle name="Output 17 3 2 3 3" xfId="11012"/>
    <cellStyle name="Output 17 3 2 3 3 2" xfId="23110"/>
    <cellStyle name="Output 17 3 2 3 3 2 2" xfId="44296"/>
    <cellStyle name="Output 17 3 2 3 3 3" xfId="33692"/>
    <cellStyle name="Output 17 3 2 3 4" xfId="17997"/>
    <cellStyle name="Output 17 3 2 3 4 2" xfId="39184"/>
    <cellStyle name="Output 17 3 2 3 5" xfId="28367"/>
    <cellStyle name="Output 17 3 2 3_Table 2A-1_EFT (Annual)" xfId="7713"/>
    <cellStyle name="Output 17 3 2 4" xfId="4933"/>
    <cellStyle name="Output 17 3 2 4 2" xfId="13193"/>
    <cellStyle name="Output 17 3 2 4 2 2" xfId="25199"/>
    <cellStyle name="Output 17 3 2 4 2 2 2" xfId="46385"/>
    <cellStyle name="Output 17 3 2 4 2 3" xfId="35781"/>
    <cellStyle name="Output 17 3 2 4 3" xfId="20086"/>
    <cellStyle name="Output 17 3 2 4 3 2" xfId="41273"/>
    <cellStyle name="Output 17 3 2 4 4" xfId="30590"/>
    <cellStyle name="Output 17 3 2 4_Table 2A-1_EFT (Annual)" xfId="7715"/>
    <cellStyle name="Output 17 3 2 5" xfId="10537"/>
    <cellStyle name="Output 17 3 2 5 2" xfId="22653"/>
    <cellStyle name="Output 17 3 2 5 2 2" xfId="43839"/>
    <cellStyle name="Output 17 3 2 5 3" xfId="33235"/>
    <cellStyle name="Output 17 3 2 6" xfId="17540"/>
    <cellStyle name="Output 17 3 2 6 2" xfId="38727"/>
    <cellStyle name="Output 17 3 2 7" xfId="27847"/>
    <cellStyle name="Output 17 3 2_Table 2A-1_EFT (Annual)" xfId="3368"/>
    <cellStyle name="Output 17 3 3" xfId="2111"/>
    <cellStyle name="Output 17 3 3 2" xfId="5672"/>
    <cellStyle name="Output 17 3 3 2 2" xfId="13887"/>
    <cellStyle name="Output 17 3 3 2 2 2" xfId="25875"/>
    <cellStyle name="Output 17 3 3 2 2 2 2" xfId="47061"/>
    <cellStyle name="Output 17 3 3 2 2 3" xfId="36457"/>
    <cellStyle name="Output 17 3 3 2 3" xfId="20762"/>
    <cellStyle name="Output 17 3 3 2 3 2" xfId="41949"/>
    <cellStyle name="Output 17 3 3 2 4" xfId="31329"/>
    <cellStyle name="Output 17 3 3 2_Table 2A-1_EFT (Annual)" xfId="7717"/>
    <cellStyle name="Output 17 3 3 3" xfId="11231"/>
    <cellStyle name="Output 17 3 3 3 2" xfId="23329"/>
    <cellStyle name="Output 17 3 3 3 2 2" xfId="44515"/>
    <cellStyle name="Output 17 3 3 3 3" xfId="33911"/>
    <cellStyle name="Output 17 3 3 4" xfId="18216"/>
    <cellStyle name="Output 17 3 3 4 2" xfId="39403"/>
    <cellStyle name="Output 17 3 3 5" xfId="28586"/>
    <cellStyle name="Output 17 3 3_Table 2A-1_EFT (Annual)" xfId="7716"/>
    <cellStyle name="Output 17 3 4" xfId="1712"/>
    <cellStyle name="Output 17 3 4 2" xfId="5273"/>
    <cellStyle name="Output 17 3 4 2 2" xfId="13502"/>
    <cellStyle name="Output 17 3 4 2 2 2" xfId="25495"/>
    <cellStyle name="Output 17 3 4 2 2 2 2" xfId="46681"/>
    <cellStyle name="Output 17 3 4 2 2 3" xfId="36077"/>
    <cellStyle name="Output 17 3 4 2 3" xfId="20382"/>
    <cellStyle name="Output 17 3 4 2 3 2" xfId="41569"/>
    <cellStyle name="Output 17 3 4 2 4" xfId="30930"/>
    <cellStyle name="Output 17 3 4 2_Table 2A-1_EFT (Annual)" xfId="7719"/>
    <cellStyle name="Output 17 3 4 3" xfId="10846"/>
    <cellStyle name="Output 17 3 4 3 2" xfId="22949"/>
    <cellStyle name="Output 17 3 4 3 2 2" xfId="44135"/>
    <cellStyle name="Output 17 3 4 3 3" xfId="33531"/>
    <cellStyle name="Output 17 3 4 4" xfId="17836"/>
    <cellStyle name="Output 17 3 4 4 2" xfId="39023"/>
    <cellStyle name="Output 17 3 4 5" xfId="28187"/>
    <cellStyle name="Output 17 3 4_Table 2A-1_EFT (Annual)" xfId="7718"/>
    <cellStyle name="Output 17 3 5" xfId="3959"/>
    <cellStyle name="Output 17 3 5 2" xfId="12287"/>
    <cellStyle name="Output 17 3 5 2 2" xfId="24311"/>
    <cellStyle name="Output 17 3 5 2 2 2" xfId="45497"/>
    <cellStyle name="Output 17 3 5 2 3" xfId="34893"/>
    <cellStyle name="Output 17 3 5 3" xfId="19198"/>
    <cellStyle name="Output 17 3 5 3 2" xfId="40385"/>
    <cellStyle name="Output 17 3 5 4" xfId="29647"/>
    <cellStyle name="Output 17 3 5_Table 2A-1_EFT (Annual)" xfId="7720"/>
    <cellStyle name="Output 17 3 6" xfId="9624"/>
    <cellStyle name="Output 17 3 6 2" xfId="21765"/>
    <cellStyle name="Output 17 3 6 2 2" xfId="42951"/>
    <cellStyle name="Output 17 3 6 3" xfId="32347"/>
    <cellStyle name="Output 17 3 7" xfId="16652"/>
    <cellStyle name="Output 17 3 7 2" xfId="37839"/>
    <cellStyle name="Output 17 3 8" xfId="26904"/>
    <cellStyle name="Output 17 3_Table 2A-1_EFT (Annual)" xfId="3367"/>
    <cellStyle name="Output 17 4" xfId="1206"/>
    <cellStyle name="Output 17 4 2" xfId="2476"/>
    <cellStyle name="Output 17 4 2 2" xfId="6037"/>
    <cellStyle name="Output 17 4 2 2 2" xfId="14231"/>
    <cellStyle name="Output 17 4 2 2 2 2" xfId="26203"/>
    <cellStyle name="Output 17 4 2 2 2 2 2" xfId="47389"/>
    <cellStyle name="Output 17 4 2 2 2 3" xfId="36785"/>
    <cellStyle name="Output 17 4 2 2 3" xfId="21090"/>
    <cellStyle name="Output 17 4 2 2 3 2" xfId="42277"/>
    <cellStyle name="Output 17 4 2 2 4" xfId="31693"/>
    <cellStyle name="Output 17 4 2 2_Table 2A-1_EFT (Annual)" xfId="7722"/>
    <cellStyle name="Output 17 4 2 3" xfId="11573"/>
    <cellStyle name="Output 17 4 2 3 2" xfId="23657"/>
    <cellStyle name="Output 17 4 2 3 2 2" xfId="44843"/>
    <cellStyle name="Output 17 4 2 3 3" xfId="34239"/>
    <cellStyle name="Output 17 4 2 4" xfId="18544"/>
    <cellStyle name="Output 17 4 2 4 2" xfId="39731"/>
    <cellStyle name="Output 17 4 2 5" xfId="28950"/>
    <cellStyle name="Output 17 4 2_Table 2A-1_EFT (Annual)" xfId="7721"/>
    <cellStyle name="Output 17 4 3" xfId="1828"/>
    <cellStyle name="Output 17 4 3 2" xfId="5389"/>
    <cellStyle name="Output 17 4 3 2 2" xfId="13604"/>
    <cellStyle name="Output 17 4 3 2 2 2" xfId="25592"/>
    <cellStyle name="Output 17 4 3 2 2 2 2" xfId="46778"/>
    <cellStyle name="Output 17 4 3 2 2 3" xfId="36174"/>
    <cellStyle name="Output 17 4 3 2 3" xfId="20479"/>
    <cellStyle name="Output 17 4 3 2 3 2" xfId="41666"/>
    <cellStyle name="Output 17 4 3 2 4" xfId="31046"/>
    <cellStyle name="Output 17 4 3 2_Table 2A-1_EFT (Annual)" xfId="7724"/>
    <cellStyle name="Output 17 4 3 3" xfId="10948"/>
    <cellStyle name="Output 17 4 3 3 2" xfId="23046"/>
    <cellStyle name="Output 17 4 3 3 2 2" xfId="44232"/>
    <cellStyle name="Output 17 4 3 3 3" xfId="33628"/>
    <cellStyle name="Output 17 4 3 4" xfId="17933"/>
    <cellStyle name="Output 17 4 3 4 2" xfId="39120"/>
    <cellStyle name="Output 17 4 3 5" xfId="28303"/>
    <cellStyle name="Output 17 4 3_Table 2A-1_EFT (Annual)" xfId="7723"/>
    <cellStyle name="Output 17 4 4" xfId="4767"/>
    <cellStyle name="Output 17 4 4 2" xfId="13027"/>
    <cellStyle name="Output 17 4 4 2 2" xfId="25033"/>
    <cellStyle name="Output 17 4 4 2 2 2" xfId="46219"/>
    <cellStyle name="Output 17 4 4 2 3" xfId="35615"/>
    <cellStyle name="Output 17 4 4 3" xfId="19920"/>
    <cellStyle name="Output 17 4 4 3 2" xfId="41107"/>
    <cellStyle name="Output 17 4 4 4" xfId="30424"/>
    <cellStyle name="Output 17 4 4_Table 2A-1_EFT (Annual)" xfId="7725"/>
    <cellStyle name="Output 17 4 5" xfId="10371"/>
    <cellStyle name="Output 17 4 5 2" xfId="22487"/>
    <cellStyle name="Output 17 4 5 2 2" xfId="43673"/>
    <cellStyle name="Output 17 4 5 3" xfId="33069"/>
    <cellStyle name="Output 17 4 6" xfId="17374"/>
    <cellStyle name="Output 17 4 6 2" xfId="38561"/>
    <cellStyle name="Output 17 4 7" xfId="27681"/>
    <cellStyle name="Output 17 4_Table 2A-1_EFT (Annual)" xfId="3369"/>
    <cellStyle name="Output 17 5" xfId="1945"/>
    <cellStyle name="Output 17 5 2" xfId="5506"/>
    <cellStyle name="Output 17 5 2 2" xfId="13721"/>
    <cellStyle name="Output 17 5 2 2 2" xfId="25709"/>
    <cellStyle name="Output 17 5 2 2 2 2" xfId="46895"/>
    <cellStyle name="Output 17 5 2 2 3" xfId="36291"/>
    <cellStyle name="Output 17 5 2 3" xfId="20596"/>
    <cellStyle name="Output 17 5 2 3 2" xfId="41783"/>
    <cellStyle name="Output 17 5 2 4" xfId="31163"/>
    <cellStyle name="Output 17 5 2_Table 2A-1_EFT (Annual)" xfId="7727"/>
    <cellStyle name="Output 17 5 3" xfId="11065"/>
    <cellStyle name="Output 17 5 3 2" xfId="23163"/>
    <cellStyle name="Output 17 5 3 2 2" xfId="44349"/>
    <cellStyle name="Output 17 5 3 3" xfId="33745"/>
    <cellStyle name="Output 17 5 4" xfId="18050"/>
    <cellStyle name="Output 17 5 4 2" xfId="39237"/>
    <cellStyle name="Output 17 5 5" xfId="28420"/>
    <cellStyle name="Output 17 5_Table 2A-1_EFT (Annual)" xfId="7726"/>
    <cellStyle name="Output 17 6" xfId="1655"/>
    <cellStyle name="Output 17 6 2" xfId="5216"/>
    <cellStyle name="Output 17 6 2 2" xfId="13463"/>
    <cellStyle name="Output 17 6 2 2 2" xfId="25463"/>
    <cellStyle name="Output 17 6 2 2 2 2" xfId="46649"/>
    <cellStyle name="Output 17 6 2 2 3" xfId="36045"/>
    <cellStyle name="Output 17 6 2 3" xfId="20350"/>
    <cellStyle name="Output 17 6 2 3 2" xfId="41537"/>
    <cellStyle name="Output 17 6 2 4" xfId="30873"/>
    <cellStyle name="Output 17 6 2_Table 2A-1_EFT (Annual)" xfId="7729"/>
    <cellStyle name="Output 17 6 3" xfId="10808"/>
    <cellStyle name="Output 17 6 3 2" xfId="22917"/>
    <cellStyle name="Output 17 6 3 2 2" xfId="44103"/>
    <cellStyle name="Output 17 6 3 3" xfId="33499"/>
    <cellStyle name="Output 17 6 4" xfId="17804"/>
    <cellStyle name="Output 17 6 4 2" xfId="38991"/>
    <cellStyle name="Output 17 6 5" xfId="28130"/>
    <cellStyle name="Output 17 6_Table 2A-1_EFT (Annual)" xfId="7728"/>
    <cellStyle name="Output 17 7" xfId="3747"/>
    <cellStyle name="Output 17 7 2" xfId="12115"/>
    <cellStyle name="Output 17 7 2 2" xfId="24145"/>
    <cellStyle name="Output 17 7 2 2 2" xfId="45331"/>
    <cellStyle name="Output 17 7 2 3" xfId="34727"/>
    <cellStyle name="Output 17 7 3" xfId="19032"/>
    <cellStyle name="Output 17 7 3 2" xfId="40219"/>
    <cellStyle name="Output 17 7 4" xfId="29456"/>
    <cellStyle name="Output 17 7_Table 2A-1_EFT (Annual)" xfId="7730"/>
    <cellStyle name="Output 17 8" xfId="9434"/>
    <cellStyle name="Output 17 8 2" xfId="21599"/>
    <cellStyle name="Output 17 8 2 2" xfId="42785"/>
    <cellStyle name="Output 17 8 3" xfId="32181"/>
    <cellStyle name="Output 17 9" xfId="16486"/>
    <cellStyle name="Output 17 9 2" xfId="37673"/>
    <cellStyle name="Output 17_Table 2A-1_EFT (Annual)" xfId="3364"/>
    <cellStyle name="Output 18" xfId="173"/>
    <cellStyle name="Output 18 10" xfId="26728"/>
    <cellStyle name="Output 18 2" xfId="566"/>
    <cellStyle name="Output 18 2 2" xfId="1543"/>
    <cellStyle name="Output 18 2 2 2" xfId="2813"/>
    <cellStyle name="Output 18 2 2 2 2" xfId="6374"/>
    <cellStyle name="Output 18 2 2 2 2 2" xfId="14568"/>
    <cellStyle name="Output 18 2 2 2 2 2 2" xfId="26540"/>
    <cellStyle name="Output 18 2 2 2 2 2 2 2" xfId="47726"/>
    <cellStyle name="Output 18 2 2 2 2 2 3" xfId="37122"/>
    <cellStyle name="Output 18 2 2 2 2 3" xfId="21427"/>
    <cellStyle name="Output 18 2 2 2 2 3 2" xfId="42614"/>
    <cellStyle name="Output 18 2 2 2 2 4" xfId="32030"/>
    <cellStyle name="Output 18 2 2 2 2_Table 2A-1_EFT (Annual)" xfId="7732"/>
    <cellStyle name="Output 18 2 2 2 3" xfId="11910"/>
    <cellStyle name="Output 18 2 2 2 3 2" xfId="23994"/>
    <cellStyle name="Output 18 2 2 2 3 2 2" xfId="45180"/>
    <cellStyle name="Output 18 2 2 2 3 3" xfId="34576"/>
    <cellStyle name="Output 18 2 2 2 4" xfId="18881"/>
    <cellStyle name="Output 18 2 2 2 4 2" xfId="40068"/>
    <cellStyle name="Output 18 2 2 2 5" xfId="29287"/>
    <cellStyle name="Output 18 2 2 2_Table 2A-1_EFT (Annual)" xfId="7731"/>
    <cellStyle name="Output 18 2 2 3" xfId="1926"/>
    <cellStyle name="Output 18 2 2 3 2" xfId="5487"/>
    <cellStyle name="Output 18 2 2 3 2 2" xfId="13702"/>
    <cellStyle name="Output 18 2 2 3 2 2 2" xfId="25690"/>
    <cellStyle name="Output 18 2 2 3 2 2 2 2" xfId="46876"/>
    <cellStyle name="Output 18 2 2 3 2 2 3" xfId="36272"/>
    <cellStyle name="Output 18 2 2 3 2 3" xfId="20577"/>
    <cellStyle name="Output 18 2 2 3 2 3 2" xfId="41764"/>
    <cellStyle name="Output 18 2 2 3 2 4" xfId="31144"/>
    <cellStyle name="Output 18 2 2 3 2_Table 2A-1_EFT (Annual)" xfId="7734"/>
    <cellStyle name="Output 18 2 2 3 3" xfId="11046"/>
    <cellStyle name="Output 18 2 2 3 3 2" xfId="23144"/>
    <cellStyle name="Output 18 2 2 3 3 2 2" xfId="44330"/>
    <cellStyle name="Output 18 2 2 3 3 3" xfId="33726"/>
    <cellStyle name="Output 18 2 2 3 4" xfId="18031"/>
    <cellStyle name="Output 18 2 2 3 4 2" xfId="39218"/>
    <cellStyle name="Output 18 2 2 3 5" xfId="28401"/>
    <cellStyle name="Output 18 2 2 3_Table 2A-1_EFT (Annual)" xfId="7733"/>
    <cellStyle name="Output 18 2 2 4" xfId="5104"/>
    <cellStyle name="Output 18 2 2 4 2" xfId="13364"/>
    <cellStyle name="Output 18 2 2 4 2 2" xfId="25370"/>
    <cellStyle name="Output 18 2 2 4 2 2 2" xfId="46556"/>
    <cellStyle name="Output 18 2 2 4 2 3" xfId="35952"/>
    <cellStyle name="Output 18 2 2 4 3" xfId="20257"/>
    <cellStyle name="Output 18 2 2 4 3 2" xfId="41444"/>
    <cellStyle name="Output 18 2 2 4 4" xfId="30761"/>
    <cellStyle name="Output 18 2 2 4_Table 2A-1_EFT (Annual)" xfId="7735"/>
    <cellStyle name="Output 18 2 2 5" xfId="10708"/>
    <cellStyle name="Output 18 2 2 5 2" xfId="22824"/>
    <cellStyle name="Output 18 2 2 5 2 2" xfId="44010"/>
    <cellStyle name="Output 18 2 2 5 3" xfId="33406"/>
    <cellStyle name="Output 18 2 2 6" xfId="17711"/>
    <cellStyle name="Output 18 2 2 6 2" xfId="38898"/>
    <cellStyle name="Output 18 2 2 7" xfId="28018"/>
    <cellStyle name="Output 18 2 2_Table 2A-1_EFT (Annual)" xfId="3372"/>
    <cellStyle name="Output 18 2 3" xfId="2282"/>
    <cellStyle name="Output 18 2 3 2" xfId="5843"/>
    <cellStyle name="Output 18 2 3 2 2" xfId="14058"/>
    <cellStyle name="Output 18 2 3 2 2 2" xfId="26046"/>
    <cellStyle name="Output 18 2 3 2 2 2 2" xfId="47232"/>
    <cellStyle name="Output 18 2 3 2 2 3" xfId="36628"/>
    <cellStyle name="Output 18 2 3 2 3" xfId="20933"/>
    <cellStyle name="Output 18 2 3 2 3 2" xfId="42120"/>
    <cellStyle name="Output 18 2 3 2 4" xfId="31500"/>
    <cellStyle name="Output 18 2 3 2_Table 2A-1_EFT (Annual)" xfId="7737"/>
    <cellStyle name="Output 18 2 3 3" xfId="11402"/>
    <cellStyle name="Output 18 2 3 3 2" xfId="23500"/>
    <cellStyle name="Output 18 2 3 3 2 2" xfId="44686"/>
    <cellStyle name="Output 18 2 3 3 3" xfId="34082"/>
    <cellStyle name="Output 18 2 3 4" xfId="18387"/>
    <cellStyle name="Output 18 2 3 4 2" xfId="39574"/>
    <cellStyle name="Output 18 2 3 5" xfId="28757"/>
    <cellStyle name="Output 18 2 3_Table 2A-1_EFT (Annual)" xfId="7736"/>
    <cellStyle name="Output 18 2 4" xfId="1751"/>
    <cellStyle name="Output 18 2 4 2" xfId="5312"/>
    <cellStyle name="Output 18 2 4 2 2" xfId="13537"/>
    <cellStyle name="Output 18 2 4 2 2 2" xfId="25528"/>
    <cellStyle name="Output 18 2 4 2 2 2 2" xfId="46714"/>
    <cellStyle name="Output 18 2 4 2 2 3" xfId="36110"/>
    <cellStyle name="Output 18 2 4 2 3" xfId="20415"/>
    <cellStyle name="Output 18 2 4 2 3 2" xfId="41602"/>
    <cellStyle name="Output 18 2 4 2 4" xfId="30969"/>
    <cellStyle name="Output 18 2 4 2_Table 2A-1_EFT (Annual)" xfId="7739"/>
    <cellStyle name="Output 18 2 4 3" xfId="10880"/>
    <cellStyle name="Output 18 2 4 3 2" xfId="22982"/>
    <cellStyle name="Output 18 2 4 3 2 2" xfId="44168"/>
    <cellStyle name="Output 18 2 4 3 3" xfId="33564"/>
    <cellStyle name="Output 18 2 4 4" xfId="17869"/>
    <cellStyle name="Output 18 2 4 4 2" xfId="39056"/>
    <cellStyle name="Output 18 2 4 5" xfId="28226"/>
    <cellStyle name="Output 18 2 4_Table 2A-1_EFT (Annual)" xfId="7738"/>
    <cellStyle name="Output 18 2 5" xfId="4136"/>
    <cellStyle name="Output 18 2 5 2" xfId="12460"/>
    <cellStyle name="Output 18 2 5 2 2" xfId="24482"/>
    <cellStyle name="Output 18 2 5 2 2 2" xfId="45668"/>
    <cellStyle name="Output 18 2 5 2 3" xfId="35064"/>
    <cellStyle name="Output 18 2 5 3" xfId="19369"/>
    <cellStyle name="Output 18 2 5 3 2" xfId="40556"/>
    <cellStyle name="Output 18 2 5 4" xfId="29824"/>
    <cellStyle name="Output 18 2 5_Table 2A-1_EFT (Annual)" xfId="7740"/>
    <cellStyle name="Output 18 2 6" xfId="9799"/>
    <cellStyle name="Output 18 2 6 2" xfId="21936"/>
    <cellStyle name="Output 18 2 6 2 2" xfId="43122"/>
    <cellStyle name="Output 18 2 6 3" xfId="32518"/>
    <cellStyle name="Output 18 2 7" xfId="16823"/>
    <cellStyle name="Output 18 2 7 2" xfId="38010"/>
    <cellStyle name="Output 18 2 8" xfId="27081"/>
    <cellStyle name="Output 18 2_Table 2A-1_EFT (Annual)" xfId="3371"/>
    <cellStyle name="Output 18 3" xfId="404"/>
    <cellStyle name="Output 18 3 2" xfId="1387"/>
    <cellStyle name="Output 18 3 2 2" xfId="2657"/>
    <cellStyle name="Output 18 3 2 2 2" xfId="6218"/>
    <cellStyle name="Output 18 3 2 2 2 2" xfId="14412"/>
    <cellStyle name="Output 18 3 2 2 2 2 2" xfId="26384"/>
    <cellStyle name="Output 18 3 2 2 2 2 2 2" xfId="47570"/>
    <cellStyle name="Output 18 3 2 2 2 2 3" xfId="36966"/>
    <cellStyle name="Output 18 3 2 2 2 3" xfId="21271"/>
    <cellStyle name="Output 18 3 2 2 2 3 2" xfId="42458"/>
    <cellStyle name="Output 18 3 2 2 2 4" xfId="31874"/>
    <cellStyle name="Output 18 3 2 2 2_Table 2A-1_EFT (Annual)" xfId="7742"/>
    <cellStyle name="Output 18 3 2 2 3" xfId="11754"/>
    <cellStyle name="Output 18 3 2 2 3 2" xfId="23838"/>
    <cellStyle name="Output 18 3 2 2 3 2 2" xfId="45024"/>
    <cellStyle name="Output 18 3 2 2 3 3" xfId="34420"/>
    <cellStyle name="Output 18 3 2 2 4" xfId="18725"/>
    <cellStyle name="Output 18 3 2 2 4 2" xfId="39912"/>
    <cellStyle name="Output 18 3 2 2 5" xfId="29131"/>
    <cellStyle name="Output 18 3 2 2_Table 2A-1_EFT (Annual)" xfId="7741"/>
    <cellStyle name="Output 18 3 2 3" xfId="1895"/>
    <cellStyle name="Output 18 3 2 3 2" xfId="5456"/>
    <cellStyle name="Output 18 3 2 3 2 2" xfId="13671"/>
    <cellStyle name="Output 18 3 2 3 2 2 2" xfId="25659"/>
    <cellStyle name="Output 18 3 2 3 2 2 2 2" xfId="46845"/>
    <cellStyle name="Output 18 3 2 3 2 2 3" xfId="36241"/>
    <cellStyle name="Output 18 3 2 3 2 3" xfId="20546"/>
    <cellStyle name="Output 18 3 2 3 2 3 2" xfId="41733"/>
    <cellStyle name="Output 18 3 2 3 2 4" xfId="31113"/>
    <cellStyle name="Output 18 3 2 3 2_Table 2A-1_EFT (Annual)" xfId="7744"/>
    <cellStyle name="Output 18 3 2 3 3" xfId="11015"/>
    <cellStyle name="Output 18 3 2 3 3 2" xfId="23113"/>
    <cellStyle name="Output 18 3 2 3 3 2 2" xfId="44299"/>
    <cellStyle name="Output 18 3 2 3 3 3" xfId="33695"/>
    <cellStyle name="Output 18 3 2 3 4" xfId="18000"/>
    <cellStyle name="Output 18 3 2 3 4 2" xfId="39187"/>
    <cellStyle name="Output 18 3 2 3 5" xfId="28370"/>
    <cellStyle name="Output 18 3 2 3_Table 2A-1_EFT (Annual)" xfId="7743"/>
    <cellStyle name="Output 18 3 2 4" xfId="4948"/>
    <cellStyle name="Output 18 3 2 4 2" xfId="13208"/>
    <cellStyle name="Output 18 3 2 4 2 2" xfId="25214"/>
    <cellStyle name="Output 18 3 2 4 2 2 2" xfId="46400"/>
    <cellStyle name="Output 18 3 2 4 2 3" xfId="35796"/>
    <cellStyle name="Output 18 3 2 4 3" xfId="20101"/>
    <cellStyle name="Output 18 3 2 4 3 2" xfId="41288"/>
    <cellStyle name="Output 18 3 2 4 4" xfId="30605"/>
    <cellStyle name="Output 18 3 2 4_Table 2A-1_EFT (Annual)" xfId="7745"/>
    <cellStyle name="Output 18 3 2 5" xfId="10552"/>
    <cellStyle name="Output 18 3 2 5 2" xfId="22668"/>
    <cellStyle name="Output 18 3 2 5 2 2" xfId="43854"/>
    <cellStyle name="Output 18 3 2 5 3" xfId="33250"/>
    <cellStyle name="Output 18 3 2 6" xfId="17555"/>
    <cellStyle name="Output 18 3 2 6 2" xfId="38742"/>
    <cellStyle name="Output 18 3 2 7" xfId="27862"/>
    <cellStyle name="Output 18 3 2_Table 2A-1_EFT (Annual)" xfId="3374"/>
    <cellStyle name="Output 18 3 3" xfId="2126"/>
    <cellStyle name="Output 18 3 3 2" xfId="5687"/>
    <cellStyle name="Output 18 3 3 2 2" xfId="13902"/>
    <cellStyle name="Output 18 3 3 2 2 2" xfId="25890"/>
    <cellStyle name="Output 18 3 3 2 2 2 2" xfId="47076"/>
    <cellStyle name="Output 18 3 3 2 2 3" xfId="36472"/>
    <cellStyle name="Output 18 3 3 2 3" xfId="20777"/>
    <cellStyle name="Output 18 3 3 2 3 2" xfId="41964"/>
    <cellStyle name="Output 18 3 3 2 4" xfId="31344"/>
    <cellStyle name="Output 18 3 3 2_Table 2A-1_EFT (Annual)" xfId="7747"/>
    <cellStyle name="Output 18 3 3 3" xfId="11246"/>
    <cellStyle name="Output 18 3 3 3 2" xfId="23344"/>
    <cellStyle name="Output 18 3 3 3 2 2" xfId="44530"/>
    <cellStyle name="Output 18 3 3 3 3" xfId="33926"/>
    <cellStyle name="Output 18 3 3 4" xfId="18231"/>
    <cellStyle name="Output 18 3 3 4 2" xfId="39418"/>
    <cellStyle name="Output 18 3 3 5" xfId="28601"/>
    <cellStyle name="Output 18 3 3_Table 2A-1_EFT (Annual)" xfId="7746"/>
    <cellStyle name="Output 18 3 4" xfId="1715"/>
    <cellStyle name="Output 18 3 4 2" xfId="5276"/>
    <cellStyle name="Output 18 3 4 2 2" xfId="13505"/>
    <cellStyle name="Output 18 3 4 2 2 2" xfId="25498"/>
    <cellStyle name="Output 18 3 4 2 2 2 2" xfId="46684"/>
    <cellStyle name="Output 18 3 4 2 2 3" xfId="36080"/>
    <cellStyle name="Output 18 3 4 2 3" xfId="20385"/>
    <cellStyle name="Output 18 3 4 2 3 2" xfId="41572"/>
    <cellStyle name="Output 18 3 4 2 4" xfId="30933"/>
    <cellStyle name="Output 18 3 4 2_Table 2A-1_EFT (Annual)" xfId="7749"/>
    <cellStyle name="Output 18 3 4 3" xfId="10849"/>
    <cellStyle name="Output 18 3 4 3 2" xfId="22952"/>
    <cellStyle name="Output 18 3 4 3 2 2" xfId="44138"/>
    <cellStyle name="Output 18 3 4 3 3" xfId="33534"/>
    <cellStyle name="Output 18 3 4 4" xfId="17839"/>
    <cellStyle name="Output 18 3 4 4 2" xfId="39026"/>
    <cellStyle name="Output 18 3 4 5" xfId="28190"/>
    <cellStyle name="Output 18 3 4_Table 2A-1_EFT (Annual)" xfId="7748"/>
    <cellStyle name="Output 18 3 5" xfId="3974"/>
    <cellStyle name="Output 18 3 5 2" xfId="12302"/>
    <cellStyle name="Output 18 3 5 2 2" xfId="24326"/>
    <cellStyle name="Output 18 3 5 2 2 2" xfId="45512"/>
    <cellStyle name="Output 18 3 5 2 3" xfId="34908"/>
    <cellStyle name="Output 18 3 5 3" xfId="19213"/>
    <cellStyle name="Output 18 3 5 3 2" xfId="40400"/>
    <cellStyle name="Output 18 3 5 4" xfId="29662"/>
    <cellStyle name="Output 18 3 5_Table 2A-1_EFT (Annual)" xfId="7750"/>
    <cellStyle name="Output 18 3 6" xfId="9639"/>
    <cellStyle name="Output 18 3 6 2" xfId="21780"/>
    <cellStyle name="Output 18 3 6 2 2" xfId="42966"/>
    <cellStyle name="Output 18 3 6 3" xfId="32362"/>
    <cellStyle name="Output 18 3 7" xfId="16667"/>
    <cellStyle name="Output 18 3 7 2" xfId="37854"/>
    <cellStyle name="Output 18 3 8" xfId="26919"/>
    <cellStyle name="Output 18 3_Table 2A-1_EFT (Annual)" xfId="3373"/>
    <cellStyle name="Output 18 4" xfId="1221"/>
    <cellStyle name="Output 18 4 2" xfId="2491"/>
    <cellStyle name="Output 18 4 2 2" xfId="6052"/>
    <cellStyle name="Output 18 4 2 2 2" xfId="14246"/>
    <cellStyle name="Output 18 4 2 2 2 2" xfId="26218"/>
    <cellStyle name="Output 18 4 2 2 2 2 2" xfId="47404"/>
    <cellStyle name="Output 18 4 2 2 2 3" xfId="36800"/>
    <cellStyle name="Output 18 4 2 2 3" xfId="21105"/>
    <cellStyle name="Output 18 4 2 2 3 2" xfId="42292"/>
    <cellStyle name="Output 18 4 2 2 4" xfId="31708"/>
    <cellStyle name="Output 18 4 2 2_Table 2A-1_EFT (Annual)" xfId="7752"/>
    <cellStyle name="Output 18 4 2 3" xfId="11588"/>
    <cellStyle name="Output 18 4 2 3 2" xfId="23672"/>
    <cellStyle name="Output 18 4 2 3 2 2" xfId="44858"/>
    <cellStyle name="Output 18 4 2 3 3" xfId="34254"/>
    <cellStyle name="Output 18 4 2 4" xfId="18559"/>
    <cellStyle name="Output 18 4 2 4 2" xfId="39746"/>
    <cellStyle name="Output 18 4 2 5" xfId="28965"/>
    <cellStyle name="Output 18 4 2_Table 2A-1_EFT (Annual)" xfId="7751"/>
    <cellStyle name="Output 18 4 3" xfId="1831"/>
    <cellStyle name="Output 18 4 3 2" xfId="5392"/>
    <cellStyle name="Output 18 4 3 2 2" xfId="13607"/>
    <cellStyle name="Output 18 4 3 2 2 2" xfId="25595"/>
    <cellStyle name="Output 18 4 3 2 2 2 2" xfId="46781"/>
    <cellStyle name="Output 18 4 3 2 2 3" xfId="36177"/>
    <cellStyle name="Output 18 4 3 2 3" xfId="20482"/>
    <cellStyle name="Output 18 4 3 2 3 2" xfId="41669"/>
    <cellStyle name="Output 18 4 3 2 4" xfId="31049"/>
    <cellStyle name="Output 18 4 3 2_Table 2A-1_EFT (Annual)" xfId="7754"/>
    <cellStyle name="Output 18 4 3 3" xfId="10951"/>
    <cellStyle name="Output 18 4 3 3 2" xfId="23049"/>
    <cellStyle name="Output 18 4 3 3 2 2" xfId="44235"/>
    <cellStyle name="Output 18 4 3 3 3" xfId="33631"/>
    <cellStyle name="Output 18 4 3 4" xfId="17936"/>
    <cellStyle name="Output 18 4 3 4 2" xfId="39123"/>
    <cellStyle name="Output 18 4 3 5" xfId="28306"/>
    <cellStyle name="Output 18 4 3_Table 2A-1_EFT (Annual)" xfId="7753"/>
    <cellStyle name="Output 18 4 4" xfId="4782"/>
    <cellStyle name="Output 18 4 4 2" xfId="13042"/>
    <cellStyle name="Output 18 4 4 2 2" xfId="25048"/>
    <cellStyle name="Output 18 4 4 2 2 2" xfId="46234"/>
    <cellStyle name="Output 18 4 4 2 3" xfId="35630"/>
    <cellStyle name="Output 18 4 4 3" xfId="19935"/>
    <cellStyle name="Output 18 4 4 3 2" xfId="41122"/>
    <cellStyle name="Output 18 4 4 4" xfId="30439"/>
    <cellStyle name="Output 18 4 4_Table 2A-1_EFT (Annual)" xfId="7755"/>
    <cellStyle name="Output 18 4 5" xfId="10386"/>
    <cellStyle name="Output 18 4 5 2" xfId="22502"/>
    <cellStyle name="Output 18 4 5 2 2" xfId="43688"/>
    <cellStyle name="Output 18 4 5 3" xfId="33084"/>
    <cellStyle name="Output 18 4 6" xfId="17389"/>
    <cellStyle name="Output 18 4 6 2" xfId="38576"/>
    <cellStyle name="Output 18 4 7" xfId="27696"/>
    <cellStyle name="Output 18 4_Table 2A-1_EFT (Annual)" xfId="3375"/>
    <cellStyle name="Output 18 5" xfId="1960"/>
    <cellStyle name="Output 18 5 2" xfId="5521"/>
    <cellStyle name="Output 18 5 2 2" xfId="13736"/>
    <cellStyle name="Output 18 5 2 2 2" xfId="25724"/>
    <cellStyle name="Output 18 5 2 2 2 2" xfId="46910"/>
    <cellStyle name="Output 18 5 2 2 3" xfId="36306"/>
    <cellStyle name="Output 18 5 2 3" xfId="20611"/>
    <cellStyle name="Output 18 5 2 3 2" xfId="41798"/>
    <cellStyle name="Output 18 5 2 4" xfId="31178"/>
    <cellStyle name="Output 18 5 2_Table 2A-1_EFT (Annual)" xfId="7757"/>
    <cellStyle name="Output 18 5 3" xfId="11080"/>
    <cellStyle name="Output 18 5 3 2" xfId="23178"/>
    <cellStyle name="Output 18 5 3 2 2" xfId="44364"/>
    <cellStyle name="Output 18 5 3 3" xfId="33760"/>
    <cellStyle name="Output 18 5 4" xfId="18065"/>
    <cellStyle name="Output 18 5 4 2" xfId="39252"/>
    <cellStyle name="Output 18 5 5" xfId="28435"/>
    <cellStyle name="Output 18 5_Table 2A-1_EFT (Annual)" xfId="7756"/>
    <cellStyle name="Output 18 6" xfId="1658"/>
    <cellStyle name="Output 18 6 2" xfId="5219"/>
    <cellStyle name="Output 18 6 2 2" xfId="13466"/>
    <cellStyle name="Output 18 6 2 2 2" xfId="25466"/>
    <cellStyle name="Output 18 6 2 2 2 2" xfId="46652"/>
    <cellStyle name="Output 18 6 2 2 3" xfId="36048"/>
    <cellStyle name="Output 18 6 2 3" xfId="20353"/>
    <cellStyle name="Output 18 6 2 3 2" xfId="41540"/>
    <cellStyle name="Output 18 6 2 4" xfId="30876"/>
    <cellStyle name="Output 18 6 2_Table 2A-1_EFT (Annual)" xfId="7759"/>
    <cellStyle name="Output 18 6 3" xfId="10811"/>
    <cellStyle name="Output 18 6 3 2" xfId="22920"/>
    <cellStyle name="Output 18 6 3 2 2" xfId="44106"/>
    <cellStyle name="Output 18 6 3 3" xfId="33502"/>
    <cellStyle name="Output 18 6 4" xfId="17807"/>
    <cellStyle name="Output 18 6 4 2" xfId="38994"/>
    <cellStyle name="Output 18 6 5" xfId="28133"/>
    <cellStyle name="Output 18 6_Table 2A-1_EFT (Annual)" xfId="7758"/>
    <cellStyle name="Output 18 7" xfId="3762"/>
    <cellStyle name="Output 18 7 2" xfId="12130"/>
    <cellStyle name="Output 18 7 2 2" xfId="24160"/>
    <cellStyle name="Output 18 7 2 2 2" xfId="45346"/>
    <cellStyle name="Output 18 7 2 3" xfId="34742"/>
    <cellStyle name="Output 18 7 3" xfId="19047"/>
    <cellStyle name="Output 18 7 3 2" xfId="40234"/>
    <cellStyle name="Output 18 7 4" xfId="29471"/>
    <cellStyle name="Output 18 7_Table 2A-1_EFT (Annual)" xfId="7760"/>
    <cellStyle name="Output 18 8" xfId="9449"/>
    <cellStyle name="Output 18 8 2" xfId="21614"/>
    <cellStyle name="Output 18 8 2 2" xfId="42800"/>
    <cellStyle name="Output 18 8 3" xfId="32196"/>
    <cellStyle name="Output 18 9" xfId="16501"/>
    <cellStyle name="Output 18 9 2" xfId="37688"/>
    <cellStyle name="Output 18_Table 2A-1_EFT (Annual)" xfId="3370"/>
    <cellStyle name="Output 19" xfId="166"/>
    <cellStyle name="Output 19 10" xfId="26721"/>
    <cellStyle name="Output 19 2" xfId="559"/>
    <cellStyle name="Output 19 2 2" xfId="1536"/>
    <cellStyle name="Output 19 2 2 2" xfId="2806"/>
    <cellStyle name="Output 19 2 2 2 2" xfId="6367"/>
    <cellStyle name="Output 19 2 2 2 2 2" xfId="14561"/>
    <cellStyle name="Output 19 2 2 2 2 2 2" xfId="26533"/>
    <cellStyle name="Output 19 2 2 2 2 2 2 2" xfId="47719"/>
    <cellStyle name="Output 19 2 2 2 2 2 3" xfId="37115"/>
    <cellStyle name="Output 19 2 2 2 2 3" xfId="21420"/>
    <cellStyle name="Output 19 2 2 2 2 3 2" xfId="42607"/>
    <cellStyle name="Output 19 2 2 2 2 4" xfId="32023"/>
    <cellStyle name="Output 19 2 2 2 2_Table 2A-1_EFT (Annual)" xfId="7762"/>
    <cellStyle name="Output 19 2 2 2 3" xfId="11903"/>
    <cellStyle name="Output 19 2 2 2 3 2" xfId="23987"/>
    <cellStyle name="Output 19 2 2 2 3 2 2" xfId="45173"/>
    <cellStyle name="Output 19 2 2 2 3 3" xfId="34569"/>
    <cellStyle name="Output 19 2 2 2 4" xfId="18874"/>
    <cellStyle name="Output 19 2 2 2 4 2" xfId="40061"/>
    <cellStyle name="Output 19 2 2 2 5" xfId="29280"/>
    <cellStyle name="Output 19 2 2 2_Table 2A-1_EFT (Annual)" xfId="7761"/>
    <cellStyle name="Output 19 2 2 3" xfId="1925"/>
    <cellStyle name="Output 19 2 2 3 2" xfId="5486"/>
    <cellStyle name="Output 19 2 2 3 2 2" xfId="13701"/>
    <cellStyle name="Output 19 2 2 3 2 2 2" xfId="25689"/>
    <cellStyle name="Output 19 2 2 3 2 2 2 2" xfId="46875"/>
    <cellStyle name="Output 19 2 2 3 2 2 3" xfId="36271"/>
    <cellStyle name="Output 19 2 2 3 2 3" xfId="20576"/>
    <cellStyle name="Output 19 2 2 3 2 3 2" xfId="41763"/>
    <cellStyle name="Output 19 2 2 3 2 4" xfId="31143"/>
    <cellStyle name="Output 19 2 2 3 2_Table 2A-1_EFT (Annual)" xfId="7764"/>
    <cellStyle name="Output 19 2 2 3 3" xfId="11045"/>
    <cellStyle name="Output 19 2 2 3 3 2" xfId="23143"/>
    <cellStyle name="Output 19 2 2 3 3 2 2" xfId="44329"/>
    <cellStyle name="Output 19 2 2 3 3 3" xfId="33725"/>
    <cellStyle name="Output 19 2 2 3 4" xfId="18030"/>
    <cellStyle name="Output 19 2 2 3 4 2" xfId="39217"/>
    <cellStyle name="Output 19 2 2 3 5" xfId="28400"/>
    <cellStyle name="Output 19 2 2 3_Table 2A-1_EFT (Annual)" xfId="7763"/>
    <cellStyle name="Output 19 2 2 4" xfId="5097"/>
    <cellStyle name="Output 19 2 2 4 2" xfId="13357"/>
    <cellStyle name="Output 19 2 2 4 2 2" xfId="25363"/>
    <cellStyle name="Output 19 2 2 4 2 2 2" xfId="46549"/>
    <cellStyle name="Output 19 2 2 4 2 3" xfId="35945"/>
    <cellStyle name="Output 19 2 2 4 3" xfId="20250"/>
    <cellStyle name="Output 19 2 2 4 3 2" xfId="41437"/>
    <cellStyle name="Output 19 2 2 4 4" xfId="30754"/>
    <cellStyle name="Output 19 2 2 4_Table 2A-1_EFT (Annual)" xfId="7765"/>
    <cellStyle name="Output 19 2 2 5" xfId="10701"/>
    <cellStyle name="Output 19 2 2 5 2" xfId="22817"/>
    <cellStyle name="Output 19 2 2 5 2 2" xfId="44003"/>
    <cellStyle name="Output 19 2 2 5 3" xfId="33399"/>
    <cellStyle name="Output 19 2 2 6" xfId="17704"/>
    <cellStyle name="Output 19 2 2 6 2" xfId="38891"/>
    <cellStyle name="Output 19 2 2 7" xfId="28011"/>
    <cellStyle name="Output 19 2 2_Table 2A-1_EFT (Annual)" xfId="3378"/>
    <cellStyle name="Output 19 2 3" xfId="2275"/>
    <cellStyle name="Output 19 2 3 2" xfId="5836"/>
    <cellStyle name="Output 19 2 3 2 2" xfId="14051"/>
    <cellStyle name="Output 19 2 3 2 2 2" xfId="26039"/>
    <cellStyle name="Output 19 2 3 2 2 2 2" xfId="47225"/>
    <cellStyle name="Output 19 2 3 2 2 3" xfId="36621"/>
    <cellStyle name="Output 19 2 3 2 3" xfId="20926"/>
    <cellStyle name="Output 19 2 3 2 3 2" xfId="42113"/>
    <cellStyle name="Output 19 2 3 2 4" xfId="31493"/>
    <cellStyle name="Output 19 2 3 2_Table 2A-1_EFT (Annual)" xfId="7767"/>
    <cellStyle name="Output 19 2 3 3" xfId="11395"/>
    <cellStyle name="Output 19 2 3 3 2" xfId="23493"/>
    <cellStyle name="Output 19 2 3 3 2 2" xfId="44679"/>
    <cellStyle name="Output 19 2 3 3 3" xfId="34075"/>
    <cellStyle name="Output 19 2 3 4" xfId="18380"/>
    <cellStyle name="Output 19 2 3 4 2" xfId="39567"/>
    <cellStyle name="Output 19 2 3 5" xfId="28750"/>
    <cellStyle name="Output 19 2 3_Table 2A-1_EFT (Annual)" xfId="7766"/>
    <cellStyle name="Output 19 2 4" xfId="1750"/>
    <cellStyle name="Output 19 2 4 2" xfId="5311"/>
    <cellStyle name="Output 19 2 4 2 2" xfId="13536"/>
    <cellStyle name="Output 19 2 4 2 2 2" xfId="25527"/>
    <cellStyle name="Output 19 2 4 2 2 2 2" xfId="46713"/>
    <cellStyle name="Output 19 2 4 2 2 3" xfId="36109"/>
    <cellStyle name="Output 19 2 4 2 3" xfId="20414"/>
    <cellStyle name="Output 19 2 4 2 3 2" xfId="41601"/>
    <cellStyle name="Output 19 2 4 2 4" xfId="30968"/>
    <cellStyle name="Output 19 2 4 2_Table 2A-1_EFT (Annual)" xfId="7769"/>
    <cellStyle name="Output 19 2 4 3" xfId="10879"/>
    <cellStyle name="Output 19 2 4 3 2" xfId="22981"/>
    <cellStyle name="Output 19 2 4 3 2 2" xfId="44167"/>
    <cellStyle name="Output 19 2 4 3 3" xfId="33563"/>
    <cellStyle name="Output 19 2 4 4" xfId="17868"/>
    <cellStyle name="Output 19 2 4 4 2" xfId="39055"/>
    <cellStyle name="Output 19 2 4 5" xfId="28225"/>
    <cellStyle name="Output 19 2 4_Table 2A-1_EFT (Annual)" xfId="7768"/>
    <cellStyle name="Output 19 2 5" xfId="4129"/>
    <cellStyle name="Output 19 2 5 2" xfId="12453"/>
    <cellStyle name="Output 19 2 5 2 2" xfId="24475"/>
    <cellStyle name="Output 19 2 5 2 2 2" xfId="45661"/>
    <cellStyle name="Output 19 2 5 2 3" xfId="35057"/>
    <cellStyle name="Output 19 2 5 3" xfId="19362"/>
    <cellStyle name="Output 19 2 5 3 2" xfId="40549"/>
    <cellStyle name="Output 19 2 5 4" xfId="29817"/>
    <cellStyle name="Output 19 2 5_Table 2A-1_EFT (Annual)" xfId="7770"/>
    <cellStyle name="Output 19 2 6" xfId="9792"/>
    <cellStyle name="Output 19 2 6 2" xfId="21929"/>
    <cellStyle name="Output 19 2 6 2 2" xfId="43115"/>
    <cellStyle name="Output 19 2 6 3" xfId="32511"/>
    <cellStyle name="Output 19 2 7" xfId="16816"/>
    <cellStyle name="Output 19 2 7 2" xfId="38003"/>
    <cellStyle name="Output 19 2 8" xfId="27074"/>
    <cellStyle name="Output 19 2_Table 2A-1_EFT (Annual)" xfId="3377"/>
    <cellStyle name="Output 19 3" xfId="397"/>
    <cellStyle name="Output 19 3 2" xfId="1380"/>
    <cellStyle name="Output 19 3 2 2" xfId="2650"/>
    <cellStyle name="Output 19 3 2 2 2" xfId="6211"/>
    <cellStyle name="Output 19 3 2 2 2 2" xfId="14405"/>
    <cellStyle name="Output 19 3 2 2 2 2 2" xfId="26377"/>
    <cellStyle name="Output 19 3 2 2 2 2 2 2" xfId="47563"/>
    <cellStyle name="Output 19 3 2 2 2 2 3" xfId="36959"/>
    <cellStyle name="Output 19 3 2 2 2 3" xfId="21264"/>
    <cellStyle name="Output 19 3 2 2 2 3 2" xfId="42451"/>
    <cellStyle name="Output 19 3 2 2 2 4" xfId="31867"/>
    <cellStyle name="Output 19 3 2 2 2_Table 2A-1_EFT (Annual)" xfId="7772"/>
    <cellStyle name="Output 19 3 2 2 3" xfId="11747"/>
    <cellStyle name="Output 19 3 2 2 3 2" xfId="23831"/>
    <cellStyle name="Output 19 3 2 2 3 2 2" xfId="45017"/>
    <cellStyle name="Output 19 3 2 2 3 3" xfId="34413"/>
    <cellStyle name="Output 19 3 2 2 4" xfId="18718"/>
    <cellStyle name="Output 19 3 2 2 4 2" xfId="39905"/>
    <cellStyle name="Output 19 3 2 2 5" xfId="29124"/>
    <cellStyle name="Output 19 3 2 2_Table 2A-1_EFT (Annual)" xfId="7771"/>
    <cellStyle name="Output 19 3 2 3" xfId="1894"/>
    <cellStyle name="Output 19 3 2 3 2" xfId="5455"/>
    <cellStyle name="Output 19 3 2 3 2 2" xfId="13670"/>
    <cellStyle name="Output 19 3 2 3 2 2 2" xfId="25658"/>
    <cellStyle name="Output 19 3 2 3 2 2 2 2" xfId="46844"/>
    <cellStyle name="Output 19 3 2 3 2 2 3" xfId="36240"/>
    <cellStyle name="Output 19 3 2 3 2 3" xfId="20545"/>
    <cellStyle name="Output 19 3 2 3 2 3 2" xfId="41732"/>
    <cellStyle name="Output 19 3 2 3 2 4" xfId="31112"/>
    <cellStyle name="Output 19 3 2 3 2_Table 2A-1_EFT (Annual)" xfId="7774"/>
    <cellStyle name="Output 19 3 2 3 3" xfId="11014"/>
    <cellStyle name="Output 19 3 2 3 3 2" xfId="23112"/>
    <cellStyle name="Output 19 3 2 3 3 2 2" xfId="44298"/>
    <cellStyle name="Output 19 3 2 3 3 3" xfId="33694"/>
    <cellStyle name="Output 19 3 2 3 4" xfId="17999"/>
    <cellStyle name="Output 19 3 2 3 4 2" xfId="39186"/>
    <cellStyle name="Output 19 3 2 3 5" xfId="28369"/>
    <cellStyle name="Output 19 3 2 3_Table 2A-1_EFT (Annual)" xfId="7773"/>
    <cellStyle name="Output 19 3 2 4" xfId="4941"/>
    <cellStyle name="Output 19 3 2 4 2" xfId="13201"/>
    <cellStyle name="Output 19 3 2 4 2 2" xfId="25207"/>
    <cellStyle name="Output 19 3 2 4 2 2 2" xfId="46393"/>
    <cellStyle name="Output 19 3 2 4 2 3" xfId="35789"/>
    <cellStyle name="Output 19 3 2 4 3" xfId="20094"/>
    <cellStyle name="Output 19 3 2 4 3 2" xfId="41281"/>
    <cellStyle name="Output 19 3 2 4 4" xfId="30598"/>
    <cellStyle name="Output 19 3 2 4_Table 2A-1_EFT (Annual)" xfId="7775"/>
    <cellStyle name="Output 19 3 2 5" xfId="10545"/>
    <cellStyle name="Output 19 3 2 5 2" xfId="22661"/>
    <cellStyle name="Output 19 3 2 5 2 2" xfId="43847"/>
    <cellStyle name="Output 19 3 2 5 3" xfId="33243"/>
    <cellStyle name="Output 19 3 2 6" xfId="17548"/>
    <cellStyle name="Output 19 3 2 6 2" xfId="38735"/>
    <cellStyle name="Output 19 3 2 7" xfId="27855"/>
    <cellStyle name="Output 19 3 2_Table 2A-1_EFT (Annual)" xfId="3380"/>
    <cellStyle name="Output 19 3 3" xfId="2119"/>
    <cellStyle name="Output 19 3 3 2" xfId="5680"/>
    <cellStyle name="Output 19 3 3 2 2" xfId="13895"/>
    <cellStyle name="Output 19 3 3 2 2 2" xfId="25883"/>
    <cellStyle name="Output 19 3 3 2 2 2 2" xfId="47069"/>
    <cellStyle name="Output 19 3 3 2 2 3" xfId="36465"/>
    <cellStyle name="Output 19 3 3 2 3" xfId="20770"/>
    <cellStyle name="Output 19 3 3 2 3 2" xfId="41957"/>
    <cellStyle name="Output 19 3 3 2 4" xfId="31337"/>
    <cellStyle name="Output 19 3 3 2_Table 2A-1_EFT (Annual)" xfId="7777"/>
    <cellStyle name="Output 19 3 3 3" xfId="11239"/>
    <cellStyle name="Output 19 3 3 3 2" xfId="23337"/>
    <cellStyle name="Output 19 3 3 3 2 2" xfId="44523"/>
    <cellStyle name="Output 19 3 3 3 3" xfId="33919"/>
    <cellStyle name="Output 19 3 3 4" xfId="18224"/>
    <cellStyle name="Output 19 3 3 4 2" xfId="39411"/>
    <cellStyle name="Output 19 3 3 5" xfId="28594"/>
    <cellStyle name="Output 19 3 3_Table 2A-1_EFT (Annual)" xfId="7776"/>
    <cellStyle name="Output 19 3 4" xfId="1714"/>
    <cellStyle name="Output 19 3 4 2" xfId="5275"/>
    <cellStyle name="Output 19 3 4 2 2" xfId="13504"/>
    <cellStyle name="Output 19 3 4 2 2 2" xfId="25497"/>
    <cellStyle name="Output 19 3 4 2 2 2 2" xfId="46683"/>
    <cellStyle name="Output 19 3 4 2 2 3" xfId="36079"/>
    <cellStyle name="Output 19 3 4 2 3" xfId="20384"/>
    <cellStyle name="Output 19 3 4 2 3 2" xfId="41571"/>
    <cellStyle name="Output 19 3 4 2 4" xfId="30932"/>
    <cellStyle name="Output 19 3 4 2_Table 2A-1_EFT (Annual)" xfId="7779"/>
    <cellStyle name="Output 19 3 4 3" xfId="10848"/>
    <cellStyle name="Output 19 3 4 3 2" xfId="22951"/>
    <cellStyle name="Output 19 3 4 3 2 2" xfId="44137"/>
    <cellStyle name="Output 19 3 4 3 3" xfId="33533"/>
    <cellStyle name="Output 19 3 4 4" xfId="17838"/>
    <cellStyle name="Output 19 3 4 4 2" xfId="39025"/>
    <cellStyle name="Output 19 3 4 5" xfId="28189"/>
    <cellStyle name="Output 19 3 4_Table 2A-1_EFT (Annual)" xfId="7778"/>
    <cellStyle name="Output 19 3 5" xfId="3967"/>
    <cellStyle name="Output 19 3 5 2" xfId="12295"/>
    <cellStyle name="Output 19 3 5 2 2" xfId="24319"/>
    <cellStyle name="Output 19 3 5 2 2 2" xfId="45505"/>
    <cellStyle name="Output 19 3 5 2 3" xfId="34901"/>
    <cellStyle name="Output 19 3 5 3" xfId="19206"/>
    <cellStyle name="Output 19 3 5 3 2" xfId="40393"/>
    <cellStyle name="Output 19 3 5 4" xfId="29655"/>
    <cellStyle name="Output 19 3 5_Table 2A-1_EFT (Annual)" xfId="7780"/>
    <cellStyle name="Output 19 3 6" xfId="9632"/>
    <cellStyle name="Output 19 3 6 2" xfId="21773"/>
    <cellStyle name="Output 19 3 6 2 2" xfId="42959"/>
    <cellStyle name="Output 19 3 6 3" xfId="32355"/>
    <cellStyle name="Output 19 3 7" xfId="16660"/>
    <cellStyle name="Output 19 3 7 2" xfId="37847"/>
    <cellStyle name="Output 19 3 8" xfId="26912"/>
    <cellStyle name="Output 19 3_Table 2A-1_EFT (Annual)" xfId="3379"/>
    <cellStyle name="Output 19 4" xfId="1214"/>
    <cellStyle name="Output 19 4 2" xfId="2484"/>
    <cellStyle name="Output 19 4 2 2" xfId="6045"/>
    <cellStyle name="Output 19 4 2 2 2" xfId="14239"/>
    <cellStyle name="Output 19 4 2 2 2 2" xfId="26211"/>
    <cellStyle name="Output 19 4 2 2 2 2 2" xfId="47397"/>
    <cellStyle name="Output 19 4 2 2 2 3" xfId="36793"/>
    <cellStyle name="Output 19 4 2 2 3" xfId="21098"/>
    <cellStyle name="Output 19 4 2 2 3 2" xfId="42285"/>
    <cellStyle name="Output 19 4 2 2 4" xfId="31701"/>
    <cellStyle name="Output 19 4 2 2_Table 2A-1_EFT (Annual)" xfId="7782"/>
    <cellStyle name="Output 19 4 2 3" xfId="11581"/>
    <cellStyle name="Output 19 4 2 3 2" xfId="23665"/>
    <cellStyle name="Output 19 4 2 3 2 2" xfId="44851"/>
    <cellStyle name="Output 19 4 2 3 3" xfId="34247"/>
    <cellStyle name="Output 19 4 2 4" xfId="18552"/>
    <cellStyle name="Output 19 4 2 4 2" xfId="39739"/>
    <cellStyle name="Output 19 4 2 5" xfId="28958"/>
    <cellStyle name="Output 19 4 2_Table 2A-1_EFT (Annual)" xfId="7781"/>
    <cellStyle name="Output 19 4 3" xfId="1830"/>
    <cellStyle name="Output 19 4 3 2" xfId="5391"/>
    <cellStyle name="Output 19 4 3 2 2" xfId="13606"/>
    <cellStyle name="Output 19 4 3 2 2 2" xfId="25594"/>
    <cellStyle name="Output 19 4 3 2 2 2 2" xfId="46780"/>
    <cellStyle name="Output 19 4 3 2 2 3" xfId="36176"/>
    <cellStyle name="Output 19 4 3 2 3" xfId="20481"/>
    <cellStyle name="Output 19 4 3 2 3 2" xfId="41668"/>
    <cellStyle name="Output 19 4 3 2 4" xfId="31048"/>
    <cellStyle name="Output 19 4 3 2_Table 2A-1_EFT (Annual)" xfId="7784"/>
    <cellStyle name="Output 19 4 3 3" xfId="10950"/>
    <cellStyle name="Output 19 4 3 3 2" xfId="23048"/>
    <cellStyle name="Output 19 4 3 3 2 2" xfId="44234"/>
    <cellStyle name="Output 19 4 3 3 3" xfId="33630"/>
    <cellStyle name="Output 19 4 3 4" xfId="17935"/>
    <cellStyle name="Output 19 4 3 4 2" xfId="39122"/>
    <cellStyle name="Output 19 4 3 5" xfId="28305"/>
    <cellStyle name="Output 19 4 3_Table 2A-1_EFT (Annual)" xfId="7783"/>
    <cellStyle name="Output 19 4 4" xfId="4775"/>
    <cellStyle name="Output 19 4 4 2" xfId="13035"/>
    <cellStyle name="Output 19 4 4 2 2" xfId="25041"/>
    <cellStyle name="Output 19 4 4 2 2 2" xfId="46227"/>
    <cellStyle name="Output 19 4 4 2 3" xfId="35623"/>
    <cellStyle name="Output 19 4 4 3" xfId="19928"/>
    <cellStyle name="Output 19 4 4 3 2" xfId="41115"/>
    <cellStyle name="Output 19 4 4 4" xfId="30432"/>
    <cellStyle name="Output 19 4 4_Table 2A-1_EFT (Annual)" xfId="7785"/>
    <cellStyle name="Output 19 4 5" xfId="10379"/>
    <cellStyle name="Output 19 4 5 2" xfId="22495"/>
    <cellStyle name="Output 19 4 5 2 2" xfId="43681"/>
    <cellStyle name="Output 19 4 5 3" xfId="33077"/>
    <cellStyle name="Output 19 4 6" xfId="17382"/>
    <cellStyle name="Output 19 4 6 2" xfId="38569"/>
    <cellStyle name="Output 19 4 7" xfId="27689"/>
    <cellStyle name="Output 19 4_Table 2A-1_EFT (Annual)" xfId="3381"/>
    <cellStyle name="Output 19 5" xfId="1953"/>
    <cellStyle name="Output 19 5 2" xfId="5514"/>
    <cellStyle name="Output 19 5 2 2" xfId="13729"/>
    <cellStyle name="Output 19 5 2 2 2" xfId="25717"/>
    <cellStyle name="Output 19 5 2 2 2 2" xfId="46903"/>
    <cellStyle name="Output 19 5 2 2 3" xfId="36299"/>
    <cellStyle name="Output 19 5 2 3" xfId="20604"/>
    <cellStyle name="Output 19 5 2 3 2" xfId="41791"/>
    <cellStyle name="Output 19 5 2 4" xfId="31171"/>
    <cellStyle name="Output 19 5 2_Table 2A-1_EFT (Annual)" xfId="7787"/>
    <cellStyle name="Output 19 5 3" xfId="11073"/>
    <cellStyle name="Output 19 5 3 2" xfId="23171"/>
    <cellStyle name="Output 19 5 3 2 2" xfId="44357"/>
    <cellStyle name="Output 19 5 3 3" xfId="33753"/>
    <cellStyle name="Output 19 5 4" xfId="18058"/>
    <cellStyle name="Output 19 5 4 2" xfId="39245"/>
    <cellStyle name="Output 19 5 5" xfId="28428"/>
    <cellStyle name="Output 19 5_Table 2A-1_EFT (Annual)" xfId="7786"/>
    <cellStyle name="Output 19 6" xfId="1657"/>
    <cellStyle name="Output 19 6 2" xfId="5218"/>
    <cellStyle name="Output 19 6 2 2" xfId="13465"/>
    <cellStyle name="Output 19 6 2 2 2" xfId="25465"/>
    <cellStyle name="Output 19 6 2 2 2 2" xfId="46651"/>
    <cellStyle name="Output 19 6 2 2 3" xfId="36047"/>
    <cellStyle name="Output 19 6 2 3" xfId="20352"/>
    <cellStyle name="Output 19 6 2 3 2" xfId="41539"/>
    <cellStyle name="Output 19 6 2 4" xfId="30875"/>
    <cellStyle name="Output 19 6 2_Table 2A-1_EFT (Annual)" xfId="7789"/>
    <cellStyle name="Output 19 6 3" xfId="10810"/>
    <cellStyle name="Output 19 6 3 2" xfId="22919"/>
    <cellStyle name="Output 19 6 3 2 2" xfId="44105"/>
    <cellStyle name="Output 19 6 3 3" xfId="33501"/>
    <cellStyle name="Output 19 6 4" xfId="17806"/>
    <cellStyle name="Output 19 6 4 2" xfId="38993"/>
    <cellStyle name="Output 19 6 5" xfId="28132"/>
    <cellStyle name="Output 19 6_Table 2A-1_EFT (Annual)" xfId="7788"/>
    <cellStyle name="Output 19 7" xfId="3755"/>
    <cellStyle name="Output 19 7 2" xfId="12123"/>
    <cellStyle name="Output 19 7 2 2" xfId="24153"/>
    <cellStyle name="Output 19 7 2 2 2" xfId="45339"/>
    <cellStyle name="Output 19 7 2 3" xfId="34735"/>
    <cellStyle name="Output 19 7 3" xfId="19040"/>
    <cellStyle name="Output 19 7 3 2" xfId="40227"/>
    <cellStyle name="Output 19 7 4" xfId="29464"/>
    <cellStyle name="Output 19 7_Table 2A-1_EFT (Annual)" xfId="7790"/>
    <cellStyle name="Output 19 8" xfId="9442"/>
    <cellStyle name="Output 19 8 2" xfId="21607"/>
    <cellStyle name="Output 19 8 2 2" xfId="42793"/>
    <cellStyle name="Output 19 8 3" xfId="32189"/>
    <cellStyle name="Output 19 9" xfId="16494"/>
    <cellStyle name="Output 19 9 2" xfId="37681"/>
    <cellStyle name="Output 19_Table 2A-1_EFT (Annual)" xfId="3376"/>
    <cellStyle name="Output 2" xfId="101"/>
    <cellStyle name="Output 2 10" xfId="21514"/>
    <cellStyle name="Output 2 10 2" xfId="42701"/>
    <cellStyle name="Output 2 11" xfId="26656"/>
    <cellStyle name="Output 2 2" xfId="499"/>
    <cellStyle name="Output 2 2 2" xfId="1476"/>
    <cellStyle name="Output 2 2 2 2" xfId="2746"/>
    <cellStyle name="Output 2 2 2 2 2" xfId="6307"/>
    <cellStyle name="Output 2 2 2 2 2 2" xfId="14501"/>
    <cellStyle name="Output 2 2 2 2 2 2 2" xfId="26473"/>
    <cellStyle name="Output 2 2 2 2 2 2 2 2" xfId="47659"/>
    <cellStyle name="Output 2 2 2 2 2 2 3" xfId="37055"/>
    <cellStyle name="Output 2 2 2 2 2 3" xfId="21360"/>
    <cellStyle name="Output 2 2 2 2 2 3 2" xfId="42547"/>
    <cellStyle name="Output 2 2 2 2 2 4" xfId="31963"/>
    <cellStyle name="Output 2 2 2 2 2_Table 2A-1_EFT (Annual)" xfId="7792"/>
    <cellStyle name="Output 2 2 2 2 3" xfId="11843"/>
    <cellStyle name="Output 2 2 2 2 3 2" xfId="23927"/>
    <cellStyle name="Output 2 2 2 2 3 2 2" xfId="45113"/>
    <cellStyle name="Output 2 2 2 2 3 3" xfId="34509"/>
    <cellStyle name="Output 2 2 2 2 4" xfId="18814"/>
    <cellStyle name="Output 2 2 2 2 4 2" xfId="40001"/>
    <cellStyle name="Output 2 2 2 2 5" xfId="29220"/>
    <cellStyle name="Output 2 2 2 2_Table 2A-1_EFT (Annual)" xfId="7791"/>
    <cellStyle name="Output 2 2 2 3" xfId="1914"/>
    <cellStyle name="Output 2 2 2 3 2" xfId="5475"/>
    <cellStyle name="Output 2 2 2 3 2 2" xfId="13690"/>
    <cellStyle name="Output 2 2 2 3 2 2 2" xfId="25678"/>
    <cellStyle name="Output 2 2 2 3 2 2 2 2" xfId="46864"/>
    <cellStyle name="Output 2 2 2 3 2 2 3" xfId="36260"/>
    <cellStyle name="Output 2 2 2 3 2 3" xfId="20565"/>
    <cellStyle name="Output 2 2 2 3 2 3 2" xfId="41752"/>
    <cellStyle name="Output 2 2 2 3 2 4" xfId="31132"/>
    <cellStyle name="Output 2 2 2 3 2_Table 2A-1_EFT (Annual)" xfId="7794"/>
    <cellStyle name="Output 2 2 2 3 3" xfId="11034"/>
    <cellStyle name="Output 2 2 2 3 3 2" xfId="23132"/>
    <cellStyle name="Output 2 2 2 3 3 2 2" xfId="44318"/>
    <cellStyle name="Output 2 2 2 3 3 3" xfId="33714"/>
    <cellStyle name="Output 2 2 2 3 4" xfId="18019"/>
    <cellStyle name="Output 2 2 2 3 4 2" xfId="39206"/>
    <cellStyle name="Output 2 2 2 3 5" xfId="28389"/>
    <cellStyle name="Output 2 2 2 3_Table 2A-1_EFT (Annual)" xfId="7793"/>
    <cellStyle name="Output 2 2 2 4" xfId="5037"/>
    <cellStyle name="Output 2 2 2 4 2" xfId="13297"/>
    <cellStyle name="Output 2 2 2 4 2 2" xfId="25303"/>
    <cellStyle name="Output 2 2 2 4 2 2 2" xfId="46489"/>
    <cellStyle name="Output 2 2 2 4 2 3" xfId="35885"/>
    <cellStyle name="Output 2 2 2 4 3" xfId="20190"/>
    <cellStyle name="Output 2 2 2 4 3 2" xfId="41377"/>
    <cellStyle name="Output 2 2 2 4 4" xfId="30694"/>
    <cellStyle name="Output 2 2 2 4_Table 2A-1_EFT (Annual)" xfId="7795"/>
    <cellStyle name="Output 2 2 2 5" xfId="10641"/>
    <cellStyle name="Output 2 2 2 5 2" xfId="22757"/>
    <cellStyle name="Output 2 2 2 5 2 2" xfId="43943"/>
    <cellStyle name="Output 2 2 2 5 3" xfId="33339"/>
    <cellStyle name="Output 2 2 2 6" xfId="17644"/>
    <cellStyle name="Output 2 2 2 6 2" xfId="38831"/>
    <cellStyle name="Output 2 2 2 7" xfId="27951"/>
    <cellStyle name="Output 2 2 2_Table 2A-1_EFT (Annual)" xfId="3384"/>
    <cellStyle name="Output 2 2 3" xfId="2215"/>
    <cellStyle name="Output 2 2 3 2" xfId="5776"/>
    <cellStyle name="Output 2 2 3 2 2" xfId="13991"/>
    <cellStyle name="Output 2 2 3 2 2 2" xfId="25979"/>
    <cellStyle name="Output 2 2 3 2 2 2 2" xfId="47165"/>
    <cellStyle name="Output 2 2 3 2 2 3" xfId="36561"/>
    <cellStyle name="Output 2 2 3 2 3" xfId="20866"/>
    <cellStyle name="Output 2 2 3 2 3 2" xfId="42053"/>
    <cellStyle name="Output 2 2 3 2 4" xfId="31433"/>
    <cellStyle name="Output 2 2 3 2_Table 2A-1_EFT (Annual)" xfId="7797"/>
    <cellStyle name="Output 2 2 3 3" xfId="11335"/>
    <cellStyle name="Output 2 2 3 3 2" xfId="23433"/>
    <cellStyle name="Output 2 2 3 3 2 2" xfId="44619"/>
    <cellStyle name="Output 2 2 3 3 3" xfId="34015"/>
    <cellStyle name="Output 2 2 3 4" xfId="18320"/>
    <cellStyle name="Output 2 2 3 4 2" xfId="39507"/>
    <cellStyle name="Output 2 2 3 5" xfId="28690"/>
    <cellStyle name="Output 2 2 3_Table 2A-1_EFT (Annual)" xfId="7796"/>
    <cellStyle name="Output 2 2 4" xfId="1739"/>
    <cellStyle name="Output 2 2 4 2" xfId="5300"/>
    <cellStyle name="Output 2 2 4 2 2" xfId="13525"/>
    <cellStyle name="Output 2 2 4 2 2 2" xfId="25516"/>
    <cellStyle name="Output 2 2 4 2 2 2 2" xfId="46702"/>
    <cellStyle name="Output 2 2 4 2 2 3" xfId="36098"/>
    <cellStyle name="Output 2 2 4 2 3" xfId="20403"/>
    <cellStyle name="Output 2 2 4 2 3 2" xfId="41590"/>
    <cellStyle name="Output 2 2 4 2 4" xfId="30957"/>
    <cellStyle name="Output 2 2 4 2_Table 2A-1_EFT (Annual)" xfId="7799"/>
    <cellStyle name="Output 2 2 4 3" xfId="10868"/>
    <cellStyle name="Output 2 2 4 3 2" xfId="22970"/>
    <cellStyle name="Output 2 2 4 3 2 2" xfId="44156"/>
    <cellStyle name="Output 2 2 4 3 3" xfId="33552"/>
    <cellStyle name="Output 2 2 4 4" xfId="17857"/>
    <cellStyle name="Output 2 2 4 4 2" xfId="39044"/>
    <cellStyle name="Output 2 2 4 5" xfId="28214"/>
    <cellStyle name="Output 2 2 4_Table 2A-1_EFT (Annual)" xfId="7798"/>
    <cellStyle name="Output 2 2 5" xfId="4069"/>
    <cellStyle name="Output 2 2 5 2" xfId="12393"/>
    <cellStyle name="Output 2 2 5 2 2" xfId="24415"/>
    <cellStyle name="Output 2 2 5 2 2 2" xfId="45601"/>
    <cellStyle name="Output 2 2 5 2 3" xfId="34997"/>
    <cellStyle name="Output 2 2 5 3" xfId="19302"/>
    <cellStyle name="Output 2 2 5 3 2" xfId="40489"/>
    <cellStyle name="Output 2 2 5 4" xfId="29757"/>
    <cellStyle name="Output 2 2 5_Table 2A-1_EFT (Annual)" xfId="7800"/>
    <cellStyle name="Output 2 2 6" xfId="9732"/>
    <cellStyle name="Output 2 2 6 2" xfId="21869"/>
    <cellStyle name="Output 2 2 6 2 2" xfId="43055"/>
    <cellStyle name="Output 2 2 6 3" xfId="32451"/>
    <cellStyle name="Output 2 2 7" xfId="16756"/>
    <cellStyle name="Output 2 2 7 2" xfId="37943"/>
    <cellStyle name="Output 2 2 8" xfId="27014"/>
    <cellStyle name="Output 2 2_Table 2A-1_EFT (Annual)" xfId="3383"/>
    <cellStyle name="Output 2 3" xfId="332"/>
    <cellStyle name="Output 2 3 2" xfId="1320"/>
    <cellStyle name="Output 2 3 2 2" xfId="2590"/>
    <cellStyle name="Output 2 3 2 2 2" xfId="6151"/>
    <cellStyle name="Output 2 3 2 2 2 2" xfId="14345"/>
    <cellStyle name="Output 2 3 2 2 2 2 2" xfId="26317"/>
    <cellStyle name="Output 2 3 2 2 2 2 2 2" xfId="47503"/>
    <cellStyle name="Output 2 3 2 2 2 2 3" xfId="36899"/>
    <cellStyle name="Output 2 3 2 2 2 3" xfId="21204"/>
    <cellStyle name="Output 2 3 2 2 2 3 2" xfId="42391"/>
    <cellStyle name="Output 2 3 2 2 2 4" xfId="31807"/>
    <cellStyle name="Output 2 3 2 2 2_Table 2A-1_EFT (Annual)" xfId="7802"/>
    <cellStyle name="Output 2 3 2 2 3" xfId="11687"/>
    <cellStyle name="Output 2 3 2 2 3 2" xfId="23771"/>
    <cellStyle name="Output 2 3 2 2 3 2 2" xfId="44957"/>
    <cellStyle name="Output 2 3 2 2 3 3" xfId="34353"/>
    <cellStyle name="Output 2 3 2 2 4" xfId="18658"/>
    <cellStyle name="Output 2 3 2 2 4 2" xfId="39845"/>
    <cellStyle name="Output 2 3 2 2 5" xfId="29064"/>
    <cellStyle name="Output 2 3 2 2_Table 2A-1_EFT (Annual)" xfId="7801"/>
    <cellStyle name="Output 2 3 2 3" xfId="1882"/>
    <cellStyle name="Output 2 3 2 3 2" xfId="5443"/>
    <cellStyle name="Output 2 3 2 3 2 2" xfId="13658"/>
    <cellStyle name="Output 2 3 2 3 2 2 2" xfId="25646"/>
    <cellStyle name="Output 2 3 2 3 2 2 2 2" xfId="46832"/>
    <cellStyle name="Output 2 3 2 3 2 2 3" xfId="36228"/>
    <cellStyle name="Output 2 3 2 3 2 3" xfId="20533"/>
    <cellStyle name="Output 2 3 2 3 2 3 2" xfId="41720"/>
    <cellStyle name="Output 2 3 2 3 2 4" xfId="31100"/>
    <cellStyle name="Output 2 3 2 3 2_Table 2A-1_EFT (Annual)" xfId="7804"/>
    <cellStyle name="Output 2 3 2 3 3" xfId="11002"/>
    <cellStyle name="Output 2 3 2 3 3 2" xfId="23100"/>
    <cellStyle name="Output 2 3 2 3 3 2 2" xfId="44286"/>
    <cellStyle name="Output 2 3 2 3 3 3" xfId="33682"/>
    <cellStyle name="Output 2 3 2 3 4" xfId="17987"/>
    <cellStyle name="Output 2 3 2 3 4 2" xfId="39174"/>
    <cellStyle name="Output 2 3 2 3 5" xfId="28357"/>
    <cellStyle name="Output 2 3 2 3_Table 2A-1_EFT (Annual)" xfId="7803"/>
    <cellStyle name="Output 2 3 2 4" xfId="4881"/>
    <cellStyle name="Output 2 3 2 4 2" xfId="13141"/>
    <cellStyle name="Output 2 3 2 4 2 2" xfId="25147"/>
    <cellStyle name="Output 2 3 2 4 2 2 2" xfId="46333"/>
    <cellStyle name="Output 2 3 2 4 2 3" xfId="35729"/>
    <cellStyle name="Output 2 3 2 4 3" xfId="20034"/>
    <cellStyle name="Output 2 3 2 4 3 2" xfId="41221"/>
    <cellStyle name="Output 2 3 2 4 4" xfId="30538"/>
    <cellStyle name="Output 2 3 2 4_Table 2A-1_EFT (Annual)" xfId="7805"/>
    <cellStyle name="Output 2 3 2 5" xfId="10485"/>
    <cellStyle name="Output 2 3 2 5 2" xfId="22601"/>
    <cellStyle name="Output 2 3 2 5 2 2" xfId="43787"/>
    <cellStyle name="Output 2 3 2 5 3" xfId="33183"/>
    <cellStyle name="Output 2 3 2 6" xfId="17488"/>
    <cellStyle name="Output 2 3 2 6 2" xfId="38675"/>
    <cellStyle name="Output 2 3 2 7" xfId="27795"/>
    <cellStyle name="Output 2 3 2_Table 2A-1_EFT (Annual)" xfId="3386"/>
    <cellStyle name="Output 2 3 3" xfId="2059"/>
    <cellStyle name="Output 2 3 3 2" xfId="5620"/>
    <cellStyle name="Output 2 3 3 2 2" xfId="13835"/>
    <cellStyle name="Output 2 3 3 2 2 2" xfId="25823"/>
    <cellStyle name="Output 2 3 3 2 2 2 2" xfId="47009"/>
    <cellStyle name="Output 2 3 3 2 2 3" xfId="36405"/>
    <cellStyle name="Output 2 3 3 2 3" xfId="20710"/>
    <cellStyle name="Output 2 3 3 2 3 2" xfId="41897"/>
    <cellStyle name="Output 2 3 3 2 4" xfId="31277"/>
    <cellStyle name="Output 2 3 3 2_Table 2A-1_EFT (Annual)" xfId="7807"/>
    <cellStyle name="Output 2 3 3 3" xfId="11179"/>
    <cellStyle name="Output 2 3 3 3 2" xfId="23277"/>
    <cellStyle name="Output 2 3 3 3 2 2" xfId="44463"/>
    <cellStyle name="Output 2 3 3 3 3" xfId="33859"/>
    <cellStyle name="Output 2 3 3 4" xfId="18164"/>
    <cellStyle name="Output 2 3 3 4 2" xfId="39351"/>
    <cellStyle name="Output 2 3 3 5" xfId="28534"/>
    <cellStyle name="Output 2 3 3_Table 2A-1_EFT (Annual)" xfId="7806"/>
    <cellStyle name="Output 2 3 4" xfId="1698"/>
    <cellStyle name="Output 2 3 4 2" xfId="5259"/>
    <cellStyle name="Output 2 3 4 2 2" xfId="13492"/>
    <cellStyle name="Output 2 3 4 2 2 2" xfId="25486"/>
    <cellStyle name="Output 2 3 4 2 2 2 2" xfId="46672"/>
    <cellStyle name="Output 2 3 4 2 2 3" xfId="36068"/>
    <cellStyle name="Output 2 3 4 2 3" xfId="20373"/>
    <cellStyle name="Output 2 3 4 2 3 2" xfId="41560"/>
    <cellStyle name="Output 2 3 4 2 4" xfId="30916"/>
    <cellStyle name="Output 2 3 4 2_Table 2A-1_EFT (Annual)" xfId="7809"/>
    <cellStyle name="Output 2 3 4 3" xfId="10836"/>
    <cellStyle name="Output 2 3 4 3 2" xfId="22940"/>
    <cellStyle name="Output 2 3 4 3 2 2" xfId="44126"/>
    <cellStyle name="Output 2 3 4 3 3" xfId="33522"/>
    <cellStyle name="Output 2 3 4 4" xfId="17827"/>
    <cellStyle name="Output 2 3 4 4 2" xfId="39014"/>
    <cellStyle name="Output 2 3 4 5" xfId="28173"/>
    <cellStyle name="Output 2 3 4_Table 2A-1_EFT (Annual)" xfId="7808"/>
    <cellStyle name="Output 2 3 5" xfId="3902"/>
    <cellStyle name="Output 2 3 5 2" xfId="12234"/>
    <cellStyle name="Output 2 3 5 2 2" xfId="24259"/>
    <cellStyle name="Output 2 3 5 2 2 2" xfId="45445"/>
    <cellStyle name="Output 2 3 5 2 3" xfId="34841"/>
    <cellStyle name="Output 2 3 5 3" xfId="19146"/>
    <cellStyle name="Output 2 3 5 3 2" xfId="40333"/>
    <cellStyle name="Output 2 3 5 4" xfId="29590"/>
    <cellStyle name="Output 2 3 5_Table 2A-1_EFT (Annual)" xfId="7810"/>
    <cellStyle name="Output 2 3 6" xfId="9571"/>
    <cellStyle name="Output 2 3 6 2" xfId="21713"/>
    <cellStyle name="Output 2 3 6 2 2" xfId="42899"/>
    <cellStyle name="Output 2 3 6 3" xfId="32295"/>
    <cellStyle name="Output 2 3 7" xfId="16600"/>
    <cellStyle name="Output 2 3 7 2" xfId="37787"/>
    <cellStyle name="Output 2 3 8" xfId="26847"/>
    <cellStyle name="Output 2 3_Table 2A-1_EFT (Annual)" xfId="3385"/>
    <cellStyle name="Output 2 4" xfId="1154"/>
    <cellStyle name="Output 2 4 2" xfId="2424"/>
    <cellStyle name="Output 2 4 2 2" xfId="5985"/>
    <cellStyle name="Output 2 4 2 2 2" xfId="14179"/>
    <cellStyle name="Output 2 4 2 2 2 2" xfId="26151"/>
    <cellStyle name="Output 2 4 2 2 2 2 2" xfId="47337"/>
    <cellStyle name="Output 2 4 2 2 2 3" xfId="36733"/>
    <cellStyle name="Output 2 4 2 2 3" xfId="21038"/>
    <cellStyle name="Output 2 4 2 2 3 2" xfId="42225"/>
    <cellStyle name="Output 2 4 2 2 4" xfId="31641"/>
    <cellStyle name="Output 2 4 2 2_Table 2A-1_EFT (Annual)" xfId="7812"/>
    <cellStyle name="Output 2 4 2 3" xfId="11521"/>
    <cellStyle name="Output 2 4 2 3 2" xfId="23605"/>
    <cellStyle name="Output 2 4 2 3 2 2" xfId="44791"/>
    <cellStyle name="Output 2 4 2 3 3" xfId="34187"/>
    <cellStyle name="Output 2 4 2 4" xfId="18492"/>
    <cellStyle name="Output 2 4 2 4 2" xfId="39679"/>
    <cellStyle name="Output 2 4 2 5" xfId="28898"/>
    <cellStyle name="Output 2 4 2_Table 2A-1_EFT (Annual)" xfId="7811"/>
    <cellStyle name="Output 2 4 3" xfId="1818"/>
    <cellStyle name="Output 2 4 3 2" xfId="5379"/>
    <cellStyle name="Output 2 4 3 2 2" xfId="13594"/>
    <cellStyle name="Output 2 4 3 2 2 2" xfId="25582"/>
    <cellStyle name="Output 2 4 3 2 2 2 2" xfId="46768"/>
    <cellStyle name="Output 2 4 3 2 2 3" xfId="36164"/>
    <cellStyle name="Output 2 4 3 2 3" xfId="20469"/>
    <cellStyle name="Output 2 4 3 2 3 2" xfId="41656"/>
    <cellStyle name="Output 2 4 3 2 4" xfId="31036"/>
    <cellStyle name="Output 2 4 3 2_Table 2A-1_EFT (Annual)" xfId="7814"/>
    <cellStyle name="Output 2 4 3 3" xfId="10938"/>
    <cellStyle name="Output 2 4 3 3 2" xfId="23036"/>
    <cellStyle name="Output 2 4 3 3 2 2" xfId="44222"/>
    <cellStyle name="Output 2 4 3 3 3" xfId="33618"/>
    <cellStyle name="Output 2 4 3 4" xfId="17923"/>
    <cellStyle name="Output 2 4 3 4 2" xfId="39110"/>
    <cellStyle name="Output 2 4 3 5" xfId="28293"/>
    <cellStyle name="Output 2 4 3_Table 2A-1_EFT (Annual)" xfId="7813"/>
    <cellStyle name="Output 2 4 4" xfId="4715"/>
    <cellStyle name="Output 2 4 4 2" xfId="12975"/>
    <cellStyle name="Output 2 4 4 2 2" xfId="24981"/>
    <cellStyle name="Output 2 4 4 2 2 2" xfId="46167"/>
    <cellStyle name="Output 2 4 4 2 3" xfId="35563"/>
    <cellStyle name="Output 2 4 4 3" xfId="19868"/>
    <cellStyle name="Output 2 4 4 3 2" xfId="41055"/>
    <cellStyle name="Output 2 4 4 4" xfId="30372"/>
    <cellStyle name="Output 2 4 4_Table 2A-1_EFT (Annual)" xfId="7815"/>
    <cellStyle name="Output 2 4 5" xfId="10319"/>
    <cellStyle name="Output 2 4 5 2" xfId="22435"/>
    <cellStyle name="Output 2 4 5 2 2" xfId="43621"/>
    <cellStyle name="Output 2 4 5 3" xfId="33017"/>
    <cellStyle name="Output 2 4 6" xfId="17322"/>
    <cellStyle name="Output 2 4 6 2" xfId="38509"/>
    <cellStyle name="Output 2 4 7" xfId="27629"/>
    <cellStyle name="Output 2 4_Table 2A-1_EFT (Annual)" xfId="3387"/>
    <cellStyle name="Output 2 5" xfId="1803"/>
    <cellStyle name="Output 2 5 2" xfId="5364"/>
    <cellStyle name="Output 2 5 2 2" xfId="13579"/>
    <cellStyle name="Output 2 5 2 2 2" xfId="25567"/>
    <cellStyle name="Output 2 5 2 2 2 2" xfId="46753"/>
    <cellStyle name="Output 2 5 2 2 3" xfId="36149"/>
    <cellStyle name="Output 2 5 2 3" xfId="20454"/>
    <cellStyle name="Output 2 5 2 3 2" xfId="41641"/>
    <cellStyle name="Output 2 5 2 4" xfId="31021"/>
    <cellStyle name="Output 2 5 2_Table 2A-1_EFT (Annual)" xfId="7817"/>
    <cellStyle name="Output 2 5 3" xfId="10923"/>
    <cellStyle name="Output 2 5 3 2" xfId="23021"/>
    <cellStyle name="Output 2 5 3 2 2" xfId="44207"/>
    <cellStyle name="Output 2 5 3 3" xfId="33603"/>
    <cellStyle name="Output 2 5 4" xfId="17908"/>
    <cellStyle name="Output 2 5 4 2" xfId="39095"/>
    <cellStyle name="Output 2 5 5" xfId="28278"/>
    <cellStyle name="Output 2 5_Table 2A-1_EFT (Annual)" xfId="7816"/>
    <cellStyle name="Output 2 6" xfId="1641"/>
    <cellStyle name="Output 2 6 2" xfId="5202"/>
    <cellStyle name="Output 2 6 2 2" xfId="13454"/>
    <cellStyle name="Output 2 6 2 2 2" xfId="25454"/>
    <cellStyle name="Output 2 6 2 2 2 2" xfId="46640"/>
    <cellStyle name="Output 2 6 2 2 3" xfId="36036"/>
    <cellStyle name="Output 2 6 2 3" xfId="20341"/>
    <cellStyle name="Output 2 6 2 3 2" xfId="41528"/>
    <cellStyle name="Output 2 6 2 4" xfId="30859"/>
    <cellStyle name="Output 2 6 2_Table 2A-1_EFT (Annual)" xfId="7819"/>
    <cellStyle name="Output 2 6 3" xfId="10798"/>
    <cellStyle name="Output 2 6 3 2" xfId="22908"/>
    <cellStyle name="Output 2 6 3 2 2" xfId="44094"/>
    <cellStyle name="Output 2 6 3 3" xfId="33490"/>
    <cellStyle name="Output 2 6 4" xfId="17795"/>
    <cellStyle name="Output 2 6 4 2" xfId="38982"/>
    <cellStyle name="Output 2 6 5" xfId="28116"/>
    <cellStyle name="Output 2 6_Table 2A-1_EFT (Annual)" xfId="7818"/>
    <cellStyle name="Output 2 7" xfId="3690"/>
    <cellStyle name="Output 2 7 2" xfId="12062"/>
    <cellStyle name="Output 2 7 2 2" xfId="24093"/>
    <cellStyle name="Output 2 7 2 2 2" xfId="45279"/>
    <cellStyle name="Output 2 7 2 3" xfId="34675"/>
    <cellStyle name="Output 2 7 3" xfId="18980"/>
    <cellStyle name="Output 2 7 3 2" xfId="40167"/>
    <cellStyle name="Output 2 7 4" xfId="29399"/>
    <cellStyle name="Output 2 7_Table 2A-1_EFT (Annual)" xfId="7820"/>
    <cellStyle name="Output 2 8" xfId="9380"/>
    <cellStyle name="Output 2 8 2" xfId="21547"/>
    <cellStyle name="Output 2 8 2 2" xfId="42733"/>
    <cellStyle name="Output 2 8 3" xfId="32129"/>
    <cellStyle name="Output 2 9" xfId="16434"/>
    <cellStyle name="Output 2 9 2" xfId="37621"/>
    <cellStyle name="Output 2_Table 2A-1_EFT (Annual)" xfId="3382"/>
    <cellStyle name="Output 20" xfId="180"/>
    <cellStyle name="Output 20 10" xfId="26735"/>
    <cellStyle name="Output 20 2" xfId="573"/>
    <cellStyle name="Output 20 2 2" xfId="1550"/>
    <cellStyle name="Output 20 2 2 2" xfId="2820"/>
    <cellStyle name="Output 20 2 2 2 2" xfId="6381"/>
    <cellStyle name="Output 20 2 2 2 2 2" xfId="14575"/>
    <cellStyle name="Output 20 2 2 2 2 2 2" xfId="26547"/>
    <cellStyle name="Output 20 2 2 2 2 2 2 2" xfId="47733"/>
    <cellStyle name="Output 20 2 2 2 2 2 3" xfId="37129"/>
    <cellStyle name="Output 20 2 2 2 2 3" xfId="21434"/>
    <cellStyle name="Output 20 2 2 2 2 3 2" xfId="42621"/>
    <cellStyle name="Output 20 2 2 2 2 4" xfId="32037"/>
    <cellStyle name="Output 20 2 2 2 2_Table 2A-1_EFT (Annual)" xfId="7822"/>
    <cellStyle name="Output 20 2 2 2 3" xfId="11917"/>
    <cellStyle name="Output 20 2 2 2 3 2" xfId="24001"/>
    <cellStyle name="Output 20 2 2 2 3 2 2" xfId="45187"/>
    <cellStyle name="Output 20 2 2 2 3 3" xfId="34583"/>
    <cellStyle name="Output 20 2 2 2 4" xfId="18888"/>
    <cellStyle name="Output 20 2 2 2 4 2" xfId="40075"/>
    <cellStyle name="Output 20 2 2 2 5" xfId="29294"/>
    <cellStyle name="Output 20 2 2 2_Table 2A-1_EFT (Annual)" xfId="7821"/>
    <cellStyle name="Output 20 2 2 3" xfId="1927"/>
    <cellStyle name="Output 20 2 2 3 2" xfId="5488"/>
    <cellStyle name="Output 20 2 2 3 2 2" xfId="13703"/>
    <cellStyle name="Output 20 2 2 3 2 2 2" xfId="25691"/>
    <cellStyle name="Output 20 2 2 3 2 2 2 2" xfId="46877"/>
    <cellStyle name="Output 20 2 2 3 2 2 3" xfId="36273"/>
    <cellStyle name="Output 20 2 2 3 2 3" xfId="20578"/>
    <cellStyle name="Output 20 2 2 3 2 3 2" xfId="41765"/>
    <cellStyle name="Output 20 2 2 3 2 4" xfId="31145"/>
    <cellStyle name="Output 20 2 2 3 2_Table 2A-1_EFT (Annual)" xfId="7824"/>
    <cellStyle name="Output 20 2 2 3 3" xfId="11047"/>
    <cellStyle name="Output 20 2 2 3 3 2" xfId="23145"/>
    <cellStyle name="Output 20 2 2 3 3 2 2" xfId="44331"/>
    <cellStyle name="Output 20 2 2 3 3 3" xfId="33727"/>
    <cellStyle name="Output 20 2 2 3 4" xfId="18032"/>
    <cellStyle name="Output 20 2 2 3 4 2" xfId="39219"/>
    <cellStyle name="Output 20 2 2 3 5" xfId="28402"/>
    <cellStyle name="Output 20 2 2 3_Table 2A-1_EFT (Annual)" xfId="7823"/>
    <cellStyle name="Output 20 2 2 4" xfId="5111"/>
    <cellStyle name="Output 20 2 2 4 2" xfId="13371"/>
    <cellStyle name="Output 20 2 2 4 2 2" xfId="25377"/>
    <cellStyle name="Output 20 2 2 4 2 2 2" xfId="46563"/>
    <cellStyle name="Output 20 2 2 4 2 3" xfId="35959"/>
    <cellStyle name="Output 20 2 2 4 3" xfId="20264"/>
    <cellStyle name="Output 20 2 2 4 3 2" xfId="41451"/>
    <cellStyle name="Output 20 2 2 4 4" xfId="30768"/>
    <cellStyle name="Output 20 2 2 4_Table 2A-1_EFT (Annual)" xfId="7825"/>
    <cellStyle name="Output 20 2 2 5" xfId="10715"/>
    <cellStyle name="Output 20 2 2 5 2" xfId="22831"/>
    <cellStyle name="Output 20 2 2 5 2 2" xfId="44017"/>
    <cellStyle name="Output 20 2 2 5 3" xfId="33413"/>
    <cellStyle name="Output 20 2 2 6" xfId="17718"/>
    <cellStyle name="Output 20 2 2 6 2" xfId="38905"/>
    <cellStyle name="Output 20 2 2 7" xfId="28025"/>
    <cellStyle name="Output 20 2 2_Table 2A-1_EFT (Annual)" xfId="3390"/>
    <cellStyle name="Output 20 2 3" xfId="2289"/>
    <cellStyle name="Output 20 2 3 2" xfId="5850"/>
    <cellStyle name="Output 20 2 3 2 2" xfId="14065"/>
    <cellStyle name="Output 20 2 3 2 2 2" xfId="26053"/>
    <cellStyle name="Output 20 2 3 2 2 2 2" xfId="47239"/>
    <cellStyle name="Output 20 2 3 2 2 3" xfId="36635"/>
    <cellStyle name="Output 20 2 3 2 3" xfId="20940"/>
    <cellStyle name="Output 20 2 3 2 3 2" xfId="42127"/>
    <cellStyle name="Output 20 2 3 2 4" xfId="31507"/>
    <cellStyle name="Output 20 2 3 2_Table 2A-1_EFT (Annual)" xfId="7827"/>
    <cellStyle name="Output 20 2 3 3" xfId="11409"/>
    <cellStyle name="Output 20 2 3 3 2" xfId="23507"/>
    <cellStyle name="Output 20 2 3 3 2 2" xfId="44693"/>
    <cellStyle name="Output 20 2 3 3 3" xfId="34089"/>
    <cellStyle name="Output 20 2 3 4" xfId="18394"/>
    <cellStyle name="Output 20 2 3 4 2" xfId="39581"/>
    <cellStyle name="Output 20 2 3 5" xfId="28764"/>
    <cellStyle name="Output 20 2 3_Table 2A-1_EFT (Annual)" xfId="7826"/>
    <cellStyle name="Output 20 2 4" xfId="1752"/>
    <cellStyle name="Output 20 2 4 2" xfId="5313"/>
    <cellStyle name="Output 20 2 4 2 2" xfId="13538"/>
    <cellStyle name="Output 20 2 4 2 2 2" xfId="25529"/>
    <cellStyle name="Output 20 2 4 2 2 2 2" xfId="46715"/>
    <cellStyle name="Output 20 2 4 2 2 3" xfId="36111"/>
    <cellStyle name="Output 20 2 4 2 3" xfId="20416"/>
    <cellStyle name="Output 20 2 4 2 3 2" xfId="41603"/>
    <cellStyle name="Output 20 2 4 2 4" xfId="30970"/>
    <cellStyle name="Output 20 2 4 2_Table 2A-1_EFT (Annual)" xfId="7829"/>
    <cellStyle name="Output 20 2 4 3" xfId="10881"/>
    <cellStyle name="Output 20 2 4 3 2" xfId="22983"/>
    <cellStyle name="Output 20 2 4 3 2 2" xfId="44169"/>
    <cellStyle name="Output 20 2 4 3 3" xfId="33565"/>
    <cellStyle name="Output 20 2 4 4" xfId="17870"/>
    <cellStyle name="Output 20 2 4 4 2" xfId="39057"/>
    <cellStyle name="Output 20 2 4 5" xfId="28227"/>
    <cellStyle name="Output 20 2 4_Table 2A-1_EFT (Annual)" xfId="7828"/>
    <cellStyle name="Output 20 2 5" xfId="4143"/>
    <cellStyle name="Output 20 2 5 2" xfId="12467"/>
    <cellStyle name="Output 20 2 5 2 2" xfId="24489"/>
    <cellStyle name="Output 20 2 5 2 2 2" xfId="45675"/>
    <cellStyle name="Output 20 2 5 2 3" xfId="35071"/>
    <cellStyle name="Output 20 2 5 3" xfId="19376"/>
    <cellStyle name="Output 20 2 5 3 2" xfId="40563"/>
    <cellStyle name="Output 20 2 5 4" xfId="29831"/>
    <cellStyle name="Output 20 2 5_Table 2A-1_EFT (Annual)" xfId="7830"/>
    <cellStyle name="Output 20 2 6" xfId="9806"/>
    <cellStyle name="Output 20 2 6 2" xfId="21943"/>
    <cellStyle name="Output 20 2 6 2 2" xfId="43129"/>
    <cellStyle name="Output 20 2 6 3" xfId="32525"/>
    <cellStyle name="Output 20 2 7" xfId="16830"/>
    <cellStyle name="Output 20 2 7 2" xfId="38017"/>
    <cellStyle name="Output 20 2 8" xfId="27088"/>
    <cellStyle name="Output 20 2_Table 2A-1_EFT (Annual)" xfId="3389"/>
    <cellStyle name="Output 20 3" xfId="411"/>
    <cellStyle name="Output 20 3 2" xfId="1394"/>
    <cellStyle name="Output 20 3 2 2" xfId="2664"/>
    <cellStyle name="Output 20 3 2 2 2" xfId="6225"/>
    <cellStyle name="Output 20 3 2 2 2 2" xfId="14419"/>
    <cellStyle name="Output 20 3 2 2 2 2 2" xfId="26391"/>
    <cellStyle name="Output 20 3 2 2 2 2 2 2" xfId="47577"/>
    <cellStyle name="Output 20 3 2 2 2 2 3" xfId="36973"/>
    <cellStyle name="Output 20 3 2 2 2 3" xfId="21278"/>
    <cellStyle name="Output 20 3 2 2 2 3 2" xfId="42465"/>
    <cellStyle name="Output 20 3 2 2 2 4" xfId="31881"/>
    <cellStyle name="Output 20 3 2 2 2_Table 2A-1_EFT (Annual)" xfId="7832"/>
    <cellStyle name="Output 20 3 2 2 3" xfId="11761"/>
    <cellStyle name="Output 20 3 2 2 3 2" xfId="23845"/>
    <cellStyle name="Output 20 3 2 2 3 2 2" xfId="45031"/>
    <cellStyle name="Output 20 3 2 2 3 3" xfId="34427"/>
    <cellStyle name="Output 20 3 2 2 4" xfId="18732"/>
    <cellStyle name="Output 20 3 2 2 4 2" xfId="39919"/>
    <cellStyle name="Output 20 3 2 2 5" xfId="29138"/>
    <cellStyle name="Output 20 3 2 2_Table 2A-1_EFT (Annual)" xfId="7831"/>
    <cellStyle name="Output 20 3 2 3" xfId="1896"/>
    <cellStyle name="Output 20 3 2 3 2" xfId="5457"/>
    <cellStyle name="Output 20 3 2 3 2 2" xfId="13672"/>
    <cellStyle name="Output 20 3 2 3 2 2 2" xfId="25660"/>
    <cellStyle name="Output 20 3 2 3 2 2 2 2" xfId="46846"/>
    <cellStyle name="Output 20 3 2 3 2 2 3" xfId="36242"/>
    <cellStyle name="Output 20 3 2 3 2 3" xfId="20547"/>
    <cellStyle name="Output 20 3 2 3 2 3 2" xfId="41734"/>
    <cellStyle name="Output 20 3 2 3 2 4" xfId="31114"/>
    <cellStyle name="Output 20 3 2 3 2_Table 2A-1_EFT (Annual)" xfId="7834"/>
    <cellStyle name="Output 20 3 2 3 3" xfId="11016"/>
    <cellStyle name="Output 20 3 2 3 3 2" xfId="23114"/>
    <cellStyle name="Output 20 3 2 3 3 2 2" xfId="44300"/>
    <cellStyle name="Output 20 3 2 3 3 3" xfId="33696"/>
    <cellStyle name="Output 20 3 2 3 4" xfId="18001"/>
    <cellStyle name="Output 20 3 2 3 4 2" xfId="39188"/>
    <cellStyle name="Output 20 3 2 3 5" xfId="28371"/>
    <cellStyle name="Output 20 3 2 3_Table 2A-1_EFT (Annual)" xfId="7833"/>
    <cellStyle name="Output 20 3 2 4" xfId="4955"/>
    <cellStyle name="Output 20 3 2 4 2" xfId="13215"/>
    <cellStyle name="Output 20 3 2 4 2 2" xfId="25221"/>
    <cellStyle name="Output 20 3 2 4 2 2 2" xfId="46407"/>
    <cellStyle name="Output 20 3 2 4 2 3" xfId="35803"/>
    <cellStyle name="Output 20 3 2 4 3" xfId="20108"/>
    <cellStyle name="Output 20 3 2 4 3 2" xfId="41295"/>
    <cellStyle name="Output 20 3 2 4 4" xfId="30612"/>
    <cellStyle name="Output 20 3 2 4_Table 2A-1_EFT (Annual)" xfId="7835"/>
    <cellStyle name="Output 20 3 2 5" xfId="10559"/>
    <cellStyle name="Output 20 3 2 5 2" xfId="22675"/>
    <cellStyle name="Output 20 3 2 5 2 2" xfId="43861"/>
    <cellStyle name="Output 20 3 2 5 3" xfId="33257"/>
    <cellStyle name="Output 20 3 2 6" xfId="17562"/>
    <cellStyle name="Output 20 3 2 6 2" xfId="38749"/>
    <cellStyle name="Output 20 3 2 7" xfId="27869"/>
    <cellStyle name="Output 20 3 2_Table 2A-1_EFT (Annual)" xfId="3392"/>
    <cellStyle name="Output 20 3 3" xfId="2133"/>
    <cellStyle name="Output 20 3 3 2" xfId="5694"/>
    <cellStyle name="Output 20 3 3 2 2" xfId="13909"/>
    <cellStyle name="Output 20 3 3 2 2 2" xfId="25897"/>
    <cellStyle name="Output 20 3 3 2 2 2 2" xfId="47083"/>
    <cellStyle name="Output 20 3 3 2 2 3" xfId="36479"/>
    <cellStyle name="Output 20 3 3 2 3" xfId="20784"/>
    <cellStyle name="Output 20 3 3 2 3 2" xfId="41971"/>
    <cellStyle name="Output 20 3 3 2 4" xfId="31351"/>
    <cellStyle name="Output 20 3 3 2_Table 2A-1_EFT (Annual)" xfId="7837"/>
    <cellStyle name="Output 20 3 3 3" xfId="11253"/>
    <cellStyle name="Output 20 3 3 3 2" xfId="23351"/>
    <cellStyle name="Output 20 3 3 3 2 2" xfId="44537"/>
    <cellStyle name="Output 20 3 3 3 3" xfId="33933"/>
    <cellStyle name="Output 20 3 3 4" xfId="18238"/>
    <cellStyle name="Output 20 3 3 4 2" xfId="39425"/>
    <cellStyle name="Output 20 3 3 5" xfId="28608"/>
    <cellStyle name="Output 20 3 3_Table 2A-1_EFT (Annual)" xfId="7836"/>
    <cellStyle name="Output 20 3 4" xfId="1716"/>
    <cellStyle name="Output 20 3 4 2" xfId="5277"/>
    <cellStyle name="Output 20 3 4 2 2" xfId="13506"/>
    <cellStyle name="Output 20 3 4 2 2 2" xfId="25499"/>
    <cellStyle name="Output 20 3 4 2 2 2 2" xfId="46685"/>
    <cellStyle name="Output 20 3 4 2 2 3" xfId="36081"/>
    <cellStyle name="Output 20 3 4 2 3" xfId="20386"/>
    <cellStyle name="Output 20 3 4 2 3 2" xfId="41573"/>
    <cellStyle name="Output 20 3 4 2 4" xfId="30934"/>
    <cellStyle name="Output 20 3 4 2_Table 2A-1_EFT (Annual)" xfId="7839"/>
    <cellStyle name="Output 20 3 4 3" xfId="10850"/>
    <cellStyle name="Output 20 3 4 3 2" xfId="22953"/>
    <cellStyle name="Output 20 3 4 3 2 2" xfId="44139"/>
    <cellStyle name="Output 20 3 4 3 3" xfId="33535"/>
    <cellStyle name="Output 20 3 4 4" xfId="17840"/>
    <cellStyle name="Output 20 3 4 4 2" xfId="39027"/>
    <cellStyle name="Output 20 3 4 5" xfId="28191"/>
    <cellStyle name="Output 20 3 4_Table 2A-1_EFT (Annual)" xfId="7838"/>
    <cellStyle name="Output 20 3 5" xfId="3981"/>
    <cellStyle name="Output 20 3 5 2" xfId="12309"/>
    <cellStyle name="Output 20 3 5 2 2" xfId="24333"/>
    <cellStyle name="Output 20 3 5 2 2 2" xfId="45519"/>
    <cellStyle name="Output 20 3 5 2 3" xfId="34915"/>
    <cellStyle name="Output 20 3 5 3" xfId="19220"/>
    <cellStyle name="Output 20 3 5 3 2" xfId="40407"/>
    <cellStyle name="Output 20 3 5 4" xfId="29669"/>
    <cellStyle name="Output 20 3 5_Table 2A-1_EFT (Annual)" xfId="7840"/>
    <cellStyle name="Output 20 3 6" xfId="9646"/>
    <cellStyle name="Output 20 3 6 2" xfId="21787"/>
    <cellStyle name="Output 20 3 6 2 2" xfId="42973"/>
    <cellStyle name="Output 20 3 6 3" xfId="32369"/>
    <cellStyle name="Output 20 3 7" xfId="16674"/>
    <cellStyle name="Output 20 3 7 2" xfId="37861"/>
    <cellStyle name="Output 20 3 8" xfId="26926"/>
    <cellStyle name="Output 20 3_Table 2A-1_EFT (Annual)" xfId="3391"/>
    <cellStyle name="Output 20 4" xfId="1228"/>
    <cellStyle name="Output 20 4 2" xfId="2498"/>
    <cellStyle name="Output 20 4 2 2" xfId="6059"/>
    <cellStyle name="Output 20 4 2 2 2" xfId="14253"/>
    <cellStyle name="Output 20 4 2 2 2 2" xfId="26225"/>
    <cellStyle name="Output 20 4 2 2 2 2 2" xfId="47411"/>
    <cellStyle name="Output 20 4 2 2 2 3" xfId="36807"/>
    <cellStyle name="Output 20 4 2 2 3" xfId="21112"/>
    <cellStyle name="Output 20 4 2 2 3 2" xfId="42299"/>
    <cellStyle name="Output 20 4 2 2 4" xfId="31715"/>
    <cellStyle name="Output 20 4 2 2_Table 2A-1_EFT (Annual)" xfId="7842"/>
    <cellStyle name="Output 20 4 2 3" xfId="11595"/>
    <cellStyle name="Output 20 4 2 3 2" xfId="23679"/>
    <cellStyle name="Output 20 4 2 3 2 2" xfId="44865"/>
    <cellStyle name="Output 20 4 2 3 3" xfId="34261"/>
    <cellStyle name="Output 20 4 2 4" xfId="18566"/>
    <cellStyle name="Output 20 4 2 4 2" xfId="39753"/>
    <cellStyle name="Output 20 4 2 5" xfId="28972"/>
    <cellStyle name="Output 20 4 2_Table 2A-1_EFT (Annual)" xfId="7841"/>
    <cellStyle name="Output 20 4 3" xfId="1832"/>
    <cellStyle name="Output 20 4 3 2" xfId="5393"/>
    <cellStyle name="Output 20 4 3 2 2" xfId="13608"/>
    <cellStyle name="Output 20 4 3 2 2 2" xfId="25596"/>
    <cellStyle name="Output 20 4 3 2 2 2 2" xfId="46782"/>
    <cellStyle name="Output 20 4 3 2 2 3" xfId="36178"/>
    <cellStyle name="Output 20 4 3 2 3" xfId="20483"/>
    <cellStyle name="Output 20 4 3 2 3 2" xfId="41670"/>
    <cellStyle name="Output 20 4 3 2 4" xfId="31050"/>
    <cellStyle name="Output 20 4 3 2_Table 2A-1_EFT (Annual)" xfId="7844"/>
    <cellStyle name="Output 20 4 3 3" xfId="10952"/>
    <cellStyle name="Output 20 4 3 3 2" xfId="23050"/>
    <cellStyle name="Output 20 4 3 3 2 2" xfId="44236"/>
    <cellStyle name="Output 20 4 3 3 3" xfId="33632"/>
    <cellStyle name="Output 20 4 3 4" xfId="17937"/>
    <cellStyle name="Output 20 4 3 4 2" xfId="39124"/>
    <cellStyle name="Output 20 4 3 5" xfId="28307"/>
    <cellStyle name="Output 20 4 3_Table 2A-1_EFT (Annual)" xfId="7843"/>
    <cellStyle name="Output 20 4 4" xfId="4789"/>
    <cellStyle name="Output 20 4 4 2" xfId="13049"/>
    <cellStyle name="Output 20 4 4 2 2" xfId="25055"/>
    <cellStyle name="Output 20 4 4 2 2 2" xfId="46241"/>
    <cellStyle name="Output 20 4 4 2 3" xfId="35637"/>
    <cellStyle name="Output 20 4 4 3" xfId="19942"/>
    <cellStyle name="Output 20 4 4 3 2" xfId="41129"/>
    <cellStyle name="Output 20 4 4 4" xfId="30446"/>
    <cellStyle name="Output 20 4 4_Table 2A-1_EFT (Annual)" xfId="7845"/>
    <cellStyle name="Output 20 4 5" xfId="10393"/>
    <cellStyle name="Output 20 4 5 2" xfId="22509"/>
    <cellStyle name="Output 20 4 5 2 2" xfId="43695"/>
    <cellStyle name="Output 20 4 5 3" xfId="33091"/>
    <cellStyle name="Output 20 4 6" xfId="17396"/>
    <cellStyle name="Output 20 4 6 2" xfId="38583"/>
    <cellStyle name="Output 20 4 7" xfId="27703"/>
    <cellStyle name="Output 20 4_Table 2A-1_EFT (Annual)" xfId="3393"/>
    <cellStyle name="Output 20 5" xfId="1967"/>
    <cellStyle name="Output 20 5 2" xfId="5528"/>
    <cellStyle name="Output 20 5 2 2" xfId="13743"/>
    <cellStyle name="Output 20 5 2 2 2" xfId="25731"/>
    <cellStyle name="Output 20 5 2 2 2 2" xfId="46917"/>
    <cellStyle name="Output 20 5 2 2 3" xfId="36313"/>
    <cellStyle name="Output 20 5 2 3" xfId="20618"/>
    <cellStyle name="Output 20 5 2 3 2" xfId="41805"/>
    <cellStyle name="Output 20 5 2 4" xfId="31185"/>
    <cellStyle name="Output 20 5 2_Table 2A-1_EFT (Annual)" xfId="7847"/>
    <cellStyle name="Output 20 5 3" xfId="11087"/>
    <cellStyle name="Output 20 5 3 2" xfId="23185"/>
    <cellStyle name="Output 20 5 3 2 2" xfId="44371"/>
    <cellStyle name="Output 20 5 3 3" xfId="33767"/>
    <cellStyle name="Output 20 5 4" xfId="18072"/>
    <cellStyle name="Output 20 5 4 2" xfId="39259"/>
    <cellStyle name="Output 20 5 5" xfId="28442"/>
    <cellStyle name="Output 20 5_Table 2A-1_EFT (Annual)" xfId="7846"/>
    <cellStyle name="Output 20 6" xfId="1659"/>
    <cellStyle name="Output 20 6 2" xfId="5220"/>
    <cellStyle name="Output 20 6 2 2" xfId="13467"/>
    <cellStyle name="Output 20 6 2 2 2" xfId="25467"/>
    <cellStyle name="Output 20 6 2 2 2 2" xfId="46653"/>
    <cellStyle name="Output 20 6 2 2 3" xfId="36049"/>
    <cellStyle name="Output 20 6 2 3" xfId="20354"/>
    <cellStyle name="Output 20 6 2 3 2" xfId="41541"/>
    <cellStyle name="Output 20 6 2 4" xfId="30877"/>
    <cellStyle name="Output 20 6 2_Table 2A-1_EFT (Annual)" xfId="7849"/>
    <cellStyle name="Output 20 6 3" xfId="10812"/>
    <cellStyle name="Output 20 6 3 2" xfId="22921"/>
    <cellStyle name="Output 20 6 3 2 2" xfId="44107"/>
    <cellStyle name="Output 20 6 3 3" xfId="33503"/>
    <cellStyle name="Output 20 6 4" xfId="17808"/>
    <cellStyle name="Output 20 6 4 2" xfId="38995"/>
    <cellStyle name="Output 20 6 5" xfId="28134"/>
    <cellStyle name="Output 20 6_Table 2A-1_EFT (Annual)" xfId="7848"/>
    <cellStyle name="Output 20 7" xfId="3769"/>
    <cellStyle name="Output 20 7 2" xfId="12137"/>
    <cellStyle name="Output 20 7 2 2" xfId="24167"/>
    <cellStyle name="Output 20 7 2 2 2" xfId="45353"/>
    <cellStyle name="Output 20 7 2 3" xfId="34749"/>
    <cellStyle name="Output 20 7 3" xfId="19054"/>
    <cellStyle name="Output 20 7 3 2" xfId="40241"/>
    <cellStyle name="Output 20 7 4" xfId="29478"/>
    <cellStyle name="Output 20 7_Table 2A-1_EFT (Annual)" xfId="7850"/>
    <cellStyle name="Output 20 8" xfId="9456"/>
    <cellStyle name="Output 20 8 2" xfId="21621"/>
    <cellStyle name="Output 20 8 2 2" xfId="42807"/>
    <cellStyle name="Output 20 8 3" xfId="32203"/>
    <cellStyle name="Output 20 9" xfId="16508"/>
    <cellStyle name="Output 20 9 2" xfId="37695"/>
    <cellStyle name="Output 20_Table 2A-1_EFT (Annual)" xfId="3388"/>
    <cellStyle name="Output 21" xfId="201"/>
    <cellStyle name="Output 21 10" xfId="26756"/>
    <cellStyle name="Output 21 2" xfId="594"/>
    <cellStyle name="Output 21 2 2" xfId="1571"/>
    <cellStyle name="Output 21 2 2 2" xfId="2841"/>
    <cellStyle name="Output 21 2 2 2 2" xfId="6402"/>
    <cellStyle name="Output 21 2 2 2 2 2" xfId="14596"/>
    <cellStyle name="Output 21 2 2 2 2 2 2" xfId="26568"/>
    <cellStyle name="Output 21 2 2 2 2 2 2 2" xfId="47754"/>
    <cellStyle name="Output 21 2 2 2 2 2 3" xfId="37150"/>
    <cellStyle name="Output 21 2 2 2 2 3" xfId="21455"/>
    <cellStyle name="Output 21 2 2 2 2 3 2" xfId="42642"/>
    <cellStyle name="Output 21 2 2 2 2 4" xfId="32058"/>
    <cellStyle name="Output 21 2 2 2 2_Table 2A-1_EFT (Annual)" xfId="7852"/>
    <cellStyle name="Output 21 2 2 2 3" xfId="11938"/>
    <cellStyle name="Output 21 2 2 2 3 2" xfId="24022"/>
    <cellStyle name="Output 21 2 2 2 3 2 2" xfId="45208"/>
    <cellStyle name="Output 21 2 2 2 3 3" xfId="34604"/>
    <cellStyle name="Output 21 2 2 2 4" xfId="18909"/>
    <cellStyle name="Output 21 2 2 2 4 2" xfId="40096"/>
    <cellStyle name="Output 21 2 2 2 5" xfId="29315"/>
    <cellStyle name="Output 21 2 2 2_Table 2A-1_EFT (Annual)" xfId="7851"/>
    <cellStyle name="Output 21 2 2 3" xfId="1931"/>
    <cellStyle name="Output 21 2 2 3 2" xfId="5492"/>
    <cellStyle name="Output 21 2 2 3 2 2" xfId="13707"/>
    <cellStyle name="Output 21 2 2 3 2 2 2" xfId="25695"/>
    <cellStyle name="Output 21 2 2 3 2 2 2 2" xfId="46881"/>
    <cellStyle name="Output 21 2 2 3 2 2 3" xfId="36277"/>
    <cellStyle name="Output 21 2 2 3 2 3" xfId="20582"/>
    <cellStyle name="Output 21 2 2 3 2 3 2" xfId="41769"/>
    <cellStyle name="Output 21 2 2 3 2 4" xfId="31149"/>
    <cellStyle name="Output 21 2 2 3 2_Table 2A-1_EFT (Annual)" xfId="7854"/>
    <cellStyle name="Output 21 2 2 3 3" xfId="11051"/>
    <cellStyle name="Output 21 2 2 3 3 2" xfId="23149"/>
    <cellStyle name="Output 21 2 2 3 3 2 2" xfId="44335"/>
    <cellStyle name="Output 21 2 2 3 3 3" xfId="33731"/>
    <cellStyle name="Output 21 2 2 3 4" xfId="18036"/>
    <cellStyle name="Output 21 2 2 3 4 2" xfId="39223"/>
    <cellStyle name="Output 21 2 2 3 5" xfId="28406"/>
    <cellStyle name="Output 21 2 2 3_Table 2A-1_EFT (Annual)" xfId="7853"/>
    <cellStyle name="Output 21 2 2 4" xfId="5132"/>
    <cellStyle name="Output 21 2 2 4 2" xfId="13392"/>
    <cellStyle name="Output 21 2 2 4 2 2" xfId="25398"/>
    <cellStyle name="Output 21 2 2 4 2 2 2" xfId="46584"/>
    <cellStyle name="Output 21 2 2 4 2 3" xfId="35980"/>
    <cellStyle name="Output 21 2 2 4 3" xfId="20285"/>
    <cellStyle name="Output 21 2 2 4 3 2" xfId="41472"/>
    <cellStyle name="Output 21 2 2 4 4" xfId="30789"/>
    <cellStyle name="Output 21 2 2 4_Table 2A-1_EFT (Annual)" xfId="7855"/>
    <cellStyle name="Output 21 2 2 5" xfId="10736"/>
    <cellStyle name="Output 21 2 2 5 2" xfId="22852"/>
    <cellStyle name="Output 21 2 2 5 2 2" xfId="44038"/>
    <cellStyle name="Output 21 2 2 5 3" xfId="33434"/>
    <cellStyle name="Output 21 2 2 6" xfId="17739"/>
    <cellStyle name="Output 21 2 2 6 2" xfId="38926"/>
    <cellStyle name="Output 21 2 2 7" xfId="28046"/>
    <cellStyle name="Output 21 2 2_Table 2A-1_EFT (Annual)" xfId="3396"/>
    <cellStyle name="Output 21 2 3" xfId="2310"/>
    <cellStyle name="Output 21 2 3 2" xfId="5871"/>
    <cellStyle name="Output 21 2 3 2 2" xfId="14086"/>
    <cellStyle name="Output 21 2 3 2 2 2" xfId="26074"/>
    <cellStyle name="Output 21 2 3 2 2 2 2" xfId="47260"/>
    <cellStyle name="Output 21 2 3 2 2 3" xfId="36656"/>
    <cellStyle name="Output 21 2 3 2 3" xfId="20961"/>
    <cellStyle name="Output 21 2 3 2 3 2" xfId="42148"/>
    <cellStyle name="Output 21 2 3 2 4" xfId="31528"/>
    <cellStyle name="Output 21 2 3 2_Table 2A-1_EFT (Annual)" xfId="7857"/>
    <cellStyle name="Output 21 2 3 3" xfId="11430"/>
    <cellStyle name="Output 21 2 3 3 2" xfId="23528"/>
    <cellStyle name="Output 21 2 3 3 2 2" xfId="44714"/>
    <cellStyle name="Output 21 2 3 3 3" xfId="34110"/>
    <cellStyle name="Output 21 2 3 4" xfId="18415"/>
    <cellStyle name="Output 21 2 3 4 2" xfId="39602"/>
    <cellStyle name="Output 21 2 3 5" xfId="28785"/>
    <cellStyle name="Output 21 2 3_Table 2A-1_EFT (Annual)" xfId="7856"/>
    <cellStyle name="Output 21 2 4" xfId="1756"/>
    <cellStyle name="Output 21 2 4 2" xfId="5317"/>
    <cellStyle name="Output 21 2 4 2 2" xfId="13542"/>
    <cellStyle name="Output 21 2 4 2 2 2" xfId="25533"/>
    <cellStyle name="Output 21 2 4 2 2 2 2" xfId="46719"/>
    <cellStyle name="Output 21 2 4 2 2 3" xfId="36115"/>
    <cellStyle name="Output 21 2 4 2 3" xfId="20420"/>
    <cellStyle name="Output 21 2 4 2 3 2" xfId="41607"/>
    <cellStyle name="Output 21 2 4 2 4" xfId="30974"/>
    <cellStyle name="Output 21 2 4 2_Table 2A-1_EFT (Annual)" xfId="7859"/>
    <cellStyle name="Output 21 2 4 3" xfId="10885"/>
    <cellStyle name="Output 21 2 4 3 2" xfId="22987"/>
    <cellStyle name="Output 21 2 4 3 2 2" xfId="44173"/>
    <cellStyle name="Output 21 2 4 3 3" xfId="33569"/>
    <cellStyle name="Output 21 2 4 4" xfId="17874"/>
    <cellStyle name="Output 21 2 4 4 2" xfId="39061"/>
    <cellStyle name="Output 21 2 4 5" xfId="28231"/>
    <cellStyle name="Output 21 2 4_Table 2A-1_EFT (Annual)" xfId="7858"/>
    <cellStyle name="Output 21 2 5" xfId="4164"/>
    <cellStyle name="Output 21 2 5 2" xfId="12488"/>
    <cellStyle name="Output 21 2 5 2 2" xfId="24510"/>
    <cellStyle name="Output 21 2 5 2 2 2" xfId="45696"/>
    <cellStyle name="Output 21 2 5 2 3" xfId="35092"/>
    <cellStyle name="Output 21 2 5 3" xfId="19397"/>
    <cellStyle name="Output 21 2 5 3 2" xfId="40584"/>
    <cellStyle name="Output 21 2 5 4" xfId="29852"/>
    <cellStyle name="Output 21 2 5_Table 2A-1_EFT (Annual)" xfId="7860"/>
    <cellStyle name="Output 21 2 6" xfId="9827"/>
    <cellStyle name="Output 21 2 6 2" xfId="21964"/>
    <cellStyle name="Output 21 2 6 2 2" xfId="43150"/>
    <cellStyle name="Output 21 2 6 3" xfId="32546"/>
    <cellStyle name="Output 21 2 7" xfId="16851"/>
    <cellStyle name="Output 21 2 7 2" xfId="38038"/>
    <cellStyle name="Output 21 2 8" xfId="27109"/>
    <cellStyle name="Output 21 2_Table 2A-1_EFT (Annual)" xfId="3395"/>
    <cellStyle name="Output 21 3" xfId="430"/>
    <cellStyle name="Output 21 3 2" xfId="1413"/>
    <cellStyle name="Output 21 3 2 2" xfId="2683"/>
    <cellStyle name="Output 21 3 2 2 2" xfId="6244"/>
    <cellStyle name="Output 21 3 2 2 2 2" xfId="14438"/>
    <cellStyle name="Output 21 3 2 2 2 2 2" xfId="26410"/>
    <cellStyle name="Output 21 3 2 2 2 2 2 2" xfId="47596"/>
    <cellStyle name="Output 21 3 2 2 2 2 3" xfId="36992"/>
    <cellStyle name="Output 21 3 2 2 2 3" xfId="21297"/>
    <cellStyle name="Output 21 3 2 2 2 3 2" xfId="42484"/>
    <cellStyle name="Output 21 3 2 2 2 4" xfId="31900"/>
    <cellStyle name="Output 21 3 2 2 2_Table 2A-1_EFT (Annual)" xfId="7862"/>
    <cellStyle name="Output 21 3 2 2 3" xfId="11780"/>
    <cellStyle name="Output 21 3 2 2 3 2" xfId="23864"/>
    <cellStyle name="Output 21 3 2 2 3 2 2" xfId="45050"/>
    <cellStyle name="Output 21 3 2 2 3 3" xfId="34446"/>
    <cellStyle name="Output 21 3 2 2 4" xfId="18751"/>
    <cellStyle name="Output 21 3 2 2 4 2" xfId="39938"/>
    <cellStyle name="Output 21 3 2 2 5" xfId="29157"/>
    <cellStyle name="Output 21 3 2 2_Table 2A-1_EFT (Annual)" xfId="7861"/>
    <cellStyle name="Output 21 3 2 3" xfId="1900"/>
    <cellStyle name="Output 21 3 2 3 2" xfId="5461"/>
    <cellStyle name="Output 21 3 2 3 2 2" xfId="13676"/>
    <cellStyle name="Output 21 3 2 3 2 2 2" xfId="25664"/>
    <cellStyle name="Output 21 3 2 3 2 2 2 2" xfId="46850"/>
    <cellStyle name="Output 21 3 2 3 2 2 3" xfId="36246"/>
    <cellStyle name="Output 21 3 2 3 2 3" xfId="20551"/>
    <cellStyle name="Output 21 3 2 3 2 3 2" xfId="41738"/>
    <cellStyle name="Output 21 3 2 3 2 4" xfId="31118"/>
    <cellStyle name="Output 21 3 2 3 2_Table 2A-1_EFT (Annual)" xfId="7864"/>
    <cellStyle name="Output 21 3 2 3 3" xfId="11020"/>
    <cellStyle name="Output 21 3 2 3 3 2" xfId="23118"/>
    <cellStyle name="Output 21 3 2 3 3 2 2" xfId="44304"/>
    <cellStyle name="Output 21 3 2 3 3 3" xfId="33700"/>
    <cellStyle name="Output 21 3 2 3 4" xfId="18005"/>
    <cellStyle name="Output 21 3 2 3 4 2" xfId="39192"/>
    <cellStyle name="Output 21 3 2 3 5" xfId="28375"/>
    <cellStyle name="Output 21 3 2 3_Table 2A-1_EFT (Annual)" xfId="7863"/>
    <cellStyle name="Output 21 3 2 4" xfId="4974"/>
    <cellStyle name="Output 21 3 2 4 2" xfId="13234"/>
    <cellStyle name="Output 21 3 2 4 2 2" xfId="25240"/>
    <cellStyle name="Output 21 3 2 4 2 2 2" xfId="46426"/>
    <cellStyle name="Output 21 3 2 4 2 3" xfId="35822"/>
    <cellStyle name="Output 21 3 2 4 3" xfId="20127"/>
    <cellStyle name="Output 21 3 2 4 3 2" xfId="41314"/>
    <cellStyle name="Output 21 3 2 4 4" xfId="30631"/>
    <cellStyle name="Output 21 3 2 4_Table 2A-1_EFT (Annual)" xfId="7865"/>
    <cellStyle name="Output 21 3 2 5" xfId="10578"/>
    <cellStyle name="Output 21 3 2 5 2" xfId="22694"/>
    <cellStyle name="Output 21 3 2 5 2 2" xfId="43880"/>
    <cellStyle name="Output 21 3 2 5 3" xfId="33276"/>
    <cellStyle name="Output 21 3 2 6" xfId="17581"/>
    <cellStyle name="Output 21 3 2 6 2" xfId="38768"/>
    <cellStyle name="Output 21 3 2 7" xfId="27888"/>
    <cellStyle name="Output 21 3 2_Table 2A-1_EFT (Annual)" xfId="3398"/>
    <cellStyle name="Output 21 3 3" xfId="2152"/>
    <cellStyle name="Output 21 3 3 2" xfId="5713"/>
    <cellStyle name="Output 21 3 3 2 2" xfId="13928"/>
    <cellStyle name="Output 21 3 3 2 2 2" xfId="25916"/>
    <cellStyle name="Output 21 3 3 2 2 2 2" xfId="47102"/>
    <cellStyle name="Output 21 3 3 2 2 3" xfId="36498"/>
    <cellStyle name="Output 21 3 3 2 3" xfId="20803"/>
    <cellStyle name="Output 21 3 3 2 3 2" xfId="41990"/>
    <cellStyle name="Output 21 3 3 2 4" xfId="31370"/>
    <cellStyle name="Output 21 3 3 2_Table 2A-1_EFT (Annual)" xfId="7867"/>
    <cellStyle name="Output 21 3 3 3" xfId="11272"/>
    <cellStyle name="Output 21 3 3 3 2" xfId="23370"/>
    <cellStyle name="Output 21 3 3 3 2 2" xfId="44556"/>
    <cellStyle name="Output 21 3 3 3 3" xfId="33952"/>
    <cellStyle name="Output 21 3 3 4" xfId="18257"/>
    <cellStyle name="Output 21 3 3 4 2" xfId="39444"/>
    <cellStyle name="Output 21 3 3 5" xfId="28627"/>
    <cellStyle name="Output 21 3 3_Table 2A-1_EFT (Annual)" xfId="7866"/>
    <cellStyle name="Output 21 3 4" xfId="1720"/>
    <cellStyle name="Output 21 3 4 2" xfId="5281"/>
    <cellStyle name="Output 21 3 4 2 2" xfId="13510"/>
    <cellStyle name="Output 21 3 4 2 2 2" xfId="25503"/>
    <cellStyle name="Output 21 3 4 2 2 2 2" xfId="46689"/>
    <cellStyle name="Output 21 3 4 2 2 3" xfId="36085"/>
    <cellStyle name="Output 21 3 4 2 3" xfId="20390"/>
    <cellStyle name="Output 21 3 4 2 3 2" xfId="41577"/>
    <cellStyle name="Output 21 3 4 2 4" xfId="30938"/>
    <cellStyle name="Output 21 3 4 2_Table 2A-1_EFT (Annual)" xfId="7869"/>
    <cellStyle name="Output 21 3 4 3" xfId="10854"/>
    <cellStyle name="Output 21 3 4 3 2" xfId="22957"/>
    <cellStyle name="Output 21 3 4 3 2 2" xfId="44143"/>
    <cellStyle name="Output 21 3 4 3 3" xfId="33539"/>
    <cellStyle name="Output 21 3 4 4" xfId="17844"/>
    <cellStyle name="Output 21 3 4 4 2" xfId="39031"/>
    <cellStyle name="Output 21 3 4 5" xfId="28195"/>
    <cellStyle name="Output 21 3 4_Table 2A-1_EFT (Annual)" xfId="7868"/>
    <cellStyle name="Output 21 3 5" xfId="4000"/>
    <cellStyle name="Output 21 3 5 2" xfId="12328"/>
    <cellStyle name="Output 21 3 5 2 2" xfId="24352"/>
    <cellStyle name="Output 21 3 5 2 2 2" xfId="45538"/>
    <cellStyle name="Output 21 3 5 2 3" xfId="34934"/>
    <cellStyle name="Output 21 3 5 3" xfId="19239"/>
    <cellStyle name="Output 21 3 5 3 2" xfId="40426"/>
    <cellStyle name="Output 21 3 5 4" xfId="29688"/>
    <cellStyle name="Output 21 3 5_Table 2A-1_EFT (Annual)" xfId="7870"/>
    <cellStyle name="Output 21 3 6" xfId="9665"/>
    <cellStyle name="Output 21 3 6 2" xfId="21806"/>
    <cellStyle name="Output 21 3 6 2 2" xfId="42992"/>
    <cellStyle name="Output 21 3 6 3" xfId="32388"/>
    <cellStyle name="Output 21 3 7" xfId="16693"/>
    <cellStyle name="Output 21 3 7 2" xfId="37880"/>
    <cellStyle name="Output 21 3 8" xfId="26945"/>
    <cellStyle name="Output 21 3_Table 2A-1_EFT (Annual)" xfId="3397"/>
    <cellStyle name="Output 21 4" xfId="1249"/>
    <cellStyle name="Output 21 4 2" xfId="2519"/>
    <cellStyle name="Output 21 4 2 2" xfId="6080"/>
    <cellStyle name="Output 21 4 2 2 2" xfId="14274"/>
    <cellStyle name="Output 21 4 2 2 2 2" xfId="26246"/>
    <cellStyle name="Output 21 4 2 2 2 2 2" xfId="47432"/>
    <cellStyle name="Output 21 4 2 2 2 3" xfId="36828"/>
    <cellStyle name="Output 21 4 2 2 3" xfId="21133"/>
    <cellStyle name="Output 21 4 2 2 3 2" xfId="42320"/>
    <cellStyle name="Output 21 4 2 2 4" xfId="31736"/>
    <cellStyle name="Output 21 4 2 2_Table 2A-1_EFT (Annual)" xfId="7872"/>
    <cellStyle name="Output 21 4 2 3" xfId="11616"/>
    <cellStyle name="Output 21 4 2 3 2" xfId="23700"/>
    <cellStyle name="Output 21 4 2 3 2 2" xfId="44886"/>
    <cellStyle name="Output 21 4 2 3 3" xfId="34282"/>
    <cellStyle name="Output 21 4 2 4" xfId="18587"/>
    <cellStyle name="Output 21 4 2 4 2" xfId="39774"/>
    <cellStyle name="Output 21 4 2 5" xfId="28993"/>
    <cellStyle name="Output 21 4 2_Table 2A-1_EFT (Annual)" xfId="7871"/>
    <cellStyle name="Output 21 4 3" xfId="1836"/>
    <cellStyle name="Output 21 4 3 2" xfId="5397"/>
    <cellStyle name="Output 21 4 3 2 2" xfId="13612"/>
    <cellStyle name="Output 21 4 3 2 2 2" xfId="25600"/>
    <cellStyle name="Output 21 4 3 2 2 2 2" xfId="46786"/>
    <cellStyle name="Output 21 4 3 2 2 3" xfId="36182"/>
    <cellStyle name="Output 21 4 3 2 3" xfId="20487"/>
    <cellStyle name="Output 21 4 3 2 3 2" xfId="41674"/>
    <cellStyle name="Output 21 4 3 2 4" xfId="31054"/>
    <cellStyle name="Output 21 4 3 2_Table 2A-1_EFT (Annual)" xfId="7874"/>
    <cellStyle name="Output 21 4 3 3" xfId="10956"/>
    <cellStyle name="Output 21 4 3 3 2" xfId="23054"/>
    <cellStyle name="Output 21 4 3 3 2 2" xfId="44240"/>
    <cellStyle name="Output 21 4 3 3 3" xfId="33636"/>
    <cellStyle name="Output 21 4 3 4" xfId="17941"/>
    <cellStyle name="Output 21 4 3 4 2" xfId="39128"/>
    <cellStyle name="Output 21 4 3 5" xfId="28311"/>
    <cellStyle name="Output 21 4 3_Table 2A-1_EFT (Annual)" xfId="7873"/>
    <cellStyle name="Output 21 4 4" xfId="4810"/>
    <cellStyle name="Output 21 4 4 2" xfId="13070"/>
    <cellStyle name="Output 21 4 4 2 2" xfId="25076"/>
    <cellStyle name="Output 21 4 4 2 2 2" xfId="46262"/>
    <cellStyle name="Output 21 4 4 2 3" xfId="35658"/>
    <cellStyle name="Output 21 4 4 3" xfId="19963"/>
    <cellStyle name="Output 21 4 4 3 2" xfId="41150"/>
    <cellStyle name="Output 21 4 4 4" xfId="30467"/>
    <cellStyle name="Output 21 4 4_Table 2A-1_EFT (Annual)" xfId="7875"/>
    <cellStyle name="Output 21 4 5" xfId="10414"/>
    <cellStyle name="Output 21 4 5 2" xfId="22530"/>
    <cellStyle name="Output 21 4 5 2 2" xfId="43716"/>
    <cellStyle name="Output 21 4 5 3" xfId="33112"/>
    <cellStyle name="Output 21 4 6" xfId="17417"/>
    <cellStyle name="Output 21 4 6 2" xfId="38604"/>
    <cellStyle name="Output 21 4 7" xfId="27724"/>
    <cellStyle name="Output 21 4_Table 2A-1_EFT (Annual)" xfId="3399"/>
    <cellStyle name="Output 21 5" xfId="1988"/>
    <cellStyle name="Output 21 5 2" xfId="5549"/>
    <cellStyle name="Output 21 5 2 2" xfId="13764"/>
    <cellStyle name="Output 21 5 2 2 2" xfId="25752"/>
    <cellStyle name="Output 21 5 2 2 2 2" xfId="46938"/>
    <cellStyle name="Output 21 5 2 2 3" xfId="36334"/>
    <cellStyle name="Output 21 5 2 3" xfId="20639"/>
    <cellStyle name="Output 21 5 2 3 2" xfId="41826"/>
    <cellStyle name="Output 21 5 2 4" xfId="31206"/>
    <cellStyle name="Output 21 5 2_Table 2A-1_EFT (Annual)" xfId="7877"/>
    <cellStyle name="Output 21 5 3" xfId="11108"/>
    <cellStyle name="Output 21 5 3 2" xfId="23206"/>
    <cellStyle name="Output 21 5 3 2 2" xfId="44392"/>
    <cellStyle name="Output 21 5 3 3" xfId="33788"/>
    <cellStyle name="Output 21 5 4" xfId="18093"/>
    <cellStyle name="Output 21 5 4 2" xfId="39280"/>
    <cellStyle name="Output 21 5 5" xfId="28463"/>
    <cellStyle name="Output 21 5_Table 2A-1_EFT (Annual)" xfId="7876"/>
    <cellStyle name="Output 21 6" xfId="1663"/>
    <cellStyle name="Output 21 6 2" xfId="5224"/>
    <cellStyle name="Output 21 6 2 2" xfId="13471"/>
    <cellStyle name="Output 21 6 2 2 2" xfId="25471"/>
    <cellStyle name="Output 21 6 2 2 2 2" xfId="46657"/>
    <cellStyle name="Output 21 6 2 2 3" xfId="36053"/>
    <cellStyle name="Output 21 6 2 3" xfId="20358"/>
    <cellStyle name="Output 21 6 2 3 2" xfId="41545"/>
    <cellStyle name="Output 21 6 2 4" xfId="30881"/>
    <cellStyle name="Output 21 6 2_Table 2A-1_EFT (Annual)" xfId="7879"/>
    <cellStyle name="Output 21 6 3" xfId="10816"/>
    <cellStyle name="Output 21 6 3 2" xfId="22925"/>
    <cellStyle name="Output 21 6 3 2 2" xfId="44111"/>
    <cellStyle name="Output 21 6 3 3" xfId="33507"/>
    <cellStyle name="Output 21 6 4" xfId="17812"/>
    <cellStyle name="Output 21 6 4 2" xfId="38999"/>
    <cellStyle name="Output 21 6 5" xfId="28138"/>
    <cellStyle name="Output 21 6_Table 2A-1_EFT (Annual)" xfId="7878"/>
    <cellStyle name="Output 21 7" xfId="3790"/>
    <cellStyle name="Output 21 7 2" xfId="12158"/>
    <cellStyle name="Output 21 7 2 2" xfId="24188"/>
    <cellStyle name="Output 21 7 2 2 2" xfId="45374"/>
    <cellStyle name="Output 21 7 2 3" xfId="34770"/>
    <cellStyle name="Output 21 7 3" xfId="19075"/>
    <cellStyle name="Output 21 7 3 2" xfId="40262"/>
    <cellStyle name="Output 21 7 4" xfId="29499"/>
    <cellStyle name="Output 21 7_Table 2A-1_EFT (Annual)" xfId="7880"/>
    <cellStyle name="Output 21 8" xfId="9477"/>
    <cellStyle name="Output 21 8 2" xfId="21642"/>
    <cellStyle name="Output 21 8 2 2" xfId="42828"/>
    <cellStyle name="Output 21 8 3" xfId="32224"/>
    <cellStyle name="Output 21 9" xfId="16529"/>
    <cellStyle name="Output 21 9 2" xfId="37716"/>
    <cellStyle name="Output 21_Table 2A-1_EFT (Annual)" xfId="3394"/>
    <cellStyle name="Output 22" xfId="209"/>
    <cellStyle name="Output 22 10" xfId="26764"/>
    <cellStyle name="Output 22 2" xfId="602"/>
    <cellStyle name="Output 22 2 2" xfId="1579"/>
    <cellStyle name="Output 22 2 2 2" xfId="2849"/>
    <cellStyle name="Output 22 2 2 2 2" xfId="6410"/>
    <cellStyle name="Output 22 2 2 2 2 2" xfId="14604"/>
    <cellStyle name="Output 22 2 2 2 2 2 2" xfId="26576"/>
    <cellStyle name="Output 22 2 2 2 2 2 2 2" xfId="47762"/>
    <cellStyle name="Output 22 2 2 2 2 2 3" xfId="37158"/>
    <cellStyle name="Output 22 2 2 2 2 3" xfId="21463"/>
    <cellStyle name="Output 22 2 2 2 2 3 2" xfId="42650"/>
    <cellStyle name="Output 22 2 2 2 2 4" xfId="32066"/>
    <cellStyle name="Output 22 2 2 2 2_Table 2A-1_EFT (Annual)" xfId="7882"/>
    <cellStyle name="Output 22 2 2 2 3" xfId="11946"/>
    <cellStyle name="Output 22 2 2 2 3 2" xfId="24030"/>
    <cellStyle name="Output 22 2 2 2 3 2 2" xfId="45216"/>
    <cellStyle name="Output 22 2 2 2 3 3" xfId="34612"/>
    <cellStyle name="Output 22 2 2 2 4" xfId="18917"/>
    <cellStyle name="Output 22 2 2 2 4 2" xfId="40104"/>
    <cellStyle name="Output 22 2 2 2 5" xfId="29323"/>
    <cellStyle name="Output 22 2 2 2_Table 2A-1_EFT (Annual)" xfId="7881"/>
    <cellStyle name="Output 22 2 2 3" xfId="1933"/>
    <cellStyle name="Output 22 2 2 3 2" xfId="5494"/>
    <cellStyle name="Output 22 2 2 3 2 2" xfId="13709"/>
    <cellStyle name="Output 22 2 2 3 2 2 2" xfId="25697"/>
    <cellStyle name="Output 22 2 2 3 2 2 2 2" xfId="46883"/>
    <cellStyle name="Output 22 2 2 3 2 2 3" xfId="36279"/>
    <cellStyle name="Output 22 2 2 3 2 3" xfId="20584"/>
    <cellStyle name="Output 22 2 2 3 2 3 2" xfId="41771"/>
    <cellStyle name="Output 22 2 2 3 2 4" xfId="31151"/>
    <cellStyle name="Output 22 2 2 3 2_Table 2A-1_EFT (Annual)" xfId="7884"/>
    <cellStyle name="Output 22 2 2 3 3" xfId="11053"/>
    <cellStyle name="Output 22 2 2 3 3 2" xfId="23151"/>
    <cellStyle name="Output 22 2 2 3 3 2 2" xfId="44337"/>
    <cellStyle name="Output 22 2 2 3 3 3" xfId="33733"/>
    <cellStyle name="Output 22 2 2 3 4" xfId="18038"/>
    <cellStyle name="Output 22 2 2 3 4 2" xfId="39225"/>
    <cellStyle name="Output 22 2 2 3 5" xfId="28408"/>
    <cellStyle name="Output 22 2 2 3_Table 2A-1_EFT (Annual)" xfId="7883"/>
    <cellStyle name="Output 22 2 2 4" xfId="5140"/>
    <cellStyle name="Output 22 2 2 4 2" xfId="13400"/>
    <cellStyle name="Output 22 2 2 4 2 2" xfId="25406"/>
    <cellStyle name="Output 22 2 2 4 2 2 2" xfId="46592"/>
    <cellStyle name="Output 22 2 2 4 2 3" xfId="35988"/>
    <cellStyle name="Output 22 2 2 4 3" xfId="20293"/>
    <cellStyle name="Output 22 2 2 4 3 2" xfId="41480"/>
    <cellStyle name="Output 22 2 2 4 4" xfId="30797"/>
    <cellStyle name="Output 22 2 2 4_Table 2A-1_EFT (Annual)" xfId="7885"/>
    <cellStyle name="Output 22 2 2 5" xfId="10744"/>
    <cellStyle name="Output 22 2 2 5 2" xfId="22860"/>
    <cellStyle name="Output 22 2 2 5 2 2" xfId="44046"/>
    <cellStyle name="Output 22 2 2 5 3" xfId="33442"/>
    <cellStyle name="Output 22 2 2 6" xfId="17747"/>
    <cellStyle name="Output 22 2 2 6 2" xfId="38934"/>
    <cellStyle name="Output 22 2 2 7" xfId="28054"/>
    <cellStyle name="Output 22 2 2_Table 2A-1_EFT (Annual)" xfId="3402"/>
    <cellStyle name="Output 22 2 3" xfId="2318"/>
    <cellStyle name="Output 22 2 3 2" xfId="5879"/>
    <cellStyle name="Output 22 2 3 2 2" xfId="14094"/>
    <cellStyle name="Output 22 2 3 2 2 2" xfId="26082"/>
    <cellStyle name="Output 22 2 3 2 2 2 2" xfId="47268"/>
    <cellStyle name="Output 22 2 3 2 2 3" xfId="36664"/>
    <cellStyle name="Output 22 2 3 2 3" xfId="20969"/>
    <cellStyle name="Output 22 2 3 2 3 2" xfId="42156"/>
    <cellStyle name="Output 22 2 3 2 4" xfId="31536"/>
    <cellStyle name="Output 22 2 3 2_Table 2A-1_EFT (Annual)" xfId="7887"/>
    <cellStyle name="Output 22 2 3 3" xfId="11438"/>
    <cellStyle name="Output 22 2 3 3 2" xfId="23536"/>
    <cellStyle name="Output 22 2 3 3 2 2" xfId="44722"/>
    <cellStyle name="Output 22 2 3 3 3" xfId="34118"/>
    <cellStyle name="Output 22 2 3 4" xfId="18423"/>
    <cellStyle name="Output 22 2 3 4 2" xfId="39610"/>
    <cellStyle name="Output 22 2 3 5" xfId="28793"/>
    <cellStyle name="Output 22 2 3_Table 2A-1_EFT (Annual)" xfId="7886"/>
    <cellStyle name="Output 22 2 4" xfId="1758"/>
    <cellStyle name="Output 22 2 4 2" xfId="5319"/>
    <cellStyle name="Output 22 2 4 2 2" xfId="13544"/>
    <cellStyle name="Output 22 2 4 2 2 2" xfId="25535"/>
    <cellStyle name="Output 22 2 4 2 2 2 2" xfId="46721"/>
    <cellStyle name="Output 22 2 4 2 2 3" xfId="36117"/>
    <cellStyle name="Output 22 2 4 2 3" xfId="20422"/>
    <cellStyle name="Output 22 2 4 2 3 2" xfId="41609"/>
    <cellStyle name="Output 22 2 4 2 4" xfId="30976"/>
    <cellStyle name="Output 22 2 4 2_Table 2A-1_EFT (Annual)" xfId="7889"/>
    <cellStyle name="Output 22 2 4 3" xfId="10887"/>
    <cellStyle name="Output 22 2 4 3 2" xfId="22989"/>
    <cellStyle name="Output 22 2 4 3 2 2" xfId="44175"/>
    <cellStyle name="Output 22 2 4 3 3" xfId="33571"/>
    <cellStyle name="Output 22 2 4 4" xfId="17876"/>
    <cellStyle name="Output 22 2 4 4 2" xfId="39063"/>
    <cellStyle name="Output 22 2 4 5" xfId="28233"/>
    <cellStyle name="Output 22 2 4_Table 2A-1_EFT (Annual)" xfId="7888"/>
    <cellStyle name="Output 22 2 5" xfId="4172"/>
    <cellStyle name="Output 22 2 5 2" xfId="12496"/>
    <cellStyle name="Output 22 2 5 2 2" xfId="24518"/>
    <cellStyle name="Output 22 2 5 2 2 2" xfId="45704"/>
    <cellStyle name="Output 22 2 5 2 3" xfId="35100"/>
    <cellStyle name="Output 22 2 5 3" xfId="19405"/>
    <cellStyle name="Output 22 2 5 3 2" xfId="40592"/>
    <cellStyle name="Output 22 2 5 4" xfId="29860"/>
    <cellStyle name="Output 22 2 5_Table 2A-1_EFT (Annual)" xfId="7890"/>
    <cellStyle name="Output 22 2 6" xfId="9835"/>
    <cellStyle name="Output 22 2 6 2" xfId="21972"/>
    <cellStyle name="Output 22 2 6 2 2" xfId="43158"/>
    <cellStyle name="Output 22 2 6 3" xfId="32554"/>
    <cellStyle name="Output 22 2 7" xfId="16859"/>
    <cellStyle name="Output 22 2 7 2" xfId="38046"/>
    <cellStyle name="Output 22 2 8" xfId="27117"/>
    <cellStyle name="Output 22 2_Table 2A-1_EFT (Annual)" xfId="3401"/>
    <cellStyle name="Output 22 3" xfId="437"/>
    <cellStyle name="Output 22 3 2" xfId="1420"/>
    <cellStyle name="Output 22 3 2 2" xfId="2690"/>
    <cellStyle name="Output 22 3 2 2 2" xfId="6251"/>
    <cellStyle name="Output 22 3 2 2 2 2" xfId="14445"/>
    <cellStyle name="Output 22 3 2 2 2 2 2" xfId="26417"/>
    <cellStyle name="Output 22 3 2 2 2 2 2 2" xfId="47603"/>
    <cellStyle name="Output 22 3 2 2 2 2 3" xfId="36999"/>
    <cellStyle name="Output 22 3 2 2 2 3" xfId="21304"/>
    <cellStyle name="Output 22 3 2 2 2 3 2" xfId="42491"/>
    <cellStyle name="Output 22 3 2 2 2 4" xfId="31907"/>
    <cellStyle name="Output 22 3 2 2 2_Table 2A-1_EFT (Annual)" xfId="7892"/>
    <cellStyle name="Output 22 3 2 2 3" xfId="11787"/>
    <cellStyle name="Output 22 3 2 2 3 2" xfId="23871"/>
    <cellStyle name="Output 22 3 2 2 3 2 2" xfId="45057"/>
    <cellStyle name="Output 22 3 2 2 3 3" xfId="34453"/>
    <cellStyle name="Output 22 3 2 2 4" xfId="18758"/>
    <cellStyle name="Output 22 3 2 2 4 2" xfId="39945"/>
    <cellStyle name="Output 22 3 2 2 5" xfId="29164"/>
    <cellStyle name="Output 22 3 2 2_Table 2A-1_EFT (Annual)" xfId="7891"/>
    <cellStyle name="Output 22 3 2 3" xfId="1902"/>
    <cellStyle name="Output 22 3 2 3 2" xfId="5463"/>
    <cellStyle name="Output 22 3 2 3 2 2" xfId="13678"/>
    <cellStyle name="Output 22 3 2 3 2 2 2" xfId="25666"/>
    <cellStyle name="Output 22 3 2 3 2 2 2 2" xfId="46852"/>
    <cellStyle name="Output 22 3 2 3 2 2 3" xfId="36248"/>
    <cellStyle name="Output 22 3 2 3 2 3" xfId="20553"/>
    <cellStyle name="Output 22 3 2 3 2 3 2" xfId="41740"/>
    <cellStyle name="Output 22 3 2 3 2 4" xfId="31120"/>
    <cellStyle name="Output 22 3 2 3 2_Table 2A-1_EFT (Annual)" xfId="7894"/>
    <cellStyle name="Output 22 3 2 3 3" xfId="11022"/>
    <cellStyle name="Output 22 3 2 3 3 2" xfId="23120"/>
    <cellStyle name="Output 22 3 2 3 3 2 2" xfId="44306"/>
    <cellStyle name="Output 22 3 2 3 3 3" xfId="33702"/>
    <cellStyle name="Output 22 3 2 3 4" xfId="18007"/>
    <cellStyle name="Output 22 3 2 3 4 2" xfId="39194"/>
    <cellStyle name="Output 22 3 2 3 5" xfId="28377"/>
    <cellStyle name="Output 22 3 2 3_Table 2A-1_EFT (Annual)" xfId="7893"/>
    <cellStyle name="Output 22 3 2 4" xfId="4981"/>
    <cellStyle name="Output 22 3 2 4 2" xfId="13241"/>
    <cellStyle name="Output 22 3 2 4 2 2" xfId="25247"/>
    <cellStyle name="Output 22 3 2 4 2 2 2" xfId="46433"/>
    <cellStyle name="Output 22 3 2 4 2 3" xfId="35829"/>
    <cellStyle name="Output 22 3 2 4 3" xfId="20134"/>
    <cellStyle name="Output 22 3 2 4 3 2" xfId="41321"/>
    <cellStyle name="Output 22 3 2 4 4" xfId="30638"/>
    <cellStyle name="Output 22 3 2 4_Table 2A-1_EFT (Annual)" xfId="7895"/>
    <cellStyle name="Output 22 3 2 5" xfId="10585"/>
    <cellStyle name="Output 22 3 2 5 2" xfId="22701"/>
    <cellStyle name="Output 22 3 2 5 2 2" xfId="43887"/>
    <cellStyle name="Output 22 3 2 5 3" xfId="33283"/>
    <cellStyle name="Output 22 3 2 6" xfId="17588"/>
    <cellStyle name="Output 22 3 2 6 2" xfId="38775"/>
    <cellStyle name="Output 22 3 2 7" xfId="27895"/>
    <cellStyle name="Output 22 3 2_Table 2A-1_EFT (Annual)" xfId="3404"/>
    <cellStyle name="Output 22 3 3" xfId="2159"/>
    <cellStyle name="Output 22 3 3 2" xfId="5720"/>
    <cellStyle name="Output 22 3 3 2 2" xfId="13935"/>
    <cellStyle name="Output 22 3 3 2 2 2" xfId="25923"/>
    <cellStyle name="Output 22 3 3 2 2 2 2" xfId="47109"/>
    <cellStyle name="Output 22 3 3 2 2 3" xfId="36505"/>
    <cellStyle name="Output 22 3 3 2 3" xfId="20810"/>
    <cellStyle name="Output 22 3 3 2 3 2" xfId="41997"/>
    <cellStyle name="Output 22 3 3 2 4" xfId="31377"/>
    <cellStyle name="Output 22 3 3 2_Table 2A-1_EFT (Annual)" xfId="7897"/>
    <cellStyle name="Output 22 3 3 3" xfId="11279"/>
    <cellStyle name="Output 22 3 3 3 2" xfId="23377"/>
    <cellStyle name="Output 22 3 3 3 2 2" xfId="44563"/>
    <cellStyle name="Output 22 3 3 3 3" xfId="33959"/>
    <cellStyle name="Output 22 3 3 4" xfId="18264"/>
    <cellStyle name="Output 22 3 3 4 2" xfId="39451"/>
    <cellStyle name="Output 22 3 3 5" xfId="28634"/>
    <cellStyle name="Output 22 3 3_Table 2A-1_EFT (Annual)" xfId="7896"/>
    <cellStyle name="Output 22 3 4" xfId="1722"/>
    <cellStyle name="Output 22 3 4 2" xfId="5283"/>
    <cellStyle name="Output 22 3 4 2 2" xfId="13512"/>
    <cellStyle name="Output 22 3 4 2 2 2" xfId="25505"/>
    <cellStyle name="Output 22 3 4 2 2 2 2" xfId="46691"/>
    <cellStyle name="Output 22 3 4 2 2 3" xfId="36087"/>
    <cellStyle name="Output 22 3 4 2 3" xfId="20392"/>
    <cellStyle name="Output 22 3 4 2 3 2" xfId="41579"/>
    <cellStyle name="Output 22 3 4 2 4" xfId="30940"/>
    <cellStyle name="Output 22 3 4 2_Table 2A-1_EFT (Annual)" xfId="7899"/>
    <cellStyle name="Output 22 3 4 3" xfId="10856"/>
    <cellStyle name="Output 22 3 4 3 2" xfId="22959"/>
    <cellStyle name="Output 22 3 4 3 2 2" xfId="44145"/>
    <cellStyle name="Output 22 3 4 3 3" xfId="33541"/>
    <cellStyle name="Output 22 3 4 4" xfId="17846"/>
    <cellStyle name="Output 22 3 4 4 2" xfId="39033"/>
    <cellStyle name="Output 22 3 4 5" xfId="28197"/>
    <cellStyle name="Output 22 3 4_Table 2A-1_EFT (Annual)" xfId="7898"/>
    <cellStyle name="Output 22 3 5" xfId="4007"/>
    <cellStyle name="Output 22 3 5 2" xfId="12335"/>
    <cellStyle name="Output 22 3 5 2 2" xfId="24359"/>
    <cellStyle name="Output 22 3 5 2 2 2" xfId="45545"/>
    <cellStyle name="Output 22 3 5 2 3" xfId="34941"/>
    <cellStyle name="Output 22 3 5 3" xfId="19246"/>
    <cellStyle name="Output 22 3 5 3 2" xfId="40433"/>
    <cellStyle name="Output 22 3 5 4" xfId="29695"/>
    <cellStyle name="Output 22 3 5_Table 2A-1_EFT (Annual)" xfId="7900"/>
    <cellStyle name="Output 22 3 6" xfId="9672"/>
    <cellStyle name="Output 22 3 6 2" xfId="21813"/>
    <cellStyle name="Output 22 3 6 2 2" xfId="42999"/>
    <cellStyle name="Output 22 3 6 3" xfId="32395"/>
    <cellStyle name="Output 22 3 7" xfId="16700"/>
    <cellStyle name="Output 22 3 7 2" xfId="37887"/>
    <cellStyle name="Output 22 3 8" xfId="26952"/>
    <cellStyle name="Output 22 3_Table 2A-1_EFT (Annual)" xfId="3403"/>
    <cellStyle name="Output 22 4" xfId="1257"/>
    <cellStyle name="Output 22 4 2" xfId="2527"/>
    <cellStyle name="Output 22 4 2 2" xfId="6088"/>
    <cellStyle name="Output 22 4 2 2 2" xfId="14282"/>
    <cellStyle name="Output 22 4 2 2 2 2" xfId="26254"/>
    <cellStyle name="Output 22 4 2 2 2 2 2" xfId="47440"/>
    <cellStyle name="Output 22 4 2 2 2 3" xfId="36836"/>
    <cellStyle name="Output 22 4 2 2 3" xfId="21141"/>
    <cellStyle name="Output 22 4 2 2 3 2" xfId="42328"/>
    <cellStyle name="Output 22 4 2 2 4" xfId="31744"/>
    <cellStyle name="Output 22 4 2 2_Table 2A-1_EFT (Annual)" xfId="7902"/>
    <cellStyle name="Output 22 4 2 3" xfId="11624"/>
    <cellStyle name="Output 22 4 2 3 2" xfId="23708"/>
    <cellStyle name="Output 22 4 2 3 2 2" xfId="44894"/>
    <cellStyle name="Output 22 4 2 3 3" xfId="34290"/>
    <cellStyle name="Output 22 4 2 4" xfId="18595"/>
    <cellStyle name="Output 22 4 2 4 2" xfId="39782"/>
    <cellStyle name="Output 22 4 2 5" xfId="29001"/>
    <cellStyle name="Output 22 4 2_Table 2A-1_EFT (Annual)" xfId="7901"/>
    <cellStyle name="Output 22 4 3" xfId="1838"/>
    <cellStyle name="Output 22 4 3 2" xfId="5399"/>
    <cellStyle name="Output 22 4 3 2 2" xfId="13614"/>
    <cellStyle name="Output 22 4 3 2 2 2" xfId="25602"/>
    <cellStyle name="Output 22 4 3 2 2 2 2" xfId="46788"/>
    <cellStyle name="Output 22 4 3 2 2 3" xfId="36184"/>
    <cellStyle name="Output 22 4 3 2 3" xfId="20489"/>
    <cellStyle name="Output 22 4 3 2 3 2" xfId="41676"/>
    <cellStyle name="Output 22 4 3 2 4" xfId="31056"/>
    <cellStyle name="Output 22 4 3 2_Table 2A-1_EFT (Annual)" xfId="7904"/>
    <cellStyle name="Output 22 4 3 3" xfId="10958"/>
    <cellStyle name="Output 22 4 3 3 2" xfId="23056"/>
    <cellStyle name="Output 22 4 3 3 2 2" xfId="44242"/>
    <cellStyle name="Output 22 4 3 3 3" xfId="33638"/>
    <cellStyle name="Output 22 4 3 4" xfId="17943"/>
    <cellStyle name="Output 22 4 3 4 2" xfId="39130"/>
    <cellStyle name="Output 22 4 3 5" xfId="28313"/>
    <cellStyle name="Output 22 4 3_Table 2A-1_EFT (Annual)" xfId="7903"/>
    <cellStyle name="Output 22 4 4" xfId="4818"/>
    <cellStyle name="Output 22 4 4 2" xfId="13078"/>
    <cellStyle name="Output 22 4 4 2 2" xfId="25084"/>
    <cellStyle name="Output 22 4 4 2 2 2" xfId="46270"/>
    <cellStyle name="Output 22 4 4 2 3" xfId="35666"/>
    <cellStyle name="Output 22 4 4 3" xfId="19971"/>
    <cellStyle name="Output 22 4 4 3 2" xfId="41158"/>
    <cellStyle name="Output 22 4 4 4" xfId="30475"/>
    <cellStyle name="Output 22 4 4_Table 2A-1_EFT (Annual)" xfId="7905"/>
    <cellStyle name="Output 22 4 5" xfId="10422"/>
    <cellStyle name="Output 22 4 5 2" xfId="22538"/>
    <cellStyle name="Output 22 4 5 2 2" xfId="43724"/>
    <cellStyle name="Output 22 4 5 3" xfId="33120"/>
    <cellStyle name="Output 22 4 6" xfId="17425"/>
    <cellStyle name="Output 22 4 6 2" xfId="38612"/>
    <cellStyle name="Output 22 4 7" xfId="27732"/>
    <cellStyle name="Output 22 4_Table 2A-1_EFT (Annual)" xfId="3405"/>
    <cellStyle name="Output 22 5" xfId="1996"/>
    <cellStyle name="Output 22 5 2" xfId="5557"/>
    <cellStyle name="Output 22 5 2 2" xfId="13772"/>
    <cellStyle name="Output 22 5 2 2 2" xfId="25760"/>
    <cellStyle name="Output 22 5 2 2 2 2" xfId="46946"/>
    <cellStyle name="Output 22 5 2 2 3" xfId="36342"/>
    <cellStyle name="Output 22 5 2 3" xfId="20647"/>
    <cellStyle name="Output 22 5 2 3 2" xfId="41834"/>
    <cellStyle name="Output 22 5 2 4" xfId="31214"/>
    <cellStyle name="Output 22 5 2_Table 2A-1_EFT (Annual)" xfId="7907"/>
    <cellStyle name="Output 22 5 3" xfId="11116"/>
    <cellStyle name="Output 22 5 3 2" xfId="23214"/>
    <cellStyle name="Output 22 5 3 2 2" xfId="44400"/>
    <cellStyle name="Output 22 5 3 3" xfId="33796"/>
    <cellStyle name="Output 22 5 4" xfId="18101"/>
    <cellStyle name="Output 22 5 4 2" xfId="39288"/>
    <cellStyle name="Output 22 5 5" xfId="28471"/>
    <cellStyle name="Output 22 5_Table 2A-1_EFT (Annual)" xfId="7906"/>
    <cellStyle name="Output 22 6" xfId="1665"/>
    <cellStyle name="Output 22 6 2" xfId="5226"/>
    <cellStyle name="Output 22 6 2 2" xfId="13473"/>
    <cellStyle name="Output 22 6 2 2 2" xfId="25473"/>
    <cellStyle name="Output 22 6 2 2 2 2" xfId="46659"/>
    <cellStyle name="Output 22 6 2 2 3" xfId="36055"/>
    <cellStyle name="Output 22 6 2 3" xfId="20360"/>
    <cellStyle name="Output 22 6 2 3 2" xfId="41547"/>
    <cellStyle name="Output 22 6 2 4" xfId="30883"/>
    <cellStyle name="Output 22 6 2_Table 2A-1_EFT (Annual)" xfId="7909"/>
    <cellStyle name="Output 22 6 3" xfId="10818"/>
    <cellStyle name="Output 22 6 3 2" xfId="22927"/>
    <cellStyle name="Output 22 6 3 2 2" xfId="44113"/>
    <cellStyle name="Output 22 6 3 3" xfId="33509"/>
    <cellStyle name="Output 22 6 4" xfId="17814"/>
    <cellStyle name="Output 22 6 4 2" xfId="39001"/>
    <cellStyle name="Output 22 6 5" xfId="28140"/>
    <cellStyle name="Output 22 6_Table 2A-1_EFT (Annual)" xfId="7908"/>
    <cellStyle name="Output 22 7" xfId="3798"/>
    <cellStyle name="Output 22 7 2" xfId="12166"/>
    <cellStyle name="Output 22 7 2 2" xfId="24196"/>
    <cellStyle name="Output 22 7 2 2 2" xfId="45382"/>
    <cellStyle name="Output 22 7 2 3" xfId="34778"/>
    <cellStyle name="Output 22 7 3" xfId="19083"/>
    <cellStyle name="Output 22 7 3 2" xfId="40270"/>
    <cellStyle name="Output 22 7 4" xfId="29507"/>
    <cellStyle name="Output 22 7_Table 2A-1_EFT (Annual)" xfId="7910"/>
    <cellStyle name="Output 22 8" xfId="9485"/>
    <cellStyle name="Output 22 8 2" xfId="21650"/>
    <cellStyle name="Output 22 8 2 2" xfId="42836"/>
    <cellStyle name="Output 22 8 3" xfId="32232"/>
    <cellStyle name="Output 22 9" xfId="16537"/>
    <cellStyle name="Output 22 9 2" xfId="37724"/>
    <cellStyle name="Output 22_Table 2A-1_EFT (Annual)" xfId="3400"/>
    <cellStyle name="Output 23" xfId="232"/>
    <cellStyle name="Output 23 10" xfId="26787"/>
    <cellStyle name="Output 23 2" xfId="619"/>
    <cellStyle name="Output 23 2 2" xfId="1596"/>
    <cellStyle name="Output 23 2 2 2" xfId="2866"/>
    <cellStyle name="Output 23 2 2 2 2" xfId="6427"/>
    <cellStyle name="Output 23 2 2 2 2 2" xfId="14621"/>
    <cellStyle name="Output 23 2 2 2 2 2 2" xfId="26593"/>
    <cellStyle name="Output 23 2 2 2 2 2 2 2" xfId="47779"/>
    <cellStyle name="Output 23 2 2 2 2 2 3" xfId="37175"/>
    <cellStyle name="Output 23 2 2 2 2 3" xfId="21480"/>
    <cellStyle name="Output 23 2 2 2 2 3 2" xfId="42667"/>
    <cellStyle name="Output 23 2 2 2 2 4" xfId="32083"/>
    <cellStyle name="Output 23 2 2 2 2_Table 2A-1_EFT (Annual)" xfId="7912"/>
    <cellStyle name="Output 23 2 2 2 3" xfId="11963"/>
    <cellStyle name="Output 23 2 2 2 3 2" xfId="24047"/>
    <cellStyle name="Output 23 2 2 2 3 2 2" xfId="45233"/>
    <cellStyle name="Output 23 2 2 2 3 3" xfId="34629"/>
    <cellStyle name="Output 23 2 2 2 4" xfId="18934"/>
    <cellStyle name="Output 23 2 2 2 4 2" xfId="40121"/>
    <cellStyle name="Output 23 2 2 2 5" xfId="29340"/>
    <cellStyle name="Output 23 2 2 2_Table 2A-1_EFT (Annual)" xfId="7911"/>
    <cellStyle name="Output 23 2 2 3" xfId="1936"/>
    <cellStyle name="Output 23 2 2 3 2" xfId="5497"/>
    <cellStyle name="Output 23 2 2 3 2 2" xfId="13712"/>
    <cellStyle name="Output 23 2 2 3 2 2 2" xfId="25700"/>
    <cellStyle name="Output 23 2 2 3 2 2 2 2" xfId="46886"/>
    <cellStyle name="Output 23 2 2 3 2 2 3" xfId="36282"/>
    <cellStyle name="Output 23 2 2 3 2 3" xfId="20587"/>
    <cellStyle name="Output 23 2 2 3 2 3 2" xfId="41774"/>
    <cellStyle name="Output 23 2 2 3 2 4" xfId="31154"/>
    <cellStyle name="Output 23 2 2 3 2_Table 2A-1_EFT (Annual)" xfId="7914"/>
    <cellStyle name="Output 23 2 2 3 3" xfId="11056"/>
    <cellStyle name="Output 23 2 2 3 3 2" xfId="23154"/>
    <cellStyle name="Output 23 2 2 3 3 2 2" xfId="44340"/>
    <cellStyle name="Output 23 2 2 3 3 3" xfId="33736"/>
    <cellStyle name="Output 23 2 2 3 4" xfId="18041"/>
    <cellStyle name="Output 23 2 2 3 4 2" xfId="39228"/>
    <cellStyle name="Output 23 2 2 3 5" xfId="28411"/>
    <cellStyle name="Output 23 2 2 3_Table 2A-1_EFT (Annual)" xfId="7913"/>
    <cellStyle name="Output 23 2 2 4" xfId="5157"/>
    <cellStyle name="Output 23 2 2 4 2" xfId="13417"/>
    <cellStyle name="Output 23 2 2 4 2 2" xfId="25423"/>
    <cellStyle name="Output 23 2 2 4 2 2 2" xfId="46609"/>
    <cellStyle name="Output 23 2 2 4 2 3" xfId="36005"/>
    <cellStyle name="Output 23 2 2 4 3" xfId="20310"/>
    <cellStyle name="Output 23 2 2 4 3 2" xfId="41497"/>
    <cellStyle name="Output 23 2 2 4 4" xfId="30814"/>
    <cellStyle name="Output 23 2 2 4_Table 2A-1_EFT (Annual)" xfId="7915"/>
    <cellStyle name="Output 23 2 2 5" xfId="10761"/>
    <cellStyle name="Output 23 2 2 5 2" xfId="22877"/>
    <cellStyle name="Output 23 2 2 5 2 2" xfId="44063"/>
    <cellStyle name="Output 23 2 2 5 3" xfId="33459"/>
    <cellStyle name="Output 23 2 2 6" xfId="17764"/>
    <cellStyle name="Output 23 2 2 6 2" xfId="38951"/>
    <cellStyle name="Output 23 2 2 7" xfId="28071"/>
    <cellStyle name="Output 23 2 2_Table 2A-1_EFT (Annual)" xfId="3408"/>
    <cellStyle name="Output 23 2 3" xfId="2335"/>
    <cellStyle name="Output 23 2 3 2" xfId="5896"/>
    <cellStyle name="Output 23 2 3 2 2" xfId="14111"/>
    <cellStyle name="Output 23 2 3 2 2 2" xfId="26099"/>
    <cellStyle name="Output 23 2 3 2 2 2 2" xfId="47285"/>
    <cellStyle name="Output 23 2 3 2 2 3" xfId="36681"/>
    <cellStyle name="Output 23 2 3 2 3" xfId="20986"/>
    <cellStyle name="Output 23 2 3 2 3 2" xfId="42173"/>
    <cellStyle name="Output 23 2 3 2 4" xfId="31553"/>
    <cellStyle name="Output 23 2 3 2_Table 2A-1_EFT (Annual)" xfId="7917"/>
    <cellStyle name="Output 23 2 3 3" xfId="11455"/>
    <cellStyle name="Output 23 2 3 3 2" xfId="23553"/>
    <cellStyle name="Output 23 2 3 3 2 2" xfId="44739"/>
    <cellStyle name="Output 23 2 3 3 3" xfId="34135"/>
    <cellStyle name="Output 23 2 3 4" xfId="18440"/>
    <cellStyle name="Output 23 2 3 4 2" xfId="39627"/>
    <cellStyle name="Output 23 2 3 5" xfId="28810"/>
    <cellStyle name="Output 23 2 3_Table 2A-1_EFT (Annual)" xfId="7916"/>
    <cellStyle name="Output 23 2 4" xfId="1761"/>
    <cellStyle name="Output 23 2 4 2" xfId="5322"/>
    <cellStyle name="Output 23 2 4 2 2" xfId="13547"/>
    <cellStyle name="Output 23 2 4 2 2 2" xfId="25538"/>
    <cellStyle name="Output 23 2 4 2 2 2 2" xfId="46724"/>
    <cellStyle name="Output 23 2 4 2 2 3" xfId="36120"/>
    <cellStyle name="Output 23 2 4 2 3" xfId="20425"/>
    <cellStyle name="Output 23 2 4 2 3 2" xfId="41612"/>
    <cellStyle name="Output 23 2 4 2 4" xfId="30979"/>
    <cellStyle name="Output 23 2 4 2_Table 2A-1_EFT (Annual)" xfId="7919"/>
    <cellStyle name="Output 23 2 4 3" xfId="10890"/>
    <cellStyle name="Output 23 2 4 3 2" xfId="22992"/>
    <cellStyle name="Output 23 2 4 3 2 2" xfId="44178"/>
    <cellStyle name="Output 23 2 4 3 3" xfId="33574"/>
    <cellStyle name="Output 23 2 4 4" xfId="17879"/>
    <cellStyle name="Output 23 2 4 4 2" xfId="39066"/>
    <cellStyle name="Output 23 2 4 5" xfId="28236"/>
    <cellStyle name="Output 23 2 4_Table 2A-1_EFT (Annual)" xfId="7918"/>
    <cellStyle name="Output 23 2 5" xfId="4189"/>
    <cellStyle name="Output 23 2 5 2" xfId="12513"/>
    <cellStyle name="Output 23 2 5 2 2" xfId="24535"/>
    <cellStyle name="Output 23 2 5 2 2 2" xfId="45721"/>
    <cellStyle name="Output 23 2 5 2 3" xfId="35117"/>
    <cellStyle name="Output 23 2 5 3" xfId="19422"/>
    <cellStyle name="Output 23 2 5 3 2" xfId="40609"/>
    <cellStyle name="Output 23 2 5 4" xfId="29877"/>
    <cellStyle name="Output 23 2 5_Table 2A-1_EFT (Annual)" xfId="7920"/>
    <cellStyle name="Output 23 2 6" xfId="9852"/>
    <cellStyle name="Output 23 2 6 2" xfId="21989"/>
    <cellStyle name="Output 23 2 6 2 2" xfId="43175"/>
    <cellStyle name="Output 23 2 6 3" xfId="32571"/>
    <cellStyle name="Output 23 2 7" xfId="16876"/>
    <cellStyle name="Output 23 2 7 2" xfId="38063"/>
    <cellStyle name="Output 23 2 8" xfId="27134"/>
    <cellStyle name="Output 23 2_Table 2A-1_EFT (Annual)" xfId="3407"/>
    <cellStyle name="Output 23 3" xfId="459"/>
    <cellStyle name="Output 23 3 2" xfId="1436"/>
    <cellStyle name="Output 23 3 2 2" xfId="2706"/>
    <cellStyle name="Output 23 3 2 2 2" xfId="6267"/>
    <cellStyle name="Output 23 3 2 2 2 2" xfId="14461"/>
    <cellStyle name="Output 23 3 2 2 2 2 2" xfId="26433"/>
    <cellStyle name="Output 23 3 2 2 2 2 2 2" xfId="47619"/>
    <cellStyle name="Output 23 3 2 2 2 2 3" xfId="37015"/>
    <cellStyle name="Output 23 3 2 2 2 3" xfId="21320"/>
    <cellStyle name="Output 23 3 2 2 2 3 2" xfId="42507"/>
    <cellStyle name="Output 23 3 2 2 2 4" xfId="31923"/>
    <cellStyle name="Output 23 3 2 2 2_Table 2A-1_EFT (Annual)" xfId="7922"/>
    <cellStyle name="Output 23 3 2 2 3" xfId="11803"/>
    <cellStyle name="Output 23 3 2 2 3 2" xfId="23887"/>
    <cellStyle name="Output 23 3 2 2 3 2 2" xfId="45073"/>
    <cellStyle name="Output 23 3 2 2 3 3" xfId="34469"/>
    <cellStyle name="Output 23 3 2 2 4" xfId="18774"/>
    <cellStyle name="Output 23 3 2 2 4 2" xfId="39961"/>
    <cellStyle name="Output 23 3 2 2 5" xfId="29180"/>
    <cellStyle name="Output 23 3 2 2_Table 2A-1_EFT (Annual)" xfId="7921"/>
    <cellStyle name="Output 23 3 2 3" xfId="1905"/>
    <cellStyle name="Output 23 3 2 3 2" xfId="5466"/>
    <cellStyle name="Output 23 3 2 3 2 2" xfId="13681"/>
    <cellStyle name="Output 23 3 2 3 2 2 2" xfId="25669"/>
    <cellStyle name="Output 23 3 2 3 2 2 2 2" xfId="46855"/>
    <cellStyle name="Output 23 3 2 3 2 2 3" xfId="36251"/>
    <cellStyle name="Output 23 3 2 3 2 3" xfId="20556"/>
    <cellStyle name="Output 23 3 2 3 2 3 2" xfId="41743"/>
    <cellStyle name="Output 23 3 2 3 2 4" xfId="31123"/>
    <cellStyle name="Output 23 3 2 3 2_Table 2A-1_EFT (Annual)" xfId="7924"/>
    <cellStyle name="Output 23 3 2 3 3" xfId="11025"/>
    <cellStyle name="Output 23 3 2 3 3 2" xfId="23123"/>
    <cellStyle name="Output 23 3 2 3 3 2 2" xfId="44309"/>
    <cellStyle name="Output 23 3 2 3 3 3" xfId="33705"/>
    <cellStyle name="Output 23 3 2 3 4" xfId="18010"/>
    <cellStyle name="Output 23 3 2 3 4 2" xfId="39197"/>
    <cellStyle name="Output 23 3 2 3 5" xfId="28380"/>
    <cellStyle name="Output 23 3 2 3_Table 2A-1_EFT (Annual)" xfId="7923"/>
    <cellStyle name="Output 23 3 2 4" xfId="4997"/>
    <cellStyle name="Output 23 3 2 4 2" xfId="13257"/>
    <cellStyle name="Output 23 3 2 4 2 2" xfId="25263"/>
    <cellStyle name="Output 23 3 2 4 2 2 2" xfId="46449"/>
    <cellStyle name="Output 23 3 2 4 2 3" xfId="35845"/>
    <cellStyle name="Output 23 3 2 4 3" xfId="20150"/>
    <cellStyle name="Output 23 3 2 4 3 2" xfId="41337"/>
    <cellStyle name="Output 23 3 2 4 4" xfId="30654"/>
    <cellStyle name="Output 23 3 2 4_Table 2A-1_EFT (Annual)" xfId="7925"/>
    <cellStyle name="Output 23 3 2 5" xfId="10601"/>
    <cellStyle name="Output 23 3 2 5 2" xfId="22717"/>
    <cellStyle name="Output 23 3 2 5 2 2" xfId="43903"/>
    <cellStyle name="Output 23 3 2 5 3" xfId="33299"/>
    <cellStyle name="Output 23 3 2 6" xfId="17604"/>
    <cellStyle name="Output 23 3 2 6 2" xfId="38791"/>
    <cellStyle name="Output 23 3 2 7" xfId="27911"/>
    <cellStyle name="Output 23 3 2_Table 2A-1_EFT (Annual)" xfId="3410"/>
    <cellStyle name="Output 23 3 3" xfId="2175"/>
    <cellStyle name="Output 23 3 3 2" xfId="5736"/>
    <cellStyle name="Output 23 3 3 2 2" xfId="13951"/>
    <cellStyle name="Output 23 3 3 2 2 2" xfId="25939"/>
    <cellStyle name="Output 23 3 3 2 2 2 2" xfId="47125"/>
    <cellStyle name="Output 23 3 3 2 2 3" xfId="36521"/>
    <cellStyle name="Output 23 3 3 2 3" xfId="20826"/>
    <cellStyle name="Output 23 3 3 2 3 2" xfId="42013"/>
    <cellStyle name="Output 23 3 3 2 4" xfId="31393"/>
    <cellStyle name="Output 23 3 3 2_Table 2A-1_EFT (Annual)" xfId="7927"/>
    <cellStyle name="Output 23 3 3 3" xfId="11295"/>
    <cellStyle name="Output 23 3 3 3 2" xfId="23393"/>
    <cellStyle name="Output 23 3 3 3 2 2" xfId="44579"/>
    <cellStyle name="Output 23 3 3 3 3" xfId="33975"/>
    <cellStyle name="Output 23 3 3 4" xfId="18280"/>
    <cellStyle name="Output 23 3 3 4 2" xfId="39467"/>
    <cellStyle name="Output 23 3 3 5" xfId="28650"/>
    <cellStyle name="Output 23 3 3_Table 2A-1_EFT (Annual)" xfId="7926"/>
    <cellStyle name="Output 23 3 4" xfId="1730"/>
    <cellStyle name="Output 23 3 4 2" xfId="5291"/>
    <cellStyle name="Output 23 3 4 2 2" xfId="13516"/>
    <cellStyle name="Output 23 3 4 2 2 2" xfId="25507"/>
    <cellStyle name="Output 23 3 4 2 2 2 2" xfId="46693"/>
    <cellStyle name="Output 23 3 4 2 2 3" xfId="36089"/>
    <cellStyle name="Output 23 3 4 2 3" xfId="20394"/>
    <cellStyle name="Output 23 3 4 2 3 2" xfId="41581"/>
    <cellStyle name="Output 23 3 4 2 4" xfId="30948"/>
    <cellStyle name="Output 23 3 4 2_Table 2A-1_EFT (Annual)" xfId="7929"/>
    <cellStyle name="Output 23 3 4 3" xfId="10859"/>
    <cellStyle name="Output 23 3 4 3 2" xfId="22961"/>
    <cellStyle name="Output 23 3 4 3 2 2" xfId="44147"/>
    <cellStyle name="Output 23 3 4 3 3" xfId="33543"/>
    <cellStyle name="Output 23 3 4 4" xfId="17848"/>
    <cellStyle name="Output 23 3 4 4 2" xfId="39035"/>
    <cellStyle name="Output 23 3 4 5" xfId="28205"/>
    <cellStyle name="Output 23 3 4_Table 2A-1_EFT (Annual)" xfId="7928"/>
    <cellStyle name="Output 23 3 5" xfId="4029"/>
    <cellStyle name="Output 23 3 5 2" xfId="12353"/>
    <cellStyle name="Output 23 3 5 2 2" xfId="24375"/>
    <cellStyle name="Output 23 3 5 2 2 2" xfId="45561"/>
    <cellStyle name="Output 23 3 5 2 3" xfId="34957"/>
    <cellStyle name="Output 23 3 5 3" xfId="19262"/>
    <cellStyle name="Output 23 3 5 3 2" xfId="40449"/>
    <cellStyle name="Output 23 3 5 4" xfId="29717"/>
    <cellStyle name="Output 23 3 5_Table 2A-1_EFT (Annual)" xfId="7930"/>
    <cellStyle name="Output 23 3 6" xfId="9692"/>
    <cellStyle name="Output 23 3 6 2" xfId="21829"/>
    <cellStyle name="Output 23 3 6 2 2" xfId="43015"/>
    <cellStyle name="Output 23 3 6 3" xfId="32411"/>
    <cellStyle name="Output 23 3 7" xfId="16716"/>
    <cellStyle name="Output 23 3 7 2" xfId="37903"/>
    <cellStyle name="Output 23 3 8" xfId="26974"/>
    <cellStyle name="Output 23 3_Table 2A-1_EFT (Annual)" xfId="3409"/>
    <cellStyle name="Output 23 4" xfId="1274"/>
    <cellStyle name="Output 23 4 2" xfId="2544"/>
    <cellStyle name="Output 23 4 2 2" xfId="6105"/>
    <cellStyle name="Output 23 4 2 2 2" xfId="14299"/>
    <cellStyle name="Output 23 4 2 2 2 2" xfId="26271"/>
    <cellStyle name="Output 23 4 2 2 2 2 2" xfId="47457"/>
    <cellStyle name="Output 23 4 2 2 2 3" xfId="36853"/>
    <cellStyle name="Output 23 4 2 2 3" xfId="21158"/>
    <cellStyle name="Output 23 4 2 2 3 2" xfId="42345"/>
    <cellStyle name="Output 23 4 2 2 4" xfId="31761"/>
    <cellStyle name="Output 23 4 2 2_Table 2A-1_EFT (Annual)" xfId="7932"/>
    <cellStyle name="Output 23 4 2 3" xfId="11641"/>
    <cellStyle name="Output 23 4 2 3 2" xfId="23725"/>
    <cellStyle name="Output 23 4 2 3 2 2" xfId="44911"/>
    <cellStyle name="Output 23 4 2 3 3" xfId="34307"/>
    <cellStyle name="Output 23 4 2 4" xfId="18612"/>
    <cellStyle name="Output 23 4 2 4 2" xfId="39799"/>
    <cellStyle name="Output 23 4 2 5" xfId="29018"/>
    <cellStyle name="Output 23 4 2_Table 2A-1_EFT (Annual)" xfId="7931"/>
    <cellStyle name="Output 23 4 3" xfId="1842"/>
    <cellStyle name="Output 23 4 3 2" xfId="5403"/>
    <cellStyle name="Output 23 4 3 2 2" xfId="13618"/>
    <cellStyle name="Output 23 4 3 2 2 2" xfId="25606"/>
    <cellStyle name="Output 23 4 3 2 2 2 2" xfId="46792"/>
    <cellStyle name="Output 23 4 3 2 2 3" xfId="36188"/>
    <cellStyle name="Output 23 4 3 2 3" xfId="20493"/>
    <cellStyle name="Output 23 4 3 2 3 2" xfId="41680"/>
    <cellStyle name="Output 23 4 3 2 4" xfId="31060"/>
    <cellStyle name="Output 23 4 3 2_Table 2A-1_EFT (Annual)" xfId="7934"/>
    <cellStyle name="Output 23 4 3 3" xfId="10962"/>
    <cellStyle name="Output 23 4 3 3 2" xfId="23060"/>
    <cellStyle name="Output 23 4 3 3 2 2" xfId="44246"/>
    <cellStyle name="Output 23 4 3 3 3" xfId="33642"/>
    <cellStyle name="Output 23 4 3 4" xfId="17947"/>
    <cellStyle name="Output 23 4 3 4 2" xfId="39134"/>
    <cellStyle name="Output 23 4 3 5" xfId="28317"/>
    <cellStyle name="Output 23 4 3_Table 2A-1_EFT (Annual)" xfId="7933"/>
    <cellStyle name="Output 23 4 4" xfId="4835"/>
    <cellStyle name="Output 23 4 4 2" xfId="13095"/>
    <cellStyle name="Output 23 4 4 2 2" xfId="25101"/>
    <cellStyle name="Output 23 4 4 2 2 2" xfId="46287"/>
    <cellStyle name="Output 23 4 4 2 3" xfId="35683"/>
    <cellStyle name="Output 23 4 4 3" xfId="19988"/>
    <cellStyle name="Output 23 4 4 3 2" xfId="41175"/>
    <cellStyle name="Output 23 4 4 4" xfId="30492"/>
    <cellStyle name="Output 23 4 4_Table 2A-1_EFT (Annual)" xfId="7935"/>
    <cellStyle name="Output 23 4 5" xfId="10439"/>
    <cellStyle name="Output 23 4 5 2" xfId="22555"/>
    <cellStyle name="Output 23 4 5 2 2" xfId="43741"/>
    <cellStyle name="Output 23 4 5 3" xfId="33137"/>
    <cellStyle name="Output 23 4 6" xfId="17442"/>
    <cellStyle name="Output 23 4 6 2" xfId="38629"/>
    <cellStyle name="Output 23 4 7" xfId="27749"/>
    <cellStyle name="Output 23 4_Table 2A-1_EFT (Annual)" xfId="3411"/>
    <cellStyle name="Output 23 5" xfId="2013"/>
    <cellStyle name="Output 23 5 2" xfId="5574"/>
    <cellStyle name="Output 23 5 2 2" xfId="13789"/>
    <cellStyle name="Output 23 5 2 2 2" xfId="25777"/>
    <cellStyle name="Output 23 5 2 2 2 2" xfId="46963"/>
    <cellStyle name="Output 23 5 2 2 3" xfId="36359"/>
    <cellStyle name="Output 23 5 2 3" xfId="20664"/>
    <cellStyle name="Output 23 5 2 3 2" xfId="41851"/>
    <cellStyle name="Output 23 5 2 4" xfId="31231"/>
    <cellStyle name="Output 23 5 2_Table 2A-1_EFT (Annual)" xfId="7937"/>
    <cellStyle name="Output 23 5 3" xfId="11133"/>
    <cellStyle name="Output 23 5 3 2" xfId="23231"/>
    <cellStyle name="Output 23 5 3 2 2" xfId="44417"/>
    <cellStyle name="Output 23 5 3 3" xfId="33813"/>
    <cellStyle name="Output 23 5 4" xfId="18118"/>
    <cellStyle name="Output 23 5 4 2" xfId="39305"/>
    <cellStyle name="Output 23 5 5" xfId="28488"/>
    <cellStyle name="Output 23 5_Table 2A-1_EFT (Annual)" xfId="7936"/>
    <cellStyle name="Output 23 6" xfId="1674"/>
    <cellStyle name="Output 23 6 2" xfId="5235"/>
    <cellStyle name="Output 23 6 2 2" xfId="13478"/>
    <cellStyle name="Output 23 6 2 2 2" xfId="25476"/>
    <cellStyle name="Output 23 6 2 2 2 2" xfId="46662"/>
    <cellStyle name="Output 23 6 2 2 3" xfId="36058"/>
    <cellStyle name="Output 23 6 2 3" xfId="20363"/>
    <cellStyle name="Output 23 6 2 3 2" xfId="41550"/>
    <cellStyle name="Output 23 6 2 4" xfId="30892"/>
    <cellStyle name="Output 23 6 2_Table 2A-1_EFT (Annual)" xfId="7939"/>
    <cellStyle name="Output 23 6 3" xfId="10823"/>
    <cellStyle name="Output 23 6 3 2" xfId="22930"/>
    <cellStyle name="Output 23 6 3 2 2" xfId="44116"/>
    <cellStyle name="Output 23 6 3 3" xfId="33512"/>
    <cellStyle name="Output 23 6 4" xfId="17817"/>
    <cellStyle name="Output 23 6 4 2" xfId="39004"/>
    <cellStyle name="Output 23 6 5" xfId="28149"/>
    <cellStyle name="Output 23 6_Table 2A-1_EFT (Annual)" xfId="7938"/>
    <cellStyle name="Output 23 7" xfId="3821"/>
    <cellStyle name="Output 23 7 2" xfId="12184"/>
    <cellStyle name="Output 23 7 2 2" xfId="24213"/>
    <cellStyle name="Output 23 7 2 2 2" xfId="45399"/>
    <cellStyle name="Output 23 7 2 3" xfId="34795"/>
    <cellStyle name="Output 23 7 3" xfId="19100"/>
    <cellStyle name="Output 23 7 3 2" xfId="40287"/>
    <cellStyle name="Output 23 7 4" xfId="29530"/>
    <cellStyle name="Output 23 7_Table 2A-1_EFT (Annual)" xfId="7940"/>
    <cellStyle name="Output 23 8" xfId="9503"/>
    <cellStyle name="Output 23 8 2" xfId="21667"/>
    <cellStyle name="Output 23 8 2 2" xfId="42853"/>
    <cellStyle name="Output 23 8 3" xfId="32249"/>
    <cellStyle name="Output 23 9" xfId="16554"/>
    <cellStyle name="Output 23 9 2" xfId="37741"/>
    <cellStyle name="Output 23_Table 2A-1_EFT (Annual)" xfId="3406"/>
    <cellStyle name="Output 24" xfId="183"/>
    <cellStyle name="Output 24 10" xfId="26738"/>
    <cellStyle name="Output 24 2" xfId="576"/>
    <cellStyle name="Output 24 2 2" xfId="1553"/>
    <cellStyle name="Output 24 2 2 2" xfId="2823"/>
    <cellStyle name="Output 24 2 2 2 2" xfId="6384"/>
    <cellStyle name="Output 24 2 2 2 2 2" xfId="14578"/>
    <cellStyle name="Output 24 2 2 2 2 2 2" xfId="26550"/>
    <cellStyle name="Output 24 2 2 2 2 2 2 2" xfId="47736"/>
    <cellStyle name="Output 24 2 2 2 2 2 3" xfId="37132"/>
    <cellStyle name="Output 24 2 2 2 2 3" xfId="21437"/>
    <cellStyle name="Output 24 2 2 2 2 3 2" xfId="42624"/>
    <cellStyle name="Output 24 2 2 2 2 4" xfId="32040"/>
    <cellStyle name="Output 24 2 2 2 2_Table 2A-1_EFT (Annual)" xfId="7942"/>
    <cellStyle name="Output 24 2 2 2 3" xfId="11920"/>
    <cellStyle name="Output 24 2 2 2 3 2" xfId="24004"/>
    <cellStyle name="Output 24 2 2 2 3 2 2" xfId="45190"/>
    <cellStyle name="Output 24 2 2 2 3 3" xfId="34586"/>
    <cellStyle name="Output 24 2 2 2 4" xfId="18891"/>
    <cellStyle name="Output 24 2 2 2 4 2" xfId="40078"/>
    <cellStyle name="Output 24 2 2 2 5" xfId="29297"/>
    <cellStyle name="Output 24 2 2 2_Table 2A-1_EFT (Annual)" xfId="7941"/>
    <cellStyle name="Output 24 2 2 3" xfId="1928"/>
    <cellStyle name="Output 24 2 2 3 2" xfId="5489"/>
    <cellStyle name="Output 24 2 2 3 2 2" xfId="13704"/>
    <cellStyle name="Output 24 2 2 3 2 2 2" xfId="25692"/>
    <cellStyle name="Output 24 2 2 3 2 2 2 2" xfId="46878"/>
    <cellStyle name="Output 24 2 2 3 2 2 3" xfId="36274"/>
    <cellStyle name="Output 24 2 2 3 2 3" xfId="20579"/>
    <cellStyle name="Output 24 2 2 3 2 3 2" xfId="41766"/>
    <cellStyle name="Output 24 2 2 3 2 4" xfId="31146"/>
    <cellStyle name="Output 24 2 2 3 2_Table 2A-1_EFT (Annual)" xfId="7944"/>
    <cellStyle name="Output 24 2 2 3 3" xfId="11048"/>
    <cellStyle name="Output 24 2 2 3 3 2" xfId="23146"/>
    <cellStyle name="Output 24 2 2 3 3 2 2" xfId="44332"/>
    <cellStyle name="Output 24 2 2 3 3 3" xfId="33728"/>
    <cellStyle name="Output 24 2 2 3 4" xfId="18033"/>
    <cellStyle name="Output 24 2 2 3 4 2" xfId="39220"/>
    <cellStyle name="Output 24 2 2 3 5" xfId="28403"/>
    <cellStyle name="Output 24 2 2 3_Table 2A-1_EFT (Annual)" xfId="7943"/>
    <cellStyle name="Output 24 2 2 4" xfId="5114"/>
    <cellStyle name="Output 24 2 2 4 2" xfId="13374"/>
    <cellStyle name="Output 24 2 2 4 2 2" xfId="25380"/>
    <cellStyle name="Output 24 2 2 4 2 2 2" xfId="46566"/>
    <cellStyle name="Output 24 2 2 4 2 3" xfId="35962"/>
    <cellStyle name="Output 24 2 2 4 3" xfId="20267"/>
    <cellStyle name="Output 24 2 2 4 3 2" xfId="41454"/>
    <cellStyle name="Output 24 2 2 4 4" xfId="30771"/>
    <cellStyle name="Output 24 2 2 4_Table 2A-1_EFT (Annual)" xfId="7945"/>
    <cellStyle name="Output 24 2 2 5" xfId="10718"/>
    <cellStyle name="Output 24 2 2 5 2" xfId="22834"/>
    <cellStyle name="Output 24 2 2 5 2 2" xfId="44020"/>
    <cellStyle name="Output 24 2 2 5 3" xfId="33416"/>
    <cellStyle name="Output 24 2 2 6" xfId="17721"/>
    <cellStyle name="Output 24 2 2 6 2" xfId="38908"/>
    <cellStyle name="Output 24 2 2 7" xfId="28028"/>
    <cellStyle name="Output 24 2 2_Table 2A-1_EFT (Annual)" xfId="3414"/>
    <cellStyle name="Output 24 2 3" xfId="2292"/>
    <cellStyle name="Output 24 2 3 2" xfId="5853"/>
    <cellStyle name="Output 24 2 3 2 2" xfId="14068"/>
    <cellStyle name="Output 24 2 3 2 2 2" xfId="26056"/>
    <cellStyle name="Output 24 2 3 2 2 2 2" xfId="47242"/>
    <cellStyle name="Output 24 2 3 2 2 3" xfId="36638"/>
    <cellStyle name="Output 24 2 3 2 3" xfId="20943"/>
    <cellStyle name="Output 24 2 3 2 3 2" xfId="42130"/>
    <cellStyle name="Output 24 2 3 2 4" xfId="31510"/>
    <cellStyle name="Output 24 2 3 2_Table 2A-1_EFT (Annual)" xfId="7947"/>
    <cellStyle name="Output 24 2 3 3" xfId="11412"/>
    <cellStyle name="Output 24 2 3 3 2" xfId="23510"/>
    <cellStyle name="Output 24 2 3 3 2 2" xfId="44696"/>
    <cellStyle name="Output 24 2 3 3 3" xfId="34092"/>
    <cellStyle name="Output 24 2 3 4" xfId="18397"/>
    <cellStyle name="Output 24 2 3 4 2" xfId="39584"/>
    <cellStyle name="Output 24 2 3 5" xfId="28767"/>
    <cellStyle name="Output 24 2 3_Table 2A-1_EFT (Annual)" xfId="7946"/>
    <cellStyle name="Output 24 2 4" xfId="1753"/>
    <cellStyle name="Output 24 2 4 2" xfId="5314"/>
    <cellStyle name="Output 24 2 4 2 2" xfId="13539"/>
    <cellStyle name="Output 24 2 4 2 2 2" xfId="25530"/>
    <cellStyle name="Output 24 2 4 2 2 2 2" xfId="46716"/>
    <cellStyle name="Output 24 2 4 2 2 3" xfId="36112"/>
    <cellStyle name="Output 24 2 4 2 3" xfId="20417"/>
    <cellStyle name="Output 24 2 4 2 3 2" xfId="41604"/>
    <cellStyle name="Output 24 2 4 2 4" xfId="30971"/>
    <cellStyle name="Output 24 2 4 2_Table 2A-1_EFT (Annual)" xfId="7949"/>
    <cellStyle name="Output 24 2 4 3" xfId="10882"/>
    <cellStyle name="Output 24 2 4 3 2" xfId="22984"/>
    <cellStyle name="Output 24 2 4 3 2 2" xfId="44170"/>
    <cellStyle name="Output 24 2 4 3 3" xfId="33566"/>
    <cellStyle name="Output 24 2 4 4" xfId="17871"/>
    <cellStyle name="Output 24 2 4 4 2" xfId="39058"/>
    <cellStyle name="Output 24 2 4 5" xfId="28228"/>
    <cellStyle name="Output 24 2 4_Table 2A-1_EFT (Annual)" xfId="7948"/>
    <cellStyle name="Output 24 2 5" xfId="4146"/>
    <cellStyle name="Output 24 2 5 2" xfId="12470"/>
    <cellStyle name="Output 24 2 5 2 2" xfId="24492"/>
    <cellStyle name="Output 24 2 5 2 2 2" xfId="45678"/>
    <cellStyle name="Output 24 2 5 2 3" xfId="35074"/>
    <cellStyle name="Output 24 2 5 3" xfId="19379"/>
    <cellStyle name="Output 24 2 5 3 2" xfId="40566"/>
    <cellStyle name="Output 24 2 5 4" xfId="29834"/>
    <cellStyle name="Output 24 2 5_Table 2A-1_EFT (Annual)" xfId="7950"/>
    <cellStyle name="Output 24 2 6" xfId="9809"/>
    <cellStyle name="Output 24 2 6 2" xfId="21946"/>
    <cellStyle name="Output 24 2 6 2 2" xfId="43132"/>
    <cellStyle name="Output 24 2 6 3" xfId="32528"/>
    <cellStyle name="Output 24 2 7" xfId="16833"/>
    <cellStyle name="Output 24 2 7 2" xfId="38020"/>
    <cellStyle name="Output 24 2 8" xfId="27091"/>
    <cellStyle name="Output 24 2_Table 2A-1_EFT (Annual)" xfId="3413"/>
    <cellStyle name="Output 24 3" xfId="414"/>
    <cellStyle name="Output 24 3 2" xfId="1397"/>
    <cellStyle name="Output 24 3 2 2" xfId="2667"/>
    <cellStyle name="Output 24 3 2 2 2" xfId="6228"/>
    <cellStyle name="Output 24 3 2 2 2 2" xfId="14422"/>
    <cellStyle name="Output 24 3 2 2 2 2 2" xfId="26394"/>
    <cellStyle name="Output 24 3 2 2 2 2 2 2" xfId="47580"/>
    <cellStyle name="Output 24 3 2 2 2 2 3" xfId="36976"/>
    <cellStyle name="Output 24 3 2 2 2 3" xfId="21281"/>
    <cellStyle name="Output 24 3 2 2 2 3 2" xfId="42468"/>
    <cellStyle name="Output 24 3 2 2 2 4" xfId="31884"/>
    <cellStyle name="Output 24 3 2 2 2_Table 2A-1_EFT (Annual)" xfId="7952"/>
    <cellStyle name="Output 24 3 2 2 3" xfId="11764"/>
    <cellStyle name="Output 24 3 2 2 3 2" xfId="23848"/>
    <cellStyle name="Output 24 3 2 2 3 2 2" xfId="45034"/>
    <cellStyle name="Output 24 3 2 2 3 3" xfId="34430"/>
    <cellStyle name="Output 24 3 2 2 4" xfId="18735"/>
    <cellStyle name="Output 24 3 2 2 4 2" xfId="39922"/>
    <cellStyle name="Output 24 3 2 2 5" xfId="29141"/>
    <cellStyle name="Output 24 3 2 2_Table 2A-1_EFT (Annual)" xfId="7951"/>
    <cellStyle name="Output 24 3 2 3" xfId="1897"/>
    <cellStyle name="Output 24 3 2 3 2" xfId="5458"/>
    <cellStyle name="Output 24 3 2 3 2 2" xfId="13673"/>
    <cellStyle name="Output 24 3 2 3 2 2 2" xfId="25661"/>
    <cellStyle name="Output 24 3 2 3 2 2 2 2" xfId="46847"/>
    <cellStyle name="Output 24 3 2 3 2 2 3" xfId="36243"/>
    <cellStyle name="Output 24 3 2 3 2 3" xfId="20548"/>
    <cellStyle name="Output 24 3 2 3 2 3 2" xfId="41735"/>
    <cellStyle name="Output 24 3 2 3 2 4" xfId="31115"/>
    <cellStyle name="Output 24 3 2 3 2_Table 2A-1_EFT (Annual)" xfId="7954"/>
    <cellStyle name="Output 24 3 2 3 3" xfId="11017"/>
    <cellStyle name="Output 24 3 2 3 3 2" xfId="23115"/>
    <cellStyle name="Output 24 3 2 3 3 2 2" xfId="44301"/>
    <cellStyle name="Output 24 3 2 3 3 3" xfId="33697"/>
    <cellStyle name="Output 24 3 2 3 4" xfId="18002"/>
    <cellStyle name="Output 24 3 2 3 4 2" xfId="39189"/>
    <cellStyle name="Output 24 3 2 3 5" xfId="28372"/>
    <cellStyle name="Output 24 3 2 3_Table 2A-1_EFT (Annual)" xfId="7953"/>
    <cellStyle name="Output 24 3 2 4" xfId="4958"/>
    <cellStyle name="Output 24 3 2 4 2" xfId="13218"/>
    <cellStyle name="Output 24 3 2 4 2 2" xfId="25224"/>
    <cellStyle name="Output 24 3 2 4 2 2 2" xfId="46410"/>
    <cellStyle name="Output 24 3 2 4 2 3" xfId="35806"/>
    <cellStyle name="Output 24 3 2 4 3" xfId="20111"/>
    <cellStyle name="Output 24 3 2 4 3 2" xfId="41298"/>
    <cellStyle name="Output 24 3 2 4 4" xfId="30615"/>
    <cellStyle name="Output 24 3 2 4_Table 2A-1_EFT (Annual)" xfId="7955"/>
    <cellStyle name="Output 24 3 2 5" xfId="10562"/>
    <cellStyle name="Output 24 3 2 5 2" xfId="22678"/>
    <cellStyle name="Output 24 3 2 5 2 2" xfId="43864"/>
    <cellStyle name="Output 24 3 2 5 3" xfId="33260"/>
    <cellStyle name="Output 24 3 2 6" xfId="17565"/>
    <cellStyle name="Output 24 3 2 6 2" xfId="38752"/>
    <cellStyle name="Output 24 3 2 7" xfId="27872"/>
    <cellStyle name="Output 24 3 2_Table 2A-1_EFT (Annual)" xfId="3416"/>
    <cellStyle name="Output 24 3 3" xfId="2136"/>
    <cellStyle name="Output 24 3 3 2" xfId="5697"/>
    <cellStyle name="Output 24 3 3 2 2" xfId="13912"/>
    <cellStyle name="Output 24 3 3 2 2 2" xfId="25900"/>
    <cellStyle name="Output 24 3 3 2 2 2 2" xfId="47086"/>
    <cellStyle name="Output 24 3 3 2 2 3" xfId="36482"/>
    <cellStyle name="Output 24 3 3 2 3" xfId="20787"/>
    <cellStyle name="Output 24 3 3 2 3 2" xfId="41974"/>
    <cellStyle name="Output 24 3 3 2 4" xfId="31354"/>
    <cellStyle name="Output 24 3 3 2_Table 2A-1_EFT (Annual)" xfId="7957"/>
    <cellStyle name="Output 24 3 3 3" xfId="11256"/>
    <cellStyle name="Output 24 3 3 3 2" xfId="23354"/>
    <cellStyle name="Output 24 3 3 3 2 2" xfId="44540"/>
    <cellStyle name="Output 24 3 3 3 3" xfId="33936"/>
    <cellStyle name="Output 24 3 3 4" xfId="18241"/>
    <cellStyle name="Output 24 3 3 4 2" xfId="39428"/>
    <cellStyle name="Output 24 3 3 5" xfId="28611"/>
    <cellStyle name="Output 24 3 3_Table 2A-1_EFT (Annual)" xfId="7956"/>
    <cellStyle name="Output 24 3 4" xfId="1717"/>
    <cellStyle name="Output 24 3 4 2" xfId="5278"/>
    <cellStyle name="Output 24 3 4 2 2" xfId="13507"/>
    <cellStyle name="Output 24 3 4 2 2 2" xfId="25500"/>
    <cellStyle name="Output 24 3 4 2 2 2 2" xfId="46686"/>
    <cellStyle name="Output 24 3 4 2 2 3" xfId="36082"/>
    <cellStyle name="Output 24 3 4 2 3" xfId="20387"/>
    <cellStyle name="Output 24 3 4 2 3 2" xfId="41574"/>
    <cellStyle name="Output 24 3 4 2 4" xfId="30935"/>
    <cellStyle name="Output 24 3 4 2_Table 2A-1_EFT (Annual)" xfId="7959"/>
    <cellStyle name="Output 24 3 4 3" xfId="10851"/>
    <cellStyle name="Output 24 3 4 3 2" xfId="22954"/>
    <cellStyle name="Output 24 3 4 3 2 2" xfId="44140"/>
    <cellStyle name="Output 24 3 4 3 3" xfId="33536"/>
    <cellStyle name="Output 24 3 4 4" xfId="17841"/>
    <cellStyle name="Output 24 3 4 4 2" xfId="39028"/>
    <cellStyle name="Output 24 3 4 5" xfId="28192"/>
    <cellStyle name="Output 24 3 4_Table 2A-1_EFT (Annual)" xfId="7958"/>
    <cellStyle name="Output 24 3 5" xfId="3984"/>
    <cellStyle name="Output 24 3 5 2" xfId="12312"/>
    <cellStyle name="Output 24 3 5 2 2" xfId="24336"/>
    <cellStyle name="Output 24 3 5 2 2 2" xfId="45522"/>
    <cellStyle name="Output 24 3 5 2 3" xfId="34918"/>
    <cellStyle name="Output 24 3 5 3" xfId="19223"/>
    <cellStyle name="Output 24 3 5 3 2" xfId="40410"/>
    <cellStyle name="Output 24 3 5 4" xfId="29672"/>
    <cellStyle name="Output 24 3 5_Table 2A-1_EFT (Annual)" xfId="7960"/>
    <cellStyle name="Output 24 3 6" xfId="9649"/>
    <cellStyle name="Output 24 3 6 2" xfId="21790"/>
    <cellStyle name="Output 24 3 6 2 2" xfId="42976"/>
    <cellStyle name="Output 24 3 6 3" xfId="32372"/>
    <cellStyle name="Output 24 3 7" xfId="16677"/>
    <cellStyle name="Output 24 3 7 2" xfId="37864"/>
    <cellStyle name="Output 24 3 8" xfId="26929"/>
    <cellStyle name="Output 24 3_Table 2A-1_EFT (Annual)" xfId="3415"/>
    <cellStyle name="Output 24 4" xfId="1231"/>
    <cellStyle name="Output 24 4 2" xfId="2501"/>
    <cellStyle name="Output 24 4 2 2" xfId="6062"/>
    <cellStyle name="Output 24 4 2 2 2" xfId="14256"/>
    <cellStyle name="Output 24 4 2 2 2 2" xfId="26228"/>
    <cellStyle name="Output 24 4 2 2 2 2 2" xfId="47414"/>
    <cellStyle name="Output 24 4 2 2 2 3" xfId="36810"/>
    <cellStyle name="Output 24 4 2 2 3" xfId="21115"/>
    <cellStyle name="Output 24 4 2 2 3 2" xfId="42302"/>
    <cellStyle name="Output 24 4 2 2 4" xfId="31718"/>
    <cellStyle name="Output 24 4 2 2_Table 2A-1_EFT (Annual)" xfId="7962"/>
    <cellStyle name="Output 24 4 2 3" xfId="11598"/>
    <cellStyle name="Output 24 4 2 3 2" xfId="23682"/>
    <cellStyle name="Output 24 4 2 3 2 2" xfId="44868"/>
    <cellStyle name="Output 24 4 2 3 3" xfId="34264"/>
    <cellStyle name="Output 24 4 2 4" xfId="18569"/>
    <cellStyle name="Output 24 4 2 4 2" xfId="39756"/>
    <cellStyle name="Output 24 4 2 5" xfId="28975"/>
    <cellStyle name="Output 24 4 2_Table 2A-1_EFT (Annual)" xfId="7961"/>
    <cellStyle name="Output 24 4 3" xfId="1833"/>
    <cellStyle name="Output 24 4 3 2" xfId="5394"/>
    <cellStyle name="Output 24 4 3 2 2" xfId="13609"/>
    <cellStyle name="Output 24 4 3 2 2 2" xfId="25597"/>
    <cellStyle name="Output 24 4 3 2 2 2 2" xfId="46783"/>
    <cellStyle name="Output 24 4 3 2 2 3" xfId="36179"/>
    <cellStyle name="Output 24 4 3 2 3" xfId="20484"/>
    <cellStyle name="Output 24 4 3 2 3 2" xfId="41671"/>
    <cellStyle name="Output 24 4 3 2 4" xfId="31051"/>
    <cellStyle name="Output 24 4 3 2_Table 2A-1_EFT (Annual)" xfId="7964"/>
    <cellStyle name="Output 24 4 3 3" xfId="10953"/>
    <cellStyle name="Output 24 4 3 3 2" xfId="23051"/>
    <cellStyle name="Output 24 4 3 3 2 2" xfId="44237"/>
    <cellStyle name="Output 24 4 3 3 3" xfId="33633"/>
    <cellStyle name="Output 24 4 3 4" xfId="17938"/>
    <cellStyle name="Output 24 4 3 4 2" xfId="39125"/>
    <cellStyle name="Output 24 4 3 5" xfId="28308"/>
    <cellStyle name="Output 24 4 3_Table 2A-1_EFT (Annual)" xfId="7963"/>
    <cellStyle name="Output 24 4 4" xfId="4792"/>
    <cellStyle name="Output 24 4 4 2" xfId="13052"/>
    <cellStyle name="Output 24 4 4 2 2" xfId="25058"/>
    <cellStyle name="Output 24 4 4 2 2 2" xfId="46244"/>
    <cellStyle name="Output 24 4 4 2 3" xfId="35640"/>
    <cellStyle name="Output 24 4 4 3" xfId="19945"/>
    <cellStyle name="Output 24 4 4 3 2" xfId="41132"/>
    <cellStyle name="Output 24 4 4 4" xfId="30449"/>
    <cellStyle name="Output 24 4 4_Table 2A-1_EFT (Annual)" xfId="7965"/>
    <cellStyle name="Output 24 4 5" xfId="10396"/>
    <cellStyle name="Output 24 4 5 2" xfId="22512"/>
    <cellStyle name="Output 24 4 5 2 2" xfId="43698"/>
    <cellStyle name="Output 24 4 5 3" xfId="33094"/>
    <cellStyle name="Output 24 4 6" xfId="17399"/>
    <cellStyle name="Output 24 4 6 2" xfId="38586"/>
    <cellStyle name="Output 24 4 7" xfId="27706"/>
    <cellStyle name="Output 24 4_Table 2A-1_EFT (Annual)" xfId="3417"/>
    <cellStyle name="Output 24 5" xfId="1970"/>
    <cellStyle name="Output 24 5 2" xfId="5531"/>
    <cellStyle name="Output 24 5 2 2" xfId="13746"/>
    <cellStyle name="Output 24 5 2 2 2" xfId="25734"/>
    <cellStyle name="Output 24 5 2 2 2 2" xfId="46920"/>
    <cellStyle name="Output 24 5 2 2 3" xfId="36316"/>
    <cellStyle name="Output 24 5 2 3" xfId="20621"/>
    <cellStyle name="Output 24 5 2 3 2" xfId="41808"/>
    <cellStyle name="Output 24 5 2 4" xfId="31188"/>
    <cellStyle name="Output 24 5 2_Table 2A-1_EFT (Annual)" xfId="7967"/>
    <cellStyle name="Output 24 5 3" xfId="11090"/>
    <cellStyle name="Output 24 5 3 2" xfId="23188"/>
    <cellStyle name="Output 24 5 3 2 2" xfId="44374"/>
    <cellStyle name="Output 24 5 3 3" xfId="33770"/>
    <cellStyle name="Output 24 5 4" xfId="18075"/>
    <cellStyle name="Output 24 5 4 2" xfId="39262"/>
    <cellStyle name="Output 24 5 5" xfId="28445"/>
    <cellStyle name="Output 24 5_Table 2A-1_EFT (Annual)" xfId="7966"/>
    <cellStyle name="Output 24 6" xfId="1660"/>
    <cellStyle name="Output 24 6 2" xfId="5221"/>
    <cellStyle name="Output 24 6 2 2" xfId="13468"/>
    <cellStyle name="Output 24 6 2 2 2" xfId="25468"/>
    <cellStyle name="Output 24 6 2 2 2 2" xfId="46654"/>
    <cellStyle name="Output 24 6 2 2 3" xfId="36050"/>
    <cellStyle name="Output 24 6 2 3" xfId="20355"/>
    <cellStyle name="Output 24 6 2 3 2" xfId="41542"/>
    <cellStyle name="Output 24 6 2 4" xfId="30878"/>
    <cellStyle name="Output 24 6 2_Table 2A-1_EFT (Annual)" xfId="7969"/>
    <cellStyle name="Output 24 6 3" xfId="10813"/>
    <cellStyle name="Output 24 6 3 2" xfId="22922"/>
    <cellStyle name="Output 24 6 3 2 2" xfId="44108"/>
    <cellStyle name="Output 24 6 3 3" xfId="33504"/>
    <cellStyle name="Output 24 6 4" xfId="17809"/>
    <cellStyle name="Output 24 6 4 2" xfId="38996"/>
    <cellStyle name="Output 24 6 5" xfId="28135"/>
    <cellStyle name="Output 24 6_Table 2A-1_EFT (Annual)" xfId="7968"/>
    <cellStyle name="Output 24 7" xfId="3772"/>
    <cellStyle name="Output 24 7 2" xfId="12140"/>
    <cellStyle name="Output 24 7 2 2" xfId="24170"/>
    <cellStyle name="Output 24 7 2 2 2" xfId="45356"/>
    <cellStyle name="Output 24 7 2 3" xfId="34752"/>
    <cellStyle name="Output 24 7 3" xfId="19057"/>
    <cellStyle name="Output 24 7 3 2" xfId="40244"/>
    <cellStyle name="Output 24 7 4" xfId="29481"/>
    <cellStyle name="Output 24 7_Table 2A-1_EFT (Annual)" xfId="7970"/>
    <cellStyle name="Output 24 8" xfId="9459"/>
    <cellStyle name="Output 24 8 2" xfId="21624"/>
    <cellStyle name="Output 24 8 2 2" xfId="42810"/>
    <cellStyle name="Output 24 8 3" xfId="32206"/>
    <cellStyle name="Output 24 9" xfId="16511"/>
    <cellStyle name="Output 24 9 2" xfId="37698"/>
    <cellStyle name="Output 24_Table 2A-1_EFT (Annual)" xfId="3412"/>
    <cellStyle name="Output 25" xfId="240"/>
    <cellStyle name="Output 25 10" xfId="26795"/>
    <cellStyle name="Output 25 2" xfId="627"/>
    <cellStyle name="Output 25 2 2" xfId="1604"/>
    <cellStyle name="Output 25 2 2 2" xfId="2874"/>
    <cellStyle name="Output 25 2 2 2 2" xfId="6435"/>
    <cellStyle name="Output 25 2 2 2 2 2" xfId="14629"/>
    <cellStyle name="Output 25 2 2 2 2 2 2" xfId="26601"/>
    <cellStyle name="Output 25 2 2 2 2 2 2 2" xfId="47787"/>
    <cellStyle name="Output 25 2 2 2 2 2 3" xfId="37183"/>
    <cellStyle name="Output 25 2 2 2 2 3" xfId="21488"/>
    <cellStyle name="Output 25 2 2 2 2 3 2" xfId="42675"/>
    <cellStyle name="Output 25 2 2 2 2 4" xfId="32091"/>
    <cellStyle name="Output 25 2 2 2 2_Table 2A-1_EFT (Annual)" xfId="7972"/>
    <cellStyle name="Output 25 2 2 2 3" xfId="11971"/>
    <cellStyle name="Output 25 2 2 2 3 2" xfId="24055"/>
    <cellStyle name="Output 25 2 2 2 3 2 2" xfId="45241"/>
    <cellStyle name="Output 25 2 2 2 3 3" xfId="34637"/>
    <cellStyle name="Output 25 2 2 2 4" xfId="18942"/>
    <cellStyle name="Output 25 2 2 2 4 2" xfId="40129"/>
    <cellStyle name="Output 25 2 2 2 5" xfId="29348"/>
    <cellStyle name="Output 25 2 2 2_Table 2A-1_EFT (Annual)" xfId="7971"/>
    <cellStyle name="Output 25 2 2 3" xfId="1938"/>
    <cellStyle name="Output 25 2 2 3 2" xfId="5499"/>
    <cellStyle name="Output 25 2 2 3 2 2" xfId="13714"/>
    <cellStyle name="Output 25 2 2 3 2 2 2" xfId="25702"/>
    <cellStyle name="Output 25 2 2 3 2 2 2 2" xfId="46888"/>
    <cellStyle name="Output 25 2 2 3 2 2 3" xfId="36284"/>
    <cellStyle name="Output 25 2 2 3 2 3" xfId="20589"/>
    <cellStyle name="Output 25 2 2 3 2 3 2" xfId="41776"/>
    <cellStyle name="Output 25 2 2 3 2 4" xfId="31156"/>
    <cellStyle name="Output 25 2 2 3 2_Table 2A-1_EFT (Annual)" xfId="7974"/>
    <cellStyle name="Output 25 2 2 3 3" xfId="11058"/>
    <cellStyle name="Output 25 2 2 3 3 2" xfId="23156"/>
    <cellStyle name="Output 25 2 2 3 3 2 2" xfId="44342"/>
    <cellStyle name="Output 25 2 2 3 3 3" xfId="33738"/>
    <cellStyle name="Output 25 2 2 3 4" xfId="18043"/>
    <cellStyle name="Output 25 2 2 3 4 2" xfId="39230"/>
    <cellStyle name="Output 25 2 2 3 5" xfId="28413"/>
    <cellStyle name="Output 25 2 2 3_Table 2A-1_EFT (Annual)" xfId="7973"/>
    <cellStyle name="Output 25 2 2 4" xfId="5165"/>
    <cellStyle name="Output 25 2 2 4 2" xfId="13425"/>
    <cellStyle name="Output 25 2 2 4 2 2" xfId="25431"/>
    <cellStyle name="Output 25 2 2 4 2 2 2" xfId="46617"/>
    <cellStyle name="Output 25 2 2 4 2 3" xfId="36013"/>
    <cellStyle name="Output 25 2 2 4 3" xfId="20318"/>
    <cellStyle name="Output 25 2 2 4 3 2" xfId="41505"/>
    <cellStyle name="Output 25 2 2 4 4" xfId="30822"/>
    <cellStyle name="Output 25 2 2 4_Table 2A-1_EFT (Annual)" xfId="7975"/>
    <cellStyle name="Output 25 2 2 5" xfId="10769"/>
    <cellStyle name="Output 25 2 2 5 2" xfId="22885"/>
    <cellStyle name="Output 25 2 2 5 2 2" xfId="44071"/>
    <cellStyle name="Output 25 2 2 5 3" xfId="33467"/>
    <cellStyle name="Output 25 2 2 6" xfId="17772"/>
    <cellStyle name="Output 25 2 2 6 2" xfId="38959"/>
    <cellStyle name="Output 25 2 2 7" xfId="28079"/>
    <cellStyle name="Output 25 2 2_Table 2A-1_EFT (Annual)" xfId="3420"/>
    <cellStyle name="Output 25 2 3" xfId="2343"/>
    <cellStyle name="Output 25 2 3 2" xfId="5904"/>
    <cellStyle name="Output 25 2 3 2 2" xfId="14119"/>
    <cellStyle name="Output 25 2 3 2 2 2" xfId="26107"/>
    <cellStyle name="Output 25 2 3 2 2 2 2" xfId="47293"/>
    <cellStyle name="Output 25 2 3 2 2 3" xfId="36689"/>
    <cellStyle name="Output 25 2 3 2 3" xfId="20994"/>
    <cellStyle name="Output 25 2 3 2 3 2" xfId="42181"/>
    <cellStyle name="Output 25 2 3 2 4" xfId="31561"/>
    <cellStyle name="Output 25 2 3 2_Table 2A-1_EFT (Annual)" xfId="7977"/>
    <cellStyle name="Output 25 2 3 3" xfId="11463"/>
    <cellStyle name="Output 25 2 3 3 2" xfId="23561"/>
    <cellStyle name="Output 25 2 3 3 2 2" xfId="44747"/>
    <cellStyle name="Output 25 2 3 3 3" xfId="34143"/>
    <cellStyle name="Output 25 2 3 4" xfId="18448"/>
    <cellStyle name="Output 25 2 3 4 2" xfId="39635"/>
    <cellStyle name="Output 25 2 3 5" xfId="28818"/>
    <cellStyle name="Output 25 2 3_Table 2A-1_EFT (Annual)" xfId="7976"/>
    <cellStyle name="Output 25 2 4" xfId="1763"/>
    <cellStyle name="Output 25 2 4 2" xfId="5324"/>
    <cellStyle name="Output 25 2 4 2 2" xfId="13549"/>
    <cellStyle name="Output 25 2 4 2 2 2" xfId="25540"/>
    <cellStyle name="Output 25 2 4 2 2 2 2" xfId="46726"/>
    <cellStyle name="Output 25 2 4 2 2 3" xfId="36122"/>
    <cellStyle name="Output 25 2 4 2 3" xfId="20427"/>
    <cellStyle name="Output 25 2 4 2 3 2" xfId="41614"/>
    <cellStyle name="Output 25 2 4 2 4" xfId="30981"/>
    <cellStyle name="Output 25 2 4 2_Table 2A-1_EFT (Annual)" xfId="7979"/>
    <cellStyle name="Output 25 2 4 3" xfId="10892"/>
    <cellStyle name="Output 25 2 4 3 2" xfId="22994"/>
    <cellStyle name="Output 25 2 4 3 2 2" xfId="44180"/>
    <cellStyle name="Output 25 2 4 3 3" xfId="33576"/>
    <cellStyle name="Output 25 2 4 4" xfId="17881"/>
    <cellStyle name="Output 25 2 4 4 2" xfId="39068"/>
    <cellStyle name="Output 25 2 4 5" xfId="28238"/>
    <cellStyle name="Output 25 2 4_Table 2A-1_EFT (Annual)" xfId="7978"/>
    <cellStyle name="Output 25 2 5" xfId="4197"/>
    <cellStyle name="Output 25 2 5 2" xfId="12521"/>
    <cellStyle name="Output 25 2 5 2 2" xfId="24543"/>
    <cellStyle name="Output 25 2 5 2 2 2" xfId="45729"/>
    <cellStyle name="Output 25 2 5 2 3" xfId="35125"/>
    <cellStyle name="Output 25 2 5 3" xfId="19430"/>
    <cellStyle name="Output 25 2 5 3 2" xfId="40617"/>
    <cellStyle name="Output 25 2 5 4" xfId="29885"/>
    <cellStyle name="Output 25 2 5_Table 2A-1_EFT (Annual)" xfId="7980"/>
    <cellStyle name="Output 25 2 6" xfId="9860"/>
    <cellStyle name="Output 25 2 6 2" xfId="21997"/>
    <cellStyle name="Output 25 2 6 2 2" xfId="43183"/>
    <cellStyle name="Output 25 2 6 3" xfId="32579"/>
    <cellStyle name="Output 25 2 7" xfId="16884"/>
    <cellStyle name="Output 25 2 7 2" xfId="38071"/>
    <cellStyle name="Output 25 2 8" xfId="27142"/>
    <cellStyle name="Output 25 2_Table 2A-1_EFT (Annual)" xfId="3419"/>
    <cellStyle name="Output 25 3" xfId="466"/>
    <cellStyle name="Output 25 3 2" xfId="1443"/>
    <cellStyle name="Output 25 3 2 2" xfId="2713"/>
    <cellStyle name="Output 25 3 2 2 2" xfId="6274"/>
    <cellStyle name="Output 25 3 2 2 2 2" xfId="14468"/>
    <cellStyle name="Output 25 3 2 2 2 2 2" xfId="26440"/>
    <cellStyle name="Output 25 3 2 2 2 2 2 2" xfId="47626"/>
    <cellStyle name="Output 25 3 2 2 2 2 3" xfId="37022"/>
    <cellStyle name="Output 25 3 2 2 2 3" xfId="21327"/>
    <cellStyle name="Output 25 3 2 2 2 3 2" xfId="42514"/>
    <cellStyle name="Output 25 3 2 2 2 4" xfId="31930"/>
    <cellStyle name="Output 25 3 2 2 2_Table 2A-1_EFT (Annual)" xfId="7982"/>
    <cellStyle name="Output 25 3 2 2 3" xfId="11810"/>
    <cellStyle name="Output 25 3 2 2 3 2" xfId="23894"/>
    <cellStyle name="Output 25 3 2 2 3 2 2" xfId="45080"/>
    <cellStyle name="Output 25 3 2 2 3 3" xfId="34476"/>
    <cellStyle name="Output 25 3 2 2 4" xfId="18781"/>
    <cellStyle name="Output 25 3 2 2 4 2" xfId="39968"/>
    <cellStyle name="Output 25 3 2 2 5" xfId="29187"/>
    <cellStyle name="Output 25 3 2 2_Table 2A-1_EFT (Annual)" xfId="7981"/>
    <cellStyle name="Output 25 3 2 3" xfId="1907"/>
    <cellStyle name="Output 25 3 2 3 2" xfId="5468"/>
    <cellStyle name="Output 25 3 2 3 2 2" xfId="13683"/>
    <cellStyle name="Output 25 3 2 3 2 2 2" xfId="25671"/>
    <cellStyle name="Output 25 3 2 3 2 2 2 2" xfId="46857"/>
    <cellStyle name="Output 25 3 2 3 2 2 3" xfId="36253"/>
    <cellStyle name="Output 25 3 2 3 2 3" xfId="20558"/>
    <cellStyle name="Output 25 3 2 3 2 3 2" xfId="41745"/>
    <cellStyle name="Output 25 3 2 3 2 4" xfId="31125"/>
    <cellStyle name="Output 25 3 2 3 2_Table 2A-1_EFT (Annual)" xfId="7984"/>
    <cellStyle name="Output 25 3 2 3 3" xfId="11027"/>
    <cellStyle name="Output 25 3 2 3 3 2" xfId="23125"/>
    <cellStyle name="Output 25 3 2 3 3 2 2" xfId="44311"/>
    <cellStyle name="Output 25 3 2 3 3 3" xfId="33707"/>
    <cellStyle name="Output 25 3 2 3 4" xfId="18012"/>
    <cellStyle name="Output 25 3 2 3 4 2" xfId="39199"/>
    <cellStyle name="Output 25 3 2 3 5" xfId="28382"/>
    <cellStyle name="Output 25 3 2 3_Table 2A-1_EFT (Annual)" xfId="7983"/>
    <cellStyle name="Output 25 3 2 4" xfId="5004"/>
    <cellStyle name="Output 25 3 2 4 2" xfId="13264"/>
    <cellStyle name="Output 25 3 2 4 2 2" xfId="25270"/>
    <cellStyle name="Output 25 3 2 4 2 2 2" xfId="46456"/>
    <cellStyle name="Output 25 3 2 4 2 3" xfId="35852"/>
    <cellStyle name="Output 25 3 2 4 3" xfId="20157"/>
    <cellStyle name="Output 25 3 2 4 3 2" xfId="41344"/>
    <cellStyle name="Output 25 3 2 4 4" xfId="30661"/>
    <cellStyle name="Output 25 3 2 4_Table 2A-1_EFT (Annual)" xfId="7985"/>
    <cellStyle name="Output 25 3 2 5" xfId="10608"/>
    <cellStyle name="Output 25 3 2 5 2" xfId="22724"/>
    <cellStyle name="Output 25 3 2 5 2 2" xfId="43910"/>
    <cellStyle name="Output 25 3 2 5 3" xfId="33306"/>
    <cellStyle name="Output 25 3 2 6" xfId="17611"/>
    <cellStyle name="Output 25 3 2 6 2" xfId="38798"/>
    <cellStyle name="Output 25 3 2 7" xfId="27918"/>
    <cellStyle name="Output 25 3 2_Table 2A-1_EFT (Annual)" xfId="3422"/>
    <cellStyle name="Output 25 3 3" xfId="2182"/>
    <cellStyle name="Output 25 3 3 2" xfId="5743"/>
    <cellStyle name="Output 25 3 3 2 2" xfId="13958"/>
    <cellStyle name="Output 25 3 3 2 2 2" xfId="25946"/>
    <cellStyle name="Output 25 3 3 2 2 2 2" xfId="47132"/>
    <cellStyle name="Output 25 3 3 2 2 3" xfId="36528"/>
    <cellStyle name="Output 25 3 3 2 3" xfId="20833"/>
    <cellStyle name="Output 25 3 3 2 3 2" xfId="42020"/>
    <cellStyle name="Output 25 3 3 2 4" xfId="31400"/>
    <cellStyle name="Output 25 3 3 2_Table 2A-1_EFT (Annual)" xfId="7987"/>
    <cellStyle name="Output 25 3 3 3" xfId="11302"/>
    <cellStyle name="Output 25 3 3 3 2" xfId="23400"/>
    <cellStyle name="Output 25 3 3 3 2 2" xfId="44586"/>
    <cellStyle name="Output 25 3 3 3 3" xfId="33982"/>
    <cellStyle name="Output 25 3 3 4" xfId="18287"/>
    <cellStyle name="Output 25 3 3 4 2" xfId="39474"/>
    <cellStyle name="Output 25 3 3 5" xfId="28657"/>
    <cellStyle name="Output 25 3 3_Table 2A-1_EFT (Annual)" xfId="7986"/>
    <cellStyle name="Output 25 3 4" xfId="1732"/>
    <cellStyle name="Output 25 3 4 2" xfId="5293"/>
    <cellStyle name="Output 25 3 4 2 2" xfId="13518"/>
    <cellStyle name="Output 25 3 4 2 2 2" xfId="25509"/>
    <cellStyle name="Output 25 3 4 2 2 2 2" xfId="46695"/>
    <cellStyle name="Output 25 3 4 2 2 3" xfId="36091"/>
    <cellStyle name="Output 25 3 4 2 3" xfId="20396"/>
    <cellStyle name="Output 25 3 4 2 3 2" xfId="41583"/>
    <cellStyle name="Output 25 3 4 2 4" xfId="30950"/>
    <cellStyle name="Output 25 3 4 2_Table 2A-1_EFT (Annual)" xfId="7989"/>
    <cellStyle name="Output 25 3 4 3" xfId="10861"/>
    <cellStyle name="Output 25 3 4 3 2" xfId="22963"/>
    <cellStyle name="Output 25 3 4 3 2 2" xfId="44149"/>
    <cellStyle name="Output 25 3 4 3 3" xfId="33545"/>
    <cellStyle name="Output 25 3 4 4" xfId="17850"/>
    <cellStyle name="Output 25 3 4 4 2" xfId="39037"/>
    <cellStyle name="Output 25 3 4 5" xfId="28207"/>
    <cellStyle name="Output 25 3 4_Table 2A-1_EFT (Annual)" xfId="7988"/>
    <cellStyle name="Output 25 3 5" xfId="4036"/>
    <cellStyle name="Output 25 3 5 2" xfId="12360"/>
    <cellStyle name="Output 25 3 5 2 2" xfId="24382"/>
    <cellStyle name="Output 25 3 5 2 2 2" xfId="45568"/>
    <cellStyle name="Output 25 3 5 2 3" xfId="34964"/>
    <cellStyle name="Output 25 3 5 3" xfId="19269"/>
    <cellStyle name="Output 25 3 5 3 2" xfId="40456"/>
    <cellStyle name="Output 25 3 5 4" xfId="29724"/>
    <cellStyle name="Output 25 3 5_Table 2A-1_EFT (Annual)" xfId="7990"/>
    <cellStyle name="Output 25 3 6" xfId="9699"/>
    <cellStyle name="Output 25 3 6 2" xfId="21836"/>
    <cellStyle name="Output 25 3 6 2 2" xfId="43022"/>
    <cellStyle name="Output 25 3 6 3" xfId="32418"/>
    <cellStyle name="Output 25 3 7" xfId="16723"/>
    <cellStyle name="Output 25 3 7 2" xfId="37910"/>
    <cellStyle name="Output 25 3 8" xfId="26981"/>
    <cellStyle name="Output 25 3_Table 2A-1_EFT (Annual)" xfId="3421"/>
    <cellStyle name="Output 25 4" xfId="1282"/>
    <cellStyle name="Output 25 4 2" xfId="2552"/>
    <cellStyle name="Output 25 4 2 2" xfId="6113"/>
    <cellStyle name="Output 25 4 2 2 2" xfId="14307"/>
    <cellStyle name="Output 25 4 2 2 2 2" xfId="26279"/>
    <cellStyle name="Output 25 4 2 2 2 2 2" xfId="47465"/>
    <cellStyle name="Output 25 4 2 2 2 3" xfId="36861"/>
    <cellStyle name="Output 25 4 2 2 3" xfId="21166"/>
    <cellStyle name="Output 25 4 2 2 3 2" xfId="42353"/>
    <cellStyle name="Output 25 4 2 2 4" xfId="31769"/>
    <cellStyle name="Output 25 4 2 2_Table 2A-1_EFT (Annual)" xfId="7992"/>
    <cellStyle name="Output 25 4 2 3" xfId="11649"/>
    <cellStyle name="Output 25 4 2 3 2" xfId="23733"/>
    <cellStyle name="Output 25 4 2 3 2 2" xfId="44919"/>
    <cellStyle name="Output 25 4 2 3 3" xfId="34315"/>
    <cellStyle name="Output 25 4 2 4" xfId="18620"/>
    <cellStyle name="Output 25 4 2 4 2" xfId="39807"/>
    <cellStyle name="Output 25 4 2 5" xfId="29026"/>
    <cellStyle name="Output 25 4 2_Table 2A-1_EFT (Annual)" xfId="7991"/>
    <cellStyle name="Output 25 4 3" xfId="1844"/>
    <cellStyle name="Output 25 4 3 2" xfId="5405"/>
    <cellStyle name="Output 25 4 3 2 2" xfId="13620"/>
    <cellStyle name="Output 25 4 3 2 2 2" xfId="25608"/>
    <cellStyle name="Output 25 4 3 2 2 2 2" xfId="46794"/>
    <cellStyle name="Output 25 4 3 2 2 3" xfId="36190"/>
    <cellStyle name="Output 25 4 3 2 3" xfId="20495"/>
    <cellStyle name="Output 25 4 3 2 3 2" xfId="41682"/>
    <cellStyle name="Output 25 4 3 2 4" xfId="31062"/>
    <cellStyle name="Output 25 4 3 2_Table 2A-1_EFT (Annual)" xfId="7994"/>
    <cellStyle name="Output 25 4 3 3" xfId="10964"/>
    <cellStyle name="Output 25 4 3 3 2" xfId="23062"/>
    <cellStyle name="Output 25 4 3 3 2 2" xfId="44248"/>
    <cellStyle name="Output 25 4 3 3 3" xfId="33644"/>
    <cellStyle name="Output 25 4 3 4" xfId="17949"/>
    <cellStyle name="Output 25 4 3 4 2" xfId="39136"/>
    <cellStyle name="Output 25 4 3 5" xfId="28319"/>
    <cellStyle name="Output 25 4 3_Table 2A-1_EFT (Annual)" xfId="7993"/>
    <cellStyle name="Output 25 4 4" xfId="4843"/>
    <cellStyle name="Output 25 4 4 2" xfId="13103"/>
    <cellStyle name="Output 25 4 4 2 2" xfId="25109"/>
    <cellStyle name="Output 25 4 4 2 2 2" xfId="46295"/>
    <cellStyle name="Output 25 4 4 2 3" xfId="35691"/>
    <cellStyle name="Output 25 4 4 3" xfId="19996"/>
    <cellStyle name="Output 25 4 4 3 2" xfId="41183"/>
    <cellStyle name="Output 25 4 4 4" xfId="30500"/>
    <cellStyle name="Output 25 4 4_Table 2A-1_EFT (Annual)" xfId="7995"/>
    <cellStyle name="Output 25 4 5" xfId="10447"/>
    <cellStyle name="Output 25 4 5 2" xfId="22563"/>
    <cellStyle name="Output 25 4 5 2 2" xfId="43749"/>
    <cellStyle name="Output 25 4 5 3" xfId="33145"/>
    <cellStyle name="Output 25 4 6" xfId="17450"/>
    <cellStyle name="Output 25 4 6 2" xfId="38637"/>
    <cellStyle name="Output 25 4 7" xfId="27757"/>
    <cellStyle name="Output 25 4_Table 2A-1_EFT (Annual)" xfId="3423"/>
    <cellStyle name="Output 25 5" xfId="2021"/>
    <cellStyle name="Output 25 5 2" xfId="5582"/>
    <cellStyle name="Output 25 5 2 2" xfId="13797"/>
    <cellStyle name="Output 25 5 2 2 2" xfId="25785"/>
    <cellStyle name="Output 25 5 2 2 2 2" xfId="46971"/>
    <cellStyle name="Output 25 5 2 2 3" xfId="36367"/>
    <cellStyle name="Output 25 5 2 3" xfId="20672"/>
    <cellStyle name="Output 25 5 2 3 2" xfId="41859"/>
    <cellStyle name="Output 25 5 2 4" xfId="31239"/>
    <cellStyle name="Output 25 5 2_Table 2A-1_EFT (Annual)" xfId="7997"/>
    <cellStyle name="Output 25 5 3" xfId="11141"/>
    <cellStyle name="Output 25 5 3 2" xfId="23239"/>
    <cellStyle name="Output 25 5 3 2 2" xfId="44425"/>
    <cellStyle name="Output 25 5 3 3" xfId="33821"/>
    <cellStyle name="Output 25 5 4" xfId="18126"/>
    <cellStyle name="Output 25 5 4 2" xfId="39313"/>
    <cellStyle name="Output 25 5 5" xfId="28496"/>
    <cellStyle name="Output 25 5_Table 2A-1_EFT (Annual)" xfId="7996"/>
    <cellStyle name="Output 25 6" xfId="1676"/>
    <cellStyle name="Output 25 6 2" xfId="5237"/>
    <cellStyle name="Output 25 6 2 2" xfId="13480"/>
    <cellStyle name="Output 25 6 2 2 2" xfId="25478"/>
    <cellStyle name="Output 25 6 2 2 2 2" xfId="46664"/>
    <cellStyle name="Output 25 6 2 2 3" xfId="36060"/>
    <cellStyle name="Output 25 6 2 3" xfId="20365"/>
    <cellStyle name="Output 25 6 2 3 2" xfId="41552"/>
    <cellStyle name="Output 25 6 2 4" xfId="30894"/>
    <cellStyle name="Output 25 6 2_Table 2A-1_EFT (Annual)" xfId="7999"/>
    <cellStyle name="Output 25 6 3" xfId="10825"/>
    <cellStyle name="Output 25 6 3 2" xfId="22932"/>
    <cellStyle name="Output 25 6 3 2 2" xfId="44118"/>
    <cellStyle name="Output 25 6 3 3" xfId="33514"/>
    <cellStyle name="Output 25 6 4" xfId="17819"/>
    <cellStyle name="Output 25 6 4 2" xfId="39006"/>
    <cellStyle name="Output 25 6 5" xfId="28151"/>
    <cellStyle name="Output 25 6_Table 2A-1_EFT (Annual)" xfId="7998"/>
    <cellStyle name="Output 25 7" xfId="3829"/>
    <cellStyle name="Output 25 7 2" xfId="12192"/>
    <cellStyle name="Output 25 7 2 2" xfId="24221"/>
    <cellStyle name="Output 25 7 2 2 2" xfId="45407"/>
    <cellStyle name="Output 25 7 2 3" xfId="34803"/>
    <cellStyle name="Output 25 7 3" xfId="19108"/>
    <cellStyle name="Output 25 7 3 2" xfId="40295"/>
    <cellStyle name="Output 25 7 4" xfId="29538"/>
    <cellStyle name="Output 25 7_Table 2A-1_EFT (Annual)" xfId="8000"/>
    <cellStyle name="Output 25 8" xfId="9511"/>
    <cellStyle name="Output 25 8 2" xfId="21675"/>
    <cellStyle name="Output 25 8 2 2" xfId="42861"/>
    <cellStyle name="Output 25 8 3" xfId="32257"/>
    <cellStyle name="Output 25 9" xfId="16562"/>
    <cellStyle name="Output 25 9 2" xfId="37749"/>
    <cellStyle name="Output 25_Table 2A-1_EFT (Annual)" xfId="3418"/>
    <cellStyle name="Output 26" xfId="196"/>
    <cellStyle name="Output 26 10" xfId="26751"/>
    <cellStyle name="Output 26 2" xfId="589"/>
    <cellStyle name="Output 26 2 2" xfId="1566"/>
    <cellStyle name="Output 26 2 2 2" xfId="2836"/>
    <cellStyle name="Output 26 2 2 2 2" xfId="6397"/>
    <cellStyle name="Output 26 2 2 2 2 2" xfId="14591"/>
    <cellStyle name="Output 26 2 2 2 2 2 2" xfId="26563"/>
    <cellStyle name="Output 26 2 2 2 2 2 2 2" xfId="47749"/>
    <cellStyle name="Output 26 2 2 2 2 2 3" xfId="37145"/>
    <cellStyle name="Output 26 2 2 2 2 3" xfId="21450"/>
    <cellStyle name="Output 26 2 2 2 2 3 2" xfId="42637"/>
    <cellStyle name="Output 26 2 2 2 2 4" xfId="32053"/>
    <cellStyle name="Output 26 2 2 2 2_Table 2A-1_EFT (Annual)" xfId="8002"/>
    <cellStyle name="Output 26 2 2 2 3" xfId="11933"/>
    <cellStyle name="Output 26 2 2 2 3 2" xfId="24017"/>
    <cellStyle name="Output 26 2 2 2 3 2 2" xfId="45203"/>
    <cellStyle name="Output 26 2 2 2 3 3" xfId="34599"/>
    <cellStyle name="Output 26 2 2 2 4" xfId="18904"/>
    <cellStyle name="Output 26 2 2 2 4 2" xfId="40091"/>
    <cellStyle name="Output 26 2 2 2 5" xfId="29310"/>
    <cellStyle name="Output 26 2 2 2_Table 2A-1_EFT (Annual)" xfId="8001"/>
    <cellStyle name="Output 26 2 2 3" xfId="1930"/>
    <cellStyle name="Output 26 2 2 3 2" xfId="5491"/>
    <cellStyle name="Output 26 2 2 3 2 2" xfId="13706"/>
    <cellStyle name="Output 26 2 2 3 2 2 2" xfId="25694"/>
    <cellStyle name="Output 26 2 2 3 2 2 2 2" xfId="46880"/>
    <cellStyle name="Output 26 2 2 3 2 2 3" xfId="36276"/>
    <cellStyle name="Output 26 2 2 3 2 3" xfId="20581"/>
    <cellStyle name="Output 26 2 2 3 2 3 2" xfId="41768"/>
    <cellStyle name="Output 26 2 2 3 2 4" xfId="31148"/>
    <cellStyle name="Output 26 2 2 3 2_Table 2A-1_EFT (Annual)" xfId="8004"/>
    <cellStyle name="Output 26 2 2 3 3" xfId="11050"/>
    <cellStyle name="Output 26 2 2 3 3 2" xfId="23148"/>
    <cellStyle name="Output 26 2 2 3 3 2 2" xfId="44334"/>
    <cellStyle name="Output 26 2 2 3 3 3" xfId="33730"/>
    <cellStyle name="Output 26 2 2 3 4" xfId="18035"/>
    <cellStyle name="Output 26 2 2 3 4 2" xfId="39222"/>
    <cellStyle name="Output 26 2 2 3 5" xfId="28405"/>
    <cellStyle name="Output 26 2 2 3_Table 2A-1_EFT (Annual)" xfId="8003"/>
    <cellStyle name="Output 26 2 2 4" xfId="5127"/>
    <cellStyle name="Output 26 2 2 4 2" xfId="13387"/>
    <cellStyle name="Output 26 2 2 4 2 2" xfId="25393"/>
    <cellStyle name="Output 26 2 2 4 2 2 2" xfId="46579"/>
    <cellStyle name="Output 26 2 2 4 2 3" xfId="35975"/>
    <cellStyle name="Output 26 2 2 4 3" xfId="20280"/>
    <cellStyle name="Output 26 2 2 4 3 2" xfId="41467"/>
    <cellStyle name="Output 26 2 2 4 4" xfId="30784"/>
    <cellStyle name="Output 26 2 2 4_Table 2A-1_EFT (Annual)" xfId="8005"/>
    <cellStyle name="Output 26 2 2 5" xfId="10731"/>
    <cellStyle name="Output 26 2 2 5 2" xfId="22847"/>
    <cellStyle name="Output 26 2 2 5 2 2" xfId="44033"/>
    <cellStyle name="Output 26 2 2 5 3" xfId="33429"/>
    <cellStyle name="Output 26 2 2 6" xfId="17734"/>
    <cellStyle name="Output 26 2 2 6 2" xfId="38921"/>
    <cellStyle name="Output 26 2 2 7" xfId="28041"/>
    <cellStyle name="Output 26 2 2_Table 2A-1_EFT (Annual)" xfId="3426"/>
    <cellStyle name="Output 26 2 3" xfId="2305"/>
    <cellStyle name="Output 26 2 3 2" xfId="5866"/>
    <cellStyle name="Output 26 2 3 2 2" xfId="14081"/>
    <cellStyle name="Output 26 2 3 2 2 2" xfId="26069"/>
    <cellStyle name="Output 26 2 3 2 2 2 2" xfId="47255"/>
    <cellStyle name="Output 26 2 3 2 2 3" xfId="36651"/>
    <cellStyle name="Output 26 2 3 2 3" xfId="20956"/>
    <cellStyle name="Output 26 2 3 2 3 2" xfId="42143"/>
    <cellStyle name="Output 26 2 3 2 4" xfId="31523"/>
    <cellStyle name="Output 26 2 3 2_Table 2A-1_EFT (Annual)" xfId="8007"/>
    <cellStyle name="Output 26 2 3 3" xfId="11425"/>
    <cellStyle name="Output 26 2 3 3 2" xfId="23523"/>
    <cellStyle name="Output 26 2 3 3 2 2" xfId="44709"/>
    <cellStyle name="Output 26 2 3 3 3" xfId="34105"/>
    <cellStyle name="Output 26 2 3 4" xfId="18410"/>
    <cellStyle name="Output 26 2 3 4 2" xfId="39597"/>
    <cellStyle name="Output 26 2 3 5" xfId="28780"/>
    <cellStyle name="Output 26 2 3_Table 2A-1_EFT (Annual)" xfId="8006"/>
    <cellStyle name="Output 26 2 4" xfId="1755"/>
    <cellStyle name="Output 26 2 4 2" xfId="5316"/>
    <cellStyle name="Output 26 2 4 2 2" xfId="13541"/>
    <cellStyle name="Output 26 2 4 2 2 2" xfId="25532"/>
    <cellStyle name="Output 26 2 4 2 2 2 2" xfId="46718"/>
    <cellStyle name="Output 26 2 4 2 2 3" xfId="36114"/>
    <cellStyle name="Output 26 2 4 2 3" xfId="20419"/>
    <cellStyle name="Output 26 2 4 2 3 2" xfId="41606"/>
    <cellStyle name="Output 26 2 4 2 4" xfId="30973"/>
    <cellStyle name="Output 26 2 4 2_Table 2A-1_EFT (Annual)" xfId="8009"/>
    <cellStyle name="Output 26 2 4 3" xfId="10884"/>
    <cellStyle name="Output 26 2 4 3 2" xfId="22986"/>
    <cellStyle name="Output 26 2 4 3 2 2" xfId="44172"/>
    <cellStyle name="Output 26 2 4 3 3" xfId="33568"/>
    <cellStyle name="Output 26 2 4 4" xfId="17873"/>
    <cellStyle name="Output 26 2 4 4 2" xfId="39060"/>
    <cellStyle name="Output 26 2 4 5" xfId="28230"/>
    <cellStyle name="Output 26 2 4_Table 2A-1_EFT (Annual)" xfId="8008"/>
    <cellStyle name="Output 26 2 5" xfId="4159"/>
    <cellStyle name="Output 26 2 5 2" xfId="12483"/>
    <cellStyle name="Output 26 2 5 2 2" xfId="24505"/>
    <cellStyle name="Output 26 2 5 2 2 2" xfId="45691"/>
    <cellStyle name="Output 26 2 5 2 3" xfId="35087"/>
    <cellStyle name="Output 26 2 5 3" xfId="19392"/>
    <cellStyle name="Output 26 2 5 3 2" xfId="40579"/>
    <cellStyle name="Output 26 2 5 4" xfId="29847"/>
    <cellStyle name="Output 26 2 5_Table 2A-1_EFT (Annual)" xfId="8010"/>
    <cellStyle name="Output 26 2 6" xfId="9822"/>
    <cellStyle name="Output 26 2 6 2" xfId="21959"/>
    <cellStyle name="Output 26 2 6 2 2" xfId="43145"/>
    <cellStyle name="Output 26 2 6 3" xfId="32541"/>
    <cellStyle name="Output 26 2 7" xfId="16846"/>
    <cellStyle name="Output 26 2 7 2" xfId="38033"/>
    <cellStyle name="Output 26 2 8" xfId="27104"/>
    <cellStyle name="Output 26 2_Table 2A-1_EFT (Annual)" xfId="3425"/>
    <cellStyle name="Output 26 3" xfId="425"/>
    <cellStyle name="Output 26 3 2" xfId="1408"/>
    <cellStyle name="Output 26 3 2 2" xfId="2678"/>
    <cellStyle name="Output 26 3 2 2 2" xfId="6239"/>
    <cellStyle name="Output 26 3 2 2 2 2" xfId="14433"/>
    <cellStyle name="Output 26 3 2 2 2 2 2" xfId="26405"/>
    <cellStyle name="Output 26 3 2 2 2 2 2 2" xfId="47591"/>
    <cellStyle name="Output 26 3 2 2 2 2 3" xfId="36987"/>
    <cellStyle name="Output 26 3 2 2 2 3" xfId="21292"/>
    <cellStyle name="Output 26 3 2 2 2 3 2" xfId="42479"/>
    <cellStyle name="Output 26 3 2 2 2 4" xfId="31895"/>
    <cellStyle name="Output 26 3 2 2 2_Table 2A-1_EFT (Annual)" xfId="8012"/>
    <cellStyle name="Output 26 3 2 2 3" xfId="11775"/>
    <cellStyle name="Output 26 3 2 2 3 2" xfId="23859"/>
    <cellStyle name="Output 26 3 2 2 3 2 2" xfId="45045"/>
    <cellStyle name="Output 26 3 2 2 3 3" xfId="34441"/>
    <cellStyle name="Output 26 3 2 2 4" xfId="18746"/>
    <cellStyle name="Output 26 3 2 2 4 2" xfId="39933"/>
    <cellStyle name="Output 26 3 2 2 5" xfId="29152"/>
    <cellStyle name="Output 26 3 2 2_Table 2A-1_EFT (Annual)" xfId="8011"/>
    <cellStyle name="Output 26 3 2 3" xfId="1899"/>
    <cellStyle name="Output 26 3 2 3 2" xfId="5460"/>
    <cellStyle name="Output 26 3 2 3 2 2" xfId="13675"/>
    <cellStyle name="Output 26 3 2 3 2 2 2" xfId="25663"/>
    <cellStyle name="Output 26 3 2 3 2 2 2 2" xfId="46849"/>
    <cellStyle name="Output 26 3 2 3 2 2 3" xfId="36245"/>
    <cellStyle name="Output 26 3 2 3 2 3" xfId="20550"/>
    <cellStyle name="Output 26 3 2 3 2 3 2" xfId="41737"/>
    <cellStyle name="Output 26 3 2 3 2 4" xfId="31117"/>
    <cellStyle name="Output 26 3 2 3 2_Table 2A-1_EFT (Annual)" xfId="8014"/>
    <cellStyle name="Output 26 3 2 3 3" xfId="11019"/>
    <cellStyle name="Output 26 3 2 3 3 2" xfId="23117"/>
    <cellStyle name="Output 26 3 2 3 3 2 2" xfId="44303"/>
    <cellStyle name="Output 26 3 2 3 3 3" xfId="33699"/>
    <cellStyle name="Output 26 3 2 3 4" xfId="18004"/>
    <cellStyle name="Output 26 3 2 3 4 2" xfId="39191"/>
    <cellStyle name="Output 26 3 2 3 5" xfId="28374"/>
    <cellStyle name="Output 26 3 2 3_Table 2A-1_EFT (Annual)" xfId="8013"/>
    <cellStyle name="Output 26 3 2 4" xfId="4969"/>
    <cellStyle name="Output 26 3 2 4 2" xfId="13229"/>
    <cellStyle name="Output 26 3 2 4 2 2" xfId="25235"/>
    <cellStyle name="Output 26 3 2 4 2 2 2" xfId="46421"/>
    <cellStyle name="Output 26 3 2 4 2 3" xfId="35817"/>
    <cellStyle name="Output 26 3 2 4 3" xfId="20122"/>
    <cellStyle name="Output 26 3 2 4 3 2" xfId="41309"/>
    <cellStyle name="Output 26 3 2 4 4" xfId="30626"/>
    <cellStyle name="Output 26 3 2 4_Table 2A-1_EFT (Annual)" xfId="8015"/>
    <cellStyle name="Output 26 3 2 5" xfId="10573"/>
    <cellStyle name="Output 26 3 2 5 2" xfId="22689"/>
    <cellStyle name="Output 26 3 2 5 2 2" xfId="43875"/>
    <cellStyle name="Output 26 3 2 5 3" xfId="33271"/>
    <cellStyle name="Output 26 3 2 6" xfId="17576"/>
    <cellStyle name="Output 26 3 2 6 2" xfId="38763"/>
    <cellStyle name="Output 26 3 2 7" xfId="27883"/>
    <cellStyle name="Output 26 3 2_Table 2A-1_EFT (Annual)" xfId="3428"/>
    <cellStyle name="Output 26 3 3" xfId="2147"/>
    <cellStyle name="Output 26 3 3 2" xfId="5708"/>
    <cellStyle name="Output 26 3 3 2 2" xfId="13923"/>
    <cellStyle name="Output 26 3 3 2 2 2" xfId="25911"/>
    <cellStyle name="Output 26 3 3 2 2 2 2" xfId="47097"/>
    <cellStyle name="Output 26 3 3 2 2 3" xfId="36493"/>
    <cellStyle name="Output 26 3 3 2 3" xfId="20798"/>
    <cellStyle name="Output 26 3 3 2 3 2" xfId="41985"/>
    <cellStyle name="Output 26 3 3 2 4" xfId="31365"/>
    <cellStyle name="Output 26 3 3 2_Table 2A-1_EFT (Annual)" xfId="8017"/>
    <cellStyle name="Output 26 3 3 3" xfId="11267"/>
    <cellStyle name="Output 26 3 3 3 2" xfId="23365"/>
    <cellStyle name="Output 26 3 3 3 2 2" xfId="44551"/>
    <cellStyle name="Output 26 3 3 3 3" xfId="33947"/>
    <cellStyle name="Output 26 3 3 4" xfId="18252"/>
    <cellStyle name="Output 26 3 3 4 2" xfId="39439"/>
    <cellStyle name="Output 26 3 3 5" xfId="28622"/>
    <cellStyle name="Output 26 3 3_Table 2A-1_EFT (Annual)" xfId="8016"/>
    <cellStyle name="Output 26 3 4" xfId="1719"/>
    <cellStyle name="Output 26 3 4 2" xfId="5280"/>
    <cellStyle name="Output 26 3 4 2 2" xfId="13509"/>
    <cellStyle name="Output 26 3 4 2 2 2" xfId="25502"/>
    <cellStyle name="Output 26 3 4 2 2 2 2" xfId="46688"/>
    <cellStyle name="Output 26 3 4 2 2 3" xfId="36084"/>
    <cellStyle name="Output 26 3 4 2 3" xfId="20389"/>
    <cellStyle name="Output 26 3 4 2 3 2" xfId="41576"/>
    <cellStyle name="Output 26 3 4 2 4" xfId="30937"/>
    <cellStyle name="Output 26 3 4 2_Table 2A-1_EFT (Annual)" xfId="8019"/>
    <cellStyle name="Output 26 3 4 3" xfId="10853"/>
    <cellStyle name="Output 26 3 4 3 2" xfId="22956"/>
    <cellStyle name="Output 26 3 4 3 2 2" xfId="44142"/>
    <cellStyle name="Output 26 3 4 3 3" xfId="33538"/>
    <cellStyle name="Output 26 3 4 4" xfId="17843"/>
    <cellStyle name="Output 26 3 4 4 2" xfId="39030"/>
    <cellStyle name="Output 26 3 4 5" xfId="28194"/>
    <cellStyle name="Output 26 3 4_Table 2A-1_EFT (Annual)" xfId="8018"/>
    <cellStyle name="Output 26 3 5" xfId="3995"/>
    <cellStyle name="Output 26 3 5 2" xfId="12323"/>
    <cellStyle name="Output 26 3 5 2 2" xfId="24347"/>
    <cellStyle name="Output 26 3 5 2 2 2" xfId="45533"/>
    <cellStyle name="Output 26 3 5 2 3" xfId="34929"/>
    <cellStyle name="Output 26 3 5 3" xfId="19234"/>
    <cellStyle name="Output 26 3 5 3 2" xfId="40421"/>
    <cellStyle name="Output 26 3 5 4" xfId="29683"/>
    <cellStyle name="Output 26 3 5_Table 2A-1_EFT (Annual)" xfId="8020"/>
    <cellStyle name="Output 26 3 6" xfId="9660"/>
    <cellStyle name="Output 26 3 6 2" xfId="21801"/>
    <cellStyle name="Output 26 3 6 2 2" xfId="42987"/>
    <cellStyle name="Output 26 3 6 3" xfId="32383"/>
    <cellStyle name="Output 26 3 7" xfId="16688"/>
    <cellStyle name="Output 26 3 7 2" xfId="37875"/>
    <cellStyle name="Output 26 3 8" xfId="26940"/>
    <cellStyle name="Output 26 3_Table 2A-1_EFT (Annual)" xfId="3427"/>
    <cellStyle name="Output 26 4" xfId="1244"/>
    <cellStyle name="Output 26 4 2" xfId="2514"/>
    <cellStyle name="Output 26 4 2 2" xfId="6075"/>
    <cellStyle name="Output 26 4 2 2 2" xfId="14269"/>
    <cellStyle name="Output 26 4 2 2 2 2" xfId="26241"/>
    <cellStyle name="Output 26 4 2 2 2 2 2" xfId="47427"/>
    <cellStyle name="Output 26 4 2 2 2 3" xfId="36823"/>
    <cellStyle name="Output 26 4 2 2 3" xfId="21128"/>
    <cellStyle name="Output 26 4 2 2 3 2" xfId="42315"/>
    <cellStyle name="Output 26 4 2 2 4" xfId="31731"/>
    <cellStyle name="Output 26 4 2 2_Table 2A-1_EFT (Annual)" xfId="8022"/>
    <cellStyle name="Output 26 4 2 3" xfId="11611"/>
    <cellStyle name="Output 26 4 2 3 2" xfId="23695"/>
    <cellStyle name="Output 26 4 2 3 2 2" xfId="44881"/>
    <cellStyle name="Output 26 4 2 3 3" xfId="34277"/>
    <cellStyle name="Output 26 4 2 4" xfId="18582"/>
    <cellStyle name="Output 26 4 2 4 2" xfId="39769"/>
    <cellStyle name="Output 26 4 2 5" xfId="28988"/>
    <cellStyle name="Output 26 4 2_Table 2A-1_EFT (Annual)" xfId="8021"/>
    <cellStyle name="Output 26 4 3" xfId="1835"/>
    <cellStyle name="Output 26 4 3 2" xfId="5396"/>
    <cellStyle name="Output 26 4 3 2 2" xfId="13611"/>
    <cellStyle name="Output 26 4 3 2 2 2" xfId="25599"/>
    <cellStyle name="Output 26 4 3 2 2 2 2" xfId="46785"/>
    <cellStyle name="Output 26 4 3 2 2 3" xfId="36181"/>
    <cellStyle name="Output 26 4 3 2 3" xfId="20486"/>
    <cellStyle name="Output 26 4 3 2 3 2" xfId="41673"/>
    <cellStyle name="Output 26 4 3 2 4" xfId="31053"/>
    <cellStyle name="Output 26 4 3 2_Table 2A-1_EFT (Annual)" xfId="8024"/>
    <cellStyle name="Output 26 4 3 3" xfId="10955"/>
    <cellStyle name="Output 26 4 3 3 2" xfId="23053"/>
    <cellStyle name="Output 26 4 3 3 2 2" xfId="44239"/>
    <cellStyle name="Output 26 4 3 3 3" xfId="33635"/>
    <cellStyle name="Output 26 4 3 4" xfId="17940"/>
    <cellStyle name="Output 26 4 3 4 2" xfId="39127"/>
    <cellStyle name="Output 26 4 3 5" xfId="28310"/>
    <cellStyle name="Output 26 4 3_Table 2A-1_EFT (Annual)" xfId="8023"/>
    <cellStyle name="Output 26 4 4" xfId="4805"/>
    <cellStyle name="Output 26 4 4 2" xfId="13065"/>
    <cellStyle name="Output 26 4 4 2 2" xfId="25071"/>
    <cellStyle name="Output 26 4 4 2 2 2" xfId="46257"/>
    <cellStyle name="Output 26 4 4 2 3" xfId="35653"/>
    <cellStyle name="Output 26 4 4 3" xfId="19958"/>
    <cellStyle name="Output 26 4 4 3 2" xfId="41145"/>
    <cellStyle name="Output 26 4 4 4" xfId="30462"/>
    <cellStyle name="Output 26 4 4_Table 2A-1_EFT (Annual)" xfId="8025"/>
    <cellStyle name="Output 26 4 5" xfId="10409"/>
    <cellStyle name="Output 26 4 5 2" xfId="22525"/>
    <cellStyle name="Output 26 4 5 2 2" xfId="43711"/>
    <cellStyle name="Output 26 4 5 3" xfId="33107"/>
    <cellStyle name="Output 26 4 6" xfId="17412"/>
    <cellStyle name="Output 26 4 6 2" xfId="38599"/>
    <cellStyle name="Output 26 4 7" xfId="27719"/>
    <cellStyle name="Output 26 4_Table 2A-1_EFT (Annual)" xfId="3429"/>
    <cellStyle name="Output 26 5" xfId="1983"/>
    <cellStyle name="Output 26 5 2" xfId="5544"/>
    <cellStyle name="Output 26 5 2 2" xfId="13759"/>
    <cellStyle name="Output 26 5 2 2 2" xfId="25747"/>
    <cellStyle name="Output 26 5 2 2 2 2" xfId="46933"/>
    <cellStyle name="Output 26 5 2 2 3" xfId="36329"/>
    <cellStyle name="Output 26 5 2 3" xfId="20634"/>
    <cellStyle name="Output 26 5 2 3 2" xfId="41821"/>
    <cellStyle name="Output 26 5 2 4" xfId="31201"/>
    <cellStyle name="Output 26 5 2_Table 2A-1_EFT (Annual)" xfId="8027"/>
    <cellStyle name="Output 26 5 3" xfId="11103"/>
    <cellStyle name="Output 26 5 3 2" xfId="23201"/>
    <cellStyle name="Output 26 5 3 2 2" xfId="44387"/>
    <cellStyle name="Output 26 5 3 3" xfId="33783"/>
    <cellStyle name="Output 26 5 4" xfId="18088"/>
    <cellStyle name="Output 26 5 4 2" xfId="39275"/>
    <cellStyle name="Output 26 5 5" xfId="28458"/>
    <cellStyle name="Output 26 5_Table 2A-1_EFT (Annual)" xfId="8026"/>
    <cellStyle name="Output 26 6" xfId="1662"/>
    <cellStyle name="Output 26 6 2" xfId="5223"/>
    <cellStyle name="Output 26 6 2 2" xfId="13470"/>
    <cellStyle name="Output 26 6 2 2 2" xfId="25470"/>
    <cellStyle name="Output 26 6 2 2 2 2" xfId="46656"/>
    <cellStyle name="Output 26 6 2 2 3" xfId="36052"/>
    <cellStyle name="Output 26 6 2 3" xfId="20357"/>
    <cellStyle name="Output 26 6 2 3 2" xfId="41544"/>
    <cellStyle name="Output 26 6 2 4" xfId="30880"/>
    <cellStyle name="Output 26 6 2_Table 2A-1_EFT (Annual)" xfId="8029"/>
    <cellStyle name="Output 26 6 3" xfId="10815"/>
    <cellStyle name="Output 26 6 3 2" xfId="22924"/>
    <cellStyle name="Output 26 6 3 2 2" xfId="44110"/>
    <cellStyle name="Output 26 6 3 3" xfId="33506"/>
    <cellStyle name="Output 26 6 4" xfId="17811"/>
    <cellStyle name="Output 26 6 4 2" xfId="38998"/>
    <cellStyle name="Output 26 6 5" xfId="28137"/>
    <cellStyle name="Output 26 6_Table 2A-1_EFT (Annual)" xfId="8028"/>
    <cellStyle name="Output 26 7" xfId="3785"/>
    <cellStyle name="Output 26 7 2" xfId="12153"/>
    <cellStyle name="Output 26 7 2 2" xfId="24183"/>
    <cellStyle name="Output 26 7 2 2 2" xfId="45369"/>
    <cellStyle name="Output 26 7 2 3" xfId="34765"/>
    <cellStyle name="Output 26 7 3" xfId="19070"/>
    <cellStyle name="Output 26 7 3 2" xfId="40257"/>
    <cellStyle name="Output 26 7 4" xfId="29494"/>
    <cellStyle name="Output 26 7_Table 2A-1_EFT (Annual)" xfId="8030"/>
    <cellStyle name="Output 26 8" xfId="9472"/>
    <cellStyle name="Output 26 8 2" xfId="21637"/>
    <cellStyle name="Output 26 8 2 2" xfId="42823"/>
    <cellStyle name="Output 26 8 3" xfId="32219"/>
    <cellStyle name="Output 26 9" xfId="16524"/>
    <cellStyle name="Output 26 9 2" xfId="37711"/>
    <cellStyle name="Output 26_Table 2A-1_EFT (Annual)" xfId="3424"/>
    <cellStyle name="Output 27" xfId="235"/>
    <cellStyle name="Output 27 10" xfId="26790"/>
    <cellStyle name="Output 27 2" xfId="622"/>
    <cellStyle name="Output 27 2 2" xfId="1599"/>
    <cellStyle name="Output 27 2 2 2" xfId="2869"/>
    <cellStyle name="Output 27 2 2 2 2" xfId="6430"/>
    <cellStyle name="Output 27 2 2 2 2 2" xfId="14624"/>
    <cellStyle name="Output 27 2 2 2 2 2 2" xfId="26596"/>
    <cellStyle name="Output 27 2 2 2 2 2 2 2" xfId="47782"/>
    <cellStyle name="Output 27 2 2 2 2 2 3" xfId="37178"/>
    <cellStyle name="Output 27 2 2 2 2 3" xfId="21483"/>
    <cellStyle name="Output 27 2 2 2 2 3 2" xfId="42670"/>
    <cellStyle name="Output 27 2 2 2 2 4" xfId="32086"/>
    <cellStyle name="Output 27 2 2 2 2_Table 2A-1_EFT (Annual)" xfId="8032"/>
    <cellStyle name="Output 27 2 2 2 3" xfId="11966"/>
    <cellStyle name="Output 27 2 2 2 3 2" xfId="24050"/>
    <cellStyle name="Output 27 2 2 2 3 2 2" xfId="45236"/>
    <cellStyle name="Output 27 2 2 2 3 3" xfId="34632"/>
    <cellStyle name="Output 27 2 2 2 4" xfId="18937"/>
    <cellStyle name="Output 27 2 2 2 4 2" xfId="40124"/>
    <cellStyle name="Output 27 2 2 2 5" xfId="29343"/>
    <cellStyle name="Output 27 2 2 2_Table 2A-1_EFT (Annual)" xfId="8031"/>
    <cellStyle name="Output 27 2 2 3" xfId="1937"/>
    <cellStyle name="Output 27 2 2 3 2" xfId="5498"/>
    <cellStyle name="Output 27 2 2 3 2 2" xfId="13713"/>
    <cellStyle name="Output 27 2 2 3 2 2 2" xfId="25701"/>
    <cellStyle name="Output 27 2 2 3 2 2 2 2" xfId="46887"/>
    <cellStyle name="Output 27 2 2 3 2 2 3" xfId="36283"/>
    <cellStyle name="Output 27 2 2 3 2 3" xfId="20588"/>
    <cellStyle name="Output 27 2 2 3 2 3 2" xfId="41775"/>
    <cellStyle name="Output 27 2 2 3 2 4" xfId="31155"/>
    <cellStyle name="Output 27 2 2 3 2_Table 2A-1_EFT (Annual)" xfId="8034"/>
    <cellStyle name="Output 27 2 2 3 3" xfId="11057"/>
    <cellStyle name="Output 27 2 2 3 3 2" xfId="23155"/>
    <cellStyle name="Output 27 2 2 3 3 2 2" xfId="44341"/>
    <cellStyle name="Output 27 2 2 3 3 3" xfId="33737"/>
    <cellStyle name="Output 27 2 2 3 4" xfId="18042"/>
    <cellStyle name="Output 27 2 2 3 4 2" xfId="39229"/>
    <cellStyle name="Output 27 2 2 3 5" xfId="28412"/>
    <cellStyle name="Output 27 2 2 3_Table 2A-1_EFT (Annual)" xfId="8033"/>
    <cellStyle name="Output 27 2 2 4" xfId="5160"/>
    <cellStyle name="Output 27 2 2 4 2" xfId="13420"/>
    <cellStyle name="Output 27 2 2 4 2 2" xfId="25426"/>
    <cellStyle name="Output 27 2 2 4 2 2 2" xfId="46612"/>
    <cellStyle name="Output 27 2 2 4 2 3" xfId="36008"/>
    <cellStyle name="Output 27 2 2 4 3" xfId="20313"/>
    <cellStyle name="Output 27 2 2 4 3 2" xfId="41500"/>
    <cellStyle name="Output 27 2 2 4 4" xfId="30817"/>
    <cellStyle name="Output 27 2 2 4_Table 2A-1_EFT (Annual)" xfId="8035"/>
    <cellStyle name="Output 27 2 2 5" xfId="10764"/>
    <cellStyle name="Output 27 2 2 5 2" xfId="22880"/>
    <cellStyle name="Output 27 2 2 5 2 2" xfId="44066"/>
    <cellStyle name="Output 27 2 2 5 3" xfId="33462"/>
    <cellStyle name="Output 27 2 2 6" xfId="17767"/>
    <cellStyle name="Output 27 2 2 6 2" xfId="38954"/>
    <cellStyle name="Output 27 2 2 7" xfId="28074"/>
    <cellStyle name="Output 27 2 2_Table 2A-1_EFT (Annual)" xfId="3432"/>
    <cellStyle name="Output 27 2 3" xfId="2338"/>
    <cellStyle name="Output 27 2 3 2" xfId="5899"/>
    <cellStyle name="Output 27 2 3 2 2" xfId="14114"/>
    <cellStyle name="Output 27 2 3 2 2 2" xfId="26102"/>
    <cellStyle name="Output 27 2 3 2 2 2 2" xfId="47288"/>
    <cellStyle name="Output 27 2 3 2 2 3" xfId="36684"/>
    <cellStyle name="Output 27 2 3 2 3" xfId="20989"/>
    <cellStyle name="Output 27 2 3 2 3 2" xfId="42176"/>
    <cellStyle name="Output 27 2 3 2 4" xfId="31556"/>
    <cellStyle name="Output 27 2 3 2_Table 2A-1_EFT (Annual)" xfId="8037"/>
    <cellStyle name="Output 27 2 3 3" xfId="11458"/>
    <cellStyle name="Output 27 2 3 3 2" xfId="23556"/>
    <cellStyle name="Output 27 2 3 3 2 2" xfId="44742"/>
    <cellStyle name="Output 27 2 3 3 3" xfId="34138"/>
    <cellStyle name="Output 27 2 3 4" xfId="18443"/>
    <cellStyle name="Output 27 2 3 4 2" xfId="39630"/>
    <cellStyle name="Output 27 2 3 5" xfId="28813"/>
    <cellStyle name="Output 27 2 3_Table 2A-1_EFT (Annual)" xfId="8036"/>
    <cellStyle name="Output 27 2 4" xfId="1762"/>
    <cellStyle name="Output 27 2 4 2" xfId="5323"/>
    <cellStyle name="Output 27 2 4 2 2" xfId="13548"/>
    <cellStyle name="Output 27 2 4 2 2 2" xfId="25539"/>
    <cellStyle name="Output 27 2 4 2 2 2 2" xfId="46725"/>
    <cellStyle name="Output 27 2 4 2 2 3" xfId="36121"/>
    <cellStyle name="Output 27 2 4 2 3" xfId="20426"/>
    <cellStyle name="Output 27 2 4 2 3 2" xfId="41613"/>
    <cellStyle name="Output 27 2 4 2 4" xfId="30980"/>
    <cellStyle name="Output 27 2 4 2_Table 2A-1_EFT (Annual)" xfId="8039"/>
    <cellStyle name="Output 27 2 4 3" xfId="10891"/>
    <cellStyle name="Output 27 2 4 3 2" xfId="22993"/>
    <cellStyle name="Output 27 2 4 3 2 2" xfId="44179"/>
    <cellStyle name="Output 27 2 4 3 3" xfId="33575"/>
    <cellStyle name="Output 27 2 4 4" xfId="17880"/>
    <cellStyle name="Output 27 2 4 4 2" xfId="39067"/>
    <cellStyle name="Output 27 2 4 5" xfId="28237"/>
    <cellStyle name="Output 27 2 4_Table 2A-1_EFT (Annual)" xfId="8038"/>
    <cellStyle name="Output 27 2 5" xfId="4192"/>
    <cellStyle name="Output 27 2 5 2" xfId="12516"/>
    <cellStyle name="Output 27 2 5 2 2" xfId="24538"/>
    <cellStyle name="Output 27 2 5 2 2 2" xfId="45724"/>
    <cellStyle name="Output 27 2 5 2 3" xfId="35120"/>
    <cellStyle name="Output 27 2 5 3" xfId="19425"/>
    <cellStyle name="Output 27 2 5 3 2" xfId="40612"/>
    <cellStyle name="Output 27 2 5 4" xfId="29880"/>
    <cellStyle name="Output 27 2 5_Table 2A-1_EFT (Annual)" xfId="8040"/>
    <cellStyle name="Output 27 2 6" xfId="9855"/>
    <cellStyle name="Output 27 2 6 2" xfId="21992"/>
    <cellStyle name="Output 27 2 6 2 2" xfId="43178"/>
    <cellStyle name="Output 27 2 6 3" xfId="32574"/>
    <cellStyle name="Output 27 2 7" xfId="16879"/>
    <cellStyle name="Output 27 2 7 2" xfId="38066"/>
    <cellStyle name="Output 27 2 8" xfId="27137"/>
    <cellStyle name="Output 27 2_Table 2A-1_EFT (Annual)" xfId="3431"/>
    <cellStyle name="Output 27 3" xfId="461"/>
    <cellStyle name="Output 27 3 2" xfId="1438"/>
    <cellStyle name="Output 27 3 2 2" xfId="2708"/>
    <cellStyle name="Output 27 3 2 2 2" xfId="6269"/>
    <cellStyle name="Output 27 3 2 2 2 2" xfId="14463"/>
    <cellStyle name="Output 27 3 2 2 2 2 2" xfId="26435"/>
    <cellStyle name="Output 27 3 2 2 2 2 2 2" xfId="47621"/>
    <cellStyle name="Output 27 3 2 2 2 2 3" xfId="37017"/>
    <cellStyle name="Output 27 3 2 2 2 3" xfId="21322"/>
    <cellStyle name="Output 27 3 2 2 2 3 2" xfId="42509"/>
    <cellStyle name="Output 27 3 2 2 2 4" xfId="31925"/>
    <cellStyle name="Output 27 3 2 2 2_Table 2A-1_EFT (Annual)" xfId="8042"/>
    <cellStyle name="Output 27 3 2 2 3" xfId="11805"/>
    <cellStyle name="Output 27 3 2 2 3 2" xfId="23889"/>
    <cellStyle name="Output 27 3 2 2 3 2 2" xfId="45075"/>
    <cellStyle name="Output 27 3 2 2 3 3" xfId="34471"/>
    <cellStyle name="Output 27 3 2 2 4" xfId="18776"/>
    <cellStyle name="Output 27 3 2 2 4 2" xfId="39963"/>
    <cellStyle name="Output 27 3 2 2 5" xfId="29182"/>
    <cellStyle name="Output 27 3 2 2_Table 2A-1_EFT (Annual)" xfId="8041"/>
    <cellStyle name="Output 27 3 2 3" xfId="1906"/>
    <cellStyle name="Output 27 3 2 3 2" xfId="5467"/>
    <cellStyle name="Output 27 3 2 3 2 2" xfId="13682"/>
    <cellStyle name="Output 27 3 2 3 2 2 2" xfId="25670"/>
    <cellStyle name="Output 27 3 2 3 2 2 2 2" xfId="46856"/>
    <cellStyle name="Output 27 3 2 3 2 2 3" xfId="36252"/>
    <cellStyle name="Output 27 3 2 3 2 3" xfId="20557"/>
    <cellStyle name="Output 27 3 2 3 2 3 2" xfId="41744"/>
    <cellStyle name="Output 27 3 2 3 2 4" xfId="31124"/>
    <cellStyle name="Output 27 3 2 3 2_Table 2A-1_EFT (Annual)" xfId="8044"/>
    <cellStyle name="Output 27 3 2 3 3" xfId="11026"/>
    <cellStyle name="Output 27 3 2 3 3 2" xfId="23124"/>
    <cellStyle name="Output 27 3 2 3 3 2 2" xfId="44310"/>
    <cellStyle name="Output 27 3 2 3 3 3" xfId="33706"/>
    <cellStyle name="Output 27 3 2 3 4" xfId="18011"/>
    <cellStyle name="Output 27 3 2 3 4 2" xfId="39198"/>
    <cellStyle name="Output 27 3 2 3 5" xfId="28381"/>
    <cellStyle name="Output 27 3 2 3_Table 2A-1_EFT (Annual)" xfId="8043"/>
    <cellStyle name="Output 27 3 2 4" xfId="4999"/>
    <cellStyle name="Output 27 3 2 4 2" xfId="13259"/>
    <cellStyle name="Output 27 3 2 4 2 2" xfId="25265"/>
    <cellStyle name="Output 27 3 2 4 2 2 2" xfId="46451"/>
    <cellStyle name="Output 27 3 2 4 2 3" xfId="35847"/>
    <cellStyle name="Output 27 3 2 4 3" xfId="20152"/>
    <cellStyle name="Output 27 3 2 4 3 2" xfId="41339"/>
    <cellStyle name="Output 27 3 2 4 4" xfId="30656"/>
    <cellStyle name="Output 27 3 2 4_Table 2A-1_EFT (Annual)" xfId="8045"/>
    <cellStyle name="Output 27 3 2 5" xfId="10603"/>
    <cellStyle name="Output 27 3 2 5 2" xfId="22719"/>
    <cellStyle name="Output 27 3 2 5 2 2" xfId="43905"/>
    <cellStyle name="Output 27 3 2 5 3" xfId="33301"/>
    <cellStyle name="Output 27 3 2 6" xfId="17606"/>
    <cellStyle name="Output 27 3 2 6 2" xfId="38793"/>
    <cellStyle name="Output 27 3 2 7" xfId="27913"/>
    <cellStyle name="Output 27 3 2_Table 2A-1_EFT (Annual)" xfId="3434"/>
    <cellStyle name="Output 27 3 3" xfId="2177"/>
    <cellStyle name="Output 27 3 3 2" xfId="5738"/>
    <cellStyle name="Output 27 3 3 2 2" xfId="13953"/>
    <cellStyle name="Output 27 3 3 2 2 2" xfId="25941"/>
    <cellStyle name="Output 27 3 3 2 2 2 2" xfId="47127"/>
    <cellStyle name="Output 27 3 3 2 2 3" xfId="36523"/>
    <cellStyle name="Output 27 3 3 2 3" xfId="20828"/>
    <cellStyle name="Output 27 3 3 2 3 2" xfId="42015"/>
    <cellStyle name="Output 27 3 3 2 4" xfId="31395"/>
    <cellStyle name="Output 27 3 3 2_Table 2A-1_EFT (Annual)" xfId="8047"/>
    <cellStyle name="Output 27 3 3 3" xfId="11297"/>
    <cellStyle name="Output 27 3 3 3 2" xfId="23395"/>
    <cellStyle name="Output 27 3 3 3 2 2" xfId="44581"/>
    <cellStyle name="Output 27 3 3 3 3" xfId="33977"/>
    <cellStyle name="Output 27 3 3 4" xfId="18282"/>
    <cellStyle name="Output 27 3 3 4 2" xfId="39469"/>
    <cellStyle name="Output 27 3 3 5" xfId="28652"/>
    <cellStyle name="Output 27 3 3_Table 2A-1_EFT (Annual)" xfId="8046"/>
    <cellStyle name="Output 27 3 4" xfId="1731"/>
    <cellStyle name="Output 27 3 4 2" xfId="5292"/>
    <cellStyle name="Output 27 3 4 2 2" xfId="13517"/>
    <cellStyle name="Output 27 3 4 2 2 2" xfId="25508"/>
    <cellStyle name="Output 27 3 4 2 2 2 2" xfId="46694"/>
    <cellStyle name="Output 27 3 4 2 2 3" xfId="36090"/>
    <cellStyle name="Output 27 3 4 2 3" xfId="20395"/>
    <cellStyle name="Output 27 3 4 2 3 2" xfId="41582"/>
    <cellStyle name="Output 27 3 4 2 4" xfId="30949"/>
    <cellStyle name="Output 27 3 4 2_Table 2A-1_EFT (Annual)" xfId="8049"/>
    <cellStyle name="Output 27 3 4 3" xfId="10860"/>
    <cellStyle name="Output 27 3 4 3 2" xfId="22962"/>
    <cellStyle name="Output 27 3 4 3 2 2" xfId="44148"/>
    <cellStyle name="Output 27 3 4 3 3" xfId="33544"/>
    <cellStyle name="Output 27 3 4 4" xfId="17849"/>
    <cellStyle name="Output 27 3 4 4 2" xfId="39036"/>
    <cellStyle name="Output 27 3 4 5" xfId="28206"/>
    <cellStyle name="Output 27 3 4_Table 2A-1_EFT (Annual)" xfId="8048"/>
    <cellStyle name="Output 27 3 5" xfId="4031"/>
    <cellStyle name="Output 27 3 5 2" xfId="12355"/>
    <cellStyle name="Output 27 3 5 2 2" xfId="24377"/>
    <cellStyle name="Output 27 3 5 2 2 2" xfId="45563"/>
    <cellStyle name="Output 27 3 5 2 3" xfId="34959"/>
    <cellStyle name="Output 27 3 5 3" xfId="19264"/>
    <cellStyle name="Output 27 3 5 3 2" xfId="40451"/>
    <cellStyle name="Output 27 3 5 4" xfId="29719"/>
    <cellStyle name="Output 27 3 5_Table 2A-1_EFT (Annual)" xfId="8050"/>
    <cellStyle name="Output 27 3 6" xfId="9694"/>
    <cellStyle name="Output 27 3 6 2" xfId="21831"/>
    <cellStyle name="Output 27 3 6 2 2" xfId="43017"/>
    <cellStyle name="Output 27 3 6 3" xfId="32413"/>
    <cellStyle name="Output 27 3 7" xfId="16718"/>
    <cellStyle name="Output 27 3 7 2" xfId="37905"/>
    <cellStyle name="Output 27 3 8" xfId="26976"/>
    <cellStyle name="Output 27 3_Table 2A-1_EFT (Annual)" xfId="3433"/>
    <cellStyle name="Output 27 4" xfId="1277"/>
    <cellStyle name="Output 27 4 2" xfId="2547"/>
    <cellStyle name="Output 27 4 2 2" xfId="6108"/>
    <cellStyle name="Output 27 4 2 2 2" xfId="14302"/>
    <cellStyle name="Output 27 4 2 2 2 2" xfId="26274"/>
    <cellStyle name="Output 27 4 2 2 2 2 2" xfId="47460"/>
    <cellStyle name="Output 27 4 2 2 2 3" xfId="36856"/>
    <cellStyle name="Output 27 4 2 2 3" xfId="21161"/>
    <cellStyle name="Output 27 4 2 2 3 2" xfId="42348"/>
    <cellStyle name="Output 27 4 2 2 4" xfId="31764"/>
    <cellStyle name="Output 27 4 2 2_Table 2A-1_EFT (Annual)" xfId="8052"/>
    <cellStyle name="Output 27 4 2 3" xfId="11644"/>
    <cellStyle name="Output 27 4 2 3 2" xfId="23728"/>
    <cellStyle name="Output 27 4 2 3 2 2" xfId="44914"/>
    <cellStyle name="Output 27 4 2 3 3" xfId="34310"/>
    <cellStyle name="Output 27 4 2 4" xfId="18615"/>
    <cellStyle name="Output 27 4 2 4 2" xfId="39802"/>
    <cellStyle name="Output 27 4 2 5" xfId="29021"/>
    <cellStyle name="Output 27 4 2_Table 2A-1_EFT (Annual)" xfId="8051"/>
    <cellStyle name="Output 27 4 3" xfId="1843"/>
    <cellStyle name="Output 27 4 3 2" xfId="5404"/>
    <cellStyle name="Output 27 4 3 2 2" xfId="13619"/>
    <cellStyle name="Output 27 4 3 2 2 2" xfId="25607"/>
    <cellStyle name="Output 27 4 3 2 2 2 2" xfId="46793"/>
    <cellStyle name="Output 27 4 3 2 2 3" xfId="36189"/>
    <cellStyle name="Output 27 4 3 2 3" xfId="20494"/>
    <cellStyle name="Output 27 4 3 2 3 2" xfId="41681"/>
    <cellStyle name="Output 27 4 3 2 4" xfId="31061"/>
    <cellStyle name="Output 27 4 3 2_Table 2A-1_EFT (Annual)" xfId="8054"/>
    <cellStyle name="Output 27 4 3 3" xfId="10963"/>
    <cellStyle name="Output 27 4 3 3 2" xfId="23061"/>
    <cellStyle name="Output 27 4 3 3 2 2" xfId="44247"/>
    <cellStyle name="Output 27 4 3 3 3" xfId="33643"/>
    <cellStyle name="Output 27 4 3 4" xfId="17948"/>
    <cellStyle name="Output 27 4 3 4 2" xfId="39135"/>
    <cellStyle name="Output 27 4 3 5" xfId="28318"/>
    <cellStyle name="Output 27 4 3_Table 2A-1_EFT (Annual)" xfId="8053"/>
    <cellStyle name="Output 27 4 4" xfId="4838"/>
    <cellStyle name="Output 27 4 4 2" xfId="13098"/>
    <cellStyle name="Output 27 4 4 2 2" xfId="25104"/>
    <cellStyle name="Output 27 4 4 2 2 2" xfId="46290"/>
    <cellStyle name="Output 27 4 4 2 3" xfId="35686"/>
    <cellStyle name="Output 27 4 4 3" xfId="19991"/>
    <cellStyle name="Output 27 4 4 3 2" xfId="41178"/>
    <cellStyle name="Output 27 4 4 4" xfId="30495"/>
    <cellStyle name="Output 27 4 4_Table 2A-1_EFT (Annual)" xfId="8055"/>
    <cellStyle name="Output 27 4 5" xfId="10442"/>
    <cellStyle name="Output 27 4 5 2" xfId="22558"/>
    <cellStyle name="Output 27 4 5 2 2" xfId="43744"/>
    <cellStyle name="Output 27 4 5 3" xfId="33140"/>
    <cellStyle name="Output 27 4 6" xfId="17445"/>
    <cellStyle name="Output 27 4 6 2" xfId="38632"/>
    <cellStyle name="Output 27 4 7" xfId="27752"/>
    <cellStyle name="Output 27 4_Table 2A-1_EFT (Annual)" xfId="3435"/>
    <cellStyle name="Output 27 5" xfId="2016"/>
    <cellStyle name="Output 27 5 2" xfId="5577"/>
    <cellStyle name="Output 27 5 2 2" xfId="13792"/>
    <cellStyle name="Output 27 5 2 2 2" xfId="25780"/>
    <cellStyle name="Output 27 5 2 2 2 2" xfId="46966"/>
    <cellStyle name="Output 27 5 2 2 3" xfId="36362"/>
    <cellStyle name="Output 27 5 2 3" xfId="20667"/>
    <cellStyle name="Output 27 5 2 3 2" xfId="41854"/>
    <cellStyle name="Output 27 5 2 4" xfId="31234"/>
    <cellStyle name="Output 27 5 2_Table 2A-1_EFT (Annual)" xfId="8057"/>
    <cellStyle name="Output 27 5 3" xfId="11136"/>
    <cellStyle name="Output 27 5 3 2" xfId="23234"/>
    <cellStyle name="Output 27 5 3 2 2" xfId="44420"/>
    <cellStyle name="Output 27 5 3 3" xfId="33816"/>
    <cellStyle name="Output 27 5 4" xfId="18121"/>
    <cellStyle name="Output 27 5 4 2" xfId="39308"/>
    <cellStyle name="Output 27 5 5" xfId="28491"/>
    <cellStyle name="Output 27 5_Table 2A-1_EFT (Annual)" xfId="8056"/>
    <cellStyle name="Output 27 6" xfId="1675"/>
    <cellStyle name="Output 27 6 2" xfId="5236"/>
    <cellStyle name="Output 27 6 2 2" xfId="13479"/>
    <cellStyle name="Output 27 6 2 2 2" xfId="25477"/>
    <cellStyle name="Output 27 6 2 2 2 2" xfId="46663"/>
    <cellStyle name="Output 27 6 2 2 3" xfId="36059"/>
    <cellStyle name="Output 27 6 2 3" xfId="20364"/>
    <cellStyle name="Output 27 6 2 3 2" xfId="41551"/>
    <cellStyle name="Output 27 6 2 4" xfId="30893"/>
    <cellStyle name="Output 27 6 2_Table 2A-1_EFT (Annual)" xfId="8059"/>
    <cellStyle name="Output 27 6 3" xfId="10824"/>
    <cellStyle name="Output 27 6 3 2" xfId="22931"/>
    <cellStyle name="Output 27 6 3 2 2" xfId="44117"/>
    <cellStyle name="Output 27 6 3 3" xfId="33513"/>
    <cellStyle name="Output 27 6 4" xfId="17818"/>
    <cellStyle name="Output 27 6 4 2" xfId="39005"/>
    <cellStyle name="Output 27 6 5" xfId="28150"/>
    <cellStyle name="Output 27 6_Table 2A-1_EFT (Annual)" xfId="8058"/>
    <cellStyle name="Output 27 7" xfId="3824"/>
    <cellStyle name="Output 27 7 2" xfId="12187"/>
    <cellStyle name="Output 27 7 2 2" xfId="24216"/>
    <cellStyle name="Output 27 7 2 2 2" xfId="45402"/>
    <cellStyle name="Output 27 7 2 3" xfId="34798"/>
    <cellStyle name="Output 27 7 3" xfId="19103"/>
    <cellStyle name="Output 27 7 3 2" xfId="40290"/>
    <cellStyle name="Output 27 7 4" xfId="29533"/>
    <cellStyle name="Output 27 7_Table 2A-1_EFT (Annual)" xfId="8060"/>
    <cellStyle name="Output 27 8" xfId="9506"/>
    <cellStyle name="Output 27 8 2" xfId="21670"/>
    <cellStyle name="Output 27 8 2 2" xfId="42856"/>
    <cellStyle name="Output 27 8 3" xfId="32252"/>
    <cellStyle name="Output 27 9" xfId="16557"/>
    <cellStyle name="Output 27 9 2" xfId="37744"/>
    <cellStyle name="Output 27_Table 2A-1_EFT (Annual)" xfId="3430"/>
    <cellStyle name="Output 28" xfId="208"/>
    <cellStyle name="Output 28 10" xfId="26763"/>
    <cellStyle name="Output 28 2" xfId="601"/>
    <cellStyle name="Output 28 2 2" xfId="1578"/>
    <cellStyle name="Output 28 2 2 2" xfId="2848"/>
    <cellStyle name="Output 28 2 2 2 2" xfId="6409"/>
    <cellStyle name="Output 28 2 2 2 2 2" xfId="14603"/>
    <cellStyle name="Output 28 2 2 2 2 2 2" xfId="26575"/>
    <cellStyle name="Output 28 2 2 2 2 2 2 2" xfId="47761"/>
    <cellStyle name="Output 28 2 2 2 2 2 3" xfId="37157"/>
    <cellStyle name="Output 28 2 2 2 2 3" xfId="21462"/>
    <cellStyle name="Output 28 2 2 2 2 3 2" xfId="42649"/>
    <cellStyle name="Output 28 2 2 2 2 4" xfId="32065"/>
    <cellStyle name="Output 28 2 2 2 2_Table 2A-1_EFT (Annual)" xfId="8062"/>
    <cellStyle name="Output 28 2 2 2 3" xfId="11945"/>
    <cellStyle name="Output 28 2 2 2 3 2" xfId="24029"/>
    <cellStyle name="Output 28 2 2 2 3 2 2" xfId="45215"/>
    <cellStyle name="Output 28 2 2 2 3 3" xfId="34611"/>
    <cellStyle name="Output 28 2 2 2 4" xfId="18916"/>
    <cellStyle name="Output 28 2 2 2 4 2" xfId="40103"/>
    <cellStyle name="Output 28 2 2 2 5" xfId="29322"/>
    <cellStyle name="Output 28 2 2 2_Table 2A-1_EFT (Annual)" xfId="8061"/>
    <cellStyle name="Output 28 2 2 3" xfId="1932"/>
    <cellStyle name="Output 28 2 2 3 2" xfId="5493"/>
    <cellStyle name="Output 28 2 2 3 2 2" xfId="13708"/>
    <cellStyle name="Output 28 2 2 3 2 2 2" xfId="25696"/>
    <cellStyle name="Output 28 2 2 3 2 2 2 2" xfId="46882"/>
    <cellStyle name="Output 28 2 2 3 2 2 3" xfId="36278"/>
    <cellStyle name="Output 28 2 2 3 2 3" xfId="20583"/>
    <cellStyle name="Output 28 2 2 3 2 3 2" xfId="41770"/>
    <cellStyle name="Output 28 2 2 3 2 4" xfId="31150"/>
    <cellStyle name="Output 28 2 2 3 2_Table 2A-1_EFT (Annual)" xfId="8064"/>
    <cellStyle name="Output 28 2 2 3 3" xfId="11052"/>
    <cellStyle name="Output 28 2 2 3 3 2" xfId="23150"/>
    <cellStyle name="Output 28 2 2 3 3 2 2" xfId="44336"/>
    <cellStyle name="Output 28 2 2 3 3 3" xfId="33732"/>
    <cellStyle name="Output 28 2 2 3 4" xfId="18037"/>
    <cellStyle name="Output 28 2 2 3 4 2" xfId="39224"/>
    <cellStyle name="Output 28 2 2 3 5" xfId="28407"/>
    <cellStyle name="Output 28 2 2 3_Table 2A-1_EFT (Annual)" xfId="8063"/>
    <cellStyle name="Output 28 2 2 4" xfId="5139"/>
    <cellStyle name="Output 28 2 2 4 2" xfId="13399"/>
    <cellStyle name="Output 28 2 2 4 2 2" xfId="25405"/>
    <cellStyle name="Output 28 2 2 4 2 2 2" xfId="46591"/>
    <cellStyle name="Output 28 2 2 4 2 3" xfId="35987"/>
    <cellStyle name="Output 28 2 2 4 3" xfId="20292"/>
    <cellStyle name="Output 28 2 2 4 3 2" xfId="41479"/>
    <cellStyle name="Output 28 2 2 4 4" xfId="30796"/>
    <cellStyle name="Output 28 2 2 4_Table 2A-1_EFT (Annual)" xfId="8065"/>
    <cellStyle name="Output 28 2 2 5" xfId="10743"/>
    <cellStyle name="Output 28 2 2 5 2" xfId="22859"/>
    <cellStyle name="Output 28 2 2 5 2 2" xfId="44045"/>
    <cellStyle name="Output 28 2 2 5 3" xfId="33441"/>
    <cellStyle name="Output 28 2 2 6" xfId="17746"/>
    <cellStyle name="Output 28 2 2 6 2" xfId="38933"/>
    <cellStyle name="Output 28 2 2 7" xfId="28053"/>
    <cellStyle name="Output 28 2 2_Table 2A-1_EFT (Annual)" xfId="3438"/>
    <cellStyle name="Output 28 2 3" xfId="2317"/>
    <cellStyle name="Output 28 2 3 2" xfId="5878"/>
    <cellStyle name="Output 28 2 3 2 2" xfId="14093"/>
    <cellStyle name="Output 28 2 3 2 2 2" xfId="26081"/>
    <cellStyle name="Output 28 2 3 2 2 2 2" xfId="47267"/>
    <cellStyle name="Output 28 2 3 2 2 3" xfId="36663"/>
    <cellStyle name="Output 28 2 3 2 3" xfId="20968"/>
    <cellStyle name="Output 28 2 3 2 3 2" xfId="42155"/>
    <cellStyle name="Output 28 2 3 2 4" xfId="31535"/>
    <cellStyle name="Output 28 2 3 2_Table 2A-1_EFT (Annual)" xfId="8067"/>
    <cellStyle name="Output 28 2 3 3" xfId="11437"/>
    <cellStyle name="Output 28 2 3 3 2" xfId="23535"/>
    <cellStyle name="Output 28 2 3 3 2 2" xfId="44721"/>
    <cellStyle name="Output 28 2 3 3 3" xfId="34117"/>
    <cellStyle name="Output 28 2 3 4" xfId="18422"/>
    <cellStyle name="Output 28 2 3 4 2" xfId="39609"/>
    <cellStyle name="Output 28 2 3 5" xfId="28792"/>
    <cellStyle name="Output 28 2 3_Table 2A-1_EFT (Annual)" xfId="8066"/>
    <cellStyle name="Output 28 2 4" xfId="1757"/>
    <cellStyle name="Output 28 2 4 2" xfId="5318"/>
    <cellStyle name="Output 28 2 4 2 2" xfId="13543"/>
    <cellStyle name="Output 28 2 4 2 2 2" xfId="25534"/>
    <cellStyle name="Output 28 2 4 2 2 2 2" xfId="46720"/>
    <cellStyle name="Output 28 2 4 2 2 3" xfId="36116"/>
    <cellStyle name="Output 28 2 4 2 3" xfId="20421"/>
    <cellStyle name="Output 28 2 4 2 3 2" xfId="41608"/>
    <cellStyle name="Output 28 2 4 2 4" xfId="30975"/>
    <cellStyle name="Output 28 2 4 2_Table 2A-1_EFT (Annual)" xfId="8069"/>
    <cellStyle name="Output 28 2 4 3" xfId="10886"/>
    <cellStyle name="Output 28 2 4 3 2" xfId="22988"/>
    <cellStyle name="Output 28 2 4 3 2 2" xfId="44174"/>
    <cellStyle name="Output 28 2 4 3 3" xfId="33570"/>
    <cellStyle name="Output 28 2 4 4" xfId="17875"/>
    <cellStyle name="Output 28 2 4 4 2" xfId="39062"/>
    <cellStyle name="Output 28 2 4 5" xfId="28232"/>
    <cellStyle name="Output 28 2 4_Table 2A-1_EFT (Annual)" xfId="8068"/>
    <cellStyle name="Output 28 2 5" xfId="4171"/>
    <cellStyle name="Output 28 2 5 2" xfId="12495"/>
    <cellStyle name="Output 28 2 5 2 2" xfId="24517"/>
    <cellStyle name="Output 28 2 5 2 2 2" xfId="45703"/>
    <cellStyle name="Output 28 2 5 2 3" xfId="35099"/>
    <cellStyle name="Output 28 2 5 3" xfId="19404"/>
    <cellStyle name="Output 28 2 5 3 2" xfId="40591"/>
    <cellStyle name="Output 28 2 5 4" xfId="29859"/>
    <cellStyle name="Output 28 2 5_Table 2A-1_EFT (Annual)" xfId="8070"/>
    <cellStyle name="Output 28 2 6" xfId="9834"/>
    <cellStyle name="Output 28 2 6 2" xfId="21971"/>
    <cellStyle name="Output 28 2 6 2 2" xfId="43157"/>
    <cellStyle name="Output 28 2 6 3" xfId="32553"/>
    <cellStyle name="Output 28 2 7" xfId="16858"/>
    <cellStyle name="Output 28 2 7 2" xfId="38045"/>
    <cellStyle name="Output 28 2 8" xfId="27116"/>
    <cellStyle name="Output 28 2_Table 2A-1_EFT (Annual)" xfId="3437"/>
    <cellStyle name="Output 28 3" xfId="436"/>
    <cellStyle name="Output 28 3 2" xfId="1419"/>
    <cellStyle name="Output 28 3 2 2" xfId="2689"/>
    <cellStyle name="Output 28 3 2 2 2" xfId="6250"/>
    <cellStyle name="Output 28 3 2 2 2 2" xfId="14444"/>
    <cellStyle name="Output 28 3 2 2 2 2 2" xfId="26416"/>
    <cellStyle name="Output 28 3 2 2 2 2 2 2" xfId="47602"/>
    <cellStyle name="Output 28 3 2 2 2 2 3" xfId="36998"/>
    <cellStyle name="Output 28 3 2 2 2 3" xfId="21303"/>
    <cellStyle name="Output 28 3 2 2 2 3 2" xfId="42490"/>
    <cellStyle name="Output 28 3 2 2 2 4" xfId="31906"/>
    <cellStyle name="Output 28 3 2 2 2_Table 2A-1_EFT (Annual)" xfId="8072"/>
    <cellStyle name="Output 28 3 2 2 3" xfId="11786"/>
    <cellStyle name="Output 28 3 2 2 3 2" xfId="23870"/>
    <cellStyle name="Output 28 3 2 2 3 2 2" xfId="45056"/>
    <cellStyle name="Output 28 3 2 2 3 3" xfId="34452"/>
    <cellStyle name="Output 28 3 2 2 4" xfId="18757"/>
    <cellStyle name="Output 28 3 2 2 4 2" xfId="39944"/>
    <cellStyle name="Output 28 3 2 2 5" xfId="29163"/>
    <cellStyle name="Output 28 3 2 2_Table 2A-1_EFT (Annual)" xfId="8071"/>
    <cellStyle name="Output 28 3 2 3" xfId="1901"/>
    <cellStyle name="Output 28 3 2 3 2" xfId="5462"/>
    <cellStyle name="Output 28 3 2 3 2 2" xfId="13677"/>
    <cellStyle name="Output 28 3 2 3 2 2 2" xfId="25665"/>
    <cellStyle name="Output 28 3 2 3 2 2 2 2" xfId="46851"/>
    <cellStyle name="Output 28 3 2 3 2 2 3" xfId="36247"/>
    <cellStyle name="Output 28 3 2 3 2 3" xfId="20552"/>
    <cellStyle name="Output 28 3 2 3 2 3 2" xfId="41739"/>
    <cellStyle name="Output 28 3 2 3 2 4" xfId="31119"/>
    <cellStyle name="Output 28 3 2 3 2_Table 2A-1_EFT (Annual)" xfId="8074"/>
    <cellStyle name="Output 28 3 2 3 3" xfId="11021"/>
    <cellStyle name="Output 28 3 2 3 3 2" xfId="23119"/>
    <cellStyle name="Output 28 3 2 3 3 2 2" xfId="44305"/>
    <cellStyle name="Output 28 3 2 3 3 3" xfId="33701"/>
    <cellStyle name="Output 28 3 2 3 4" xfId="18006"/>
    <cellStyle name="Output 28 3 2 3 4 2" xfId="39193"/>
    <cellStyle name="Output 28 3 2 3 5" xfId="28376"/>
    <cellStyle name="Output 28 3 2 3_Table 2A-1_EFT (Annual)" xfId="8073"/>
    <cellStyle name="Output 28 3 2 4" xfId="4980"/>
    <cellStyle name="Output 28 3 2 4 2" xfId="13240"/>
    <cellStyle name="Output 28 3 2 4 2 2" xfId="25246"/>
    <cellStyle name="Output 28 3 2 4 2 2 2" xfId="46432"/>
    <cellStyle name="Output 28 3 2 4 2 3" xfId="35828"/>
    <cellStyle name="Output 28 3 2 4 3" xfId="20133"/>
    <cellStyle name="Output 28 3 2 4 3 2" xfId="41320"/>
    <cellStyle name="Output 28 3 2 4 4" xfId="30637"/>
    <cellStyle name="Output 28 3 2 4_Table 2A-1_EFT (Annual)" xfId="8075"/>
    <cellStyle name="Output 28 3 2 5" xfId="10584"/>
    <cellStyle name="Output 28 3 2 5 2" xfId="22700"/>
    <cellStyle name="Output 28 3 2 5 2 2" xfId="43886"/>
    <cellStyle name="Output 28 3 2 5 3" xfId="33282"/>
    <cellStyle name="Output 28 3 2 6" xfId="17587"/>
    <cellStyle name="Output 28 3 2 6 2" xfId="38774"/>
    <cellStyle name="Output 28 3 2 7" xfId="27894"/>
    <cellStyle name="Output 28 3 2_Table 2A-1_EFT (Annual)" xfId="3440"/>
    <cellStyle name="Output 28 3 3" xfId="2158"/>
    <cellStyle name="Output 28 3 3 2" xfId="5719"/>
    <cellStyle name="Output 28 3 3 2 2" xfId="13934"/>
    <cellStyle name="Output 28 3 3 2 2 2" xfId="25922"/>
    <cellStyle name="Output 28 3 3 2 2 2 2" xfId="47108"/>
    <cellStyle name="Output 28 3 3 2 2 3" xfId="36504"/>
    <cellStyle name="Output 28 3 3 2 3" xfId="20809"/>
    <cellStyle name="Output 28 3 3 2 3 2" xfId="41996"/>
    <cellStyle name="Output 28 3 3 2 4" xfId="31376"/>
    <cellStyle name="Output 28 3 3 2_Table 2A-1_EFT (Annual)" xfId="8077"/>
    <cellStyle name="Output 28 3 3 3" xfId="11278"/>
    <cellStyle name="Output 28 3 3 3 2" xfId="23376"/>
    <cellStyle name="Output 28 3 3 3 2 2" xfId="44562"/>
    <cellStyle name="Output 28 3 3 3 3" xfId="33958"/>
    <cellStyle name="Output 28 3 3 4" xfId="18263"/>
    <cellStyle name="Output 28 3 3 4 2" xfId="39450"/>
    <cellStyle name="Output 28 3 3 5" xfId="28633"/>
    <cellStyle name="Output 28 3 3_Table 2A-1_EFT (Annual)" xfId="8076"/>
    <cellStyle name="Output 28 3 4" xfId="1721"/>
    <cellStyle name="Output 28 3 4 2" xfId="5282"/>
    <cellStyle name="Output 28 3 4 2 2" xfId="13511"/>
    <cellStyle name="Output 28 3 4 2 2 2" xfId="25504"/>
    <cellStyle name="Output 28 3 4 2 2 2 2" xfId="46690"/>
    <cellStyle name="Output 28 3 4 2 2 3" xfId="36086"/>
    <cellStyle name="Output 28 3 4 2 3" xfId="20391"/>
    <cellStyle name="Output 28 3 4 2 3 2" xfId="41578"/>
    <cellStyle name="Output 28 3 4 2 4" xfId="30939"/>
    <cellStyle name="Output 28 3 4 2_Table 2A-1_EFT (Annual)" xfId="8079"/>
    <cellStyle name="Output 28 3 4 3" xfId="10855"/>
    <cellStyle name="Output 28 3 4 3 2" xfId="22958"/>
    <cellStyle name="Output 28 3 4 3 2 2" xfId="44144"/>
    <cellStyle name="Output 28 3 4 3 3" xfId="33540"/>
    <cellStyle name="Output 28 3 4 4" xfId="17845"/>
    <cellStyle name="Output 28 3 4 4 2" xfId="39032"/>
    <cellStyle name="Output 28 3 4 5" xfId="28196"/>
    <cellStyle name="Output 28 3 4_Table 2A-1_EFT (Annual)" xfId="8078"/>
    <cellStyle name="Output 28 3 5" xfId="4006"/>
    <cellStyle name="Output 28 3 5 2" xfId="12334"/>
    <cellStyle name="Output 28 3 5 2 2" xfId="24358"/>
    <cellStyle name="Output 28 3 5 2 2 2" xfId="45544"/>
    <cellStyle name="Output 28 3 5 2 3" xfId="34940"/>
    <cellStyle name="Output 28 3 5 3" xfId="19245"/>
    <cellStyle name="Output 28 3 5 3 2" xfId="40432"/>
    <cellStyle name="Output 28 3 5 4" xfId="29694"/>
    <cellStyle name="Output 28 3 5_Table 2A-1_EFT (Annual)" xfId="8080"/>
    <cellStyle name="Output 28 3 6" xfId="9671"/>
    <cellStyle name="Output 28 3 6 2" xfId="21812"/>
    <cellStyle name="Output 28 3 6 2 2" xfId="42998"/>
    <cellStyle name="Output 28 3 6 3" xfId="32394"/>
    <cellStyle name="Output 28 3 7" xfId="16699"/>
    <cellStyle name="Output 28 3 7 2" xfId="37886"/>
    <cellStyle name="Output 28 3 8" xfId="26951"/>
    <cellStyle name="Output 28 3_Table 2A-1_EFT (Annual)" xfId="3439"/>
    <cellStyle name="Output 28 4" xfId="1256"/>
    <cellStyle name="Output 28 4 2" xfId="2526"/>
    <cellStyle name="Output 28 4 2 2" xfId="6087"/>
    <cellStyle name="Output 28 4 2 2 2" xfId="14281"/>
    <cellStyle name="Output 28 4 2 2 2 2" xfId="26253"/>
    <cellStyle name="Output 28 4 2 2 2 2 2" xfId="47439"/>
    <cellStyle name="Output 28 4 2 2 2 3" xfId="36835"/>
    <cellStyle name="Output 28 4 2 2 3" xfId="21140"/>
    <cellStyle name="Output 28 4 2 2 3 2" xfId="42327"/>
    <cellStyle name="Output 28 4 2 2 4" xfId="31743"/>
    <cellStyle name="Output 28 4 2 2_Table 2A-1_EFT (Annual)" xfId="8082"/>
    <cellStyle name="Output 28 4 2 3" xfId="11623"/>
    <cellStyle name="Output 28 4 2 3 2" xfId="23707"/>
    <cellStyle name="Output 28 4 2 3 2 2" xfId="44893"/>
    <cellStyle name="Output 28 4 2 3 3" xfId="34289"/>
    <cellStyle name="Output 28 4 2 4" xfId="18594"/>
    <cellStyle name="Output 28 4 2 4 2" xfId="39781"/>
    <cellStyle name="Output 28 4 2 5" xfId="29000"/>
    <cellStyle name="Output 28 4 2_Table 2A-1_EFT (Annual)" xfId="8081"/>
    <cellStyle name="Output 28 4 3" xfId="1837"/>
    <cellStyle name="Output 28 4 3 2" xfId="5398"/>
    <cellStyle name="Output 28 4 3 2 2" xfId="13613"/>
    <cellStyle name="Output 28 4 3 2 2 2" xfId="25601"/>
    <cellStyle name="Output 28 4 3 2 2 2 2" xfId="46787"/>
    <cellStyle name="Output 28 4 3 2 2 3" xfId="36183"/>
    <cellStyle name="Output 28 4 3 2 3" xfId="20488"/>
    <cellStyle name="Output 28 4 3 2 3 2" xfId="41675"/>
    <cellStyle name="Output 28 4 3 2 4" xfId="31055"/>
    <cellStyle name="Output 28 4 3 2_Table 2A-1_EFT (Annual)" xfId="8084"/>
    <cellStyle name="Output 28 4 3 3" xfId="10957"/>
    <cellStyle name="Output 28 4 3 3 2" xfId="23055"/>
    <cellStyle name="Output 28 4 3 3 2 2" xfId="44241"/>
    <cellStyle name="Output 28 4 3 3 3" xfId="33637"/>
    <cellStyle name="Output 28 4 3 4" xfId="17942"/>
    <cellStyle name="Output 28 4 3 4 2" xfId="39129"/>
    <cellStyle name="Output 28 4 3 5" xfId="28312"/>
    <cellStyle name="Output 28 4 3_Table 2A-1_EFT (Annual)" xfId="8083"/>
    <cellStyle name="Output 28 4 4" xfId="4817"/>
    <cellStyle name="Output 28 4 4 2" xfId="13077"/>
    <cellStyle name="Output 28 4 4 2 2" xfId="25083"/>
    <cellStyle name="Output 28 4 4 2 2 2" xfId="46269"/>
    <cellStyle name="Output 28 4 4 2 3" xfId="35665"/>
    <cellStyle name="Output 28 4 4 3" xfId="19970"/>
    <cellStyle name="Output 28 4 4 3 2" xfId="41157"/>
    <cellStyle name="Output 28 4 4 4" xfId="30474"/>
    <cellStyle name="Output 28 4 4_Table 2A-1_EFT (Annual)" xfId="8085"/>
    <cellStyle name="Output 28 4 5" xfId="10421"/>
    <cellStyle name="Output 28 4 5 2" xfId="22537"/>
    <cellStyle name="Output 28 4 5 2 2" xfId="43723"/>
    <cellStyle name="Output 28 4 5 3" xfId="33119"/>
    <cellStyle name="Output 28 4 6" xfId="17424"/>
    <cellStyle name="Output 28 4 6 2" xfId="38611"/>
    <cellStyle name="Output 28 4 7" xfId="27731"/>
    <cellStyle name="Output 28 4_Table 2A-1_EFT (Annual)" xfId="3441"/>
    <cellStyle name="Output 28 5" xfId="1995"/>
    <cellStyle name="Output 28 5 2" xfId="5556"/>
    <cellStyle name="Output 28 5 2 2" xfId="13771"/>
    <cellStyle name="Output 28 5 2 2 2" xfId="25759"/>
    <cellStyle name="Output 28 5 2 2 2 2" xfId="46945"/>
    <cellStyle name="Output 28 5 2 2 3" xfId="36341"/>
    <cellStyle name="Output 28 5 2 3" xfId="20646"/>
    <cellStyle name="Output 28 5 2 3 2" xfId="41833"/>
    <cellStyle name="Output 28 5 2 4" xfId="31213"/>
    <cellStyle name="Output 28 5 2_Table 2A-1_EFT (Annual)" xfId="8087"/>
    <cellStyle name="Output 28 5 3" xfId="11115"/>
    <cellStyle name="Output 28 5 3 2" xfId="23213"/>
    <cellStyle name="Output 28 5 3 2 2" xfId="44399"/>
    <cellStyle name="Output 28 5 3 3" xfId="33795"/>
    <cellStyle name="Output 28 5 4" xfId="18100"/>
    <cellStyle name="Output 28 5 4 2" xfId="39287"/>
    <cellStyle name="Output 28 5 5" xfId="28470"/>
    <cellStyle name="Output 28 5_Table 2A-1_EFT (Annual)" xfId="8086"/>
    <cellStyle name="Output 28 6" xfId="1664"/>
    <cellStyle name="Output 28 6 2" xfId="5225"/>
    <cellStyle name="Output 28 6 2 2" xfId="13472"/>
    <cellStyle name="Output 28 6 2 2 2" xfId="25472"/>
    <cellStyle name="Output 28 6 2 2 2 2" xfId="46658"/>
    <cellStyle name="Output 28 6 2 2 3" xfId="36054"/>
    <cellStyle name="Output 28 6 2 3" xfId="20359"/>
    <cellStyle name="Output 28 6 2 3 2" xfId="41546"/>
    <cellStyle name="Output 28 6 2 4" xfId="30882"/>
    <cellStyle name="Output 28 6 2_Table 2A-1_EFT (Annual)" xfId="8089"/>
    <cellStyle name="Output 28 6 3" xfId="10817"/>
    <cellStyle name="Output 28 6 3 2" xfId="22926"/>
    <cellStyle name="Output 28 6 3 2 2" xfId="44112"/>
    <cellStyle name="Output 28 6 3 3" xfId="33508"/>
    <cellStyle name="Output 28 6 4" xfId="17813"/>
    <cellStyle name="Output 28 6 4 2" xfId="39000"/>
    <cellStyle name="Output 28 6 5" xfId="28139"/>
    <cellStyle name="Output 28 6_Table 2A-1_EFT (Annual)" xfId="8088"/>
    <cellStyle name="Output 28 7" xfId="3797"/>
    <cellStyle name="Output 28 7 2" xfId="12165"/>
    <cellStyle name="Output 28 7 2 2" xfId="24195"/>
    <cellStyle name="Output 28 7 2 2 2" xfId="45381"/>
    <cellStyle name="Output 28 7 2 3" xfId="34777"/>
    <cellStyle name="Output 28 7 3" xfId="19082"/>
    <cellStyle name="Output 28 7 3 2" xfId="40269"/>
    <cellStyle name="Output 28 7 4" xfId="29506"/>
    <cellStyle name="Output 28 7_Table 2A-1_EFT (Annual)" xfId="8090"/>
    <cellStyle name="Output 28 8" xfId="9484"/>
    <cellStyle name="Output 28 8 2" xfId="21649"/>
    <cellStyle name="Output 28 8 2 2" xfId="42835"/>
    <cellStyle name="Output 28 8 3" xfId="32231"/>
    <cellStyle name="Output 28 9" xfId="16536"/>
    <cellStyle name="Output 28 9 2" xfId="37723"/>
    <cellStyle name="Output 28_Table 2A-1_EFT (Annual)" xfId="3436"/>
    <cellStyle name="Output 29" xfId="218"/>
    <cellStyle name="Output 29 10" xfId="26773"/>
    <cellStyle name="Output 29 2" xfId="611"/>
    <cellStyle name="Output 29 2 2" xfId="1588"/>
    <cellStyle name="Output 29 2 2 2" xfId="2858"/>
    <cellStyle name="Output 29 2 2 2 2" xfId="6419"/>
    <cellStyle name="Output 29 2 2 2 2 2" xfId="14613"/>
    <cellStyle name="Output 29 2 2 2 2 2 2" xfId="26585"/>
    <cellStyle name="Output 29 2 2 2 2 2 2 2" xfId="47771"/>
    <cellStyle name="Output 29 2 2 2 2 2 3" xfId="37167"/>
    <cellStyle name="Output 29 2 2 2 2 3" xfId="21472"/>
    <cellStyle name="Output 29 2 2 2 2 3 2" xfId="42659"/>
    <cellStyle name="Output 29 2 2 2 2 4" xfId="32075"/>
    <cellStyle name="Output 29 2 2 2 2_Table 2A-1_EFT (Annual)" xfId="8092"/>
    <cellStyle name="Output 29 2 2 2 3" xfId="11955"/>
    <cellStyle name="Output 29 2 2 2 3 2" xfId="24039"/>
    <cellStyle name="Output 29 2 2 2 3 2 2" xfId="45225"/>
    <cellStyle name="Output 29 2 2 2 3 3" xfId="34621"/>
    <cellStyle name="Output 29 2 2 2 4" xfId="18926"/>
    <cellStyle name="Output 29 2 2 2 4 2" xfId="40113"/>
    <cellStyle name="Output 29 2 2 2 5" xfId="29332"/>
    <cellStyle name="Output 29 2 2 2_Table 2A-1_EFT (Annual)" xfId="8091"/>
    <cellStyle name="Output 29 2 2 3" xfId="1934"/>
    <cellStyle name="Output 29 2 2 3 2" xfId="5495"/>
    <cellStyle name="Output 29 2 2 3 2 2" xfId="13710"/>
    <cellStyle name="Output 29 2 2 3 2 2 2" xfId="25698"/>
    <cellStyle name="Output 29 2 2 3 2 2 2 2" xfId="46884"/>
    <cellStyle name="Output 29 2 2 3 2 2 3" xfId="36280"/>
    <cellStyle name="Output 29 2 2 3 2 3" xfId="20585"/>
    <cellStyle name="Output 29 2 2 3 2 3 2" xfId="41772"/>
    <cellStyle name="Output 29 2 2 3 2 4" xfId="31152"/>
    <cellStyle name="Output 29 2 2 3 2_Table 2A-1_EFT (Annual)" xfId="8094"/>
    <cellStyle name="Output 29 2 2 3 3" xfId="11054"/>
    <cellStyle name="Output 29 2 2 3 3 2" xfId="23152"/>
    <cellStyle name="Output 29 2 2 3 3 2 2" xfId="44338"/>
    <cellStyle name="Output 29 2 2 3 3 3" xfId="33734"/>
    <cellStyle name="Output 29 2 2 3 4" xfId="18039"/>
    <cellStyle name="Output 29 2 2 3 4 2" xfId="39226"/>
    <cellStyle name="Output 29 2 2 3 5" xfId="28409"/>
    <cellStyle name="Output 29 2 2 3_Table 2A-1_EFT (Annual)" xfId="8093"/>
    <cellStyle name="Output 29 2 2 4" xfId="5149"/>
    <cellStyle name="Output 29 2 2 4 2" xfId="13409"/>
    <cellStyle name="Output 29 2 2 4 2 2" xfId="25415"/>
    <cellStyle name="Output 29 2 2 4 2 2 2" xfId="46601"/>
    <cellStyle name="Output 29 2 2 4 2 3" xfId="35997"/>
    <cellStyle name="Output 29 2 2 4 3" xfId="20302"/>
    <cellStyle name="Output 29 2 2 4 3 2" xfId="41489"/>
    <cellStyle name="Output 29 2 2 4 4" xfId="30806"/>
    <cellStyle name="Output 29 2 2 4_Table 2A-1_EFT (Annual)" xfId="8095"/>
    <cellStyle name="Output 29 2 2 5" xfId="10753"/>
    <cellStyle name="Output 29 2 2 5 2" xfId="22869"/>
    <cellStyle name="Output 29 2 2 5 2 2" xfId="44055"/>
    <cellStyle name="Output 29 2 2 5 3" xfId="33451"/>
    <cellStyle name="Output 29 2 2 6" xfId="17756"/>
    <cellStyle name="Output 29 2 2 6 2" xfId="38943"/>
    <cellStyle name="Output 29 2 2 7" xfId="28063"/>
    <cellStyle name="Output 29 2 2_Table 2A-1_EFT (Annual)" xfId="3444"/>
    <cellStyle name="Output 29 2 3" xfId="2327"/>
    <cellStyle name="Output 29 2 3 2" xfId="5888"/>
    <cellStyle name="Output 29 2 3 2 2" xfId="14103"/>
    <cellStyle name="Output 29 2 3 2 2 2" xfId="26091"/>
    <cellStyle name="Output 29 2 3 2 2 2 2" xfId="47277"/>
    <cellStyle name="Output 29 2 3 2 2 3" xfId="36673"/>
    <cellStyle name="Output 29 2 3 2 3" xfId="20978"/>
    <cellStyle name="Output 29 2 3 2 3 2" xfId="42165"/>
    <cellStyle name="Output 29 2 3 2 4" xfId="31545"/>
    <cellStyle name="Output 29 2 3 2_Table 2A-1_EFT (Annual)" xfId="8097"/>
    <cellStyle name="Output 29 2 3 3" xfId="11447"/>
    <cellStyle name="Output 29 2 3 3 2" xfId="23545"/>
    <cellStyle name="Output 29 2 3 3 2 2" xfId="44731"/>
    <cellStyle name="Output 29 2 3 3 3" xfId="34127"/>
    <cellStyle name="Output 29 2 3 4" xfId="18432"/>
    <cellStyle name="Output 29 2 3 4 2" xfId="39619"/>
    <cellStyle name="Output 29 2 3 5" xfId="28802"/>
    <cellStyle name="Output 29 2 3_Table 2A-1_EFT (Annual)" xfId="8096"/>
    <cellStyle name="Output 29 2 4" xfId="1759"/>
    <cellStyle name="Output 29 2 4 2" xfId="5320"/>
    <cellStyle name="Output 29 2 4 2 2" xfId="13545"/>
    <cellStyle name="Output 29 2 4 2 2 2" xfId="25536"/>
    <cellStyle name="Output 29 2 4 2 2 2 2" xfId="46722"/>
    <cellStyle name="Output 29 2 4 2 2 3" xfId="36118"/>
    <cellStyle name="Output 29 2 4 2 3" xfId="20423"/>
    <cellStyle name="Output 29 2 4 2 3 2" xfId="41610"/>
    <cellStyle name="Output 29 2 4 2 4" xfId="30977"/>
    <cellStyle name="Output 29 2 4 2_Table 2A-1_EFT (Annual)" xfId="8099"/>
    <cellStyle name="Output 29 2 4 3" xfId="10888"/>
    <cellStyle name="Output 29 2 4 3 2" xfId="22990"/>
    <cellStyle name="Output 29 2 4 3 2 2" xfId="44176"/>
    <cellStyle name="Output 29 2 4 3 3" xfId="33572"/>
    <cellStyle name="Output 29 2 4 4" xfId="17877"/>
    <cellStyle name="Output 29 2 4 4 2" xfId="39064"/>
    <cellStyle name="Output 29 2 4 5" xfId="28234"/>
    <cellStyle name="Output 29 2 4_Table 2A-1_EFT (Annual)" xfId="8098"/>
    <cellStyle name="Output 29 2 5" xfId="4181"/>
    <cellStyle name="Output 29 2 5 2" xfId="12505"/>
    <cellStyle name="Output 29 2 5 2 2" xfId="24527"/>
    <cellStyle name="Output 29 2 5 2 2 2" xfId="45713"/>
    <cellStyle name="Output 29 2 5 2 3" xfId="35109"/>
    <cellStyle name="Output 29 2 5 3" xfId="19414"/>
    <cellStyle name="Output 29 2 5 3 2" xfId="40601"/>
    <cellStyle name="Output 29 2 5 4" xfId="29869"/>
    <cellStyle name="Output 29 2 5_Table 2A-1_EFT (Annual)" xfId="8100"/>
    <cellStyle name="Output 29 2 6" xfId="9844"/>
    <cellStyle name="Output 29 2 6 2" xfId="21981"/>
    <cellStyle name="Output 29 2 6 2 2" xfId="43167"/>
    <cellStyle name="Output 29 2 6 3" xfId="32563"/>
    <cellStyle name="Output 29 2 7" xfId="16868"/>
    <cellStyle name="Output 29 2 7 2" xfId="38055"/>
    <cellStyle name="Output 29 2 8" xfId="27126"/>
    <cellStyle name="Output 29 2_Table 2A-1_EFT (Annual)" xfId="3443"/>
    <cellStyle name="Output 29 3" xfId="446"/>
    <cellStyle name="Output 29 3 2" xfId="1429"/>
    <cellStyle name="Output 29 3 2 2" xfId="2699"/>
    <cellStyle name="Output 29 3 2 2 2" xfId="6260"/>
    <cellStyle name="Output 29 3 2 2 2 2" xfId="14454"/>
    <cellStyle name="Output 29 3 2 2 2 2 2" xfId="26426"/>
    <cellStyle name="Output 29 3 2 2 2 2 2 2" xfId="47612"/>
    <cellStyle name="Output 29 3 2 2 2 2 3" xfId="37008"/>
    <cellStyle name="Output 29 3 2 2 2 3" xfId="21313"/>
    <cellStyle name="Output 29 3 2 2 2 3 2" xfId="42500"/>
    <cellStyle name="Output 29 3 2 2 2 4" xfId="31916"/>
    <cellStyle name="Output 29 3 2 2 2_Table 2A-1_EFT (Annual)" xfId="8102"/>
    <cellStyle name="Output 29 3 2 2 3" xfId="11796"/>
    <cellStyle name="Output 29 3 2 2 3 2" xfId="23880"/>
    <cellStyle name="Output 29 3 2 2 3 2 2" xfId="45066"/>
    <cellStyle name="Output 29 3 2 2 3 3" xfId="34462"/>
    <cellStyle name="Output 29 3 2 2 4" xfId="18767"/>
    <cellStyle name="Output 29 3 2 2 4 2" xfId="39954"/>
    <cellStyle name="Output 29 3 2 2 5" xfId="29173"/>
    <cellStyle name="Output 29 3 2 2_Table 2A-1_EFT (Annual)" xfId="8101"/>
    <cellStyle name="Output 29 3 2 3" xfId="1903"/>
    <cellStyle name="Output 29 3 2 3 2" xfId="5464"/>
    <cellStyle name="Output 29 3 2 3 2 2" xfId="13679"/>
    <cellStyle name="Output 29 3 2 3 2 2 2" xfId="25667"/>
    <cellStyle name="Output 29 3 2 3 2 2 2 2" xfId="46853"/>
    <cellStyle name="Output 29 3 2 3 2 2 3" xfId="36249"/>
    <cellStyle name="Output 29 3 2 3 2 3" xfId="20554"/>
    <cellStyle name="Output 29 3 2 3 2 3 2" xfId="41741"/>
    <cellStyle name="Output 29 3 2 3 2 4" xfId="31121"/>
    <cellStyle name="Output 29 3 2 3 2_Table 2A-1_EFT (Annual)" xfId="8104"/>
    <cellStyle name="Output 29 3 2 3 3" xfId="11023"/>
    <cellStyle name="Output 29 3 2 3 3 2" xfId="23121"/>
    <cellStyle name="Output 29 3 2 3 3 2 2" xfId="44307"/>
    <cellStyle name="Output 29 3 2 3 3 3" xfId="33703"/>
    <cellStyle name="Output 29 3 2 3 4" xfId="18008"/>
    <cellStyle name="Output 29 3 2 3 4 2" xfId="39195"/>
    <cellStyle name="Output 29 3 2 3 5" xfId="28378"/>
    <cellStyle name="Output 29 3 2 3_Table 2A-1_EFT (Annual)" xfId="8103"/>
    <cellStyle name="Output 29 3 2 4" xfId="4990"/>
    <cellStyle name="Output 29 3 2 4 2" xfId="13250"/>
    <cellStyle name="Output 29 3 2 4 2 2" xfId="25256"/>
    <cellStyle name="Output 29 3 2 4 2 2 2" xfId="46442"/>
    <cellStyle name="Output 29 3 2 4 2 3" xfId="35838"/>
    <cellStyle name="Output 29 3 2 4 3" xfId="20143"/>
    <cellStyle name="Output 29 3 2 4 3 2" xfId="41330"/>
    <cellStyle name="Output 29 3 2 4 4" xfId="30647"/>
    <cellStyle name="Output 29 3 2 4_Table 2A-1_EFT (Annual)" xfId="8105"/>
    <cellStyle name="Output 29 3 2 5" xfId="10594"/>
    <cellStyle name="Output 29 3 2 5 2" xfId="22710"/>
    <cellStyle name="Output 29 3 2 5 2 2" xfId="43896"/>
    <cellStyle name="Output 29 3 2 5 3" xfId="33292"/>
    <cellStyle name="Output 29 3 2 6" xfId="17597"/>
    <cellStyle name="Output 29 3 2 6 2" xfId="38784"/>
    <cellStyle name="Output 29 3 2 7" xfId="27904"/>
    <cellStyle name="Output 29 3 2_Table 2A-1_EFT (Annual)" xfId="3446"/>
    <cellStyle name="Output 29 3 3" xfId="2168"/>
    <cellStyle name="Output 29 3 3 2" xfId="5729"/>
    <cellStyle name="Output 29 3 3 2 2" xfId="13944"/>
    <cellStyle name="Output 29 3 3 2 2 2" xfId="25932"/>
    <cellStyle name="Output 29 3 3 2 2 2 2" xfId="47118"/>
    <cellStyle name="Output 29 3 3 2 2 3" xfId="36514"/>
    <cellStyle name="Output 29 3 3 2 3" xfId="20819"/>
    <cellStyle name="Output 29 3 3 2 3 2" xfId="42006"/>
    <cellStyle name="Output 29 3 3 2 4" xfId="31386"/>
    <cellStyle name="Output 29 3 3 2_Table 2A-1_EFT (Annual)" xfId="8107"/>
    <cellStyle name="Output 29 3 3 3" xfId="11288"/>
    <cellStyle name="Output 29 3 3 3 2" xfId="23386"/>
    <cellStyle name="Output 29 3 3 3 2 2" xfId="44572"/>
    <cellStyle name="Output 29 3 3 3 3" xfId="33968"/>
    <cellStyle name="Output 29 3 3 4" xfId="18273"/>
    <cellStyle name="Output 29 3 3 4 2" xfId="39460"/>
    <cellStyle name="Output 29 3 3 5" xfId="28643"/>
    <cellStyle name="Output 29 3 3_Table 2A-1_EFT (Annual)" xfId="8106"/>
    <cellStyle name="Output 29 3 4" xfId="1723"/>
    <cellStyle name="Output 29 3 4 2" xfId="5284"/>
    <cellStyle name="Output 29 3 4 2 2" xfId="13513"/>
    <cellStyle name="Output 29 3 4 2 2 2" xfId="25506"/>
    <cellStyle name="Output 29 3 4 2 2 2 2" xfId="46692"/>
    <cellStyle name="Output 29 3 4 2 2 3" xfId="36088"/>
    <cellStyle name="Output 29 3 4 2 3" xfId="20393"/>
    <cellStyle name="Output 29 3 4 2 3 2" xfId="41580"/>
    <cellStyle name="Output 29 3 4 2 4" xfId="30941"/>
    <cellStyle name="Output 29 3 4 2_Table 2A-1_EFT (Annual)" xfId="8109"/>
    <cellStyle name="Output 29 3 4 3" xfId="10857"/>
    <cellStyle name="Output 29 3 4 3 2" xfId="22960"/>
    <cellStyle name="Output 29 3 4 3 2 2" xfId="44146"/>
    <cellStyle name="Output 29 3 4 3 3" xfId="33542"/>
    <cellStyle name="Output 29 3 4 4" xfId="17847"/>
    <cellStyle name="Output 29 3 4 4 2" xfId="39034"/>
    <cellStyle name="Output 29 3 4 5" xfId="28198"/>
    <cellStyle name="Output 29 3 4_Table 2A-1_EFT (Annual)" xfId="8108"/>
    <cellStyle name="Output 29 3 5" xfId="4016"/>
    <cellStyle name="Output 29 3 5 2" xfId="12344"/>
    <cellStyle name="Output 29 3 5 2 2" xfId="24368"/>
    <cellStyle name="Output 29 3 5 2 2 2" xfId="45554"/>
    <cellStyle name="Output 29 3 5 2 3" xfId="34950"/>
    <cellStyle name="Output 29 3 5 3" xfId="19255"/>
    <cellStyle name="Output 29 3 5 3 2" xfId="40442"/>
    <cellStyle name="Output 29 3 5 4" xfId="29704"/>
    <cellStyle name="Output 29 3 5_Table 2A-1_EFT (Annual)" xfId="8110"/>
    <cellStyle name="Output 29 3 6" xfId="9681"/>
    <cellStyle name="Output 29 3 6 2" xfId="21822"/>
    <cellStyle name="Output 29 3 6 2 2" xfId="43008"/>
    <cellStyle name="Output 29 3 6 3" xfId="32404"/>
    <cellStyle name="Output 29 3 7" xfId="16709"/>
    <cellStyle name="Output 29 3 7 2" xfId="37896"/>
    <cellStyle name="Output 29 3 8" xfId="26961"/>
    <cellStyle name="Output 29 3_Table 2A-1_EFT (Annual)" xfId="3445"/>
    <cellStyle name="Output 29 4" xfId="1266"/>
    <cellStyle name="Output 29 4 2" xfId="2536"/>
    <cellStyle name="Output 29 4 2 2" xfId="6097"/>
    <cellStyle name="Output 29 4 2 2 2" xfId="14291"/>
    <cellStyle name="Output 29 4 2 2 2 2" xfId="26263"/>
    <cellStyle name="Output 29 4 2 2 2 2 2" xfId="47449"/>
    <cellStyle name="Output 29 4 2 2 2 3" xfId="36845"/>
    <cellStyle name="Output 29 4 2 2 3" xfId="21150"/>
    <cellStyle name="Output 29 4 2 2 3 2" xfId="42337"/>
    <cellStyle name="Output 29 4 2 2 4" xfId="31753"/>
    <cellStyle name="Output 29 4 2 2_Table 2A-1_EFT (Annual)" xfId="8112"/>
    <cellStyle name="Output 29 4 2 3" xfId="11633"/>
    <cellStyle name="Output 29 4 2 3 2" xfId="23717"/>
    <cellStyle name="Output 29 4 2 3 2 2" xfId="44903"/>
    <cellStyle name="Output 29 4 2 3 3" xfId="34299"/>
    <cellStyle name="Output 29 4 2 4" xfId="18604"/>
    <cellStyle name="Output 29 4 2 4 2" xfId="39791"/>
    <cellStyle name="Output 29 4 2 5" xfId="29010"/>
    <cellStyle name="Output 29 4 2_Table 2A-1_EFT (Annual)" xfId="8111"/>
    <cellStyle name="Output 29 4 3" xfId="1839"/>
    <cellStyle name="Output 29 4 3 2" xfId="5400"/>
    <cellStyle name="Output 29 4 3 2 2" xfId="13615"/>
    <cellStyle name="Output 29 4 3 2 2 2" xfId="25603"/>
    <cellStyle name="Output 29 4 3 2 2 2 2" xfId="46789"/>
    <cellStyle name="Output 29 4 3 2 2 3" xfId="36185"/>
    <cellStyle name="Output 29 4 3 2 3" xfId="20490"/>
    <cellStyle name="Output 29 4 3 2 3 2" xfId="41677"/>
    <cellStyle name="Output 29 4 3 2 4" xfId="31057"/>
    <cellStyle name="Output 29 4 3 2_Table 2A-1_EFT (Annual)" xfId="8114"/>
    <cellStyle name="Output 29 4 3 3" xfId="10959"/>
    <cellStyle name="Output 29 4 3 3 2" xfId="23057"/>
    <cellStyle name="Output 29 4 3 3 2 2" xfId="44243"/>
    <cellStyle name="Output 29 4 3 3 3" xfId="33639"/>
    <cellStyle name="Output 29 4 3 4" xfId="17944"/>
    <cellStyle name="Output 29 4 3 4 2" xfId="39131"/>
    <cellStyle name="Output 29 4 3 5" xfId="28314"/>
    <cellStyle name="Output 29 4 3_Table 2A-1_EFT (Annual)" xfId="8113"/>
    <cellStyle name="Output 29 4 4" xfId="4827"/>
    <cellStyle name="Output 29 4 4 2" xfId="13087"/>
    <cellStyle name="Output 29 4 4 2 2" xfId="25093"/>
    <cellStyle name="Output 29 4 4 2 2 2" xfId="46279"/>
    <cellStyle name="Output 29 4 4 2 3" xfId="35675"/>
    <cellStyle name="Output 29 4 4 3" xfId="19980"/>
    <cellStyle name="Output 29 4 4 3 2" xfId="41167"/>
    <cellStyle name="Output 29 4 4 4" xfId="30484"/>
    <cellStyle name="Output 29 4 4_Table 2A-1_EFT (Annual)" xfId="8115"/>
    <cellStyle name="Output 29 4 5" xfId="10431"/>
    <cellStyle name="Output 29 4 5 2" xfId="22547"/>
    <cellStyle name="Output 29 4 5 2 2" xfId="43733"/>
    <cellStyle name="Output 29 4 5 3" xfId="33129"/>
    <cellStyle name="Output 29 4 6" xfId="17434"/>
    <cellStyle name="Output 29 4 6 2" xfId="38621"/>
    <cellStyle name="Output 29 4 7" xfId="27741"/>
    <cellStyle name="Output 29 4_Table 2A-1_EFT (Annual)" xfId="3447"/>
    <cellStyle name="Output 29 5" xfId="2005"/>
    <cellStyle name="Output 29 5 2" xfId="5566"/>
    <cellStyle name="Output 29 5 2 2" xfId="13781"/>
    <cellStyle name="Output 29 5 2 2 2" xfId="25769"/>
    <cellStyle name="Output 29 5 2 2 2 2" xfId="46955"/>
    <cellStyle name="Output 29 5 2 2 3" xfId="36351"/>
    <cellStyle name="Output 29 5 2 3" xfId="20656"/>
    <cellStyle name="Output 29 5 2 3 2" xfId="41843"/>
    <cellStyle name="Output 29 5 2 4" xfId="31223"/>
    <cellStyle name="Output 29 5 2_Table 2A-1_EFT (Annual)" xfId="8117"/>
    <cellStyle name="Output 29 5 3" xfId="11125"/>
    <cellStyle name="Output 29 5 3 2" xfId="23223"/>
    <cellStyle name="Output 29 5 3 2 2" xfId="44409"/>
    <cellStyle name="Output 29 5 3 3" xfId="33805"/>
    <cellStyle name="Output 29 5 4" xfId="18110"/>
    <cellStyle name="Output 29 5 4 2" xfId="39297"/>
    <cellStyle name="Output 29 5 5" xfId="28480"/>
    <cellStyle name="Output 29 5_Table 2A-1_EFT (Annual)" xfId="8116"/>
    <cellStyle name="Output 29 6" xfId="1666"/>
    <cellStyle name="Output 29 6 2" xfId="5227"/>
    <cellStyle name="Output 29 6 2 2" xfId="13474"/>
    <cellStyle name="Output 29 6 2 2 2" xfId="25474"/>
    <cellStyle name="Output 29 6 2 2 2 2" xfId="46660"/>
    <cellStyle name="Output 29 6 2 2 3" xfId="36056"/>
    <cellStyle name="Output 29 6 2 3" xfId="20361"/>
    <cellStyle name="Output 29 6 2 3 2" xfId="41548"/>
    <cellStyle name="Output 29 6 2 4" xfId="30884"/>
    <cellStyle name="Output 29 6 2_Table 2A-1_EFT (Annual)" xfId="8119"/>
    <cellStyle name="Output 29 6 3" xfId="10819"/>
    <cellStyle name="Output 29 6 3 2" xfId="22928"/>
    <cellStyle name="Output 29 6 3 2 2" xfId="44114"/>
    <cellStyle name="Output 29 6 3 3" xfId="33510"/>
    <cellStyle name="Output 29 6 4" xfId="17815"/>
    <cellStyle name="Output 29 6 4 2" xfId="39002"/>
    <cellStyle name="Output 29 6 5" xfId="28141"/>
    <cellStyle name="Output 29 6_Table 2A-1_EFT (Annual)" xfId="8118"/>
    <cellStyle name="Output 29 7" xfId="3807"/>
    <cellStyle name="Output 29 7 2" xfId="12175"/>
    <cellStyle name="Output 29 7 2 2" xfId="24205"/>
    <cellStyle name="Output 29 7 2 2 2" xfId="45391"/>
    <cellStyle name="Output 29 7 2 3" xfId="34787"/>
    <cellStyle name="Output 29 7 3" xfId="19092"/>
    <cellStyle name="Output 29 7 3 2" xfId="40279"/>
    <cellStyle name="Output 29 7 4" xfId="29516"/>
    <cellStyle name="Output 29 7_Table 2A-1_EFT (Annual)" xfId="8120"/>
    <cellStyle name="Output 29 8" xfId="9494"/>
    <cellStyle name="Output 29 8 2" xfId="21659"/>
    <cellStyle name="Output 29 8 2 2" xfId="42845"/>
    <cellStyle name="Output 29 8 3" xfId="32241"/>
    <cellStyle name="Output 29 9" xfId="16546"/>
    <cellStyle name="Output 29 9 2" xfId="37733"/>
    <cellStyle name="Output 29_Table 2A-1_EFT (Annual)" xfId="3442"/>
    <cellStyle name="Output 3" xfId="114"/>
    <cellStyle name="Output 3 10" xfId="21509"/>
    <cellStyle name="Output 3 10 2" xfId="42696"/>
    <cellStyle name="Output 3 11" xfId="26669"/>
    <cellStyle name="Output 3 2" xfId="507"/>
    <cellStyle name="Output 3 2 2" xfId="1484"/>
    <cellStyle name="Output 3 2 2 2" xfId="2754"/>
    <cellStyle name="Output 3 2 2 2 2" xfId="6315"/>
    <cellStyle name="Output 3 2 2 2 2 2" xfId="14509"/>
    <cellStyle name="Output 3 2 2 2 2 2 2" xfId="26481"/>
    <cellStyle name="Output 3 2 2 2 2 2 2 2" xfId="47667"/>
    <cellStyle name="Output 3 2 2 2 2 2 3" xfId="37063"/>
    <cellStyle name="Output 3 2 2 2 2 3" xfId="21368"/>
    <cellStyle name="Output 3 2 2 2 2 3 2" xfId="42555"/>
    <cellStyle name="Output 3 2 2 2 2 4" xfId="31971"/>
    <cellStyle name="Output 3 2 2 2 2_Table 2A-1_EFT (Annual)" xfId="8122"/>
    <cellStyle name="Output 3 2 2 2 3" xfId="11851"/>
    <cellStyle name="Output 3 2 2 2 3 2" xfId="23935"/>
    <cellStyle name="Output 3 2 2 2 3 2 2" xfId="45121"/>
    <cellStyle name="Output 3 2 2 2 3 3" xfId="34517"/>
    <cellStyle name="Output 3 2 2 2 4" xfId="18822"/>
    <cellStyle name="Output 3 2 2 2 4 2" xfId="40009"/>
    <cellStyle name="Output 3 2 2 2 5" xfId="29228"/>
    <cellStyle name="Output 3 2 2 2_Table 2A-1_EFT (Annual)" xfId="8121"/>
    <cellStyle name="Output 3 2 2 3" xfId="1916"/>
    <cellStyle name="Output 3 2 2 3 2" xfId="5477"/>
    <cellStyle name="Output 3 2 2 3 2 2" xfId="13692"/>
    <cellStyle name="Output 3 2 2 3 2 2 2" xfId="25680"/>
    <cellStyle name="Output 3 2 2 3 2 2 2 2" xfId="46866"/>
    <cellStyle name="Output 3 2 2 3 2 2 3" xfId="36262"/>
    <cellStyle name="Output 3 2 2 3 2 3" xfId="20567"/>
    <cellStyle name="Output 3 2 2 3 2 3 2" xfId="41754"/>
    <cellStyle name="Output 3 2 2 3 2 4" xfId="31134"/>
    <cellStyle name="Output 3 2 2 3 2_Table 2A-1_EFT (Annual)" xfId="8124"/>
    <cellStyle name="Output 3 2 2 3 3" xfId="11036"/>
    <cellStyle name="Output 3 2 2 3 3 2" xfId="23134"/>
    <cellStyle name="Output 3 2 2 3 3 2 2" xfId="44320"/>
    <cellStyle name="Output 3 2 2 3 3 3" xfId="33716"/>
    <cellStyle name="Output 3 2 2 3 4" xfId="18021"/>
    <cellStyle name="Output 3 2 2 3 4 2" xfId="39208"/>
    <cellStyle name="Output 3 2 2 3 5" xfId="28391"/>
    <cellStyle name="Output 3 2 2 3_Table 2A-1_EFT (Annual)" xfId="8123"/>
    <cellStyle name="Output 3 2 2 4" xfId="5045"/>
    <cellStyle name="Output 3 2 2 4 2" xfId="13305"/>
    <cellStyle name="Output 3 2 2 4 2 2" xfId="25311"/>
    <cellStyle name="Output 3 2 2 4 2 2 2" xfId="46497"/>
    <cellStyle name="Output 3 2 2 4 2 3" xfId="35893"/>
    <cellStyle name="Output 3 2 2 4 3" xfId="20198"/>
    <cellStyle name="Output 3 2 2 4 3 2" xfId="41385"/>
    <cellStyle name="Output 3 2 2 4 4" xfId="30702"/>
    <cellStyle name="Output 3 2 2 4_Table 2A-1_EFT (Annual)" xfId="8125"/>
    <cellStyle name="Output 3 2 2 5" xfId="10649"/>
    <cellStyle name="Output 3 2 2 5 2" xfId="22765"/>
    <cellStyle name="Output 3 2 2 5 2 2" xfId="43951"/>
    <cellStyle name="Output 3 2 2 5 3" xfId="33347"/>
    <cellStyle name="Output 3 2 2 6" xfId="17652"/>
    <cellStyle name="Output 3 2 2 6 2" xfId="38839"/>
    <cellStyle name="Output 3 2 2 7" xfId="27959"/>
    <cellStyle name="Output 3 2 2_Table 2A-1_EFT (Annual)" xfId="3450"/>
    <cellStyle name="Output 3 2 3" xfId="2223"/>
    <cellStyle name="Output 3 2 3 2" xfId="5784"/>
    <cellStyle name="Output 3 2 3 2 2" xfId="13999"/>
    <cellStyle name="Output 3 2 3 2 2 2" xfId="25987"/>
    <cellStyle name="Output 3 2 3 2 2 2 2" xfId="47173"/>
    <cellStyle name="Output 3 2 3 2 2 3" xfId="36569"/>
    <cellStyle name="Output 3 2 3 2 3" xfId="20874"/>
    <cellStyle name="Output 3 2 3 2 3 2" xfId="42061"/>
    <cellStyle name="Output 3 2 3 2 4" xfId="31441"/>
    <cellStyle name="Output 3 2 3 2_Table 2A-1_EFT (Annual)" xfId="8127"/>
    <cellStyle name="Output 3 2 3 3" xfId="11343"/>
    <cellStyle name="Output 3 2 3 3 2" xfId="23441"/>
    <cellStyle name="Output 3 2 3 3 2 2" xfId="44627"/>
    <cellStyle name="Output 3 2 3 3 3" xfId="34023"/>
    <cellStyle name="Output 3 2 3 4" xfId="18328"/>
    <cellStyle name="Output 3 2 3 4 2" xfId="39515"/>
    <cellStyle name="Output 3 2 3 5" xfId="28698"/>
    <cellStyle name="Output 3 2 3_Table 2A-1_EFT (Annual)" xfId="8126"/>
    <cellStyle name="Output 3 2 4" xfId="1741"/>
    <cellStyle name="Output 3 2 4 2" xfId="5302"/>
    <cellStyle name="Output 3 2 4 2 2" xfId="13527"/>
    <cellStyle name="Output 3 2 4 2 2 2" xfId="25518"/>
    <cellStyle name="Output 3 2 4 2 2 2 2" xfId="46704"/>
    <cellStyle name="Output 3 2 4 2 2 3" xfId="36100"/>
    <cellStyle name="Output 3 2 4 2 3" xfId="20405"/>
    <cellStyle name="Output 3 2 4 2 3 2" xfId="41592"/>
    <cellStyle name="Output 3 2 4 2 4" xfId="30959"/>
    <cellStyle name="Output 3 2 4 2_Table 2A-1_EFT (Annual)" xfId="8129"/>
    <cellStyle name="Output 3 2 4 3" xfId="10870"/>
    <cellStyle name="Output 3 2 4 3 2" xfId="22972"/>
    <cellStyle name="Output 3 2 4 3 2 2" xfId="44158"/>
    <cellStyle name="Output 3 2 4 3 3" xfId="33554"/>
    <cellStyle name="Output 3 2 4 4" xfId="17859"/>
    <cellStyle name="Output 3 2 4 4 2" xfId="39046"/>
    <cellStyle name="Output 3 2 4 5" xfId="28216"/>
    <cellStyle name="Output 3 2 4_Table 2A-1_EFT (Annual)" xfId="8128"/>
    <cellStyle name="Output 3 2 5" xfId="4077"/>
    <cellStyle name="Output 3 2 5 2" xfId="12401"/>
    <cellStyle name="Output 3 2 5 2 2" xfId="24423"/>
    <cellStyle name="Output 3 2 5 2 2 2" xfId="45609"/>
    <cellStyle name="Output 3 2 5 2 3" xfId="35005"/>
    <cellStyle name="Output 3 2 5 3" xfId="19310"/>
    <cellStyle name="Output 3 2 5 3 2" xfId="40497"/>
    <cellStyle name="Output 3 2 5 4" xfId="29765"/>
    <cellStyle name="Output 3 2 5_Table 2A-1_EFT (Annual)" xfId="8130"/>
    <cellStyle name="Output 3 2 6" xfId="9740"/>
    <cellStyle name="Output 3 2 6 2" xfId="21877"/>
    <cellStyle name="Output 3 2 6 2 2" xfId="43063"/>
    <cellStyle name="Output 3 2 6 3" xfId="32459"/>
    <cellStyle name="Output 3 2 7" xfId="16764"/>
    <cellStyle name="Output 3 2 7 2" xfId="37951"/>
    <cellStyle name="Output 3 2 8" xfId="27022"/>
    <cellStyle name="Output 3 2_Table 2A-1_EFT (Annual)" xfId="3449"/>
    <cellStyle name="Output 3 3" xfId="345"/>
    <cellStyle name="Output 3 3 2" xfId="1328"/>
    <cellStyle name="Output 3 3 2 2" xfId="2598"/>
    <cellStyle name="Output 3 3 2 2 2" xfId="6159"/>
    <cellStyle name="Output 3 3 2 2 2 2" xfId="14353"/>
    <cellStyle name="Output 3 3 2 2 2 2 2" xfId="26325"/>
    <cellStyle name="Output 3 3 2 2 2 2 2 2" xfId="47511"/>
    <cellStyle name="Output 3 3 2 2 2 2 3" xfId="36907"/>
    <cellStyle name="Output 3 3 2 2 2 3" xfId="21212"/>
    <cellStyle name="Output 3 3 2 2 2 3 2" xfId="42399"/>
    <cellStyle name="Output 3 3 2 2 2 4" xfId="31815"/>
    <cellStyle name="Output 3 3 2 2 2_Table 2A-1_EFT (Annual)" xfId="8132"/>
    <cellStyle name="Output 3 3 2 2 3" xfId="11695"/>
    <cellStyle name="Output 3 3 2 2 3 2" xfId="23779"/>
    <cellStyle name="Output 3 3 2 2 3 2 2" xfId="44965"/>
    <cellStyle name="Output 3 3 2 2 3 3" xfId="34361"/>
    <cellStyle name="Output 3 3 2 2 4" xfId="18666"/>
    <cellStyle name="Output 3 3 2 2 4 2" xfId="39853"/>
    <cellStyle name="Output 3 3 2 2 5" xfId="29072"/>
    <cellStyle name="Output 3 3 2 2_Table 2A-1_EFT (Annual)" xfId="8131"/>
    <cellStyle name="Output 3 3 2 3" xfId="1885"/>
    <cellStyle name="Output 3 3 2 3 2" xfId="5446"/>
    <cellStyle name="Output 3 3 2 3 2 2" xfId="13661"/>
    <cellStyle name="Output 3 3 2 3 2 2 2" xfId="25649"/>
    <cellStyle name="Output 3 3 2 3 2 2 2 2" xfId="46835"/>
    <cellStyle name="Output 3 3 2 3 2 2 3" xfId="36231"/>
    <cellStyle name="Output 3 3 2 3 2 3" xfId="20536"/>
    <cellStyle name="Output 3 3 2 3 2 3 2" xfId="41723"/>
    <cellStyle name="Output 3 3 2 3 2 4" xfId="31103"/>
    <cellStyle name="Output 3 3 2 3 2_Table 2A-1_EFT (Annual)" xfId="8134"/>
    <cellStyle name="Output 3 3 2 3 3" xfId="11005"/>
    <cellStyle name="Output 3 3 2 3 3 2" xfId="23103"/>
    <cellStyle name="Output 3 3 2 3 3 2 2" xfId="44289"/>
    <cellStyle name="Output 3 3 2 3 3 3" xfId="33685"/>
    <cellStyle name="Output 3 3 2 3 4" xfId="17990"/>
    <cellStyle name="Output 3 3 2 3 4 2" xfId="39177"/>
    <cellStyle name="Output 3 3 2 3 5" xfId="28360"/>
    <cellStyle name="Output 3 3 2 3_Table 2A-1_EFT (Annual)" xfId="8133"/>
    <cellStyle name="Output 3 3 2 4" xfId="4889"/>
    <cellStyle name="Output 3 3 2 4 2" xfId="13149"/>
    <cellStyle name="Output 3 3 2 4 2 2" xfId="25155"/>
    <cellStyle name="Output 3 3 2 4 2 2 2" xfId="46341"/>
    <cellStyle name="Output 3 3 2 4 2 3" xfId="35737"/>
    <cellStyle name="Output 3 3 2 4 3" xfId="20042"/>
    <cellStyle name="Output 3 3 2 4 3 2" xfId="41229"/>
    <cellStyle name="Output 3 3 2 4 4" xfId="30546"/>
    <cellStyle name="Output 3 3 2 4_Table 2A-1_EFT (Annual)" xfId="8135"/>
    <cellStyle name="Output 3 3 2 5" xfId="10493"/>
    <cellStyle name="Output 3 3 2 5 2" xfId="22609"/>
    <cellStyle name="Output 3 3 2 5 2 2" xfId="43795"/>
    <cellStyle name="Output 3 3 2 5 3" xfId="33191"/>
    <cellStyle name="Output 3 3 2 6" xfId="17496"/>
    <cellStyle name="Output 3 3 2 6 2" xfId="38683"/>
    <cellStyle name="Output 3 3 2 7" xfId="27803"/>
    <cellStyle name="Output 3 3 2_Table 2A-1_EFT (Annual)" xfId="3452"/>
    <cellStyle name="Output 3 3 3" xfId="2067"/>
    <cellStyle name="Output 3 3 3 2" xfId="5628"/>
    <cellStyle name="Output 3 3 3 2 2" xfId="13843"/>
    <cellStyle name="Output 3 3 3 2 2 2" xfId="25831"/>
    <cellStyle name="Output 3 3 3 2 2 2 2" xfId="47017"/>
    <cellStyle name="Output 3 3 3 2 2 3" xfId="36413"/>
    <cellStyle name="Output 3 3 3 2 3" xfId="20718"/>
    <cellStyle name="Output 3 3 3 2 3 2" xfId="41905"/>
    <cellStyle name="Output 3 3 3 2 4" xfId="31285"/>
    <cellStyle name="Output 3 3 3 2_Table 2A-1_EFT (Annual)" xfId="8137"/>
    <cellStyle name="Output 3 3 3 3" xfId="11187"/>
    <cellStyle name="Output 3 3 3 3 2" xfId="23285"/>
    <cellStyle name="Output 3 3 3 3 2 2" xfId="44471"/>
    <cellStyle name="Output 3 3 3 3 3" xfId="33867"/>
    <cellStyle name="Output 3 3 3 4" xfId="18172"/>
    <cellStyle name="Output 3 3 3 4 2" xfId="39359"/>
    <cellStyle name="Output 3 3 3 5" xfId="28542"/>
    <cellStyle name="Output 3 3 3_Table 2A-1_EFT (Annual)" xfId="8136"/>
    <cellStyle name="Output 3 3 4" xfId="1705"/>
    <cellStyle name="Output 3 3 4 2" xfId="5266"/>
    <cellStyle name="Output 3 3 4 2 2" xfId="13495"/>
    <cellStyle name="Output 3 3 4 2 2 2" xfId="25488"/>
    <cellStyle name="Output 3 3 4 2 2 2 2" xfId="46674"/>
    <cellStyle name="Output 3 3 4 2 2 3" xfId="36070"/>
    <cellStyle name="Output 3 3 4 2 3" xfId="20375"/>
    <cellStyle name="Output 3 3 4 2 3 2" xfId="41562"/>
    <cellStyle name="Output 3 3 4 2 4" xfId="30923"/>
    <cellStyle name="Output 3 3 4 2_Table 2A-1_EFT (Annual)" xfId="8139"/>
    <cellStyle name="Output 3 3 4 3" xfId="10839"/>
    <cellStyle name="Output 3 3 4 3 2" xfId="22942"/>
    <cellStyle name="Output 3 3 4 3 2 2" xfId="44128"/>
    <cellStyle name="Output 3 3 4 3 3" xfId="33524"/>
    <cellStyle name="Output 3 3 4 4" xfId="17829"/>
    <cellStyle name="Output 3 3 4 4 2" xfId="39016"/>
    <cellStyle name="Output 3 3 4 5" xfId="28180"/>
    <cellStyle name="Output 3 3 4_Table 2A-1_EFT (Annual)" xfId="8138"/>
    <cellStyle name="Output 3 3 5" xfId="3915"/>
    <cellStyle name="Output 3 3 5 2" xfId="12243"/>
    <cellStyle name="Output 3 3 5 2 2" xfId="24267"/>
    <cellStyle name="Output 3 3 5 2 2 2" xfId="45453"/>
    <cellStyle name="Output 3 3 5 2 3" xfId="34849"/>
    <cellStyle name="Output 3 3 5 3" xfId="19154"/>
    <cellStyle name="Output 3 3 5 3 2" xfId="40341"/>
    <cellStyle name="Output 3 3 5 4" xfId="29603"/>
    <cellStyle name="Output 3 3 5_Table 2A-1_EFT (Annual)" xfId="8140"/>
    <cellStyle name="Output 3 3 6" xfId="9580"/>
    <cellStyle name="Output 3 3 6 2" xfId="21721"/>
    <cellStyle name="Output 3 3 6 2 2" xfId="42907"/>
    <cellStyle name="Output 3 3 6 3" xfId="32303"/>
    <cellStyle name="Output 3 3 7" xfId="16608"/>
    <cellStyle name="Output 3 3 7 2" xfId="37795"/>
    <cellStyle name="Output 3 3 8" xfId="26860"/>
    <cellStyle name="Output 3 3_Table 2A-1_EFT (Annual)" xfId="3451"/>
    <cellStyle name="Output 3 4" xfId="1162"/>
    <cellStyle name="Output 3 4 2" xfId="2432"/>
    <cellStyle name="Output 3 4 2 2" xfId="5993"/>
    <cellStyle name="Output 3 4 2 2 2" xfId="14187"/>
    <cellStyle name="Output 3 4 2 2 2 2" xfId="26159"/>
    <cellStyle name="Output 3 4 2 2 2 2 2" xfId="47345"/>
    <cellStyle name="Output 3 4 2 2 2 3" xfId="36741"/>
    <cellStyle name="Output 3 4 2 2 3" xfId="21046"/>
    <cellStyle name="Output 3 4 2 2 3 2" xfId="42233"/>
    <cellStyle name="Output 3 4 2 2 4" xfId="31649"/>
    <cellStyle name="Output 3 4 2 2_Table 2A-1_EFT (Annual)" xfId="8142"/>
    <cellStyle name="Output 3 4 2 3" xfId="11529"/>
    <cellStyle name="Output 3 4 2 3 2" xfId="23613"/>
    <cellStyle name="Output 3 4 2 3 2 2" xfId="44799"/>
    <cellStyle name="Output 3 4 2 3 3" xfId="34195"/>
    <cellStyle name="Output 3 4 2 4" xfId="18500"/>
    <cellStyle name="Output 3 4 2 4 2" xfId="39687"/>
    <cellStyle name="Output 3 4 2 5" xfId="28906"/>
    <cellStyle name="Output 3 4 2_Table 2A-1_EFT (Annual)" xfId="8141"/>
    <cellStyle name="Output 3 4 3" xfId="1821"/>
    <cellStyle name="Output 3 4 3 2" xfId="5382"/>
    <cellStyle name="Output 3 4 3 2 2" xfId="13597"/>
    <cellStyle name="Output 3 4 3 2 2 2" xfId="25585"/>
    <cellStyle name="Output 3 4 3 2 2 2 2" xfId="46771"/>
    <cellStyle name="Output 3 4 3 2 2 3" xfId="36167"/>
    <cellStyle name="Output 3 4 3 2 3" xfId="20472"/>
    <cellStyle name="Output 3 4 3 2 3 2" xfId="41659"/>
    <cellStyle name="Output 3 4 3 2 4" xfId="31039"/>
    <cellStyle name="Output 3 4 3 2_Table 2A-1_EFT (Annual)" xfId="8144"/>
    <cellStyle name="Output 3 4 3 3" xfId="10941"/>
    <cellStyle name="Output 3 4 3 3 2" xfId="23039"/>
    <cellStyle name="Output 3 4 3 3 2 2" xfId="44225"/>
    <cellStyle name="Output 3 4 3 3 3" xfId="33621"/>
    <cellStyle name="Output 3 4 3 4" xfId="17926"/>
    <cellStyle name="Output 3 4 3 4 2" xfId="39113"/>
    <cellStyle name="Output 3 4 3 5" xfId="28296"/>
    <cellStyle name="Output 3 4 3_Table 2A-1_EFT (Annual)" xfId="8143"/>
    <cellStyle name="Output 3 4 4" xfId="4723"/>
    <cellStyle name="Output 3 4 4 2" xfId="12983"/>
    <cellStyle name="Output 3 4 4 2 2" xfId="24989"/>
    <cellStyle name="Output 3 4 4 2 2 2" xfId="46175"/>
    <cellStyle name="Output 3 4 4 2 3" xfId="35571"/>
    <cellStyle name="Output 3 4 4 3" xfId="19876"/>
    <cellStyle name="Output 3 4 4 3 2" xfId="41063"/>
    <cellStyle name="Output 3 4 4 4" xfId="30380"/>
    <cellStyle name="Output 3 4 4_Table 2A-1_EFT (Annual)" xfId="8145"/>
    <cellStyle name="Output 3 4 5" xfId="10327"/>
    <cellStyle name="Output 3 4 5 2" xfId="22443"/>
    <cellStyle name="Output 3 4 5 2 2" xfId="43629"/>
    <cellStyle name="Output 3 4 5 3" xfId="33025"/>
    <cellStyle name="Output 3 4 6" xfId="17330"/>
    <cellStyle name="Output 3 4 6 2" xfId="38517"/>
    <cellStyle name="Output 3 4 7" xfId="27637"/>
    <cellStyle name="Output 3 4_Table 2A-1_EFT (Annual)" xfId="3453"/>
    <cellStyle name="Output 3 5" xfId="1867"/>
    <cellStyle name="Output 3 5 2" xfId="5428"/>
    <cellStyle name="Output 3 5 2 2" xfId="13643"/>
    <cellStyle name="Output 3 5 2 2 2" xfId="25631"/>
    <cellStyle name="Output 3 5 2 2 2 2" xfId="46817"/>
    <cellStyle name="Output 3 5 2 2 3" xfId="36213"/>
    <cellStyle name="Output 3 5 2 3" xfId="20518"/>
    <cellStyle name="Output 3 5 2 3 2" xfId="41705"/>
    <cellStyle name="Output 3 5 2 4" xfId="31085"/>
    <cellStyle name="Output 3 5 2_Table 2A-1_EFT (Annual)" xfId="8147"/>
    <cellStyle name="Output 3 5 3" xfId="10987"/>
    <cellStyle name="Output 3 5 3 2" xfId="23085"/>
    <cellStyle name="Output 3 5 3 2 2" xfId="44271"/>
    <cellStyle name="Output 3 5 3 3" xfId="33667"/>
    <cellStyle name="Output 3 5 4" xfId="17972"/>
    <cellStyle name="Output 3 5 4 2" xfId="39159"/>
    <cellStyle name="Output 3 5 5" xfId="28342"/>
    <cellStyle name="Output 3 5_Table 2A-1_EFT (Annual)" xfId="8146"/>
    <cellStyle name="Output 3 6" xfId="1648"/>
    <cellStyle name="Output 3 6 2" xfId="5209"/>
    <cellStyle name="Output 3 6 2 2" xfId="13456"/>
    <cellStyle name="Output 3 6 2 2 2" xfId="25456"/>
    <cellStyle name="Output 3 6 2 2 2 2" xfId="46642"/>
    <cellStyle name="Output 3 6 2 2 3" xfId="36038"/>
    <cellStyle name="Output 3 6 2 3" xfId="20343"/>
    <cellStyle name="Output 3 6 2 3 2" xfId="41530"/>
    <cellStyle name="Output 3 6 2 4" xfId="30866"/>
    <cellStyle name="Output 3 6 2_Table 2A-1_EFT (Annual)" xfId="8149"/>
    <cellStyle name="Output 3 6 3" xfId="10801"/>
    <cellStyle name="Output 3 6 3 2" xfId="22910"/>
    <cellStyle name="Output 3 6 3 2 2" xfId="44096"/>
    <cellStyle name="Output 3 6 3 3" xfId="33492"/>
    <cellStyle name="Output 3 6 4" xfId="17797"/>
    <cellStyle name="Output 3 6 4 2" xfId="38984"/>
    <cellStyle name="Output 3 6 5" xfId="28123"/>
    <cellStyle name="Output 3 6_Table 2A-1_EFT (Annual)" xfId="8148"/>
    <cellStyle name="Output 3 7" xfId="3703"/>
    <cellStyle name="Output 3 7 2" xfId="12071"/>
    <cellStyle name="Output 3 7 2 2" xfId="24101"/>
    <cellStyle name="Output 3 7 2 2 2" xfId="45287"/>
    <cellStyle name="Output 3 7 2 3" xfId="34683"/>
    <cellStyle name="Output 3 7 3" xfId="18988"/>
    <cellStyle name="Output 3 7 3 2" xfId="40175"/>
    <cellStyle name="Output 3 7 4" xfId="29412"/>
    <cellStyle name="Output 3 7_Table 2A-1_EFT (Annual)" xfId="8150"/>
    <cellStyle name="Output 3 8" xfId="9390"/>
    <cellStyle name="Output 3 8 2" xfId="21555"/>
    <cellStyle name="Output 3 8 2 2" xfId="42741"/>
    <cellStyle name="Output 3 8 3" xfId="32137"/>
    <cellStyle name="Output 3 9" xfId="16442"/>
    <cellStyle name="Output 3 9 2" xfId="37629"/>
    <cellStyle name="Output 3_Table 2A-1_EFT (Annual)" xfId="3448"/>
    <cellStyle name="Output 30" xfId="190"/>
    <cellStyle name="Output 30 10" xfId="26745"/>
    <cellStyle name="Output 30 2" xfId="583"/>
    <cellStyle name="Output 30 2 2" xfId="1560"/>
    <cellStyle name="Output 30 2 2 2" xfId="2830"/>
    <cellStyle name="Output 30 2 2 2 2" xfId="6391"/>
    <cellStyle name="Output 30 2 2 2 2 2" xfId="14585"/>
    <cellStyle name="Output 30 2 2 2 2 2 2" xfId="26557"/>
    <cellStyle name="Output 30 2 2 2 2 2 2 2" xfId="47743"/>
    <cellStyle name="Output 30 2 2 2 2 2 3" xfId="37139"/>
    <cellStyle name="Output 30 2 2 2 2 3" xfId="21444"/>
    <cellStyle name="Output 30 2 2 2 2 3 2" xfId="42631"/>
    <cellStyle name="Output 30 2 2 2 2 4" xfId="32047"/>
    <cellStyle name="Output 30 2 2 2 2_Table 2A-1_EFT (Annual)" xfId="8152"/>
    <cellStyle name="Output 30 2 2 2 3" xfId="11927"/>
    <cellStyle name="Output 30 2 2 2 3 2" xfId="24011"/>
    <cellStyle name="Output 30 2 2 2 3 2 2" xfId="45197"/>
    <cellStyle name="Output 30 2 2 2 3 3" xfId="34593"/>
    <cellStyle name="Output 30 2 2 2 4" xfId="18898"/>
    <cellStyle name="Output 30 2 2 2 4 2" xfId="40085"/>
    <cellStyle name="Output 30 2 2 2 5" xfId="29304"/>
    <cellStyle name="Output 30 2 2 2_Table 2A-1_EFT (Annual)" xfId="8151"/>
    <cellStyle name="Output 30 2 2 3" xfId="1929"/>
    <cellStyle name="Output 30 2 2 3 2" xfId="5490"/>
    <cellStyle name="Output 30 2 2 3 2 2" xfId="13705"/>
    <cellStyle name="Output 30 2 2 3 2 2 2" xfId="25693"/>
    <cellStyle name="Output 30 2 2 3 2 2 2 2" xfId="46879"/>
    <cellStyle name="Output 30 2 2 3 2 2 3" xfId="36275"/>
    <cellStyle name="Output 30 2 2 3 2 3" xfId="20580"/>
    <cellStyle name="Output 30 2 2 3 2 3 2" xfId="41767"/>
    <cellStyle name="Output 30 2 2 3 2 4" xfId="31147"/>
    <cellStyle name="Output 30 2 2 3 2_Table 2A-1_EFT (Annual)" xfId="8154"/>
    <cellStyle name="Output 30 2 2 3 3" xfId="11049"/>
    <cellStyle name="Output 30 2 2 3 3 2" xfId="23147"/>
    <cellStyle name="Output 30 2 2 3 3 2 2" xfId="44333"/>
    <cellStyle name="Output 30 2 2 3 3 3" xfId="33729"/>
    <cellStyle name="Output 30 2 2 3 4" xfId="18034"/>
    <cellStyle name="Output 30 2 2 3 4 2" xfId="39221"/>
    <cellStyle name="Output 30 2 2 3 5" xfId="28404"/>
    <cellStyle name="Output 30 2 2 3_Table 2A-1_EFT (Annual)" xfId="8153"/>
    <cellStyle name="Output 30 2 2 4" xfId="5121"/>
    <cellStyle name="Output 30 2 2 4 2" xfId="13381"/>
    <cellStyle name="Output 30 2 2 4 2 2" xfId="25387"/>
    <cellStyle name="Output 30 2 2 4 2 2 2" xfId="46573"/>
    <cellStyle name="Output 30 2 2 4 2 3" xfId="35969"/>
    <cellStyle name="Output 30 2 2 4 3" xfId="20274"/>
    <cellStyle name="Output 30 2 2 4 3 2" xfId="41461"/>
    <cellStyle name="Output 30 2 2 4 4" xfId="30778"/>
    <cellStyle name="Output 30 2 2 4_Table 2A-1_EFT (Annual)" xfId="8155"/>
    <cellStyle name="Output 30 2 2 5" xfId="10725"/>
    <cellStyle name="Output 30 2 2 5 2" xfId="22841"/>
    <cellStyle name="Output 30 2 2 5 2 2" xfId="44027"/>
    <cellStyle name="Output 30 2 2 5 3" xfId="33423"/>
    <cellStyle name="Output 30 2 2 6" xfId="17728"/>
    <cellStyle name="Output 30 2 2 6 2" xfId="38915"/>
    <cellStyle name="Output 30 2 2 7" xfId="28035"/>
    <cellStyle name="Output 30 2 2_Table 2A-1_EFT (Annual)" xfId="3456"/>
    <cellStyle name="Output 30 2 3" xfId="2299"/>
    <cellStyle name="Output 30 2 3 2" xfId="5860"/>
    <cellStyle name="Output 30 2 3 2 2" xfId="14075"/>
    <cellStyle name="Output 30 2 3 2 2 2" xfId="26063"/>
    <cellStyle name="Output 30 2 3 2 2 2 2" xfId="47249"/>
    <cellStyle name="Output 30 2 3 2 2 3" xfId="36645"/>
    <cellStyle name="Output 30 2 3 2 3" xfId="20950"/>
    <cellStyle name="Output 30 2 3 2 3 2" xfId="42137"/>
    <cellStyle name="Output 30 2 3 2 4" xfId="31517"/>
    <cellStyle name="Output 30 2 3 2_Table 2A-1_EFT (Annual)" xfId="8157"/>
    <cellStyle name="Output 30 2 3 3" xfId="11419"/>
    <cellStyle name="Output 30 2 3 3 2" xfId="23517"/>
    <cellStyle name="Output 30 2 3 3 2 2" xfId="44703"/>
    <cellStyle name="Output 30 2 3 3 3" xfId="34099"/>
    <cellStyle name="Output 30 2 3 4" xfId="18404"/>
    <cellStyle name="Output 30 2 3 4 2" xfId="39591"/>
    <cellStyle name="Output 30 2 3 5" xfId="28774"/>
    <cellStyle name="Output 30 2 3_Table 2A-1_EFT (Annual)" xfId="8156"/>
    <cellStyle name="Output 30 2 4" xfId="1754"/>
    <cellStyle name="Output 30 2 4 2" xfId="5315"/>
    <cellStyle name="Output 30 2 4 2 2" xfId="13540"/>
    <cellStyle name="Output 30 2 4 2 2 2" xfId="25531"/>
    <cellStyle name="Output 30 2 4 2 2 2 2" xfId="46717"/>
    <cellStyle name="Output 30 2 4 2 2 3" xfId="36113"/>
    <cellStyle name="Output 30 2 4 2 3" xfId="20418"/>
    <cellStyle name="Output 30 2 4 2 3 2" xfId="41605"/>
    <cellStyle name="Output 30 2 4 2 4" xfId="30972"/>
    <cellStyle name="Output 30 2 4 2_Table 2A-1_EFT (Annual)" xfId="8159"/>
    <cellStyle name="Output 30 2 4 3" xfId="10883"/>
    <cellStyle name="Output 30 2 4 3 2" xfId="22985"/>
    <cellStyle name="Output 30 2 4 3 2 2" xfId="44171"/>
    <cellStyle name="Output 30 2 4 3 3" xfId="33567"/>
    <cellStyle name="Output 30 2 4 4" xfId="17872"/>
    <cellStyle name="Output 30 2 4 4 2" xfId="39059"/>
    <cellStyle name="Output 30 2 4 5" xfId="28229"/>
    <cellStyle name="Output 30 2 4_Table 2A-1_EFT (Annual)" xfId="8158"/>
    <cellStyle name="Output 30 2 5" xfId="4153"/>
    <cellStyle name="Output 30 2 5 2" xfId="12477"/>
    <cellStyle name="Output 30 2 5 2 2" xfId="24499"/>
    <cellStyle name="Output 30 2 5 2 2 2" xfId="45685"/>
    <cellStyle name="Output 30 2 5 2 3" xfId="35081"/>
    <cellStyle name="Output 30 2 5 3" xfId="19386"/>
    <cellStyle name="Output 30 2 5 3 2" xfId="40573"/>
    <cellStyle name="Output 30 2 5 4" xfId="29841"/>
    <cellStyle name="Output 30 2 5_Table 2A-1_EFT (Annual)" xfId="8160"/>
    <cellStyle name="Output 30 2 6" xfId="9816"/>
    <cellStyle name="Output 30 2 6 2" xfId="21953"/>
    <cellStyle name="Output 30 2 6 2 2" xfId="43139"/>
    <cellStyle name="Output 30 2 6 3" xfId="32535"/>
    <cellStyle name="Output 30 2 7" xfId="16840"/>
    <cellStyle name="Output 30 2 7 2" xfId="38027"/>
    <cellStyle name="Output 30 2 8" xfId="27098"/>
    <cellStyle name="Output 30 2_Table 2A-1_EFT (Annual)" xfId="3455"/>
    <cellStyle name="Output 30 3" xfId="420"/>
    <cellStyle name="Output 30 3 2" xfId="1403"/>
    <cellStyle name="Output 30 3 2 2" xfId="2673"/>
    <cellStyle name="Output 30 3 2 2 2" xfId="6234"/>
    <cellStyle name="Output 30 3 2 2 2 2" xfId="14428"/>
    <cellStyle name="Output 30 3 2 2 2 2 2" xfId="26400"/>
    <cellStyle name="Output 30 3 2 2 2 2 2 2" xfId="47586"/>
    <cellStyle name="Output 30 3 2 2 2 2 3" xfId="36982"/>
    <cellStyle name="Output 30 3 2 2 2 3" xfId="21287"/>
    <cellStyle name="Output 30 3 2 2 2 3 2" xfId="42474"/>
    <cellStyle name="Output 30 3 2 2 2 4" xfId="31890"/>
    <cellStyle name="Output 30 3 2 2 2_Table 2A-1_EFT (Annual)" xfId="8162"/>
    <cellStyle name="Output 30 3 2 2 3" xfId="11770"/>
    <cellStyle name="Output 30 3 2 2 3 2" xfId="23854"/>
    <cellStyle name="Output 30 3 2 2 3 2 2" xfId="45040"/>
    <cellStyle name="Output 30 3 2 2 3 3" xfId="34436"/>
    <cellStyle name="Output 30 3 2 2 4" xfId="18741"/>
    <cellStyle name="Output 30 3 2 2 4 2" xfId="39928"/>
    <cellStyle name="Output 30 3 2 2 5" xfId="29147"/>
    <cellStyle name="Output 30 3 2 2_Table 2A-1_EFT (Annual)" xfId="8161"/>
    <cellStyle name="Output 30 3 2 3" xfId="1898"/>
    <cellStyle name="Output 30 3 2 3 2" xfId="5459"/>
    <cellStyle name="Output 30 3 2 3 2 2" xfId="13674"/>
    <cellStyle name="Output 30 3 2 3 2 2 2" xfId="25662"/>
    <cellStyle name="Output 30 3 2 3 2 2 2 2" xfId="46848"/>
    <cellStyle name="Output 30 3 2 3 2 2 3" xfId="36244"/>
    <cellStyle name="Output 30 3 2 3 2 3" xfId="20549"/>
    <cellStyle name="Output 30 3 2 3 2 3 2" xfId="41736"/>
    <cellStyle name="Output 30 3 2 3 2 4" xfId="31116"/>
    <cellStyle name="Output 30 3 2 3 2_Table 2A-1_EFT (Annual)" xfId="8164"/>
    <cellStyle name="Output 30 3 2 3 3" xfId="11018"/>
    <cellStyle name="Output 30 3 2 3 3 2" xfId="23116"/>
    <cellStyle name="Output 30 3 2 3 3 2 2" xfId="44302"/>
    <cellStyle name="Output 30 3 2 3 3 3" xfId="33698"/>
    <cellStyle name="Output 30 3 2 3 4" xfId="18003"/>
    <cellStyle name="Output 30 3 2 3 4 2" xfId="39190"/>
    <cellStyle name="Output 30 3 2 3 5" xfId="28373"/>
    <cellStyle name="Output 30 3 2 3_Table 2A-1_EFT (Annual)" xfId="8163"/>
    <cellStyle name="Output 30 3 2 4" xfId="4964"/>
    <cellStyle name="Output 30 3 2 4 2" xfId="13224"/>
    <cellStyle name="Output 30 3 2 4 2 2" xfId="25230"/>
    <cellStyle name="Output 30 3 2 4 2 2 2" xfId="46416"/>
    <cellStyle name="Output 30 3 2 4 2 3" xfId="35812"/>
    <cellStyle name="Output 30 3 2 4 3" xfId="20117"/>
    <cellStyle name="Output 30 3 2 4 3 2" xfId="41304"/>
    <cellStyle name="Output 30 3 2 4 4" xfId="30621"/>
    <cellStyle name="Output 30 3 2 4_Table 2A-1_EFT (Annual)" xfId="8165"/>
    <cellStyle name="Output 30 3 2 5" xfId="10568"/>
    <cellStyle name="Output 30 3 2 5 2" xfId="22684"/>
    <cellStyle name="Output 30 3 2 5 2 2" xfId="43870"/>
    <cellStyle name="Output 30 3 2 5 3" xfId="33266"/>
    <cellStyle name="Output 30 3 2 6" xfId="17571"/>
    <cellStyle name="Output 30 3 2 6 2" xfId="38758"/>
    <cellStyle name="Output 30 3 2 7" xfId="27878"/>
    <cellStyle name="Output 30 3 2_Table 2A-1_EFT (Annual)" xfId="3458"/>
    <cellStyle name="Output 30 3 3" xfId="2142"/>
    <cellStyle name="Output 30 3 3 2" xfId="5703"/>
    <cellStyle name="Output 30 3 3 2 2" xfId="13918"/>
    <cellStyle name="Output 30 3 3 2 2 2" xfId="25906"/>
    <cellStyle name="Output 30 3 3 2 2 2 2" xfId="47092"/>
    <cellStyle name="Output 30 3 3 2 2 3" xfId="36488"/>
    <cellStyle name="Output 30 3 3 2 3" xfId="20793"/>
    <cellStyle name="Output 30 3 3 2 3 2" xfId="41980"/>
    <cellStyle name="Output 30 3 3 2 4" xfId="31360"/>
    <cellStyle name="Output 30 3 3 2_Table 2A-1_EFT (Annual)" xfId="8167"/>
    <cellStyle name="Output 30 3 3 3" xfId="11262"/>
    <cellStyle name="Output 30 3 3 3 2" xfId="23360"/>
    <cellStyle name="Output 30 3 3 3 2 2" xfId="44546"/>
    <cellStyle name="Output 30 3 3 3 3" xfId="33942"/>
    <cellStyle name="Output 30 3 3 4" xfId="18247"/>
    <cellStyle name="Output 30 3 3 4 2" xfId="39434"/>
    <cellStyle name="Output 30 3 3 5" xfId="28617"/>
    <cellStyle name="Output 30 3 3_Table 2A-1_EFT (Annual)" xfId="8166"/>
    <cellStyle name="Output 30 3 4" xfId="1718"/>
    <cellStyle name="Output 30 3 4 2" xfId="5279"/>
    <cellStyle name="Output 30 3 4 2 2" xfId="13508"/>
    <cellStyle name="Output 30 3 4 2 2 2" xfId="25501"/>
    <cellStyle name="Output 30 3 4 2 2 2 2" xfId="46687"/>
    <cellStyle name="Output 30 3 4 2 2 3" xfId="36083"/>
    <cellStyle name="Output 30 3 4 2 3" xfId="20388"/>
    <cellStyle name="Output 30 3 4 2 3 2" xfId="41575"/>
    <cellStyle name="Output 30 3 4 2 4" xfId="30936"/>
    <cellStyle name="Output 30 3 4 2_Table 2A-1_EFT (Annual)" xfId="8169"/>
    <cellStyle name="Output 30 3 4 3" xfId="10852"/>
    <cellStyle name="Output 30 3 4 3 2" xfId="22955"/>
    <cellStyle name="Output 30 3 4 3 2 2" xfId="44141"/>
    <cellStyle name="Output 30 3 4 3 3" xfId="33537"/>
    <cellStyle name="Output 30 3 4 4" xfId="17842"/>
    <cellStyle name="Output 30 3 4 4 2" xfId="39029"/>
    <cellStyle name="Output 30 3 4 5" xfId="28193"/>
    <cellStyle name="Output 30 3 4_Table 2A-1_EFT (Annual)" xfId="8168"/>
    <cellStyle name="Output 30 3 5" xfId="3990"/>
    <cellStyle name="Output 30 3 5 2" xfId="12318"/>
    <cellStyle name="Output 30 3 5 2 2" xfId="24342"/>
    <cellStyle name="Output 30 3 5 2 2 2" xfId="45528"/>
    <cellStyle name="Output 30 3 5 2 3" xfId="34924"/>
    <cellStyle name="Output 30 3 5 3" xfId="19229"/>
    <cellStyle name="Output 30 3 5 3 2" xfId="40416"/>
    <cellStyle name="Output 30 3 5 4" xfId="29678"/>
    <cellStyle name="Output 30 3 5_Table 2A-1_EFT (Annual)" xfId="8170"/>
    <cellStyle name="Output 30 3 6" xfId="9655"/>
    <cellStyle name="Output 30 3 6 2" xfId="21796"/>
    <cellStyle name="Output 30 3 6 2 2" xfId="42982"/>
    <cellStyle name="Output 30 3 6 3" xfId="32378"/>
    <cellStyle name="Output 30 3 7" xfId="16683"/>
    <cellStyle name="Output 30 3 7 2" xfId="37870"/>
    <cellStyle name="Output 30 3 8" xfId="26935"/>
    <cellStyle name="Output 30 3_Table 2A-1_EFT (Annual)" xfId="3457"/>
    <cellStyle name="Output 30 4" xfId="1238"/>
    <cellStyle name="Output 30 4 2" xfId="2508"/>
    <cellStyle name="Output 30 4 2 2" xfId="6069"/>
    <cellStyle name="Output 30 4 2 2 2" xfId="14263"/>
    <cellStyle name="Output 30 4 2 2 2 2" xfId="26235"/>
    <cellStyle name="Output 30 4 2 2 2 2 2" xfId="47421"/>
    <cellStyle name="Output 30 4 2 2 2 3" xfId="36817"/>
    <cellStyle name="Output 30 4 2 2 3" xfId="21122"/>
    <cellStyle name="Output 30 4 2 2 3 2" xfId="42309"/>
    <cellStyle name="Output 30 4 2 2 4" xfId="31725"/>
    <cellStyle name="Output 30 4 2 2_Table 2A-1_EFT (Annual)" xfId="8172"/>
    <cellStyle name="Output 30 4 2 3" xfId="11605"/>
    <cellStyle name="Output 30 4 2 3 2" xfId="23689"/>
    <cellStyle name="Output 30 4 2 3 2 2" xfId="44875"/>
    <cellStyle name="Output 30 4 2 3 3" xfId="34271"/>
    <cellStyle name="Output 30 4 2 4" xfId="18576"/>
    <cellStyle name="Output 30 4 2 4 2" xfId="39763"/>
    <cellStyle name="Output 30 4 2 5" xfId="28982"/>
    <cellStyle name="Output 30 4 2_Table 2A-1_EFT (Annual)" xfId="8171"/>
    <cellStyle name="Output 30 4 3" xfId="1834"/>
    <cellStyle name="Output 30 4 3 2" xfId="5395"/>
    <cellStyle name="Output 30 4 3 2 2" xfId="13610"/>
    <cellStyle name="Output 30 4 3 2 2 2" xfId="25598"/>
    <cellStyle name="Output 30 4 3 2 2 2 2" xfId="46784"/>
    <cellStyle name="Output 30 4 3 2 2 3" xfId="36180"/>
    <cellStyle name="Output 30 4 3 2 3" xfId="20485"/>
    <cellStyle name="Output 30 4 3 2 3 2" xfId="41672"/>
    <cellStyle name="Output 30 4 3 2 4" xfId="31052"/>
    <cellStyle name="Output 30 4 3 2_Table 2A-1_EFT (Annual)" xfId="8174"/>
    <cellStyle name="Output 30 4 3 3" xfId="10954"/>
    <cellStyle name="Output 30 4 3 3 2" xfId="23052"/>
    <cellStyle name="Output 30 4 3 3 2 2" xfId="44238"/>
    <cellStyle name="Output 30 4 3 3 3" xfId="33634"/>
    <cellStyle name="Output 30 4 3 4" xfId="17939"/>
    <cellStyle name="Output 30 4 3 4 2" xfId="39126"/>
    <cellStyle name="Output 30 4 3 5" xfId="28309"/>
    <cellStyle name="Output 30 4 3_Table 2A-1_EFT (Annual)" xfId="8173"/>
    <cellStyle name="Output 30 4 4" xfId="4799"/>
    <cellStyle name="Output 30 4 4 2" xfId="13059"/>
    <cellStyle name="Output 30 4 4 2 2" xfId="25065"/>
    <cellStyle name="Output 30 4 4 2 2 2" xfId="46251"/>
    <cellStyle name="Output 30 4 4 2 3" xfId="35647"/>
    <cellStyle name="Output 30 4 4 3" xfId="19952"/>
    <cellStyle name="Output 30 4 4 3 2" xfId="41139"/>
    <cellStyle name="Output 30 4 4 4" xfId="30456"/>
    <cellStyle name="Output 30 4 4_Table 2A-1_EFT (Annual)" xfId="8175"/>
    <cellStyle name="Output 30 4 5" xfId="10403"/>
    <cellStyle name="Output 30 4 5 2" xfId="22519"/>
    <cellStyle name="Output 30 4 5 2 2" xfId="43705"/>
    <cellStyle name="Output 30 4 5 3" xfId="33101"/>
    <cellStyle name="Output 30 4 6" xfId="17406"/>
    <cellStyle name="Output 30 4 6 2" xfId="38593"/>
    <cellStyle name="Output 30 4 7" xfId="27713"/>
    <cellStyle name="Output 30 4_Table 2A-1_EFT (Annual)" xfId="3459"/>
    <cellStyle name="Output 30 5" xfId="1977"/>
    <cellStyle name="Output 30 5 2" xfId="5538"/>
    <cellStyle name="Output 30 5 2 2" xfId="13753"/>
    <cellStyle name="Output 30 5 2 2 2" xfId="25741"/>
    <cellStyle name="Output 30 5 2 2 2 2" xfId="46927"/>
    <cellStyle name="Output 30 5 2 2 3" xfId="36323"/>
    <cellStyle name="Output 30 5 2 3" xfId="20628"/>
    <cellStyle name="Output 30 5 2 3 2" xfId="41815"/>
    <cellStyle name="Output 30 5 2 4" xfId="31195"/>
    <cellStyle name="Output 30 5 2_Table 2A-1_EFT (Annual)" xfId="8177"/>
    <cellStyle name="Output 30 5 3" xfId="11097"/>
    <cellStyle name="Output 30 5 3 2" xfId="23195"/>
    <cellStyle name="Output 30 5 3 2 2" xfId="44381"/>
    <cellStyle name="Output 30 5 3 3" xfId="33777"/>
    <cellStyle name="Output 30 5 4" xfId="18082"/>
    <cellStyle name="Output 30 5 4 2" xfId="39269"/>
    <cellStyle name="Output 30 5 5" xfId="28452"/>
    <cellStyle name="Output 30 5_Table 2A-1_EFT (Annual)" xfId="8176"/>
    <cellStyle name="Output 30 6" xfId="1661"/>
    <cellStyle name="Output 30 6 2" xfId="5222"/>
    <cellStyle name="Output 30 6 2 2" xfId="13469"/>
    <cellStyle name="Output 30 6 2 2 2" xfId="25469"/>
    <cellStyle name="Output 30 6 2 2 2 2" xfId="46655"/>
    <cellStyle name="Output 30 6 2 2 3" xfId="36051"/>
    <cellStyle name="Output 30 6 2 3" xfId="20356"/>
    <cellStyle name="Output 30 6 2 3 2" xfId="41543"/>
    <cellStyle name="Output 30 6 2 4" xfId="30879"/>
    <cellStyle name="Output 30 6 2_Table 2A-1_EFT (Annual)" xfId="8179"/>
    <cellStyle name="Output 30 6 3" xfId="10814"/>
    <cellStyle name="Output 30 6 3 2" xfId="22923"/>
    <cellStyle name="Output 30 6 3 2 2" xfId="44109"/>
    <cellStyle name="Output 30 6 3 3" xfId="33505"/>
    <cellStyle name="Output 30 6 4" xfId="17810"/>
    <cellStyle name="Output 30 6 4 2" xfId="38997"/>
    <cellStyle name="Output 30 6 5" xfId="28136"/>
    <cellStyle name="Output 30 6_Table 2A-1_EFT (Annual)" xfId="8178"/>
    <cellStyle name="Output 30 7" xfId="3779"/>
    <cellStyle name="Output 30 7 2" xfId="12147"/>
    <cellStyle name="Output 30 7 2 2" xfId="24177"/>
    <cellStyle name="Output 30 7 2 2 2" xfId="45363"/>
    <cellStyle name="Output 30 7 2 3" xfId="34759"/>
    <cellStyle name="Output 30 7 3" xfId="19064"/>
    <cellStyle name="Output 30 7 3 2" xfId="40251"/>
    <cellStyle name="Output 30 7 4" xfId="29488"/>
    <cellStyle name="Output 30 7_Table 2A-1_EFT (Annual)" xfId="8180"/>
    <cellStyle name="Output 30 8" xfId="9466"/>
    <cellStyle name="Output 30 8 2" xfId="21631"/>
    <cellStyle name="Output 30 8 2 2" xfId="42817"/>
    <cellStyle name="Output 30 8 3" xfId="32213"/>
    <cellStyle name="Output 30 9" xfId="16518"/>
    <cellStyle name="Output 30 9 2" xfId="37705"/>
    <cellStyle name="Output 30_Table 2A-1_EFT (Annual)" xfId="3454"/>
    <cellStyle name="Output 31" xfId="249"/>
    <cellStyle name="Output 31 10" xfId="26804"/>
    <cellStyle name="Output 31 2" xfId="636"/>
    <cellStyle name="Output 31 2 2" xfId="1613"/>
    <cellStyle name="Output 31 2 2 2" xfId="2883"/>
    <cellStyle name="Output 31 2 2 2 2" xfId="6444"/>
    <cellStyle name="Output 31 2 2 2 2 2" xfId="14638"/>
    <cellStyle name="Output 31 2 2 2 2 2 2" xfId="26610"/>
    <cellStyle name="Output 31 2 2 2 2 2 2 2" xfId="47796"/>
    <cellStyle name="Output 31 2 2 2 2 2 3" xfId="37192"/>
    <cellStyle name="Output 31 2 2 2 2 3" xfId="21497"/>
    <cellStyle name="Output 31 2 2 2 2 3 2" xfId="42684"/>
    <cellStyle name="Output 31 2 2 2 2 4" xfId="32100"/>
    <cellStyle name="Output 31 2 2 2 2_Table 2A-1_EFT (Annual)" xfId="8182"/>
    <cellStyle name="Output 31 2 2 2 3" xfId="11980"/>
    <cellStyle name="Output 31 2 2 2 3 2" xfId="24064"/>
    <cellStyle name="Output 31 2 2 2 3 2 2" xfId="45250"/>
    <cellStyle name="Output 31 2 2 2 3 3" xfId="34646"/>
    <cellStyle name="Output 31 2 2 2 4" xfId="18951"/>
    <cellStyle name="Output 31 2 2 2 4 2" xfId="40138"/>
    <cellStyle name="Output 31 2 2 2 5" xfId="29357"/>
    <cellStyle name="Output 31 2 2 2_Table 2A-1_EFT (Annual)" xfId="8181"/>
    <cellStyle name="Output 31 2 2 3" xfId="1939"/>
    <cellStyle name="Output 31 2 2 3 2" xfId="5500"/>
    <cellStyle name="Output 31 2 2 3 2 2" xfId="13715"/>
    <cellStyle name="Output 31 2 2 3 2 2 2" xfId="25703"/>
    <cellStyle name="Output 31 2 2 3 2 2 2 2" xfId="46889"/>
    <cellStyle name="Output 31 2 2 3 2 2 3" xfId="36285"/>
    <cellStyle name="Output 31 2 2 3 2 3" xfId="20590"/>
    <cellStyle name="Output 31 2 2 3 2 3 2" xfId="41777"/>
    <cellStyle name="Output 31 2 2 3 2 4" xfId="31157"/>
    <cellStyle name="Output 31 2 2 3 2_Table 2A-1_EFT (Annual)" xfId="8184"/>
    <cellStyle name="Output 31 2 2 3 3" xfId="11059"/>
    <cellStyle name="Output 31 2 2 3 3 2" xfId="23157"/>
    <cellStyle name="Output 31 2 2 3 3 2 2" xfId="44343"/>
    <cellStyle name="Output 31 2 2 3 3 3" xfId="33739"/>
    <cellStyle name="Output 31 2 2 3 4" xfId="18044"/>
    <cellStyle name="Output 31 2 2 3 4 2" xfId="39231"/>
    <cellStyle name="Output 31 2 2 3 5" xfId="28414"/>
    <cellStyle name="Output 31 2 2 3_Table 2A-1_EFT (Annual)" xfId="8183"/>
    <cellStyle name="Output 31 2 2 4" xfId="5174"/>
    <cellStyle name="Output 31 2 2 4 2" xfId="13434"/>
    <cellStyle name="Output 31 2 2 4 2 2" xfId="25440"/>
    <cellStyle name="Output 31 2 2 4 2 2 2" xfId="46626"/>
    <cellStyle name="Output 31 2 2 4 2 3" xfId="36022"/>
    <cellStyle name="Output 31 2 2 4 3" xfId="20327"/>
    <cellStyle name="Output 31 2 2 4 3 2" xfId="41514"/>
    <cellStyle name="Output 31 2 2 4 4" xfId="30831"/>
    <cellStyle name="Output 31 2 2 4_Table 2A-1_EFT (Annual)" xfId="8185"/>
    <cellStyle name="Output 31 2 2 5" xfId="10778"/>
    <cellStyle name="Output 31 2 2 5 2" xfId="22894"/>
    <cellStyle name="Output 31 2 2 5 2 2" xfId="44080"/>
    <cellStyle name="Output 31 2 2 5 3" xfId="33476"/>
    <cellStyle name="Output 31 2 2 6" xfId="17781"/>
    <cellStyle name="Output 31 2 2 6 2" xfId="38968"/>
    <cellStyle name="Output 31 2 2 7" xfId="28088"/>
    <cellStyle name="Output 31 2 2_Table 2A-1_EFT (Annual)" xfId="3462"/>
    <cellStyle name="Output 31 2 3" xfId="2352"/>
    <cellStyle name="Output 31 2 3 2" xfId="5913"/>
    <cellStyle name="Output 31 2 3 2 2" xfId="14128"/>
    <cellStyle name="Output 31 2 3 2 2 2" xfId="26116"/>
    <cellStyle name="Output 31 2 3 2 2 2 2" xfId="47302"/>
    <cellStyle name="Output 31 2 3 2 2 3" xfId="36698"/>
    <cellStyle name="Output 31 2 3 2 3" xfId="21003"/>
    <cellStyle name="Output 31 2 3 2 3 2" xfId="42190"/>
    <cellStyle name="Output 31 2 3 2 4" xfId="31570"/>
    <cellStyle name="Output 31 2 3 2_Table 2A-1_EFT (Annual)" xfId="8187"/>
    <cellStyle name="Output 31 2 3 3" xfId="11472"/>
    <cellStyle name="Output 31 2 3 3 2" xfId="23570"/>
    <cellStyle name="Output 31 2 3 3 2 2" xfId="44756"/>
    <cellStyle name="Output 31 2 3 3 3" xfId="34152"/>
    <cellStyle name="Output 31 2 3 4" xfId="18457"/>
    <cellStyle name="Output 31 2 3 4 2" xfId="39644"/>
    <cellStyle name="Output 31 2 3 5" xfId="28827"/>
    <cellStyle name="Output 31 2 3_Table 2A-1_EFT (Annual)" xfId="8186"/>
    <cellStyle name="Output 31 2 4" xfId="1764"/>
    <cellStyle name="Output 31 2 4 2" xfId="5325"/>
    <cellStyle name="Output 31 2 4 2 2" xfId="13550"/>
    <cellStyle name="Output 31 2 4 2 2 2" xfId="25541"/>
    <cellStyle name="Output 31 2 4 2 2 2 2" xfId="46727"/>
    <cellStyle name="Output 31 2 4 2 2 3" xfId="36123"/>
    <cellStyle name="Output 31 2 4 2 3" xfId="20428"/>
    <cellStyle name="Output 31 2 4 2 3 2" xfId="41615"/>
    <cellStyle name="Output 31 2 4 2 4" xfId="30982"/>
    <cellStyle name="Output 31 2 4 2_Table 2A-1_EFT (Annual)" xfId="8189"/>
    <cellStyle name="Output 31 2 4 3" xfId="10893"/>
    <cellStyle name="Output 31 2 4 3 2" xfId="22995"/>
    <cellStyle name="Output 31 2 4 3 2 2" xfId="44181"/>
    <cellStyle name="Output 31 2 4 3 3" xfId="33577"/>
    <cellStyle name="Output 31 2 4 4" xfId="17882"/>
    <cellStyle name="Output 31 2 4 4 2" xfId="39069"/>
    <cellStyle name="Output 31 2 4 5" xfId="28239"/>
    <cellStyle name="Output 31 2 4_Table 2A-1_EFT (Annual)" xfId="8188"/>
    <cellStyle name="Output 31 2 5" xfId="4206"/>
    <cellStyle name="Output 31 2 5 2" xfId="12530"/>
    <cellStyle name="Output 31 2 5 2 2" xfId="24552"/>
    <cellStyle name="Output 31 2 5 2 2 2" xfId="45738"/>
    <cellStyle name="Output 31 2 5 2 3" xfId="35134"/>
    <cellStyle name="Output 31 2 5 3" xfId="19439"/>
    <cellStyle name="Output 31 2 5 3 2" xfId="40626"/>
    <cellStyle name="Output 31 2 5 4" xfId="29894"/>
    <cellStyle name="Output 31 2 5_Table 2A-1_EFT (Annual)" xfId="8190"/>
    <cellStyle name="Output 31 2 6" xfId="9869"/>
    <cellStyle name="Output 31 2 6 2" xfId="22006"/>
    <cellStyle name="Output 31 2 6 2 2" xfId="43192"/>
    <cellStyle name="Output 31 2 6 3" xfId="32588"/>
    <cellStyle name="Output 31 2 7" xfId="16893"/>
    <cellStyle name="Output 31 2 7 2" xfId="38080"/>
    <cellStyle name="Output 31 2 8" xfId="27151"/>
    <cellStyle name="Output 31 2_Table 2A-1_EFT (Annual)" xfId="3461"/>
    <cellStyle name="Output 31 3" xfId="475"/>
    <cellStyle name="Output 31 3 2" xfId="1452"/>
    <cellStyle name="Output 31 3 2 2" xfId="2722"/>
    <cellStyle name="Output 31 3 2 2 2" xfId="6283"/>
    <cellStyle name="Output 31 3 2 2 2 2" xfId="14477"/>
    <cellStyle name="Output 31 3 2 2 2 2 2" xfId="26449"/>
    <cellStyle name="Output 31 3 2 2 2 2 2 2" xfId="47635"/>
    <cellStyle name="Output 31 3 2 2 2 2 3" xfId="37031"/>
    <cellStyle name="Output 31 3 2 2 2 3" xfId="21336"/>
    <cellStyle name="Output 31 3 2 2 2 3 2" xfId="42523"/>
    <cellStyle name="Output 31 3 2 2 2 4" xfId="31939"/>
    <cellStyle name="Output 31 3 2 2 2_Table 2A-1_EFT (Annual)" xfId="8192"/>
    <cellStyle name="Output 31 3 2 2 3" xfId="11819"/>
    <cellStyle name="Output 31 3 2 2 3 2" xfId="23903"/>
    <cellStyle name="Output 31 3 2 2 3 2 2" xfId="45089"/>
    <cellStyle name="Output 31 3 2 2 3 3" xfId="34485"/>
    <cellStyle name="Output 31 3 2 2 4" xfId="18790"/>
    <cellStyle name="Output 31 3 2 2 4 2" xfId="39977"/>
    <cellStyle name="Output 31 3 2 2 5" xfId="29196"/>
    <cellStyle name="Output 31 3 2 2_Table 2A-1_EFT (Annual)" xfId="8191"/>
    <cellStyle name="Output 31 3 2 3" xfId="1908"/>
    <cellStyle name="Output 31 3 2 3 2" xfId="5469"/>
    <cellStyle name="Output 31 3 2 3 2 2" xfId="13684"/>
    <cellStyle name="Output 31 3 2 3 2 2 2" xfId="25672"/>
    <cellStyle name="Output 31 3 2 3 2 2 2 2" xfId="46858"/>
    <cellStyle name="Output 31 3 2 3 2 2 3" xfId="36254"/>
    <cellStyle name="Output 31 3 2 3 2 3" xfId="20559"/>
    <cellStyle name="Output 31 3 2 3 2 3 2" xfId="41746"/>
    <cellStyle name="Output 31 3 2 3 2 4" xfId="31126"/>
    <cellStyle name="Output 31 3 2 3 2_Table 2A-1_EFT (Annual)" xfId="8194"/>
    <cellStyle name="Output 31 3 2 3 3" xfId="11028"/>
    <cellStyle name="Output 31 3 2 3 3 2" xfId="23126"/>
    <cellStyle name="Output 31 3 2 3 3 2 2" xfId="44312"/>
    <cellStyle name="Output 31 3 2 3 3 3" xfId="33708"/>
    <cellStyle name="Output 31 3 2 3 4" xfId="18013"/>
    <cellStyle name="Output 31 3 2 3 4 2" xfId="39200"/>
    <cellStyle name="Output 31 3 2 3 5" xfId="28383"/>
    <cellStyle name="Output 31 3 2 3_Table 2A-1_EFT (Annual)" xfId="8193"/>
    <cellStyle name="Output 31 3 2 4" xfId="5013"/>
    <cellStyle name="Output 31 3 2 4 2" xfId="13273"/>
    <cellStyle name="Output 31 3 2 4 2 2" xfId="25279"/>
    <cellStyle name="Output 31 3 2 4 2 2 2" xfId="46465"/>
    <cellStyle name="Output 31 3 2 4 2 3" xfId="35861"/>
    <cellStyle name="Output 31 3 2 4 3" xfId="20166"/>
    <cellStyle name="Output 31 3 2 4 3 2" xfId="41353"/>
    <cellStyle name="Output 31 3 2 4 4" xfId="30670"/>
    <cellStyle name="Output 31 3 2 4_Table 2A-1_EFT (Annual)" xfId="8195"/>
    <cellStyle name="Output 31 3 2 5" xfId="10617"/>
    <cellStyle name="Output 31 3 2 5 2" xfId="22733"/>
    <cellStyle name="Output 31 3 2 5 2 2" xfId="43919"/>
    <cellStyle name="Output 31 3 2 5 3" xfId="33315"/>
    <cellStyle name="Output 31 3 2 6" xfId="17620"/>
    <cellStyle name="Output 31 3 2 6 2" xfId="38807"/>
    <cellStyle name="Output 31 3 2 7" xfId="27927"/>
    <cellStyle name="Output 31 3 2_Table 2A-1_EFT (Annual)" xfId="3464"/>
    <cellStyle name="Output 31 3 3" xfId="2191"/>
    <cellStyle name="Output 31 3 3 2" xfId="5752"/>
    <cellStyle name="Output 31 3 3 2 2" xfId="13967"/>
    <cellStyle name="Output 31 3 3 2 2 2" xfId="25955"/>
    <cellStyle name="Output 31 3 3 2 2 2 2" xfId="47141"/>
    <cellStyle name="Output 31 3 3 2 2 3" xfId="36537"/>
    <cellStyle name="Output 31 3 3 2 3" xfId="20842"/>
    <cellStyle name="Output 31 3 3 2 3 2" xfId="42029"/>
    <cellStyle name="Output 31 3 3 2 4" xfId="31409"/>
    <cellStyle name="Output 31 3 3 2_Table 2A-1_EFT (Annual)" xfId="8197"/>
    <cellStyle name="Output 31 3 3 3" xfId="11311"/>
    <cellStyle name="Output 31 3 3 3 2" xfId="23409"/>
    <cellStyle name="Output 31 3 3 3 2 2" xfId="44595"/>
    <cellStyle name="Output 31 3 3 3 3" xfId="33991"/>
    <cellStyle name="Output 31 3 3 4" xfId="18296"/>
    <cellStyle name="Output 31 3 3 4 2" xfId="39483"/>
    <cellStyle name="Output 31 3 3 5" xfId="28666"/>
    <cellStyle name="Output 31 3 3_Table 2A-1_EFT (Annual)" xfId="8196"/>
    <cellStyle name="Output 31 3 4" xfId="1733"/>
    <cellStyle name="Output 31 3 4 2" xfId="5294"/>
    <cellStyle name="Output 31 3 4 2 2" xfId="13519"/>
    <cellStyle name="Output 31 3 4 2 2 2" xfId="25510"/>
    <cellStyle name="Output 31 3 4 2 2 2 2" xfId="46696"/>
    <cellStyle name="Output 31 3 4 2 2 3" xfId="36092"/>
    <cellStyle name="Output 31 3 4 2 3" xfId="20397"/>
    <cellStyle name="Output 31 3 4 2 3 2" xfId="41584"/>
    <cellStyle name="Output 31 3 4 2 4" xfId="30951"/>
    <cellStyle name="Output 31 3 4 2_Table 2A-1_EFT (Annual)" xfId="8199"/>
    <cellStyle name="Output 31 3 4 3" xfId="10862"/>
    <cellStyle name="Output 31 3 4 3 2" xfId="22964"/>
    <cellStyle name="Output 31 3 4 3 2 2" xfId="44150"/>
    <cellStyle name="Output 31 3 4 3 3" xfId="33546"/>
    <cellStyle name="Output 31 3 4 4" xfId="17851"/>
    <cellStyle name="Output 31 3 4 4 2" xfId="39038"/>
    <cellStyle name="Output 31 3 4 5" xfId="28208"/>
    <cellStyle name="Output 31 3 4_Table 2A-1_EFT (Annual)" xfId="8198"/>
    <cellStyle name="Output 31 3 5" xfId="4045"/>
    <cellStyle name="Output 31 3 5 2" xfId="12369"/>
    <cellStyle name="Output 31 3 5 2 2" xfId="24391"/>
    <cellStyle name="Output 31 3 5 2 2 2" xfId="45577"/>
    <cellStyle name="Output 31 3 5 2 3" xfId="34973"/>
    <cellStyle name="Output 31 3 5 3" xfId="19278"/>
    <cellStyle name="Output 31 3 5 3 2" xfId="40465"/>
    <cellStyle name="Output 31 3 5 4" xfId="29733"/>
    <cellStyle name="Output 31 3 5_Table 2A-1_EFT (Annual)" xfId="8200"/>
    <cellStyle name="Output 31 3 6" xfId="9708"/>
    <cellStyle name="Output 31 3 6 2" xfId="21845"/>
    <cellStyle name="Output 31 3 6 2 2" xfId="43031"/>
    <cellStyle name="Output 31 3 6 3" xfId="32427"/>
    <cellStyle name="Output 31 3 7" xfId="16732"/>
    <cellStyle name="Output 31 3 7 2" xfId="37919"/>
    <cellStyle name="Output 31 3 8" xfId="26990"/>
    <cellStyle name="Output 31 3_Table 2A-1_EFT (Annual)" xfId="3463"/>
    <cellStyle name="Output 31 4" xfId="1291"/>
    <cellStyle name="Output 31 4 2" xfId="2561"/>
    <cellStyle name="Output 31 4 2 2" xfId="6122"/>
    <cellStyle name="Output 31 4 2 2 2" xfId="14316"/>
    <cellStyle name="Output 31 4 2 2 2 2" xfId="26288"/>
    <cellStyle name="Output 31 4 2 2 2 2 2" xfId="47474"/>
    <cellStyle name="Output 31 4 2 2 2 3" xfId="36870"/>
    <cellStyle name="Output 31 4 2 2 3" xfId="21175"/>
    <cellStyle name="Output 31 4 2 2 3 2" xfId="42362"/>
    <cellStyle name="Output 31 4 2 2 4" xfId="31778"/>
    <cellStyle name="Output 31 4 2 2_Table 2A-1_EFT (Annual)" xfId="8202"/>
    <cellStyle name="Output 31 4 2 3" xfId="11658"/>
    <cellStyle name="Output 31 4 2 3 2" xfId="23742"/>
    <cellStyle name="Output 31 4 2 3 2 2" xfId="44928"/>
    <cellStyle name="Output 31 4 2 3 3" xfId="34324"/>
    <cellStyle name="Output 31 4 2 4" xfId="18629"/>
    <cellStyle name="Output 31 4 2 4 2" xfId="39816"/>
    <cellStyle name="Output 31 4 2 5" xfId="29035"/>
    <cellStyle name="Output 31 4 2_Table 2A-1_EFT (Annual)" xfId="8201"/>
    <cellStyle name="Output 31 4 3" xfId="1845"/>
    <cellStyle name="Output 31 4 3 2" xfId="5406"/>
    <cellStyle name="Output 31 4 3 2 2" xfId="13621"/>
    <cellStyle name="Output 31 4 3 2 2 2" xfId="25609"/>
    <cellStyle name="Output 31 4 3 2 2 2 2" xfId="46795"/>
    <cellStyle name="Output 31 4 3 2 2 3" xfId="36191"/>
    <cellStyle name="Output 31 4 3 2 3" xfId="20496"/>
    <cellStyle name="Output 31 4 3 2 3 2" xfId="41683"/>
    <cellStyle name="Output 31 4 3 2 4" xfId="31063"/>
    <cellStyle name="Output 31 4 3 2_Table 2A-1_EFT (Annual)" xfId="8204"/>
    <cellStyle name="Output 31 4 3 3" xfId="10965"/>
    <cellStyle name="Output 31 4 3 3 2" xfId="23063"/>
    <cellStyle name="Output 31 4 3 3 2 2" xfId="44249"/>
    <cellStyle name="Output 31 4 3 3 3" xfId="33645"/>
    <cellStyle name="Output 31 4 3 4" xfId="17950"/>
    <cellStyle name="Output 31 4 3 4 2" xfId="39137"/>
    <cellStyle name="Output 31 4 3 5" xfId="28320"/>
    <cellStyle name="Output 31 4 3_Table 2A-1_EFT (Annual)" xfId="8203"/>
    <cellStyle name="Output 31 4 4" xfId="4852"/>
    <cellStyle name="Output 31 4 4 2" xfId="13112"/>
    <cellStyle name="Output 31 4 4 2 2" xfId="25118"/>
    <cellStyle name="Output 31 4 4 2 2 2" xfId="46304"/>
    <cellStyle name="Output 31 4 4 2 3" xfId="35700"/>
    <cellStyle name="Output 31 4 4 3" xfId="20005"/>
    <cellStyle name="Output 31 4 4 3 2" xfId="41192"/>
    <cellStyle name="Output 31 4 4 4" xfId="30509"/>
    <cellStyle name="Output 31 4 4_Table 2A-1_EFT (Annual)" xfId="8205"/>
    <cellStyle name="Output 31 4 5" xfId="10456"/>
    <cellStyle name="Output 31 4 5 2" xfId="22572"/>
    <cellStyle name="Output 31 4 5 2 2" xfId="43758"/>
    <cellStyle name="Output 31 4 5 3" xfId="33154"/>
    <cellStyle name="Output 31 4 6" xfId="17459"/>
    <cellStyle name="Output 31 4 6 2" xfId="38646"/>
    <cellStyle name="Output 31 4 7" xfId="27766"/>
    <cellStyle name="Output 31 4_Table 2A-1_EFT (Annual)" xfId="3465"/>
    <cellStyle name="Output 31 5" xfId="2030"/>
    <cellStyle name="Output 31 5 2" xfId="5591"/>
    <cellStyle name="Output 31 5 2 2" xfId="13806"/>
    <cellStyle name="Output 31 5 2 2 2" xfId="25794"/>
    <cellStyle name="Output 31 5 2 2 2 2" xfId="46980"/>
    <cellStyle name="Output 31 5 2 2 3" xfId="36376"/>
    <cellStyle name="Output 31 5 2 3" xfId="20681"/>
    <cellStyle name="Output 31 5 2 3 2" xfId="41868"/>
    <cellStyle name="Output 31 5 2 4" xfId="31248"/>
    <cellStyle name="Output 31 5 2_Table 2A-1_EFT (Annual)" xfId="8207"/>
    <cellStyle name="Output 31 5 3" xfId="11150"/>
    <cellStyle name="Output 31 5 3 2" xfId="23248"/>
    <cellStyle name="Output 31 5 3 2 2" xfId="44434"/>
    <cellStyle name="Output 31 5 3 3" xfId="33830"/>
    <cellStyle name="Output 31 5 4" xfId="18135"/>
    <cellStyle name="Output 31 5 4 2" xfId="39322"/>
    <cellStyle name="Output 31 5 5" xfId="28505"/>
    <cellStyle name="Output 31 5_Table 2A-1_EFT (Annual)" xfId="8206"/>
    <cellStyle name="Output 31 6" xfId="1677"/>
    <cellStyle name="Output 31 6 2" xfId="5238"/>
    <cellStyle name="Output 31 6 2 2" xfId="13481"/>
    <cellStyle name="Output 31 6 2 2 2" xfId="25479"/>
    <cellStyle name="Output 31 6 2 2 2 2" xfId="46665"/>
    <cellStyle name="Output 31 6 2 2 3" xfId="36061"/>
    <cellStyle name="Output 31 6 2 3" xfId="20366"/>
    <cellStyle name="Output 31 6 2 3 2" xfId="41553"/>
    <cellStyle name="Output 31 6 2 4" xfId="30895"/>
    <cellStyle name="Output 31 6 2_Table 2A-1_EFT (Annual)" xfId="8209"/>
    <cellStyle name="Output 31 6 3" xfId="10826"/>
    <cellStyle name="Output 31 6 3 2" xfId="22933"/>
    <cellStyle name="Output 31 6 3 2 2" xfId="44119"/>
    <cellStyle name="Output 31 6 3 3" xfId="33515"/>
    <cellStyle name="Output 31 6 4" xfId="17820"/>
    <cellStyle name="Output 31 6 4 2" xfId="39007"/>
    <cellStyle name="Output 31 6 5" xfId="28152"/>
    <cellStyle name="Output 31 6_Table 2A-1_EFT (Annual)" xfId="8208"/>
    <cellStyle name="Output 31 7" xfId="3838"/>
    <cellStyle name="Output 31 7 2" xfId="12201"/>
    <cellStyle name="Output 31 7 2 2" xfId="24230"/>
    <cellStyle name="Output 31 7 2 2 2" xfId="45416"/>
    <cellStyle name="Output 31 7 2 3" xfId="34812"/>
    <cellStyle name="Output 31 7 3" xfId="19117"/>
    <cellStyle name="Output 31 7 3 2" xfId="40304"/>
    <cellStyle name="Output 31 7 4" xfId="29547"/>
    <cellStyle name="Output 31 7_Table 2A-1_EFT (Annual)" xfId="8210"/>
    <cellStyle name="Output 31 8" xfId="9520"/>
    <cellStyle name="Output 31 8 2" xfId="21684"/>
    <cellStyle name="Output 31 8 2 2" xfId="42870"/>
    <cellStyle name="Output 31 8 3" xfId="32266"/>
    <cellStyle name="Output 31 9" xfId="16571"/>
    <cellStyle name="Output 31 9 2" xfId="37758"/>
    <cellStyle name="Output 31_Table 2A-1_EFT (Annual)" xfId="3460"/>
    <cellStyle name="Output 32" xfId="220"/>
    <cellStyle name="Output 32 2" xfId="613"/>
    <cellStyle name="Output 32 2 2" xfId="1590"/>
    <cellStyle name="Output 32 2 2 2" xfId="2860"/>
    <cellStyle name="Output 32 2 2 2 2" xfId="6421"/>
    <cellStyle name="Output 32 2 2 2 2 2" xfId="14615"/>
    <cellStyle name="Output 32 2 2 2 2 2 2" xfId="26587"/>
    <cellStyle name="Output 32 2 2 2 2 2 2 2" xfId="47773"/>
    <cellStyle name="Output 32 2 2 2 2 2 3" xfId="37169"/>
    <cellStyle name="Output 32 2 2 2 2 3" xfId="21474"/>
    <cellStyle name="Output 32 2 2 2 2 3 2" xfId="42661"/>
    <cellStyle name="Output 32 2 2 2 2 4" xfId="32077"/>
    <cellStyle name="Output 32 2 2 2 2_Table 2A-1_EFT (Annual)" xfId="8212"/>
    <cellStyle name="Output 32 2 2 2 3" xfId="11957"/>
    <cellStyle name="Output 32 2 2 2 3 2" xfId="24041"/>
    <cellStyle name="Output 32 2 2 2 3 2 2" xfId="45227"/>
    <cellStyle name="Output 32 2 2 2 3 3" xfId="34623"/>
    <cellStyle name="Output 32 2 2 2 4" xfId="18928"/>
    <cellStyle name="Output 32 2 2 2 4 2" xfId="40115"/>
    <cellStyle name="Output 32 2 2 2 5" xfId="29334"/>
    <cellStyle name="Output 32 2 2 2_Table 2A-1_EFT (Annual)" xfId="8211"/>
    <cellStyle name="Output 32 2 2 3" xfId="1935"/>
    <cellStyle name="Output 32 2 2 3 2" xfId="5496"/>
    <cellStyle name="Output 32 2 2 3 2 2" xfId="13711"/>
    <cellStyle name="Output 32 2 2 3 2 2 2" xfId="25699"/>
    <cellStyle name="Output 32 2 2 3 2 2 2 2" xfId="46885"/>
    <cellStyle name="Output 32 2 2 3 2 2 3" xfId="36281"/>
    <cellStyle name="Output 32 2 2 3 2 3" xfId="20586"/>
    <cellStyle name="Output 32 2 2 3 2 3 2" xfId="41773"/>
    <cellStyle name="Output 32 2 2 3 2 4" xfId="31153"/>
    <cellStyle name="Output 32 2 2 3 2_Table 2A-1_EFT (Annual)" xfId="8214"/>
    <cellStyle name="Output 32 2 2 3 3" xfId="11055"/>
    <cellStyle name="Output 32 2 2 3 3 2" xfId="23153"/>
    <cellStyle name="Output 32 2 2 3 3 2 2" xfId="44339"/>
    <cellStyle name="Output 32 2 2 3 3 3" xfId="33735"/>
    <cellStyle name="Output 32 2 2 3 4" xfId="18040"/>
    <cellStyle name="Output 32 2 2 3 4 2" xfId="39227"/>
    <cellStyle name="Output 32 2 2 3 5" xfId="28410"/>
    <cellStyle name="Output 32 2 2 3_Table 2A-1_EFT (Annual)" xfId="8213"/>
    <cellStyle name="Output 32 2 2 4" xfId="5151"/>
    <cellStyle name="Output 32 2 2 4 2" xfId="13411"/>
    <cellStyle name="Output 32 2 2 4 2 2" xfId="25417"/>
    <cellStyle name="Output 32 2 2 4 2 2 2" xfId="46603"/>
    <cellStyle name="Output 32 2 2 4 2 3" xfId="35999"/>
    <cellStyle name="Output 32 2 2 4 3" xfId="20304"/>
    <cellStyle name="Output 32 2 2 4 3 2" xfId="41491"/>
    <cellStyle name="Output 32 2 2 4 4" xfId="30808"/>
    <cellStyle name="Output 32 2 2 4_Table 2A-1_EFT (Annual)" xfId="8215"/>
    <cellStyle name="Output 32 2 2 5" xfId="10755"/>
    <cellStyle name="Output 32 2 2 5 2" xfId="22871"/>
    <cellStyle name="Output 32 2 2 5 2 2" xfId="44057"/>
    <cellStyle name="Output 32 2 2 5 3" xfId="33453"/>
    <cellStyle name="Output 32 2 2 6" xfId="17758"/>
    <cellStyle name="Output 32 2 2 6 2" xfId="38945"/>
    <cellStyle name="Output 32 2 2 7" xfId="28065"/>
    <cellStyle name="Output 32 2 2_Table 2A-1_EFT (Annual)" xfId="3468"/>
    <cellStyle name="Output 32 2 3" xfId="2329"/>
    <cellStyle name="Output 32 2 3 2" xfId="5890"/>
    <cellStyle name="Output 32 2 3 2 2" xfId="14105"/>
    <cellStyle name="Output 32 2 3 2 2 2" xfId="26093"/>
    <cellStyle name="Output 32 2 3 2 2 2 2" xfId="47279"/>
    <cellStyle name="Output 32 2 3 2 2 3" xfId="36675"/>
    <cellStyle name="Output 32 2 3 2 3" xfId="20980"/>
    <cellStyle name="Output 32 2 3 2 3 2" xfId="42167"/>
    <cellStyle name="Output 32 2 3 2 4" xfId="31547"/>
    <cellStyle name="Output 32 2 3 2_Table 2A-1_EFT (Annual)" xfId="8217"/>
    <cellStyle name="Output 32 2 3 3" xfId="11449"/>
    <cellStyle name="Output 32 2 3 3 2" xfId="23547"/>
    <cellStyle name="Output 32 2 3 3 2 2" xfId="44733"/>
    <cellStyle name="Output 32 2 3 3 3" xfId="34129"/>
    <cellStyle name="Output 32 2 3 4" xfId="18434"/>
    <cellStyle name="Output 32 2 3 4 2" xfId="39621"/>
    <cellStyle name="Output 32 2 3 5" xfId="28804"/>
    <cellStyle name="Output 32 2 3_Table 2A-1_EFT (Annual)" xfId="8216"/>
    <cellStyle name="Output 32 2 4" xfId="1760"/>
    <cellStyle name="Output 32 2 4 2" xfId="5321"/>
    <cellStyle name="Output 32 2 4 2 2" xfId="13546"/>
    <cellStyle name="Output 32 2 4 2 2 2" xfId="25537"/>
    <cellStyle name="Output 32 2 4 2 2 2 2" xfId="46723"/>
    <cellStyle name="Output 32 2 4 2 2 3" xfId="36119"/>
    <cellStyle name="Output 32 2 4 2 3" xfId="20424"/>
    <cellStyle name="Output 32 2 4 2 3 2" xfId="41611"/>
    <cellStyle name="Output 32 2 4 2 4" xfId="30978"/>
    <cellStyle name="Output 32 2 4 2_Table 2A-1_EFT (Annual)" xfId="8219"/>
    <cellStyle name="Output 32 2 4 3" xfId="10889"/>
    <cellStyle name="Output 32 2 4 3 2" xfId="22991"/>
    <cellStyle name="Output 32 2 4 3 2 2" xfId="44177"/>
    <cellStyle name="Output 32 2 4 3 3" xfId="33573"/>
    <cellStyle name="Output 32 2 4 4" xfId="17878"/>
    <cellStyle name="Output 32 2 4 4 2" xfId="39065"/>
    <cellStyle name="Output 32 2 4 5" xfId="28235"/>
    <cellStyle name="Output 32 2 4_Table 2A-1_EFT (Annual)" xfId="8218"/>
    <cellStyle name="Output 32 2 5" xfId="4183"/>
    <cellStyle name="Output 32 2 5 2" xfId="12507"/>
    <cellStyle name="Output 32 2 5 2 2" xfId="24529"/>
    <cellStyle name="Output 32 2 5 2 2 2" xfId="45715"/>
    <cellStyle name="Output 32 2 5 2 3" xfId="35111"/>
    <cellStyle name="Output 32 2 5 3" xfId="19416"/>
    <cellStyle name="Output 32 2 5 3 2" xfId="40603"/>
    <cellStyle name="Output 32 2 5 4" xfId="29871"/>
    <cellStyle name="Output 32 2 5_Table 2A-1_EFT (Annual)" xfId="8220"/>
    <cellStyle name="Output 32 2 6" xfId="9846"/>
    <cellStyle name="Output 32 2 6 2" xfId="21983"/>
    <cellStyle name="Output 32 2 6 2 2" xfId="43169"/>
    <cellStyle name="Output 32 2 6 3" xfId="32565"/>
    <cellStyle name="Output 32 2 7" xfId="16870"/>
    <cellStyle name="Output 32 2 7 2" xfId="38057"/>
    <cellStyle name="Output 32 2 8" xfId="27128"/>
    <cellStyle name="Output 32 2_Table 2A-1_EFT (Annual)" xfId="3467"/>
    <cellStyle name="Output 32 3" xfId="1268"/>
    <cellStyle name="Output 32 3 2" xfId="2538"/>
    <cellStyle name="Output 32 3 2 2" xfId="6099"/>
    <cellStyle name="Output 32 3 2 2 2" xfId="14293"/>
    <cellStyle name="Output 32 3 2 2 2 2" xfId="26265"/>
    <cellStyle name="Output 32 3 2 2 2 2 2" xfId="47451"/>
    <cellStyle name="Output 32 3 2 2 2 3" xfId="36847"/>
    <cellStyle name="Output 32 3 2 2 3" xfId="21152"/>
    <cellStyle name="Output 32 3 2 2 3 2" xfId="42339"/>
    <cellStyle name="Output 32 3 2 2 4" xfId="31755"/>
    <cellStyle name="Output 32 3 2 2_Table 2A-1_EFT (Annual)" xfId="8222"/>
    <cellStyle name="Output 32 3 2 3" xfId="11635"/>
    <cellStyle name="Output 32 3 2 3 2" xfId="23719"/>
    <cellStyle name="Output 32 3 2 3 2 2" xfId="44905"/>
    <cellStyle name="Output 32 3 2 3 3" xfId="34301"/>
    <cellStyle name="Output 32 3 2 4" xfId="18606"/>
    <cellStyle name="Output 32 3 2 4 2" xfId="39793"/>
    <cellStyle name="Output 32 3 2 5" xfId="29012"/>
    <cellStyle name="Output 32 3 2_Table 2A-1_EFT (Annual)" xfId="8221"/>
    <cellStyle name="Output 32 3 3" xfId="1840"/>
    <cellStyle name="Output 32 3 3 2" xfId="5401"/>
    <cellStyle name="Output 32 3 3 2 2" xfId="13616"/>
    <cellStyle name="Output 32 3 3 2 2 2" xfId="25604"/>
    <cellStyle name="Output 32 3 3 2 2 2 2" xfId="46790"/>
    <cellStyle name="Output 32 3 3 2 2 3" xfId="36186"/>
    <cellStyle name="Output 32 3 3 2 3" xfId="20491"/>
    <cellStyle name="Output 32 3 3 2 3 2" xfId="41678"/>
    <cellStyle name="Output 32 3 3 2 4" xfId="31058"/>
    <cellStyle name="Output 32 3 3 2_Table 2A-1_EFT (Annual)" xfId="8224"/>
    <cellStyle name="Output 32 3 3 3" xfId="10960"/>
    <cellStyle name="Output 32 3 3 3 2" xfId="23058"/>
    <cellStyle name="Output 32 3 3 3 2 2" xfId="44244"/>
    <cellStyle name="Output 32 3 3 3 3" xfId="33640"/>
    <cellStyle name="Output 32 3 3 4" xfId="17945"/>
    <cellStyle name="Output 32 3 3 4 2" xfId="39132"/>
    <cellStyle name="Output 32 3 3 5" xfId="28315"/>
    <cellStyle name="Output 32 3 3_Table 2A-1_EFT (Annual)" xfId="8223"/>
    <cellStyle name="Output 32 3 4" xfId="4829"/>
    <cellStyle name="Output 32 3 4 2" xfId="13089"/>
    <cellStyle name="Output 32 3 4 2 2" xfId="25095"/>
    <cellStyle name="Output 32 3 4 2 2 2" xfId="46281"/>
    <cellStyle name="Output 32 3 4 2 3" xfId="35677"/>
    <cellStyle name="Output 32 3 4 3" xfId="19982"/>
    <cellStyle name="Output 32 3 4 3 2" xfId="41169"/>
    <cellStyle name="Output 32 3 4 4" xfId="30486"/>
    <cellStyle name="Output 32 3 4_Table 2A-1_EFT (Annual)" xfId="8225"/>
    <cellStyle name="Output 32 3 5" xfId="10433"/>
    <cellStyle name="Output 32 3 5 2" xfId="22549"/>
    <cellStyle name="Output 32 3 5 2 2" xfId="43735"/>
    <cellStyle name="Output 32 3 5 3" xfId="33131"/>
    <cellStyle name="Output 32 3 6" xfId="17436"/>
    <cellStyle name="Output 32 3 6 2" xfId="38623"/>
    <cellStyle name="Output 32 3 7" xfId="27743"/>
    <cellStyle name="Output 32 3_Table 2A-1_EFT (Annual)" xfId="3469"/>
    <cellStyle name="Output 32 4" xfId="2007"/>
    <cellStyle name="Output 32 4 2" xfId="5568"/>
    <cellStyle name="Output 32 4 2 2" xfId="13783"/>
    <cellStyle name="Output 32 4 2 2 2" xfId="25771"/>
    <cellStyle name="Output 32 4 2 2 2 2" xfId="46957"/>
    <cellStyle name="Output 32 4 2 2 3" xfId="36353"/>
    <cellStyle name="Output 32 4 2 3" xfId="20658"/>
    <cellStyle name="Output 32 4 2 3 2" xfId="41845"/>
    <cellStyle name="Output 32 4 2 4" xfId="31225"/>
    <cellStyle name="Output 32 4 2_Table 2A-1_EFT (Annual)" xfId="8227"/>
    <cellStyle name="Output 32 4 3" xfId="11127"/>
    <cellStyle name="Output 32 4 3 2" xfId="23225"/>
    <cellStyle name="Output 32 4 3 2 2" xfId="44411"/>
    <cellStyle name="Output 32 4 3 3" xfId="33807"/>
    <cellStyle name="Output 32 4 4" xfId="18112"/>
    <cellStyle name="Output 32 4 4 2" xfId="39299"/>
    <cellStyle name="Output 32 4 5" xfId="28482"/>
    <cellStyle name="Output 32 4_Table 2A-1_EFT (Annual)" xfId="8226"/>
    <cellStyle name="Output 32 5" xfId="1667"/>
    <cellStyle name="Output 32 5 2" xfId="5228"/>
    <cellStyle name="Output 32 5 2 2" xfId="13475"/>
    <cellStyle name="Output 32 5 2 2 2" xfId="25475"/>
    <cellStyle name="Output 32 5 2 2 2 2" xfId="46661"/>
    <cellStyle name="Output 32 5 2 2 3" xfId="36057"/>
    <cellStyle name="Output 32 5 2 3" xfId="20362"/>
    <cellStyle name="Output 32 5 2 3 2" xfId="41549"/>
    <cellStyle name="Output 32 5 2 4" xfId="30885"/>
    <cellStyle name="Output 32 5 2_Table 2A-1_EFT (Annual)" xfId="8229"/>
    <cellStyle name="Output 32 5 3" xfId="10820"/>
    <cellStyle name="Output 32 5 3 2" xfId="22929"/>
    <cellStyle name="Output 32 5 3 2 2" xfId="44115"/>
    <cellStyle name="Output 32 5 3 3" xfId="33511"/>
    <cellStyle name="Output 32 5 4" xfId="17816"/>
    <cellStyle name="Output 32 5 4 2" xfId="39003"/>
    <cellStyle name="Output 32 5 5" xfId="28142"/>
    <cellStyle name="Output 32 5_Table 2A-1_EFT (Annual)" xfId="8228"/>
    <cellStyle name="Output 32 6" xfId="3809"/>
    <cellStyle name="Output 32 6 2" xfId="12177"/>
    <cellStyle name="Output 32 6 2 2" xfId="24207"/>
    <cellStyle name="Output 32 6 2 2 2" xfId="45393"/>
    <cellStyle name="Output 32 6 2 3" xfId="34789"/>
    <cellStyle name="Output 32 6 3" xfId="19094"/>
    <cellStyle name="Output 32 6 3 2" xfId="40281"/>
    <cellStyle name="Output 32 6 4" xfId="29518"/>
    <cellStyle name="Output 32 6_Table 2A-1_EFT (Annual)" xfId="8230"/>
    <cellStyle name="Output 32 7" xfId="9496"/>
    <cellStyle name="Output 32 7 2" xfId="21661"/>
    <cellStyle name="Output 32 7 2 2" xfId="42847"/>
    <cellStyle name="Output 32 7 3" xfId="32243"/>
    <cellStyle name="Output 32 8" xfId="16548"/>
    <cellStyle name="Output 32 8 2" xfId="37735"/>
    <cellStyle name="Output 32 9" xfId="26775"/>
    <cellStyle name="Output 32_Table 2A-1_EFT (Annual)" xfId="3466"/>
    <cellStyle name="Output 33" xfId="293"/>
    <cellStyle name="Output 33 2" xfId="1297"/>
    <cellStyle name="Output 33 2 2" xfId="2567"/>
    <cellStyle name="Output 33 2 2 2" xfId="6128"/>
    <cellStyle name="Output 33 2 2 2 2" xfId="14322"/>
    <cellStyle name="Output 33 2 2 2 2 2" xfId="26294"/>
    <cellStyle name="Output 33 2 2 2 2 2 2" xfId="47480"/>
    <cellStyle name="Output 33 2 2 2 2 3" xfId="36876"/>
    <cellStyle name="Output 33 2 2 2 3" xfId="21181"/>
    <cellStyle name="Output 33 2 2 2 3 2" xfId="42368"/>
    <cellStyle name="Output 33 2 2 2 4" xfId="31784"/>
    <cellStyle name="Output 33 2 2 2_Table 2A-1_EFT (Annual)" xfId="8232"/>
    <cellStyle name="Output 33 2 2 3" xfId="11664"/>
    <cellStyle name="Output 33 2 2 3 2" xfId="23748"/>
    <cellStyle name="Output 33 2 2 3 2 2" xfId="44934"/>
    <cellStyle name="Output 33 2 2 3 3" xfId="34330"/>
    <cellStyle name="Output 33 2 2 4" xfId="18635"/>
    <cellStyle name="Output 33 2 2 4 2" xfId="39822"/>
    <cellStyle name="Output 33 2 2 5" xfId="29041"/>
    <cellStyle name="Output 33 2 2_Table 2A-1_EFT (Annual)" xfId="8231"/>
    <cellStyle name="Output 33 2 3" xfId="1872"/>
    <cellStyle name="Output 33 2 3 2" xfId="5433"/>
    <cellStyle name="Output 33 2 3 2 2" xfId="13648"/>
    <cellStyle name="Output 33 2 3 2 2 2" xfId="25636"/>
    <cellStyle name="Output 33 2 3 2 2 2 2" xfId="46822"/>
    <cellStyle name="Output 33 2 3 2 2 3" xfId="36218"/>
    <cellStyle name="Output 33 2 3 2 3" xfId="20523"/>
    <cellStyle name="Output 33 2 3 2 3 2" xfId="41710"/>
    <cellStyle name="Output 33 2 3 2 4" xfId="31090"/>
    <cellStyle name="Output 33 2 3 2_Table 2A-1_EFT (Annual)" xfId="8234"/>
    <cellStyle name="Output 33 2 3 3" xfId="10992"/>
    <cellStyle name="Output 33 2 3 3 2" xfId="23090"/>
    <cellStyle name="Output 33 2 3 3 2 2" xfId="44276"/>
    <cellStyle name="Output 33 2 3 3 3" xfId="33672"/>
    <cellStyle name="Output 33 2 3 4" xfId="17977"/>
    <cellStyle name="Output 33 2 3 4 2" xfId="39164"/>
    <cellStyle name="Output 33 2 3 5" xfId="28347"/>
    <cellStyle name="Output 33 2 3_Table 2A-1_EFT (Annual)" xfId="8233"/>
    <cellStyle name="Output 33 2 4" xfId="4858"/>
    <cellStyle name="Output 33 2 4 2" xfId="13118"/>
    <cellStyle name="Output 33 2 4 2 2" xfId="25124"/>
    <cellStyle name="Output 33 2 4 2 2 2" xfId="46310"/>
    <cellStyle name="Output 33 2 4 2 3" xfId="35706"/>
    <cellStyle name="Output 33 2 4 3" xfId="20011"/>
    <cellStyle name="Output 33 2 4 3 2" xfId="41198"/>
    <cellStyle name="Output 33 2 4 4" xfId="30515"/>
    <cellStyle name="Output 33 2 4_Table 2A-1_EFT (Annual)" xfId="8235"/>
    <cellStyle name="Output 33 2 5" xfId="10462"/>
    <cellStyle name="Output 33 2 5 2" xfId="22578"/>
    <cellStyle name="Output 33 2 5 2 2" xfId="43764"/>
    <cellStyle name="Output 33 2 5 3" xfId="33160"/>
    <cellStyle name="Output 33 2 6" xfId="17465"/>
    <cellStyle name="Output 33 2 6 2" xfId="38652"/>
    <cellStyle name="Output 33 2 7" xfId="27772"/>
    <cellStyle name="Output 33 2_Table 2A-1_EFT (Annual)" xfId="3471"/>
    <cellStyle name="Output 33 3" xfId="2036"/>
    <cellStyle name="Output 33 3 2" xfId="5597"/>
    <cellStyle name="Output 33 3 2 2" xfId="13812"/>
    <cellStyle name="Output 33 3 2 2 2" xfId="25800"/>
    <cellStyle name="Output 33 3 2 2 2 2" xfId="46986"/>
    <cellStyle name="Output 33 3 2 2 3" xfId="36382"/>
    <cellStyle name="Output 33 3 2 3" xfId="20687"/>
    <cellStyle name="Output 33 3 2 3 2" xfId="41874"/>
    <cellStyle name="Output 33 3 2 4" xfId="31254"/>
    <cellStyle name="Output 33 3 2_Table 2A-1_EFT (Annual)" xfId="8237"/>
    <cellStyle name="Output 33 3 3" xfId="11156"/>
    <cellStyle name="Output 33 3 3 2" xfId="23254"/>
    <cellStyle name="Output 33 3 3 2 2" xfId="44440"/>
    <cellStyle name="Output 33 3 3 3" xfId="33836"/>
    <cellStyle name="Output 33 3 4" xfId="18141"/>
    <cellStyle name="Output 33 3 4 2" xfId="39328"/>
    <cellStyle name="Output 33 3 5" xfId="28511"/>
    <cellStyle name="Output 33 3_Table 2A-1_EFT (Annual)" xfId="8236"/>
    <cellStyle name="Output 33 4" xfId="1679"/>
    <cellStyle name="Output 33 4 2" xfId="5240"/>
    <cellStyle name="Output 33 4 2 2" xfId="13483"/>
    <cellStyle name="Output 33 4 2 2 2" xfId="25480"/>
    <cellStyle name="Output 33 4 2 2 2 2" xfId="46666"/>
    <cellStyle name="Output 33 4 2 2 3" xfId="36062"/>
    <cellStyle name="Output 33 4 2 3" xfId="20367"/>
    <cellStyle name="Output 33 4 2 3 2" xfId="41554"/>
    <cellStyle name="Output 33 4 2 4" xfId="30897"/>
    <cellStyle name="Output 33 4 2_Table 2A-1_EFT (Annual)" xfId="8239"/>
    <cellStyle name="Output 33 4 3" xfId="10827"/>
    <cellStyle name="Output 33 4 3 2" xfId="22934"/>
    <cellStyle name="Output 33 4 3 2 2" xfId="44120"/>
    <cellStyle name="Output 33 4 3 3" xfId="33516"/>
    <cellStyle name="Output 33 4 4" xfId="17821"/>
    <cellStyle name="Output 33 4 4 2" xfId="39008"/>
    <cellStyle name="Output 33 4 5" xfId="28154"/>
    <cellStyle name="Output 33 4_Table 2A-1_EFT (Annual)" xfId="8238"/>
    <cellStyle name="Output 33 5" xfId="3865"/>
    <cellStyle name="Output 33 5 2" xfId="12207"/>
    <cellStyle name="Output 33 5 2 2" xfId="24236"/>
    <cellStyle name="Output 33 5 2 2 2" xfId="45422"/>
    <cellStyle name="Output 33 5 2 3" xfId="34818"/>
    <cellStyle name="Output 33 5 3" xfId="19123"/>
    <cellStyle name="Output 33 5 3 2" xfId="40310"/>
    <cellStyle name="Output 33 5 4" xfId="29554"/>
    <cellStyle name="Output 33 5_Table 2A-1_EFT (Annual)" xfId="8240"/>
    <cellStyle name="Output 33 6" xfId="9542"/>
    <cellStyle name="Output 33 6 2" xfId="21690"/>
    <cellStyle name="Output 33 6 2 2" xfId="42876"/>
    <cellStyle name="Output 33 6 3" xfId="32272"/>
    <cellStyle name="Output 33 7" xfId="16577"/>
    <cellStyle name="Output 33 7 2" xfId="37764"/>
    <cellStyle name="Output 33 8" xfId="26811"/>
    <cellStyle name="Output 33_Table 2A-1_EFT (Annual)" xfId="3470"/>
    <cellStyle name="Output 34" xfId="640"/>
    <cellStyle name="Output 34 2" xfId="1617"/>
    <cellStyle name="Output 34 2 2" xfId="2887"/>
    <cellStyle name="Output 34 2 2 2" xfId="6448"/>
    <cellStyle name="Output 34 2 2 2 2" xfId="14642"/>
    <cellStyle name="Output 34 2 2 2 2 2" xfId="26614"/>
    <cellStyle name="Output 34 2 2 2 2 2 2" xfId="47800"/>
    <cellStyle name="Output 34 2 2 2 2 3" xfId="37196"/>
    <cellStyle name="Output 34 2 2 2 3" xfId="21501"/>
    <cellStyle name="Output 34 2 2 2 3 2" xfId="42688"/>
    <cellStyle name="Output 34 2 2 2 4" xfId="32104"/>
    <cellStyle name="Output 34 2 2 2_Table 2A-1_EFT (Annual)" xfId="8243"/>
    <cellStyle name="Output 34 2 2 3" xfId="11984"/>
    <cellStyle name="Output 34 2 2 3 2" xfId="24068"/>
    <cellStyle name="Output 34 2 2 3 2 2" xfId="45254"/>
    <cellStyle name="Output 34 2 2 3 3" xfId="34650"/>
    <cellStyle name="Output 34 2 2 4" xfId="18955"/>
    <cellStyle name="Output 34 2 2 4 2" xfId="40142"/>
    <cellStyle name="Output 34 2 2 5" xfId="29361"/>
    <cellStyle name="Output 34 2 2_Table 2A-1_EFT (Annual)" xfId="8242"/>
    <cellStyle name="Output 34 2 3" xfId="1940"/>
    <cellStyle name="Output 34 2 3 2" xfId="5501"/>
    <cellStyle name="Output 34 2 3 2 2" xfId="13716"/>
    <cellStyle name="Output 34 2 3 2 2 2" xfId="25704"/>
    <cellStyle name="Output 34 2 3 2 2 2 2" xfId="46890"/>
    <cellStyle name="Output 34 2 3 2 2 3" xfId="36286"/>
    <cellStyle name="Output 34 2 3 2 3" xfId="20591"/>
    <cellStyle name="Output 34 2 3 2 3 2" xfId="41778"/>
    <cellStyle name="Output 34 2 3 2 4" xfId="31158"/>
    <cellStyle name="Output 34 2 3 2_Table 2A-1_EFT (Annual)" xfId="8245"/>
    <cellStyle name="Output 34 2 3 3" xfId="11060"/>
    <cellStyle name="Output 34 2 3 3 2" xfId="23158"/>
    <cellStyle name="Output 34 2 3 3 2 2" xfId="44344"/>
    <cellStyle name="Output 34 2 3 3 3" xfId="33740"/>
    <cellStyle name="Output 34 2 3 4" xfId="18045"/>
    <cellStyle name="Output 34 2 3 4 2" xfId="39232"/>
    <cellStyle name="Output 34 2 3 5" xfId="28415"/>
    <cellStyle name="Output 34 2 3_Table 2A-1_EFT (Annual)" xfId="8244"/>
    <cellStyle name="Output 34 2 4" xfId="5178"/>
    <cellStyle name="Output 34 2 4 2" xfId="13438"/>
    <cellStyle name="Output 34 2 4 2 2" xfId="25444"/>
    <cellStyle name="Output 34 2 4 2 2 2" xfId="46630"/>
    <cellStyle name="Output 34 2 4 2 3" xfId="36026"/>
    <cellStyle name="Output 34 2 4 3" xfId="20331"/>
    <cellStyle name="Output 34 2 4 3 2" xfId="41518"/>
    <cellStyle name="Output 34 2 4 4" xfId="30835"/>
    <cellStyle name="Output 34 2 4_Table 2A-1_EFT (Annual)" xfId="8246"/>
    <cellStyle name="Output 34 2 5" xfId="10782"/>
    <cellStyle name="Output 34 2 5 2" xfId="22898"/>
    <cellStyle name="Output 34 2 5 2 2" xfId="44084"/>
    <cellStyle name="Output 34 2 5 3" xfId="33480"/>
    <cellStyle name="Output 34 2 6" xfId="17785"/>
    <cellStyle name="Output 34 2 6 2" xfId="38972"/>
    <cellStyle name="Output 34 2 7" xfId="28092"/>
    <cellStyle name="Output 34 2_Table 2A-1_EFT (Annual)" xfId="3472"/>
    <cellStyle name="Output 34 3" xfId="1129"/>
    <cellStyle name="Output 34 3 2" xfId="2402"/>
    <cellStyle name="Output 34 3 2 2" xfId="5963"/>
    <cellStyle name="Output 34 3 2 2 2" xfId="14157"/>
    <cellStyle name="Output 34 3 2 2 2 2" xfId="26129"/>
    <cellStyle name="Output 34 3 2 2 2 2 2" xfId="47315"/>
    <cellStyle name="Output 34 3 2 2 2 3" xfId="36711"/>
    <cellStyle name="Output 34 3 2 2 3" xfId="21016"/>
    <cellStyle name="Output 34 3 2 2 3 2" xfId="42203"/>
    <cellStyle name="Output 34 3 2 2 4" xfId="31619"/>
    <cellStyle name="Output 34 3 2 2_Table 2A-1_EFT (Annual)" xfId="8248"/>
    <cellStyle name="Output 34 3 2 3" xfId="11499"/>
    <cellStyle name="Output 34 3 2 3 2" xfId="23583"/>
    <cellStyle name="Output 34 3 2 3 2 2" xfId="44769"/>
    <cellStyle name="Output 34 3 2 3 3" xfId="34165"/>
    <cellStyle name="Output 34 3 2 4" xfId="18470"/>
    <cellStyle name="Output 34 3 2 4 2" xfId="39657"/>
    <cellStyle name="Output 34 3 2 5" xfId="28876"/>
    <cellStyle name="Output 34 3 2_Table 2A-1_EFT (Annual)" xfId="8247"/>
    <cellStyle name="Output 34 3 3" xfId="4690"/>
    <cellStyle name="Output 34 3 3 2" xfId="12950"/>
    <cellStyle name="Output 34 3 3 2 2" xfId="24956"/>
    <cellStyle name="Output 34 3 3 2 2 2" xfId="46142"/>
    <cellStyle name="Output 34 3 3 2 3" xfId="35538"/>
    <cellStyle name="Output 34 3 3 3" xfId="19843"/>
    <cellStyle name="Output 34 3 3 3 2" xfId="41030"/>
    <cellStyle name="Output 34 3 3 4" xfId="30347"/>
    <cellStyle name="Output 34 3 3_Table 2A-1_EFT (Annual)" xfId="8249"/>
    <cellStyle name="Output 34 3 4" xfId="10294"/>
    <cellStyle name="Output 34 3 4 2" xfId="22410"/>
    <cellStyle name="Output 34 3 4 2 2" xfId="43596"/>
    <cellStyle name="Output 34 3 4 3" xfId="32992"/>
    <cellStyle name="Output 34 3 5" xfId="17297"/>
    <cellStyle name="Output 34 3 5 2" xfId="38484"/>
    <cellStyle name="Output 34 3 6" xfId="27604"/>
    <cellStyle name="Output 34 3_Table 2A-1_EFT (Annual)" xfId="3473"/>
    <cellStyle name="Output 34 4" xfId="2356"/>
    <cellStyle name="Output 34 4 2" xfId="5917"/>
    <cellStyle name="Output 34 4 2 2" xfId="14132"/>
    <cellStyle name="Output 34 4 2 2 2" xfId="26120"/>
    <cellStyle name="Output 34 4 2 2 2 2" xfId="47306"/>
    <cellStyle name="Output 34 4 2 2 3" xfId="36702"/>
    <cellStyle name="Output 34 4 2 3" xfId="21007"/>
    <cellStyle name="Output 34 4 2 3 2" xfId="42194"/>
    <cellStyle name="Output 34 4 2 4" xfId="31574"/>
    <cellStyle name="Output 34 4 2_Table 2A-1_EFT (Annual)" xfId="8251"/>
    <cellStyle name="Output 34 4 3" xfId="11476"/>
    <cellStyle name="Output 34 4 3 2" xfId="23574"/>
    <cellStyle name="Output 34 4 3 2 2" xfId="44760"/>
    <cellStyle name="Output 34 4 3 3" xfId="34156"/>
    <cellStyle name="Output 34 4 4" xfId="18461"/>
    <cellStyle name="Output 34 4 4 2" xfId="39648"/>
    <cellStyle name="Output 34 4 5" xfId="28831"/>
    <cellStyle name="Output 34 4_Table 2A-1_EFT (Annual)" xfId="8250"/>
    <cellStyle name="Output 34 5" xfId="4210"/>
    <cellStyle name="Output 34 5 2" xfId="12534"/>
    <cellStyle name="Output 34 5 2 2" xfId="24556"/>
    <cellStyle name="Output 34 5 2 2 2" xfId="45742"/>
    <cellStyle name="Output 34 5 2 3" xfId="35138"/>
    <cellStyle name="Output 34 5 3" xfId="19443"/>
    <cellStyle name="Output 34 5 3 2" xfId="40630"/>
    <cellStyle name="Output 34 5 4" xfId="29898"/>
    <cellStyle name="Output 34 5_Table 2A-1_EFT (Annual)" xfId="8252"/>
    <cellStyle name="Output 34 6" xfId="9873"/>
    <cellStyle name="Output 34 6 2" xfId="22010"/>
    <cellStyle name="Output 34 6 2 2" xfId="43196"/>
    <cellStyle name="Output 34 6 3" xfId="32592"/>
    <cellStyle name="Output 34 7" xfId="16897"/>
    <cellStyle name="Output 34 7 2" xfId="38084"/>
    <cellStyle name="Output 34 8" xfId="27155"/>
    <cellStyle name="Output 34_Table 2A-1_EFT (Annual)" xfId="8241"/>
    <cellStyle name="Output 35" xfId="697"/>
    <cellStyle name="Output 35 2" xfId="2364"/>
    <cellStyle name="Output 35 2 2" xfId="5925"/>
    <cellStyle name="Output 35 2 2 2" xfId="14139"/>
    <cellStyle name="Output 35 2 2 2 2" xfId="26127"/>
    <cellStyle name="Output 35 2 2 2 2 2" xfId="47313"/>
    <cellStyle name="Output 35 2 2 2 3" xfId="36709"/>
    <cellStyle name="Output 35 2 2 3" xfId="21014"/>
    <cellStyle name="Output 35 2 2 3 2" xfId="42201"/>
    <cellStyle name="Output 35 2 2 4" xfId="31581"/>
    <cellStyle name="Output 35 2 2_Table 2A-1_EFT (Annual)" xfId="8254"/>
    <cellStyle name="Output 35 2 3" xfId="11484"/>
    <cellStyle name="Output 35 2 3 2" xfId="23581"/>
    <cellStyle name="Output 35 2 3 2 2" xfId="44767"/>
    <cellStyle name="Output 35 2 3 3" xfId="34163"/>
    <cellStyle name="Output 35 2 4" xfId="18468"/>
    <cellStyle name="Output 35 2 4 2" xfId="39655"/>
    <cellStyle name="Output 35 2 5" xfId="28838"/>
    <cellStyle name="Output 35 2_Table 2A-1_EFT (Annual)" xfId="8253"/>
    <cellStyle name="Output 35 3" xfId="1622"/>
    <cellStyle name="Output 35 3 2" xfId="5183"/>
    <cellStyle name="Output 35 3 2 2" xfId="13443"/>
    <cellStyle name="Output 35 3 2 2 2" xfId="25448"/>
    <cellStyle name="Output 35 3 2 2 2 2" xfId="46634"/>
    <cellStyle name="Output 35 3 2 2 3" xfId="36030"/>
    <cellStyle name="Output 35 3 2 3" xfId="20335"/>
    <cellStyle name="Output 35 3 2 3 2" xfId="41522"/>
    <cellStyle name="Output 35 3 2 4" xfId="30840"/>
    <cellStyle name="Output 35 3 2_Table 2A-1_EFT (Annual)" xfId="8256"/>
    <cellStyle name="Output 35 3 3" xfId="10786"/>
    <cellStyle name="Output 35 3 3 2" xfId="22902"/>
    <cellStyle name="Output 35 3 3 2 2" xfId="44088"/>
    <cellStyle name="Output 35 3 3 3" xfId="33484"/>
    <cellStyle name="Output 35 3 4" xfId="17789"/>
    <cellStyle name="Output 35 3 4 2" xfId="38976"/>
    <cellStyle name="Output 35 3 5" xfId="28097"/>
    <cellStyle name="Output 35 3_Table 2A-1_EFT (Annual)" xfId="8255"/>
    <cellStyle name="Output 35 4" xfId="4260"/>
    <cellStyle name="Output 35 4 2" xfId="12545"/>
    <cellStyle name="Output 35 4 2 2" xfId="24563"/>
    <cellStyle name="Output 35 4 2 2 2" xfId="45749"/>
    <cellStyle name="Output 35 4 2 3" xfId="35145"/>
    <cellStyle name="Output 35 4 3" xfId="19450"/>
    <cellStyle name="Output 35 4 3 2" xfId="40637"/>
    <cellStyle name="Output 35 4 4" xfId="29918"/>
    <cellStyle name="Output 35 4_Table 2A-1_EFT (Annual)" xfId="8257"/>
    <cellStyle name="Output 35 5" xfId="9891"/>
    <cellStyle name="Output 35 5 2" xfId="22017"/>
    <cellStyle name="Output 35 5 2 2" xfId="43203"/>
    <cellStyle name="Output 35 5 3" xfId="32599"/>
    <cellStyle name="Output 35 6" xfId="16904"/>
    <cellStyle name="Output 35 6 2" xfId="38091"/>
    <cellStyle name="Output 35 7" xfId="27175"/>
    <cellStyle name="Output 35_Table 2A-1_EFT (Annual)" xfId="3474"/>
    <cellStyle name="Output 36" xfId="16011"/>
    <cellStyle name="Output 36 2" xfId="37204"/>
    <cellStyle name="Output 37" xfId="47808"/>
    <cellStyle name="Output 4" xfId="92"/>
    <cellStyle name="Output 4 10" xfId="21520"/>
    <cellStyle name="Output 4 10 2" xfId="42707"/>
    <cellStyle name="Output 4 11" xfId="26648"/>
    <cellStyle name="Output 4 2" xfId="491"/>
    <cellStyle name="Output 4 2 2" xfId="1468"/>
    <cellStyle name="Output 4 2 2 2" xfId="2738"/>
    <cellStyle name="Output 4 2 2 2 2" xfId="6299"/>
    <cellStyle name="Output 4 2 2 2 2 2" xfId="14493"/>
    <cellStyle name="Output 4 2 2 2 2 2 2" xfId="26465"/>
    <cellStyle name="Output 4 2 2 2 2 2 2 2" xfId="47651"/>
    <cellStyle name="Output 4 2 2 2 2 2 3" xfId="37047"/>
    <cellStyle name="Output 4 2 2 2 2 3" xfId="21352"/>
    <cellStyle name="Output 4 2 2 2 2 3 2" xfId="42539"/>
    <cellStyle name="Output 4 2 2 2 2 4" xfId="31955"/>
    <cellStyle name="Output 4 2 2 2 2_Table 2A-1_EFT (Annual)" xfId="8259"/>
    <cellStyle name="Output 4 2 2 2 3" xfId="11835"/>
    <cellStyle name="Output 4 2 2 2 3 2" xfId="23919"/>
    <cellStyle name="Output 4 2 2 2 3 2 2" xfId="45105"/>
    <cellStyle name="Output 4 2 2 2 3 3" xfId="34501"/>
    <cellStyle name="Output 4 2 2 2 4" xfId="18806"/>
    <cellStyle name="Output 4 2 2 2 4 2" xfId="39993"/>
    <cellStyle name="Output 4 2 2 2 5" xfId="29212"/>
    <cellStyle name="Output 4 2 2 2_Table 2A-1_EFT (Annual)" xfId="8258"/>
    <cellStyle name="Output 4 2 2 3" xfId="1912"/>
    <cellStyle name="Output 4 2 2 3 2" xfId="5473"/>
    <cellStyle name="Output 4 2 2 3 2 2" xfId="13688"/>
    <cellStyle name="Output 4 2 2 3 2 2 2" xfId="25676"/>
    <cellStyle name="Output 4 2 2 3 2 2 2 2" xfId="46862"/>
    <cellStyle name="Output 4 2 2 3 2 2 3" xfId="36258"/>
    <cellStyle name="Output 4 2 2 3 2 3" xfId="20563"/>
    <cellStyle name="Output 4 2 2 3 2 3 2" xfId="41750"/>
    <cellStyle name="Output 4 2 2 3 2 4" xfId="31130"/>
    <cellStyle name="Output 4 2 2 3 2_Table 2A-1_EFT (Annual)" xfId="8261"/>
    <cellStyle name="Output 4 2 2 3 3" xfId="11032"/>
    <cellStyle name="Output 4 2 2 3 3 2" xfId="23130"/>
    <cellStyle name="Output 4 2 2 3 3 2 2" xfId="44316"/>
    <cellStyle name="Output 4 2 2 3 3 3" xfId="33712"/>
    <cellStyle name="Output 4 2 2 3 4" xfId="18017"/>
    <cellStyle name="Output 4 2 2 3 4 2" xfId="39204"/>
    <cellStyle name="Output 4 2 2 3 5" xfId="28387"/>
    <cellStyle name="Output 4 2 2 3_Table 2A-1_EFT (Annual)" xfId="8260"/>
    <cellStyle name="Output 4 2 2 4" xfId="5029"/>
    <cellStyle name="Output 4 2 2 4 2" xfId="13289"/>
    <cellStyle name="Output 4 2 2 4 2 2" xfId="25295"/>
    <cellStyle name="Output 4 2 2 4 2 2 2" xfId="46481"/>
    <cellStyle name="Output 4 2 2 4 2 3" xfId="35877"/>
    <cellStyle name="Output 4 2 2 4 3" xfId="20182"/>
    <cellStyle name="Output 4 2 2 4 3 2" xfId="41369"/>
    <cellStyle name="Output 4 2 2 4 4" xfId="30686"/>
    <cellStyle name="Output 4 2 2 4_Table 2A-1_EFT (Annual)" xfId="8262"/>
    <cellStyle name="Output 4 2 2 5" xfId="10633"/>
    <cellStyle name="Output 4 2 2 5 2" xfId="22749"/>
    <cellStyle name="Output 4 2 2 5 2 2" xfId="43935"/>
    <cellStyle name="Output 4 2 2 5 3" xfId="33331"/>
    <cellStyle name="Output 4 2 2 6" xfId="17636"/>
    <cellStyle name="Output 4 2 2 6 2" xfId="38823"/>
    <cellStyle name="Output 4 2 2 7" xfId="27943"/>
    <cellStyle name="Output 4 2 2_Table 2A-1_EFT (Annual)" xfId="3477"/>
    <cellStyle name="Output 4 2 3" xfId="2207"/>
    <cellStyle name="Output 4 2 3 2" xfId="5768"/>
    <cellStyle name="Output 4 2 3 2 2" xfId="13983"/>
    <cellStyle name="Output 4 2 3 2 2 2" xfId="25971"/>
    <cellStyle name="Output 4 2 3 2 2 2 2" xfId="47157"/>
    <cellStyle name="Output 4 2 3 2 2 3" xfId="36553"/>
    <cellStyle name="Output 4 2 3 2 3" xfId="20858"/>
    <cellStyle name="Output 4 2 3 2 3 2" xfId="42045"/>
    <cellStyle name="Output 4 2 3 2 4" xfId="31425"/>
    <cellStyle name="Output 4 2 3 2_Table 2A-1_EFT (Annual)" xfId="8264"/>
    <cellStyle name="Output 4 2 3 3" xfId="11327"/>
    <cellStyle name="Output 4 2 3 3 2" xfId="23425"/>
    <cellStyle name="Output 4 2 3 3 2 2" xfId="44611"/>
    <cellStyle name="Output 4 2 3 3 3" xfId="34007"/>
    <cellStyle name="Output 4 2 3 4" xfId="18312"/>
    <cellStyle name="Output 4 2 3 4 2" xfId="39499"/>
    <cellStyle name="Output 4 2 3 5" xfId="28682"/>
    <cellStyle name="Output 4 2 3_Table 2A-1_EFT (Annual)" xfId="8263"/>
    <cellStyle name="Output 4 2 4" xfId="1737"/>
    <cellStyle name="Output 4 2 4 2" xfId="5298"/>
    <cellStyle name="Output 4 2 4 2 2" xfId="13523"/>
    <cellStyle name="Output 4 2 4 2 2 2" xfId="25514"/>
    <cellStyle name="Output 4 2 4 2 2 2 2" xfId="46700"/>
    <cellStyle name="Output 4 2 4 2 2 3" xfId="36096"/>
    <cellStyle name="Output 4 2 4 2 3" xfId="20401"/>
    <cellStyle name="Output 4 2 4 2 3 2" xfId="41588"/>
    <cellStyle name="Output 4 2 4 2 4" xfId="30955"/>
    <cellStyle name="Output 4 2 4 2_Table 2A-1_EFT (Annual)" xfId="8266"/>
    <cellStyle name="Output 4 2 4 3" xfId="10866"/>
    <cellStyle name="Output 4 2 4 3 2" xfId="22968"/>
    <cellStyle name="Output 4 2 4 3 2 2" xfId="44154"/>
    <cellStyle name="Output 4 2 4 3 3" xfId="33550"/>
    <cellStyle name="Output 4 2 4 4" xfId="17855"/>
    <cellStyle name="Output 4 2 4 4 2" xfId="39042"/>
    <cellStyle name="Output 4 2 4 5" xfId="28212"/>
    <cellStyle name="Output 4 2 4_Table 2A-1_EFT (Annual)" xfId="8265"/>
    <cellStyle name="Output 4 2 5" xfId="4061"/>
    <cellStyle name="Output 4 2 5 2" xfId="12385"/>
    <cellStyle name="Output 4 2 5 2 2" xfId="24407"/>
    <cellStyle name="Output 4 2 5 2 2 2" xfId="45593"/>
    <cellStyle name="Output 4 2 5 2 3" xfId="34989"/>
    <cellStyle name="Output 4 2 5 3" xfId="19294"/>
    <cellStyle name="Output 4 2 5 3 2" xfId="40481"/>
    <cellStyle name="Output 4 2 5 4" xfId="29749"/>
    <cellStyle name="Output 4 2 5_Table 2A-1_EFT (Annual)" xfId="8267"/>
    <cellStyle name="Output 4 2 6" xfId="9724"/>
    <cellStyle name="Output 4 2 6 2" xfId="21861"/>
    <cellStyle name="Output 4 2 6 2 2" xfId="43047"/>
    <cellStyle name="Output 4 2 6 3" xfId="32443"/>
    <cellStyle name="Output 4 2 7" xfId="16748"/>
    <cellStyle name="Output 4 2 7 2" xfId="37935"/>
    <cellStyle name="Output 4 2 8" xfId="27006"/>
    <cellStyle name="Output 4 2_Table 2A-1_EFT (Annual)" xfId="3476"/>
    <cellStyle name="Output 4 3" xfId="324"/>
    <cellStyle name="Output 4 3 2" xfId="1312"/>
    <cellStyle name="Output 4 3 2 2" xfId="2582"/>
    <cellStyle name="Output 4 3 2 2 2" xfId="6143"/>
    <cellStyle name="Output 4 3 2 2 2 2" xfId="14337"/>
    <cellStyle name="Output 4 3 2 2 2 2 2" xfId="26309"/>
    <cellStyle name="Output 4 3 2 2 2 2 2 2" xfId="47495"/>
    <cellStyle name="Output 4 3 2 2 2 2 3" xfId="36891"/>
    <cellStyle name="Output 4 3 2 2 2 3" xfId="21196"/>
    <cellStyle name="Output 4 3 2 2 2 3 2" xfId="42383"/>
    <cellStyle name="Output 4 3 2 2 2 4" xfId="31799"/>
    <cellStyle name="Output 4 3 2 2 2_Table 2A-1_EFT (Annual)" xfId="8269"/>
    <cellStyle name="Output 4 3 2 2 3" xfId="11679"/>
    <cellStyle name="Output 4 3 2 2 3 2" xfId="23763"/>
    <cellStyle name="Output 4 3 2 2 3 2 2" xfId="44949"/>
    <cellStyle name="Output 4 3 2 2 3 3" xfId="34345"/>
    <cellStyle name="Output 4 3 2 2 4" xfId="18650"/>
    <cellStyle name="Output 4 3 2 2 4 2" xfId="39837"/>
    <cellStyle name="Output 4 3 2 2 5" xfId="29056"/>
    <cellStyle name="Output 4 3 2 2_Table 2A-1_EFT (Annual)" xfId="8268"/>
    <cellStyle name="Output 4 3 2 3" xfId="1880"/>
    <cellStyle name="Output 4 3 2 3 2" xfId="5441"/>
    <cellStyle name="Output 4 3 2 3 2 2" xfId="13656"/>
    <cellStyle name="Output 4 3 2 3 2 2 2" xfId="25644"/>
    <cellStyle name="Output 4 3 2 3 2 2 2 2" xfId="46830"/>
    <cellStyle name="Output 4 3 2 3 2 2 3" xfId="36226"/>
    <cellStyle name="Output 4 3 2 3 2 3" xfId="20531"/>
    <cellStyle name="Output 4 3 2 3 2 3 2" xfId="41718"/>
    <cellStyle name="Output 4 3 2 3 2 4" xfId="31098"/>
    <cellStyle name="Output 4 3 2 3 2_Table 2A-1_EFT (Annual)" xfId="8271"/>
    <cellStyle name="Output 4 3 2 3 3" xfId="11000"/>
    <cellStyle name="Output 4 3 2 3 3 2" xfId="23098"/>
    <cellStyle name="Output 4 3 2 3 3 2 2" xfId="44284"/>
    <cellStyle name="Output 4 3 2 3 3 3" xfId="33680"/>
    <cellStyle name="Output 4 3 2 3 4" xfId="17985"/>
    <cellStyle name="Output 4 3 2 3 4 2" xfId="39172"/>
    <cellStyle name="Output 4 3 2 3 5" xfId="28355"/>
    <cellStyle name="Output 4 3 2 3_Table 2A-1_EFT (Annual)" xfId="8270"/>
    <cellStyle name="Output 4 3 2 4" xfId="4873"/>
    <cellStyle name="Output 4 3 2 4 2" xfId="13133"/>
    <cellStyle name="Output 4 3 2 4 2 2" xfId="25139"/>
    <cellStyle name="Output 4 3 2 4 2 2 2" xfId="46325"/>
    <cellStyle name="Output 4 3 2 4 2 3" xfId="35721"/>
    <cellStyle name="Output 4 3 2 4 3" xfId="20026"/>
    <cellStyle name="Output 4 3 2 4 3 2" xfId="41213"/>
    <cellStyle name="Output 4 3 2 4 4" xfId="30530"/>
    <cellStyle name="Output 4 3 2 4_Table 2A-1_EFT (Annual)" xfId="8272"/>
    <cellStyle name="Output 4 3 2 5" xfId="10477"/>
    <cellStyle name="Output 4 3 2 5 2" xfId="22593"/>
    <cellStyle name="Output 4 3 2 5 2 2" xfId="43779"/>
    <cellStyle name="Output 4 3 2 5 3" xfId="33175"/>
    <cellStyle name="Output 4 3 2 6" xfId="17480"/>
    <cellStyle name="Output 4 3 2 6 2" xfId="38667"/>
    <cellStyle name="Output 4 3 2 7" xfId="27787"/>
    <cellStyle name="Output 4 3 2_Table 2A-1_EFT (Annual)" xfId="3479"/>
    <cellStyle name="Output 4 3 3" xfId="2051"/>
    <cellStyle name="Output 4 3 3 2" xfId="5612"/>
    <cellStyle name="Output 4 3 3 2 2" xfId="13827"/>
    <cellStyle name="Output 4 3 3 2 2 2" xfId="25815"/>
    <cellStyle name="Output 4 3 3 2 2 2 2" xfId="47001"/>
    <cellStyle name="Output 4 3 3 2 2 3" xfId="36397"/>
    <cellStyle name="Output 4 3 3 2 3" xfId="20702"/>
    <cellStyle name="Output 4 3 3 2 3 2" xfId="41889"/>
    <cellStyle name="Output 4 3 3 2 4" xfId="31269"/>
    <cellStyle name="Output 4 3 3 2_Table 2A-1_EFT (Annual)" xfId="8274"/>
    <cellStyle name="Output 4 3 3 3" xfId="11171"/>
    <cellStyle name="Output 4 3 3 3 2" xfId="23269"/>
    <cellStyle name="Output 4 3 3 3 2 2" xfId="44455"/>
    <cellStyle name="Output 4 3 3 3 3" xfId="33851"/>
    <cellStyle name="Output 4 3 3 4" xfId="18156"/>
    <cellStyle name="Output 4 3 3 4 2" xfId="39343"/>
    <cellStyle name="Output 4 3 3 5" xfId="28526"/>
    <cellStyle name="Output 4 3 3_Table 2A-1_EFT (Annual)" xfId="8273"/>
    <cellStyle name="Output 4 3 4" xfId="1696"/>
    <cellStyle name="Output 4 3 4 2" xfId="5257"/>
    <cellStyle name="Output 4 3 4 2 2" xfId="13490"/>
    <cellStyle name="Output 4 3 4 2 2 2" xfId="25484"/>
    <cellStyle name="Output 4 3 4 2 2 2 2" xfId="46670"/>
    <cellStyle name="Output 4 3 4 2 2 3" xfId="36066"/>
    <cellStyle name="Output 4 3 4 2 3" xfId="20371"/>
    <cellStyle name="Output 4 3 4 2 3 2" xfId="41558"/>
    <cellStyle name="Output 4 3 4 2 4" xfId="30914"/>
    <cellStyle name="Output 4 3 4 2_Table 2A-1_EFT (Annual)" xfId="8276"/>
    <cellStyle name="Output 4 3 4 3" xfId="10834"/>
    <cellStyle name="Output 4 3 4 3 2" xfId="22938"/>
    <cellStyle name="Output 4 3 4 3 2 2" xfId="44124"/>
    <cellStyle name="Output 4 3 4 3 3" xfId="33520"/>
    <cellStyle name="Output 4 3 4 4" xfId="17825"/>
    <cellStyle name="Output 4 3 4 4 2" xfId="39012"/>
    <cellStyle name="Output 4 3 4 5" xfId="28171"/>
    <cellStyle name="Output 4 3 4_Table 2A-1_EFT (Annual)" xfId="8275"/>
    <cellStyle name="Output 4 3 5" xfId="3894"/>
    <cellStyle name="Output 4 3 5 2" xfId="12226"/>
    <cellStyle name="Output 4 3 5 2 2" xfId="24251"/>
    <cellStyle name="Output 4 3 5 2 2 2" xfId="45437"/>
    <cellStyle name="Output 4 3 5 2 3" xfId="34833"/>
    <cellStyle name="Output 4 3 5 3" xfId="19138"/>
    <cellStyle name="Output 4 3 5 3 2" xfId="40325"/>
    <cellStyle name="Output 4 3 5 4" xfId="29582"/>
    <cellStyle name="Output 4 3 5_Table 2A-1_EFT (Annual)" xfId="8277"/>
    <cellStyle name="Output 4 3 6" xfId="9563"/>
    <cellStyle name="Output 4 3 6 2" xfId="21705"/>
    <cellStyle name="Output 4 3 6 2 2" xfId="42891"/>
    <cellStyle name="Output 4 3 6 3" xfId="32287"/>
    <cellStyle name="Output 4 3 7" xfId="16592"/>
    <cellStyle name="Output 4 3 7 2" xfId="37779"/>
    <cellStyle name="Output 4 3 8" xfId="26839"/>
    <cellStyle name="Output 4 3_Table 2A-1_EFT (Annual)" xfId="3478"/>
    <cellStyle name="Output 4 4" xfId="1146"/>
    <cellStyle name="Output 4 4 2" xfId="2416"/>
    <cellStyle name="Output 4 4 2 2" xfId="5977"/>
    <cellStyle name="Output 4 4 2 2 2" xfId="14171"/>
    <cellStyle name="Output 4 4 2 2 2 2" xfId="26143"/>
    <cellStyle name="Output 4 4 2 2 2 2 2" xfId="47329"/>
    <cellStyle name="Output 4 4 2 2 2 3" xfId="36725"/>
    <cellStyle name="Output 4 4 2 2 3" xfId="21030"/>
    <cellStyle name="Output 4 4 2 2 3 2" xfId="42217"/>
    <cellStyle name="Output 4 4 2 2 4" xfId="31633"/>
    <cellStyle name="Output 4 4 2 2_Table 2A-1_EFT (Annual)" xfId="8279"/>
    <cellStyle name="Output 4 4 2 3" xfId="11513"/>
    <cellStyle name="Output 4 4 2 3 2" xfId="23597"/>
    <cellStyle name="Output 4 4 2 3 2 2" xfId="44783"/>
    <cellStyle name="Output 4 4 2 3 3" xfId="34179"/>
    <cellStyle name="Output 4 4 2 4" xfId="18484"/>
    <cellStyle name="Output 4 4 2 4 2" xfId="39671"/>
    <cellStyle name="Output 4 4 2 5" xfId="28890"/>
    <cellStyle name="Output 4 4 2_Table 2A-1_EFT (Annual)" xfId="8278"/>
    <cellStyle name="Output 4 4 3" xfId="1815"/>
    <cellStyle name="Output 4 4 3 2" xfId="5376"/>
    <cellStyle name="Output 4 4 3 2 2" xfId="13591"/>
    <cellStyle name="Output 4 4 3 2 2 2" xfId="25579"/>
    <cellStyle name="Output 4 4 3 2 2 2 2" xfId="46765"/>
    <cellStyle name="Output 4 4 3 2 2 3" xfId="36161"/>
    <cellStyle name="Output 4 4 3 2 3" xfId="20466"/>
    <cellStyle name="Output 4 4 3 2 3 2" xfId="41653"/>
    <cellStyle name="Output 4 4 3 2 4" xfId="31033"/>
    <cellStyle name="Output 4 4 3 2_Table 2A-1_EFT (Annual)" xfId="8281"/>
    <cellStyle name="Output 4 4 3 3" xfId="10935"/>
    <cellStyle name="Output 4 4 3 3 2" xfId="23033"/>
    <cellStyle name="Output 4 4 3 3 2 2" xfId="44219"/>
    <cellStyle name="Output 4 4 3 3 3" xfId="33615"/>
    <cellStyle name="Output 4 4 3 4" xfId="17920"/>
    <cellStyle name="Output 4 4 3 4 2" xfId="39107"/>
    <cellStyle name="Output 4 4 3 5" xfId="28290"/>
    <cellStyle name="Output 4 4 3_Table 2A-1_EFT (Annual)" xfId="8280"/>
    <cellStyle name="Output 4 4 4" xfId="4707"/>
    <cellStyle name="Output 4 4 4 2" xfId="12967"/>
    <cellStyle name="Output 4 4 4 2 2" xfId="24973"/>
    <cellStyle name="Output 4 4 4 2 2 2" xfId="46159"/>
    <cellStyle name="Output 4 4 4 2 3" xfId="35555"/>
    <cellStyle name="Output 4 4 4 3" xfId="19860"/>
    <cellStyle name="Output 4 4 4 3 2" xfId="41047"/>
    <cellStyle name="Output 4 4 4 4" xfId="30364"/>
    <cellStyle name="Output 4 4 4_Table 2A-1_EFT (Annual)" xfId="8282"/>
    <cellStyle name="Output 4 4 5" xfId="10311"/>
    <cellStyle name="Output 4 4 5 2" xfId="22427"/>
    <cellStyle name="Output 4 4 5 2 2" xfId="43613"/>
    <cellStyle name="Output 4 4 5 3" xfId="33009"/>
    <cellStyle name="Output 4 4 6" xfId="17314"/>
    <cellStyle name="Output 4 4 6 2" xfId="38501"/>
    <cellStyle name="Output 4 4 7" xfId="27621"/>
    <cellStyle name="Output 4 4_Table 2A-1_EFT (Annual)" xfId="3480"/>
    <cellStyle name="Output 4 5" xfId="1873"/>
    <cellStyle name="Output 4 5 2" xfId="5434"/>
    <cellStyle name="Output 4 5 2 2" xfId="13649"/>
    <cellStyle name="Output 4 5 2 2 2" xfId="25637"/>
    <cellStyle name="Output 4 5 2 2 2 2" xfId="46823"/>
    <cellStyle name="Output 4 5 2 2 3" xfId="36219"/>
    <cellStyle name="Output 4 5 2 3" xfId="20524"/>
    <cellStyle name="Output 4 5 2 3 2" xfId="41711"/>
    <cellStyle name="Output 4 5 2 4" xfId="31091"/>
    <cellStyle name="Output 4 5 2_Table 2A-1_EFT (Annual)" xfId="8284"/>
    <cellStyle name="Output 4 5 3" xfId="10993"/>
    <cellStyle name="Output 4 5 3 2" xfId="23091"/>
    <cellStyle name="Output 4 5 3 2 2" xfId="44277"/>
    <cellStyle name="Output 4 5 3 3" xfId="33673"/>
    <cellStyle name="Output 4 5 4" xfId="17978"/>
    <cellStyle name="Output 4 5 4 2" xfId="39165"/>
    <cellStyle name="Output 4 5 5" xfId="28348"/>
    <cellStyle name="Output 4 5_Table 2A-1_EFT (Annual)" xfId="8283"/>
    <cellStyle name="Output 4 6" xfId="1639"/>
    <cellStyle name="Output 4 6 2" xfId="5200"/>
    <cellStyle name="Output 4 6 2 2" xfId="13452"/>
    <cellStyle name="Output 4 6 2 2 2" xfId="25452"/>
    <cellStyle name="Output 4 6 2 2 2 2" xfId="46638"/>
    <cellStyle name="Output 4 6 2 2 3" xfId="36034"/>
    <cellStyle name="Output 4 6 2 3" xfId="20339"/>
    <cellStyle name="Output 4 6 2 3 2" xfId="41526"/>
    <cellStyle name="Output 4 6 2 4" xfId="30857"/>
    <cellStyle name="Output 4 6 2_Table 2A-1_EFT (Annual)" xfId="8286"/>
    <cellStyle name="Output 4 6 3" xfId="10796"/>
    <cellStyle name="Output 4 6 3 2" xfId="22906"/>
    <cellStyle name="Output 4 6 3 2 2" xfId="44092"/>
    <cellStyle name="Output 4 6 3 3" xfId="33488"/>
    <cellStyle name="Output 4 6 4" xfId="17793"/>
    <cellStyle name="Output 4 6 4 2" xfId="38980"/>
    <cellStyle name="Output 4 6 5" xfId="28114"/>
    <cellStyle name="Output 4 6_Table 2A-1_EFT (Annual)" xfId="8285"/>
    <cellStyle name="Output 4 7" xfId="3681"/>
    <cellStyle name="Output 4 7 2" xfId="12054"/>
    <cellStyle name="Output 4 7 2 2" xfId="24085"/>
    <cellStyle name="Output 4 7 2 2 2" xfId="45271"/>
    <cellStyle name="Output 4 7 2 3" xfId="34667"/>
    <cellStyle name="Output 4 7 3" xfId="18972"/>
    <cellStyle name="Output 4 7 3 2" xfId="40159"/>
    <cellStyle name="Output 4 7 4" xfId="29391"/>
    <cellStyle name="Output 4 7_Table 2A-1_EFT (Annual)" xfId="8287"/>
    <cellStyle name="Output 4 8" xfId="9371"/>
    <cellStyle name="Output 4 8 2" xfId="21539"/>
    <cellStyle name="Output 4 8 2 2" xfId="42725"/>
    <cellStyle name="Output 4 8 3" xfId="32121"/>
    <cellStyle name="Output 4 9" xfId="16426"/>
    <cellStyle name="Output 4 9 2" xfId="37613"/>
    <cellStyle name="Output 4_Table 2A-1_EFT (Annual)" xfId="3475"/>
    <cellStyle name="Output 5" xfId="98"/>
    <cellStyle name="Output 5 10" xfId="21515"/>
    <cellStyle name="Output 5 10 2" xfId="42702"/>
    <cellStyle name="Output 5 11" xfId="26653"/>
    <cellStyle name="Output 5 2" xfId="496"/>
    <cellStyle name="Output 5 2 2" xfId="1473"/>
    <cellStyle name="Output 5 2 2 2" xfId="2743"/>
    <cellStyle name="Output 5 2 2 2 2" xfId="6304"/>
    <cellStyle name="Output 5 2 2 2 2 2" xfId="14498"/>
    <cellStyle name="Output 5 2 2 2 2 2 2" xfId="26470"/>
    <cellStyle name="Output 5 2 2 2 2 2 2 2" xfId="47656"/>
    <cellStyle name="Output 5 2 2 2 2 2 3" xfId="37052"/>
    <cellStyle name="Output 5 2 2 2 2 3" xfId="21357"/>
    <cellStyle name="Output 5 2 2 2 2 3 2" xfId="42544"/>
    <cellStyle name="Output 5 2 2 2 2 4" xfId="31960"/>
    <cellStyle name="Output 5 2 2 2 2_Table 2A-1_EFT (Annual)" xfId="8289"/>
    <cellStyle name="Output 5 2 2 2 3" xfId="11840"/>
    <cellStyle name="Output 5 2 2 2 3 2" xfId="23924"/>
    <cellStyle name="Output 5 2 2 2 3 2 2" xfId="45110"/>
    <cellStyle name="Output 5 2 2 2 3 3" xfId="34506"/>
    <cellStyle name="Output 5 2 2 2 4" xfId="18811"/>
    <cellStyle name="Output 5 2 2 2 4 2" xfId="39998"/>
    <cellStyle name="Output 5 2 2 2 5" xfId="29217"/>
    <cellStyle name="Output 5 2 2 2_Table 2A-1_EFT (Annual)" xfId="8288"/>
    <cellStyle name="Output 5 2 2 3" xfId="1913"/>
    <cellStyle name="Output 5 2 2 3 2" xfId="5474"/>
    <cellStyle name="Output 5 2 2 3 2 2" xfId="13689"/>
    <cellStyle name="Output 5 2 2 3 2 2 2" xfId="25677"/>
    <cellStyle name="Output 5 2 2 3 2 2 2 2" xfId="46863"/>
    <cellStyle name="Output 5 2 2 3 2 2 3" xfId="36259"/>
    <cellStyle name="Output 5 2 2 3 2 3" xfId="20564"/>
    <cellStyle name="Output 5 2 2 3 2 3 2" xfId="41751"/>
    <cellStyle name="Output 5 2 2 3 2 4" xfId="31131"/>
    <cellStyle name="Output 5 2 2 3 2_Table 2A-1_EFT (Annual)" xfId="8291"/>
    <cellStyle name="Output 5 2 2 3 3" xfId="11033"/>
    <cellStyle name="Output 5 2 2 3 3 2" xfId="23131"/>
    <cellStyle name="Output 5 2 2 3 3 2 2" xfId="44317"/>
    <cellStyle name="Output 5 2 2 3 3 3" xfId="33713"/>
    <cellStyle name="Output 5 2 2 3 4" xfId="18018"/>
    <cellStyle name="Output 5 2 2 3 4 2" xfId="39205"/>
    <cellStyle name="Output 5 2 2 3 5" xfId="28388"/>
    <cellStyle name="Output 5 2 2 3_Table 2A-1_EFT (Annual)" xfId="8290"/>
    <cellStyle name="Output 5 2 2 4" xfId="5034"/>
    <cellStyle name="Output 5 2 2 4 2" xfId="13294"/>
    <cellStyle name="Output 5 2 2 4 2 2" xfId="25300"/>
    <cellStyle name="Output 5 2 2 4 2 2 2" xfId="46486"/>
    <cellStyle name="Output 5 2 2 4 2 3" xfId="35882"/>
    <cellStyle name="Output 5 2 2 4 3" xfId="20187"/>
    <cellStyle name="Output 5 2 2 4 3 2" xfId="41374"/>
    <cellStyle name="Output 5 2 2 4 4" xfId="30691"/>
    <cellStyle name="Output 5 2 2 4_Table 2A-1_EFT (Annual)" xfId="8292"/>
    <cellStyle name="Output 5 2 2 5" xfId="10638"/>
    <cellStyle name="Output 5 2 2 5 2" xfId="22754"/>
    <cellStyle name="Output 5 2 2 5 2 2" xfId="43940"/>
    <cellStyle name="Output 5 2 2 5 3" xfId="33336"/>
    <cellStyle name="Output 5 2 2 6" xfId="17641"/>
    <cellStyle name="Output 5 2 2 6 2" xfId="38828"/>
    <cellStyle name="Output 5 2 2 7" xfId="27948"/>
    <cellStyle name="Output 5 2 2_Table 2A-1_EFT (Annual)" xfId="3483"/>
    <cellStyle name="Output 5 2 3" xfId="2212"/>
    <cellStyle name="Output 5 2 3 2" xfId="5773"/>
    <cellStyle name="Output 5 2 3 2 2" xfId="13988"/>
    <cellStyle name="Output 5 2 3 2 2 2" xfId="25976"/>
    <cellStyle name="Output 5 2 3 2 2 2 2" xfId="47162"/>
    <cellStyle name="Output 5 2 3 2 2 3" xfId="36558"/>
    <cellStyle name="Output 5 2 3 2 3" xfId="20863"/>
    <cellStyle name="Output 5 2 3 2 3 2" xfId="42050"/>
    <cellStyle name="Output 5 2 3 2 4" xfId="31430"/>
    <cellStyle name="Output 5 2 3 2_Table 2A-1_EFT (Annual)" xfId="8294"/>
    <cellStyle name="Output 5 2 3 3" xfId="11332"/>
    <cellStyle name="Output 5 2 3 3 2" xfId="23430"/>
    <cellStyle name="Output 5 2 3 3 2 2" xfId="44616"/>
    <cellStyle name="Output 5 2 3 3 3" xfId="34012"/>
    <cellStyle name="Output 5 2 3 4" xfId="18317"/>
    <cellStyle name="Output 5 2 3 4 2" xfId="39504"/>
    <cellStyle name="Output 5 2 3 5" xfId="28687"/>
    <cellStyle name="Output 5 2 3_Table 2A-1_EFT (Annual)" xfId="8293"/>
    <cellStyle name="Output 5 2 4" xfId="1738"/>
    <cellStyle name="Output 5 2 4 2" xfId="5299"/>
    <cellStyle name="Output 5 2 4 2 2" xfId="13524"/>
    <cellStyle name="Output 5 2 4 2 2 2" xfId="25515"/>
    <cellStyle name="Output 5 2 4 2 2 2 2" xfId="46701"/>
    <cellStyle name="Output 5 2 4 2 2 3" xfId="36097"/>
    <cellStyle name="Output 5 2 4 2 3" xfId="20402"/>
    <cellStyle name="Output 5 2 4 2 3 2" xfId="41589"/>
    <cellStyle name="Output 5 2 4 2 4" xfId="30956"/>
    <cellStyle name="Output 5 2 4 2_Table 2A-1_EFT (Annual)" xfId="8296"/>
    <cellStyle name="Output 5 2 4 3" xfId="10867"/>
    <cellStyle name="Output 5 2 4 3 2" xfId="22969"/>
    <cellStyle name="Output 5 2 4 3 2 2" xfId="44155"/>
    <cellStyle name="Output 5 2 4 3 3" xfId="33551"/>
    <cellStyle name="Output 5 2 4 4" xfId="17856"/>
    <cellStyle name="Output 5 2 4 4 2" xfId="39043"/>
    <cellStyle name="Output 5 2 4 5" xfId="28213"/>
    <cellStyle name="Output 5 2 4_Table 2A-1_EFT (Annual)" xfId="8295"/>
    <cellStyle name="Output 5 2 5" xfId="4066"/>
    <cellStyle name="Output 5 2 5 2" xfId="12390"/>
    <cellStyle name="Output 5 2 5 2 2" xfId="24412"/>
    <cellStyle name="Output 5 2 5 2 2 2" xfId="45598"/>
    <cellStyle name="Output 5 2 5 2 3" xfId="34994"/>
    <cellStyle name="Output 5 2 5 3" xfId="19299"/>
    <cellStyle name="Output 5 2 5 3 2" xfId="40486"/>
    <cellStyle name="Output 5 2 5 4" xfId="29754"/>
    <cellStyle name="Output 5 2 5_Table 2A-1_EFT (Annual)" xfId="8297"/>
    <cellStyle name="Output 5 2 6" xfId="9729"/>
    <cellStyle name="Output 5 2 6 2" xfId="21866"/>
    <cellStyle name="Output 5 2 6 2 2" xfId="43052"/>
    <cellStyle name="Output 5 2 6 3" xfId="32448"/>
    <cellStyle name="Output 5 2 7" xfId="16753"/>
    <cellStyle name="Output 5 2 7 2" xfId="37940"/>
    <cellStyle name="Output 5 2 8" xfId="27011"/>
    <cellStyle name="Output 5 2_Table 2A-1_EFT (Annual)" xfId="3482"/>
    <cellStyle name="Output 5 3" xfId="329"/>
    <cellStyle name="Output 5 3 2" xfId="1317"/>
    <cellStyle name="Output 5 3 2 2" xfId="2587"/>
    <cellStyle name="Output 5 3 2 2 2" xfId="6148"/>
    <cellStyle name="Output 5 3 2 2 2 2" xfId="14342"/>
    <cellStyle name="Output 5 3 2 2 2 2 2" xfId="26314"/>
    <cellStyle name="Output 5 3 2 2 2 2 2 2" xfId="47500"/>
    <cellStyle name="Output 5 3 2 2 2 2 3" xfId="36896"/>
    <cellStyle name="Output 5 3 2 2 2 3" xfId="21201"/>
    <cellStyle name="Output 5 3 2 2 2 3 2" xfId="42388"/>
    <cellStyle name="Output 5 3 2 2 2 4" xfId="31804"/>
    <cellStyle name="Output 5 3 2 2 2_Table 2A-1_EFT (Annual)" xfId="8299"/>
    <cellStyle name="Output 5 3 2 2 3" xfId="11684"/>
    <cellStyle name="Output 5 3 2 2 3 2" xfId="23768"/>
    <cellStyle name="Output 5 3 2 2 3 2 2" xfId="44954"/>
    <cellStyle name="Output 5 3 2 2 3 3" xfId="34350"/>
    <cellStyle name="Output 5 3 2 2 4" xfId="18655"/>
    <cellStyle name="Output 5 3 2 2 4 2" xfId="39842"/>
    <cellStyle name="Output 5 3 2 2 5" xfId="29061"/>
    <cellStyle name="Output 5 3 2 2_Table 2A-1_EFT (Annual)" xfId="8298"/>
    <cellStyle name="Output 5 3 2 3" xfId="1881"/>
    <cellStyle name="Output 5 3 2 3 2" xfId="5442"/>
    <cellStyle name="Output 5 3 2 3 2 2" xfId="13657"/>
    <cellStyle name="Output 5 3 2 3 2 2 2" xfId="25645"/>
    <cellStyle name="Output 5 3 2 3 2 2 2 2" xfId="46831"/>
    <cellStyle name="Output 5 3 2 3 2 2 3" xfId="36227"/>
    <cellStyle name="Output 5 3 2 3 2 3" xfId="20532"/>
    <cellStyle name="Output 5 3 2 3 2 3 2" xfId="41719"/>
    <cellStyle name="Output 5 3 2 3 2 4" xfId="31099"/>
    <cellStyle name="Output 5 3 2 3 2_Table 2A-1_EFT (Annual)" xfId="8301"/>
    <cellStyle name="Output 5 3 2 3 3" xfId="11001"/>
    <cellStyle name="Output 5 3 2 3 3 2" xfId="23099"/>
    <cellStyle name="Output 5 3 2 3 3 2 2" xfId="44285"/>
    <cellStyle name="Output 5 3 2 3 3 3" xfId="33681"/>
    <cellStyle name="Output 5 3 2 3 4" xfId="17986"/>
    <cellStyle name="Output 5 3 2 3 4 2" xfId="39173"/>
    <cellStyle name="Output 5 3 2 3 5" xfId="28356"/>
    <cellStyle name="Output 5 3 2 3_Table 2A-1_EFT (Annual)" xfId="8300"/>
    <cellStyle name="Output 5 3 2 4" xfId="4878"/>
    <cellStyle name="Output 5 3 2 4 2" xfId="13138"/>
    <cellStyle name="Output 5 3 2 4 2 2" xfId="25144"/>
    <cellStyle name="Output 5 3 2 4 2 2 2" xfId="46330"/>
    <cellStyle name="Output 5 3 2 4 2 3" xfId="35726"/>
    <cellStyle name="Output 5 3 2 4 3" xfId="20031"/>
    <cellStyle name="Output 5 3 2 4 3 2" xfId="41218"/>
    <cellStyle name="Output 5 3 2 4 4" xfId="30535"/>
    <cellStyle name="Output 5 3 2 4_Table 2A-1_EFT (Annual)" xfId="8302"/>
    <cellStyle name="Output 5 3 2 5" xfId="10482"/>
    <cellStyle name="Output 5 3 2 5 2" xfId="22598"/>
    <cellStyle name="Output 5 3 2 5 2 2" xfId="43784"/>
    <cellStyle name="Output 5 3 2 5 3" xfId="33180"/>
    <cellStyle name="Output 5 3 2 6" xfId="17485"/>
    <cellStyle name="Output 5 3 2 6 2" xfId="38672"/>
    <cellStyle name="Output 5 3 2 7" xfId="27792"/>
    <cellStyle name="Output 5 3 2_Table 2A-1_EFT (Annual)" xfId="3485"/>
    <cellStyle name="Output 5 3 3" xfId="2056"/>
    <cellStyle name="Output 5 3 3 2" xfId="5617"/>
    <cellStyle name="Output 5 3 3 2 2" xfId="13832"/>
    <cellStyle name="Output 5 3 3 2 2 2" xfId="25820"/>
    <cellStyle name="Output 5 3 3 2 2 2 2" xfId="47006"/>
    <cellStyle name="Output 5 3 3 2 2 3" xfId="36402"/>
    <cellStyle name="Output 5 3 3 2 3" xfId="20707"/>
    <cellStyle name="Output 5 3 3 2 3 2" xfId="41894"/>
    <cellStyle name="Output 5 3 3 2 4" xfId="31274"/>
    <cellStyle name="Output 5 3 3 2_Table 2A-1_EFT (Annual)" xfId="8304"/>
    <cellStyle name="Output 5 3 3 3" xfId="11176"/>
    <cellStyle name="Output 5 3 3 3 2" xfId="23274"/>
    <cellStyle name="Output 5 3 3 3 2 2" xfId="44460"/>
    <cellStyle name="Output 5 3 3 3 3" xfId="33856"/>
    <cellStyle name="Output 5 3 3 4" xfId="18161"/>
    <cellStyle name="Output 5 3 3 4 2" xfId="39348"/>
    <cellStyle name="Output 5 3 3 5" xfId="28531"/>
    <cellStyle name="Output 5 3 3_Table 2A-1_EFT (Annual)" xfId="8303"/>
    <cellStyle name="Output 5 3 4" xfId="1697"/>
    <cellStyle name="Output 5 3 4 2" xfId="5258"/>
    <cellStyle name="Output 5 3 4 2 2" xfId="13491"/>
    <cellStyle name="Output 5 3 4 2 2 2" xfId="25485"/>
    <cellStyle name="Output 5 3 4 2 2 2 2" xfId="46671"/>
    <cellStyle name="Output 5 3 4 2 2 3" xfId="36067"/>
    <cellStyle name="Output 5 3 4 2 3" xfId="20372"/>
    <cellStyle name="Output 5 3 4 2 3 2" xfId="41559"/>
    <cellStyle name="Output 5 3 4 2 4" xfId="30915"/>
    <cellStyle name="Output 5 3 4 2_Table 2A-1_EFT (Annual)" xfId="8306"/>
    <cellStyle name="Output 5 3 4 3" xfId="10835"/>
    <cellStyle name="Output 5 3 4 3 2" xfId="22939"/>
    <cellStyle name="Output 5 3 4 3 2 2" xfId="44125"/>
    <cellStyle name="Output 5 3 4 3 3" xfId="33521"/>
    <cellStyle name="Output 5 3 4 4" xfId="17826"/>
    <cellStyle name="Output 5 3 4 4 2" xfId="39013"/>
    <cellStyle name="Output 5 3 4 5" xfId="28172"/>
    <cellStyle name="Output 5 3 4_Table 2A-1_EFT (Annual)" xfId="8305"/>
    <cellStyle name="Output 5 3 5" xfId="3899"/>
    <cellStyle name="Output 5 3 5 2" xfId="12231"/>
    <cellStyle name="Output 5 3 5 2 2" xfId="24256"/>
    <cellStyle name="Output 5 3 5 2 2 2" xfId="45442"/>
    <cellStyle name="Output 5 3 5 2 3" xfId="34838"/>
    <cellStyle name="Output 5 3 5 3" xfId="19143"/>
    <cellStyle name="Output 5 3 5 3 2" xfId="40330"/>
    <cellStyle name="Output 5 3 5 4" xfId="29587"/>
    <cellStyle name="Output 5 3 5_Table 2A-1_EFT (Annual)" xfId="8307"/>
    <cellStyle name="Output 5 3 6" xfId="9568"/>
    <cellStyle name="Output 5 3 6 2" xfId="21710"/>
    <cellStyle name="Output 5 3 6 2 2" xfId="42896"/>
    <cellStyle name="Output 5 3 6 3" xfId="32292"/>
    <cellStyle name="Output 5 3 7" xfId="16597"/>
    <cellStyle name="Output 5 3 7 2" xfId="37784"/>
    <cellStyle name="Output 5 3 8" xfId="26844"/>
    <cellStyle name="Output 5 3_Table 2A-1_EFT (Annual)" xfId="3484"/>
    <cellStyle name="Output 5 4" xfId="1151"/>
    <cellStyle name="Output 5 4 2" xfId="2421"/>
    <cellStyle name="Output 5 4 2 2" xfId="5982"/>
    <cellStyle name="Output 5 4 2 2 2" xfId="14176"/>
    <cellStyle name="Output 5 4 2 2 2 2" xfId="26148"/>
    <cellStyle name="Output 5 4 2 2 2 2 2" xfId="47334"/>
    <cellStyle name="Output 5 4 2 2 2 3" xfId="36730"/>
    <cellStyle name="Output 5 4 2 2 3" xfId="21035"/>
    <cellStyle name="Output 5 4 2 2 3 2" xfId="42222"/>
    <cellStyle name="Output 5 4 2 2 4" xfId="31638"/>
    <cellStyle name="Output 5 4 2 2_Table 2A-1_EFT (Annual)" xfId="8309"/>
    <cellStyle name="Output 5 4 2 3" xfId="11518"/>
    <cellStyle name="Output 5 4 2 3 2" xfId="23602"/>
    <cellStyle name="Output 5 4 2 3 2 2" xfId="44788"/>
    <cellStyle name="Output 5 4 2 3 3" xfId="34184"/>
    <cellStyle name="Output 5 4 2 4" xfId="18489"/>
    <cellStyle name="Output 5 4 2 4 2" xfId="39676"/>
    <cellStyle name="Output 5 4 2 5" xfId="28895"/>
    <cellStyle name="Output 5 4 2_Table 2A-1_EFT (Annual)" xfId="8308"/>
    <cellStyle name="Output 5 4 3" xfId="1817"/>
    <cellStyle name="Output 5 4 3 2" xfId="5378"/>
    <cellStyle name="Output 5 4 3 2 2" xfId="13593"/>
    <cellStyle name="Output 5 4 3 2 2 2" xfId="25581"/>
    <cellStyle name="Output 5 4 3 2 2 2 2" xfId="46767"/>
    <cellStyle name="Output 5 4 3 2 2 3" xfId="36163"/>
    <cellStyle name="Output 5 4 3 2 3" xfId="20468"/>
    <cellStyle name="Output 5 4 3 2 3 2" xfId="41655"/>
    <cellStyle name="Output 5 4 3 2 4" xfId="31035"/>
    <cellStyle name="Output 5 4 3 2_Table 2A-1_EFT (Annual)" xfId="8311"/>
    <cellStyle name="Output 5 4 3 3" xfId="10937"/>
    <cellStyle name="Output 5 4 3 3 2" xfId="23035"/>
    <cellStyle name="Output 5 4 3 3 2 2" xfId="44221"/>
    <cellStyle name="Output 5 4 3 3 3" xfId="33617"/>
    <cellStyle name="Output 5 4 3 4" xfId="17922"/>
    <cellStyle name="Output 5 4 3 4 2" xfId="39109"/>
    <cellStyle name="Output 5 4 3 5" xfId="28292"/>
    <cellStyle name="Output 5 4 3_Table 2A-1_EFT (Annual)" xfId="8310"/>
    <cellStyle name="Output 5 4 4" xfId="4712"/>
    <cellStyle name="Output 5 4 4 2" xfId="12972"/>
    <cellStyle name="Output 5 4 4 2 2" xfId="24978"/>
    <cellStyle name="Output 5 4 4 2 2 2" xfId="46164"/>
    <cellStyle name="Output 5 4 4 2 3" xfId="35560"/>
    <cellStyle name="Output 5 4 4 3" xfId="19865"/>
    <cellStyle name="Output 5 4 4 3 2" xfId="41052"/>
    <cellStyle name="Output 5 4 4 4" xfId="30369"/>
    <cellStyle name="Output 5 4 4_Table 2A-1_EFT (Annual)" xfId="8312"/>
    <cellStyle name="Output 5 4 5" xfId="10316"/>
    <cellStyle name="Output 5 4 5 2" xfId="22432"/>
    <cellStyle name="Output 5 4 5 2 2" xfId="43618"/>
    <cellStyle name="Output 5 4 5 3" xfId="33014"/>
    <cellStyle name="Output 5 4 6" xfId="17319"/>
    <cellStyle name="Output 5 4 6 2" xfId="38506"/>
    <cellStyle name="Output 5 4 7" xfId="27626"/>
    <cellStyle name="Output 5 4_Table 2A-1_EFT (Annual)" xfId="3486"/>
    <cellStyle name="Output 5 5" xfId="1816"/>
    <cellStyle name="Output 5 5 2" xfId="5377"/>
    <cellStyle name="Output 5 5 2 2" xfId="13592"/>
    <cellStyle name="Output 5 5 2 2 2" xfId="25580"/>
    <cellStyle name="Output 5 5 2 2 2 2" xfId="46766"/>
    <cellStyle name="Output 5 5 2 2 3" xfId="36162"/>
    <cellStyle name="Output 5 5 2 3" xfId="20467"/>
    <cellStyle name="Output 5 5 2 3 2" xfId="41654"/>
    <cellStyle name="Output 5 5 2 4" xfId="31034"/>
    <cellStyle name="Output 5 5 2_Table 2A-1_EFT (Annual)" xfId="8314"/>
    <cellStyle name="Output 5 5 3" xfId="10936"/>
    <cellStyle name="Output 5 5 3 2" xfId="23034"/>
    <cellStyle name="Output 5 5 3 2 2" xfId="44220"/>
    <cellStyle name="Output 5 5 3 3" xfId="33616"/>
    <cellStyle name="Output 5 5 4" xfId="17921"/>
    <cellStyle name="Output 5 5 4 2" xfId="39108"/>
    <cellStyle name="Output 5 5 5" xfId="28291"/>
    <cellStyle name="Output 5 5_Table 2A-1_EFT (Annual)" xfId="8313"/>
    <cellStyle name="Output 5 6" xfId="1640"/>
    <cellStyle name="Output 5 6 2" xfId="5201"/>
    <cellStyle name="Output 5 6 2 2" xfId="13453"/>
    <cellStyle name="Output 5 6 2 2 2" xfId="25453"/>
    <cellStyle name="Output 5 6 2 2 2 2" xfId="46639"/>
    <cellStyle name="Output 5 6 2 2 3" xfId="36035"/>
    <cellStyle name="Output 5 6 2 3" xfId="20340"/>
    <cellStyle name="Output 5 6 2 3 2" xfId="41527"/>
    <cellStyle name="Output 5 6 2 4" xfId="30858"/>
    <cellStyle name="Output 5 6 2_Table 2A-1_EFT (Annual)" xfId="8316"/>
    <cellStyle name="Output 5 6 3" xfId="10797"/>
    <cellStyle name="Output 5 6 3 2" xfId="22907"/>
    <cellStyle name="Output 5 6 3 2 2" xfId="44093"/>
    <cellStyle name="Output 5 6 3 3" xfId="33489"/>
    <cellStyle name="Output 5 6 4" xfId="17794"/>
    <cellStyle name="Output 5 6 4 2" xfId="38981"/>
    <cellStyle name="Output 5 6 5" xfId="28115"/>
    <cellStyle name="Output 5 6_Table 2A-1_EFT (Annual)" xfId="8315"/>
    <cellStyle name="Output 5 7" xfId="3687"/>
    <cellStyle name="Output 5 7 2" xfId="12059"/>
    <cellStyle name="Output 5 7 2 2" xfId="24090"/>
    <cellStyle name="Output 5 7 2 2 2" xfId="45276"/>
    <cellStyle name="Output 5 7 2 3" xfId="34672"/>
    <cellStyle name="Output 5 7 3" xfId="18977"/>
    <cellStyle name="Output 5 7 3 2" xfId="40164"/>
    <cellStyle name="Output 5 7 4" xfId="29396"/>
    <cellStyle name="Output 5 7_Table 2A-1_EFT (Annual)" xfId="8317"/>
    <cellStyle name="Output 5 8" xfId="9377"/>
    <cellStyle name="Output 5 8 2" xfId="21544"/>
    <cellStyle name="Output 5 8 2 2" xfId="42730"/>
    <cellStyle name="Output 5 8 3" xfId="32126"/>
    <cellStyle name="Output 5 9" xfId="16431"/>
    <cellStyle name="Output 5 9 2" xfId="37618"/>
    <cellStyle name="Output 5_Table 2A-1_EFT (Annual)" xfId="3481"/>
    <cellStyle name="Output 6" xfId="117"/>
    <cellStyle name="Output 6 10" xfId="26672"/>
    <cellStyle name="Output 6 2" xfId="510"/>
    <cellStyle name="Output 6 2 2" xfId="1487"/>
    <cellStyle name="Output 6 2 2 2" xfId="2757"/>
    <cellStyle name="Output 6 2 2 2 2" xfId="6318"/>
    <cellStyle name="Output 6 2 2 2 2 2" xfId="14512"/>
    <cellStyle name="Output 6 2 2 2 2 2 2" xfId="26484"/>
    <cellStyle name="Output 6 2 2 2 2 2 2 2" xfId="47670"/>
    <cellStyle name="Output 6 2 2 2 2 2 3" xfId="37066"/>
    <cellStyle name="Output 6 2 2 2 2 3" xfId="21371"/>
    <cellStyle name="Output 6 2 2 2 2 3 2" xfId="42558"/>
    <cellStyle name="Output 6 2 2 2 2 4" xfId="31974"/>
    <cellStyle name="Output 6 2 2 2 2_Table 2A-1_EFT (Annual)" xfId="8319"/>
    <cellStyle name="Output 6 2 2 2 3" xfId="11854"/>
    <cellStyle name="Output 6 2 2 2 3 2" xfId="23938"/>
    <cellStyle name="Output 6 2 2 2 3 2 2" xfId="45124"/>
    <cellStyle name="Output 6 2 2 2 3 3" xfId="34520"/>
    <cellStyle name="Output 6 2 2 2 4" xfId="18825"/>
    <cellStyle name="Output 6 2 2 2 4 2" xfId="40012"/>
    <cellStyle name="Output 6 2 2 2 5" xfId="29231"/>
    <cellStyle name="Output 6 2 2 2_Table 2A-1_EFT (Annual)" xfId="8318"/>
    <cellStyle name="Output 6 2 2 3" xfId="1917"/>
    <cellStyle name="Output 6 2 2 3 2" xfId="5478"/>
    <cellStyle name="Output 6 2 2 3 2 2" xfId="13693"/>
    <cellStyle name="Output 6 2 2 3 2 2 2" xfId="25681"/>
    <cellStyle name="Output 6 2 2 3 2 2 2 2" xfId="46867"/>
    <cellStyle name="Output 6 2 2 3 2 2 3" xfId="36263"/>
    <cellStyle name="Output 6 2 2 3 2 3" xfId="20568"/>
    <cellStyle name="Output 6 2 2 3 2 3 2" xfId="41755"/>
    <cellStyle name="Output 6 2 2 3 2 4" xfId="31135"/>
    <cellStyle name="Output 6 2 2 3 2_Table 2A-1_EFT (Annual)" xfId="8321"/>
    <cellStyle name="Output 6 2 2 3 3" xfId="11037"/>
    <cellStyle name="Output 6 2 2 3 3 2" xfId="23135"/>
    <cellStyle name="Output 6 2 2 3 3 2 2" xfId="44321"/>
    <cellStyle name="Output 6 2 2 3 3 3" xfId="33717"/>
    <cellStyle name="Output 6 2 2 3 4" xfId="18022"/>
    <cellStyle name="Output 6 2 2 3 4 2" xfId="39209"/>
    <cellStyle name="Output 6 2 2 3 5" xfId="28392"/>
    <cellStyle name="Output 6 2 2 3_Table 2A-1_EFT (Annual)" xfId="8320"/>
    <cellStyle name="Output 6 2 2 4" xfId="5048"/>
    <cellStyle name="Output 6 2 2 4 2" xfId="13308"/>
    <cellStyle name="Output 6 2 2 4 2 2" xfId="25314"/>
    <cellStyle name="Output 6 2 2 4 2 2 2" xfId="46500"/>
    <cellStyle name="Output 6 2 2 4 2 3" xfId="35896"/>
    <cellStyle name="Output 6 2 2 4 3" xfId="20201"/>
    <cellStyle name="Output 6 2 2 4 3 2" xfId="41388"/>
    <cellStyle name="Output 6 2 2 4 4" xfId="30705"/>
    <cellStyle name="Output 6 2 2 4_Table 2A-1_EFT (Annual)" xfId="8322"/>
    <cellStyle name="Output 6 2 2 5" xfId="10652"/>
    <cellStyle name="Output 6 2 2 5 2" xfId="22768"/>
    <cellStyle name="Output 6 2 2 5 2 2" xfId="43954"/>
    <cellStyle name="Output 6 2 2 5 3" xfId="33350"/>
    <cellStyle name="Output 6 2 2 6" xfId="17655"/>
    <cellStyle name="Output 6 2 2 6 2" xfId="38842"/>
    <cellStyle name="Output 6 2 2 7" xfId="27962"/>
    <cellStyle name="Output 6 2 2_Table 2A-1_EFT (Annual)" xfId="3489"/>
    <cellStyle name="Output 6 2 3" xfId="2226"/>
    <cellStyle name="Output 6 2 3 2" xfId="5787"/>
    <cellStyle name="Output 6 2 3 2 2" xfId="14002"/>
    <cellStyle name="Output 6 2 3 2 2 2" xfId="25990"/>
    <cellStyle name="Output 6 2 3 2 2 2 2" xfId="47176"/>
    <cellStyle name="Output 6 2 3 2 2 3" xfId="36572"/>
    <cellStyle name="Output 6 2 3 2 3" xfId="20877"/>
    <cellStyle name="Output 6 2 3 2 3 2" xfId="42064"/>
    <cellStyle name="Output 6 2 3 2 4" xfId="31444"/>
    <cellStyle name="Output 6 2 3 2_Table 2A-1_EFT (Annual)" xfId="8324"/>
    <cellStyle name="Output 6 2 3 3" xfId="11346"/>
    <cellStyle name="Output 6 2 3 3 2" xfId="23444"/>
    <cellStyle name="Output 6 2 3 3 2 2" xfId="44630"/>
    <cellStyle name="Output 6 2 3 3 3" xfId="34026"/>
    <cellStyle name="Output 6 2 3 4" xfId="18331"/>
    <cellStyle name="Output 6 2 3 4 2" xfId="39518"/>
    <cellStyle name="Output 6 2 3 5" xfId="28701"/>
    <cellStyle name="Output 6 2 3_Table 2A-1_EFT (Annual)" xfId="8323"/>
    <cellStyle name="Output 6 2 4" xfId="1742"/>
    <cellStyle name="Output 6 2 4 2" xfId="5303"/>
    <cellStyle name="Output 6 2 4 2 2" xfId="13528"/>
    <cellStyle name="Output 6 2 4 2 2 2" xfId="25519"/>
    <cellStyle name="Output 6 2 4 2 2 2 2" xfId="46705"/>
    <cellStyle name="Output 6 2 4 2 2 3" xfId="36101"/>
    <cellStyle name="Output 6 2 4 2 3" xfId="20406"/>
    <cellStyle name="Output 6 2 4 2 3 2" xfId="41593"/>
    <cellStyle name="Output 6 2 4 2 4" xfId="30960"/>
    <cellStyle name="Output 6 2 4 2_Table 2A-1_EFT (Annual)" xfId="8326"/>
    <cellStyle name="Output 6 2 4 3" xfId="10871"/>
    <cellStyle name="Output 6 2 4 3 2" xfId="22973"/>
    <cellStyle name="Output 6 2 4 3 2 2" xfId="44159"/>
    <cellStyle name="Output 6 2 4 3 3" xfId="33555"/>
    <cellStyle name="Output 6 2 4 4" xfId="17860"/>
    <cellStyle name="Output 6 2 4 4 2" xfId="39047"/>
    <cellStyle name="Output 6 2 4 5" xfId="28217"/>
    <cellStyle name="Output 6 2 4_Table 2A-1_EFT (Annual)" xfId="8325"/>
    <cellStyle name="Output 6 2 5" xfId="4080"/>
    <cellStyle name="Output 6 2 5 2" xfId="12404"/>
    <cellStyle name="Output 6 2 5 2 2" xfId="24426"/>
    <cellStyle name="Output 6 2 5 2 2 2" xfId="45612"/>
    <cellStyle name="Output 6 2 5 2 3" xfId="35008"/>
    <cellStyle name="Output 6 2 5 3" xfId="19313"/>
    <cellStyle name="Output 6 2 5 3 2" xfId="40500"/>
    <cellStyle name="Output 6 2 5 4" xfId="29768"/>
    <cellStyle name="Output 6 2 5_Table 2A-1_EFT (Annual)" xfId="8327"/>
    <cellStyle name="Output 6 2 6" xfId="9743"/>
    <cellStyle name="Output 6 2 6 2" xfId="21880"/>
    <cellStyle name="Output 6 2 6 2 2" xfId="43066"/>
    <cellStyle name="Output 6 2 6 3" xfId="32462"/>
    <cellStyle name="Output 6 2 7" xfId="16767"/>
    <cellStyle name="Output 6 2 7 2" xfId="37954"/>
    <cellStyle name="Output 6 2 8" xfId="27025"/>
    <cellStyle name="Output 6 2_Table 2A-1_EFT (Annual)" xfId="3488"/>
    <cellStyle name="Output 6 3" xfId="348"/>
    <cellStyle name="Output 6 3 2" xfId="1331"/>
    <cellStyle name="Output 6 3 2 2" xfId="2601"/>
    <cellStyle name="Output 6 3 2 2 2" xfId="6162"/>
    <cellStyle name="Output 6 3 2 2 2 2" xfId="14356"/>
    <cellStyle name="Output 6 3 2 2 2 2 2" xfId="26328"/>
    <cellStyle name="Output 6 3 2 2 2 2 2 2" xfId="47514"/>
    <cellStyle name="Output 6 3 2 2 2 2 3" xfId="36910"/>
    <cellStyle name="Output 6 3 2 2 2 3" xfId="21215"/>
    <cellStyle name="Output 6 3 2 2 2 3 2" xfId="42402"/>
    <cellStyle name="Output 6 3 2 2 2 4" xfId="31818"/>
    <cellStyle name="Output 6 3 2 2 2_Table 2A-1_EFT (Annual)" xfId="8329"/>
    <cellStyle name="Output 6 3 2 2 3" xfId="11698"/>
    <cellStyle name="Output 6 3 2 2 3 2" xfId="23782"/>
    <cellStyle name="Output 6 3 2 2 3 2 2" xfId="44968"/>
    <cellStyle name="Output 6 3 2 2 3 3" xfId="34364"/>
    <cellStyle name="Output 6 3 2 2 4" xfId="18669"/>
    <cellStyle name="Output 6 3 2 2 4 2" xfId="39856"/>
    <cellStyle name="Output 6 3 2 2 5" xfId="29075"/>
    <cellStyle name="Output 6 3 2 2_Table 2A-1_EFT (Annual)" xfId="8328"/>
    <cellStyle name="Output 6 3 2 3" xfId="1886"/>
    <cellStyle name="Output 6 3 2 3 2" xfId="5447"/>
    <cellStyle name="Output 6 3 2 3 2 2" xfId="13662"/>
    <cellStyle name="Output 6 3 2 3 2 2 2" xfId="25650"/>
    <cellStyle name="Output 6 3 2 3 2 2 2 2" xfId="46836"/>
    <cellStyle name="Output 6 3 2 3 2 2 3" xfId="36232"/>
    <cellStyle name="Output 6 3 2 3 2 3" xfId="20537"/>
    <cellStyle name="Output 6 3 2 3 2 3 2" xfId="41724"/>
    <cellStyle name="Output 6 3 2 3 2 4" xfId="31104"/>
    <cellStyle name="Output 6 3 2 3 2_Table 2A-1_EFT (Annual)" xfId="8331"/>
    <cellStyle name="Output 6 3 2 3 3" xfId="11006"/>
    <cellStyle name="Output 6 3 2 3 3 2" xfId="23104"/>
    <cellStyle name="Output 6 3 2 3 3 2 2" xfId="44290"/>
    <cellStyle name="Output 6 3 2 3 3 3" xfId="33686"/>
    <cellStyle name="Output 6 3 2 3 4" xfId="17991"/>
    <cellStyle name="Output 6 3 2 3 4 2" xfId="39178"/>
    <cellStyle name="Output 6 3 2 3 5" xfId="28361"/>
    <cellStyle name="Output 6 3 2 3_Table 2A-1_EFT (Annual)" xfId="8330"/>
    <cellStyle name="Output 6 3 2 4" xfId="4892"/>
    <cellStyle name="Output 6 3 2 4 2" xfId="13152"/>
    <cellStyle name="Output 6 3 2 4 2 2" xfId="25158"/>
    <cellStyle name="Output 6 3 2 4 2 2 2" xfId="46344"/>
    <cellStyle name="Output 6 3 2 4 2 3" xfId="35740"/>
    <cellStyle name="Output 6 3 2 4 3" xfId="20045"/>
    <cellStyle name="Output 6 3 2 4 3 2" xfId="41232"/>
    <cellStyle name="Output 6 3 2 4 4" xfId="30549"/>
    <cellStyle name="Output 6 3 2 4_Table 2A-1_EFT (Annual)" xfId="8332"/>
    <cellStyle name="Output 6 3 2 5" xfId="10496"/>
    <cellStyle name="Output 6 3 2 5 2" xfId="22612"/>
    <cellStyle name="Output 6 3 2 5 2 2" xfId="43798"/>
    <cellStyle name="Output 6 3 2 5 3" xfId="33194"/>
    <cellStyle name="Output 6 3 2 6" xfId="17499"/>
    <cellStyle name="Output 6 3 2 6 2" xfId="38686"/>
    <cellStyle name="Output 6 3 2 7" xfId="27806"/>
    <cellStyle name="Output 6 3 2_Table 2A-1_EFT (Annual)" xfId="3491"/>
    <cellStyle name="Output 6 3 3" xfId="2070"/>
    <cellStyle name="Output 6 3 3 2" xfId="5631"/>
    <cellStyle name="Output 6 3 3 2 2" xfId="13846"/>
    <cellStyle name="Output 6 3 3 2 2 2" xfId="25834"/>
    <cellStyle name="Output 6 3 3 2 2 2 2" xfId="47020"/>
    <cellStyle name="Output 6 3 3 2 2 3" xfId="36416"/>
    <cellStyle name="Output 6 3 3 2 3" xfId="20721"/>
    <cellStyle name="Output 6 3 3 2 3 2" xfId="41908"/>
    <cellStyle name="Output 6 3 3 2 4" xfId="31288"/>
    <cellStyle name="Output 6 3 3 2_Table 2A-1_EFT (Annual)" xfId="8334"/>
    <cellStyle name="Output 6 3 3 3" xfId="11190"/>
    <cellStyle name="Output 6 3 3 3 2" xfId="23288"/>
    <cellStyle name="Output 6 3 3 3 2 2" xfId="44474"/>
    <cellStyle name="Output 6 3 3 3 3" xfId="33870"/>
    <cellStyle name="Output 6 3 3 4" xfId="18175"/>
    <cellStyle name="Output 6 3 3 4 2" xfId="39362"/>
    <cellStyle name="Output 6 3 3 5" xfId="28545"/>
    <cellStyle name="Output 6 3 3_Table 2A-1_EFT (Annual)" xfId="8333"/>
    <cellStyle name="Output 6 3 4" xfId="1706"/>
    <cellStyle name="Output 6 3 4 2" xfId="5267"/>
    <cellStyle name="Output 6 3 4 2 2" xfId="13496"/>
    <cellStyle name="Output 6 3 4 2 2 2" xfId="25489"/>
    <cellStyle name="Output 6 3 4 2 2 2 2" xfId="46675"/>
    <cellStyle name="Output 6 3 4 2 2 3" xfId="36071"/>
    <cellStyle name="Output 6 3 4 2 3" xfId="20376"/>
    <cellStyle name="Output 6 3 4 2 3 2" xfId="41563"/>
    <cellStyle name="Output 6 3 4 2 4" xfId="30924"/>
    <cellStyle name="Output 6 3 4 2_Table 2A-1_EFT (Annual)" xfId="8336"/>
    <cellStyle name="Output 6 3 4 3" xfId="10840"/>
    <cellStyle name="Output 6 3 4 3 2" xfId="22943"/>
    <cellStyle name="Output 6 3 4 3 2 2" xfId="44129"/>
    <cellStyle name="Output 6 3 4 3 3" xfId="33525"/>
    <cellStyle name="Output 6 3 4 4" xfId="17830"/>
    <cellStyle name="Output 6 3 4 4 2" xfId="39017"/>
    <cellStyle name="Output 6 3 4 5" xfId="28181"/>
    <cellStyle name="Output 6 3 4_Table 2A-1_EFT (Annual)" xfId="8335"/>
    <cellStyle name="Output 6 3 5" xfId="3918"/>
    <cellStyle name="Output 6 3 5 2" xfId="12246"/>
    <cellStyle name="Output 6 3 5 2 2" xfId="24270"/>
    <cellStyle name="Output 6 3 5 2 2 2" xfId="45456"/>
    <cellStyle name="Output 6 3 5 2 3" xfId="34852"/>
    <cellStyle name="Output 6 3 5 3" xfId="19157"/>
    <cellStyle name="Output 6 3 5 3 2" xfId="40344"/>
    <cellStyle name="Output 6 3 5 4" xfId="29606"/>
    <cellStyle name="Output 6 3 5_Table 2A-1_EFT (Annual)" xfId="8337"/>
    <cellStyle name="Output 6 3 6" xfId="9583"/>
    <cellStyle name="Output 6 3 6 2" xfId="21724"/>
    <cellStyle name="Output 6 3 6 2 2" xfId="42910"/>
    <cellStyle name="Output 6 3 6 3" xfId="32306"/>
    <cellStyle name="Output 6 3 7" xfId="16611"/>
    <cellStyle name="Output 6 3 7 2" xfId="37798"/>
    <cellStyle name="Output 6 3 8" xfId="26863"/>
    <cellStyle name="Output 6 3_Table 2A-1_EFT (Annual)" xfId="3490"/>
    <cellStyle name="Output 6 4" xfId="1165"/>
    <cellStyle name="Output 6 4 2" xfId="2435"/>
    <cellStyle name="Output 6 4 2 2" xfId="5996"/>
    <cellStyle name="Output 6 4 2 2 2" xfId="14190"/>
    <cellStyle name="Output 6 4 2 2 2 2" xfId="26162"/>
    <cellStyle name="Output 6 4 2 2 2 2 2" xfId="47348"/>
    <cellStyle name="Output 6 4 2 2 2 3" xfId="36744"/>
    <cellStyle name="Output 6 4 2 2 3" xfId="21049"/>
    <cellStyle name="Output 6 4 2 2 3 2" xfId="42236"/>
    <cellStyle name="Output 6 4 2 2 4" xfId="31652"/>
    <cellStyle name="Output 6 4 2 2_Table 2A-1_EFT (Annual)" xfId="8339"/>
    <cellStyle name="Output 6 4 2 3" xfId="11532"/>
    <cellStyle name="Output 6 4 2 3 2" xfId="23616"/>
    <cellStyle name="Output 6 4 2 3 2 2" xfId="44802"/>
    <cellStyle name="Output 6 4 2 3 3" xfId="34198"/>
    <cellStyle name="Output 6 4 2 4" xfId="18503"/>
    <cellStyle name="Output 6 4 2 4 2" xfId="39690"/>
    <cellStyle name="Output 6 4 2 5" xfId="28909"/>
    <cellStyle name="Output 6 4 2_Table 2A-1_EFT (Annual)" xfId="8338"/>
    <cellStyle name="Output 6 4 3" xfId="1822"/>
    <cellStyle name="Output 6 4 3 2" xfId="5383"/>
    <cellStyle name="Output 6 4 3 2 2" xfId="13598"/>
    <cellStyle name="Output 6 4 3 2 2 2" xfId="25586"/>
    <cellStyle name="Output 6 4 3 2 2 2 2" xfId="46772"/>
    <cellStyle name="Output 6 4 3 2 2 3" xfId="36168"/>
    <cellStyle name="Output 6 4 3 2 3" xfId="20473"/>
    <cellStyle name="Output 6 4 3 2 3 2" xfId="41660"/>
    <cellStyle name="Output 6 4 3 2 4" xfId="31040"/>
    <cellStyle name="Output 6 4 3 2_Table 2A-1_EFT (Annual)" xfId="8341"/>
    <cellStyle name="Output 6 4 3 3" xfId="10942"/>
    <cellStyle name="Output 6 4 3 3 2" xfId="23040"/>
    <cellStyle name="Output 6 4 3 3 2 2" xfId="44226"/>
    <cellStyle name="Output 6 4 3 3 3" xfId="33622"/>
    <cellStyle name="Output 6 4 3 4" xfId="17927"/>
    <cellStyle name="Output 6 4 3 4 2" xfId="39114"/>
    <cellStyle name="Output 6 4 3 5" xfId="28297"/>
    <cellStyle name="Output 6 4 3_Table 2A-1_EFT (Annual)" xfId="8340"/>
    <cellStyle name="Output 6 4 4" xfId="4726"/>
    <cellStyle name="Output 6 4 4 2" xfId="12986"/>
    <cellStyle name="Output 6 4 4 2 2" xfId="24992"/>
    <cellStyle name="Output 6 4 4 2 2 2" xfId="46178"/>
    <cellStyle name="Output 6 4 4 2 3" xfId="35574"/>
    <cellStyle name="Output 6 4 4 3" xfId="19879"/>
    <cellStyle name="Output 6 4 4 3 2" xfId="41066"/>
    <cellStyle name="Output 6 4 4 4" xfId="30383"/>
    <cellStyle name="Output 6 4 4_Table 2A-1_EFT (Annual)" xfId="8342"/>
    <cellStyle name="Output 6 4 5" xfId="10330"/>
    <cellStyle name="Output 6 4 5 2" xfId="22446"/>
    <cellStyle name="Output 6 4 5 2 2" xfId="43632"/>
    <cellStyle name="Output 6 4 5 3" xfId="33028"/>
    <cellStyle name="Output 6 4 6" xfId="17333"/>
    <cellStyle name="Output 6 4 6 2" xfId="38520"/>
    <cellStyle name="Output 6 4 7" xfId="27640"/>
    <cellStyle name="Output 6 4_Table 2A-1_EFT (Annual)" xfId="3492"/>
    <cellStyle name="Output 6 5" xfId="1798"/>
    <cellStyle name="Output 6 5 2" xfId="5359"/>
    <cellStyle name="Output 6 5 2 2" xfId="13574"/>
    <cellStyle name="Output 6 5 2 2 2" xfId="25562"/>
    <cellStyle name="Output 6 5 2 2 2 2" xfId="46748"/>
    <cellStyle name="Output 6 5 2 2 3" xfId="36144"/>
    <cellStyle name="Output 6 5 2 3" xfId="20449"/>
    <cellStyle name="Output 6 5 2 3 2" xfId="41636"/>
    <cellStyle name="Output 6 5 2 4" xfId="31016"/>
    <cellStyle name="Output 6 5 2_Table 2A-1_EFT (Annual)" xfId="8344"/>
    <cellStyle name="Output 6 5 3" xfId="10918"/>
    <cellStyle name="Output 6 5 3 2" xfId="23016"/>
    <cellStyle name="Output 6 5 3 2 2" xfId="44202"/>
    <cellStyle name="Output 6 5 3 3" xfId="33598"/>
    <cellStyle name="Output 6 5 4" xfId="17903"/>
    <cellStyle name="Output 6 5 4 2" xfId="39090"/>
    <cellStyle name="Output 6 5 5" xfId="28273"/>
    <cellStyle name="Output 6 5_Table 2A-1_EFT (Annual)" xfId="8343"/>
    <cellStyle name="Output 6 6" xfId="1649"/>
    <cellStyle name="Output 6 6 2" xfId="5210"/>
    <cellStyle name="Output 6 6 2 2" xfId="13457"/>
    <cellStyle name="Output 6 6 2 2 2" xfId="25457"/>
    <cellStyle name="Output 6 6 2 2 2 2" xfId="46643"/>
    <cellStyle name="Output 6 6 2 2 3" xfId="36039"/>
    <cellStyle name="Output 6 6 2 3" xfId="20344"/>
    <cellStyle name="Output 6 6 2 3 2" xfId="41531"/>
    <cellStyle name="Output 6 6 2 4" xfId="30867"/>
    <cellStyle name="Output 6 6 2_Table 2A-1_EFT (Annual)" xfId="8346"/>
    <cellStyle name="Output 6 6 3" xfId="10802"/>
    <cellStyle name="Output 6 6 3 2" xfId="22911"/>
    <cellStyle name="Output 6 6 3 2 2" xfId="44097"/>
    <cellStyle name="Output 6 6 3 3" xfId="33493"/>
    <cellStyle name="Output 6 6 4" xfId="17798"/>
    <cellStyle name="Output 6 6 4 2" xfId="38985"/>
    <cellStyle name="Output 6 6 5" xfId="28124"/>
    <cellStyle name="Output 6 6_Table 2A-1_EFT (Annual)" xfId="8345"/>
    <cellStyle name="Output 6 7" xfId="3706"/>
    <cellStyle name="Output 6 7 2" xfId="12074"/>
    <cellStyle name="Output 6 7 2 2" xfId="24104"/>
    <cellStyle name="Output 6 7 2 2 2" xfId="45290"/>
    <cellStyle name="Output 6 7 2 3" xfId="34686"/>
    <cellStyle name="Output 6 7 3" xfId="18991"/>
    <cellStyle name="Output 6 7 3 2" xfId="40178"/>
    <cellStyle name="Output 6 7 4" xfId="29415"/>
    <cellStyle name="Output 6 7_Table 2A-1_EFT (Annual)" xfId="8347"/>
    <cellStyle name="Output 6 8" xfId="9393"/>
    <cellStyle name="Output 6 8 2" xfId="21558"/>
    <cellStyle name="Output 6 8 2 2" xfId="42744"/>
    <cellStyle name="Output 6 8 3" xfId="32140"/>
    <cellStyle name="Output 6 9" xfId="16445"/>
    <cellStyle name="Output 6 9 2" xfId="37632"/>
    <cellStyle name="Output 6_Table 2A-1_EFT (Annual)" xfId="3487"/>
    <cellStyle name="Output 7" xfId="111"/>
    <cellStyle name="Output 7 10" xfId="26666"/>
    <cellStyle name="Output 7 2" xfId="504"/>
    <cellStyle name="Output 7 2 2" xfId="1481"/>
    <cellStyle name="Output 7 2 2 2" xfId="2751"/>
    <cellStyle name="Output 7 2 2 2 2" xfId="6312"/>
    <cellStyle name="Output 7 2 2 2 2 2" xfId="14506"/>
    <cellStyle name="Output 7 2 2 2 2 2 2" xfId="26478"/>
    <cellStyle name="Output 7 2 2 2 2 2 2 2" xfId="47664"/>
    <cellStyle name="Output 7 2 2 2 2 2 3" xfId="37060"/>
    <cellStyle name="Output 7 2 2 2 2 3" xfId="21365"/>
    <cellStyle name="Output 7 2 2 2 2 3 2" xfId="42552"/>
    <cellStyle name="Output 7 2 2 2 2 4" xfId="31968"/>
    <cellStyle name="Output 7 2 2 2 2_Table 2A-1_EFT (Annual)" xfId="8349"/>
    <cellStyle name="Output 7 2 2 2 3" xfId="11848"/>
    <cellStyle name="Output 7 2 2 2 3 2" xfId="23932"/>
    <cellStyle name="Output 7 2 2 2 3 2 2" xfId="45118"/>
    <cellStyle name="Output 7 2 2 2 3 3" xfId="34514"/>
    <cellStyle name="Output 7 2 2 2 4" xfId="18819"/>
    <cellStyle name="Output 7 2 2 2 4 2" xfId="40006"/>
    <cellStyle name="Output 7 2 2 2 5" xfId="29225"/>
    <cellStyle name="Output 7 2 2 2_Table 2A-1_EFT (Annual)" xfId="8348"/>
    <cellStyle name="Output 7 2 2 3" xfId="1915"/>
    <cellStyle name="Output 7 2 2 3 2" xfId="5476"/>
    <cellStyle name="Output 7 2 2 3 2 2" xfId="13691"/>
    <cellStyle name="Output 7 2 2 3 2 2 2" xfId="25679"/>
    <cellStyle name="Output 7 2 2 3 2 2 2 2" xfId="46865"/>
    <cellStyle name="Output 7 2 2 3 2 2 3" xfId="36261"/>
    <cellStyle name="Output 7 2 2 3 2 3" xfId="20566"/>
    <cellStyle name="Output 7 2 2 3 2 3 2" xfId="41753"/>
    <cellStyle name="Output 7 2 2 3 2 4" xfId="31133"/>
    <cellStyle name="Output 7 2 2 3 2_Table 2A-1_EFT (Annual)" xfId="8351"/>
    <cellStyle name="Output 7 2 2 3 3" xfId="11035"/>
    <cellStyle name="Output 7 2 2 3 3 2" xfId="23133"/>
    <cellStyle name="Output 7 2 2 3 3 2 2" xfId="44319"/>
    <cellStyle name="Output 7 2 2 3 3 3" xfId="33715"/>
    <cellStyle name="Output 7 2 2 3 4" xfId="18020"/>
    <cellStyle name="Output 7 2 2 3 4 2" xfId="39207"/>
    <cellStyle name="Output 7 2 2 3 5" xfId="28390"/>
    <cellStyle name="Output 7 2 2 3_Table 2A-1_EFT (Annual)" xfId="8350"/>
    <cellStyle name="Output 7 2 2 4" xfId="5042"/>
    <cellStyle name="Output 7 2 2 4 2" xfId="13302"/>
    <cellStyle name="Output 7 2 2 4 2 2" xfId="25308"/>
    <cellStyle name="Output 7 2 2 4 2 2 2" xfId="46494"/>
    <cellStyle name="Output 7 2 2 4 2 3" xfId="35890"/>
    <cellStyle name="Output 7 2 2 4 3" xfId="20195"/>
    <cellStyle name="Output 7 2 2 4 3 2" xfId="41382"/>
    <cellStyle name="Output 7 2 2 4 4" xfId="30699"/>
    <cellStyle name="Output 7 2 2 4_Table 2A-1_EFT (Annual)" xfId="8352"/>
    <cellStyle name="Output 7 2 2 5" xfId="10646"/>
    <cellStyle name="Output 7 2 2 5 2" xfId="22762"/>
    <cellStyle name="Output 7 2 2 5 2 2" xfId="43948"/>
    <cellStyle name="Output 7 2 2 5 3" xfId="33344"/>
    <cellStyle name="Output 7 2 2 6" xfId="17649"/>
    <cellStyle name="Output 7 2 2 6 2" xfId="38836"/>
    <cellStyle name="Output 7 2 2 7" xfId="27956"/>
    <cellStyle name="Output 7 2 2_Table 2A-1_EFT (Annual)" xfId="3495"/>
    <cellStyle name="Output 7 2 3" xfId="2220"/>
    <cellStyle name="Output 7 2 3 2" xfId="5781"/>
    <cellStyle name="Output 7 2 3 2 2" xfId="13996"/>
    <cellStyle name="Output 7 2 3 2 2 2" xfId="25984"/>
    <cellStyle name="Output 7 2 3 2 2 2 2" xfId="47170"/>
    <cellStyle name="Output 7 2 3 2 2 3" xfId="36566"/>
    <cellStyle name="Output 7 2 3 2 3" xfId="20871"/>
    <cellStyle name="Output 7 2 3 2 3 2" xfId="42058"/>
    <cellStyle name="Output 7 2 3 2 4" xfId="31438"/>
    <cellStyle name="Output 7 2 3 2_Table 2A-1_EFT (Annual)" xfId="8354"/>
    <cellStyle name="Output 7 2 3 3" xfId="11340"/>
    <cellStyle name="Output 7 2 3 3 2" xfId="23438"/>
    <cellStyle name="Output 7 2 3 3 2 2" xfId="44624"/>
    <cellStyle name="Output 7 2 3 3 3" xfId="34020"/>
    <cellStyle name="Output 7 2 3 4" xfId="18325"/>
    <cellStyle name="Output 7 2 3 4 2" xfId="39512"/>
    <cellStyle name="Output 7 2 3 5" xfId="28695"/>
    <cellStyle name="Output 7 2 3_Table 2A-1_EFT (Annual)" xfId="8353"/>
    <cellStyle name="Output 7 2 4" xfId="1740"/>
    <cellStyle name="Output 7 2 4 2" xfId="5301"/>
    <cellStyle name="Output 7 2 4 2 2" xfId="13526"/>
    <cellStyle name="Output 7 2 4 2 2 2" xfId="25517"/>
    <cellStyle name="Output 7 2 4 2 2 2 2" xfId="46703"/>
    <cellStyle name="Output 7 2 4 2 2 3" xfId="36099"/>
    <cellStyle name="Output 7 2 4 2 3" xfId="20404"/>
    <cellStyle name="Output 7 2 4 2 3 2" xfId="41591"/>
    <cellStyle name="Output 7 2 4 2 4" xfId="30958"/>
    <cellStyle name="Output 7 2 4 2_Table 2A-1_EFT (Annual)" xfId="8356"/>
    <cellStyle name="Output 7 2 4 3" xfId="10869"/>
    <cellStyle name="Output 7 2 4 3 2" xfId="22971"/>
    <cellStyle name="Output 7 2 4 3 2 2" xfId="44157"/>
    <cellStyle name="Output 7 2 4 3 3" xfId="33553"/>
    <cellStyle name="Output 7 2 4 4" xfId="17858"/>
    <cellStyle name="Output 7 2 4 4 2" xfId="39045"/>
    <cellStyle name="Output 7 2 4 5" xfId="28215"/>
    <cellStyle name="Output 7 2 4_Table 2A-1_EFT (Annual)" xfId="8355"/>
    <cellStyle name="Output 7 2 5" xfId="4074"/>
    <cellStyle name="Output 7 2 5 2" xfId="12398"/>
    <cellStyle name="Output 7 2 5 2 2" xfId="24420"/>
    <cellStyle name="Output 7 2 5 2 2 2" xfId="45606"/>
    <cellStyle name="Output 7 2 5 2 3" xfId="35002"/>
    <cellStyle name="Output 7 2 5 3" xfId="19307"/>
    <cellStyle name="Output 7 2 5 3 2" xfId="40494"/>
    <cellStyle name="Output 7 2 5 4" xfId="29762"/>
    <cellStyle name="Output 7 2 5_Table 2A-1_EFT (Annual)" xfId="8357"/>
    <cellStyle name="Output 7 2 6" xfId="9737"/>
    <cellStyle name="Output 7 2 6 2" xfId="21874"/>
    <cellStyle name="Output 7 2 6 2 2" xfId="43060"/>
    <cellStyle name="Output 7 2 6 3" xfId="32456"/>
    <cellStyle name="Output 7 2 7" xfId="16761"/>
    <cellStyle name="Output 7 2 7 2" xfId="37948"/>
    <cellStyle name="Output 7 2 8" xfId="27019"/>
    <cellStyle name="Output 7 2_Table 2A-1_EFT (Annual)" xfId="3494"/>
    <cellStyle name="Output 7 3" xfId="342"/>
    <cellStyle name="Output 7 3 2" xfId="1325"/>
    <cellStyle name="Output 7 3 2 2" xfId="2595"/>
    <cellStyle name="Output 7 3 2 2 2" xfId="6156"/>
    <cellStyle name="Output 7 3 2 2 2 2" xfId="14350"/>
    <cellStyle name="Output 7 3 2 2 2 2 2" xfId="26322"/>
    <cellStyle name="Output 7 3 2 2 2 2 2 2" xfId="47508"/>
    <cellStyle name="Output 7 3 2 2 2 2 3" xfId="36904"/>
    <cellStyle name="Output 7 3 2 2 2 3" xfId="21209"/>
    <cellStyle name="Output 7 3 2 2 2 3 2" xfId="42396"/>
    <cellStyle name="Output 7 3 2 2 2 4" xfId="31812"/>
    <cellStyle name="Output 7 3 2 2 2_Table 2A-1_EFT (Annual)" xfId="8359"/>
    <cellStyle name="Output 7 3 2 2 3" xfId="11692"/>
    <cellStyle name="Output 7 3 2 2 3 2" xfId="23776"/>
    <cellStyle name="Output 7 3 2 2 3 2 2" xfId="44962"/>
    <cellStyle name="Output 7 3 2 2 3 3" xfId="34358"/>
    <cellStyle name="Output 7 3 2 2 4" xfId="18663"/>
    <cellStyle name="Output 7 3 2 2 4 2" xfId="39850"/>
    <cellStyle name="Output 7 3 2 2 5" xfId="29069"/>
    <cellStyle name="Output 7 3 2 2_Table 2A-1_EFT (Annual)" xfId="8358"/>
    <cellStyle name="Output 7 3 2 3" xfId="1884"/>
    <cellStyle name="Output 7 3 2 3 2" xfId="5445"/>
    <cellStyle name="Output 7 3 2 3 2 2" xfId="13660"/>
    <cellStyle name="Output 7 3 2 3 2 2 2" xfId="25648"/>
    <cellStyle name="Output 7 3 2 3 2 2 2 2" xfId="46834"/>
    <cellStyle name="Output 7 3 2 3 2 2 3" xfId="36230"/>
    <cellStyle name="Output 7 3 2 3 2 3" xfId="20535"/>
    <cellStyle name="Output 7 3 2 3 2 3 2" xfId="41722"/>
    <cellStyle name="Output 7 3 2 3 2 4" xfId="31102"/>
    <cellStyle name="Output 7 3 2 3 2_Table 2A-1_EFT (Annual)" xfId="8361"/>
    <cellStyle name="Output 7 3 2 3 3" xfId="11004"/>
    <cellStyle name="Output 7 3 2 3 3 2" xfId="23102"/>
    <cellStyle name="Output 7 3 2 3 3 2 2" xfId="44288"/>
    <cellStyle name="Output 7 3 2 3 3 3" xfId="33684"/>
    <cellStyle name="Output 7 3 2 3 4" xfId="17989"/>
    <cellStyle name="Output 7 3 2 3 4 2" xfId="39176"/>
    <cellStyle name="Output 7 3 2 3 5" xfId="28359"/>
    <cellStyle name="Output 7 3 2 3_Table 2A-1_EFT (Annual)" xfId="8360"/>
    <cellStyle name="Output 7 3 2 4" xfId="4886"/>
    <cellStyle name="Output 7 3 2 4 2" xfId="13146"/>
    <cellStyle name="Output 7 3 2 4 2 2" xfId="25152"/>
    <cellStyle name="Output 7 3 2 4 2 2 2" xfId="46338"/>
    <cellStyle name="Output 7 3 2 4 2 3" xfId="35734"/>
    <cellStyle name="Output 7 3 2 4 3" xfId="20039"/>
    <cellStyle name="Output 7 3 2 4 3 2" xfId="41226"/>
    <cellStyle name="Output 7 3 2 4 4" xfId="30543"/>
    <cellStyle name="Output 7 3 2 4_Table 2A-1_EFT (Annual)" xfId="8362"/>
    <cellStyle name="Output 7 3 2 5" xfId="10490"/>
    <cellStyle name="Output 7 3 2 5 2" xfId="22606"/>
    <cellStyle name="Output 7 3 2 5 2 2" xfId="43792"/>
    <cellStyle name="Output 7 3 2 5 3" xfId="33188"/>
    <cellStyle name="Output 7 3 2 6" xfId="17493"/>
    <cellStyle name="Output 7 3 2 6 2" xfId="38680"/>
    <cellStyle name="Output 7 3 2 7" xfId="27800"/>
    <cellStyle name="Output 7 3 2_Table 2A-1_EFT (Annual)" xfId="3497"/>
    <cellStyle name="Output 7 3 3" xfId="2064"/>
    <cellStyle name="Output 7 3 3 2" xfId="5625"/>
    <cellStyle name="Output 7 3 3 2 2" xfId="13840"/>
    <cellStyle name="Output 7 3 3 2 2 2" xfId="25828"/>
    <cellStyle name="Output 7 3 3 2 2 2 2" xfId="47014"/>
    <cellStyle name="Output 7 3 3 2 2 3" xfId="36410"/>
    <cellStyle name="Output 7 3 3 2 3" xfId="20715"/>
    <cellStyle name="Output 7 3 3 2 3 2" xfId="41902"/>
    <cellStyle name="Output 7 3 3 2 4" xfId="31282"/>
    <cellStyle name="Output 7 3 3 2_Table 2A-1_EFT (Annual)" xfId="8364"/>
    <cellStyle name="Output 7 3 3 3" xfId="11184"/>
    <cellStyle name="Output 7 3 3 3 2" xfId="23282"/>
    <cellStyle name="Output 7 3 3 3 2 2" xfId="44468"/>
    <cellStyle name="Output 7 3 3 3 3" xfId="33864"/>
    <cellStyle name="Output 7 3 3 4" xfId="18169"/>
    <cellStyle name="Output 7 3 3 4 2" xfId="39356"/>
    <cellStyle name="Output 7 3 3 5" xfId="28539"/>
    <cellStyle name="Output 7 3 3_Table 2A-1_EFT (Annual)" xfId="8363"/>
    <cellStyle name="Output 7 3 4" xfId="1704"/>
    <cellStyle name="Output 7 3 4 2" xfId="5265"/>
    <cellStyle name="Output 7 3 4 2 2" xfId="13494"/>
    <cellStyle name="Output 7 3 4 2 2 2" xfId="25487"/>
    <cellStyle name="Output 7 3 4 2 2 2 2" xfId="46673"/>
    <cellStyle name="Output 7 3 4 2 2 3" xfId="36069"/>
    <cellStyle name="Output 7 3 4 2 3" xfId="20374"/>
    <cellStyle name="Output 7 3 4 2 3 2" xfId="41561"/>
    <cellStyle name="Output 7 3 4 2 4" xfId="30922"/>
    <cellStyle name="Output 7 3 4 2_Table 2A-1_EFT (Annual)" xfId="8366"/>
    <cellStyle name="Output 7 3 4 3" xfId="10838"/>
    <cellStyle name="Output 7 3 4 3 2" xfId="22941"/>
    <cellStyle name="Output 7 3 4 3 2 2" xfId="44127"/>
    <cellStyle name="Output 7 3 4 3 3" xfId="33523"/>
    <cellStyle name="Output 7 3 4 4" xfId="17828"/>
    <cellStyle name="Output 7 3 4 4 2" xfId="39015"/>
    <cellStyle name="Output 7 3 4 5" xfId="28179"/>
    <cellStyle name="Output 7 3 4_Table 2A-1_EFT (Annual)" xfId="8365"/>
    <cellStyle name="Output 7 3 5" xfId="3912"/>
    <cellStyle name="Output 7 3 5 2" xfId="12240"/>
    <cellStyle name="Output 7 3 5 2 2" xfId="24264"/>
    <cellStyle name="Output 7 3 5 2 2 2" xfId="45450"/>
    <cellStyle name="Output 7 3 5 2 3" xfId="34846"/>
    <cellStyle name="Output 7 3 5 3" xfId="19151"/>
    <cellStyle name="Output 7 3 5 3 2" xfId="40338"/>
    <cellStyle name="Output 7 3 5 4" xfId="29600"/>
    <cellStyle name="Output 7 3 5_Table 2A-1_EFT (Annual)" xfId="8367"/>
    <cellStyle name="Output 7 3 6" xfId="9577"/>
    <cellStyle name="Output 7 3 6 2" xfId="21718"/>
    <cellStyle name="Output 7 3 6 2 2" xfId="42904"/>
    <cellStyle name="Output 7 3 6 3" xfId="32300"/>
    <cellStyle name="Output 7 3 7" xfId="16605"/>
    <cellStyle name="Output 7 3 7 2" xfId="37792"/>
    <cellStyle name="Output 7 3 8" xfId="26857"/>
    <cellStyle name="Output 7 3_Table 2A-1_EFT (Annual)" xfId="3496"/>
    <cellStyle name="Output 7 4" xfId="1159"/>
    <cellStyle name="Output 7 4 2" xfId="2429"/>
    <cellStyle name="Output 7 4 2 2" xfId="5990"/>
    <cellStyle name="Output 7 4 2 2 2" xfId="14184"/>
    <cellStyle name="Output 7 4 2 2 2 2" xfId="26156"/>
    <cellStyle name="Output 7 4 2 2 2 2 2" xfId="47342"/>
    <cellStyle name="Output 7 4 2 2 2 3" xfId="36738"/>
    <cellStyle name="Output 7 4 2 2 3" xfId="21043"/>
    <cellStyle name="Output 7 4 2 2 3 2" xfId="42230"/>
    <cellStyle name="Output 7 4 2 2 4" xfId="31646"/>
    <cellStyle name="Output 7 4 2 2_Table 2A-1_EFT (Annual)" xfId="8369"/>
    <cellStyle name="Output 7 4 2 3" xfId="11526"/>
    <cellStyle name="Output 7 4 2 3 2" xfId="23610"/>
    <cellStyle name="Output 7 4 2 3 2 2" xfId="44796"/>
    <cellStyle name="Output 7 4 2 3 3" xfId="34192"/>
    <cellStyle name="Output 7 4 2 4" xfId="18497"/>
    <cellStyle name="Output 7 4 2 4 2" xfId="39684"/>
    <cellStyle name="Output 7 4 2 5" xfId="28903"/>
    <cellStyle name="Output 7 4 2_Table 2A-1_EFT (Annual)" xfId="8368"/>
    <cellStyle name="Output 7 4 3" xfId="1820"/>
    <cellStyle name="Output 7 4 3 2" xfId="5381"/>
    <cellStyle name="Output 7 4 3 2 2" xfId="13596"/>
    <cellStyle name="Output 7 4 3 2 2 2" xfId="25584"/>
    <cellStyle name="Output 7 4 3 2 2 2 2" xfId="46770"/>
    <cellStyle name="Output 7 4 3 2 2 3" xfId="36166"/>
    <cellStyle name="Output 7 4 3 2 3" xfId="20471"/>
    <cellStyle name="Output 7 4 3 2 3 2" xfId="41658"/>
    <cellStyle name="Output 7 4 3 2 4" xfId="31038"/>
    <cellStyle name="Output 7 4 3 2_Table 2A-1_EFT (Annual)" xfId="8371"/>
    <cellStyle name="Output 7 4 3 3" xfId="10940"/>
    <cellStyle name="Output 7 4 3 3 2" xfId="23038"/>
    <cellStyle name="Output 7 4 3 3 2 2" xfId="44224"/>
    <cellStyle name="Output 7 4 3 3 3" xfId="33620"/>
    <cellStyle name="Output 7 4 3 4" xfId="17925"/>
    <cellStyle name="Output 7 4 3 4 2" xfId="39112"/>
    <cellStyle name="Output 7 4 3 5" xfId="28295"/>
    <cellStyle name="Output 7 4 3_Table 2A-1_EFT (Annual)" xfId="8370"/>
    <cellStyle name="Output 7 4 4" xfId="4720"/>
    <cellStyle name="Output 7 4 4 2" xfId="12980"/>
    <cellStyle name="Output 7 4 4 2 2" xfId="24986"/>
    <cellStyle name="Output 7 4 4 2 2 2" xfId="46172"/>
    <cellStyle name="Output 7 4 4 2 3" xfId="35568"/>
    <cellStyle name="Output 7 4 4 3" xfId="19873"/>
    <cellStyle name="Output 7 4 4 3 2" xfId="41060"/>
    <cellStyle name="Output 7 4 4 4" xfId="30377"/>
    <cellStyle name="Output 7 4 4_Table 2A-1_EFT (Annual)" xfId="8372"/>
    <cellStyle name="Output 7 4 5" xfId="10324"/>
    <cellStyle name="Output 7 4 5 2" xfId="22440"/>
    <cellStyle name="Output 7 4 5 2 2" xfId="43626"/>
    <cellStyle name="Output 7 4 5 3" xfId="33022"/>
    <cellStyle name="Output 7 4 6" xfId="17327"/>
    <cellStyle name="Output 7 4 6 2" xfId="38514"/>
    <cellStyle name="Output 7 4 7" xfId="27634"/>
    <cellStyle name="Output 7 4_Table 2A-1_EFT (Annual)" xfId="3498"/>
    <cellStyle name="Output 7 5" xfId="1801"/>
    <cellStyle name="Output 7 5 2" xfId="5362"/>
    <cellStyle name="Output 7 5 2 2" xfId="13577"/>
    <cellStyle name="Output 7 5 2 2 2" xfId="25565"/>
    <cellStyle name="Output 7 5 2 2 2 2" xfId="46751"/>
    <cellStyle name="Output 7 5 2 2 3" xfId="36147"/>
    <cellStyle name="Output 7 5 2 3" xfId="20452"/>
    <cellStyle name="Output 7 5 2 3 2" xfId="41639"/>
    <cellStyle name="Output 7 5 2 4" xfId="31019"/>
    <cellStyle name="Output 7 5 2_Table 2A-1_EFT (Annual)" xfId="8374"/>
    <cellStyle name="Output 7 5 3" xfId="10921"/>
    <cellStyle name="Output 7 5 3 2" xfId="23019"/>
    <cellStyle name="Output 7 5 3 2 2" xfId="44205"/>
    <cellStyle name="Output 7 5 3 3" xfId="33601"/>
    <cellStyle name="Output 7 5 4" xfId="17906"/>
    <cellStyle name="Output 7 5 4 2" xfId="39093"/>
    <cellStyle name="Output 7 5 5" xfId="28276"/>
    <cellStyle name="Output 7 5_Table 2A-1_EFT (Annual)" xfId="8373"/>
    <cellStyle name="Output 7 6" xfId="1647"/>
    <cellStyle name="Output 7 6 2" xfId="5208"/>
    <cellStyle name="Output 7 6 2 2" xfId="13455"/>
    <cellStyle name="Output 7 6 2 2 2" xfId="25455"/>
    <cellStyle name="Output 7 6 2 2 2 2" xfId="46641"/>
    <cellStyle name="Output 7 6 2 2 3" xfId="36037"/>
    <cellStyle name="Output 7 6 2 3" xfId="20342"/>
    <cellStyle name="Output 7 6 2 3 2" xfId="41529"/>
    <cellStyle name="Output 7 6 2 4" xfId="30865"/>
    <cellStyle name="Output 7 6 2_Table 2A-1_EFT (Annual)" xfId="8376"/>
    <cellStyle name="Output 7 6 3" xfId="10800"/>
    <cellStyle name="Output 7 6 3 2" xfId="22909"/>
    <cellStyle name="Output 7 6 3 2 2" xfId="44095"/>
    <cellStyle name="Output 7 6 3 3" xfId="33491"/>
    <cellStyle name="Output 7 6 4" xfId="17796"/>
    <cellStyle name="Output 7 6 4 2" xfId="38983"/>
    <cellStyle name="Output 7 6 5" xfId="28122"/>
    <cellStyle name="Output 7 6_Table 2A-1_EFT (Annual)" xfId="8375"/>
    <cellStyle name="Output 7 7" xfId="3700"/>
    <cellStyle name="Output 7 7 2" xfId="12068"/>
    <cellStyle name="Output 7 7 2 2" xfId="24098"/>
    <cellStyle name="Output 7 7 2 2 2" xfId="45284"/>
    <cellStyle name="Output 7 7 2 3" xfId="34680"/>
    <cellStyle name="Output 7 7 3" xfId="18985"/>
    <cellStyle name="Output 7 7 3 2" xfId="40172"/>
    <cellStyle name="Output 7 7 4" xfId="29409"/>
    <cellStyle name="Output 7 7_Table 2A-1_EFT (Annual)" xfId="8377"/>
    <cellStyle name="Output 7 8" xfId="9387"/>
    <cellStyle name="Output 7 8 2" xfId="21552"/>
    <cellStyle name="Output 7 8 2 2" xfId="42738"/>
    <cellStyle name="Output 7 8 3" xfId="32134"/>
    <cellStyle name="Output 7 9" xfId="16439"/>
    <cellStyle name="Output 7 9 2" xfId="37626"/>
    <cellStyle name="Output 7_Table 2A-1_EFT (Annual)" xfId="3493"/>
    <cellStyle name="Output 8" xfId="90"/>
    <cellStyle name="Output 8 10" xfId="26646"/>
    <cellStyle name="Output 8 2" xfId="489"/>
    <cellStyle name="Output 8 2 2" xfId="1466"/>
    <cellStyle name="Output 8 2 2 2" xfId="2736"/>
    <cellStyle name="Output 8 2 2 2 2" xfId="6297"/>
    <cellStyle name="Output 8 2 2 2 2 2" xfId="14491"/>
    <cellStyle name="Output 8 2 2 2 2 2 2" xfId="26463"/>
    <cellStyle name="Output 8 2 2 2 2 2 2 2" xfId="47649"/>
    <cellStyle name="Output 8 2 2 2 2 2 3" xfId="37045"/>
    <cellStyle name="Output 8 2 2 2 2 3" xfId="21350"/>
    <cellStyle name="Output 8 2 2 2 2 3 2" xfId="42537"/>
    <cellStyle name="Output 8 2 2 2 2 4" xfId="31953"/>
    <cellStyle name="Output 8 2 2 2 2_Table 2A-1_EFT (Annual)" xfId="8379"/>
    <cellStyle name="Output 8 2 2 2 3" xfId="11833"/>
    <cellStyle name="Output 8 2 2 2 3 2" xfId="23917"/>
    <cellStyle name="Output 8 2 2 2 3 2 2" xfId="45103"/>
    <cellStyle name="Output 8 2 2 2 3 3" xfId="34499"/>
    <cellStyle name="Output 8 2 2 2 4" xfId="18804"/>
    <cellStyle name="Output 8 2 2 2 4 2" xfId="39991"/>
    <cellStyle name="Output 8 2 2 2 5" xfId="29210"/>
    <cellStyle name="Output 8 2 2 2_Table 2A-1_EFT (Annual)" xfId="8378"/>
    <cellStyle name="Output 8 2 2 3" xfId="1911"/>
    <cellStyle name="Output 8 2 2 3 2" xfId="5472"/>
    <cellStyle name="Output 8 2 2 3 2 2" xfId="13687"/>
    <cellStyle name="Output 8 2 2 3 2 2 2" xfId="25675"/>
    <cellStyle name="Output 8 2 2 3 2 2 2 2" xfId="46861"/>
    <cellStyle name="Output 8 2 2 3 2 2 3" xfId="36257"/>
    <cellStyle name="Output 8 2 2 3 2 3" xfId="20562"/>
    <cellStyle name="Output 8 2 2 3 2 3 2" xfId="41749"/>
    <cellStyle name="Output 8 2 2 3 2 4" xfId="31129"/>
    <cellStyle name="Output 8 2 2 3 2_Table 2A-1_EFT (Annual)" xfId="8381"/>
    <cellStyle name="Output 8 2 2 3 3" xfId="11031"/>
    <cellStyle name="Output 8 2 2 3 3 2" xfId="23129"/>
    <cellStyle name="Output 8 2 2 3 3 2 2" xfId="44315"/>
    <cellStyle name="Output 8 2 2 3 3 3" xfId="33711"/>
    <cellStyle name="Output 8 2 2 3 4" xfId="18016"/>
    <cellStyle name="Output 8 2 2 3 4 2" xfId="39203"/>
    <cellStyle name="Output 8 2 2 3 5" xfId="28386"/>
    <cellStyle name="Output 8 2 2 3_Table 2A-1_EFT (Annual)" xfId="8380"/>
    <cellStyle name="Output 8 2 2 4" xfId="5027"/>
    <cellStyle name="Output 8 2 2 4 2" xfId="13287"/>
    <cellStyle name="Output 8 2 2 4 2 2" xfId="25293"/>
    <cellStyle name="Output 8 2 2 4 2 2 2" xfId="46479"/>
    <cellStyle name="Output 8 2 2 4 2 3" xfId="35875"/>
    <cellStyle name="Output 8 2 2 4 3" xfId="20180"/>
    <cellStyle name="Output 8 2 2 4 3 2" xfId="41367"/>
    <cellStyle name="Output 8 2 2 4 4" xfId="30684"/>
    <cellStyle name="Output 8 2 2 4_Table 2A-1_EFT (Annual)" xfId="8382"/>
    <cellStyle name="Output 8 2 2 5" xfId="10631"/>
    <cellStyle name="Output 8 2 2 5 2" xfId="22747"/>
    <cellStyle name="Output 8 2 2 5 2 2" xfId="43933"/>
    <cellStyle name="Output 8 2 2 5 3" xfId="33329"/>
    <cellStyle name="Output 8 2 2 6" xfId="17634"/>
    <cellStyle name="Output 8 2 2 6 2" xfId="38821"/>
    <cellStyle name="Output 8 2 2 7" xfId="27941"/>
    <cellStyle name="Output 8 2 2_Table 2A-1_EFT (Annual)" xfId="3501"/>
    <cellStyle name="Output 8 2 3" xfId="2205"/>
    <cellStyle name="Output 8 2 3 2" xfId="5766"/>
    <cellStyle name="Output 8 2 3 2 2" xfId="13981"/>
    <cellStyle name="Output 8 2 3 2 2 2" xfId="25969"/>
    <cellStyle name="Output 8 2 3 2 2 2 2" xfId="47155"/>
    <cellStyle name="Output 8 2 3 2 2 3" xfId="36551"/>
    <cellStyle name="Output 8 2 3 2 3" xfId="20856"/>
    <cellStyle name="Output 8 2 3 2 3 2" xfId="42043"/>
    <cellStyle name="Output 8 2 3 2 4" xfId="31423"/>
    <cellStyle name="Output 8 2 3 2_Table 2A-1_EFT (Annual)" xfId="8384"/>
    <cellStyle name="Output 8 2 3 3" xfId="11325"/>
    <cellStyle name="Output 8 2 3 3 2" xfId="23423"/>
    <cellStyle name="Output 8 2 3 3 2 2" xfId="44609"/>
    <cellStyle name="Output 8 2 3 3 3" xfId="34005"/>
    <cellStyle name="Output 8 2 3 4" xfId="18310"/>
    <cellStyle name="Output 8 2 3 4 2" xfId="39497"/>
    <cellStyle name="Output 8 2 3 5" xfId="28680"/>
    <cellStyle name="Output 8 2 3_Table 2A-1_EFT (Annual)" xfId="8383"/>
    <cellStyle name="Output 8 2 4" xfId="1736"/>
    <cellStyle name="Output 8 2 4 2" xfId="5297"/>
    <cellStyle name="Output 8 2 4 2 2" xfId="13522"/>
    <cellStyle name="Output 8 2 4 2 2 2" xfId="25513"/>
    <cellStyle name="Output 8 2 4 2 2 2 2" xfId="46699"/>
    <cellStyle name="Output 8 2 4 2 2 3" xfId="36095"/>
    <cellStyle name="Output 8 2 4 2 3" xfId="20400"/>
    <cellStyle name="Output 8 2 4 2 3 2" xfId="41587"/>
    <cellStyle name="Output 8 2 4 2 4" xfId="30954"/>
    <cellStyle name="Output 8 2 4 2_Table 2A-1_EFT (Annual)" xfId="8386"/>
    <cellStyle name="Output 8 2 4 3" xfId="10865"/>
    <cellStyle name="Output 8 2 4 3 2" xfId="22967"/>
    <cellStyle name="Output 8 2 4 3 2 2" xfId="44153"/>
    <cellStyle name="Output 8 2 4 3 3" xfId="33549"/>
    <cellStyle name="Output 8 2 4 4" xfId="17854"/>
    <cellStyle name="Output 8 2 4 4 2" xfId="39041"/>
    <cellStyle name="Output 8 2 4 5" xfId="28211"/>
    <cellStyle name="Output 8 2 4_Table 2A-1_EFT (Annual)" xfId="8385"/>
    <cellStyle name="Output 8 2 5" xfId="4059"/>
    <cellStyle name="Output 8 2 5 2" xfId="12383"/>
    <cellStyle name="Output 8 2 5 2 2" xfId="24405"/>
    <cellStyle name="Output 8 2 5 2 2 2" xfId="45591"/>
    <cellStyle name="Output 8 2 5 2 3" xfId="34987"/>
    <cellStyle name="Output 8 2 5 3" xfId="19292"/>
    <cellStyle name="Output 8 2 5 3 2" xfId="40479"/>
    <cellStyle name="Output 8 2 5 4" xfId="29747"/>
    <cellStyle name="Output 8 2 5_Table 2A-1_EFT (Annual)" xfId="8387"/>
    <cellStyle name="Output 8 2 6" xfId="9722"/>
    <cellStyle name="Output 8 2 6 2" xfId="21859"/>
    <cellStyle name="Output 8 2 6 2 2" xfId="43045"/>
    <cellStyle name="Output 8 2 6 3" xfId="32441"/>
    <cellStyle name="Output 8 2 7" xfId="16746"/>
    <cellStyle name="Output 8 2 7 2" xfId="37933"/>
    <cellStyle name="Output 8 2 8" xfId="27004"/>
    <cellStyle name="Output 8 2_Table 2A-1_EFT (Annual)" xfId="3500"/>
    <cellStyle name="Output 8 3" xfId="322"/>
    <cellStyle name="Output 8 3 2" xfId="1310"/>
    <cellStyle name="Output 8 3 2 2" xfId="2580"/>
    <cellStyle name="Output 8 3 2 2 2" xfId="6141"/>
    <cellStyle name="Output 8 3 2 2 2 2" xfId="14335"/>
    <cellStyle name="Output 8 3 2 2 2 2 2" xfId="26307"/>
    <cellStyle name="Output 8 3 2 2 2 2 2 2" xfId="47493"/>
    <cellStyle name="Output 8 3 2 2 2 2 3" xfId="36889"/>
    <cellStyle name="Output 8 3 2 2 2 3" xfId="21194"/>
    <cellStyle name="Output 8 3 2 2 2 3 2" xfId="42381"/>
    <cellStyle name="Output 8 3 2 2 2 4" xfId="31797"/>
    <cellStyle name="Output 8 3 2 2 2_Table 2A-1_EFT (Annual)" xfId="8389"/>
    <cellStyle name="Output 8 3 2 2 3" xfId="11677"/>
    <cellStyle name="Output 8 3 2 2 3 2" xfId="23761"/>
    <cellStyle name="Output 8 3 2 2 3 2 2" xfId="44947"/>
    <cellStyle name="Output 8 3 2 2 3 3" xfId="34343"/>
    <cellStyle name="Output 8 3 2 2 4" xfId="18648"/>
    <cellStyle name="Output 8 3 2 2 4 2" xfId="39835"/>
    <cellStyle name="Output 8 3 2 2 5" xfId="29054"/>
    <cellStyle name="Output 8 3 2 2_Table 2A-1_EFT (Annual)" xfId="8388"/>
    <cellStyle name="Output 8 3 2 3" xfId="1879"/>
    <cellStyle name="Output 8 3 2 3 2" xfId="5440"/>
    <cellStyle name="Output 8 3 2 3 2 2" xfId="13655"/>
    <cellStyle name="Output 8 3 2 3 2 2 2" xfId="25643"/>
    <cellStyle name="Output 8 3 2 3 2 2 2 2" xfId="46829"/>
    <cellStyle name="Output 8 3 2 3 2 2 3" xfId="36225"/>
    <cellStyle name="Output 8 3 2 3 2 3" xfId="20530"/>
    <cellStyle name="Output 8 3 2 3 2 3 2" xfId="41717"/>
    <cellStyle name="Output 8 3 2 3 2 4" xfId="31097"/>
    <cellStyle name="Output 8 3 2 3 2_Table 2A-1_EFT (Annual)" xfId="8391"/>
    <cellStyle name="Output 8 3 2 3 3" xfId="10999"/>
    <cellStyle name="Output 8 3 2 3 3 2" xfId="23097"/>
    <cellStyle name="Output 8 3 2 3 3 2 2" xfId="44283"/>
    <cellStyle name="Output 8 3 2 3 3 3" xfId="33679"/>
    <cellStyle name="Output 8 3 2 3 4" xfId="17984"/>
    <cellStyle name="Output 8 3 2 3 4 2" xfId="39171"/>
    <cellStyle name="Output 8 3 2 3 5" xfId="28354"/>
    <cellStyle name="Output 8 3 2 3_Table 2A-1_EFT (Annual)" xfId="8390"/>
    <cellStyle name="Output 8 3 2 4" xfId="4871"/>
    <cellStyle name="Output 8 3 2 4 2" xfId="13131"/>
    <cellStyle name="Output 8 3 2 4 2 2" xfId="25137"/>
    <cellStyle name="Output 8 3 2 4 2 2 2" xfId="46323"/>
    <cellStyle name="Output 8 3 2 4 2 3" xfId="35719"/>
    <cellStyle name="Output 8 3 2 4 3" xfId="20024"/>
    <cellStyle name="Output 8 3 2 4 3 2" xfId="41211"/>
    <cellStyle name="Output 8 3 2 4 4" xfId="30528"/>
    <cellStyle name="Output 8 3 2 4_Table 2A-1_EFT (Annual)" xfId="8392"/>
    <cellStyle name="Output 8 3 2 5" xfId="10475"/>
    <cellStyle name="Output 8 3 2 5 2" xfId="22591"/>
    <cellStyle name="Output 8 3 2 5 2 2" xfId="43777"/>
    <cellStyle name="Output 8 3 2 5 3" xfId="33173"/>
    <cellStyle name="Output 8 3 2 6" xfId="17478"/>
    <cellStyle name="Output 8 3 2 6 2" xfId="38665"/>
    <cellStyle name="Output 8 3 2 7" xfId="27785"/>
    <cellStyle name="Output 8 3 2_Table 2A-1_EFT (Annual)" xfId="3503"/>
    <cellStyle name="Output 8 3 3" xfId="2049"/>
    <cellStyle name="Output 8 3 3 2" xfId="5610"/>
    <cellStyle name="Output 8 3 3 2 2" xfId="13825"/>
    <cellStyle name="Output 8 3 3 2 2 2" xfId="25813"/>
    <cellStyle name="Output 8 3 3 2 2 2 2" xfId="46999"/>
    <cellStyle name="Output 8 3 3 2 2 3" xfId="36395"/>
    <cellStyle name="Output 8 3 3 2 3" xfId="20700"/>
    <cellStyle name="Output 8 3 3 2 3 2" xfId="41887"/>
    <cellStyle name="Output 8 3 3 2 4" xfId="31267"/>
    <cellStyle name="Output 8 3 3 2_Table 2A-1_EFT (Annual)" xfId="8394"/>
    <cellStyle name="Output 8 3 3 3" xfId="11169"/>
    <cellStyle name="Output 8 3 3 3 2" xfId="23267"/>
    <cellStyle name="Output 8 3 3 3 2 2" xfId="44453"/>
    <cellStyle name="Output 8 3 3 3 3" xfId="33849"/>
    <cellStyle name="Output 8 3 3 4" xfId="18154"/>
    <cellStyle name="Output 8 3 3 4 2" xfId="39341"/>
    <cellStyle name="Output 8 3 3 5" xfId="28524"/>
    <cellStyle name="Output 8 3 3_Table 2A-1_EFT (Annual)" xfId="8393"/>
    <cellStyle name="Output 8 3 4" xfId="1695"/>
    <cellStyle name="Output 8 3 4 2" xfId="5256"/>
    <cellStyle name="Output 8 3 4 2 2" xfId="13489"/>
    <cellStyle name="Output 8 3 4 2 2 2" xfId="25483"/>
    <cellStyle name="Output 8 3 4 2 2 2 2" xfId="46669"/>
    <cellStyle name="Output 8 3 4 2 2 3" xfId="36065"/>
    <cellStyle name="Output 8 3 4 2 3" xfId="20370"/>
    <cellStyle name="Output 8 3 4 2 3 2" xfId="41557"/>
    <cellStyle name="Output 8 3 4 2 4" xfId="30913"/>
    <cellStyle name="Output 8 3 4 2_Table 2A-1_EFT (Annual)" xfId="8396"/>
    <cellStyle name="Output 8 3 4 3" xfId="10833"/>
    <cellStyle name="Output 8 3 4 3 2" xfId="22937"/>
    <cellStyle name="Output 8 3 4 3 2 2" xfId="44123"/>
    <cellStyle name="Output 8 3 4 3 3" xfId="33519"/>
    <cellStyle name="Output 8 3 4 4" xfId="17824"/>
    <cellStyle name="Output 8 3 4 4 2" xfId="39011"/>
    <cellStyle name="Output 8 3 4 5" xfId="28170"/>
    <cellStyle name="Output 8 3 4_Table 2A-1_EFT (Annual)" xfId="8395"/>
    <cellStyle name="Output 8 3 5" xfId="3892"/>
    <cellStyle name="Output 8 3 5 2" xfId="12224"/>
    <cellStyle name="Output 8 3 5 2 2" xfId="24249"/>
    <cellStyle name="Output 8 3 5 2 2 2" xfId="45435"/>
    <cellStyle name="Output 8 3 5 2 3" xfId="34831"/>
    <cellStyle name="Output 8 3 5 3" xfId="19136"/>
    <cellStyle name="Output 8 3 5 3 2" xfId="40323"/>
    <cellStyle name="Output 8 3 5 4" xfId="29580"/>
    <cellStyle name="Output 8 3 5_Table 2A-1_EFT (Annual)" xfId="8397"/>
    <cellStyle name="Output 8 3 6" xfId="9561"/>
    <cellStyle name="Output 8 3 6 2" xfId="21703"/>
    <cellStyle name="Output 8 3 6 2 2" xfId="42889"/>
    <cellStyle name="Output 8 3 6 3" xfId="32285"/>
    <cellStyle name="Output 8 3 7" xfId="16590"/>
    <cellStyle name="Output 8 3 7 2" xfId="37777"/>
    <cellStyle name="Output 8 3 8" xfId="26837"/>
    <cellStyle name="Output 8 3_Table 2A-1_EFT (Annual)" xfId="3502"/>
    <cellStyle name="Output 8 4" xfId="1144"/>
    <cellStyle name="Output 8 4 2" xfId="2414"/>
    <cellStyle name="Output 8 4 2 2" xfId="5975"/>
    <cellStyle name="Output 8 4 2 2 2" xfId="14169"/>
    <cellStyle name="Output 8 4 2 2 2 2" xfId="26141"/>
    <cellStyle name="Output 8 4 2 2 2 2 2" xfId="47327"/>
    <cellStyle name="Output 8 4 2 2 2 3" xfId="36723"/>
    <cellStyle name="Output 8 4 2 2 3" xfId="21028"/>
    <cellStyle name="Output 8 4 2 2 3 2" xfId="42215"/>
    <cellStyle name="Output 8 4 2 2 4" xfId="31631"/>
    <cellStyle name="Output 8 4 2 2_Table 2A-1_EFT (Annual)" xfId="8399"/>
    <cellStyle name="Output 8 4 2 3" xfId="11511"/>
    <cellStyle name="Output 8 4 2 3 2" xfId="23595"/>
    <cellStyle name="Output 8 4 2 3 2 2" xfId="44781"/>
    <cellStyle name="Output 8 4 2 3 3" xfId="34177"/>
    <cellStyle name="Output 8 4 2 4" xfId="18482"/>
    <cellStyle name="Output 8 4 2 4 2" xfId="39669"/>
    <cellStyle name="Output 8 4 2 5" xfId="28888"/>
    <cellStyle name="Output 8 4 2_Table 2A-1_EFT (Annual)" xfId="8398"/>
    <cellStyle name="Output 8 4 3" xfId="1814"/>
    <cellStyle name="Output 8 4 3 2" xfId="5375"/>
    <cellStyle name="Output 8 4 3 2 2" xfId="13590"/>
    <cellStyle name="Output 8 4 3 2 2 2" xfId="25578"/>
    <cellStyle name="Output 8 4 3 2 2 2 2" xfId="46764"/>
    <cellStyle name="Output 8 4 3 2 2 3" xfId="36160"/>
    <cellStyle name="Output 8 4 3 2 3" xfId="20465"/>
    <cellStyle name="Output 8 4 3 2 3 2" xfId="41652"/>
    <cellStyle name="Output 8 4 3 2 4" xfId="31032"/>
    <cellStyle name="Output 8 4 3 2_Table 2A-1_EFT (Annual)" xfId="8401"/>
    <cellStyle name="Output 8 4 3 3" xfId="10934"/>
    <cellStyle name="Output 8 4 3 3 2" xfId="23032"/>
    <cellStyle name="Output 8 4 3 3 2 2" xfId="44218"/>
    <cellStyle name="Output 8 4 3 3 3" xfId="33614"/>
    <cellStyle name="Output 8 4 3 4" xfId="17919"/>
    <cellStyle name="Output 8 4 3 4 2" xfId="39106"/>
    <cellStyle name="Output 8 4 3 5" xfId="28289"/>
    <cellStyle name="Output 8 4 3_Table 2A-1_EFT (Annual)" xfId="8400"/>
    <cellStyle name="Output 8 4 4" xfId="4705"/>
    <cellStyle name="Output 8 4 4 2" xfId="12965"/>
    <cellStyle name="Output 8 4 4 2 2" xfId="24971"/>
    <cellStyle name="Output 8 4 4 2 2 2" xfId="46157"/>
    <cellStyle name="Output 8 4 4 2 3" xfId="35553"/>
    <cellStyle name="Output 8 4 4 3" xfId="19858"/>
    <cellStyle name="Output 8 4 4 3 2" xfId="41045"/>
    <cellStyle name="Output 8 4 4 4" xfId="30362"/>
    <cellStyle name="Output 8 4 4_Table 2A-1_EFT (Annual)" xfId="8402"/>
    <cellStyle name="Output 8 4 5" xfId="10309"/>
    <cellStyle name="Output 8 4 5 2" xfId="22425"/>
    <cellStyle name="Output 8 4 5 2 2" xfId="43611"/>
    <cellStyle name="Output 8 4 5 3" xfId="33007"/>
    <cellStyle name="Output 8 4 6" xfId="17312"/>
    <cellStyle name="Output 8 4 6 2" xfId="38499"/>
    <cellStyle name="Output 8 4 7" xfId="27619"/>
    <cellStyle name="Output 8 4_Table 2A-1_EFT (Annual)" xfId="3504"/>
    <cellStyle name="Output 8 5" xfId="1807"/>
    <cellStyle name="Output 8 5 2" xfId="5368"/>
    <cellStyle name="Output 8 5 2 2" xfId="13583"/>
    <cellStyle name="Output 8 5 2 2 2" xfId="25571"/>
    <cellStyle name="Output 8 5 2 2 2 2" xfId="46757"/>
    <cellStyle name="Output 8 5 2 2 3" xfId="36153"/>
    <cellStyle name="Output 8 5 2 3" xfId="20458"/>
    <cellStyle name="Output 8 5 2 3 2" xfId="41645"/>
    <cellStyle name="Output 8 5 2 4" xfId="31025"/>
    <cellStyle name="Output 8 5 2_Table 2A-1_EFT (Annual)" xfId="8404"/>
    <cellStyle name="Output 8 5 3" xfId="10927"/>
    <cellStyle name="Output 8 5 3 2" xfId="23025"/>
    <cellStyle name="Output 8 5 3 2 2" xfId="44211"/>
    <cellStyle name="Output 8 5 3 3" xfId="33607"/>
    <cellStyle name="Output 8 5 4" xfId="17912"/>
    <cellStyle name="Output 8 5 4 2" xfId="39099"/>
    <cellStyle name="Output 8 5 5" xfId="28282"/>
    <cellStyle name="Output 8 5_Table 2A-1_EFT (Annual)" xfId="8403"/>
    <cellStyle name="Output 8 6" xfId="1638"/>
    <cellStyle name="Output 8 6 2" xfId="5199"/>
    <cellStyle name="Output 8 6 2 2" xfId="13451"/>
    <cellStyle name="Output 8 6 2 2 2" xfId="25451"/>
    <cellStyle name="Output 8 6 2 2 2 2" xfId="46637"/>
    <cellStyle name="Output 8 6 2 2 3" xfId="36033"/>
    <cellStyle name="Output 8 6 2 3" xfId="20338"/>
    <cellStyle name="Output 8 6 2 3 2" xfId="41525"/>
    <cellStyle name="Output 8 6 2 4" xfId="30856"/>
    <cellStyle name="Output 8 6 2_Table 2A-1_EFT (Annual)" xfId="8406"/>
    <cellStyle name="Output 8 6 3" xfId="10795"/>
    <cellStyle name="Output 8 6 3 2" xfId="22905"/>
    <cellStyle name="Output 8 6 3 2 2" xfId="44091"/>
    <cellStyle name="Output 8 6 3 3" xfId="33487"/>
    <cellStyle name="Output 8 6 4" xfId="17792"/>
    <cellStyle name="Output 8 6 4 2" xfId="38979"/>
    <cellStyle name="Output 8 6 5" xfId="28113"/>
    <cellStyle name="Output 8 6_Table 2A-1_EFT (Annual)" xfId="8405"/>
    <cellStyle name="Output 8 7" xfId="3679"/>
    <cellStyle name="Output 8 7 2" xfId="12052"/>
    <cellStyle name="Output 8 7 2 2" xfId="24083"/>
    <cellStyle name="Output 8 7 2 2 2" xfId="45269"/>
    <cellStyle name="Output 8 7 2 3" xfId="34665"/>
    <cellStyle name="Output 8 7 3" xfId="18970"/>
    <cellStyle name="Output 8 7 3 2" xfId="40157"/>
    <cellStyle name="Output 8 7 4" xfId="29389"/>
    <cellStyle name="Output 8 7_Table 2A-1_EFT (Annual)" xfId="8407"/>
    <cellStyle name="Output 8 8" xfId="9369"/>
    <cellStyle name="Output 8 8 2" xfId="21537"/>
    <cellStyle name="Output 8 8 2 2" xfId="42723"/>
    <cellStyle name="Output 8 8 3" xfId="32119"/>
    <cellStyle name="Output 8 9" xfId="16424"/>
    <cellStyle name="Output 8 9 2" xfId="37611"/>
    <cellStyle name="Output 8_Table 2A-1_EFT (Annual)" xfId="3499"/>
    <cellStyle name="Output 9" xfId="123"/>
    <cellStyle name="Output 9 10" xfId="26678"/>
    <cellStyle name="Output 9 2" xfId="516"/>
    <cellStyle name="Output 9 2 2" xfId="1493"/>
    <cellStyle name="Output 9 2 2 2" xfId="2763"/>
    <cellStyle name="Output 9 2 2 2 2" xfId="6324"/>
    <cellStyle name="Output 9 2 2 2 2 2" xfId="14518"/>
    <cellStyle name="Output 9 2 2 2 2 2 2" xfId="26490"/>
    <cellStyle name="Output 9 2 2 2 2 2 2 2" xfId="47676"/>
    <cellStyle name="Output 9 2 2 2 2 2 3" xfId="37072"/>
    <cellStyle name="Output 9 2 2 2 2 3" xfId="21377"/>
    <cellStyle name="Output 9 2 2 2 2 3 2" xfId="42564"/>
    <cellStyle name="Output 9 2 2 2 2 4" xfId="31980"/>
    <cellStyle name="Output 9 2 2 2 2_Table 2A-1_EFT (Annual)" xfId="8409"/>
    <cellStyle name="Output 9 2 2 2 3" xfId="11860"/>
    <cellStyle name="Output 9 2 2 2 3 2" xfId="23944"/>
    <cellStyle name="Output 9 2 2 2 3 2 2" xfId="45130"/>
    <cellStyle name="Output 9 2 2 2 3 3" xfId="34526"/>
    <cellStyle name="Output 9 2 2 2 4" xfId="18831"/>
    <cellStyle name="Output 9 2 2 2 4 2" xfId="40018"/>
    <cellStyle name="Output 9 2 2 2 5" xfId="29237"/>
    <cellStyle name="Output 9 2 2 2_Table 2A-1_EFT (Annual)" xfId="8408"/>
    <cellStyle name="Output 9 2 2 3" xfId="1918"/>
    <cellStyle name="Output 9 2 2 3 2" xfId="5479"/>
    <cellStyle name="Output 9 2 2 3 2 2" xfId="13694"/>
    <cellStyle name="Output 9 2 2 3 2 2 2" xfId="25682"/>
    <cellStyle name="Output 9 2 2 3 2 2 2 2" xfId="46868"/>
    <cellStyle name="Output 9 2 2 3 2 2 3" xfId="36264"/>
    <cellStyle name="Output 9 2 2 3 2 3" xfId="20569"/>
    <cellStyle name="Output 9 2 2 3 2 3 2" xfId="41756"/>
    <cellStyle name="Output 9 2 2 3 2 4" xfId="31136"/>
    <cellStyle name="Output 9 2 2 3 2_Table 2A-1_EFT (Annual)" xfId="8411"/>
    <cellStyle name="Output 9 2 2 3 3" xfId="11038"/>
    <cellStyle name="Output 9 2 2 3 3 2" xfId="23136"/>
    <cellStyle name="Output 9 2 2 3 3 2 2" xfId="44322"/>
    <cellStyle name="Output 9 2 2 3 3 3" xfId="33718"/>
    <cellStyle name="Output 9 2 2 3 4" xfId="18023"/>
    <cellStyle name="Output 9 2 2 3 4 2" xfId="39210"/>
    <cellStyle name="Output 9 2 2 3 5" xfId="28393"/>
    <cellStyle name="Output 9 2 2 3_Table 2A-1_EFT (Annual)" xfId="8410"/>
    <cellStyle name="Output 9 2 2 4" xfId="5054"/>
    <cellStyle name="Output 9 2 2 4 2" xfId="13314"/>
    <cellStyle name="Output 9 2 2 4 2 2" xfId="25320"/>
    <cellStyle name="Output 9 2 2 4 2 2 2" xfId="46506"/>
    <cellStyle name="Output 9 2 2 4 2 3" xfId="35902"/>
    <cellStyle name="Output 9 2 2 4 3" xfId="20207"/>
    <cellStyle name="Output 9 2 2 4 3 2" xfId="41394"/>
    <cellStyle name="Output 9 2 2 4 4" xfId="30711"/>
    <cellStyle name="Output 9 2 2 4_Table 2A-1_EFT (Annual)" xfId="8412"/>
    <cellStyle name="Output 9 2 2 5" xfId="10658"/>
    <cellStyle name="Output 9 2 2 5 2" xfId="22774"/>
    <cellStyle name="Output 9 2 2 5 2 2" xfId="43960"/>
    <cellStyle name="Output 9 2 2 5 3" xfId="33356"/>
    <cellStyle name="Output 9 2 2 6" xfId="17661"/>
    <cellStyle name="Output 9 2 2 6 2" xfId="38848"/>
    <cellStyle name="Output 9 2 2 7" xfId="27968"/>
    <cellStyle name="Output 9 2 2_Table 2A-1_EFT (Annual)" xfId="3507"/>
    <cellStyle name="Output 9 2 3" xfId="2232"/>
    <cellStyle name="Output 9 2 3 2" xfId="5793"/>
    <cellStyle name="Output 9 2 3 2 2" xfId="14008"/>
    <cellStyle name="Output 9 2 3 2 2 2" xfId="25996"/>
    <cellStyle name="Output 9 2 3 2 2 2 2" xfId="47182"/>
    <cellStyle name="Output 9 2 3 2 2 3" xfId="36578"/>
    <cellStyle name="Output 9 2 3 2 3" xfId="20883"/>
    <cellStyle name="Output 9 2 3 2 3 2" xfId="42070"/>
    <cellStyle name="Output 9 2 3 2 4" xfId="31450"/>
    <cellStyle name="Output 9 2 3 2_Table 2A-1_EFT (Annual)" xfId="8414"/>
    <cellStyle name="Output 9 2 3 3" xfId="11352"/>
    <cellStyle name="Output 9 2 3 3 2" xfId="23450"/>
    <cellStyle name="Output 9 2 3 3 2 2" xfId="44636"/>
    <cellStyle name="Output 9 2 3 3 3" xfId="34032"/>
    <cellStyle name="Output 9 2 3 4" xfId="18337"/>
    <cellStyle name="Output 9 2 3 4 2" xfId="39524"/>
    <cellStyle name="Output 9 2 3 5" xfId="28707"/>
    <cellStyle name="Output 9 2 3_Table 2A-1_EFT (Annual)" xfId="8413"/>
    <cellStyle name="Output 9 2 4" xfId="1743"/>
    <cellStyle name="Output 9 2 4 2" xfId="5304"/>
    <cellStyle name="Output 9 2 4 2 2" xfId="13529"/>
    <cellStyle name="Output 9 2 4 2 2 2" xfId="25520"/>
    <cellStyle name="Output 9 2 4 2 2 2 2" xfId="46706"/>
    <cellStyle name="Output 9 2 4 2 2 3" xfId="36102"/>
    <cellStyle name="Output 9 2 4 2 3" xfId="20407"/>
    <cellStyle name="Output 9 2 4 2 3 2" xfId="41594"/>
    <cellStyle name="Output 9 2 4 2 4" xfId="30961"/>
    <cellStyle name="Output 9 2 4 2_Table 2A-1_EFT (Annual)" xfId="8416"/>
    <cellStyle name="Output 9 2 4 3" xfId="10872"/>
    <cellStyle name="Output 9 2 4 3 2" xfId="22974"/>
    <cellStyle name="Output 9 2 4 3 2 2" xfId="44160"/>
    <cellStyle name="Output 9 2 4 3 3" xfId="33556"/>
    <cellStyle name="Output 9 2 4 4" xfId="17861"/>
    <cellStyle name="Output 9 2 4 4 2" xfId="39048"/>
    <cellStyle name="Output 9 2 4 5" xfId="28218"/>
    <cellStyle name="Output 9 2 4_Table 2A-1_EFT (Annual)" xfId="8415"/>
    <cellStyle name="Output 9 2 5" xfId="4086"/>
    <cellStyle name="Output 9 2 5 2" xfId="12410"/>
    <cellStyle name="Output 9 2 5 2 2" xfId="24432"/>
    <cellStyle name="Output 9 2 5 2 2 2" xfId="45618"/>
    <cellStyle name="Output 9 2 5 2 3" xfId="35014"/>
    <cellStyle name="Output 9 2 5 3" xfId="19319"/>
    <cellStyle name="Output 9 2 5 3 2" xfId="40506"/>
    <cellStyle name="Output 9 2 5 4" xfId="29774"/>
    <cellStyle name="Output 9 2 5_Table 2A-1_EFT (Annual)" xfId="8417"/>
    <cellStyle name="Output 9 2 6" xfId="9749"/>
    <cellStyle name="Output 9 2 6 2" xfId="21886"/>
    <cellStyle name="Output 9 2 6 2 2" xfId="43072"/>
    <cellStyle name="Output 9 2 6 3" xfId="32468"/>
    <cellStyle name="Output 9 2 7" xfId="16773"/>
    <cellStyle name="Output 9 2 7 2" xfId="37960"/>
    <cellStyle name="Output 9 2 8" xfId="27031"/>
    <cellStyle name="Output 9 2_Table 2A-1_EFT (Annual)" xfId="3506"/>
    <cellStyle name="Output 9 3" xfId="354"/>
    <cellStyle name="Output 9 3 2" xfId="1337"/>
    <cellStyle name="Output 9 3 2 2" xfId="2607"/>
    <cellStyle name="Output 9 3 2 2 2" xfId="6168"/>
    <cellStyle name="Output 9 3 2 2 2 2" xfId="14362"/>
    <cellStyle name="Output 9 3 2 2 2 2 2" xfId="26334"/>
    <cellStyle name="Output 9 3 2 2 2 2 2 2" xfId="47520"/>
    <cellStyle name="Output 9 3 2 2 2 2 3" xfId="36916"/>
    <cellStyle name="Output 9 3 2 2 2 3" xfId="21221"/>
    <cellStyle name="Output 9 3 2 2 2 3 2" xfId="42408"/>
    <cellStyle name="Output 9 3 2 2 2 4" xfId="31824"/>
    <cellStyle name="Output 9 3 2 2 2_Table 2A-1_EFT (Annual)" xfId="8419"/>
    <cellStyle name="Output 9 3 2 2 3" xfId="11704"/>
    <cellStyle name="Output 9 3 2 2 3 2" xfId="23788"/>
    <cellStyle name="Output 9 3 2 2 3 2 2" xfId="44974"/>
    <cellStyle name="Output 9 3 2 2 3 3" xfId="34370"/>
    <cellStyle name="Output 9 3 2 2 4" xfId="18675"/>
    <cellStyle name="Output 9 3 2 2 4 2" xfId="39862"/>
    <cellStyle name="Output 9 3 2 2 5" xfId="29081"/>
    <cellStyle name="Output 9 3 2 2_Table 2A-1_EFT (Annual)" xfId="8418"/>
    <cellStyle name="Output 9 3 2 3" xfId="1887"/>
    <cellStyle name="Output 9 3 2 3 2" xfId="5448"/>
    <cellStyle name="Output 9 3 2 3 2 2" xfId="13663"/>
    <cellStyle name="Output 9 3 2 3 2 2 2" xfId="25651"/>
    <cellStyle name="Output 9 3 2 3 2 2 2 2" xfId="46837"/>
    <cellStyle name="Output 9 3 2 3 2 2 3" xfId="36233"/>
    <cellStyle name="Output 9 3 2 3 2 3" xfId="20538"/>
    <cellStyle name="Output 9 3 2 3 2 3 2" xfId="41725"/>
    <cellStyle name="Output 9 3 2 3 2 4" xfId="31105"/>
    <cellStyle name="Output 9 3 2 3 2_Table 2A-1_EFT (Annual)" xfId="8421"/>
    <cellStyle name="Output 9 3 2 3 3" xfId="11007"/>
    <cellStyle name="Output 9 3 2 3 3 2" xfId="23105"/>
    <cellStyle name="Output 9 3 2 3 3 2 2" xfId="44291"/>
    <cellStyle name="Output 9 3 2 3 3 3" xfId="33687"/>
    <cellStyle name="Output 9 3 2 3 4" xfId="17992"/>
    <cellStyle name="Output 9 3 2 3 4 2" xfId="39179"/>
    <cellStyle name="Output 9 3 2 3 5" xfId="28362"/>
    <cellStyle name="Output 9 3 2 3_Table 2A-1_EFT (Annual)" xfId="8420"/>
    <cellStyle name="Output 9 3 2 4" xfId="4898"/>
    <cellStyle name="Output 9 3 2 4 2" xfId="13158"/>
    <cellStyle name="Output 9 3 2 4 2 2" xfId="25164"/>
    <cellStyle name="Output 9 3 2 4 2 2 2" xfId="46350"/>
    <cellStyle name="Output 9 3 2 4 2 3" xfId="35746"/>
    <cellStyle name="Output 9 3 2 4 3" xfId="20051"/>
    <cellStyle name="Output 9 3 2 4 3 2" xfId="41238"/>
    <cellStyle name="Output 9 3 2 4 4" xfId="30555"/>
    <cellStyle name="Output 9 3 2 4_Table 2A-1_EFT (Annual)" xfId="8422"/>
    <cellStyle name="Output 9 3 2 5" xfId="10502"/>
    <cellStyle name="Output 9 3 2 5 2" xfId="22618"/>
    <cellStyle name="Output 9 3 2 5 2 2" xfId="43804"/>
    <cellStyle name="Output 9 3 2 5 3" xfId="33200"/>
    <cellStyle name="Output 9 3 2 6" xfId="17505"/>
    <cellStyle name="Output 9 3 2 6 2" xfId="38692"/>
    <cellStyle name="Output 9 3 2 7" xfId="27812"/>
    <cellStyle name="Output 9 3 2_Table 2A-1_EFT (Annual)" xfId="3509"/>
    <cellStyle name="Output 9 3 3" xfId="2076"/>
    <cellStyle name="Output 9 3 3 2" xfId="5637"/>
    <cellStyle name="Output 9 3 3 2 2" xfId="13852"/>
    <cellStyle name="Output 9 3 3 2 2 2" xfId="25840"/>
    <cellStyle name="Output 9 3 3 2 2 2 2" xfId="47026"/>
    <cellStyle name="Output 9 3 3 2 2 3" xfId="36422"/>
    <cellStyle name="Output 9 3 3 2 3" xfId="20727"/>
    <cellStyle name="Output 9 3 3 2 3 2" xfId="41914"/>
    <cellStyle name="Output 9 3 3 2 4" xfId="31294"/>
    <cellStyle name="Output 9 3 3 2_Table 2A-1_EFT (Annual)" xfId="8424"/>
    <cellStyle name="Output 9 3 3 3" xfId="11196"/>
    <cellStyle name="Output 9 3 3 3 2" xfId="23294"/>
    <cellStyle name="Output 9 3 3 3 2 2" xfId="44480"/>
    <cellStyle name="Output 9 3 3 3 3" xfId="33876"/>
    <cellStyle name="Output 9 3 3 4" xfId="18181"/>
    <cellStyle name="Output 9 3 3 4 2" xfId="39368"/>
    <cellStyle name="Output 9 3 3 5" xfId="28551"/>
    <cellStyle name="Output 9 3 3_Table 2A-1_EFT (Annual)" xfId="8423"/>
    <cellStyle name="Output 9 3 4" xfId="1707"/>
    <cellStyle name="Output 9 3 4 2" xfId="5268"/>
    <cellStyle name="Output 9 3 4 2 2" xfId="13497"/>
    <cellStyle name="Output 9 3 4 2 2 2" xfId="25490"/>
    <cellStyle name="Output 9 3 4 2 2 2 2" xfId="46676"/>
    <cellStyle name="Output 9 3 4 2 2 3" xfId="36072"/>
    <cellStyle name="Output 9 3 4 2 3" xfId="20377"/>
    <cellStyle name="Output 9 3 4 2 3 2" xfId="41564"/>
    <cellStyle name="Output 9 3 4 2 4" xfId="30925"/>
    <cellStyle name="Output 9 3 4 2_Table 2A-1_EFT (Annual)" xfId="8426"/>
    <cellStyle name="Output 9 3 4 3" xfId="10841"/>
    <cellStyle name="Output 9 3 4 3 2" xfId="22944"/>
    <cellStyle name="Output 9 3 4 3 2 2" xfId="44130"/>
    <cellStyle name="Output 9 3 4 3 3" xfId="33526"/>
    <cellStyle name="Output 9 3 4 4" xfId="17831"/>
    <cellStyle name="Output 9 3 4 4 2" xfId="39018"/>
    <cellStyle name="Output 9 3 4 5" xfId="28182"/>
    <cellStyle name="Output 9 3 4_Table 2A-1_EFT (Annual)" xfId="8425"/>
    <cellStyle name="Output 9 3 5" xfId="3924"/>
    <cellStyle name="Output 9 3 5 2" xfId="12252"/>
    <cellStyle name="Output 9 3 5 2 2" xfId="24276"/>
    <cellStyle name="Output 9 3 5 2 2 2" xfId="45462"/>
    <cellStyle name="Output 9 3 5 2 3" xfId="34858"/>
    <cellStyle name="Output 9 3 5 3" xfId="19163"/>
    <cellStyle name="Output 9 3 5 3 2" xfId="40350"/>
    <cellStyle name="Output 9 3 5 4" xfId="29612"/>
    <cellStyle name="Output 9 3 5_Table 2A-1_EFT (Annual)" xfId="8427"/>
    <cellStyle name="Output 9 3 6" xfId="9589"/>
    <cellStyle name="Output 9 3 6 2" xfId="21730"/>
    <cellStyle name="Output 9 3 6 2 2" xfId="42916"/>
    <cellStyle name="Output 9 3 6 3" xfId="32312"/>
    <cellStyle name="Output 9 3 7" xfId="16617"/>
    <cellStyle name="Output 9 3 7 2" xfId="37804"/>
    <cellStyle name="Output 9 3 8" xfId="26869"/>
    <cellStyle name="Output 9 3_Table 2A-1_EFT (Annual)" xfId="3508"/>
    <cellStyle name="Output 9 4" xfId="1171"/>
    <cellStyle name="Output 9 4 2" xfId="2441"/>
    <cellStyle name="Output 9 4 2 2" xfId="6002"/>
    <cellStyle name="Output 9 4 2 2 2" xfId="14196"/>
    <cellStyle name="Output 9 4 2 2 2 2" xfId="26168"/>
    <cellStyle name="Output 9 4 2 2 2 2 2" xfId="47354"/>
    <cellStyle name="Output 9 4 2 2 2 3" xfId="36750"/>
    <cellStyle name="Output 9 4 2 2 3" xfId="21055"/>
    <cellStyle name="Output 9 4 2 2 3 2" xfId="42242"/>
    <cellStyle name="Output 9 4 2 2 4" xfId="31658"/>
    <cellStyle name="Output 9 4 2 2_Table 2A-1_EFT (Annual)" xfId="8429"/>
    <cellStyle name="Output 9 4 2 3" xfId="11538"/>
    <cellStyle name="Output 9 4 2 3 2" xfId="23622"/>
    <cellStyle name="Output 9 4 2 3 2 2" xfId="44808"/>
    <cellStyle name="Output 9 4 2 3 3" xfId="34204"/>
    <cellStyle name="Output 9 4 2 4" xfId="18509"/>
    <cellStyle name="Output 9 4 2 4 2" xfId="39696"/>
    <cellStyle name="Output 9 4 2 5" xfId="28915"/>
    <cellStyle name="Output 9 4 2_Table 2A-1_EFT (Annual)" xfId="8428"/>
    <cellStyle name="Output 9 4 3" xfId="1823"/>
    <cellStyle name="Output 9 4 3 2" xfId="5384"/>
    <cellStyle name="Output 9 4 3 2 2" xfId="13599"/>
    <cellStyle name="Output 9 4 3 2 2 2" xfId="25587"/>
    <cellStyle name="Output 9 4 3 2 2 2 2" xfId="46773"/>
    <cellStyle name="Output 9 4 3 2 2 3" xfId="36169"/>
    <cellStyle name="Output 9 4 3 2 3" xfId="20474"/>
    <cellStyle name="Output 9 4 3 2 3 2" xfId="41661"/>
    <cellStyle name="Output 9 4 3 2 4" xfId="31041"/>
    <cellStyle name="Output 9 4 3 2_Table 2A-1_EFT (Annual)" xfId="8431"/>
    <cellStyle name="Output 9 4 3 3" xfId="10943"/>
    <cellStyle name="Output 9 4 3 3 2" xfId="23041"/>
    <cellStyle name="Output 9 4 3 3 2 2" xfId="44227"/>
    <cellStyle name="Output 9 4 3 3 3" xfId="33623"/>
    <cellStyle name="Output 9 4 3 4" xfId="17928"/>
    <cellStyle name="Output 9 4 3 4 2" xfId="39115"/>
    <cellStyle name="Output 9 4 3 5" xfId="28298"/>
    <cellStyle name="Output 9 4 3_Table 2A-1_EFT (Annual)" xfId="8430"/>
    <cellStyle name="Output 9 4 4" xfId="4732"/>
    <cellStyle name="Output 9 4 4 2" xfId="12992"/>
    <cellStyle name="Output 9 4 4 2 2" xfId="24998"/>
    <cellStyle name="Output 9 4 4 2 2 2" xfId="46184"/>
    <cellStyle name="Output 9 4 4 2 3" xfId="35580"/>
    <cellStyle name="Output 9 4 4 3" xfId="19885"/>
    <cellStyle name="Output 9 4 4 3 2" xfId="41072"/>
    <cellStyle name="Output 9 4 4 4" xfId="30389"/>
    <cellStyle name="Output 9 4 4_Table 2A-1_EFT (Annual)" xfId="8432"/>
    <cellStyle name="Output 9 4 5" xfId="10336"/>
    <cellStyle name="Output 9 4 5 2" xfId="22452"/>
    <cellStyle name="Output 9 4 5 2 2" xfId="43638"/>
    <cellStyle name="Output 9 4 5 3" xfId="33034"/>
    <cellStyle name="Output 9 4 6" xfId="17339"/>
    <cellStyle name="Output 9 4 6 2" xfId="38526"/>
    <cellStyle name="Output 9 4 7" xfId="27646"/>
    <cellStyle name="Output 9 4_Table 2A-1_EFT (Annual)" xfId="3510"/>
    <cellStyle name="Output 9 5" xfId="1795"/>
    <cellStyle name="Output 9 5 2" xfId="5356"/>
    <cellStyle name="Output 9 5 2 2" xfId="13571"/>
    <cellStyle name="Output 9 5 2 2 2" xfId="25559"/>
    <cellStyle name="Output 9 5 2 2 2 2" xfId="46745"/>
    <cellStyle name="Output 9 5 2 2 3" xfId="36141"/>
    <cellStyle name="Output 9 5 2 3" xfId="20446"/>
    <cellStyle name="Output 9 5 2 3 2" xfId="41633"/>
    <cellStyle name="Output 9 5 2 4" xfId="31013"/>
    <cellStyle name="Output 9 5 2_Table 2A-1_EFT (Annual)" xfId="8434"/>
    <cellStyle name="Output 9 5 3" xfId="10915"/>
    <cellStyle name="Output 9 5 3 2" xfId="23013"/>
    <cellStyle name="Output 9 5 3 2 2" xfId="44199"/>
    <cellStyle name="Output 9 5 3 3" xfId="33595"/>
    <cellStyle name="Output 9 5 4" xfId="17900"/>
    <cellStyle name="Output 9 5 4 2" xfId="39087"/>
    <cellStyle name="Output 9 5 5" xfId="28270"/>
    <cellStyle name="Output 9 5_Table 2A-1_EFT (Annual)" xfId="8433"/>
    <cellStyle name="Output 9 6" xfId="1650"/>
    <cellStyle name="Output 9 6 2" xfId="5211"/>
    <cellStyle name="Output 9 6 2 2" xfId="13458"/>
    <cellStyle name="Output 9 6 2 2 2" xfId="25458"/>
    <cellStyle name="Output 9 6 2 2 2 2" xfId="46644"/>
    <cellStyle name="Output 9 6 2 2 3" xfId="36040"/>
    <cellStyle name="Output 9 6 2 3" xfId="20345"/>
    <cellStyle name="Output 9 6 2 3 2" xfId="41532"/>
    <cellStyle name="Output 9 6 2 4" xfId="30868"/>
    <cellStyle name="Output 9 6 2_Table 2A-1_EFT (Annual)" xfId="8436"/>
    <cellStyle name="Output 9 6 3" xfId="10803"/>
    <cellStyle name="Output 9 6 3 2" xfId="22912"/>
    <cellStyle name="Output 9 6 3 2 2" xfId="44098"/>
    <cellStyle name="Output 9 6 3 3" xfId="33494"/>
    <cellStyle name="Output 9 6 4" xfId="17799"/>
    <cellStyle name="Output 9 6 4 2" xfId="38986"/>
    <cellStyle name="Output 9 6 5" xfId="28125"/>
    <cellStyle name="Output 9 6_Table 2A-1_EFT (Annual)" xfId="8435"/>
    <cellStyle name="Output 9 7" xfId="3712"/>
    <cellStyle name="Output 9 7 2" xfId="12080"/>
    <cellStyle name="Output 9 7 2 2" xfId="24110"/>
    <cellStyle name="Output 9 7 2 2 2" xfId="45296"/>
    <cellStyle name="Output 9 7 2 3" xfId="34692"/>
    <cellStyle name="Output 9 7 3" xfId="18997"/>
    <cellStyle name="Output 9 7 3 2" xfId="40184"/>
    <cellStyle name="Output 9 7 4" xfId="29421"/>
    <cellStyle name="Output 9 7_Table 2A-1_EFT (Annual)" xfId="8437"/>
    <cellStyle name="Output 9 8" xfId="9399"/>
    <cellStyle name="Output 9 8 2" xfId="21564"/>
    <cellStyle name="Output 9 8 2 2" xfId="42750"/>
    <cellStyle name="Output 9 8 3" xfId="32146"/>
    <cellStyle name="Output 9 9" xfId="16451"/>
    <cellStyle name="Output 9 9 2" xfId="37638"/>
    <cellStyle name="Output 9_Table 2A-1_EFT (Annual)" xfId="3505"/>
    <cellStyle name="Percent" xfId="48" builtinId="5"/>
    <cellStyle name="Percent 2" xfId="49"/>
    <cellStyle name="Percent 2 2" xfId="55"/>
    <cellStyle name="Percent 2_Table 2A-1_EFT (Annual)" xfId="8438"/>
    <cellStyle name="Percent 3" xfId="66"/>
    <cellStyle name="Percent 3 2" xfId="223"/>
    <cellStyle name="Percent 3 2 2" xfId="450"/>
    <cellStyle name="Percent 3 2 2 2" xfId="974"/>
    <cellStyle name="Percent 3 2 2 2 2" xfId="2396"/>
    <cellStyle name="Percent 3 2 2 2 2 2" xfId="5957"/>
    <cellStyle name="Percent 3 2 2 2 2 2 2" xfId="16405"/>
    <cellStyle name="Percent 3 2 2 2 2 2 2 2" xfId="37594"/>
    <cellStyle name="Percent 3 2 2 2 2 2 3" xfId="31613"/>
    <cellStyle name="Percent 3 2 2 2 2 3" xfId="16207"/>
    <cellStyle name="Percent 3 2 2 2 2 3 2" xfId="37397"/>
    <cellStyle name="Percent 3 2 2 2 2 4" xfId="28870"/>
    <cellStyle name="Percent 3 2 2 2 2_Table 2A-1_EFT (Annual)" xfId="8443"/>
    <cellStyle name="Percent 3 2 2 2 3" xfId="4535"/>
    <cellStyle name="Percent 3 2 2 2 3 2" xfId="16305"/>
    <cellStyle name="Percent 3 2 2 2 3 2 2" xfId="37495"/>
    <cellStyle name="Percent 3 2 2 2 3 3" xfId="30192"/>
    <cellStyle name="Percent 3 2 2 2 4" xfId="16108"/>
    <cellStyle name="Percent 3 2 2 2 4 2" xfId="37298"/>
    <cellStyle name="Percent 3 2 2 2 5" xfId="27449"/>
    <cellStyle name="Percent 3 2 2 2_Table 2A-1_EFT (Annual)" xfId="8442"/>
    <cellStyle name="Percent 3 2 2 3" xfId="1724"/>
    <cellStyle name="Percent 3 2 2 3 2" xfId="5285"/>
    <cellStyle name="Percent 3 2 2 3 2 2" xfId="16356"/>
    <cellStyle name="Percent 3 2 2 3 2 2 2" xfId="37545"/>
    <cellStyle name="Percent 3 2 2 3 2 3" xfId="30942"/>
    <cellStyle name="Percent 3 2 2 3 3" xfId="16158"/>
    <cellStyle name="Percent 3 2 2 3 3 2" xfId="37348"/>
    <cellStyle name="Percent 3 2 2 3 4" xfId="28199"/>
    <cellStyle name="Percent 3 2 2 3_Table 2A-1_EFT (Annual)" xfId="8444"/>
    <cellStyle name="Percent 3 2 2 4" xfId="4020"/>
    <cellStyle name="Percent 3 2 2 4 2" xfId="16256"/>
    <cellStyle name="Percent 3 2 2 4 2 2" xfId="37446"/>
    <cellStyle name="Percent 3 2 2 4 3" xfId="29708"/>
    <cellStyle name="Percent 3 2 2 5" xfId="16059"/>
    <cellStyle name="Percent 3 2 2 5 2" xfId="37249"/>
    <cellStyle name="Percent 3 2 2 6" xfId="26965"/>
    <cellStyle name="Percent 3 2 2_Table 2A-1_EFT (Annual)" xfId="8441"/>
    <cellStyle name="Percent 3 2 3" xfId="818"/>
    <cellStyle name="Percent 3 2 3 2" xfId="2371"/>
    <cellStyle name="Percent 3 2 3 2 2" xfId="5932"/>
    <cellStyle name="Percent 3 2 3 2 2 2" xfId="16380"/>
    <cellStyle name="Percent 3 2 3 2 2 2 2" xfId="37569"/>
    <cellStyle name="Percent 3 2 3 2 2 3" xfId="31588"/>
    <cellStyle name="Percent 3 2 3 2 3" xfId="16182"/>
    <cellStyle name="Percent 3 2 3 2 3 2" xfId="37372"/>
    <cellStyle name="Percent 3 2 3 2 4" xfId="28845"/>
    <cellStyle name="Percent 3 2 3 2_Table 2A-1_EFT (Annual)" xfId="8446"/>
    <cellStyle name="Percent 3 2 3 3" xfId="4379"/>
    <cellStyle name="Percent 3 2 3 3 2" xfId="16280"/>
    <cellStyle name="Percent 3 2 3 3 2 2" xfId="37470"/>
    <cellStyle name="Percent 3 2 3 3 3" xfId="30036"/>
    <cellStyle name="Percent 3 2 3 4" xfId="16083"/>
    <cellStyle name="Percent 3 2 3 4 2" xfId="37273"/>
    <cellStyle name="Percent 3 2 3 5" xfId="27293"/>
    <cellStyle name="Percent 3 2 3_Table 2A-1_EFT (Annual)" xfId="8445"/>
    <cellStyle name="Percent 3 2 4" xfId="1668"/>
    <cellStyle name="Percent 3 2 4 2" xfId="5229"/>
    <cellStyle name="Percent 3 2 4 2 2" xfId="16331"/>
    <cellStyle name="Percent 3 2 4 2 2 2" xfId="37520"/>
    <cellStyle name="Percent 3 2 4 2 3" xfId="30886"/>
    <cellStyle name="Percent 3 2 4 3" xfId="16133"/>
    <cellStyle name="Percent 3 2 4 3 2" xfId="37323"/>
    <cellStyle name="Percent 3 2 4 4" xfId="28143"/>
    <cellStyle name="Percent 3 2 4_Table 2A-1_EFT (Annual)" xfId="8447"/>
    <cellStyle name="Percent 3 2 5" xfId="3812"/>
    <cellStyle name="Percent 3 2 5 2" xfId="16231"/>
    <cellStyle name="Percent 3 2 5 2 2" xfId="37421"/>
    <cellStyle name="Percent 3 2 5 3" xfId="29521"/>
    <cellStyle name="Percent 3 2 6" xfId="16034"/>
    <cellStyle name="Percent 3 2 6 2" xfId="37224"/>
    <cellStyle name="Percent 3 2 7" xfId="26778"/>
    <cellStyle name="Percent 3 2_Table 2A-1_EFT (Annual)" xfId="8440"/>
    <cellStyle name="Percent 3 3" xfId="304"/>
    <cellStyle name="Percent 3 3 2" xfId="854"/>
    <cellStyle name="Percent 3 3 2 2" xfId="2384"/>
    <cellStyle name="Percent 3 3 2 2 2" xfId="5945"/>
    <cellStyle name="Percent 3 3 2 2 2 2" xfId="16393"/>
    <cellStyle name="Percent 3 3 2 2 2 2 2" xfId="37582"/>
    <cellStyle name="Percent 3 3 2 2 2 3" xfId="31601"/>
    <cellStyle name="Percent 3 3 2 2 3" xfId="16195"/>
    <cellStyle name="Percent 3 3 2 2 3 2" xfId="37385"/>
    <cellStyle name="Percent 3 3 2 2 4" xfId="28858"/>
    <cellStyle name="Percent 3 3 2 2_Table 2A-1_EFT (Annual)" xfId="8450"/>
    <cellStyle name="Percent 3 3 2 3" xfId="4415"/>
    <cellStyle name="Percent 3 3 2 3 2" xfId="16293"/>
    <cellStyle name="Percent 3 3 2 3 2 2" xfId="37483"/>
    <cellStyle name="Percent 3 3 2 3 3" xfId="30072"/>
    <cellStyle name="Percent 3 3 2 4" xfId="16096"/>
    <cellStyle name="Percent 3 3 2 4 2" xfId="37286"/>
    <cellStyle name="Percent 3 3 2 5" xfId="27329"/>
    <cellStyle name="Percent 3 3 2_Table 2A-1_EFT (Annual)" xfId="8449"/>
    <cellStyle name="Percent 3 3 3" xfId="1686"/>
    <cellStyle name="Percent 3 3 3 2" xfId="5247"/>
    <cellStyle name="Percent 3 3 3 2 2" xfId="16344"/>
    <cellStyle name="Percent 3 3 3 2 2 2" xfId="37533"/>
    <cellStyle name="Percent 3 3 3 2 3" xfId="30904"/>
    <cellStyle name="Percent 3 3 3 3" xfId="16146"/>
    <cellStyle name="Percent 3 3 3 3 2" xfId="37336"/>
    <cellStyle name="Percent 3 3 3 4" xfId="28161"/>
    <cellStyle name="Percent 3 3 3_Table 2A-1_EFT (Annual)" xfId="8451"/>
    <cellStyle name="Percent 3 3 4" xfId="3874"/>
    <cellStyle name="Percent 3 3 4 2" xfId="16244"/>
    <cellStyle name="Percent 3 3 4 2 2" xfId="37434"/>
    <cellStyle name="Percent 3 3 4 3" xfId="29562"/>
    <cellStyle name="Percent 3 3 5" xfId="16047"/>
    <cellStyle name="Percent 3 3 5 2" xfId="37237"/>
    <cellStyle name="Percent 3 3 6" xfId="26819"/>
    <cellStyle name="Percent 3 3_Table 2A-1_EFT (Annual)" xfId="8448"/>
    <cellStyle name="Percent 3 4" xfId="650"/>
    <cellStyle name="Percent 3 4 2" xfId="1771"/>
    <cellStyle name="Percent 3 4 2 2" xfId="5332"/>
    <cellStyle name="Percent 3 4 2 2 2" xfId="16368"/>
    <cellStyle name="Percent 3 4 2 2 2 2" xfId="37557"/>
    <cellStyle name="Percent 3 4 2 2 3" xfId="30989"/>
    <cellStyle name="Percent 3 4 2 3" xfId="16170"/>
    <cellStyle name="Percent 3 4 2 3 2" xfId="37360"/>
    <cellStyle name="Percent 3 4 2 4" xfId="28246"/>
    <cellStyle name="Percent 3 4 2_Table 2A-1_EFT (Annual)" xfId="8453"/>
    <cellStyle name="Percent 3 4 3" xfId="4220"/>
    <cellStyle name="Percent 3 4 3 2" xfId="16268"/>
    <cellStyle name="Percent 3 4 3 2 2" xfId="37458"/>
    <cellStyle name="Percent 3 4 3 3" xfId="29908"/>
    <cellStyle name="Percent 3 4 4" xfId="16071"/>
    <cellStyle name="Percent 3 4 4 2" xfId="37261"/>
    <cellStyle name="Percent 3 4 5" xfId="27165"/>
    <cellStyle name="Percent 3 4_Table 2A-1_EFT (Annual)" xfId="8452"/>
    <cellStyle name="Percent 3 5" xfId="1629"/>
    <cellStyle name="Percent 3 5 2" xfId="5190"/>
    <cellStyle name="Percent 3 5 2 2" xfId="16319"/>
    <cellStyle name="Percent 3 5 2 2 2" xfId="37508"/>
    <cellStyle name="Percent 3 5 2 3" xfId="30847"/>
    <cellStyle name="Percent 3 5 3" xfId="16121"/>
    <cellStyle name="Percent 3 5 3 2" xfId="37311"/>
    <cellStyle name="Percent 3 5 4" xfId="28104"/>
    <cellStyle name="Percent 3 5_Table 2A-1_EFT (Annual)" xfId="8454"/>
    <cellStyle name="Percent 3 6" xfId="3658"/>
    <cellStyle name="Percent 3 6 2" xfId="16219"/>
    <cellStyle name="Percent 3 6 2 2" xfId="37409"/>
    <cellStyle name="Percent 3 6 3" xfId="29371"/>
    <cellStyle name="Percent 3 7" xfId="16022"/>
    <cellStyle name="Percent 3 7 2" xfId="37212"/>
    <cellStyle name="Percent 3 8" xfId="26628"/>
    <cellStyle name="Percent 3 9" xfId="47816"/>
    <cellStyle name="Percent 3_Table 2A-1_EFT (Annual)" xfId="8439"/>
    <cellStyle name="Percent 4" xfId="294"/>
    <cellStyle name="Percent 5" xfId="698"/>
    <cellStyle name="Percent 6" xfId="16012"/>
    <cellStyle name="Title" xfId="50" builtinId="15" customBuiltin="1"/>
    <cellStyle name="Title 2" xfId="295"/>
    <cellStyle name="Title 3" xfId="699"/>
    <cellStyle name="Title 4" xfId="16013"/>
    <cellStyle name="Total" xfId="51" builtinId="25" customBuiltin="1"/>
    <cellStyle name="Total 10" xfId="138"/>
    <cellStyle name="Total 10 10" xfId="26693"/>
    <cellStyle name="Total 10 2" xfId="531"/>
    <cellStyle name="Total 10 2 2" xfId="1508"/>
    <cellStyle name="Total 10 2 2 2" xfId="2778"/>
    <cellStyle name="Total 10 2 2 2 2" xfId="6339"/>
    <cellStyle name="Total 10 2 2 2 2 2" xfId="14533"/>
    <cellStyle name="Total 10 2 2 2 2 2 2" xfId="26505"/>
    <cellStyle name="Total 10 2 2 2 2 2 2 2" xfId="47691"/>
    <cellStyle name="Total 10 2 2 2 2 2 3" xfId="37087"/>
    <cellStyle name="Total 10 2 2 2 2 3" xfId="21392"/>
    <cellStyle name="Total 10 2 2 2 2 3 2" xfId="42579"/>
    <cellStyle name="Total 10 2 2 2 2 4" xfId="31995"/>
    <cellStyle name="Total 10 2 2 2 2_Table 2A-1_EFT (Annual)" xfId="8457"/>
    <cellStyle name="Total 10 2 2 2 3" xfId="11875"/>
    <cellStyle name="Total 10 2 2 2 3 2" xfId="23959"/>
    <cellStyle name="Total 10 2 2 2 3 2 2" xfId="45145"/>
    <cellStyle name="Total 10 2 2 2 3 3" xfId="34541"/>
    <cellStyle name="Total 10 2 2 2 4" xfId="18846"/>
    <cellStyle name="Total 10 2 2 2 4 2" xfId="40033"/>
    <cellStyle name="Total 10 2 2 2 5" xfId="29252"/>
    <cellStyle name="Total 10 2 2 2_Table 2A-1_EFT (Annual)" xfId="8456"/>
    <cellStyle name="Total 10 2 2 3" xfId="5069"/>
    <cellStyle name="Total 10 2 2 3 2" xfId="13329"/>
    <cellStyle name="Total 10 2 2 3 2 2" xfId="25335"/>
    <cellStyle name="Total 10 2 2 3 2 2 2" xfId="46521"/>
    <cellStyle name="Total 10 2 2 3 2 3" xfId="35917"/>
    <cellStyle name="Total 10 2 2 3 3" xfId="20222"/>
    <cellStyle name="Total 10 2 2 3 3 2" xfId="41409"/>
    <cellStyle name="Total 10 2 2 3 4" xfId="30726"/>
    <cellStyle name="Total 10 2 2 3_Table 2A-1_EFT (Annual)" xfId="8458"/>
    <cellStyle name="Total 10 2 2 4" xfId="10673"/>
    <cellStyle name="Total 10 2 2 4 2" xfId="22789"/>
    <cellStyle name="Total 10 2 2 4 2 2" xfId="43975"/>
    <cellStyle name="Total 10 2 2 4 3" xfId="33371"/>
    <cellStyle name="Total 10 2 2 5" xfId="17676"/>
    <cellStyle name="Total 10 2 2 5 2" xfId="38863"/>
    <cellStyle name="Total 10 2 2 6" xfId="27983"/>
    <cellStyle name="Total 10 2 2_Table 2A-1_EFT (Annual)" xfId="8455"/>
    <cellStyle name="Total 10 2 3" xfId="1040"/>
    <cellStyle name="Total 10 2 3 2" xfId="4601"/>
    <cellStyle name="Total 10 2 3 2 2" xfId="12861"/>
    <cellStyle name="Total 10 2 3 2 2 2" xfId="24867"/>
    <cellStyle name="Total 10 2 3 2 2 2 2" xfId="46053"/>
    <cellStyle name="Total 10 2 3 2 2 3" xfId="35449"/>
    <cellStyle name="Total 10 2 3 2 3" xfId="19754"/>
    <cellStyle name="Total 10 2 3 2 3 2" xfId="40941"/>
    <cellStyle name="Total 10 2 3 2 4" xfId="30258"/>
    <cellStyle name="Total 10 2 3 2_Table 2A-1_EFT (Annual)" xfId="8460"/>
    <cellStyle name="Total 10 2 3 3" xfId="10205"/>
    <cellStyle name="Total 10 2 3 3 2" xfId="22321"/>
    <cellStyle name="Total 10 2 3 3 2 2" xfId="43507"/>
    <cellStyle name="Total 10 2 3 3 3" xfId="32903"/>
    <cellStyle name="Total 10 2 3 4" xfId="17208"/>
    <cellStyle name="Total 10 2 3 4 2" xfId="38395"/>
    <cellStyle name="Total 10 2 3 5" xfId="27515"/>
    <cellStyle name="Total 10 2 3_Table 2A-1_EFT (Annual)" xfId="8459"/>
    <cellStyle name="Total 10 2 4" xfId="2247"/>
    <cellStyle name="Total 10 2 4 2" xfId="5808"/>
    <cellStyle name="Total 10 2 4 2 2" xfId="14023"/>
    <cellStyle name="Total 10 2 4 2 2 2" xfId="26011"/>
    <cellStyle name="Total 10 2 4 2 2 2 2" xfId="47197"/>
    <cellStyle name="Total 10 2 4 2 2 3" xfId="36593"/>
    <cellStyle name="Total 10 2 4 2 3" xfId="20898"/>
    <cellStyle name="Total 10 2 4 2 3 2" xfId="42085"/>
    <cellStyle name="Total 10 2 4 2 4" xfId="31465"/>
    <cellStyle name="Total 10 2 4 2_Table 2A-1_EFT (Annual)" xfId="8462"/>
    <cellStyle name="Total 10 2 4 3" xfId="11367"/>
    <cellStyle name="Total 10 2 4 3 2" xfId="23465"/>
    <cellStyle name="Total 10 2 4 3 2 2" xfId="44651"/>
    <cellStyle name="Total 10 2 4 3 3" xfId="34047"/>
    <cellStyle name="Total 10 2 4 4" xfId="18352"/>
    <cellStyle name="Total 10 2 4 4 2" xfId="39539"/>
    <cellStyle name="Total 10 2 4 5" xfId="28722"/>
    <cellStyle name="Total 10 2 4_Table 2A-1_EFT (Annual)" xfId="8461"/>
    <cellStyle name="Total 10 2 5" xfId="4101"/>
    <cellStyle name="Total 10 2 5 2" xfId="12425"/>
    <cellStyle name="Total 10 2 5 2 2" xfId="24447"/>
    <cellStyle name="Total 10 2 5 2 2 2" xfId="45633"/>
    <cellStyle name="Total 10 2 5 2 3" xfId="35029"/>
    <cellStyle name="Total 10 2 5 3" xfId="19334"/>
    <cellStyle name="Total 10 2 5 3 2" xfId="40521"/>
    <cellStyle name="Total 10 2 5 4" xfId="29789"/>
    <cellStyle name="Total 10 2 5_Table 2A-1_EFT (Annual)" xfId="8463"/>
    <cellStyle name="Total 10 2 6" xfId="9764"/>
    <cellStyle name="Total 10 2 6 2" xfId="21901"/>
    <cellStyle name="Total 10 2 6 2 2" xfId="43087"/>
    <cellStyle name="Total 10 2 6 3" xfId="32483"/>
    <cellStyle name="Total 10 2 7" xfId="16788"/>
    <cellStyle name="Total 10 2 7 2" xfId="37975"/>
    <cellStyle name="Total 10 2 8" xfId="27046"/>
    <cellStyle name="Total 10 2_Table 2A-1_EFT (Annual)" xfId="3512"/>
    <cellStyle name="Total 10 3" xfId="369"/>
    <cellStyle name="Total 10 3 2" xfId="1352"/>
    <cellStyle name="Total 10 3 2 2" xfId="2622"/>
    <cellStyle name="Total 10 3 2 2 2" xfId="6183"/>
    <cellStyle name="Total 10 3 2 2 2 2" xfId="14377"/>
    <cellStyle name="Total 10 3 2 2 2 2 2" xfId="26349"/>
    <cellStyle name="Total 10 3 2 2 2 2 2 2" xfId="47535"/>
    <cellStyle name="Total 10 3 2 2 2 2 3" xfId="36931"/>
    <cellStyle name="Total 10 3 2 2 2 3" xfId="21236"/>
    <cellStyle name="Total 10 3 2 2 2 3 2" xfId="42423"/>
    <cellStyle name="Total 10 3 2 2 2 4" xfId="31839"/>
    <cellStyle name="Total 10 3 2 2 2_Table 2A-1_EFT (Annual)" xfId="8466"/>
    <cellStyle name="Total 10 3 2 2 3" xfId="11719"/>
    <cellStyle name="Total 10 3 2 2 3 2" xfId="23803"/>
    <cellStyle name="Total 10 3 2 2 3 2 2" xfId="44989"/>
    <cellStyle name="Total 10 3 2 2 3 3" xfId="34385"/>
    <cellStyle name="Total 10 3 2 2 4" xfId="18690"/>
    <cellStyle name="Total 10 3 2 2 4 2" xfId="39877"/>
    <cellStyle name="Total 10 3 2 2 5" xfId="29096"/>
    <cellStyle name="Total 10 3 2 2_Table 2A-1_EFT (Annual)" xfId="8465"/>
    <cellStyle name="Total 10 3 2 3" xfId="4913"/>
    <cellStyle name="Total 10 3 2 3 2" xfId="13173"/>
    <cellStyle name="Total 10 3 2 3 2 2" xfId="25179"/>
    <cellStyle name="Total 10 3 2 3 2 2 2" xfId="46365"/>
    <cellStyle name="Total 10 3 2 3 2 3" xfId="35761"/>
    <cellStyle name="Total 10 3 2 3 3" xfId="20066"/>
    <cellStyle name="Total 10 3 2 3 3 2" xfId="41253"/>
    <cellStyle name="Total 10 3 2 3 4" xfId="30570"/>
    <cellStyle name="Total 10 3 2 3_Table 2A-1_EFT (Annual)" xfId="8467"/>
    <cellStyle name="Total 10 3 2 4" xfId="10517"/>
    <cellStyle name="Total 10 3 2 4 2" xfId="22633"/>
    <cellStyle name="Total 10 3 2 4 2 2" xfId="43819"/>
    <cellStyle name="Total 10 3 2 4 3" xfId="33215"/>
    <cellStyle name="Total 10 3 2 5" xfId="17520"/>
    <cellStyle name="Total 10 3 2 5 2" xfId="38707"/>
    <cellStyle name="Total 10 3 2 6" xfId="27827"/>
    <cellStyle name="Total 10 3 2_Table 2A-1_EFT (Annual)" xfId="8464"/>
    <cellStyle name="Total 10 3 3" xfId="908"/>
    <cellStyle name="Total 10 3 3 2" xfId="4469"/>
    <cellStyle name="Total 10 3 3 2 2" xfId="12731"/>
    <cellStyle name="Total 10 3 3 2 2 2" xfId="24741"/>
    <cellStyle name="Total 10 3 3 2 2 2 2" xfId="45927"/>
    <cellStyle name="Total 10 3 3 2 2 3" xfId="35323"/>
    <cellStyle name="Total 10 3 3 2 3" xfId="19628"/>
    <cellStyle name="Total 10 3 3 2 3 2" xfId="40815"/>
    <cellStyle name="Total 10 3 3 2 4" xfId="30126"/>
    <cellStyle name="Total 10 3 3 2_Table 2A-1_EFT (Annual)" xfId="8469"/>
    <cellStyle name="Total 10 3 3 3" xfId="10078"/>
    <cellStyle name="Total 10 3 3 3 2" xfId="22195"/>
    <cellStyle name="Total 10 3 3 3 2 2" xfId="43381"/>
    <cellStyle name="Total 10 3 3 3 3" xfId="32777"/>
    <cellStyle name="Total 10 3 3 4" xfId="17082"/>
    <cellStyle name="Total 10 3 3 4 2" xfId="38269"/>
    <cellStyle name="Total 10 3 3 5" xfId="27383"/>
    <cellStyle name="Total 10 3 3_Table 2A-1_EFT (Annual)" xfId="8468"/>
    <cellStyle name="Total 10 3 4" xfId="2091"/>
    <cellStyle name="Total 10 3 4 2" xfId="5652"/>
    <cellStyle name="Total 10 3 4 2 2" xfId="13867"/>
    <cellStyle name="Total 10 3 4 2 2 2" xfId="25855"/>
    <cellStyle name="Total 10 3 4 2 2 2 2" xfId="47041"/>
    <cellStyle name="Total 10 3 4 2 2 3" xfId="36437"/>
    <cellStyle name="Total 10 3 4 2 3" xfId="20742"/>
    <cellStyle name="Total 10 3 4 2 3 2" xfId="41929"/>
    <cellStyle name="Total 10 3 4 2 4" xfId="31309"/>
    <cellStyle name="Total 10 3 4 2_Table 2A-1_EFT (Annual)" xfId="8471"/>
    <cellStyle name="Total 10 3 4 3" xfId="11211"/>
    <cellStyle name="Total 10 3 4 3 2" xfId="23309"/>
    <cellStyle name="Total 10 3 4 3 2 2" xfId="44495"/>
    <cellStyle name="Total 10 3 4 3 3" xfId="33891"/>
    <cellStyle name="Total 10 3 4 4" xfId="18196"/>
    <cellStyle name="Total 10 3 4 4 2" xfId="39383"/>
    <cellStyle name="Total 10 3 4 5" xfId="28566"/>
    <cellStyle name="Total 10 3 4_Table 2A-1_EFT (Annual)" xfId="8470"/>
    <cellStyle name="Total 10 3 5" xfId="3939"/>
    <cellStyle name="Total 10 3 5 2" xfId="12267"/>
    <cellStyle name="Total 10 3 5 2 2" xfId="24291"/>
    <cellStyle name="Total 10 3 5 2 2 2" xfId="45477"/>
    <cellStyle name="Total 10 3 5 2 3" xfId="34873"/>
    <cellStyle name="Total 10 3 5 3" xfId="19178"/>
    <cellStyle name="Total 10 3 5 3 2" xfId="40365"/>
    <cellStyle name="Total 10 3 5 4" xfId="29627"/>
    <cellStyle name="Total 10 3 5_Table 2A-1_EFT (Annual)" xfId="8472"/>
    <cellStyle name="Total 10 3 6" xfId="9604"/>
    <cellStyle name="Total 10 3 6 2" xfId="21745"/>
    <cellStyle name="Total 10 3 6 2 2" xfId="42931"/>
    <cellStyle name="Total 10 3 6 3" xfId="32327"/>
    <cellStyle name="Total 10 3 7" xfId="16632"/>
    <cellStyle name="Total 10 3 7 2" xfId="37819"/>
    <cellStyle name="Total 10 3 8" xfId="26884"/>
    <cellStyle name="Total 10 3_Table 2A-1_EFT (Annual)" xfId="3513"/>
    <cellStyle name="Total 10 4" xfId="1186"/>
    <cellStyle name="Total 10 4 2" xfId="2456"/>
    <cellStyle name="Total 10 4 2 2" xfId="6017"/>
    <cellStyle name="Total 10 4 2 2 2" xfId="14211"/>
    <cellStyle name="Total 10 4 2 2 2 2" xfId="26183"/>
    <cellStyle name="Total 10 4 2 2 2 2 2" xfId="47369"/>
    <cellStyle name="Total 10 4 2 2 2 3" xfId="36765"/>
    <cellStyle name="Total 10 4 2 2 3" xfId="21070"/>
    <cellStyle name="Total 10 4 2 2 3 2" xfId="42257"/>
    <cellStyle name="Total 10 4 2 2 4" xfId="31673"/>
    <cellStyle name="Total 10 4 2 2_Table 2A-1_EFT (Annual)" xfId="8475"/>
    <cellStyle name="Total 10 4 2 3" xfId="11553"/>
    <cellStyle name="Total 10 4 2 3 2" xfId="23637"/>
    <cellStyle name="Total 10 4 2 3 2 2" xfId="44823"/>
    <cellStyle name="Total 10 4 2 3 3" xfId="34219"/>
    <cellStyle name="Total 10 4 2 4" xfId="18524"/>
    <cellStyle name="Total 10 4 2 4 2" xfId="39711"/>
    <cellStyle name="Total 10 4 2 5" xfId="28930"/>
    <cellStyle name="Total 10 4 2_Table 2A-1_EFT (Annual)" xfId="8474"/>
    <cellStyle name="Total 10 4 3" xfId="4747"/>
    <cellStyle name="Total 10 4 3 2" xfId="13007"/>
    <cellStyle name="Total 10 4 3 2 2" xfId="25013"/>
    <cellStyle name="Total 10 4 3 2 2 2" xfId="46199"/>
    <cellStyle name="Total 10 4 3 2 3" xfId="35595"/>
    <cellStyle name="Total 10 4 3 3" xfId="19900"/>
    <cellStyle name="Total 10 4 3 3 2" xfId="41087"/>
    <cellStyle name="Total 10 4 3 4" xfId="30404"/>
    <cellStyle name="Total 10 4 3_Table 2A-1_EFT (Annual)" xfId="8476"/>
    <cellStyle name="Total 10 4 4" xfId="10351"/>
    <cellStyle name="Total 10 4 4 2" xfId="22467"/>
    <cellStyle name="Total 10 4 4 2 2" xfId="43653"/>
    <cellStyle name="Total 10 4 4 3" xfId="33049"/>
    <cellStyle name="Total 10 4 5" xfId="17354"/>
    <cellStyle name="Total 10 4 5 2" xfId="38541"/>
    <cellStyle name="Total 10 4 6" xfId="27661"/>
    <cellStyle name="Total 10 4_Table 2A-1_EFT (Annual)" xfId="8473"/>
    <cellStyle name="Total 10 5" xfId="749"/>
    <cellStyle name="Total 10 5 2" xfId="4310"/>
    <cellStyle name="Total 10 5 2 2" xfId="12590"/>
    <cellStyle name="Total 10 5 2 2 2" xfId="24607"/>
    <cellStyle name="Total 10 5 2 2 2 2" xfId="45793"/>
    <cellStyle name="Total 10 5 2 2 3" xfId="35189"/>
    <cellStyle name="Total 10 5 2 3" xfId="19494"/>
    <cellStyle name="Total 10 5 2 3 2" xfId="40681"/>
    <cellStyle name="Total 10 5 2 4" xfId="29967"/>
    <cellStyle name="Total 10 5 2_Table 2A-1_EFT (Annual)" xfId="8478"/>
    <cellStyle name="Total 10 5 3" xfId="9938"/>
    <cellStyle name="Total 10 5 3 2" xfId="22061"/>
    <cellStyle name="Total 10 5 3 2 2" xfId="43247"/>
    <cellStyle name="Total 10 5 3 3" xfId="32643"/>
    <cellStyle name="Total 10 5 4" xfId="16948"/>
    <cellStyle name="Total 10 5 4 2" xfId="38135"/>
    <cellStyle name="Total 10 5 5" xfId="27224"/>
    <cellStyle name="Total 10 5_Table 2A-1_EFT (Annual)" xfId="8477"/>
    <cellStyle name="Total 10 6" xfId="1855"/>
    <cellStyle name="Total 10 6 2" xfId="5416"/>
    <cellStyle name="Total 10 6 2 2" xfId="13631"/>
    <cellStyle name="Total 10 6 2 2 2" xfId="25619"/>
    <cellStyle name="Total 10 6 2 2 2 2" xfId="46805"/>
    <cellStyle name="Total 10 6 2 2 3" xfId="36201"/>
    <cellStyle name="Total 10 6 2 3" xfId="20506"/>
    <cellStyle name="Total 10 6 2 3 2" xfId="41693"/>
    <cellStyle name="Total 10 6 2 4" xfId="31073"/>
    <cellStyle name="Total 10 6 2_Table 2A-1_EFT (Annual)" xfId="8480"/>
    <cellStyle name="Total 10 6 3" xfId="10975"/>
    <cellStyle name="Total 10 6 3 2" xfId="23073"/>
    <cellStyle name="Total 10 6 3 2 2" xfId="44259"/>
    <cellStyle name="Total 10 6 3 3" xfId="33655"/>
    <cellStyle name="Total 10 6 4" xfId="17960"/>
    <cellStyle name="Total 10 6 4 2" xfId="39147"/>
    <cellStyle name="Total 10 6 5" xfId="28330"/>
    <cellStyle name="Total 10 6_Table 2A-1_EFT (Annual)" xfId="8479"/>
    <cellStyle name="Total 10 7" xfId="3727"/>
    <cellStyle name="Total 10 7 2" xfId="12095"/>
    <cellStyle name="Total 10 7 2 2" xfId="24125"/>
    <cellStyle name="Total 10 7 2 2 2" xfId="45311"/>
    <cellStyle name="Total 10 7 2 3" xfId="34707"/>
    <cellStyle name="Total 10 7 3" xfId="19012"/>
    <cellStyle name="Total 10 7 3 2" xfId="40199"/>
    <cellStyle name="Total 10 7 4" xfId="29436"/>
    <cellStyle name="Total 10 7_Table 2A-1_EFT (Annual)" xfId="8481"/>
    <cellStyle name="Total 10 8" xfId="9414"/>
    <cellStyle name="Total 10 8 2" xfId="21579"/>
    <cellStyle name="Total 10 8 2 2" xfId="42765"/>
    <cellStyle name="Total 10 8 3" xfId="32161"/>
    <cellStyle name="Total 10 9" xfId="16466"/>
    <cellStyle name="Total 10 9 2" xfId="37653"/>
    <cellStyle name="Total 10_Table 2A-1_EFT (Annual)" xfId="3511"/>
    <cellStyle name="Total 11" xfId="129"/>
    <cellStyle name="Total 11 10" xfId="26684"/>
    <cellStyle name="Total 11 2" xfId="522"/>
    <cellStyle name="Total 11 2 2" xfId="1499"/>
    <cellStyle name="Total 11 2 2 2" xfId="2769"/>
    <cellStyle name="Total 11 2 2 2 2" xfId="6330"/>
    <cellStyle name="Total 11 2 2 2 2 2" xfId="14524"/>
    <cellStyle name="Total 11 2 2 2 2 2 2" xfId="26496"/>
    <cellStyle name="Total 11 2 2 2 2 2 2 2" xfId="47682"/>
    <cellStyle name="Total 11 2 2 2 2 2 3" xfId="37078"/>
    <cellStyle name="Total 11 2 2 2 2 3" xfId="21383"/>
    <cellStyle name="Total 11 2 2 2 2 3 2" xfId="42570"/>
    <cellStyle name="Total 11 2 2 2 2 4" xfId="31986"/>
    <cellStyle name="Total 11 2 2 2 2_Table 2A-1_EFT (Annual)" xfId="8484"/>
    <cellStyle name="Total 11 2 2 2 3" xfId="11866"/>
    <cellStyle name="Total 11 2 2 2 3 2" xfId="23950"/>
    <cellStyle name="Total 11 2 2 2 3 2 2" xfId="45136"/>
    <cellStyle name="Total 11 2 2 2 3 3" xfId="34532"/>
    <cellStyle name="Total 11 2 2 2 4" xfId="18837"/>
    <cellStyle name="Total 11 2 2 2 4 2" xfId="40024"/>
    <cellStyle name="Total 11 2 2 2 5" xfId="29243"/>
    <cellStyle name="Total 11 2 2 2_Table 2A-1_EFT (Annual)" xfId="8483"/>
    <cellStyle name="Total 11 2 2 3" xfId="5060"/>
    <cellStyle name="Total 11 2 2 3 2" xfId="13320"/>
    <cellStyle name="Total 11 2 2 3 2 2" xfId="25326"/>
    <cellStyle name="Total 11 2 2 3 2 2 2" xfId="46512"/>
    <cellStyle name="Total 11 2 2 3 2 3" xfId="35908"/>
    <cellStyle name="Total 11 2 2 3 3" xfId="20213"/>
    <cellStyle name="Total 11 2 2 3 3 2" xfId="41400"/>
    <cellStyle name="Total 11 2 2 3 4" xfId="30717"/>
    <cellStyle name="Total 11 2 2 3_Table 2A-1_EFT (Annual)" xfId="8485"/>
    <cellStyle name="Total 11 2 2 4" xfId="10664"/>
    <cellStyle name="Total 11 2 2 4 2" xfId="22780"/>
    <cellStyle name="Total 11 2 2 4 2 2" xfId="43966"/>
    <cellStyle name="Total 11 2 2 4 3" xfId="33362"/>
    <cellStyle name="Total 11 2 2 5" xfId="17667"/>
    <cellStyle name="Total 11 2 2 5 2" xfId="38854"/>
    <cellStyle name="Total 11 2 2 6" xfId="27974"/>
    <cellStyle name="Total 11 2 2_Table 2A-1_EFT (Annual)" xfId="8482"/>
    <cellStyle name="Total 11 2 3" xfId="1032"/>
    <cellStyle name="Total 11 2 3 2" xfId="4593"/>
    <cellStyle name="Total 11 2 3 2 2" xfId="12853"/>
    <cellStyle name="Total 11 2 3 2 2 2" xfId="24859"/>
    <cellStyle name="Total 11 2 3 2 2 2 2" xfId="46045"/>
    <cellStyle name="Total 11 2 3 2 2 3" xfId="35441"/>
    <cellStyle name="Total 11 2 3 2 3" xfId="19746"/>
    <cellStyle name="Total 11 2 3 2 3 2" xfId="40933"/>
    <cellStyle name="Total 11 2 3 2 4" xfId="30250"/>
    <cellStyle name="Total 11 2 3 2_Table 2A-1_EFT (Annual)" xfId="8487"/>
    <cellStyle name="Total 11 2 3 3" xfId="10197"/>
    <cellStyle name="Total 11 2 3 3 2" xfId="22313"/>
    <cellStyle name="Total 11 2 3 3 2 2" xfId="43499"/>
    <cellStyle name="Total 11 2 3 3 3" xfId="32895"/>
    <cellStyle name="Total 11 2 3 4" xfId="17200"/>
    <cellStyle name="Total 11 2 3 4 2" xfId="38387"/>
    <cellStyle name="Total 11 2 3 5" xfId="27507"/>
    <cellStyle name="Total 11 2 3_Table 2A-1_EFT (Annual)" xfId="8486"/>
    <cellStyle name="Total 11 2 4" xfId="2238"/>
    <cellStyle name="Total 11 2 4 2" xfId="5799"/>
    <cellStyle name="Total 11 2 4 2 2" xfId="14014"/>
    <cellStyle name="Total 11 2 4 2 2 2" xfId="26002"/>
    <cellStyle name="Total 11 2 4 2 2 2 2" xfId="47188"/>
    <cellStyle name="Total 11 2 4 2 2 3" xfId="36584"/>
    <cellStyle name="Total 11 2 4 2 3" xfId="20889"/>
    <cellStyle name="Total 11 2 4 2 3 2" xfId="42076"/>
    <cellStyle name="Total 11 2 4 2 4" xfId="31456"/>
    <cellStyle name="Total 11 2 4 2_Table 2A-1_EFT (Annual)" xfId="8489"/>
    <cellStyle name="Total 11 2 4 3" xfId="11358"/>
    <cellStyle name="Total 11 2 4 3 2" xfId="23456"/>
    <cellStyle name="Total 11 2 4 3 2 2" xfId="44642"/>
    <cellStyle name="Total 11 2 4 3 3" xfId="34038"/>
    <cellStyle name="Total 11 2 4 4" xfId="18343"/>
    <cellStyle name="Total 11 2 4 4 2" xfId="39530"/>
    <cellStyle name="Total 11 2 4 5" xfId="28713"/>
    <cellStyle name="Total 11 2 4_Table 2A-1_EFT (Annual)" xfId="8488"/>
    <cellStyle name="Total 11 2 5" xfId="4092"/>
    <cellStyle name="Total 11 2 5 2" xfId="12416"/>
    <cellStyle name="Total 11 2 5 2 2" xfId="24438"/>
    <cellStyle name="Total 11 2 5 2 2 2" xfId="45624"/>
    <cellStyle name="Total 11 2 5 2 3" xfId="35020"/>
    <cellStyle name="Total 11 2 5 3" xfId="19325"/>
    <cellStyle name="Total 11 2 5 3 2" xfId="40512"/>
    <cellStyle name="Total 11 2 5 4" xfId="29780"/>
    <cellStyle name="Total 11 2 5_Table 2A-1_EFT (Annual)" xfId="8490"/>
    <cellStyle name="Total 11 2 6" xfId="9755"/>
    <cellStyle name="Total 11 2 6 2" xfId="21892"/>
    <cellStyle name="Total 11 2 6 2 2" xfId="43078"/>
    <cellStyle name="Total 11 2 6 3" xfId="32474"/>
    <cellStyle name="Total 11 2 7" xfId="16779"/>
    <cellStyle name="Total 11 2 7 2" xfId="37966"/>
    <cellStyle name="Total 11 2 8" xfId="27037"/>
    <cellStyle name="Total 11 2_Table 2A-1_EFT (Annual)" xfId="3515"/>
    <cellStyle name="Total 11 3" xfId="360"/>
    <cellStyle name="Total 11 3 2" xfId="1343"/>
    <cellStyle name="Total 11 3 2 2" xfId="2613"/>
    <cellStyle name="Total 11 3 2 2 2" xfId="6174"/>
    <cellStyle name="Total 11 3 2 2 2 2" xfId="14368"/>
    <cellStyle name="Total 11 3 2 2 2 2 2" xfId="26340"/>
    <cellStyle name="Total 11 3 2 2 2 2 2 2" xfId="47526"/>
    <cellStyle name="Total 11 3 2 2 2 2 3" xfId="36922"/>
    <cellStyle name="Total 11 3 2 2 2 3" xfId="21227"/>
    <cellStyle name="Total 11 3 2 2 2 3 2" xfId="42414"/>
    <cellStyle name="Total 11 3 2 2 2 4" xfId="31830"/>
    <cellStyle name="Total 11 3 2 2 2_Table 2A-1_EFT (Annual)" xfId="8493"/>
    <cellStyle name="Total 11 3 2 2 3" xfId="11710"/>
    <cellStyle name="Total 11 3 2 2 3 2" xfId="23794"/>
    <cellStyle name="Total 11 3 2 2 3 2 2" xfId="44980"/>
    <cellStyle name="Total 11 3 2 2 3 3" xfId="34376"/>
    <cellStyle name="Total 11 3 2 2 4" xfId="18681"/>
    <cellStyle name="Total 11 3 2 2 4 2" xfId="39868"/>
    <cellStyle name="Total 11 3 2 2 5" xfId="29087"/>
    <cellStyle name="Total 11 3 2 2_Table 2A-1_EFT (Annual)" xfId="8492"/>
    <cellStyle name="Total 11 3 2 3" xfId="4904"/>
    <cellStyle name="Total 11 3 2 3 2" xfId="13164"/>
    <cellStyle name="Total 11 3 2 3 2 2" xfId="25170"/>
    <cellStyle name="Total 11 3 2 3 2 2 2" xfId="46356"/>
    <cellStyle name="Total 11 3 2 3 2 3" xfId="35752"/>
    <cellStyle name="Total 11 3 2 3 3" xfId="20057"/>
    <cellStyle name="Total 11 3 2 3 3 2" xfId="41244"/>
    <cellStyle name="Total 11 3 2 3 4" xfId="30561"/>
    <cellStyle name="Total 11 3 2 3_Table 2A-1_EFT (Annual)" xfId="8494"/>
    <cellStyle name="Total 11 3 2 4" xfId="10508"/>
    <cellStyle name="Total 11 3 2 4 2" xfId="22624"/>
    <cellStyle name="Total 11 3 2 4 2 2" xfId="43810"/>
    <cellStyle name="Total 11 3 2 4 3" xfId="33206"/>
    <cellStyle name="Total 11 3 2 5" xfId="17511"/>
    <cellStyle name="Total 11 3 2 5 2" xfId="38698"/>
    <cellStyle name="Total 11 3 2 6" xfId="27818"/>
    <cellStyle name="Total 11 3 2_Table 2A-1_EFT (Annual)" xfId="8491"/>
    <cellStyle name="Total 11 3 3" xfId="900"/>
    <cellStyle name="Total 11 3 3 2" xfId="4461"/>
    <cellStyle name="Total 11 3 3 2 2" xfId="12723"/>
    <cellStyle name="Total 11 3 3 2 2 2" xfId="24733"/>
    <cellStyle name="Total 11 3 3 2 2 2 2" xfId="45919"/>
    <cellStyle name="Total 11 3 3 2 2 3" xfId="35315"/>
    <cellStyle name="Total 11 3 3 2 3" xfId="19620"/>
    <cellStyle name="Total 11 3 3 2 3 2" xfId="40807"/>
    <cellStyle name="Total 11 3 3 2 4" xfId="30118"/>
    <cellStyle name="Total 11 3 3 2_Table 2A-1_EFT (Annual)" xfId="8496"/>
    <cellStyle name="Total 11 3 3 3" xfId="10070"/>
    <cellStyle name="Total 11 3 3 3 2" xfId="22187"/>
    <cellStyle name="Total 11 3 3 3 2 2" xfId="43373"/>
    <cellStyle name="Total 11 3 3 3 3" xfId="32769"/>
    <cellStyle name="Total 11 3 3 4" xfId="17074"/>
    <cellStyle name="Total 11 3 3 4 2" xfId="38261"/>
    <cellStyle name="Total 11 3 3 5" xfId="27375"/>
    <cellStyle name="Total 11 3 3_Table 2A-1_EFT (Annual)" xfId="8495"/>
    <cellStyle name="Total 11 3 4" xfId="2082"/>
    <cellStyle name="Total 11 3 4 2" xfId="5643"/>
    <cellStyle name="Total 11 3 4 2 2" xfId="13858"/>
    <cellStyle name="Total 11 3 4 2 2 2" xfId="25846"/>
    <cellStyle name="Total 11 3 4 2 2 2 2" xfId="47032"/>
    <cellStyle name="Total 11 3 4 2 2 3" xfId="36428"/>
    <cellStyle name="Total 11 3 4 2 3" xfId="20733"/>
    <cellStyle name="Total 11 3 4 2 3 2" xfId="41920"/>
    <cellStyle name="Total 11 3 4 2 4" xfId="31300"/>
    <cellStyle name="Total 11 3 4 2_Table 2A-1_EFT (Annual)" xfId="8498"/>
    <cellStyle name="Total 11 3 4 3" xfId="11202"/>
    <cellStyle name="Total 11 3 4 3 2" xfId="23300"/>
    <cellStyle name="Total 11 3 4 3 2 2" xfId="44486"/>
    <cellStyle name="Total 11 3 4 3 3" xfId="33882"/>
    <cellStyle name="Total 11 3 4 4" xfId="18187"/>
    <cellStyle name="Total 11 3 4 4 2" xfId="39374"/>
    <cellStyle name="Total 11 3 4 5" xfId="28557"/>
    <cellStyle name="Total 11 3 4_Table 2A-1_EFT (Annual)" xfId="8497"/>
    <cellStyle name="Total 11 3 5" xfId="3930"/>
    <cellStyle name="Total 11 3 5 2" xfId="12258"/>
    <cellStyle name="Total 11 3 5 2 2" xfId="24282"/>
    <cellStyle name="Total 11 3 5 2 2 2" xfId="45468"/>
    <cellStyle name="Total 11 3 5 2 3" xfId="34864"/>
    <cellStyle name="Total 11 3 5 3" xfId="19169"/>
    <cellStyle name="Total 11 3 5 3 2" xfId="40356"/>
    <cellStyle name="Total 11 3 5 4" xfId="29618"/>
    <cellStyle name="Total 11 3 5_Table 2A-1_EFT (Annual)" xfId="8499"/>
    <cellStyle name="Total 11 3 6" xfId="9595"/>
    <cellStyle name="Total 11 3 6 2" xfId="21736"/>
    <cellStyle name="Total 11 3 6 2 2" xfId="42922"/>
    <cellStyle name="Total 11 3 6 3" xfId="32318"/>
    <cellStyle name="Total 11 3 7" xfId="16623"/>
    <cellStyle name="Total 11 3 7 2" xfId="37810"/>
    <cellStyle name="Total 11 3 8" xfId="26875"/>
    <cellStyle name="Total 11 3_Table 2A-1_EFT (Annual)" xfId="3516"/>
    <cellStyle name="Total 11 4" xfId="1177"/>
    <cellStyle name="Total 11 4 2" xfId="2447"/>
    <cellStyle name="Total 11 4 2 2" xfId="6008"/>
    <cellStyle name="Total 11 4 2 2 2" xfId="14202"/>
    <cellStyle name="Total 11 4 2 2 2 2" xfId="26174"/>
    <cellStyle name="Total 11 4 2 2 2 2 2" xfId="47360"/>
    <cellStyle name="Total 11 4 2 2 2 3" xfId="36756"/>
    <cellStyle name="Total 11 4 2 2 3" xfId="21061"/>
    <cellStyle name="Total 11 4 2 2 3 2" xfId="42248"/>
    <cellStyle name="Total 11 4 2 2 4" xfId="31664"/>
    <cellStyle name="Total 11 4 2 2_Table 2A-1_EFT (Annual)" xfId="8502"/>
    <cellStyle name="Total 11 4 2 3" xfId="11544"/>
    <cellStyle name="Total 11 4 2 3 2" xfId="23628"/>
    <cellStyle name="Total 11 4 2 3 2 2" xfId="44814"/>
    <cellStyle name="Total 11 4 2 3 3" xfId="34210"/>
    <cellStyle name="Total 11 4 2 4" xfId="18515"/>
    <cellStyle name="Total 11 4 2 4 2" xfId="39702"/>
    <cellStyle name="Total 11 4 2 5" xfId="28921"/>
    <cellStyle name="Total 11 4 2_Table 2A-1_EFT (Annual)" xfId="8501"/>
    <cellStyle name="Total 11 4 3" xfId="4738"/>
    <cellStyle name="Total 11 4 3 2" xfId="12998"/>
    <cellStyle name="Total 11 4 3 2 2" xfId="25004"/>
    <cellStyle name="Total 11 4 3 2 2 2" xfId="46190"/>
    <cellStyle name="Total 11 4 3 2 3" xfId="35586"/>
    <cellStyle name="Total 11 4 3 3" xfId="19891"/>
    <cellStyle name="Total 11 4 3 3 2" xfId="41078"/>
    <cellStyle name="Total 11 4 3 4" xfId="30395"/>
    <cellStyle name="Total 11 4 3_Table 2A-1_EFT (Annual)" xfId="8503"/>
    <cellStyle name="Total 11 4 4" xfId="10342"/>
    <cellStyle name="Total 11 4 4 2" xfId="22458"/>
    <cellStyle name="Total 11 4 4 2 2" xfId="43644"/>
    <cellStyle name="Total 11 4 4 3" xfId="33040"/>
    <cellStyle name="Total 11 4 5" xfId="17345"/>
    <cellStyle name="Total 11 4 5 2" xfId="38532"/>
    <cellStyle name="Total 11 4 6" xfId="27652"/>
    <cellStyle name="Total 11 4_Table 2A-1_EFT (Annual)" xfId="8500"/>
    <cellStyle name="Total 11 5" xfId="741"/>
    <cellStyle name="Total 11 5 2" xfId="4302"/>
    <cellStyle name="Total 11 5 2 2" xfId="12582"/>
    <cellStyle name="Total 11 5 2 2 2" xfId="24599"/>
    <cellStyle name="Total 11 5 2 2 2 2" xfId="45785"/>
    <cellStyle name="Total 11 5 2 2 3" xfId="35181"/>
    <cellStyle name="Total 11 5 2 3" xfId="19486"/>
    <cellStyle name="Total 11 5 2 3 2" xfId="40673"/>
    <cellStyle name="Total 11 5 2 4" xfId="29959"/>
    <cellStyle name="Total 11 5 2_Table 2A-1_EFT (Annual)" xfId="8505"/>
    <cellStyle name="Total 11 5 3" xfId="9930"/>
    <cellStyle name="Total 11 5 3 2" xfId="22053"/>
    <cellStyle name="Total 11 5 3 2 2" xfId="43239"/>
    <cellStyle name="Total 11 5 3 3" xfId="32635"/>
    <cellStyle name="Total 11 5 4" xfId="16940"/>
    <cellStyle name="Total 11 5 4 2" xfId="38127"/>
    <cellStyle name="Total 11 5 5" xfId="27216"/>
    <cellStyle name="Total 11 5_Table 2A-1_EFT (Annual)" xfId="8504"/>
    <cellStyle name="Total 11 6" xfId="1792"/>
    <cellStyle name="Total 11 6 2" xfId="5353"/>
    <cellStyle name="Total 11 6 2 2" xfId="13568"/>
    <cellStyle name="Total 11 6 2 2 2" xfId="25556"/>
    <cellStyle name="Total 11 6 2 2 2 2" xfId="46742"/>
    <cellStyle name="Total 11 6 2 2 3" xfId="36138"/>
    <cellStyle name="Total 11 6 2 3" xfId="20443"/>
    <cellStyle name="Total 11 6 2 3 2" xfId="41630"/>
    <cellStyle name="Total 11 6 2 4" xfId="31010"/>
    <cellStyle name="Total 11 6 2_Table 2A-1_EFT (Annual)" xfId="8507"/>
    <cellStyle name="Total 11 6 3" xfId="10912"/>
    <cellStyle name="Total 11 6 3 2" xfId="23010"/>
    <cellStyle name="Total 11 6 3 2 2" xfId="44196"/>
    <cellStyle name="Total 11 6 3 3" xfId="33592"/>
    <cellStyle name="Total 11 6 4" xfId="17897"/>
    <cellStyle name="Total 11 6 4 2" xfId="39084"/>
    <cellStyle name="Total 11 6 5" xfId="28267"/>
    <cellStyle name="Total 11 6_Table 2A-1_EFT (Annual)" xfId="8506"/>
    <cellStyle name="Total 11 7" xfId="3718"/>
    <cellStyle name="Total 11 7 2" xfId="12086"/>
    <cellStyle name="Total 11 7 2 2" xfId="24116"/>
    <cellStyle name="Total 11 7 2 2 2" xfId="45302"/>
    <cellStyle name="Total 11 7 2 3" xfId="34698"/>
    <cellStyle name="Total 11 7 3" xfId="19003"/>
    <cellStyle name="Total 11 7 3 2" xfId="40190"/>
    <cellStyle name="Total 11 7 4" xfId="29427"/>
    <cellStyle name="Total 11 7_Table 2A-1_EFT (Annual)" xfId="8508"/>
    <cellStyle name="Total 11 8" xfId="9405"/>
    <cellStyle name="Total 11 8 2" xfId="21570"/>
    <cellStyle name="Total 11 8 2 2" xfId="42756"/>
    <cellStyle name="Total 11 8 3" xfId="32152"/>
    <cellStyle name="Total 11 9" xfId="16457"/>
    <cellStyle name="Total 11 9 2" xfId="37644"/>
    <cellStyle name="Total 11_Table 2A-1_EFT (Annual)" xfId="3514"/>
    <cellStyle name="Total 12" xfId="144"/>
    <cellStyle name="Total 12 10" xfId="26699"/>
    <cellStyle name="Total 12 2" xfId="537"/>
    <cellStyle name="Total 12 2 2" xfId="1514"/>
    <cellStyle name="Total 12 2 2 2" xfId="2784"/>
    <cellStyle name="Total 12 2 2 2 2" xfId="6345"/>
    <cellStyle name="Total 12 2 2 2 2 2" xfId="14539"/>
    <cellStyle name="Total 12 2 2 2 2 2 2" xfId="26511"/>
    <cellStyle name="Total 12 2 2 2 2 2 2 2" xfId="47697"/>
    <cellStyle name="Total 12 2 2 2 2 2 3" xfId="37093"/>
    <cellStyle name="Total 12 2 2 2 2 3" xfId="21398"/>
    <cellStyle name="Total 12 2 2 2 2 3 2" xfId="42585"/>
    <cellStyle name="Total 12 2 2 2 2 4" xfId="32001"/>
    <cellStyle name="Total 12 2 2 2 2_Table 2A-1_EFT (Annual)" xfId="8511"/>
    <cellStyle name="Total 12 2 2 2 3" xfId="11881"/>
    <cellStyle name="Total 12 2 2 2 3 2" xfId="23965"/>
    <cellStyle name="Total 12 2 2 2 3 2 2" xfId="45151"/>
    <cellStyle name="Total 12 2 2 2 3 3" xfId="34547"/>
    <cellStyle name="Total 12 2 2 2 4" xfId="18852"/>
    <cellStyle name="Total 12 2 2 2 4 2" xfId="40039"/>
    <cellStyle name="Total 12 2 2 2 5" xfId="29258"/>
    <cellStyle name="Total 12 2 2 2_Table 2A-1_EFT (Annual)" xfId="8510"/>
    <cellStyle name="Total 12 2 2 3" xfId="5075"/>
    <cellStyle name="Total 12 2 2 3 2" xfId="13335"/>
    <cellStyle name="Total 12 2 2 3 2 2" xfId="25341"/>
    <cellStyle name="Total 12 2 2 3 2 2 2" xfId="46527"/>
    <cellStyle name="Total 12 2 2 3 2 3" xfId="35923"/>
    <cellStyle name="Total 12 2 2 3 3" xfId="20228"/>
    <cellStyle name="Total 12 2 2 3 3 2" xfId="41415"/>
    <cellStyle name="Total 12 2 2 3 4" xfId="30732"/>
    <cellStyle name="Total 12 2 2 3_Table 2A-1_EFT (Annual)" xfId="8512"/>
    <cellStyle name="Total 12 2 2 4" xfId="10679"/>
    <cellStyle name="Total 12 2 2 4 2" xfId="22795"/>
    <cellStyle name="Total 12 2 2 4 2 2" xfId="43981"/>
    <cellStyle name="Total 12 2 2 4 3" xfId="33377"/>
    <cellStyle name="Total 12 2 2 5" xfId="17682"/>
    <cellStyle name="Total 12 2 2 5 2" xfId="38869"/>
    <cellStyle name="Total 12 2 2 6" xfId="27989"/>
    <cellStyle name="Total 12 2 2_Table 2A-1_EFT (Annual)" xfId="8509"/>
    <cellStyle name="Total 12 2 3" xfId="1046"/>
    <cellStyle name="Total 12 2 3 2" xfId="4607"/>
    <cellStyle name="Total 12 2 3 2 2" xfId="12867"/>
    <cellStyle name="Total 12 2 3 2 2 2" xfId="24873"/>
    <cellStyle name="Total 12 2 3 2 2 2 2" xfId="46059"/>
    <cellStyle name="Total 12 2 3 2 2 3" xfId="35455"/>
    <cellStyle name="Total 12 2 3 2 3" xfId="19760"/>
    <cellStyle name="Total 12 2 3 2 3 2" xfId="40947"/>
    <cellStyle name="Total 12 2 3 2 4" xfId="30264"/>
    <cellStyle name="Total 12 2 3 2_Table 2A-1_EFT (Annual)" xfId="8514"/>
    <cellStyle name="Total 12 2 3 3" xfId="10211"/>
    <cellStyle name="Total 12 2 3 3 2" xfId="22327"/>
    <cellStyle name="Total 12 2 3 3 2 2" xfId="43513"/>
    <cellStyle name="Total 12 2 3 3 3" xfId="32909"/>
    <cellStyle name="Total 12 2 3 4" xfId="17214"/>
    <cellStyle name="Total 12 2 3 4 2" xfId="38401"/>
    <cellStyle name="Total 12 2 3 5" xfId="27521"/>
    <cellStyle name="Total 12 2 3_Table 2A-1_EFT (Annual)" xfId="8513"/>
    <cellStyle name="Total 12 2 4" xfId="2253"/>
    <cellStyle name="Total 12 2 4 2" xfId="5814"/>
    <cellStyle name="Total 12 2 4 2 2" xfId="14029"/>
    <cellStyle name="Total 12 2 4 2 2 2" xfId="26017"/>
    <cellStyle name="Total 12 2 4 2 2 2 2" xfId="47203"/>
    <cellStyle name="Total 12 2 4 2 2 3" xfId="36599"/>
    <cellStyle name="Total 12 2 4 2 3" xfId="20904"/>
    <cellStyle name="Total 12 2 4 2 3 2" xfId="42091"/>
    <cellStyle name="Total 12 2 4 2 4" xfId="31471"/>
    <cellStyle name="Total 12 2 4 2_Table 2A-1_EFT (Annual)" xfId="8516"/>
    <cellStyle name="Total 12 2 4 3" xfId="11373"/>
    <cellStyle name="Total 12 2 4 3 2" xfId="23471"/>
    <cellStyle name="Total 12 2 4 3 2 2" xfId="44657"/>
    <cellStyle name="Total 12 2 4 3 3" xfId="34053"/>
    <cellStyle name="Total 12 2 4 4" xfId="18358"/>
    <cellStyle name="Total 12 2 4 4 2" xfId="39545"/>
    <cellStyle name="Total 12 2 4 5" xfId="28728"/>
    <cellStyle name="Total 12 2 4_Table 2A-1_EFT (Annual)" xfId="8515"/>
    <cellStyle name="Total 12 2 5" xfId="4107"/>
    <cellStyle name="Total 12 2 5 2" xfId="12431"/>
    <cellStyle name="Total 12 2 5 2 2" xfId="24453"/>
    <cellStyle name="Total 12 2 5 2 2 2" xfId="45639"/>
    <cellStyle name="Total 12 2 5 2 3" xfId="35035"/>
    <cellStyle name="Total 12 2 5 3" xfId="19340"/>
    <cellStyle name="Total 12 2 5 3 2" xfId="40527"/>
    <cellStyle name="Total 12 2 5 4" xfId="29795"/>
    <cellStyle name="Total 12 2 5_Table 2A-1_EFT (Annual)" xfId="8517"/>
    <cellStyle name="Total 12 2 6" xfId="9770"/>
    <cellStyle name="Total 12 2 6 2" xfId="21907"/>
    <cellStyle name="Total 12 2 6 2 2" xfId="43093"/>
    <cellStyle name="Total 12 2 6 3" xfId="32489"/>
    <cellStyle name="Total 12 2 7" xfId="16794"/>
    <cellStyle name="Total 12 2 7 2" xfId="37981"/>
    <cellStyle name="Total 12 2 8" xfId="27052"/>
    <cellStyle name="Total 12 2_Table 2A-1_EFT (Annual)" xfId="3518"/>
    <cellStyle name="Total 12 3" xfId="375"/>
    <cellStyle name="Total 12 3 2" xfId="1358"/>
    <cellStyle name="Total 12 3 2 2" xfId="2628"/>
    <cellStyle name="Total 12 3 2 2 2" xfId="6189"/>
    <cellStyle name="Total 12 3 2 2 2 2" xfId="14383"/>
    <cellStyle name="Total 12 3 2 2 2 2 2" xfId="26355"/>
    <cellStyle name="Total 12 3 2 2 2 2 2 2" xfId="47541"/>
    <cellStyle name="Total 12 3 2 2 2 2 3" xfId="36937"/>
    <cellStyle name="Total 12 3 2 2 2 3" xfId="21242"/>
    <cellStyle name="Total 12 3 2 2 2 3 2" xfId="42429"/>
    <cellStyle name="Total 12 3 2 2 2 4" xfId="31845"/>
    <cellStyle name="Total 12 3 2 2 2_Table 2A-1_EFT (Annual)" xfId="8520"/>
    <cellStyle name="Total 12 3 2 2 3" xfId="11725"/>
    <cellStyle name="Total 12 3 2 2 3 2" xfId="23809"/>
    <cellStyle name="Total 12 3 2 2 3 2 2" xfId="44995"/>
    <cellStyle name="Total 12 3 2 2 3 3" xfId="34391"/>
    <cellStyle name="Total 12 3 2 2 4" xfId="18696"/>
    <cellStyle name="Total 12 3 2 2 4 2" xfId="39883"/>
    <cellStyle name="Total 12 3 2 2 5" xfId="29102"/>
    <cellStyle name="Total 12 3 2 2_Table 2A-1_EFT (Annual)" xfId="8519"/>
    <cellStyle name="Total 12 3 2 3" xfId="4919"/>
    <cellStyle name="Total 12 3 2 3 2" xfId="13179"/>
    <cellStyle name="Total 12 3 2 3 2 2" xfId="25185"/>
    <cellStyle name="Total 12 3 2 3 2 2 2" xfId="46371"/>
    <cellStyle name="Total 12 3 2 3 2 3" xfId="35767"/>
    <cellStyle name="Total 12 3 2 3 3" xfId="20072"/>
    <cellStyle name="Total 12 3 2 3 3 2" xfId="41259"/>
    <cellStyle name="Total 12 3 2 3 4" xfId="30576"/>
    <cellStyle name="Total 12 3 2 3_Table 2A-1_EFT (Annual)" xfId="8521"/>
    <cellStyle name="Total 12 3 2 4" xfId="10523"/>
    <cellStyle name="Total 12 3 2 4 2" xfId="22639"/>
    <cellStyle name="Total 12 3 2 4 2 2" xfId="43825"/>
    <cellStyle name="Total 12 3 2 4 3" xfId="33221"/>
    <cellStyle name="Total 12 3 2 5" xfId="17526"/>
    <cellStyle name="Total 12 3 2 5 2" xfId="38713"/>
    <cellStyle name="Total 12 3 2 6" xfId="27833"/>
    <cellStyle name="Total 12 3 2_Table 2A-1_EFT (Annual)" xfId="8518"/>
    <cellStyle name="Total 12 3 3" xfId="914"/>
    <cellStyle name="Total 12 3 3 2" xfId="4475"/>
    <cellStyle name="Total 12 3 3 2 2" xfId="12737"/>
    <cellStyle name="Total 12 3 3 2 2 2" xfId="24747"/>
    <cellStyle name="Total 12 3 3 2 2 2 2" xfId="45933"/>
    <cellStyle name="Total 12 3 3 2 2 3" xfId="35329"/>
    <cellStyle name="Total 12 3 3 2 3" xfId="19634"/>
    <cellStyle name="Total 12 3 3 2 3 2" xfId="40821"/>
    <cellStyle name="Total 12 3 3 2 4" xfId="30132"/>
    <cellStyle name="Total 12 3 3 2_Table 2A-1_EFT (Annual)" xfId="8523"/>
    <cellStyle name="Total 12 3 3 3" xfId="10084"/>
    <cellStyle name="Total 12 3 3 3 2" xfId="22201"/>
    <cellStyle name="Total 12 3 3 3 2 2" xfId="43387"/>
    <cellStyle name="Total 12 3 3 3 3" xfId="32783"/>
    <cellStyle name="Total 12 3 3 4" xfId="17088"/>
    <cellStyle name="Total 12 3 3 4 2" xfId="38275"/>
    <cellStyle name="Total 12 3 3 5" xfId="27389"/>
    <cellStyle name="Total 12 3 3_Table 2A-1_EFT (Annual)" xfId="8522"/>
    <cellStyle name="Total 12 3 4" xfId="2097"/>
    <cellStyle name="Total 12 3 4 2" xfId="5658"/>
    <cellStyle name="Total 12 3 4 2 2" xfId="13873"/>
    <cellStyle name="Total 12 3 4 2 2 2" xfId="25861"/>
    <cellStyle name="Total 12 3 4 2 2 2 2" xfId="47047"/>
    <cellStyle name="Total 12 3 4 2 2 3" xfId="36443"/>
    <cellStyle name="Total 12 3 4 2 3" xfId="20748"/>
    <cellStyle name="Total 12 3 4 2 3 2" xfId="41935"/>
    <cellStyle name="Total 12 3 4 2 4" xfId="31315"/>
    <cellStyle name="Total 12 3 4 2_Table 2A-1_EFT (Annual)" xfId="8525"/>
    <cellStyle name="Total 12 3 4 3" xfId="11217"/>
    <cellStyle name="Total 12 3 4 3 2" xfId="23315"/>
    <cellStyle name="Total 12 3 4 3 2 2" xfId="44501"/>
    <cellStyle name="Total 12 3 4 3 3" xfId="33897"/>
    <cellStyle name="Total 12 3 4 4" xfId="18202"/>
    <cellStyle name="Total 12 3 4 4 2" xfId="39389"/>
    <cellStyle name="Total 12 3 4 5" xfId="28572"/>
    <cellStyle name="Total 12 3 4_Table 2A-1_EFT (Annual)" xfId="8524"/>
    <cellStyle name="Total 12 3 5" xfId="3945"/>
    <cellStyle name="Total 12 3 5 2" xfId="12273"/>
    <cellStyle name="Total 12 3 5 2 2" xfId="24297"/>
    <cellStyle name="Total 12 3 5 2 2 2" xfId="45483"/>
    <cellStyle name="Total 12 3 5 2 3" xfId="34879"/>
    <cellStyle name="Total 12 3 5 3" xfId="19184"/>
    <cellStyle name="Total 12 3 5 3 2" xfId="40371"/>
    <cellStyle name="Total 12 3 5 4" xfId="29633"/>
    <cellStyle name="Total 12 3 5_Table 2A-1_EFT (Annual)" xfId="8526"/>
    <cellStyle name="Total 12 3 6" xfId="9610"/>
    <cellStyle name="Total 12 3 6 2" xfId="21751"/>
    <cellStyle name="Total 12 3 6 2 2" xfId="42937"/>
    <cellStyle name="Total 12 3 6 3" xfId="32333"/>
    <cellStyle name="Total 12 3 7" xfId="16638"/>
    <cellStyle name="Total 12 3 7 2" xfId="37825"/>
    <cellStyle name="Total 12 3 8" xfId="26890"/>
    <cellStyle name="Total 12 3_Table 2A-1_EFT (Annual)" xfId="3519"/>
    <cellStyle name="Total 12 4" xfId="1192"/>
    <cellStyle name="Total 12 4 2" xfId="2462"/>
    <cellStyle name="Total 12 4 2 2" xfId="6023"/>
    <cellStyle name="Total 12 4 2 2 2" xfId="14217"/>
    <cellStyle name="Total 12 4 2 2 2 2" xfId="26189"/>
    <cellStyle name="Total 12 4 2 2 2 2 2" xfId="47375"/>
    <cellStyle name="Total 12 4 2 2 2 3" xfId="36771"/>
    <cellStyle name="Total 12 4 2 2 3" xfId="21076"/>
    <cellStyle name="Total 12 4 2 2 3 2" xfId="42263"/>
    <cellStyle name="Total 12 4 2 2 4" xfId="31679"/>
    <cellStyle name="Total 12 4 2 2_Table 2A-1_EFT (Annual)" xfId="8529"/>
    <cellStyle name="Total 12 4 2 3" xfId="11559"/>
    <cellStyle name="Total 12 4 2 3 2" xfId="23643"/>
    <cellStyle name="Total 12 4 2 3 2 2" xfId="44829"/>
    <cellStyle name="Total 12 4 2 3 3" xfId="34225"/>
    <cellStyle name="Total 12 4 2 4" xfId="18530"/>
    <cellStyle name="Total 12 4 2 4 2" xfId="39717"/>
    <cellStyle name="Total 12 4 2 5" xfId="28936"/>
    <cellStyle name="Total 12 4 2_Table 2A-1_EFT (Annual)" xfId="8528"/>
    <cellStyle name="Total 12 4 3" xfId="4753"/>
    <cellStyle name="Total 12 4 3 2" xfId="13013"/>
    <cellStyle name="Total 12 4 3 2 2" xfId="25019"/>
    <cellStyle name="Total 12 4 3 2 2 2" xfId="46205"/>
    <cellStyle name="Total 12 4 3 2 3" xfId="35601"/>
    <cellStyle name="Total 12 4 3 3" xfId="19906"/>
    <cellStyle name="Total 12 4 3 3 2" xfId="41093"/>
    <cellStyle name="Total 12 4 3 4" xfId="30410"/>
    <cellStyle name="Total 12 4 3_Table 2A-1_EFT (Annual)" xfId="8530"/>
    <cellStyle name="Total 12 4 4" xfId="10357"/>
    <cellStyle name="Total 12 4 4 2" xfId="22473"/>
    <cellStyle name="Total 12 4 4 2 2" xfId="43659"/>
    <cellStyle name="Total 12 4 4 3" xfId="33055"/>
    <cellStyle name="Total 12 4 5" xfId="17360"/>
    <cellStyle name="Total 12 4 5 2" xfId="38547"/>
    <cellStyle name="Total 12 4 6" xfId="27667"/>
    <cellStyle name="Total 12 4_Table 2A-1_EFT (Annual)" xfId="8527"/>
    <cellStyle name="Total 12 5" xfId="755"/>
    <cellStyle name="Total 12 5 2" xfId="4316"/>
    <cellStyle name="Total 12 5 2 2" xfId="12596"/>
    <cellStyle name="Total 12 5 2 2 2" xfId="24613"/>
    <cellStyle name="Total 12 5 2 2 2 2" xfId="45799"/>
    <cellStyle name="Total 12 5 2 2 3" xfId="35195"/>
    <cellStyle name="Total 12 5 2 3" xfId="19500"/>
    <cellStyle name="Total 12 5 2 3 2" xfId="40687"/>
    <cellStyle name="Total 12 5 2 4" xfId="29973"/>
    <cellStyle name="Total 12 5 2_Table 2A-1_EFT (Annual)" xfId="8532"/>
    <cellStyle name="Total 12 5 3" xfId="9944"/>
    <cellStyle name="Total 12 5 3 2" xfId="22067"/>
    <cellStyle name="Total 12 5 3 2 2" xfId="43253"/>
    <cellStyle name="Total 12 5 3 3" xfId="32649"/>
    <cellStyle name="Total 12 5 4" xfId="16954"/>
    <cellStyle name="Total 12 5 4 2" xfId="38141"/>
    <cellStyle name="Total 12 5 5" xfId="27230"/>
    <cellStyle name="Total 12 5_Table 2A-1_EFT (Annual)" xfId="8531"/>
    <cellStyle name="Total 12 6" xfId="1852"/>
    <cellStyle name="Total 12 6 2" xfId="5413"/>
    <cellStyle name="Total 12 6 2 2" xfId="13628"/>
    <cellStyle name="Total 12 6 2 2 2" xfId="25616"/>
    <cellStyle name="Total 12 6 2 2 2 2" xfId="46802"/>
    <cellStyle name="Total 12 6 2 2 3" xfId="36198"/>
    <cellStyle name="Total 12 6 2 3" xfId="20503"/>
    <cellStyle name="Total 12 6 2 3 2" xfId="41690"/>
    <cellStyle name="Total 12 6 2 4" xfId="31070"/>
    <cellStyle name="Total 12 6 2_Table 2A-1_EFT (Annual)" xfId="8534"/>
    <cellStyle name="Total 12 6 3" xfId="10972"/>
    <cellStyle name="Total 12 6 3 2" xfId="23070"/>
    <cellStyle name="Total 12 6 3 2 2" xfId="44256"/>
    <cellStyle name="Total 12 6 3 3" xfId="33652"/>
    <cellStyle name="Total 12 6 4" xfId="17957"/>
    <cellStyle name="Total 12 6 4 2" xfId="39144"/>
    <cellStyle name="Total 12 6 5" xfId="28327"/>
    <cellStyle name="Total 12 6_Table 2A-1_EFT (Annual)" xfId="8533"/>
    <cellStyle name="Total 12 7" xfId="3733"/>
    <cellStyle name="Total 12 7 2" xfId="12101"/>
    <cellStyle name="Total 12 7 2 2" xfId="24131"/>
    <cellStyle name="Total 12 7 2 2 2" xfId="45317"/>
    <cellStyle name="Total 12 7 2 3" xfId="34713"/>
    <cellStyle name="Total 12 7 3" xfId="19018"/>
    <cellStyle name="Total 12 7 3 2" xfId="40205"/>
    <cellStyle name="Total 12 7 4" xfId="29442"/>
    <cellStyle name="Total 12 7_Table 2A-1_EFT (Annual)" xfId="8535"/>
    <cellStyle name="Total 12 8" xfId="9420"/>
    <cellStyle name="Total 12 8 2" xfId="21585"/>
    <cellStyle name="Total 12 8 2 2" xfId="42771"/>
    <cellStyle name="Total 12 8 3" xfId="32167"/>
    <cellStyle name="Total 12 9" xfId="16472"/>
    <cellStyle name="Total 12 9 2" xfId="37659"/>
    <cellStyle name="Total 12_Table 2A-1_EFT (Annual)" xfId="3517"/>
    <cellStyle name="Total 13" xfId="152"/>
    <cellStyle name="Total 13 10" xfId="26707"/>
    <cellStyle name="Total 13 2" xfId="545"/>
    <cellStyle name="Total 13 2 2" xfId="1522"/>
    <cellStyle name="Total 13 2 2 2" xfId="2792"/>
    <cellStyle name="Total 13 2 2 2 2" xfId="6353"/>
    <cellStyle name="Total 13 2 2 2 2 2" xfId="14547"/>
    <cellStyle name="Total 13 2 2 2 2 2 2" xfId="26519"/>
    <cellStyle name="Total 13 2 2 2 2 2 2 2" xfId="47705"/>
    <cellStyle name="Total 13 2 2 2 2 2 3" xfId="37101"/>
    <cellStyle name="Total 13 2 2 2 2 3" xfId="21406"/>
    <cellStyle name="Total 13 2 2 2 2 3 2" xfId="42593"/>
    <cellStyle name="Total 13 2 2 2 2 4" xfId="32009"/>
    <cellStyle name="Total 13 2 2 2 2_Table 2A-1_EFT (Annual)" xfId="8538"/>
    <cellStyle name="Total 13 2 2 2 3" xfId="11889"/>
    <cellStyle name="Total 13 2 2 2 3 2" xfId="23973"/>
    <cellStyle name="Total 13 2 2 2 3 2 2" xfId="45159"/>
    <cellStyle name="Total 13 2 2 2 3 3" xfId="34555"/>
    <cellStyle name="Total 13 2 2 2 4" xfId="18860"/>
    <cellStyle name="Total 13 2 2 2 4 2" xfId="40047"/>
    <cellStyle name="Total 13 2 2 2 5" xfId="29266"/>
    <cellStyle name="Total 13 2 2 2_Table 2A-1_EFT (Annual)" xfId="8537"/>
    <cellStyle name="Total 13 2 2 3" xfId="5083"/>
    <cellStyle name="Total 13 2 2 3 2" xfId="13343"/>
    <cellStyle name="Total 13 2 2 3 2 2" xfId="25349"/>
    <cellStyle name="Total 13 2 2 3 2 2 2" xfId="46535"/>
    <cellStyle name="Total 13 2 2 3 2 3" xfId="35931"/>
    <cellStyle name="Total 13 2 2 3 3" xfId="20236"/>
    <cellStyle name="Total 13 2 2 3 3 2" xfId="41423"/>
    <cellStyle name="Total 13 2 2 3 4" xfId="30740"/>
    <cellStyle name="Total 13 2 2 3_Table 2A-1_EFT (Annual)" xfId="8539"/>
    <cellStyle name="Total 13 2 2 4" xfId="10687"/>
    <cellStyle name="Total 13 2 2 4 2" xfId="22803"/>
    <cellStyle name="Total 13 2 2 4 2 2" xfId="43989"/>
    <cellStyle name="Total 13 2 2 4 3" xfId="33385"/>
    <cellStyle name="Total 13 2 2 5" xfId="17690"/>
    <cellStyle name="Total 13 2 2 5 2" xfId="38877"/>
    <cellStyle name="Total 13 2 2 6" xfId="27997"/>
    <cellStyle name="Total 13 2 2_Table 2A-1_EFT (Annual)" xfId="8536"/>
    <cellStyle name="Total 13 2 3" xfId="1052"/>
    <cellStyle name="Total 13 2 3 2" xfId="4613"/>
    <cellStyle name="Total 13 2 3 2 2" xfId="12873"/>
    <cellStyle name="Total 13 2 3 2 2 2" xfId="24879"/>
    <cellStyle name="Total 13 2 3 2 2 2 2" xfId="46065"/>
    <cellStyle name="Total 13 2 3 2 2 3" xfId="35461"/>
    <cellStyle name="Total 13 2 3 2 3" xfId="19766"/>
    <cellStyle name="Total 13 2 3 2 3 2" xfId="40953"/>
    <cellStyle name="Total 13 2 3 2 4" xfId="30270"/>
    <cellStyle name="Total 13 2 3 2_Table 2A-1_EFT (Annual)" xfId="8541"/>
    <cellStyle name="Total 13 2 3 3" xfId="10217"/>
    <cellStyle name="Total 13 2 3 3 2" xfId="22333"/>
    <cellStyle name="Total 13 2 3 3 2 2" xfId="43519"/>
    <cellStyle name="Total 13 2 3 3 3" xfId="32915"/>
    <cellStyle name="Total 13 2 3 4" xfId="17220"/>
    <cellStyle name="Total 13 2 3 4 2" xfId="38407"/>
    <cellStyle name="Total 13 2 3 5" xfId="27527"/>
    <cellStyle name="Total 13 2 3_Table 2A-1_EFT (Annual)" xfId="8540"/>
    <cellStyle name="Total 13 2 4" xfId="2261"/>
    <cellStyle name="Total 13 2 4 2" xfId="5822"/>
    <cellStyle name="Total 13 2 4 2 2" xfId="14037"/>
    <cellStyle name="Total 13 2 4 2 2 2" xfId="26025"/>
    <cellStyle name="Total 13 2 4 2 2 2 2" xfId="47211"/>
    <cellStyle name="Total 13 2 4 2 2 3" xfId="36607"/>
    <cellStyle name="Total 13 2 4 2 3" xfId="20912"/>
    <cellStyle name="Total 13 2 4 2 3 2" xfId="42099"/>
    <cellStyle name="Total 13 2 4 2 4" xfId="31479"/>
    <cellStyle name="Total 13 2 4 2_Table 2A-1_EFT (Annual)" xfId="8543"/>
    <cellStyle name="Total 13 2 4 3" xfId="11381"/>
    <cellStyle name="Total 13 2 4 3 2" xfId="23479"/>
    <cellStyle name="Total 13 2 4 3 2 2" xfId="44665"/>
    <cellStyle name="Total 13 2 4 3 3" xfId="34061"/>
    <cellStyle name="Total 13 2 4 4" xfId="18366"/>
    <cellStyle name="Total 13 2 4 4 2" xfId="39553"/>
    <cellStyle name="Total 13 2 4 5" xfId="28736"/>
    <cellStyle name="Total 13 2 4_Table 2A-1_EFT (Annual)" xfId="8542"/>
    <cellStyle name="Total 13 2 5" xfId="4115"/>
    <cellStyle name="Total 13 2 5 2" xfId="12439"/>
    <cellStyle name="Total 13 2 5 2 2" xfId="24461"/>
    <cellStyle name="Total 13 2 5 2 2 2" xfId="45647"/>
    <cellStyle name="Total 13 2 5 2 3" xfId="35043"/>
    <cellStyle name="Total 13 2 5 3" xfId="19348"/>
    <cellStyle name="Total 13 2 5 3 2" xfId="40535"/>
    <cellStyle name="Total 13 2 5 4" xfId="29803"/>
    <cellStyle name="Total 13 2 5_Table 2A-1_EFT (Annual)" xfId="8544"/>
    <cellStyle name="Total 13 2 6" xfId="9778"/>
    <cellStyle name="Total 13 2 6 2" xfId="21915"/>
    <cellStyle name="Total 13 2 6 2 2" xfId="43101"/>
    <cellStyle name="Total 13 2 6 3" xfId="32497"/>
    <cellStyle name="Total 13 2 7" xfId="16802"/>
    <cellStyle name="Total 13 2 7 2" xfId="37989"/>
    <cellStyle name="Total 13 2 8" xfId="27060"/>
    <cellStyle name="Total 13 2_Table 2A-1_EFT (Annual)" xfId="3521"/>
    <cellStyle name="Total 13 3" xfId="383"/>
    <cellStyle name="Total 13 3 2" xfId="1366"/>
    <cellStyle name="Total 13 3 2 2" xfId="2636"/>
    <cellStyle name="Total 13 3 2 2 2" xfId="6197"/>
    <cellStyle name="Total 13 3 2 2 2 2" xfId="14391"/>
    <cellStyle name="Total 13 3 2 2 2 2 2" xfId="26363"/>
    <cellStyle name="Total 13 3 2 2 2 2 2 2" xfId="47549"/>
    <cellStyle name="Total 13 3 2 2 2 2 3" xfId="36945"/>
    <cellStyle name="Total 13 3 2 2 2 3" xfId="21250"/>
    <cellStyle name="Total 13 3 2 2 2 3 2" xfId="42437"/>
    <cellStyle name="Total 13 3 2 2 2 4" xfId="31853"/>
    <cellStyle name="Total 13 3 2 2 2_Table 2A-1_EFT (Annual)" xfId="8547"/>
    <cellStyle name="Total 13 3 2 2 3" xfId="11733"/>
    <cellStyle name="Total 13 3 2 2 3 2" xfId="23817"/>
    <cellStyle name="Total 13 3 2 2 3 2 2" xfId="45003"/>
    <cellStyle name="Total 13 3 2 2 3 3" xfId="34399"/>
    <cellStyle name="Total 13 3 2 2 4" xfId="18704"/>
    <cellStyle name="Total 13 3 2 2 4 2" xfId="39891"/>
    <cellStyle name="Total 13 3 2 2 5" xfId="29110"/>
    <cellStyle name="Total 13 3 2 2_Table 2A-1_EFT (Annual)" xfId="8546"/>
    <cellStyle name="Total 13 3 2 3" xfId="4927"/>
    <cellStyle name="Total 13 3 2 3 2" xfId="13187"/>
    <cellStyle name="Total 13 3 2 3 2 2" xfId="25193"/>
    <cellStyle name="Total 13 3 2 3 2 2 2" xfId="46379"/>
    <cellStyle name="Total 13 3 2 3 2 3" xfId="35775"/>
    <cellStyle name="Total 13 3 2 3 3" xfId="20080"/>
    <cellStyle name="Total 13 3 2 3 3 2" xfId="41267"/>
    <cellStyle name="Total 13 3 2 3 4" xfId="30584"/>
    <cellStyle name="Total 13 3 2 3_Table 2A-1_EFT (Annual)" xfId="8548"/>
    <cellStyle name="Total 13 3 2 4" xfId="10531"/>
    <cellStyle name="Total 13 3 2 4 2" xfId="22647"/>
    <cellStyle name="Total 13 3 2 4 2 2" xfId="43833"/>
    <cellStyle name="Total 13 3 2 4 3" xfId="33229"/>
    <cellStyle name="Total 13 3 2 5" xfId="17534"/>
    <cellStyle name="Total 13 3 2 5 2" xfId="38721"/>
    <cellStyle name="Total 13 3 2 6" xfId="27841"/>
    <cellStyle name="Total 13 3 2_Table 2A-1_EFT (Annual)" xfId="8545"/>
    <cellStyle name="Total 13 3 3" xfId="920"/>
    <cellStyle name="Total 13 3 3 2" xfId="4481"/>
    <cellStyle name="Total 13 3 3 2 2" xfId="12743"/>
    <cellStyle name="Total 13 3 3 2 2 2" xfId="24753"/>
    <cellStyle name="Total 13 3 3 2 2 2 2" xfId="45939"/>
    <cellStyle name="Total 13 3 3 2 2 3" xfId="35335"/>
    <cellStyle name="Total 13 3 3 2 3" xfId="19640"/>
    <cellStyle name="Total 13 3 3 2 3 2" xfId="40827"/>
    <cellStyle name="Total 13 3 3 2 4" xfId="30138"/>
    <cellStyle name="Total 13 3 3 2_Table 2A-1_EFT (Annual)" xfId="8550"/>
    <cellStyle name="Total 13 3 3 3" xfId="10090"/>
    <cellStyle name="Total 13 3 3 3 2" xfId="22207"/>
    <cellStyle name="Total 13 3 3 3 2 2" xfId="43393"/>
    <cellStyle name="Total 13 3 3 3 3" xfId="32789"/>
    <cellStyle name="Total 13 3 3 4" xfId="17094"/>
    <cellStyle name="Total 13 3 3 4 2" xfId="38281"/>
    <cellStyle name="Total 13 3 3 5" xfId="27395"/>
    <cellStyle name="Total 13 3 3_Table 2A-1_EFT (Annual)" xfId="8549"/>
    <cellStyle name="Total 13 3 4" xfId="2105"/>
    <cellStyle name="Total 13 3 4 2" xfId="5666"/>
    <cellStyle name="Total 13 3 4 2 2" xfId="13881"/>
    <cellStyle name="Total 13 3 4 2 2 2" xfId="25869"/>
    <cellStyle name="Total 13 3 4 2 2 2 2" xfId="47055"/>
    <cellStyle name="Total 13 3 4 2 2 3" xfId="36451"/>
    <cellStyle name="Total 13 3 4 2 3" xfId="20756"/>
    <cellStyle name="Total 13 3 4 2 3 2" xfId="41943"/>
    <cellStyle name="Total 13 3 4 2 4" xfId="31323"/>
    <cellStyle name="Total 13 3 4 2_Table 2A-1_EFT (Annual)" xfId="8552"/>
    <cellStyle name="Total 13 3 4 3" xfId="11225"/>
    <cellStyle name="Total 13 3 4 3 2" xfId="23323"/>
    <cellStyle name="Total 13 3 4 3 2 2" xfId="44509"/>
    <cellStyle name="Total 13 3 4 3 3" xfId="33905"/>
    <cellStyle name="Total 13 3 4 4" xfId="18210"/>
    <cellStyle name="Total 13 3 4 4 2" xfId="39397"/>
    <cellStyle name="Total 13 3 4 5" xfId="28580"/>
    <cellStyle name="Total 13 3 4_Table 2A-1_EFT (Annual)" xfId="8551"/>
    <cellStyle name="Total 13 3 5" xfId="3953"/>
    <cellStyle name="Total 13 3 5 2" xfId="12281"/>
    <cellStyle name="Total 13 3 5 2 2" xfId="24305"/>
    <cellStyle name="Total 13 3 5 2 2 2" xfId="45491"/>
    <cellStyle name="Total 13 3 5 2 3" xfId="34887"/>
    <cellStyle name="Total 13 3 5 3" xfId="19192"/>
    <cellStyle name="Total 13 3 5 3 2" xfId="40379"/>
    <cellStyle name="Total 13 3 5 4" xfId="29641"/>
    <cellStyle name="Total 13 3 5_Table 2A-1_EFT (Annual)" xfId="8553"/>
    <cellStyle name="Total 13 3 6" xfId="9618"/>
    <cellStyle name="Total 13 3 6 2" xfId="21759"/>
    <cellStyle name="Total 13 3 6 2 2" xfId="42945"/>
    <cellStyle name="Total 13 3 6 3" xfId="32341"/>
    <cellStyle name="Total 13 3 7" xfId="16646"/>
    <cellStyle name="Total 13 3 7 2" xfId="37833"/>
    <cellStyle name="Total 13 3 8" xfId="26898"/>
    <cellStyle name="Total 13 3_Table 2A-1_EFT (Annual)" xfId="3522"/>
    <cellStyle name="Total 13 4" xfId="1200"/>
    <cellStyle name="Total 13 4 2" xfId="2470"/>
    <cellStyle name="Total 13 4 2 2" xfId="6031"/>
    <cellStyle name="Total 13 4 2 2 2" xfId="14225"/>
    <cellStyle name="Total 13 4 2 2 2 2" xfId="26197"/>
    <cellStyle name="Total 13 4 2 2 2 2 2" xfId="47383"/>
    <cellStyle name="Total 13 4 2 2 2 3" xfId="36779"/>
    <cellStyle name="Total 13 4 2 2 3" xfId="21084"/>
    <cellStyle name="Total 13 4 2 2 3 2" xfId="42271"/>
    <cellStyle name="Total 13 4 2 2 4" xfId="31687"/>
    <cellStyle name="Total 13 4 2 2_Table 2A-1_EFT (Annual)" xfId="8556"/>
    <cellStyle name="Total 13 4 2 3" xfId="11567"/>
    <cellStyle name="Total 13 4 2 3 2" xfId="23651"/>
    <cellStyle name="Total 13 4 2 3 2 2" xfId="44837"/>
    <cellStyle name="Total 13 4 2 3 3" xfId="34233"/>
    <cellStyle name="Total 13 4 2 4" xfId="18538"/>
    <cellStyle name="Total 13 4 2 4 2" xfId="39725"/>
    <cellStyle name="Total 13 4 2 5" xfId="28944"/>
    <cellStyle name="Total 13 4 2_Table 2A-1_EFT (Annual)" xfId="8555"/>
    <cellStyle name="Total 13 4 3" xfId="4761"/>
    <cellStyle name="Total 13 4 3 2" xfId="13021"/>
    <cellStyle name="Total 13 4 3 2 2" xfId="25027"/>
    <cellStyle name="Total 13 4 3 2 2 2" xfId="46213"/>
    <cellStyle name="Total 13 4 3 2 3" xfId="35609"/>
    <cellStyle name="Total 13 4 3 3" xfId="19914"/>
    <cellStyle name="Total 13 4 3 3 2" xfId="41101"/>
    <cellStyle name="Total 13 4 3 4" xfId="30418"/>
    <cellStyle name="Total 13 4 3_Table 2A-1_EFT (Annual)" xfId="8557"/>
    <cellStyle name="Total 13 4 4" xfId="10365"/>
    <cellStyle name="Total 13 4 4 2" xfId="22481"/>
    <cellStyle name="Total 13 4 4 2 2" xfId="43667"/>
    <cellStyle name="Total 13 4 4 3" xfId="33063"/>
    <cellStyle name="Total 13 4 5" xfId="17368"/>
    <cellStyle name="Total 13 4 5 2" xfId="38555"/>
    <cellStyle name="Total 13 4 6" xfId="27675"/>
    <cellStyle name="Total 13 4_Table 2A-1_EFT (Annual)" xfId="8554"/>
    <cellStyle name="Total 13 5" xfId="761"/>
    <cellStyle name="Total 13 5 2" xfId="4322"/>
    <cellStyle name="Total 13 5 2 2" xfId="12602"/>
    <cellStyle name="Total 13 5 2 2 2" xfId="24619"/>
    <cellStyle name="Total 13 5 2 2 2 2" xfId="45805"/>
    <cellStyle name="Total 13 5 2 2 3" xfId="35201"/>
    <cellStyle name="Total 13 5 2 3" xfId="19506"/>
    <cellStyle name="Total 13 5 2 3 2" xfId="40693"/>
    <cellStyle name="Total 13 5 2 4" xfId="29979"/>
    <cellStyle name="Total 13 5 2_Table 2A-1_EFT (Annual)" xfId="8559"/>
    <cellStyle name="Total 13 5 3" xfId="9950"/>
    <cellStyle name="Total 13 5 3 2" xfId="22073"/>
    <cellStyle name="Total 13 5 3 2 2" xfId="43259"/>
    <cellStyle name="Total 13 5 3 3" xfId="32655"/>
    <cellStyle name="Total 13 5 4" xfId="16960"/>
    <cellStyle name="Total 13 5 4 2" xfId="38147"/>
    <cellStyle name="Total 13 5 5" xfId="27236"/>
    <cellStyle name="Total 13 5_Table 2A-1_EFT (Annual)" xfId="8558"/>
    <cellStyle name="Total 13 6" xfId="1848"/>
    <cellStyle name="Total 13 6 2" xfId="5409"/>
    <cellStyle name="Total 13 6 2 2" xfId="13624"/>
    <cellStyle name="Total 13 6 2 2 2" xfId="25612"/>
    <cellStyle name="Total 13 6 2 2 2 2" xfId="46798"/>
    <cellStyle name="Total 13 6 2 2 3" xfId="36194"/>
    <cellStyle name="Total 13 6 2 3" xfId="20499"/>
    <cellStyle name="Total 13 6 2 3 2" xfId="41686"/>
    <cellStyle name="Total 13 6 2 4" xfId="31066"/>
    <cellStyle name="Total 13 6 2_Table 2A-1_EFT (Annual)" xfId="8561"/>
    <cellStyle name="Total 13 6 3" xfId="10968"/>
    <cellStyle name="Total 13 6 3 2" xfId="23066"/>
    <cellStyle name="Total 13 6 3 2 2" xfId="44252"/>
    <cellStyle name="Total 13 6 3 3" xfId="33648"/>
    <cellStyle name="Total 13 6 4" xfId="17953"/>
    <cellStyle name="Total 13 6 4 2" xfId="39140"/>
    <cellStyle name="Total 13 6 5" xfId="28323"/>
    <cellStyle name="Total 13 6_Table 2A-1_EFT (Annual)" xfId="8560"/>
    <cellStyle name="Total 13 7" xfId="3741"/>
    <cellStyle name="Total 13 7 2" xfId="12109"/>
    <cellStyle name="Total 13 7 2 2" xfId="24139"/>
    <cellStyle name="Total 13 7 2 2 2" xfId="45325"/>
    <cellStyle name="Total 13 7 2 3" xfId="34721"/>
    <cellStyle name="Total 13 7 3" xfId="19026"/>
    <cellStyle name="Total 13 7 3 2" xfId="40213"/>
    <cellStyle name="Total 13 7 4" xfId="29450"/>
    <cellStyle name="Total 13 7_Table 2A-1_EFT (Annual)" xfId="8562"/>
    <cellStyle name="Total 13 8" xfId="9428"/>
    <cellStyle name="Total 13 8 2" xfId="21593"/>
    <cellStyle name="Total 13 8 2 2" xfId="42779"/>
    <cellStyle name="Total 13 8 3" xfId="32175"/>
    <cellStyle name="Total 13 9" xfId="16480"/>
    <cellStyle name="Total 13 9 2" xfId="37667"/>
    <cellStyle name="Total 13_Table 2A-1_EFT (Annual)" xfId="3520"/>
    <cellStyle name="Total 14" xfId="128"/>
    <cellStyle name="Total 14 10" xfId="26683"/>
    <cellStyle name="Total 14 2" xfId="521"/>
    <cellStyle name="Total 14 2 2" xfId="1498"/>
    <cellStyle name="Total 14 2 2 2" xfId="2768"/>
    <cellStyle name="Total 14 2 2 2 2" xfId="6329"/>
    <cellStyle name="Total 14 2 2 2 2 2" xfId="14523"/>
    <cellStyle name="Total 14 2 2 2 2 2 2" xfId="26495"/>
    <cellStyle name="Total 14 2 2 2 2 2 2 2" xfId="47681"/>
    <cellStyle name="Total 14 2 2 2 2 2 3" xfId="37077"/>
    <cellStyle name="Total 14 2 2 2 2 3" xfId="21382"/>
    <cellStyle name="Total 14 2 2 2 2 3 2" xfId="42569"/>
    <cellStyle name="Total 14 2 2 2 2 4" xfId="31985"/>
    <cellStyle name="Total 14 2 2 2 2_Table 2A-1_EFT (Annual)" xfId="8565"/>
    <cellStyle name="Total 14 2 2 2 3" xfId="11865"/>
    <cellStyle name="Total 14 2 2 2 3 2" xfId="23949"/>
    <cellStyle name="Total 14 2 2 2 3 2 2" xfId="45135"/>
    <cellStyle name="Total 14 2 2 2 3 3" xfId="34531"/>
    <cellStyle name="Total 14 2 2 2 4" xfId="18836"/>
    <cellStyle name="Total 14 2 2 2 4 2" xfId="40023"/>
    <cellStyle name="Total 14 2 2 2 5" xfId="29242"/>
    <cellStyle name="Total 14 2 2 2_Table 2A-1_EFT (Annual)" xfId="8564"/>
    <cellStyle name="Total 14 2 2 3" xfId="5059"/>
    <cellStyle name="Total 14 2 2 3 2" xfId="13319"/>
    <cellStyle name="Total 14 2 2 3 2 2" xfId="25325"/>
    <cellStyle name="Total 14 2 2 3 2 2 2" xfId="46511"/>
    <cellStyle name="Total 14 2 2 3 2 3" xfId="35907"/>
    <cellStyle name="Total 14 2 2 3 3" xfId="20212"/>
    <cellStyle name="Total 14 2 2 3 3 2" xfId="41399"/>
    <cellStyle name="Total 14 2 2 3 4" xfId="30716"/>
    <cellStyle name="Total 14 2 2 3_Table 2A-1_EFT (Annual)" xfId="8566"/>
    <cellStyle name="Total 14 2 2 4" xfId="10663"/>
    <cellStyle name="Total 14 2 2 4 2" xfId="22779"/>
    <cellStyle name="Total 14 2 2 4 2 2" xfId="43965"/>
    <cellStyle name="Total 14 2 2 4 3" xfId="33361"/>
    <cellStyle name="Total 14 2 2 5" xfId="17666"/>
    <cellStyle name="Total 14 2 2 5 2" xfId="38853"/>
    <cellStyle name="Total 14 2 2 6" xfId="27973"/>
    <cellStyle name="Total 14 2 2_Table 2A-1_EFT (Annual)" xfId="8563"/>
    <cellStyle name="Total 14 2 3" xfId="1031"/>
    <cellStyle name="Total 14 2 3 2" xfId="4592"/>
    <cellStyle name="Total 14 2 3 2 2" xfId="12852"/>
    <cellStyle name="Total 14 2 3 2 2 2" xfId="24858"/>
    <cellStyle name="Total 14 2 3 2 2 2 2" xfId="46044"/>
    <cellStyle name="Total 14 2 3 2 2 3" xfId="35440"/>
    <cellStyle name="Total 14 2 3 2 3" xfId="19745"/>
    <cellStyle name="Total 14 2 3 2 3 2" xfId="40932"/>
    <cellStyle name="Total 14 2 3 2 4" xfId="30249"/>
    <cellStyle name="Total 14 2 3 2_Table 2A-1_EFT (Annual)" xfId="8568"/>
    <cellStyle name="Total 14 2 3 3" xfId="10196"/>
    <cellStyle name="Total 14 2 3 3 2" xfId="22312"/>
    <cellStyle name="Total 14 2 3 3 2 2" xfId="43498"/>
    <cellStyle name="Total 14 2 3 3 3" xfId="32894"/>
    <cellStyle name="Total 14 2 3 4" xfId="17199"/>
    <cellStyle name="Total 14 2 3 4 2" xfId="38386"/>
    <cellStyle name="Total 14 2 3 5" xfId="27506"/>
    <cellStyle name="Total 14 2 3_Table 2A-1_EFT (Annual)" xfId="8567"/>
    <cellStyle name="Total 14 2 4" xfId="2237"/>
    <cellStyle name="Total 14 2 4 2" xfId="5798"/>
    <cellStyle name="Total 14 2 4 2 2" xfId="14013"/>
    <cellStyle name="Total 14 2 4 2 2 2" xfId="26001"/>
    <cellStyle name="Total 14 2 4 2 2 2 2" xfId="47187"/>
    <cellStyle name="Total 14 2 4 2 2 3" xfId="36583"/>
    <cellStyle name="Total 14 2 4 2 3" xfId="20888"/>
    <cellStyle name="Total 14 2 4 2 3 2" xfId="42075"/>
    <cellStyle name="Total 14 2 4 2 4" xfId="31455"/>
    <cellStyle name="Total 14 2 4 2_Table 2A-1_EFT (Annual)" xfId="8570"/>
    <cellStyle name="Total 14 2 4 3" xfId="11357"/>
    <cellStyle name="Total 14 2 4 3 2" xfId="23455"/>
    <cellStyle name="Total 14 2 4 3 2 2" xfId="44641"/>
    <cellStyle name="Total 14 2 4 3 3" xfId="34037"/>
    <cellStyle name="Total 14 2 4 4" xfId="18342"/>
    <cellStyle name="Total 14 2 4 4 2" xfId="39529"/>
    <cellStyle name="Total 14 2 4 5" xfId="28712"/>
    <cellStyle name="Total 14 2 4_Table 2A-1_EFT (Annual)" xfId="8569"/>
    <cellStyle name="Total 14 2 5" xfId="4091"/>
    <cellStyle name="Total 14 2 5 2" xfId="12415"/>
    <cellStyle name="Total 14 2 5 2 2" xfId="24437"/>
    <cellStyle name="Total 14 2 5 2 2 2" xfId="45623"/>
    <cellStyle name="Total 14 2 5 2 3" xfId="35019"/>
    <cellStyle name="Total 14 2 5 3" xfId="19324"/>
    <cellStyle name="Total 14 2 5 3 2" xfId="40511"/>
    <cellStyle name="Total 14 2 5 4" xfId="29779"/>
    <cellStyle name="Total 14 2 5_Table 2A-1_EFT (Annual)" xfId="8571"/>
    <cellStyle name="Total 14 2 6" xfId="9754"/>
    <cellStyle name="Total 14 2 6 2" xfId="21891"/>
    <cellStyle name="Total 14 2 6 2 2" xfId="43077"/>
    <cellStyle name="Total 14 2 6 3" xfId="32473"/>
    <cellStyle name="Total 14 2 7" xfId="16778"/>
    <cellStyle name="Total 14 2 7 2" xfId="37965"/>
    <cellStyle name="Total 14 2 8" xfId="27036"/>
    <cellStyle name="Total 14 2_Table 2A-1_EFT (Annual)" xfId="3524"/>
    <cellStyle name="Total 14 3" xfId="359"/>
    <cellStyle name="Total 14 3 2" xfId="1342"/>
    <cellStyle name="Total 14 3 2 2" xfId="2612"/>
    <cellStyle name="Total 14 3 2 2 2" xfId="6173"/>
    <cellStyle name="Total 14 3 2 2 2 2" xfId="14367"/>
    <cellStyle name="Total 14 3 2 2 2 2 2" xfId="26339"/>
    <cellStyle name="Total 14 3 2 2 2 2 2 2" xfId="47525"/>
    <cellStyle name="Total 14 3 2 2 2 2 3" xfId="36921"/>
    <cellStyle name="Total 14 3 2 2 2 3" xfId="21226"/>
    <cellStyle name="Total 14 3 2 2 2 3 2" xfId="42413"/>
    <cellStyle name="Total 14 3 2 2 2 4" xfId="31829"/>
    <cellStyle name="Total 14 3 2 2 2_Table 2A-1_EFT (Annual)" xfId="8574"/>
    <cellStyle name="Total 14 3 2 2 3" xfId="11709"/>
    <cellStyle name="Total 14 3 2 2 3 2" xfId="23793"/>
    <cellStyle name="Total 14 3 2 2 3 2 2" xfId="44979"/>
    <cellStyle name="Total 14 3 2 2 3 3" xfId="34375"/>
    <cellStyle name="Total 14 3 2 2 4" xfId="18680"/>
    <cellStyle name="Total 14 3 2 2 4 2" xfId="39867"/>
    <cellStyle name="Total 14 3 2 2 5" xfId="29086"/>
    <cellStyle name="Total 14 3 2 2_Table 2A-1_EFT (Annual)" xfId="8573"/>
    <cellStyle name="Total 14 3 2 3" xfId="4903"/>
    <cellStyle name="Total 14 3 2 3 2" xfId="13163"/>
    <cellStyle name="Total 14 3 2 3 2 2" xfId="25169"/>
    <cellStyle name="Total 14 3 2 3 2 2 2" xfId="46355"/>
    <cellStyle name="Total 14 3 2 3 2 3" xfId="35751"/>
    <cellStyle name="Total 14 3 2 3 3" xfId="20056"/>
    <cellStyle name="Total 14 3 2 3 3 2" xfId="41243"/>
    <cellStyle name="Total 14 3 2 3 4" xfId="30560"/>
    <cellStyle name="Total 14 3 2 3_Table 2A-1_EFT (Annual)" xfId="8575"/>
    <cellStyle name="Total 14 3 2 4" xfId="10507"/>
    <cellStyle name="Total 14 3 2 4 2" xfId="22623"/>
    <cellStyle name="Total 14 3 2 4 2 2" xfId="43809"/>
    <cellStyle name="Total 14 3 2 4 3" xfId="33205"/>
    <cellStyle name="Total 14 3 2 5" xfId="17510"/>
    <cellStyle name="Total 14 3 2 5 2" xfId="38697"/>
    <cellStyle name="Total 14 3 2 6" xfId="27817"/>
    <cellStyle name="Total 14 3 2_Table 2A-1_EFT (Annual)" xfId="8572"/>
    <cellStyle name="Total 14 3 3" xfId="899"/>
    <cellStyle name="Total 14 3 3 2" xfId="4460"/>
    <cellStyle name="Total 14 3 3 2 2" xfId="12722"/>
    <cellStyle name="Total 14 3 3 2 2 2" xfId="24732"/>
    <cellStyle name="Total 14 3 3 2 2 2 2" xfId="45918"/>
    <cellStyle name="Total 14 3 3 2 2 3" xfId="35314"/>
    <cellStyle name="Total 14 3 3 2 3" xfId="19619"/>
    <cellStyle name="Total 14 3 3 2 3 2" xfId="40806"/>
    <cellStyle name="Total 14 3 3 2 4" xfId="30117"/>
    <cellStyle name="Total 14 3 3 2_Table 2A-1_EFT (Annual)" xfId="8577"/>
    <cellStyle name="Total 14 3 3 3" xfId="10069"/>
    <cellStyle name="Total 14 3 3 3 2" xfId="22186"/>
    <cellStyle name="Total 14 3 3 3 2 2" xfId="43372"/>
    <cellStyle name="Total 14 3 3 3 3" xfId="32768"/>
    <cellStyle name="Total 14 3 3 4" xfId="17073"/>
    <cellStyle name="Total 14 3 3 4 2" xfId="38260"/>
    <cellStyle name="Total 14 3 3 5" xfId="27374"/>
    <cellStyle name="Total 14 3 3_Table 2A-1_EFT (Annual)" xfId="8576"/>
    <cellStyle name="Total 14 3 4" xfId="2081"/>
    <cellStyle name="Total 14 3 4 2" xfId="5642"/>
    <cellStyle name="Total 14 3 4 2 2" xfId="13857"/>
    <cellStyle name="Total 14 3 4 2 2 2" xfId="25845"/>
    <cellStyle name="Total 14 3 4 2 2 2 2" xfId="47031"/>
    <cellStyle name="Total 14 3 4 2 2 3" xfId="36427"/>
    <cellStyle name="Total 14 3 4 2 3" xfId="20732"/>
    <cellStyle name="Total 14 3 4 2 3 2" xfId="41919"/>
    <cellStyle name="Total 14 3 4 2 4" xfId="31299"/>
    <cellStyle name="Total 14 3 4 2_Table 2A-1_EFT (Annual)" xfId="8579"/>
    <cellStyle name="Total 14 3 4 3" xfId="11201"/>
    <cellStyle name="Total 14 3 4 3 2" xfId="23299"/>
    <cellStyle name="Total 14 3 4 3 2 2" xfId="44485"/>
    <cellStyle name="Total 14 3 4 3 3" xfId="33881"/>
    <cellStyle name="Total 14 3 4 4" xfId="18186"/>
    <cellStyle name="Total 14 3 4 4 2" xfId="39373"/>
    <cellStyle name="Total 14 3 4 5" xfId="28556"/>
    <cellStyle name="Total 14 3 4_Table 2A-1_EFT (Annual)" xfId="8578"/>
    <cellStyle name="Total 14 3 5" xfId="3929"/>
    <cellStyle name="Total 14 3 5 2" xfId="12257"/>
    <cellStyle name="Total 14 3 5 2 2" xfId="24281"/>
    <cellStyle name="Total 14 3 5 2 2 2" xfId="45467"/>
    <cellStyle name="Total 14 3 5 2 3" xfId="34863"/>
    <cellStyle name="Total 14 3 5 3" xfId="19168"/>
    <cellStyle name="Total 14 3 5 3 2" xfId="40355"/>
    <cellStyle name="Total 14 3 5 4" xfId="29617"/>
    <cellStyle name="Total 14 3 5_Table 2A-1_EFT (Annual)" xfId="8580"/>
    <cellStyle name="Total 14 3 6" xfId="9594"/>
    <cellStyle name="Total 14 3 6 2" xfId="21735"/>
    <cellStyle name="Total 14 3 6 2 2" xfId="42921"/>
    <cellStyle name="Total 14 3 6 3" xfId="32317"/>
    <cellStyle name="Total 14 3 7" xfId="16622"/>
    <cellStyle name="Total 14 3 7 2" xfId="37809"/>
    <cellStyle name="Total 14 3 8" xfId="26874"/>
    <cellStyle name="Total 14 3_Table 2A-1_EFT (Annual)" xfId="3525"/>
    <cellStyle name="Total 14 4" xfId="1176"/>
    <cellStyle name="Total 14 4 2" xfId="2446"/>
    <cellStyle name="Total 14 4 2 2" xfId="6007"/>
    <cellStyle name="Total 14 4 2 2 2" xfId="14201"/>
    <cellStyle name="Total 14 4 2 2 2 2" xfId="26173"/>
    <cellStyle name="Total 14 4 2 2 2 2 2" xfId="47359"/>
    <cellStyle name="Total 14 4 2 2 2 3" xfId="36755"/>
    <cellStyle name="Total 14 4 2 2 3" xfId="21060"/>
    <cellStyle name="Total 14 4 2 2 3 2" xfId="42247"/>
    <cellStyle name="Total 14 4 2 2 4" xfId="31663"/>
    <cellStyle name="Total 14 4 2 2_Table 2A-1_EFT (Annual)" xfId="8583"/>
    <cellStyle name="Total 14 4 2 3" xfId="11543"/>
    <cellStyle name="Total 14 4 2 3 2" xfId="23627"/>
    <cellStyle name="Total 14 4 2 3 2 2" xfId="44813"/>
    <cellStyle name="Total 14 4 2 3 3" xfId="34209"/>
    <cellStyle name="Total 14 4 2 4" xfId="18514"/>
    <cellStyle name="Total 14 4 2 4 2" xfId="39701"/>
    <cellStyle name="Total 14 4 2 5" xfId="28920"/>
    <cellStyle name="Total 14 4 2_Table 2A-1_EFT (Annual)" xfId="8582"/>
    <cellStyle name="Total 14 4 3" xfId="4737"/>
    <cellStyle name="Total 14 4 3 2" xfId="12997"/>
    <cellStyle name="Total 14 4 3 2 2" xfId="25003"/>
    <cellStyle name="Total 14 4 3 2 2 2" xfId="46189"/>
    <cellStyle name="Total 14 4 3 2 3" xfId="35585"/>
    <cellStyle name="Total 14 4 3 3" xfId="19890"/>
    <cellStyle name="Total 14 4 3 3 2" xfId="41077"/>
    <cellStyle name="Total 14 4 3 4" xfId="30394"/>
    <cellStyle name="Total 14 4 3_Table 2A-1_EFT (Annual)" xfId="8584"/>
    <cellStyle name="Total 14 4 4" xfId="10341"/>
    <cellStyle name="Total 14 4 4 2" xfId="22457"/>
    <cellStyle name="Total 14 4 4 2 2" xfId="43643"/>
    <cellStyle name="Total 14 4 4 3" xfId="33039"/>
    <cellStyle name="Total 14 4 5" xfId="17344"/>
    <cellStyle name="Total 14 4 5 2" xfId="38531"/>
    <cellStyle name="Total 14 4 6" xfId="27651"/>
    <cellStyle name="Total 14 4_Table 2A-1_EFT (Annual)" xfId="8581"/>
    <cellStyle name="Total 14 5" xfId="740"/>
    <cellStyle name="Total 14 5 2" xfId="4301"/>
    <cellStyle name="Total 14 5 2 2" xfId="12581"/>
    <cellStyle name="Total 14 5 2 2 2" xfId="24598"/>
    <cellStyle name="Total 14 5 2 2 2 2" xfId="45784"/>
    <cellStyle name="Total 14 5 2 2 3" xfId="35180"/>
    <cellStyle name="Total 14 5 2 3" xfId="19485"/>
    <cellStyle name="Total 14 5 2 3 2" xfId="40672"/>
    <cellStyle name="Total 14 5 2 4" xfId="29958"/>
    <cellStyle name="Total 14 5 2_Table 2A-1_EFT (Annual)" xfId="8586"/>
    <cellStyle name="Total 14 5 3" xfId="9929"/>
    <cellStyle name="Total 14 5 3 2" xfId="22052"/>
    <cellStyle name="Total 14 5 3 2 2" xfId="43238"/>
    <cellStyle name="Total 14 5 3 3" xfId="32634"/>
    <cellStyle name="Total 14 5 4" xfId="16939"/>
    <cellStyle name="Total 14 5 4 2" xfId="38126"/>
    <cellStyle name="Total 14 5 5" xfId="27215"/>
    <cellStyle name="Total 14 5_Table 2A-1_EFT (Annual)" xfId="8585"/>
    <cellStyle name="Total 14 6" xfId="1860"/>
    <cellStyle name="Total 14 6 2" xfId="5421"/>
    <cellStyle name="Total 14 6 2 2" xfId="13636"/>
    <cellStyle name="Total 14 6 2 2 2" xfId="25624"/>
    <cellStyle name="Total 14 6 2 2 2 2" xfId="46810"/>
    <cellStyle name="Total 14 6 2 2 3" xfId="36206"/>
    <cellStyle name="Total 14 6 2 3" xfId="20511"/>
    <cellStyle name="Total 14 6 2 3 2" xfId="41698"/>
    <cellStyle name="Total 14 6 2 4" xfId="31078"/>
    <cellStyle name="Total 14 6 2_Table 2A-1_EFT (Annual)" xfId="8588"/>
    <cellStyle name="Total 14 6 3" xfId="10980"/>
    <cellStyle name="Total 14 6 3 2" xfId="23078"/>
    <cellStyle name="Total 14 6 3 2 2" xfId="44264"/>
    <cellStyle name="Total 14 6 3 3" xfId="33660"/>
    <cellStyle name="Total 14 6 4" xfId="17965"/>
    <cellStyle name="Total 14 6 4 2" xfId="39152"/>
    <cellStyle name="Total 14 6 5" xfId="28335"/>
    <cellStyle name="Total 14 6_Table 2A-1_EFT (Annual)" xfId="8587"/>
    <cellStyle name="Total 14 7" xfId="3717"/>
    <cellStyle name="Total 14 7 2" xfId="12085"/>
    <cellStyle name="Total 14 7 2 2" xfId="24115"/>
    <cellStyle name="Total 14 7 2 2 2" xfId="45301"/>
    <cellStyle name="Total 14 7 2 3" xfId="34697"/>
    <cellStyle name="Total 14 7 3" xfId="19002"/>
    <cellStyle name="Total 14 7 3 2" xfId="40189"/>
    <cellStyle name="Total 14 7 4" xfId="29426"/>
    <cellStyle name="Total 14 7_Table 2A-1_EFT (Annual)" xfId="8589"/>
    <cellStyle name="Total 14 8" xfId="9404"/>
    <cellStyle name="Total 14 8 2" xfId="21569"/>
    <cellStyle name="Total 14 8 2 2" xfId="42755"/>
    <cellStyle name="Total 14 8 3" xfId="32151"/>
    <cellStyle name="Total 14 9" xfId="16456"/>
    <cellStyle name="Total 14 9 2" xfId="37643"/>
    <cellStyle name="Total 14_Table 2A-1_EFT (Annual)" xfId="3523"/>
    <cellStyle name="Total 15" xfId="141"/>
    <cellStyle name="Total 15 10" xfId="26696"/>
    <cellStyle name="Total 15 2" xfId="534"/>
    <cellStyle name="Total 15 2 2" xfId="1511"/>
    <cellStyle name="Total 15 2 2 2" xfId="2781"/>
    <cellStyle name="Total 15 2 2 2 2" xfId="6342"/>
    <cellStyle name="Total 15 2 2 2 2 2" xfId="14536"/>
    <cellStyle name="Total 15 2 2 2 2 2 2" xfId="26508"/>
    <cellStyle name="Total 15 2 2 2 2 2 2 2" xfId="47694"/>
    <cellStyle name="Total 15 2 2 2 2 2 3" xfId="37090"/>
    <cellStyle name="Total 15 2 2 2 2 3" xfId="21395"/>
    <cellStyle name="Total 15 2 2 2 2 3 2" xfId="42582"/>
    <cellStyle name="Total 15 2 2 2 2 4" xfId="31998"/>
    <cellStyle name="Total 15 2 2 2 2_Table 2A-1_EFT (Annual)" xfId="8592"/>
    <cellStyle name="Total 15 2 2 2 3" xfId="11878"/>
    <cellStyle name="Total 15 2 2 2 3 2" xfId="23962"/>
    <cellStyle name="Total 15 2 2 2 3 2 2" xfId="45148"/>
    <cellStyle name="Total 15 2 2 2 3 3" xfId="34544"/>
    <cellStyle name="Total 15 2 2 2 4" xfId="18849"/>
    <cellStyle name="Total 15 2 2 2 4 2" xfId="40036"/>
    <cellStyle name="Total 15 2 2 2 5" xfId="29255"/>
    <cellStyle name="Total 15 2 2 2_Table 2A-1_EFT (Annual)" xfId="8591"/>
    <cellStyle name="Total 15 2 2 3" xfId="5072"/>
    <cellStyle name="Total 15 2 2 3 2" xfId="13332"/>
    <cellStyle name="Total 15 2 2 3 2 2" xfId="25338"/>
    <cellStyle name="Total 15 2 2 3 2 2 2" xfId="46524"/>
    <cellStyle name="Total 15 2 2 3 2 3" xfId="35920"/>
    <cellStyle name="Total 15 2 2 3 3" xfId="20225"/>
    <cellStyle name="Total 15 2 2 3 3 2" xfId="41412"/>
    <cellStyle name="Total 15 2 2 3 4" xfId="30729"/>
    <cellStyle name="Total 15 2 2 3_Table 2A-1_EFT (Annual)" xfId="8593"/>
    <cellStyle name="Total 15 2 2 4" xfId="10676"/>
    <cellStyle name="Total 15 2 2 4 2" xfId="22792"/>
    <cellStyle name="Total 15 2 2 4 2 2" xfId="43978"/>
    <cellStyle name="Total 15 2 2 4 3" xfId="33374"/>
    <cellStyle name="Total 15 2 2 5" xfId="17679"/>
    <cellStyle name="Total 15 2 2 5 2" xfId="38866"/>
    <cellStyle name="Total 15 2 2 6" xfId="27986"/>
    <cellStyle name="Total 15 2 2_Table 2A-1_EFT (Annual)" xfId="8590"/>
    <cellStyle name="Total 15 2 3" xfId="1043"/>
    <cellStyle name="Total 15 2 3 2" xfId="4604"/>
    <cellStyle name="Total 15 2 3 2 2" xfId="12864"/>
    <cellStyle name="Total 15 2 3 2 2 2" xfId="24870"/>
    <cellStyle name="Total 15 2 3 2 2 2 2" xfId="46056"/>
    <cellStyle name="Total 15 2 3 2 2 3" xfId="35452"/>
    <cellStyle name="Total 15 2 3 2 3" xfId="19757"/>
    <cellStyle name="Total 15 2 3 2 3 2" xfId="40944"/>
    <cellStyle name="Total 15 2 3 2 4" xfId="30261"/>
    <cellStyle name="Total 15 2 3 2_Table 2A-1_EFT (Annual)" xfId="8595"/>
    <cellStyle name="Total 15 2 3 3" xfId="10208"/>
    <cellStyle name="Total 15 2 3 3 2" xfId="22324"/>
    <cellStyle name="Total 15 2 3 3 2 2" xfId="43510"/>
    <cellStyle name="Total 15 2 3 3 3" xfId="32906"/>
    <cellStyle name="Total 15 2 3 4" xfId="17211"/>
    <cellStyle name="Total 15 2 3 4 2" xfId="38398"/>
    <cellStyle name="Total 15 2 3 5" xfId="27518"/>
    <cellStyle name="Total 15 2 3_Table 2A-1_EFT (Annual)" xfId="8594"/>
    <cellStyle name="Total 15 2 4" xfId="2250"/>
    <cellStyle name="Total 15 2 4 2" xfId="5811"/>
    <cellStyle name="Total 15 2 4 2 2" xfId="14026"/>
    <cellStyle name="Total 15 2 4 2 2 2" xfId="26014"/>
    <cellStyle name="Total 15 2 4 2 2 2 2" xfId="47200"/>
    <cellStyle name="Total 15 2 4 2 2 3" xfId="36596"/>
    <cellStyle name="Total 15 2 4 2 3" xfId="20901"/>
    <cellStyle name="Total 15 2 4 2 3 2" xfId="42088"/>
    <cellStyle name="Total 15 2 4 2 4" xfId="31468"/>
    <cellStyle name="Total 15 2 4 2_Table 2A-1_EFT (Annual)" xfId="8597"/>
    <cellStyle name="Total 15 2 4 3" xfId="11370"/>
    <cellStyle name="Total 15 2 4 3 2" xfId="23468"/>
    <cellStyle name="Total 15 2 4 3 2 2" xfId="44654"/>
    <cellStyle name="Total 15 2 4 3 3" xfId="34050"/>
    <cellStyle name="Total 15 2 4 4" xfId="18355"/>
    <cellStyle name="Total 15 2 4 4 2" xfId="39542"/>
    <cellStyle name="Total 15 2 4 5" xfId="28725"/>
    <cellStyle name="Total 15 2 4_Table 2A-1_EFT (Annual)" xfId="8596"/>
    <cellStyle name="Total 15 2 5" xfId="4104"/>
    <cellStyle name="Total 15 2 5 2" xfId="12428"/>
    <cellStyle name="Total 15 2 5 2 2" xfId="24450"/>
    <cellStyle name="Total 15 2 5 2 2 2" xfId="45636"/>
    <cellStyle name="Total 15 2 5 2 3" xfId="35032"/>
    <cellStyle name="Total 15 2 5 3" xfId="19337"/>
    <cellStyle name="Total 15 2 5 3 2" xfId="40524"/>
    <cellStyle name="Total 15 2 5 4" xfId="29792"/>
    <cellStyle name="Total 15 2 5_Table 2A-1_EFT (Annual)" xfId="8598"/>
    <cellStyle name="Total 15 2 6" xfId="9767"/>
    <cellStyle name="Total 15 2 6 2" xfId="21904"/>
    <cellStyle name="Total 15 2 6 2 2" xfId="43090"/>
    <cellStyle name="Total 15 2 6 3" xfId="32486"/>
    <cellStyle name="Total 15 2 7" xfId="16791"/>
    <cellStyle name="Total 15 2 7 2" xfId="37978"/>
    <cellStyle name="Total 15 2 8" xfId="27049"/>
    <cellStyle name="Total 15 2_Table 2A-1_EFT (Annual)" xfId="3527"/>
    <cellStyle name="Total 15 3" xfId="372"/>
    <cellStyle name="Total 15 3 2" xfId="1355"/>
    <cellStyle name="Total 15 3 2 2" xfId="2625"/>
    <cellStyle name="Total 15 3 2 2 2" xfId="6186"/>
    <cellStyle name="Total 15 3 2 2 2 2" xfId="14380"/>
    <cellStyle name="Total 15 3 2 2 2 2 2" xfId="26352"/>
    <cellStyle name="Total 15 3 2 2 2 2 2 2" xfId="47538"/>
    <cellStyle name="Total 15 3 2 2 2 2 3" xfId="36934"/>
    <cellStyle name="Total 15 3 2 2 2 3" xfId="21239"/>
    <cellStyle name="Total 15 3 2 2 2 3 2" xfId="42426"/>
    <cellStyle name="Total 15 3 2 2 2 4" xfId="31842"/>
    <cellStyle name="Total 15 3 2 2 2_Table 2A-1_EFT (Annual)" xfId="8601"/>
    <cellStyle name="Total 15 3 2 2 3" xfId="11722"/>
    <cellStyle name="Total 15 3 2 2 3 2" xfId="23806"/>
    <cellStyle name="Total 15 3 2 2 3 2 2" xfId="44992"/>
    <cellStyle name="Total 15 3 2 2 3 3" xfId="34388"/>
    <cellStyle name="Total 15 3 2 2 4" xfId="18693"/>
    <cellStyle name="Total 15 3 2 2 4 2" xfId="39880"/>
    <cellStyle name="Total 15 3 2 2 5" xfId="29099"/>
    <cellStyle name="Total 15 3 2 2_Table 2A-1_EFT (Annual)" xfId="8600"/>
    <cellStyle name="Total 15 3 2 3" xfId="4916"/>
    <cellStyle name="Total 15 3 2 3 2" xfId="13176"/>
    <cellStyle name="Total 15 3 2 3 2 2" xfId="25182"/>
    <cellStyle name="Total 15 3 2 3 2 2 2" xfId="46368"/>
    <cellStyle name="Total 15 3 2 3 2 3" xfId="35764"/>
    <cellStyle name="Total 15 3 2 3 3" xfId="20069"/>
    <cellStyle name="Total 15 3 2 3 3 2" xfId="41256"/>
    <cellStyle name="Total 15 3 2 3 4" xfId="30573"/>
    <cellStyle name="Total 15 3 2 3_Table 2A-1_EFT (Annual)" xfId="8602"/>
    <cellStyle name="Total 15 3 2 4" xfId="10520"/>
    <cellStyle name="Total 15 3 2 4 2" xfId="22636"/>
    <cellStyle name="Total 15 3 2 4 2 2" xfId="43822"/>
    <cellStyle name="Total 15 3 2 4 3" xfId="33218"/>
    <cellStyle name="Total 15 3 2 5" xfId="17523"/>
    <cellStyle name="Total 15 3 2 5 2" xfId="38710"/>
    <cellStyle name="Total 15 3 2 6" xfId="27830"/>
    <cellStyle name="Total 15 3 2_Table 2A-1_EFT (Annual)" xfId="8599"/>
    <cellStyle name="Total 15 3 3" xfId="911"/>
    <cellStyle name="Total 15 3 3 2" xfId="4472"/>
    <cellStyle name="Total 15 3 3 2 2" xfId="12734"/>
    <cellStyle name="Total 15 3 3 2 2 2" xfId="24744"/>
    <cellStyle name="Total 15 3 3 2 2 2 2" xfId="45930"/>
    <cellStyle name="Total 15 3 3 2 2 3" xfId="35326"/>
    <cellStyle name="Total 15 3 3 2 3" xfId="19631"/>
    <cellStyle name="Total 15 3 3 2 3 2" xfId="40818"/>
    <cellStyle name="Total 15 3 3 2 4" xfId="30129"/>
    <cellStyle name="Total 15 3 3 2_Table 2A-1_EFT (Annual)" xfId="8604"/>
    <cellStyle name="Total 15 3 3 3" xfId="10081"/>
    <cellStyle name="Total 15 3 3 3 2" xfId="22198"/>
    <cellStyle name="Total 15 3 3 3 2 2" xfId="43384"/>
    <cellStyle name="Total 15 3 3 3 3" xfId="32780"/>
    <cellStyle name="Total 15 3 3 4" xfId="17085"/>
    <cellStyle name="Total 15 3 3 4 2" xfId="38272"/>
    <cellStyle name="Total 15 3 3 5" xfId="27386"/>
    <cellStyle name="Total 15 3 3_Table 2A-1_EFT (Annual)" xfId="8603"/>
    <cellStyle name="Total 15 3 4" xfId="2094"/>
    <cellStyle name="Total 15 3 4 2" xfId="5655"/>
    <cellStyle name="Total 15 3 4 2 2" xfId="13870"/>
    <cellStyle name="Total 15 3 4 2 2 2" xfId="25858"/>
    <cellStyle name="Total 15 3 4 2 2 2 2" xfId="47044"/>
    <cellStyle name="Total 15 3 4 2 2 3" xfId="36440"/>
    <cellStyle name="Total 15 3 4 2 3" xfId="20745"/>
    <cellStyle name="Total 15 3 4 2 3 2" xfId="41932"/>
    <cellStyle name="Total 15 3 4 2 4" xfId="31312"/>
    <cellStyle name="Total 15 3 4 2_Table 2A-1_EFT (Annual)" xfId="8606"/>
    <cellStyle name="Total 15 3 4 3" xfId="11214"/>
    <cellStyle name="Total 15 3 4 3 2" xfId="23312"/>
    <cellStyle name="Total 15 3 4 3 2 2" xfId="44498"/>
    <cellStyle name="Total 15 3 4 3 3" xfId="33894"/>
    <cellStyle name="Total 15 3 4 4" xfId="18199"/>
    <cellStyle name="Total 15 3 4 4 2" xfId="39386"/>
    <cellStyle name="Total 15 3 4 5" xfId="28569"/>
    <cellStyle name="Total 15 3 4_Table 2A-1_EFT (Annual)" xfId="8605"/>
    <cellStyle name="Total 15 3 5" xfId="3942"/>
    <cellStyle name="Total 15 3 5 2" xfId="12270"/>
    <cellStyle name="Total 15 3 5 2 2" xfId="24294"/>
    <cellStyle name="Total 15 3 5 2 2 2" xfId="45480"/>
    <cellStyle name="Total 15 3 5 2 3" xfId="34876"/>
    <cellStyle name="Total 15 3 5 3" xfId="19181"/>
    <cellStyle name="Total 15 3 5 3 2" xfId="40368"/>
    <cellStyle name="Total 15 3 5 4" xfId="29630"/>
    <cellStyle name="Total 15 3 5_Table 2A-1_EFT (Annual)" xfId="8607"/>
    <cellStyle name="Total 15 3 6" xfId="9607"/>
    <cellStyle name="Total 15 3 6 2" xfId="21748"/>
    <cellStyle name="Total 15 3 6 2 2" xfId="42934"/>
    <cellStyle name="Total 15 3 6 3" xfId="32330"/>
    <cellStyle name="Total 15 3 7" xfId="16635"/>
    <cellStyle name="Total 15 3 7 2" xfId="37822"/>
    <cellStyle name="Total 15 3 8" xfId="26887"/>
    <cellStyle name="Total 15 3_Table 2A-1_EFT (Annual)" xfId="3528"/>
    <cellStyle name="Total 15 4" xfId="1189"/>
    <cellStyle name="Total 15 4 2" xfId="2459"/>
    <cellStyle name="Total 15 4 2 2" xfId="6020"/>
    <cellStyle name="Total 15 4 2 2 2" xfId="14214"/>
    <cellStyle name="Total 15 4 2 2 2 2" xfId="26186"/>
    <cellStyle name="Total 15 4 2 2 2 2 2" xfId="47372"/>
    <cellStyle name="Total 15 4 2 2 2 3" xfId="36768"/>
    <cellStyle name="Total 15 4 2 2 3" xfId="21073"/>
    <cellStyle name="Total 15 4 2 2 3 2" xfId="42260"/>
    <cellStyle name="Total 15 4 2 2 4" xfId="31676"/>
    <cellStyle name="Total 15 4 2 2_Table 2A-1_EFT (Annual)" xfId="8610"/>
    <cellStyle name="Total 15 4 2 3" xfId="11556"/>
    <cellStyle name="Total 15 4 2 3 2" xfId="23640"/>
    <cellStyle name="Total 15 4 2 3 2 2" xfId="44826"/>
    <cellStyle name="Total 15 4 2 3 3" xfId="34222"/>
    <cellStyle name="Total 15 4 2 4" xfId="18527"/>
    <cellStyle name="Total 15 4 2 4 2" xfId="39714"/>
    <cellStyle name="Total 15 4 2 5" xfId="28933"/>
    <cellStyle name="Total 15 4 2_Table 2A-1_EFT (Annual)" xfId="8609"/>
    <cellStyle name="Total 15 4 3" xfId="4750"/>
    <cellStyle name="Total 15 4 3 2" xfId="13010"/>
    <cellStyle name="Total 15 4 3 2 2" xfId="25016"/>
    <cellStyle name="Total 15 4 3 2 2 2" xfId="46202"/>
    <cellStyle name="Total 15 4 3 2 3" xfId="35598"/>
    <cellStyle name="Total 15 4 3 3" xfId="19903"/>
    <cellStyle name="Total 15 4 3 3 2" xfId="41090"/>
    <cellStyle name="Total 15 4 3 4" xfId="30407"/>
    <cellStyle name="Total 15 4 3_Table 2A-1_EFT (Annual)" xfId="8611"/>
    <cellStyle name="Total 15 4 4" xfId="10354"/>
    <cellStyle name="Total 15 4 4 2" xfId="22470"/>
    <cellStyle name="Total 15 4 4 2 2" xfId="43656"/>
    <cellStyle name="Total 15 4 4 3" xfId="33052"/>
    <cellStyle name="Total 15 4 5" xfId="17357"/>
    <cellStyle name="Total 15 4 5 2" xfId="38544"/>
    <cellStyle name="Total 15 4 6" xfId="27664"/>
    <cellStyle name="Total 15 4_Table 2A-1_EFT (Annual)" xfId="8608"/>
    <cellStyle name="Total 15 5" xfId="752"/>
    <cellStyle name="Total 15 5 2" xfId="4313"/>
    <cellStyle name="Total 15 5 2 2" xfId="12593"/>
    <cellStyle name="Total 15 5 2 2 2" xfId="24610"/>
    <cellStyle name="Total 15 5 2 2 2 2" xfId="45796"/>
    <cellStyle name="Total 15 5 2 2 3" xfId="35192"/>
    <cellStyle name="Total 15 5 2 3" xfId="19497"/>
    <cellStyle name="Total 15 5 2 3 2" xfId="40684"/>
    <cellStyle name="Total 15 5 2 4" xfId="29970"/>
    <cellStyle name="Total 15 5 2_Table 2A-1_EFT (Annual)" xfId="8613"/>
    <cellStyle name="Total 15 5 3" xfId="9941"/>
    <cellStyle name="Total 15 5 3 2" xfId="22064"/>
    <cellStyle name="Total 15 5 3 2 2" xfId="43250"/>
    <cellStyle name="Total 15 5 3 3" xfId="32646"/>
    <cellStyle name="Total 15 5 4" xfId="16951"/>
    <cellStyle name="Total 15 5 4 2" xfId="38138"/>
    <cellStyle name="Total 15 5 5" xfId="27227"/>
    <cellStyle name="Total 15 5_Table 2A-1_EFT (Annual)" xfId="8612"/>
    <cellStyle name="Total 15 6" xfId="1786"/>
    <cellStyle name="Total 15 6 2" xfId="5347"/>
    <cellStyle name="Total 15 6 2 2" xfId="13562"/>
    <cellStyle name="Total 15 6 2 2 2" xfId="25550"/>
    <cellStyle name="Total 15 6 2 2 2 2" xfId="46736"/>
    <cellStyle name="Total 15 6 2 2 3" xfId="36132"/>
    <cellStyle name="Total 15 6 2 3" xfId="20437"/>
    <cellStyle name="Total 15 6 2 3 2" xfId="41624"/>
    <cellStyle name="Total 15 6 2 4" xfId="31004"/>
    <cellStyle name="Total 15 6 2_Table 2A-1_EFT (Annual)" xfId="8615"/>
    <cellStyle name="Total 15 6 3" xfId="10906"/>
    <cellStyle name="Total 15 6 3 2" xfId="23004"/>
    <cellStyle name="Total 15 6 3 2 2" xfId="44190"/>
    <cellStyle name="Total 15 6 3 3" xfId="33586"/>
    <cellStyle name="Total 15 6 4" xfId="17891"/>
    <cellStyle name="Total 15 6 4 2" xfId="39078"/>
    <cellStyle name="Total 15 6 5" xfId="28261"/>
    <cellStyle name="Total 15 6_Table 2A-1_EFT (Annual)" xfId="8614"/>
    <cellStyle name="Total 15 7" xfId="3730"/>
    <cellStyle name="Total 15 7 2" xfId="12098"/>
    <cellStyle name="Total 15 7 2 2" xfId="24128"/>
    <cellStyle name="Total 15 7 2 2 2" xfId="45314"/>
    <cellStyle name="Total 15 7 2 3" xfId="34710"/>
    <cellStyle name="Total 15 7 3" xfId="19015"/>
    <cellStyle name="Total 15 7 3 2" xfId="40202"/>
    <cellStyle name="Total 15 7 4" xfId="29439"/>
    <cellStyle name="Total 15 7_Table 2A-1_EFT (Annual)" xfId="8616"/>
    <cellStyle name="Total 15 8" xfId="9417"/>
    <cellStyle name="Total 15 8 2" xfId="21582"/>
    <cellStyle name="Total 15 8 2 2" xfId="42768"/>
    <cellStyle name="Total 15 8 3" xfId="32164"/>
    <cellStyle name="Total 15 9" xfId="16469"/>
    <cellStyle name="Total 15 9 2" xfId="37656"/>
    <cellStyle name="Total 15_Table 2A-1_EFT (Annual)" xfId="3526"/>
    <cellStyle name="Total 16" xfId="160"/>
    <cellStyle name="Total 16 10" xfId="26715"/>
    <cellStyle name="Total 16 2" xfId="553"/>
    <cellStyle name="Total 16 2 2" xfId="1530"/>
    <cellStyle name="Total 16 2 2 2" xfId="2800"/>
    <cellStyle name="Total 16 2 2 2 2" xfId="6361"/>
    <cellStyle name="Total 16 2 2 2 2 2" xfId="14555"/>
    <cellStyle name="Total 16 2 2 2 2 2 2" xfId="26527"/>
    <cellStyle name="Total 16 2 2 2 2 2 2 2" xfId="47713"/>
    <cellStyle name="Total 16 2 2 2 2 2 3" xfId="37109"/>
    <cellStyle name="Total 16 2 2 2 2 3" xfId="21414"/>
    <cellStyle name="Total 16 2 2 2 2 3 2" xfId="42601"/>
    <cellStyle name="Total 16 2 2 2 2 4" xfId="32017"/>
    <cellStyle name="Total 16 2 2 2 2_Table 2A-1_EFT (Annual)" xfId="8619"/>
    <cellStyle name="Total 16 2 2 2 3" xfId="11897"/>
    <cellStyle name="Total 16 2 2 2 3 2" xfId="23981"/>
    <cellStyle name="Total 16 2 2 2 3 2 2" xfId="45167"/>
    <cellStyle name="Total 16 2 2 2 3 3" xfId="34563"/>
    <cellStyle name="Total 16 2 2 2 4" xfId="18868"/>
    <cellStyle name="Total 16 2 2 2 4 2" xfId="40055"/>
    <cellStyle name="Total 16 2 2 2 5" xfId="29274"/>
    <cellStyle name="Total 16 2 2 2_Table 2A-1_EFT (Annual)" xfId="8618"/>
    <cellStyle name="Total 16 2 2 3" xfId="5091"/>
    <cellStyle name="Total 16 2 2 3 2" xfId="13351"/>
    <cellStyle name="Total 16 2 2 3 2 2" xfId="25357"/>
    <cellStyle name="Total 16 2 2 3 2 2 2" xfId="46543"/>
    <cellStyle name="Total 16 2 2 3 2 3" xfId="35939"/>
    <cellStyle name="Total 16 2 2 3 3" xfId="20244"/>
    <cellStyle name="Total 16 2 2 3 3 2" xfId="41431"/>
    <cellStyle name="Total 16 2 2 3 4" xfId="30748"/>
    <cellStyle name="Total 16 2 2 3_Table 2A-1_EFT (Annual)" xfId="8620"/>
    <cellStyle name="Total 16 2 2 4" xfId="10695"/>
    <cellStyle name="Total 16 2 2 4 2" xfId="22811"/>
    <cellStyle name="Total 16 2 2 4 2 2" xfId="43997"/>
    <cellStyle name="Total 16 2 2 4 3" xfId="33393"/>
    <cellStyle name="Total 16 2 2 5" xfId="17698"/>
    <cellStyle name="Total 16 2 2 5 2" xfId="38885"/>
    <cellStyle name="Total 16 2 2 6" xfId="28005"/>
    <cellStyle name="Total 16 2 2_Table 2A-1_EFT (Annual)" xfId="8617"/>
    <cellStyle name="Total 16 2 3" xfId="1058"/>
    <cellStyle name="Total 16 2 3 2" xfId="4619"/>
    <cellStyle name="Total 16 2 3 2 2" xfId="12879"/>
    <cellStyle name="Total 16 2 3 2 2 2" xfId="24885"/>
    <cellStyle name="Total 16 2 3 2 2 2 2" xfId="46071"/>
    <cellStyle name="Total 16 2 3 2 2 3" xfId="35467"/>
    <cellStyle name="Total 16 2 3 2 3" xfId="19772"/>
    <cellStyle name="Total 16 2 3 2 3 2" xfId="40959"/>
    <cellStyle name="Total 16 2 3 2 4" xfId="30276"/>
    <cellStyle name="Total 16 2 3 2_Table 2A-1_EFT (Annual)" xfId="8622"/>
    <cellStyle name="Total 16 2 3 3" xfId="10223"/>
    <cellStyle name="Total 16 2 3 3 2" xfId="22339"/>
    <cellStyle name="Total 16 2 3 3 2 2" xfId="43525"/>
    <cellStyle name="Total 16 2 3 3 3" xfId="32921"/>
    <cellStyle name="Total 16 2 3 4" xfId="17226"/>
    <cellStyle name="Total 16 2 3 4 2" xfId="38413"/>
    <cellStyle name="Total 16 2 3 5" xfId="27533"/>
    <cellStyle name="Total 16 2 3_Table 2A-1_EFT (Annual)" xfId="8621"/>
    <cellStyle name="Total 16 2 4" xfId="2269"/>
    <cellStyle name="Total 16 2 4 2" xfId="5830"/>
    <cellStyle name="Total 16 2 4 2 2" xfId="14045"/>
    <cellStyle name="Total 16 2 4 2 2 2" xfId="26033"/>
    <cellStyle name="Total 16 2 4 2 2 2 2" xfId="47219"/>
    <cellStyle name="Total 16 2 4 2 2 3" xfId="36615"/>
    <cellStyle name="Total 16 2 4 2 3" xfId="20920"/>
    <cellStyle name="Total 16 2 4 2 3 2" xfId="42107"/>
    <cellStyle name="Total 16 2 4 2 4" xfId="31487"/>
    <cellStyle name="Total 16 2 4 2_Table 2A-1_EFT (Annual)" xfId="8624"/>
    <cellStyle name="Total 16 2 4 3" xfId="11389"/>
    <cellStyle name="Total 16 2 4 3 2" xfId="23487"/>
    <cellStyle name="Total 16 2 4 3 2 2" xfId="44673"/>
    <cellStyle name="Total 16 2 4 3 3" xfId="34069"/>
    <cellStyle name="Total 16 2 4 4" xfId="18374"/>
    <cellStyle name="Total 16 2 4 4 2" xfId="39561"/>
    <cellStyle name="Total 16 2 4 5" xfId="28744"/>
    <cellStyle name="Total 16 2 4_Table 2A-1_EFT (Annual)" xfId="8623"/>
    <cellStyle name="Total 16 2 5" xfId="4123"/>
    <cellStyle name="Total 16 2 5 2" xfId="12447"/>
    <cellStyle name="Total 16 2 5 2 2" xfId="24469"/>
    <cellStyle name="Total 16 2 5 2 2 2" xfId="45655"/>
    <cellStyle name="Total 16 2 5 2 3" xfId="35051"/>
    <cellStyle name="Total 16 2 5 3" xfId="19356"/>
    <cellStyle name="Total 16 2 5 3 2" xfId="40543"/>
    <cellStyle name="Total 16 2 5 4" xfId="29811"/>
    <cellStyle name="Total 16 2 5_Table 2A-1_EFT (Annual)" xfId="8625"/>
    <cellStyle name="Total 16 2 6" xfId="9786"/>
    <cellStyle name="Total 16 2 6 2" xfId="21923"/>
    <cellStyle name="Total 16 2 6 2 2" xfId="43109"/>
    <cellStyle name="Total 16 2 6 3" xfId="32505"/>
    <cellStyle name="Total 16 2 7" xfId="16810"/>
    <cellStyle name="Total 16 2 7 2" xfId="37997"/>
    <cellStyle name="Total 16 2 8" xfId="27068"/>
    <cellStyle name="Total 16 2_Table 2A-1_EFT (Annual)" xfId="3530"/>
    <cellStyle name="Total 16 3" xfId="391"/>
    <cellStyle name="Total 16 3 2" xfId="1374"/>
    <cellStyle name="Total 16 3 2 2" xfId="2644"/>
    <cellStyle name="Total 16 3 2 2 2" xfId="6205"/>
    <cellStyle name="Total 16 3 2 2 2 2" xfId="14399"/>
    <cellStyle name="Total 16 3 2 2 2 2 2" xfId="26371"/>
    <cellStyle name="Total 16 3 2 2 2 2 2 2" xfId="47557"/>
    <cellStyle name="Total 16 3 2 2 2 2 3" xfId="36953"/>
    <cellStyle name="Total 16 3 2 2 2 3" xfId="21258"/>
    <cellStyle name="Total 16 3 2 2 2 3 2" xfId="42445"/>
    <cellStyle name="Total 16 3 2 2 2 4" xfId="31861"/>
    <cellStyle name="Total 16 3 2 2 2_Table 2A-1_EFT (Annual)" xfId="8628"/>
    <cellStyle name="Total 16 3 2 2 3" xfId="11741"/>
    <cellStyle name="Total 16 3 2 2 3 2" xfId="23825"/>
    <cellStyle name="Total 16 3 2 2 3 2 2" xfId="45011"/>
    <cellStyle name="Total 16 3 2 2 3 3" xfId="34407"/>
    <cellStyle name="Total 16 3 2 2 4" xfId="18712"/>
    <cellStyle name="Total 16 3 2 2 4 2" xfId="39899"/>
    <cellStyle name="Total 16 3 2 2 5" xfId="29118"/>
    <cellStyle name="Total 16 3 2 2_Table 2A-1_EFT (Annual)" xfId="8627"/>
    <cellStyle name="Total 16 3 2 3" xfId="4935"/>
    <cellStyle name="Total 16 3 2 3 2" xfId="13195"/>
    <cellStyle name="Total 16 3 2 3 2 2" xfId="25201"/>
    <cellStyle name="Total 16 3 2 3 2 2 2" xfId="46387"/>
    <cellStyle name="Total 16 3 2 3 2 3" xfId="35783"/>
    <cellStyle name="Total 16 3 2 3 3" xfId="20088"/>
    <cellStyle name="Total 16 3 2 3 3 2" xfId="41275"/>
    <cellStyle name="Total 16 3 2 3 4" xfId="30592"/>
    <cellStyle name="Total 16 3 2 3_Table 2A-1_EFT (Annual)" xfId="8629"/>
    <cellStyle name="Total 16 3 2 4" xfId="10539"/>
    <cellStyle name="Total 16 3 2 4 2" xfId="22655"/>
    <cellStyle name="Total 16 3 2 4 2 2" xfId="43841"/>
    <cellStyle name="Total 16 3 2 4 3" xfId="33237"/>
    <cellStyle name="Total 16 3 2 5" xfId="17542"/>
    <cellStyle name="Total 16 3 2 5 2" xfId="38729"/>
    <cellStyle name="Total 16 3 2 6" xfId="27849"/>
    <cellStyle name="Total 16 3 2_Table 2A-1_EFT (Annual)" xfId="8626"/>
    <cellStyle name="Total 16 3 3" xfId="926"/>
    <cellStyle name="Total 16 3 3 2" xfId="4487"/>
    <cellStyle name="Total 16 3 3 2 2" xfId="12749"/>
    <cellStyle name="Total 16 3 3 2 2 2" xfId="24759"/>
    <cellStyle name="Total 16 3 3 2 2 2 2" xfId="45945"/>
    <cellStyle name="Total 16 3 3 2 2 3" xfId="35341"/>
    <cellStyle name="Total 16 3 3 2 3" xfId="19646"/>
    <cellStyle name="Total 16 3 3 2 3 2" xfId="40833"/>
    <cellStyle name="Total 16 3 3 2 4" xfId="30144"/>
    <cellStyle name="Total 16 3 3 2_Table 2A-1_EFT (Annual)" xfId="8631"/>
    <cellStyle name="Total 16 3 3 3" xfId="10096"/>
    <cellStyle name="Total 16 3 3 3 2" xfId="22213"/>
    <cellStyle name="Total 16 3 3 3 2 2" xfId="43399"/>
    <cellStyle name="Total 16 3 3 3 3" xfId="32795"/>
    <cellStyle name="Total 16 3 3 4" xfId="17100"/>
    <cellStyle name="Total 16 3 3 4 2" xfId="38287"/>
    <cellStyle name="Total 16 3 3 5" xfId="27401"/>
    <cellStyle name="Total 16 3 3_Table 2A-1_EFT (Annual)" xfId="8630"/>
    <cellStyle name="Total 16 3 4" xfId="2113"/>
    <cellStyle name="Total 16 3 4 2" xfId="5674"/>
    <cellStyle name="Total 16 3 4 2 2" xfId="13889"/>
    <cellStyle name="Total 16 3 4 2 2 2" xfId="25877"/>
    <cellStyle name="Total 16 3 4 2 2 2 2" xfId="47063"/>
    <cellStyle name="Total 16 3 4 2 2 3" xfId="36459"/>
    <cellStyle name="Total 16 3 4 2 3" xfId="20764"/>
    <cellStyle name="Total 16 3 4 2 3 2" xfId="41951"/>
    <cellStyle name="Total 16 3 4 2 4" xfId="31331"/>
    <cellStyle name="Total 16 3 4 2_Table 2A-1_EFT (Annual)" xfId="8633"/>
    <cellStyle name="Total 16 3 4 3" xfId="11233"/>
    <cellStyle name="Total 16 3 4 3 2" xfId="23331"/>
    <cellStyle name="Total 16 3 4 3 2 2" xfId="44517"/>
    <cellStyle name="Total 16 3 4 3 3" xfId="33913"/>
    <cellStyle name="Total 16 3 4 4" xfId="18218"/>
    <cellStyle name="Total 16 3 4 4 2" xfId="39405"/>
    <cellStyle name="Total 16 3 4 5" xfId="28588"/>
    <cellStyle name="Total 16 3 4_Table 2A-1_EFT (Annual)" xfId="8632"/>
    <cellStyle name="Total 16 3 5" xfId="3961"/>
    <cellStyle name="Total 16 3 5 2" xfId="12289"/>
    <cellStyle name="Total 16 3 5 2 2" xfId="24313"/>
    <cellStyle name="Total 16 3 5 2 2 2" xfId="45499"/>
    <cellStyle name="Total 16 3 5 2 3" xfId="34895"/>
    <cellStyle name="Total 16 3 5 3" xfId="19200"/>
    <cellStyle name="Total 16 3 5 3 2" xfId="40387"/>
    <cellStyle name="Total 16 3 5 4" xfId="29649"/>
    <cellStyle name="Total 16 3 5_Table 2A-1_EFT (Annual)" xfId="8634"/>
    <cellStyle name="Total 16 3 6" xfId="9626"/>
    <cellStyle name="Total 16 3 6 2" xfId="21767"/>
    <cellStyle name="Total 16 3 6 2 2" xfId="42953"/>
    <cellStyle name="Total 16 3 6 3" xfId="32349"/>
    <cellStyle name="Total 16 3 7" xfId="16654"/>
    <cellStyle name="Total 16 3 7 2" xfId="37841"/>
    <cellStyle name="Total 16 3 8" xfId="26906"/>
    <cellStyle name="Total 16 3_Table 2A-1_EFT (Annual)" xfId="3531"/>
    <cellStyle name="Total 16 4" xfId="1208"/>
    <cellStyle name="Total 16 4 2" xfId="2478"/>
    <cellStyle name="Total 16 4 2 2" xfId="6039"/>
    <cellStyle name="Total 16 4 2 2 2" xfId="14233"/>
    <cellStyle name="Total 16 4 2 2 2 2" xfId="26205"/>
    <cellStyle name="Total 16 4 2 2 2 2 2" xfId="47391"/>
    <cellStyle name="Total 16 4 2 2 2 3" xfId="36787"/>
    <cellStyle name="Total 16 4 2 2 3" xfId="21092"/>
    <cellStyle name="Total 16 4 2 2 3 2" xfId="42279"/>
    <cellStyle name="Total 16 4 2 2 4" xfId="31695"/>
    <cellStyle name="Total 16 4 2 2_Table 2A-1_EFT (Annual)" xfId="8637"/>
    <cellStyle name="Total 16 4 2 3" xfId="11575"/>
    <cellStyle name="Total 16 4 2 3 2" xfId="23659"/>
    <cellStyle name="Total 16 4 2 3 2 2" xfId="44845"/>
    <cellStyle name="Total 16 4 2 3 3" xfId="34241"/>
    <cellStyle name="Total 16 4 2 4" xfId="18546"/>
    <cellStyle name="Total 16 4 2 4 2" xfId="39733"/>
    <cellStyle name="Total 16 4 2 5" xfId="28952"/>
    <cellStyle name="Total 16 4 2_Table 2A-1_EFT (Annual)" xfId="8636"/>
    <cellStyle name="Total 16 4 3" xfId="4769"/>
    <cellStyle name="Total 16 4 3 2" xfId="13029"/>
    <cellStyle name="Total 16 4 3 2 2" xfId="25035"/>
    <cellStyle name="Total 16 4 3 2 2 2" xfId="46221"/>
    <cellStyle name="Total 16 4 3 2 3" xfId="35617"/>
    <cellStyle name="Total 16 4 3 3" xfId="19922"/>
    <cellStyle name="Total 16 4 3 3 2" xfId="41109"/>
    <cellStyle name="Total 16 4 3 4" xfId="30426"/>
    <cellStyle name="Total 16 4 3_Table 2A-1_EFT (Annual)" xfId="8638"/>
    <cellStyle name="Total 16 4 4" xfId="10373"/>
    <cellStyle name="Total 16 4 4 2" xfId="22489"/>
    <cellStyle name="Total 16 4 4 2 2" xfId="43675"/>
    <cellStyle name="Total 16 4 4 3" xfId="33071"/>
    <cellStyle name="Total 16 4 5" xfId="17376"/>
    <cellStyle name="Total 16 4 5 2" xfId="38563"/>
    <cellStyle name="Total 16 4 6" xfId="27683"/>
    <cellStyle name="Total 16 4_Table 2A-1_EFT (Annual)" xfId="8635"/>
    <cellStyle name="Total 16 5" xfId="767"/>
    <cellStyle name="Total 16 5 2" xfId="4328"/>
    <cellStyle name="Total 16 5 2 2" xfId="12608"/>
    <cellStyle name="Total 16 5 2 2 2" xfId="24625"/>
    <cellStyle name="Total 16 5 2 2 2 2" xfId="45811"/>
    <cellStyle name="Total 16 5 2 2 3" xfId="35207"/>
    <cellStyle name="Total 16 5 2 3" xfId="19512"/>
    <cellStyle name="Total 16 5 2 3 2" xfId="40699"/>
    <cellStyle name="Total 16 5 2 4" xfId="29985"/>
    <cellStyle name="Total 16 5 2_Table 2A-1_EFT (Annual)" xfId="8640"/>
    <cellStyle name="Total 16 5 3" xfId="9956"/>
    <cellStyle name="Total 16 5 3 2" xfId="22079"/>
    <cellStyle name="Total 16 5 3 2 2" xfId="43265"/>
    <cellStyle name="Total 16 5 3 3" xfId="32661"/>
    <cellStyle name="Total 16 5 4" xfId="16966"/>
    <cellStyle name="Total 16 5 4 2" xfId="38153"/>
    <cellStyle name="Total 16 5 5" xfId="27242"/>
    <cellStyle name="Total 16 5_Table 2A-1_EFT (Annual)" xfId="8639"/>
    <cellStyle name="Total 16 6" xfId="1947"/>
    <cellStyle name="Total 16 6 2" xfId="5508"/>
    <cellStyle name="Total 16 6 2 2" xfId="13723"/>
    <cellStyle name="Total 16 6 2 2 2" xfId="25711"/>
    <cellStyle name="Total 16 6 2 2 2 2" xfId="46897"/>
    <cellStyle name="Total 16 6 2 2 3" xfId="36293"/>
    <cellStyle name="Total 16 6 2 3" xfId="20598"/>
    <cellStyle name="Total 16 6 2 3 2" xfId="41785"/>
    <cellStyle name="Total 16 6 2 4" xfId="31165"/>
    <cellStyle name="Total 16 6 2_Table 2A-1_EFT (Annual)" xfId="8642"/>
    <cellStyle name="Total 16 6 3" xfId="11067"/>
    <cellStyle name="Total 16 6 3 2" xfId="23165"/>
    <cellStyle name="Total 16 6 3 2 2" xfId="44351"/>
    <cellStyle name="Total 16 6 3 3" xfId="33747"/>
    <cellStyle name="Total 16 6 4" xfId="18052"/>
    <cellStyle name="Total 16 6 4 2" xfId="39239"/>
    <cellStyle name="Total 16 6 5" xfId="28422"/>
    <cellStyle name="Total 16 6_Table 2A-1_EFT (Annual)" xfId="8641"/>
    <cellStyle name="Total 16 7" xfId="3749"/>
    <cellStyle name="Total 16 7 2" xfId="12117"/>
    <cellStyle name="Total 16 7 2 2" xfId="24147"/>
    <cellStyle name="Total 16 7 2 2 2" xfId="45333"/>
    <cellStyle name="Total 16 7 2 3" xfId="34729"/>
    <cellStyle name="Total 16 7 3" xfId="19034"/>
    <cellStyle name="Total 16 7 3 2" xfId="40221"/>
    <cellStyle name="Total 16 7 4" xfId="29458"/>
    <cellStyle name="Total 16 7_Table 2A-1_EFT (Annual)" xfId="8643"/>
    <cellStyle name="Total 16 8" xfId="9436"/>
    <cellStyle name="Total 16 8 2" xfId="21601"/>
    <cellStyle name="Total 16 8 2 2" xfId="42787"/>
    <cellStyle name="Total 16 8 3" xfId="32183"/>
    <cellStyle name="Total 16 9" xfId="16488"/>
    <cellStyle name="Total 16 9 2" xfId="37675"/>
    <cellStyle name="Total 16_Table 2A-1_EFT (Annual)" xfId="3529"/>
    <cellStyle name="Total 17" xfId="157"/>
    <cellStyle name="Total 17 10" xfId="26712"/>
    <cellStyle name="Total 17 2" xfId="550"/>
    <cellStyle name="Total 17 2 2" xfId="1527"/>
    <cellStyle name="Total 17 2 2 2" xfId="2797"/>
    <cellStyle name="Total 17 2 2 2 2" xfId="6358"/>
    <cellStyle name="Total 17 2 2 2 2 2" xfId="14552"/>
    <cellStyle name="Total 17 2 2 2 2 2 2" xfId="26524"/>
    <cellStyle name="Total 17 2 2 2 2 2 2 2" xfId="47710"/>
    <cellStyle name="Total 17 2 2 2 2 2 3" xfId="37106"/>
    <cellStyle name="Total 17 2 2 2 2 3" xfId="21411"/>
    <cellStyle name="Total 17 2 2 2 2 3 2" xfId="42598"/>
    <cellStyle name="Total 17 2 2 2 2 4" xfId="32014"/>
    <cellStyle name="Total 17 2 2 2 2_Table 2A-1_EFT (Annual)" xfId="8646"/>
    <cellStyle name="Total 17 2 2 2 3" xfId="11894"/>
    <cellStyle name="Total 17 2 2 2 3 2" xfId="23978"/>
    <cellStyle name="Total 17 2 2 2 3 2 2" xfId="45164"/>
    <cellStyle name="Total 17 2 2 2 3 3" xfId="34560"/>
    <cellStyle name="Total 17 2 2 2 4" xfId="18865"/>
    <cellStyle name="Total 17 2 2 2 4 2" xfId="40052"/>
    <cellStyle name="Total 17 2 2 2 5" xfId="29271"/>
    <cellStyle name="Total 17 2 2 2_Table 2A-1_EFT (Annual)" xfId="8645"/>
    <cellStyle name="Total 17 2 2 3" xfId="5088"/>
    <cellStyle name="Total 17 2 2 3 2" xfId="13348"/>
    <cellStyle name="Total 17 2 2 3 2 2" xfId="25354"/>
    <cellStyle name="Total 17 2 2 3 2 2 2" xfId="46540"/>
    <cellStyle name="Total 17 2 2 3 2 3" xfId="35936"/>
    <cellStyle name="Total 17 2 2 3 3" xfId="20241"/>
    <cellStyle name="Total 17 2 2 3 3 2" xfId="41428"/>
    <cellStyle name="Total 17 2 2 3 4" xfId="30745"/>
    <cellStyle name="Total 17 2 2 3_Table 2A-1_EFT (Annual)" xfId="8647"/>
    <cellStyle name="Total 17 2 2 4" xfId="10692"/>
    <cellStyle name="Total 17 2 2 4 2" xfId="22808"/>
    <cellStyle name="Total 17 2 2 4 2 2" xfId="43994"/>
    <cellStyle name="Total 17 2 2 4 3" xfId="33390"/>
    <cellStyle name="Total 17 2 2 5" xfId="17695"/>
    <cellStyle name="Total 17 2 2 5 2" xfId="38882"/>
    <cellStyle name="Total 17 2 2 6" xfId="28002"/>
    <cellStyle name="Total 17 2 2_Table 2A-1_EFT (Annual)" xfId="8644"/>
    <cellStyle name="Total 17 2 3" xfId="1056"/>
    <cellStyle name="Total 17 2 3 2" xfId="4617"/>
    <cellStyle name="Total 17 2 3 2 2" xfId="12877"/>
    <cellStyle name="Total 17 2 3 2 2 2" xfId="24883"/>
    <cellStyle name="Total 17 2 3 2 2 2 2" xfId="46069"/>
    <cellStyle name="Total 17 2 3 2 2 3" xfId="35465"/>
    <cellStyle name="Total 17 2 3 2 3" xfId="19770"/>
    <cellStyle name="Total 17 2 3 2 3 2" xfId="40957"/>
    <cellStyle name="Total 17 2 3 2 4" xfId="30274"/>
    <cellStyle name="Total 17 2 3 2_Table 2A-1_EFT (Annual)" xfId="8649"/>
    <cellStyle name="Total 17 2 3 3" xfId="10221"/>
    <cellStyle name="Total 17 2 3 3 2" xfId="22337"/>
    <cellStyle name="Total 17 2 3 3 2 2" xfId="43523"/>
    <cellStyle name="Total 17 2 3 3 3" xfId="32919"/>
    <cellStyle name="Total 17 2 3 4" xfId="17224"/>
    <cellStyle name="Total 17 2 3 4 2" xfId="38411"/>
    <cellStyle name="Total 17 2 3 5" xfId="27531"/>
    <cellStyle name="Total 17 2 3_Table 2A-1_EFT (Annual)" xfId="8648"/>
    <cellStyle name="Total 17 2 4" xfId="2266"/>
    <cellStyle name="Total 17 2 4 2" xfId="5827"/>
    <cellStyle name="Total 17 2 4 2 2" xfId="14042"/>
    <cellStyle name="Total 17 2 4 2 2 2" xfId="26030"/>
    <cellStyle name="Total 17 2 4 2 2 2 2" xfId="47216"/>
    <cellStyle name="Total 17 2 4 2 2 3" xfId="36612"/>
    <cellStyle name="Total 17 2 4 2 3" xfId="20917"/>
    <cellStyle name="Total 17 2 4 2 3 2" xfId="42104"/>
    <cellStyle name="Total 17 2 4 2 4" xfId="31484"/>
    <cellStyle name="Total 17 2 4 2_Table 2A-1_EFT (Annual)" xfId="8651"/>
    <cellStyle name="Total 17 2 4 3" xfId="11386"/>
    <cellStyle name="Total 17 2 4 3 2" xfId="23484"/>
    <cellStyle name="Total 17 2 4 3 2 2" xfId="44670"/>
    <cellStyle name="Total 17 2 4 3 3" xfId="34066"/>
    <cellStyle name="Total 17 2 4 4" xfId="18371"/>
    <cellStyle name="Total 17 2 4 4 2" xfId="39558"/>
    <cellStyle name="Total 17 2 4 5" xfId="28741"/>
    <cellStyle name="Total 17 2 4_Table 2A-1_EFT (Annual)" xfId="8650"/>
    <cellStyle name="Total 17 2 5" xfId="4120"/>
    <cellStyle name="Total 17 2 5 2" xfId="12444"/>
    <cellStyle name="Total 17 2 5 2 2" xfId="24466"/>
    <cellStyle name="Total 17 2 5 2 2 2" xfId="45652"/>
    <cellStyle name="Total 17 2 5 2 3" xfId="35048"/>
    <cellStyle name="Total 17 2 5 3" xfId="19353"/>
    <cellStyle name="Total 17 2 5 3 2" xfId="40540"/>
    <cellStyle name="Total 17 2 5 4" xfId="29808"/>
    <cellStyle name="Total 17 2 5_Table 2A-1_EFT (Annual)" xfId="8652"/>
    <cellStyle name="Total 17 2 6" xfId="9783"/>
    <cellStyle name="Total 17 2 6 2" xfId="21920"/>
    <cellStyle name="Total 17 2 6 2 2" xfId="43106"/>
    <cellStyle name="Total 17 2 6 3" xfId="32502"/>
    <cellStyle name="Total 17 2 7" xfId="16807"/>
    <cellStyle name="Total 17 2 7 2" xfId="37994"/>
    <cellStyle name="Total 17 2 8" xfId="27065"/>
    <cellStyle name="Total 17 2_Table 2A-1_EFT (Annual)" xfId="3533"/>
    <cellStyle name="Total 17 3" xfId="388"/>
    <cellStyle name="Total 17 3 2" xfId="1371"/>
    <cellStyle name="Total 17 3 2 2" xfId="2641"/>
    <cellStyle name="Total 17 3 2 2 2" xfId="6202"/>
    <cellStyle name="Total 17 3 2 2 2 2" xfId="14396"/>
    <cellStyle name="Total 17 3 2 2 2 2 2" xfId="26368"/>
    <cellStyle name="Total 17 3 2 2 2 2 2 2" xfId="47554"/>
    <cellStyle name="Total 17 3 2 2 2 2 3" xfId="36950"/>
    <cellStyle name="Total 17 3 2 2 2 3" xfId="21255"/>
    <cellStyle name="Total 17 3 2 2 2 3 2" xfId="42442"/>
    <cellStyle name="Total 17 3 2 2 2 4" xfId="31858"/>
    <cellStyle name="Total 17 3 2 2 2_Table 2A-1_EFT (Annual)" xfId="8655"/>
    <cellStyle name="Total 17 3 2 2 3" xfId="11738"/>
    <cellStyle name="Total 17 3 2 2 3 2" xfId="23822"/>
    <cellStyle name="Total 17 3 2 2 3 2 2" xfId="45008"/>
    <cellStyle name="Total 17 3 2 2 3 3" xfId="34404"/>
    <cellStyle name="Total 17 3 2 2 4" xfId="18709"/>
    <cellStyle name="Total 17 3 2 2 4 2" xfId="39896"/>
    <cellStyle name="Total 17 3 2 2 5" xfId="29115"/>
    <cellStyle name="Total 17 3 2 2_Table 2A-1_EFT (Annual)" xfId="8654"/>
    <cellStyle name="Total 17 3 2 3" xfId="4932"/>
    <cellStyle name="Total 17 3 2 3 2" xfId="13192"/>
    <cellStyle name="Total 17 3 2 3 2 2" xfId="25198"/>
    <cellStyle name="Total 17 3 2 3 2 2 2" xfId="46384"/>
    <cellStyle name="Total 17 3 2 3 2 3" xfId="35780"/>
    <cellStyle name="Total 17 3 2 3 3" xfId="20085"/>
    <cellStyle name="Total 17 3 2 3 3 2" xfId="41272"/>
    <cellStyle name="Total 17 3 2 3 4" xfId="30589"/>
    <cellStyle name="Total 17 3 2 3_Table 2A-1_EFT (Annual)" xfId="8656"/>
    <cellStyle name="Total 17 3 2 4" xfId="10536"/>
    <cellStyle name="Total 17 3 2 4 2" xfId="22652"/>
    <cellStyle name="Total 17 3 2 4 2 2" xfId="43838"/>
    <cellStyle name="Total 17 3 2 4 3" xfId="33234"/>
    <cellStyle name="Total 17 3 2 5" xfId="17539"/>
    <cellStyle name="Total 17 3 2 5 2" xfId="38726"/>
    <cellStyle name="Total 17 3 2 6" xfId="27846"/>
    <cellStyle name="Total 17 3 2_Table 2A-1_EFT (Annual)" xfId="8653"/>
    <cellStyle name="Total 17 3 3" xfId="924"/>
    <cellStyle name="Total 17 3 3 2" xfId="4485"/>
    <cellStyle name="Total 17 3 3 2 2" xfId="12747"/>
    <cellStyle name="Total 17 3 3 2 2 2" xfId="24757"/>
    <cellStyle name="Total 17 3 3 2 2 2 2" xfId="45943"/>
    <cellStyle name="Total 17 3 3 2 2 3" xfId="35339"/>
    <cellStyle name="Total 17 3 3 2 3" xfId="19644"/>
    <cellStyle name="Total 17 3 3 2 3 2" xfId="40831"/>
    <cellStyle name="Total 17 3 3 2 4" xfId="30142"/>
    <cellStyle name="Total 17 3 3 2_Table 2A-1_EFT (Annual)" xfId="8658"/>
    <cellStyle name="Total 17 3 3 3" xfId="10094"/>
    <cellStyle name="Total 17 3 3 3 2" xfId="22211"/>
    <cellStyle name="Total 17 3 3 3 2 2" xfId="43397"/>
    <cellStyle name="Total 17 3 3 3 3" xfId="32793"/>
    <cellStyle name="Total 17 3 3 4" xfId="17098"/>
    <cellStyle name="Total 17 3 3 4 2" xfId="38285"/>
    <cellStyle name="Total 17 3 3 5" xfId="27399"/>
    <cellStyle name="Total 17 3 3_Table 2A-1_EFT (Annual)" xfId="8657"/>
    <cellStyle name="Total 17 3 4" xfId="2110"/>
    <cellStyle name="Total 17 3 4 2" xfId="5671"/>
    <cellStyle name="Total 17 3 4 2 2" xfId="13886"/>
    <cellStyle name="Total 17 3 4 2 2 2" xfId="25874"/>
    <cellStyle name="Total 17 3 4 2 2 2 2" xfId="47060"/>
    <cellStyle name="Total 17 3 4 2 2 3" xfId="36456"/>
    <cellStyle name="Total 17 3 4 2 3" xfId="20761"/>
    <cellStyle name="Total 17 3 4 2 3 2" xfId="41948"/>
    <cellStyle name="Total 17 3 4 2 4" xfId="31328"/>
    <cellStyle name="Total 17 3 4 2_Table 2A-1_EFT (Annual)" xfId="8660"/>
    <cellStyle name="Total 17 3 4 3" xfId="11230"/>
    <cellStyle name="Total 17 3 4 3 2" xfId="23328"/>
    <cellStyle name="Total 17 3 4 3 2 2" xfId="44514"/>
    <cellStyle name="Total 17 3 4 3 3" xfId="33910"/>
    <cellStyle name="Total 17 3 4 4" xfId="18215"/>
    <cellStyle name="Total 17 3 4 4 2" xfId="39402"/>
    <cellStyle name="Total 17 3 4 5" xfId="28585"/>
    <cellStyle name="Total 17 3 4_Table 2A-1_EFT (Annual)" xfId="8659"/>
    <cellStyle name="Total 17 3 5" xfId="3958"/>
    <cellStyle name="Total 17 3 5 2" xfId="12286"/>
    <cellStyle name="Total 17 3 5 2 2" xfId="24310"/>
    <cellStyle name="Total 17 3 5 2 2 2" xfId="45496"/>
    <cellStyle name="Total 17 3 5 2 3" xfId="34892"/>
    <cellStyle name="Total 17 3 5 3" xfId="19197"/>
    <cellStyle name="Total 17 3 5 3 2" xfId="40384"/>
    <cellStyle name="Total 17 3 5 4" xfId="29646"/>
    <cellStyle name="Total 17 3 5_Table 2A-1_EFT (Annual)" xfId="8661"/>
    <cellStyle name="Total 17 3 6" xfId="9623"/>
    <cellStyle name="Total 17 3 6 2" xfId="21764"/>
    <cellStyle name="Total 17 3 6 2 2" xfId="42950"/>
    <cellStyle name="Total 17 3 6 3" xfId="32346"/>
    <cellStyle name="Total 17 3 7" xfId="16651"/>
    <cellStyle name="Total 17 3 7 2" xfId="37838"/>
    <cellStyle name="Total 17 3 8" xfId="26903"/>
    <cellStyle name="Total 17 3_Table 2A-1_EFT (Annual)" xfId="3534"/>
    <cellStyle name="Total 17 4" xfId="1205"/>
    <cellStyle name="Total 17 4 2" xfId="2475"/>
    <cellStyle name="Total 17 4 2 2" xfId="6036"/>
    <cellStyle name="Total 17 4 2 2 2" xfId="14230"/>
    <cellStyle name="Total 17 4 2 2 2 2" xfId="26202"/>
    <cellStyle name="Total 17 4 2 2 2 2 2" xfId="47388"/>
    <cellStyle name="Total 17 4 2 2 2 3" xfId="36784"/>
    <cellStyle name="Total 17 4 2 2 3" xfId="21089"/>
    <cellStyle name="Total 17 4 2 2 3 2" xfId="42276"/>
    <cellStyle name="Total 17 4 2 2 4" xfId="31692"/>
    <cellStyle name="Total 17 4 2 2_Table 2A-1_EFT (Annual)" xfId="8664"/>
    <cellStyle name="Total 17 4 2 3" xfId="11572"/>
    <cellStyle name="Total 17 4 2 3 2" xfId="23656"/>
    <cellStyle name="Total 17 4 2 3 2 2" xfId="44842"/>
    <cellStyle name="Total 17 4 2 3 3" xfId="34238"/>
    <cellStyle name="Total 17 4 2 4" xfId="18543"/>
    <cellStyle name="Total 17 4 2 4 2" xfId="39730"/>
    <cellStyle name="Total 17 4 2 5" xfId="28949"/>
    <cellStyle name="Total 17 4 2_Table 2A-1_EFT (Annual)" xfId="8663"/>
    <cellStyle name="Total 17 4 3" xfId="4766"/>
    <cellStyle name="Total 17 4 3 2" xfId="13026"/>
    <cellStyle name="Total 17 4 3 2 2" xfId="25032"/>
    <cellStyle name="Total 17 4 3 2 2 2" xfId="46218"/>
    <cellStyle name="Total 17 4 3 2 3" xfId="35614"/>
    <cellStyle name="Total 17 4 3 3" xfId="19919"/>
    <cellStyle name="Total 17 4 3 3 2" xfId="41106"/>
    <cellStyle name="Total 17 4 3 4" xfId="30423"/>
    <cellStyle name="Total 17 4 3_Table 2A-1_EFT (Annual)" xfId="8665"/>
    <cellStyle name="Total 17 4 4" xfId="10370"/>
    <cellStyle name="Total 17 4 4 2" xfId="22486"/>
    <cellStyle name="Total 17 4 4 2 2" xfId="43672"/>
    <cellStyle name="Total 17 4 4 3" xfId="33068"/>
    <cellStyle name="Total 17 4 5" xfId="17373"/>
    <cellStyle name="Total 17 4 5 2" xfId="38560"/>
    <cellStyle name="Total 17 4 6" xfId="27680"/>
    <cellStyle name="Total 17 4_Table 2A-1_EFT (Annual)" xfId="8662"/>
    <cellStyle name="Total 17 5" xfId="765"/>
    <cellStyle name="Total 17 5 2" xfId="4326"/>
    <cellStyle name="Total 17 5 2 2" xfId="12606"/>
    <cellStyle name="Total 17 5 2 2 2" xfId="24623"/>
    <cellStyle name="Total 17 5 2 2 2 2" xfId="45809"/>
    <cellStyle name="Total 17 5 2 2 3" xfId="35205"/>
    <cellStyle name="Total 17 5 2 3" xfId="19510"/>
    <cellStyle name="Total 17 5 2 3 2" xfId="40697"/>
    <cellStyle name="Total 17 5 2 4" xfId="29983"/>
    <cellStyle name="Total 17 5 2_Table 2A-1_EFT (Annual)" xfId="8667"/>
    <cellStyle name="Total 17 5 3" xfId="9954"/>
    <cellStyle name="Total 17 5 3 2" xfId="22077"/>
    <cellStyle name="Total 17 5 3 2 2" xfId="43263"/>
    <cellStyle name="Total 17 5 3 3" xfId="32659"/>
    <cellStyle name="Total 17 5 4" xfId="16964"/>
    <cellStyle name="Total 17 5 4 2" xfId="38151"/>
    <cellStyle name="Total 17 5 5" xfId="27240"/>
    <cellStyle name="Total 17 5_Table 2A-1_EFT (Annual)" xfId="8666"/>
    <cellStyle name="Total 17 6" xfId="1778"/>
    <cellStyle name="Total 17 6 2" xfId="5339"/>
    <cellStyle name="Total 17 6 2 2" xfId="13554"/>
    <cellStyle name="Total 17 6 2 2 2" xfId="25542"/>
    <cellStyle name="Total 17 6 2 2 2 2" xfId="46728"/>
    <cellStyle name="Total 17 6 2 2 3" xfId="36124"/>
    <cellStyle name="Total 17 6 2 3" xfId="20429"/>
    <cellStyle name="Total 17 6 2 3 2" xfId="41616"/>
    <cellStyle name="Total 17 6 2 4" xfId="30996"/>
    <cellStyle name="Total 17 6 2_Table 2A-1_EFT (Annual)" xfId="8669"/>
    <cellStyle name="Total 17 6 3" xfId="10898"/>
    <cellStyle name="Total 17 6 3 2" xfId="22996"/>
    <cellStyle name="Total 17 6 3 2 2" xfId="44182"/>
    <cellStyle name="Total 17 6 3 3" xfId="33578"/>
    <cellStyle name="Total 17 6 4" xfId="17883"/>
    <cellStyle name="Total 17 6 4 2" xfId="39070"/>
    <cellStyle name="Total 17 6 5" xfId="28253"/>
    <cellStyle name="Total 17 6_Table 2A-1_EFT (Annual)" xfId="8668"/>
    <cellStyle name="Total 17 7" xfId="3746"/>
    <cellStyle name="Total 17 7 2" xfId="12114"/>
    <cellStyle name="Total 17 7 2 2" xfId="24144"/>
    <cellStyle name="Total 17 7 2 2 2" xfId="45330"/>
    <cellStyle name="Total 17 7 2 3" xfId="34726"/>
    <cellStyle name="Total 17 7 3" xfId="19031"/>
    <cellStyle name="Total 17 7 3 2" xfId="40218"/>
    <cellStyle name="Total 17 7 4" xfId="29455"/>
    <cellStyle name="Total 17 7_Table 2A-1_EFT (Annual)" xfId="8670"/>
    <cellStyle name="Total 17 8" xfId="9433"/>
    <cellStyle name="Total 17 8 2" xfId="21598"/>
    <cellStyle name="Total 17 8 2 2" xfId="42784"/>
    <cellStyle name="Total 17 8 3" xfId="32180"/>
    <cellStyle name="Total 17 9" xfId="16485"/>
    <cellStyle name="Total 17 9 2" xfId="37672"/>
    <cellStyle name="Total 17_Table 2A-1_EFT (Annual)" xfId="3532"/>
    <cellStyle name="Total 18" xfId="174"/>
    <cellStyle name="Total 18 10" xfId="26729"/>
    <cellStyle name="Total 18 2" xfId="567"/>
    <cellStyle name="Total 18 2 2" xfId="1544"/>
    <cellStyle name="Total 18 2 2 2" xfId="2814"/>
    <cellStyle name="Total 18 2 2 2 2" xfId="6375"/>
    <cellStyle name="Total 18 2 2 2 2 2" xfId="14569"/>
    <cellStyle name="Total 18 2 2 2 2 2 2" xfId="26541"/>
    <cellStyle name="Total 18 2 2 2 2 2 2 2" xfId="47727"/>
    <cellStyle name="Total 18 2 2 2 2 2 3" xfId="37123"/>
    <cellStyle name="Total 18 2 2 2 2 3" xfId="21428"/>
    <cellStyle name="Total 18 2 2 2 2 3 2" xfId="42615"/>
    <cellStyle name="Total 18 2 2 2 2 4" xfId="32031"/>
    <cellStyle name="Total 18 2 2 2 2_Table 2A-1_EFT (Annual)" xfId="8673"/>
    <cellStyle name="Total 18 2 2 2 3" xfId="11911"/>
    <cellStyle name="Total 18 2 2 2 3 2" xfId="23995"/>
    <cellStyle name="Total 18 2 2 2 3 2 2" xfId="45181"/>
    <cellStyle name="Total 18 2 2 2 3 3" xfId="34577"/>
    <cellStyle name="Total 18 2 2 2 4" xfId="18882"/>
    <cellStyle name="Total 18 2 2 2 4 2" xfId="40069"/>
    <cellStyle name="Total 18 2 2 2 5" xfId="29288"/>
    <cellStyle name="Total 18 2 2 2_Table 2A-1_EFT (Annual)" xfId="8672"/>
    <cellStyle name="Total 18 2 2 3" xfId="5105"/>
    <cellStyle name="Total 18 2 2 3 2" xfId="13365"/>
    <cellStyle name="Total 18 2 2 3 2 2" xfId="25371"/>
    <cellStyle name="Total 18 2 2 3 2 2 2" xfId="46557"/>
    <cellStyle name="Total 18 2 2 3 2 3" xfId="35953"/>
    <cellStyle name="Total 18 2 2 3 3" xfId="20258"/>
    <cellStyle name="Total 18 2 2 3 3 2" xfId="41445"/>
    <cellStyle name="Total 18 2 2 3 4" xfId="30762"/>
    <cellStyle name="Total 18 2 2 3_Table 2A-1_EFT (Annual)" xfId="8674"/>
    <cellStyle name="Total 18 2 2 4" xfId="10709"/>
    <cellStyle name="Total 18 2 2 4 2" xfId="22825"/>
    <cellStyle name="Total 18 2 2 4 2 2" xfId="44011"/>
    <cellStyle name="Total 18 2 2 4 3" xfId="33407"/>
    <cellStyle name="Total 18 2 2 5" xfId="17712"/>
    <cellStyle name="Total 18 2 2 5 2" xfId="38899"/>
    <cellStyle name="Total 18 2 2 6" xfId="28019"/>
    <cellStyle name="Total 18 2 2_Table 2A-1_EFT (Annual)" xfId="8671"/>
    <cellStyle name="Total 18 2 3" xfId="1069"/>
    <cellStyle name="Total 18 2 3 2" xfId="4630"/>
    <cellStyle name="Total 18 2 3 2 2" xfId="12890"/>
    <cellStyle name="Total 18 2 3 2 2 2" xfId="24896"/>
    <cellStyle name="Total 18 2 3 2 2 2 2" xfId="46082"/>
    <cellStyle name="Total 18 2 3 2 2 3" xfId="35478"/>
    <cellStyle name="Total 18 2 3 2 3" xfId="19783"/>
    <cellStyle name="Total 18 2 3 2 3 2" xfId="40970"/>
    <cellStyle name="Total 18 2 3 2 4" xfId="30287"/>
    <cellStyle name="Total 18 2 3 2_Table 2A-1_EFT (Annual)" xfId="8676"/>
    <cellStyle name="Total 18 2 3 3" xfId="10234"/>
    <cellStyle name="Total 18 2 3 3 2" xfId="22350"/>
    <cellStyle name="Total 18 2 3 3 2 2" xfId="43536"/>
    <cellStyle name="Total 18 2 3 3 3" xfId="32932"/>
    <cellStyle name="Total 18 2 3 4" xfId="17237"/>
    <cellStyle name="Total 18 2 3 4 2" xfId="38424"/>
    <cellStyle name="Total 18 2 3 5" xfId="27544"/>
    <cellStyle name="Total 18 2 3_Table 2A-1_EFT (Annual)" xfId="8675"/>
    <cellStyle name="Total 18 2 4" xfId="2283"/>
    <cellStyle name="Total 18 2 4 2" xfId="5844"/>
    <cellStyle name="Total 18 2 4 2 2" xfId="14059"/>
    <cellStyle name="Total 18 2 4 2 2 2" xfId="26047"/>
    <cellStyle name="Total 18 2 4 2 2 2 2" xfId="47233"/>
    <cellStyle name="Total 18 2 4 2 2 3" xfId="36629"/>
    <cellStyle name="Total 18 2 4 2 3" xfId="20934"/>
    <cellStyle name="Total 18 2 4 2 3 2" xfId="42121"/>
    <cellStyle name="Total 18 2 4 2 4" xfId="31501"/>
    <cellStyle name="Total 18 2 4 2_Table 2A-1_EFT (Annual)" xfId="8678"/>
    <cellStyle name="Total 18 2 4 3" xfId="11403"/>
    <cellStyle name="Total 18 2 4 3 2" xfId="23501"/>
    <cellStyle name="Total 18 2 4 3 2 2" xfId="44687"/>
    <cellStyle name="Total 18 2 4 3 3" xfId="34083"/>
    <cellStyle name="Total 18 2 4 4" xfId="18388"/>
    <cellStyle name="Total 18 2 4 4 2" xfId="39575"/>
    <cellStyle name="Total 18 2 4 5" xfId="28758"/>
    <cellStyle name="Total 18 2 4_Table 2A-1_EFT (Annual)" xfId="8677"/>
    <cellStyle name="Total 18 2 5" xfId="4137"/>
    <cellStyle name="Total 18 2 5 2" xfId="12461"/>
    <cellStyle name="Total 18 2 5 2 2" xfId="24483"/>
    <cellStyle name="Total 18 2 5 2 2 2" xfId="45669"/>
    <cellStyle name="Total 18 2 5 2 3" xfId="35065"/>
    <cellStyle name="Total 18 2 5 3" xfId="19370"/>
    <cellStyle name="Total 18 2 5 3 2" xfId="40557"/>
    <cellStyle name="Total 18 2 5 4" xfId="29825"/>
    <cellStyle name="Total 18 2 5_Table 2A-1_EFT (Annual)" xfId="8679"/>
    <cellStyle name="Total 18 2 6" xfId="9800"/>
    <cellStyle name="Total 18 2 6 2" xfId="21937"/>
    <cellStyle name="Total 18 2 6 2 2" xfId="43123"/>
    <cellStyle name="Total 18 2 6 3" xfId="32519"/>
    <cellStyle name="Total 18 2 7" xfId="16824"/>
    <cellStyle name="Total 18 2 7 2" xfId="38011"/>
    <cellStyle name="Total 18 2 8" xfId="27082"/>
    <cellStyle name="Total 18 2_Table 2A-1_EFT (Annual)" xfId="3536"/>
    <cellStyle name="Total 18 3" xfId="405"/>
    <cellStyle name="Total 18 3 2" xfId="1388"/>
    <cellStyle name="Total 18 3 2 2" xfId="2658"/>
    <cellStyle name="Total 18 3 2 2 2" xfId="6219"/>
    <cellStyle name="Total 18 3 2 2 2 2" xfId="14413"/>
    <cellStyle name="Total 18 3 2 2 2 2 2" xfId="26385"/>
    <cellStyle name="Total 18 3 2 2 2 2 2 2" xfId="47571"/>
    <cellStyle name="Total 18 3 2 2 2 2 3" xfId="36967"/>
    <cellStyle name="Total 18 3 2 2 2 3" xfId="21272"/>
    <cellStyle name="Total 18 3 2 2 2 3 2" xfId="42459"/>
    <cellStyle name="Total 18 3 2 2 2 4" xfId="31875"/>
    <cellStyle name="Total 18 3 2 2 2_Table 2A-1_EFT (Annual)" xfId="8682"/>
    <cellStyle name="Total 18 3 2 2 3" xfId="11755"/>
    <cellStyle name="Total 18 3 2 2 3 2" xfId="23839"/>
    <cellStyle name="Total 18 3 2 2 3 2 2" xfId="45025"/>
    <cellStyle name="Total 18 3 2 2 3 3" xfId="34421"/>
    <cellStyle name="Total 18 3 2 2 4" xfId="18726"/>
    <cellStyle name="Total 18 3 2 2 4 2" xfId="39913"/>
    <cellStyle name="Total 18 3 2 2 5" xfId="29132"/>
    <cellStyle name="Total 18 3 2 2_Table 2A-1_EFT (Annual)" xfId="8681"/>
    <cellStyle name="Total 18 3 2 3" xfId="4949"/>
    <cellStyle name="Total 18 3 2 3 2" xfId="13209"/>
    <cellStyle name="Total 18 3 2 3 2 2" xfId="25215"/>
    <cellStyle name="Total 18 3 2 3 2 2 2" xfId="46401"/>
    <cellStyle name="Total 18 3 2 3 2 3" xfId="35797"/>
    <cellStyle name="Total 18 3 2 3 3" xfId="20102"/>
    <cellStyle name="Total 18 3 2 3 3 2" xfId="41289"/>
    <cellStyle name="Total 18 3 2 3 4" xfId="30606"/>
    <cellStyle name="Total 18 3 2 3_Table 2A-1_EFT (Annual)" xfId="8683"/>
    <cellStyle name="Total 18 3 2 4" xfId="10553"/>
    <cellStyle name="Total 18 3 2 4 2" xfId="22669"/>
    <cellStyle name="Total 18 3 2 4 2 2" xfId="43855"/>
    <cellStyle name="Total 18 3 2 4 3" xfId="33251"/>
    <cellStyle name="Total 18 3 2 5" xfId="17556"/>
    <cellStyle name="Total 18 3 2 5 2" xfId="38743"/>
    <cellStyle name="Total 18 3 2 6" xfId="27863"/>
    <cellStyle name="Total 18 3 2_Table 2A-1_EFT (Annual)" xfId="8680"/>
    <cellStyle name="Total 18 3 3" xfId="937"/>
    <cellStyle name="Total 18 3 3 2" xfId="4498"/>
    <cellStyle name="Total 18 3 3 2 2" xfId="12760"/>
    <cellStyle name="Total 18 3 3 2 2 2" xfId="24770"/>
    <cellStyle name="Total 18 3 3 2 2 2 2" xfId="45956"/>
    <cellStyle name="Total 18 3 3 2 2 3" xfId="35352"/>
    <cellStyle name="Total 18 3 3 2 3" xfId="19657"/>
    <cellStyle name="Total 18 3 3 2 3 2" xfId="40844"/>
    <cellStyle name="Total 18 3 3 2 4" xfId="30155"/>
    <cellStyle name="Total 18 3 3 2_Table 2A-1_EFT (Annual)" xfId="8685"/>
    <cellStyle name="Total 18 3 3 3" xfId="10107"/>
    <cellStyle name="Total 18 3 3 3 2" xfId="22224"/>
    <cellStyle name="Total 18 3 3 3 2 2" xfId="43410"/>
    <cellStyle name="Total 18 3 3 3 3" xfId="32806"/>
    <cellStyle name="Total 18 3 3 4" xfId="17111"/>
    <cellStyle name="Total 18 3 3 4 2" xfId="38298"/>
    <cellStyle name="Total 18 3 3 5" xfId="27412"/>
    <cellStyle name="Total 18 3 3_Table 2A-1_EFT (Annual)" xfId="8684"/>
    <cellStyle name="Total 18 3 4" xfId="2127"/>
    <cellStyle name="Total 18 3 4 2" xfId="5688"/>
    <cellStyle name="Total 18 3 4 2 2" xfId="13903"/>
    <cellStyle name="Total 18 3 4 2 2 2" xfId="25891"/>
    <cellStyle name="Total 18 3 4 2 2 2 2" xfId="47077"/>
    <cellStyle name="Total 18 3 4 2 2 3" xfId="36473"/>
    <cellStyle name="Total 18 3 4 2 3" xfId="20778"/>
    <cellStyle name="Total 18 3 4 2 3 2" xfId="41965"/>
    <cellStyle name="Total 18 3 4 2 4" xfId="31345"/>
    <cellStyle name="Total 18 3 4 2_Table 2A-1_EFT (Annual)" xfId="8687"/>
    <cellStyle name="Total 18 3 4 3" xfId="11247"/>
    <cellStyle name="Total 18 3 4 3 2" xfId="23345"/>
    <cellStyle name="Total 18 3 4 3 2 2" xfId="44531"/>
    <cellStyle name="Total 18 3 4 3 3" xfId="33927"/>
    <cellStyle name="Total 18 3 4 4" xfId="18232"/>
    <cellStyle name="Total 18 3 4 4 2" xfId="39419"/>
    <cellStyle name="Total 18 3 4 5" xfId="28602"/>
    <cellStyle name="Total 18 3 4_Table 2A-1_EFT (Annual)" xfId="8686"/>
    <cellStyle name="Total 18 3 5" xfId="3975"/>
    <cellStyle name="Total 18 3 5 2" xfId="12303"/>
    <cellStyle name="Total 18 3 5 2 2" xfId="24327"/>
    <cellStyle name="Total 18 3 5 2 2 2" xfId="45513"/>
    <cellStyle name="Total 18 3 5 2 3" xfId="34909"/>
    <cellStyle name="Total 18 3 5 3" xfId="19214"/>
    <cellStyle name="Total 18 3 5 3 2" xfId="40401"/>
    <cellStyle name="Total 18 3 5 4" xfId="29663"/>
    <cellStyle name="Total 18 3 5_Table 2A-1_EFT (Annual)" xfId="8688"/>
    <cellStyle name="Total 18 3 6" xfId="9640"/>
    <cellStyle name="Total 18 3 6 2" xfId="21781"/>
    <cellStyle name="Total 18 3 6 2 2" xfId="42967"/>
    <cellStyle name="Total 18 3 6 3" xfId="32363"/>
    <cellStyle name="Total 18 3 7" xfId="16668"/>
    <cellStyle name="Total 18 3 7 2" xfId="37855"/>
    <cellStyle name="Total 18 3 8" xfId="26920"/>
    <cellStyle name="Total 18 3_Table 2A-1_EFT (Annual)" xfId="3537"/>
    <cellStyle name="Total 18 4" xfId="1222"/>
    <cellStyle name="Total 18 4 2" xfId="2492"/>
    <cellStyle name="Total 18 4 2 2" xfId="6053"/>
    <cellStyle name="Total 18 4 2 2 2" xfId="14247"/>
    <cellStyle name="Total 18 4 2 2 2 2" xfId="26219"/>
    <cellStyle name="Total 18 4 2 2 2 2 2" xfId="47405"/>
    <cellStyle name="Total 18 4 2 2 2 3" xfId="36801"/>
    <cellStyle name="Total 18 4 2 2 3" xfId="21106"/>
    <cellStyle name="Total 18 4 2 2 3 2" xfId="42293"/>
    <cellStyle name="Total 18 4 2 2 4" xfId="31709"/>
    <cellStyle name="Total 18 4 2 2_Table 2A-1_EFT (Annual)" xfId="8691"/>
    <cellStyle name="Total 18 4 2 3" xfId="11589"/>
    <cellStyle name="Total 18 4 2 3 2" xfId="23673"/>
    <cellStyle name="Total 18 4 2 3 2 2" xfId="44859"/>
    <cellStyle name="Total 18 4 2 3 3" xfId="34255"/>
    <cellStyle name="Total 18 4 2 4" xfId="18560"/>
    <cellStyle name="Total 18 4 2 4 2" xfId="39747"/>
    <cellStyle name="Total 18 4 2 5" xfId="28966"/>
    <cellStyle name="Total 18 4 2_Table 2A-1_EFT (Annual)" xfId="8690"/>
    <cellStyle name="Total 18 4 3" xfId="4783"/>
    <cellStyle name="Total 18 4 3 2" xfId="13043"/>
    <cellStyle name="Total 18 4 3 2 2" xfId="25049"/>
    <cellStyle name="Total 18 4 3 2 2 2" xfId="46235"/>
    <cellStyle name="Total 18 4 3 2 3" xfId="35631"/>
    <cellStyle name="Total 18 4 3 3" xfId="19936"/>
    <cellStyle name="Total 18 4 3 3 2" xfId="41123"/>
    <cellStyle name="Total 18 4 3 4" xfId="30440"/>
    <cellStyle name="Total 18 4 3_Table 2A-1_EFT (Annual)" xfId="8692"/>
    <cellStyle name="Total 18 4 4" xfId="10387"/>
    <cellStyle name="Total 18 4 4 2" xfId="22503"/>
    <cellStyle name="Total 18 4 4 2 2" xfId="43689"/>
    <cellStyle name="Total 18 4 4 3" xfId="33085"/>
    <cellStyle name="Total 18 4 5" xfId="17390"/>
    <cellStyle name="Total 18 4 5 2" xfId="38577"/>
    <cellStyle name="Total 18 4 6" xfId="27697"/>
    <cellStyle name="Total 18 4_Table 2A-1_EFT (Annual)" xfId="8689"/>
    <cellStyle name="Total 18 5" xfId="778"/>
    <cellStyle name="Total 18 5 2" xfId="4339"/>
    <cellStyle name="Total 18 5 2 2" xfId="12619"/>
    <cellStyle name="Total 18 5 2 2 2" xfId="24636"/>
    <cellStyle name="Total 18 5 2 2 2 2" xfId="45822"/>
    <cellStyle name="Total 18 5 2 2 3" xfId="35218"/>
    <cellStyle name="Total 18 5 2 3" xfId="19523"/>
    <cellStyle name="Total 18 5 2 3 2" xfId="40710"/>
    <cellStyle name="Total 18 5 2 4" xfId="29996"/>
    <cellStyle name="Total 18 5 2_Table 2A-1_EFT (Annual)" xfId="8694"/>
    <cellStyle name="Total 18 5 3" xfId="9967"/>
    <cellStyle name="Total 18 5 3 2" xfId="22090"/>
    <cellStyle name="Total 18 5 3 2 2" xfId="43276"/>
    <cellStyle name="Total 18 5 3 3" xfId="32672"/>
    <cellStyle name="Total 18 5 4" xfId="16977"/>
    <cellStyle name="Total 18 5 4 2" xfId="38164"/>
    <cellStyle name="Total 18 5 5" xfId="27253"/>
    <cellStyle name="Total 18 5_Table 2A-1_EFT (Annual)" xfId="8693"/>
    <cellStyle name="Total 18 6" xfId="1961"/>
    <cellStyle name="Total 18 6 2" xfId="5522"/>
    <cellStyle name="Total 18 6 2 2" xfId="13737"/>
    <cellStyle name="Total 18 6 2 2 2" xfId="25725"/>
    <cellStyle name="Total 18 6 2 2 2 2" xfId="46911"/>
    <cellStyle name="Total 18 6 2 2 3" xfId="36307"/>
    <cellStyle name="Total 18 6 2 3" xfId="20612"/>
    <cellStyle name="Total 18 6 2 3 2" xfId="41799"/>
    <cellStyle name="Total 18 6 2 4" xfId="31179"/>
    <cellStyle name="Total 18 6 2_Table 2A-1_EFT (Annual)" xfId="8696"/>
    <cellStyle name="Total 18 6 3" xfId="11081"/>
    <cellStyle name="Total 18 6 3 2" xfId="23179"/>
    <cellStyle name="Total 18 6 3 2 2" xfId="44365"/>
    <cellStyle name="Total 18 6 3 3" xfId="33761"/>
    <cellStyle name="Total 18 6 4" xfId="18066"/>
    <cellStyle name="Total 18 6 4 2" xfId="39253"/>
    <cellStyle name="Total 18 6 5" xfId="28436"/>
    <cellStyle name="Total 18 6_Table 2A-1_EFT (Annual)" xfId="8695"/>
    <cellStyle name="Total 18 7" xfId="3763"/>
    <cellStyle name="Total 18 7 2" xfId="12131"/>
    <cellStyle name="Total 18 7 2 2" xfId="24161"/>
    <cellStyle name="Total 18 7 2 2 2" xfId="45347"/>
    <cellStyle name="Total 18 7 2 3" xfId="34743"/>
    <cellStyle name="Total 18 7 3" xfId="19048"/>
    <cellStyle name="Total 18 7 3 2" xfId="40235"/>
    <cellStyle name="Total 18 7 4" xfId="29472"/>
    <cellStyle name="Total 18 7_Table 2A-1_EFT (Annual)" xfId="8697"/>
    <cellStyle name="Total 18 8" xfId="9450"/>
    <cellStyle name="Total 18 8 2" xfId="21615"/>
    <cellStyle name="Total 18 8 2 2" xfId="42801"/>
    <cellStyle name="Total 18 8 3" xfId="32197"/>
    <cellStyle name="Total 18 9" xfId="16502"/>
    <cellStyle name="Total 18 9 2" xfId="37689"/>
    <cellStyle name="Total 18_Table 2A-1_EFT (Annual)" xfId="3535"/>
    <cellStyle name="Total 19" xfId="175"/>
    <cellStyle name="Total 19 10" xfId="26730"/>
    <cellStyle name="Total 19 2" xfId="568"/>
    <cellStyle name="Total 19 2 2" xfId="1545"/>
    <cellStyle name="Total 19 2 2 2" xfId="2815"/>
    <cellStyle name="Total 19 2 2 2 2" xfId="6376"/>
    <cellStyle name="Total 19 2 2 2 2 2" xfId="14570"/>
    <cellStyle name="Total 19 2 2 2 2 2 2" xfId="26542"/>
    <cellStyle name="Total 19 2 2 2 2 2 2 2" xfId="47728"/>
    <cellStyle name="Total 19 2 2 2 2 2 3" xfId="37124"/>
    <cellStyle name="Total 19 2 2 2 2 3" xfId="21429"/>
    <cellStyle name="Total 19 2 2 2 2 3 2" xfId="42616"/>
    <cellStyle name="Total 19 2 2 2 2 4" xfId="32032"/>
    <cellStyle name="Total 19 2 2 2 2_Table 2A-1_EFT (Annual)" xfId="8700"/>
    <cellStyle name="Total 19 2 2 2 3" xfId="11912"/>
    <cellStyle name="Total 19 2 2 2 3 2" xfId="23996"/>
    <cellStyle name="Total 19 2 2 2 3 2 2" xfId="45182"/>
    <cellStyle name="Total 19 2 2 2 3 3" xfId="34578"/>
    <cellStyle name="Total 19 2 2 2 4" xfId="18883"/>
    <cellStyle name="Total 19 2 2 2 4 2" xfId="40070"/>
    <cellStyle name="Total 19 2 2 2 5" xfId="29289"/>
    <cellStyle name="Total 19 2 2 2_Table 2A-1_EFT (Annual)" xfId="8699"/>
    <cellStyle name="Total 19 2 2 3" xfId="5106"/>
    <cellStyle name="Total 19 2 2 3 2" xfId="13366"/>
    <cellStyle name="Total 19 2 2 3 2 2" xfId="25372"/>
    <cellStyle name="Total 19 2 2 3 2 2 2" xfId="46558"/>
    <cellStyle name="Total 19 2 2 3 2 3" xfId="35954"/>
    <cellStyle name="Total 19 2 2 3 3" xfId="20259"/>
    <cellStyle name="Total 19 2 2 3 3 2" xfId="41446"/>
    <cellStyle name="Total 19 2 2 3 4" xfId="30763"/>
    <cellStyle name="Total 19 2 2 3_Table 2A-1_EFT (Annual)" xfId="8701"/>
    <cellStyle name="Total 19 2 2 4" xfId="10710"/>
    <cellStyle name="Total 19 2 2 4 2" xfId="22826"/>
    <cellStyle name="Total 19 2 2 4 2 2" xfId="44012"/>
    <cellStyle name="Total 19 2 2 4 3" xfId="33408"/>
    <cellStyle name="Total 19 2 2 5" xfId="17713"/>
    <cellStyle name="Total 19 2 2 5 2" xfId="38900"/>
    <cellStyle name="Total 19 2 2 6" xfId="28020"/>
    <cellStyle name="Total 19 2 2_Table 2A-1_EFT (Annual)" xfId="8698"/>
    <cellStyle name="Total 19 2 3" xfId="1070"/>
    <cellStyle name="Total 19 2 3 2" xfId="4631"/>
    <cellStyle name="Total 19 2 3 2 2" xfId="12891"/>
    <cellStyle name="Total 19 2 3 2 2 2" xfId="24897"/>
    <cellStyle name="Total 19 2 3 2 2 2 2" xfId="46083"/>
    <cellStyle name="Total 19 2 3 2 2 3" xfId="35479"/>
    <cellStyle name="Total 19 2 3 2 3" xfId="19784"/>
    <cellStyle name="Total 19 2 3 2 3 2" xfId="40971"/>
    <cellStyle name="Total 19 2 3 2 4" xfId="30288"/>
    <cellStyle name="Total 19 2 3 2_Table 2A-1_EFT (Annual)" xfId="8703"/>
    <cellStyle name="Total 19 2 3 3" xfId="10235"/>
    <cellStyle name="Total 19 2 3 3 2" xfId="22351"/>
    <cellStyle name="Total 19 2 3 3 2 2" xfId="43537"/>
    <cellStyle name="Total 19 2 3 3 3" xfId="32933"/>
    <cellStyle name="Total 19 2 3 4" xfId="17238"/>
    <cellStyle name="Total 19 2 3 4 2" xfId="38425"/>
    <cellStyle name="Total 19 2 3 5" xfId="27545"/>
    <cellStyle name="Total 19 2 3_Table 2A-1_EFT (Annual)" xfId="8702"/>
    <cellStyle name="Total 19 2 4" xfId="2284"/>
    <cellStyle name="Total 19 2 4 2" xfId="5845"/>
    <cellStyle name="Total 19 2 4 2 2" xfId="14060"/>
    <cellStyle name="Total 19 2 4 2 2 2" xfId="26048"/>
    <cellStyle name="Total 19 2 4 2 2 2 2" xfId="47234"/>
    <cellStyle name="Total 19 2 4 2 2 3" xfId="36630"/>
    <cellStyle name="Total 19 2 4 2 3" xfId="20935"/>
    <cellStyle name="Total 19 2 4 2 3 2" xfId="42122"/>
    <cellStyle name="Total 19 2 4 2 4" xfId="31502"/>
    <cellStyle name="Total 19 2 4 2_Table 2A-1_EFT (Annual)" xfId="8705"/>
    <cellStyle name="Total 19 2 4 3" xfId="11404"/>
    <cellStyle name="Total 19 2 4 3 2" xfId="23502"/>
    <cellStyle name="Total 19 2 4 3 2 2" xfId="44688"/>
    <cellStyle name="Total 19 2 4 3 3" xfId="34084"/>
    <cellStyle name="Total 19 2 4 4" xfId="18389"/>
    <cellStyle name="Total 19 2 4 4 2" xfId="39576"/>
    <cellStyle name="Total 19 2 4 5" xfId="28759"/>
    <cellStyle name="Total 19 2 4_Table 2A-1_EFT (Annual)" xfId="8704"/>
    <cellStyle name="Total 19 2 5" xfId="4138"/>
    <cellStyle name="Total 19 2 5 2" xfId="12462"/>
    <cellStyle name="Total 19 2 5 2 2" xfId="24484"/>
    <cellStyle name="Total 19 2 5 2 2 2" xfId="45670"/>
    <cellStyle name="Total 19 2 5 2 3" xfId="35066"/>
    <cellStyle name="Total 19 2 5 3" xfId="19371"/>
    <cellStyle name="Total 19 2 5 3 2" xfId="40558"/>
    <cellStyle name="Total 19 2 5 4" xfId="29826"/>
    <cellStyle name="Total 19 2 5_Table 2A-1_EFT (Annual)" xfId="8706"/>
    <cellStyle name="Total 19 2 6" xfId="9801"/>
    <cellStyle name="Total 19 2 6 2" xfId="21938"/>
    <cellStyle name="Total 19 2 6 2 2" xfId="43124"/>
    <cellStyle name="Total 19 2 6 3" xfId="32520"/>
    <cellStyle name="Total 19 2 7" xfId="16825"/>
    <cellStyle name="Total 19 2 7 2" xfId="38012"/>
    <cellStyle name="Total 19 2 8" xfId="27083"/>
    <cellStyle name="Total 19 2_Table 2A-1_EFT (Annual)" xfId="3539"/>
    <cellStyle name="Total 19 3" xfId="406"/>
    <cellStyle name="Total 19 3 2" xfId="1389"/>
    <cellStyle name="Total 19 3 2 2" xfId="2659"/>
    <cellStyle name="Total 19 3 2 2 2" xfId="6220"/>
    <cellStyle name="Total 19 3 2 2 2 2" xfId="14414"/>
    <cellStyle name="Total 19 3 2 2 2 2 2" xfId="26386"/>
    <cellStyle name="Total 19 3 2 2 2 2 2 2" xfId="47572"/>
    <cellStyle name="Total 19 3 2 2 2 2 3" xfId="36968"/>
    <cellStyle name="Total 19 3 2 2 2 3" xfId="21273"/>
    <cellStyle name="Total 19 3 2 2 2 3 2" xfId="42460"/>
    <cellStyle name="Total 19 3 2 2 2 4" xfId="31876"/>
    <cellStyle name="Total 19 3 2 2 2_Table 2A-1_EFT (Annual)" xfId="8709"/>
    <cellStyle name="Total 19 3 2 2 3" xfId="11756"/>
    <cellStyle name="Total 19 3 2 2 3 2" xfId="23840"/>
    <cellStyle name="Total 19 3 2 2 3 2 2" xfId="45026"/>
    <cellStyle name="Total 19 3 2 2 3 3" xfId="34422"/>
    <cellStyle name="Total 19 3 2 2 4" xfId="18727"/>
    <cellStyle name="Total 19 3 2 2 4 2" xfId="39914"/>
    <cellStyle name="Total 19 3 2 2 5" xfId="29133"/>
    <cellStyle name="Total 19 3 2 2_Table 2A-1_EFT (Annual)" xfId="8708"/>
    <cellStyle name="Total 19 3 2 3" xfId="4950"/>
    <cellStyle name="Total 19 3 2 3 2" xfId="13210"/>
    <cellStyle name="Total 19 3 2 3 2 2" xfId="25216"/>
    <cellStyle name="Total 19 3 2 3 2 2 2" xfId="46402"/>
    <cellStyle name="Total 19 3 2 3 2 3" xfId="35798"/>
    <cellStyle name="Total 19 3 2 3 3" xfId="20103"/>
    <cellStyle name="Total 19 3 2 3 3 2" xfId="41290"/>
    <cellStyle name="Total 19 3 2 3 4" xfId="30607"/>
    <cellStyle name="Total 19 3 2 3_Table 2A-1_EFT (Annual)" xfId="8710"/>
    <cellStyle name="Total 19 3 2 4" xfId="10554"/>
    <cellStyle name="Total 19 3 2 4 2" xfId="22670"/>
    <cellStyle name="Total 19 3 2 4 2 2" xfId="43856"/>
    <cellStyle name="Total 19 3 2 4 3" xfId="33252"/>
    <cellStyle name="Total 19 3 2 5" xfId="17557"/>
    <cellStyle name="Total 19 3 2 5 2" xfId="38744"/>
    <cellStyle name="Total 19 3 2 6" xfId="27864"/>
    <cellStyle name="Total 19 3 2_Table 2A-1_EFT (Annual)" xfId="8707"/>
    <cellStyle name="Total 19 3 3" xfId="938"/>
    <cellStyle name="Total 19 3 3 2" xfId="4499"/>
    <cellStyle name="Total 19 3 3 2 2" xfId="12761"/>
    <cellStyle name="Total 19 3 3 2 2 2" xfId="24771"/>
    <cellStyle name="Total 19 3 3 2 2 2 2" xfId="45957"/>
    <cellStyle name="Total 19 3 3 2 2 3" xfId="35353"/>
    <cellStyle name="Total 19 3 3 2 3" xfId="19658"/>
    <cellStyle name="Total 19 3 3 2 3 2" xfId="40845"/>
    <cellStyle name="Total 19 3 3 2 4" xfId="30156"/>
    <cellStyle name="Total 19 3 3 2_Table 2A-1_EFT (Annual)" xfId="8712"/>
    <cellStyle name="Total 19 3 3 3" xfId="10108"/>
    <cellStyle name="Total 19 3 3 3 2" xfId="22225"/>
    <cellStyle name="Total 19 3 3 3 2 2" xfId="43411"/>
    <cellStyle name="Total 19 3 3 3 3" xfId="32807"/>
    <cellStyle name="Total 19 3 3 4" xfId="17112"/>
    <cellStyle name="Total 19 3 3 4 2" xfId="38299"/>
    <cellStyle name="Total 19 3 3 5" xfId="27413"/>
    <cellStyle name="Total 19 3 3_Table 2A-1_EFT (Annual)" xfId="8711"/>
    <cellStyle name="Total 19 3 4" xfId="2128"/>
    <cellStyle name="Total 19 3 4 2" xfId="5689"/>
    <cellStyle name="Total 19 3 4 2 2" xfId="13904"/>
    <cellStyle name="Total 19 3 4 2 2 2" xfId="25892"/>
    <cellStyle name="Total 19 3 4 2 2 2 2" xfId="47078"/>
    <cellStyle name="Total 19 3 4 2 2 3" xfId="36474"/>
    <cellStyle name="Total 19 3 4 2 3" xfId="20779"/>
    <cellStyle name="Total 19 3 4 2 3 2" xfId="41966"/>
    <cellStyle name="Total 19 3 4 2 4" xfId="31346"/>
    <cellStyle name="Total 19 3 4 2_Table 2A-1_EFT (Annual)" xfId="8714"/>
    <cellStyle name="Total 19 3 4 3" xfId="11248"/>
    <cellStyle name="Total 19 3 4 3 2" xfId="23346"/>
    <cellStyle name="Total 19 3 4 3 2 2" xfId="44532"/>
    <cellStyle name="Total 19 3 4 3 3" xfId="33928"/>
    <cellStyle name="Total 19 3 4 4" xfId="18233"/>
    <cellStyle name="Total 19 3 4 4 2" xfId="39420"/>
    <cellStyle name="Total 19 3 4 5" xfId="28603"/>
    <cellStyle name="Total 19 3 4_Table 2A-1_EFT (Annual)" xfId="8713"/>
    <cellStyle name="Total 19 3 5" xfId="3976"/>
    <cellStyle name="Total 19 3 5 2" xfId="12304"/>
    <cellStyle name="Total 19 3 5 2 2" xfId="24328"/>
    <cellStyle name="Total 19 3 5 2 2 2" xfId="45514"/>
    <cellStyle name="Total 19 3 5 2 3" xfId="34910"/>
    <cellStyle name="Total 19 3 5 3" xfId="19215"/>
    <cellStyle name="Total 19 3 5 3 2" xfId="40402"/>
    <cellStyle name="Total 19 3 5 4" xfId="29664"/>
    <cellStyle name="Total 19 3 5_Table 2A-1_EFT (Annual)" xfId="8715"/>
    <cellStyle name="Total 19 3 6" xfId="9641"/>
    <cellStyle name="Total 19 3 6 2" xfId="21782"/>
    <cellStyle name="Total 19 3 6 2 2" xfId="42968"/>
    <cellStyle name="Total 19 3 6 3" xfId="32364"/>
    <cellStyle name="Total 19 3 7" xfId="16669"/>
    <cellStyle name="Total 19 3 7 2" xfId="37856"/>
    <cellStyle name="Total 19 3 8" xfId="26921"/>
    <cellStyle name="Total 19 3_Table 2A-1_EFT (Annual)" xfId="3540"/>
    <cellStyle name="Total 19 4" xfId="1223"/>
    <cellStyle name="Total 19 4 2" xfId="2493"/>
    <cellStyle name="Total 19 4 2 2" xfId="6054"/>
    <cellStyle name="Total 19 4 2 2 2" xfId="14248"/>
    <cellStyle name="Total 19 4 2 2 2 2" xfId="26220"/>
    <cellStyle name="Total 19 4 2 2 2 2 2" xfId="47406"/>
    <cellStyle name="Total 19 4 2 2 2 3" xfId="36802"/>
    <cellStyle name="Total 19 4 2 2 3" xfId="21107"/>
    <cellStyle name="Total 19 4 2 2 3 2" xfId="42294"/>
    <cellStyle name="Total 19 4 2 2 4" xfId="31710"/>
    <cellStyle name="Total 19 4 2 2_Table 2A-1_EFT (Annual)" xfId="8718"/>
    <cellStyle name="Total 19 4 2 3" xfId="11590"/>
    <cellStyle name="Total 19 4 2 3 2" xfId="23674"/>
    <cellStyle name="Total 19 4 2 3 2 2" xfId="44860"/>
    <cellStyle name="Total 19 4 2 3 3" xfId="34256"/>
    <cellStyle name="Total 19 4 2 4" xfId="18561"/>
    <cellStyle name="Total 19 4 2 4 2" xfId="39748"/>
    <cellStyle name="Total 19 4 2 5" xfId="28967"/>
    <cellStyle name="Total 19 4 2_Table 2A-1_EFT (Annual)" xfId="8717"/>
    <cellStyle name="Total 19 4 3" xfId="4784"/>
    <cellStyle name="Total 19 4 3 2" xfId="13044"/>
    <cellStyle name="Total 19 4 3 2 2" xfId="25050"/>
    <cellStyle name="Total 19 4 3 2 2 2" xfId="46236"/>
    <cellStyle name="Total 19 4 3 2 3" xfId="35632"/>
    <cellStyle name="Total 19 4 3 3" xfId="19937"/>
    <cellStyle name="Total 19 4 3 3 2" xfId="41124"/>
    <cellStyle name="Total 19 4 3 4" xfId="30441"/>
    <cellStyle name="Total 19 4 3_Table 2A-1_EFT (Annual)" xfId="8719"/>
    <cellStyle name="Total 19 4 4" xfId="10388"/>
    <cellStyle name="Total 19 4 4 2" xfId="22504"/>
    <cellStyle name="Total 19 4 4 2 2" xfId="43690"/>
    <cellStyle name="Total 19 4 4 3" xfId="33086"/>
    <cellStyle name="Total 19 4 5" xfId="17391"/>
    <cellStyle name="Total 19 4 5 2" xfId="38578"/>
    <cellStyle name="Total 19 4 6" xfId="27698"/>
    <cellStyle name="Total 19 4_Table 2A-1_EFT (Annual)" xfId="8716"/>
    <cellStyle name="Total 19 5" xfId="779"/>
    <cellStyle name="Total 19 5 2" xfId="4340"/>
    <cellStyle name="Total 19 5 2 2" xfId="12620"/>
    <cellStyle name="Total 19 5 2 2 2" xfId="24637"/>
    <cellStyle name="Total 19 5 2 2 2 2" xfId="45823"/>
    <cellStyle name="Total 19 5 2 2 3" xfId="35219"/>
    <cellStyle name="Total 19 5 2 3" xfId="19524"/>
    <cellStyle name="Total 19 5 2 3 2" xfId="40711"/>
    <cellStyle name="Total 19 5 2 4" xfId="29997"/>
    <cellStyle name="Total 19 5 2_Table 2A-1_EFT (Annual)" xfId="8721"/>
    <cellStyle name="Total 19 5 3" xfId="9968"/>
    <cellStyle name="Total 19 5 3 2" xfId="22091"/>
    <cellStyle name="Total 19 5 3 2 2" xfId="43277"/>
    <cellStyle name="Total 19 5 3 3" xfId="32673"/>
    <cellStyle name="Total 19 5 4" xfId="16978"/>
    <cellStyle name="Total 19 5 4 2" xfId="38165"/>
    <cellStyle name="Total 19 5 5" xfId="27254"/>
    <cellStyle name="Total 19 5_Table 2A-1_EFT (Annual)" xfId="8720"/>
    <cellStyle name="Total 19 6" xfId="1962"/>
    <cellStyle name="Total 19 6 2" xfId="5523"/>
    <cellStyle name="Total 19 6 2 2" xfId="13738"/>
    <cellStyle name="Total 19 6 2 2 2" xfId="25726"/>
    <cellStyle name="Total 19 6 2 2 2 2" xfId="46912"/>
    <cellStyle name="Total 19 6 2 2 3" xfId="36308"/>
    <cellStyle name="Total 19 6 2 3" xfId="20613"/>
    <cellStyle name="Total 19 6 2 3 2" xfId="41800"/>
    <cellStyle name="Total 19 6 2 4" xfId="31180"/>
    <cellStyle name="Total 19 6 2_Table 2A-1_EFT (Annual)" xfId="8723"/>
    <cellStyle name="Total 19 6 3" xfId="11082"/>
    <cellStyle name="Total 19 6 3 2" xfId="23180"/>
    <cellStyle name="Total 19 6 3 2 2" xfId="44366"/>
    <cellStyle name="Total 19 6 3 3" xfId="33762"/>
    <cellStyle name="Total 19 6 4" xfId="18067"/>
    <cellStyle name="Total 19 6 4 2" xfId="39254"/>
    <cellStyle name="Total 19 6 5" xfId="28437"/>
    <cellStyle name="Total 19 6_Table 2A-1_EFT (Annual)" xfId="8722"/>
    <cellStyle name="Total 19 7" xfId="3764"/>
    <cellStyle name="Total 19 7 2" xfId="12132"/>
    <cellStyle name="Total 19 7 2 2" xfId="24162"/>
    <cellStyle name="Total 19 7 2 2 2" xfId="45348"/>
    <cellStyle name="Total 19 7 2 3" xfId="34744"/>
    <cellStyle name="Total 19 7 3" xfId="19049"/>
    <cellStyle name="Total 19 7 3 2" xfId="40236"/>
    <cellStyle name="Total 19 7 4" xfId="29473"/>
    <cellStyle name="Total 19 7_Table 2A-1_EFT (Annual)" xfId="8724"/>
    <cellStyle name="Total 19 8" xfId="9451"/>
    <cellStyle name="Total 19 8 2" xfId="21616"/>
    <cellStyle name="Total 19 8 2 2" xfId="42802"/>
    <cellStyle name="Total 19 8 3" xfId="32198"/>
    <cellStyle name="Total 19 9" xfId="16503"/>
    <cellStyle name="Total 19 9 2" xfId="37690"/>
    <cellStyle name="Total 19_Table 2A-1_EFT (Annual)" xfId="3538"/>
    <cellStyle name="Total 2" xfId="102"/>
    <cellStyle name="Total 2 10" xfId="21512"/>
    <cellStyle name="Total 2 10 2" xfId="42699"/>
    <cellStyle name="Total 2 11" xfId="26657"/>
    <cellStyle name="Total 2 2" xfId="500"/>
    <cellStyle name="Total 2 2 2" xfId="1477"/>
    <cellStyle name="Total 2 2 2 2" xfId="2747"/>
    <cellStyle name="Total 2 2 2 2 2" xfId="6308"/>
    <cellStyle name="Total 2 2 2 2 2 2" xfId="14502"/>
    <cellStyle name="Total 2 2 2 2 2 2 2" xfId="26474"/>
    <cellStyle name="Total 2 2 2 2 2 2 2 2" xfId="47660"/>
    <cellStyle name="Total 2 2 2 2 2 2 3" xfId="37056"/>
    <cellStyle name="Total 2 2 2 2 2 3" xfId="21361"/>
    <cellStyle name="Total 2 2 2 2 2 3 2" xfId="42548"/>
    <cellStyle name="Total 2 2 2 2 2 4" xfId="31964"/>
    <cellStyle name="Total 2 2 2 2 2_Table 2A-1_EFT (Annual)" xfId="8727"/>
    <cellStyle name="Total 2 2 2 2 3" xfId="11844"/>
    <cellStyle name="Total 2 2 2 2 3 2" xfId="23928"/>
    <cellStyle name="Total 2 2 2 2 3 2 2" xfId="45114"/>
    <cellStyle name="Total 2 2 2 2 3 3" xfId="34510"/>
    <cellStyle name="Total 2 2 2 2 4" xfId="18815"/>
    <cellStyle name="Total 2 2 2 2 4 2" xfId="40002"/>
    <cellStyle name="Total 2 2 2 2 5" xfId="29221"/>
    <cellStyle name="Total 2 2 2 2_Table 2A-1_EFT (Annual)" xfId="8726"/>
    <cellStyle name="Total 2 2 2 3" xfId="5038"/>
    <cellStyle name="Total 2 2 2 3 2" xfId="13298"/>
    <cellStyle name="Total 2 2 2 3 2 2" xfId="25304"/>
    <cellStyle name="Total 2 2 2 3 2 2 2" xfId="46490"/>
    <cellStyle name="Total 2 2 2 3 2 3" xfId="35886"/>
    <cellStyle name="Total 2 2 2 3 3" xfId="20191"/>
    <cellStyle name="Total 2 2 2 3 3 2" xfId="41378"/>
    <cellStyle name="Total 2 2 2 3 4" xfId="30695"/>
    <cellStyle name="Total 2 2 2 3_Table 2A-1_EFT (Annual)" xfId="8728"/>
    <cellStyle name="Total 2 2 2 4" xfId="10642"/>
    <cellStyle name="Total 2 2 2 4 2" xfId="22758"/>
    <cellStyle name="Total 2 2 2 4 2 2" xfId="43944"/>
    <cellStyle name="Total 2 2 2 4 3" xfId="33340"/>
    <cellStyle name="Total 2 2 2 5" xfId="17645"/>
    <cellStyle name="Total 2 2 2 5 2" xfId="38832"/>
    <cellStyle name="Total 2 2 2 6" xfId="27952"/>
    <cellStyle name="Total 2 2 2_Table 2A-1_EFT (Annual)" xfId="8725"/>
    <cellStyle name="Total 2 2 3" xfId="1014"/>
    <cellStyle name="Total 2 2 3 2" xfId="4575"/>
    <cellStyle name="Total 2 2 3 2 2" xfId="12835"/>
    <cellStyle name="Total 2 2 3 2 2 2" xfId="24841"/>
    <cellStyle name="Total 2 2 3 2 2 2 2" xfId="46027"/>
    <cellStyle name="Total 2 2 3 2 2 3" xfId="35423"/>
    <cellStyle name="Total 2 2 3 2 3" xfId="19728"/>
    <cellStyle name="Total 2 2 3 2 3 2" xfId="40915"/>
    <cellStyle name="Total 2 2 3 2 4" xfId="30232"/>
    <cellStyle name="Total 2 2 3 2_Table 2A-1_EFT (Annual)" xfId="8730"/>
    <cellStyle name="Total 2 2 3 3" xfId="10179"/>
    <cellStyle name="Total 2 2 3 3 2" xfId="22295"/>
    <cellStyle name="Total 2 2 3 3 2 2" xfId="43481"/>
    <cellStyle name="Total 2 2 3 3 3" xfId="32877"/>
    <cellStyle name="Total 2 2 3 4" xfId="17182"/>
    <cellStyle name="Total 2 2 3 4 2" xfId="38369"/>
    <cellStyle name="Total 2 2 3 5" xfId="27489"/>
    <cellStyle name="Total 2 2 3_Table 2A-1_EFT (Annual)" xfId="8729"/>
    <cellStyle name="Total 2 2 4" xfId="2216"/>
    <cellStyle name="Total 2 2 4 2" xfId="5777"/>
    <cellStyle name="Total 2 2 4 2 2" xfId="13992"/>
    <cellStyle name="Total 2 2 4 2 2 2" xfId="25980"/>
    <cellStyle name="Total 2 2 4 2 2 2 2" xfId="47166"/>
    <cellStyle name="Total 2 2 4 2 2 3" xfId="36562"/>
    <cellStyle name="Total 2 2 4 2 3" xfId="20867"/>
    <cellStyle name="Total 2 2 4 2 3 2" xfId="42054"/>
    <cellStyle name="Total 2 2 4 2 4" xfId="31434"/>
    <cellStyle name="Total 2 2 4 2_Table 2A-1_EFT (Annual)" xfId="8732"/>
    <cellStyle name="Total 2 2 4 3" xfId="11336"/>
    <cellStyle name="Total 2 2 4 3 2" xfId="23434"/>
    <cellStyle name="Total 2 2 4 3 2 2" xfId="44620"/>
    <cellStyle name="Total 2 2 4 3 3" xfId="34016"/>
    <cellStyle name="Total 2 2 4 4" xfId="18321"/>
    <cellStyle name="Total 2 2 4 4 2" xfId="39508"/>
    <cellStyle name="Total 2 2 4 5" xfId="28691"/>
    <cellStyle name="Total 2 2 4_Table 2A-1_EFT (Annual)" xfId="8731"/>
    <cellStyle name="Total 2 2 5" xfId="4070"/>
    <cellStyle name="Total 2 2 5 2" xfId="12394"/>
    <cellStyle name="Total 2 2 5 2 2" xfId="24416"/>
    <cellStyle name="Total 2 2 5 2 2 2" xfId="45602"/>
    <cellStyle name="Total 2 2 5 2 3" xfId="34998"/>
    <cellStyle name="Total 2 2 5 3" xfId="19303"/>
    <cellStyle name="Total 2 2 5 3 2" xfId="40490"/>
    <cellStyle name="Total 2 2 5 4" xfId="29758"/>
    <cellStyle name="Total 2 2 5_Table 2A-1_EFT (Annual)" xfId="8733"/>
    <cellStyle name="Total 2 2 6" xfId="9733"/>
    <cellStyle name="Total 2 2 6 2" xfId="21870"/>
    <cellStyle name="Total 2 2 6 2 2" xfId="43056"/>
    <cellStyle name="Total 2 2 6 3" xfId="32452"/>
    <cellStyle name="Total 2 2 7" xfId="16757"/>
    <cellStyle name="Total 2 2 7 2" xfId="37944"/>
    <cellStyle name="Total 2 2 8" xfId="27015"/>
    <cellStyle name="Total 2 2_Table 2A-1_EFT (Annual)" xfId="3542"/>
    <cellStyle name="Total 2 3" xfId="333"/>
    <cellStyle name="Total 2 3 2" xfId="1321"/>
    <cellStyle name="Total 2 3 2 2" xfId="2591"/>
    <cellStyle name="Total 2 3 2 2 2" xfId="6152"/>
    <cellStyle name="Total 2 3 2 2 2 2" xfId="14346"/>
    <cellStyle name="Total 2 3 2 2 2 2 2" xfId="26318"/>
    <cellStyle name="Total 2 3 2 2 2 2 2 2" xfId="47504"/>
    <cellStyle name="Total 2 3 2 2 2 2 3" xfId="36900"/>
    <cellStyle name="Total 2 3 2 2 2 3" xfId="21205"/>
    <cellStyle name="Total 2 3 2 2 2 3 2" xfId="42392"/>
    <cellStyle name="Total 2 3 2 2 2 4" xfId="31808"/>
    <cellStyle name="Total 2 3 2 2 2_Table 2A-1_EFT (Annual)" xfId="8736"/>
    <cellStyle name="Total 2 3 2 2 3" xfId="11688"/>
    <cellStyle name="Total 2 3 2 2 3 2" xfId="23772"/>
    <cellStyle name="Total 2 3 2 2 3 2 2" xfId="44958"/>
    <cellStyle name="Total 2 3 2 2 3 3" xfId="34354"/>
    <cellStyle name="Total 2 3 2 2 4" xfId="18659"/>
    <cellStyle name="Total 2 3 2 2 4 2" xfId="39846"/>
    <cellStyle name="Total 2 3 2 2 5" xfId="29065"/>
    <cellStyle name="Total 2 3 2 2_Table 2A-1_EFT (Annual)" xfId="8735"/>
    <cellStyle name="Total 2 3 2 3" xfId="4882"/>
    <cellStyle name="Total 2 3 2 3 2" xfId="13142"/>
    <cellStyle name="Total 2 3 2 3 2 2" xfId="25148"/>
    <cellStyle name="Total 2 3 2 3 2 2 2" xfId="46334"/>
    <cellStyle name="Total 2 3 2 3 2 3" xfId="35730"/>
    <cellStyle name="Total 2 3 2 3 3" xfId="20035"/>
    <cellStyle name="Total 2 3 2 3 3 2" xfId="41222"/>
    <cellStyle name="Total 2 3 2 3 4" xfId="30539"/>
    <cellStyle name="Total 2 3 2 3_Table 2A-1_EFT (Annual)" xfId="8737"/>
    <cellStyle name="Total 2 3 2 4" xfId="10486"/>
    <cellStyle name="Total 2 3 2 4 2" xfId="22602"/>
    <cellStyle name="Total 2 3 2 4 2 2" xfId="43788"/>
    <cellStyle name="Total 2 3 2 4 3" xfId="33184"/>
    <cellStyle name="Total 2 3 2 5" xfId="17489"/>
    <cellStyle name="Total 2 3 2 5 2" xfId="38676"/>
    <cellStyle name="Total 2 3 2 6" xfId="27796"/>
    <cellStyle name="Total 2 3 2_Table 2A-1_EFT (Annual)" xfId="8734"/>
    <cellStyle name="Total 2 3 3" xfId="877"/>
    <cellStyle name="Total 2 3 3 2" xfId="4438"/>
    <cellStyle name="Total 2 3 3 2 2" xfId="12703"/>
    <cellStyle name="Total 2 3 3 2 2 2" xfId="24715"/>
    <cellStyle name="Total 2 3 3 2 2 2 2" xfId="45901"/>
    <cellStyle name="Total 2 3 3 2 2 3" xfId="35297"/>
    <cellStyle name="Total 2 3 3 2 3" xfId="19602"/>
    <cellStyle name="Total 2 3 3 2 3 2" xfId="40789"/>
    <cellStyle name="Total 2 3 3 2 4" xfId="30095"/>
    <cellStyle name="Total 2 3 3 2_Table 2A-1_EFT (Annual)" xfId="8739"/>
    <cellStyle name="Total 2 3 3 3" xfId="10050"/>
    <cellStyle name="Total 2 3 3 3 2" xfId="22169"/>
    <cellStyle name="Total 2 3 3 3 2 2" xfId="43355"/>
    <cellStyle name="Total 2 3 3 3 3" xfId="32751"/>
    <cellStyle name="Total 2 3 3 4" xfId="17056"/>
    <cellStyle name="Total 2 3 3 4 2" xfId="38243"/>
    <cellStyle name="Total 2 3 3 5" xfId="27352"/>
    <cellStyle name="Total 2 3 3_Table 2A-1_EFT (Annual)" xfId="8738"/>
    <cellStyle name="Total 2 3 4" xfId="2060"/>
    <cellStyle name="Total 2 3 4 2" xfId="5621"/>
    <cellStyle name="Total 2 3 4 2 2" xfId="13836"/>
    <cellStyle name="Total 2 3 4 2 2 2" xfId="25824"/>
    <cellStyle name="Total 2 3 4 2 2 2 2" xfId="47010"/>
    <cellStyle name="Total 2 3 4 2 2 3" xfId="36406"/>
    <cellStyle name="Total 2 3 4 2 3" xfId="20711"/>
    <cellStyle name="Total 2 3 4 2 3 2" xfId="41898"/>
    <cellStyle name="Total 2 3 4 2 4" xfId="31278"/>
    <cellStyle name="Total 2 3 4 2_Table 2A-1_EFT (Annual)" xfId="8741"/>
    <cellStyle name="Total 2 3 4 3" xfId="11180"/>
    <cellStyle name="Total 2 3 4 3 2" xfId="23278"/>
    <cellStyle name="Total 2 3 4 3 2 2" xfId="44464"/>
    <cellStyle name="Total 2 3 4 3 3" xfId="33860"/>
    <cellStyle name="Total 2 3 4 4" xfId="18165"/>
    <cellStyle name="Total 2 3 4 4 2" xfId="39352"/>
    <cellStyle name="Total 2 3 4 5" xfId="28535"/>
    <cellStyle name="Total 2 3 4_Table 2A-1_EFT (Annual)" xfId="8740"/>
    <cellStyle name="Total 2 3 5" xfId="3903"/>
    <cellStyle name="Total 2 3 5 2" xfId="12235"/>
    <cellStyle name="Total 2 3 5 2 2" xfId="24260"/>
    <cellStyle name="Total 2 3 5 2 2 2" xfId="45446"/>
    <cellStyle name="Total 2 3 5 2 3" xfId="34842"/>
    <cellStyle name="Total 2 3 5 3" xfId="19147"/>
    <cellStyle name="Total 2 3 5 3 2" xfId="40334"/>
    <cellStyle name="Total 2 3 5 4" xfId="29591"/>
    <cellStyle name="Total 2 3 5_Table 2A-1_EFT (Annual)" xfId="8742"/>
    <cellStyle name="Total 2 3 6" xfId="9572"/>
    <cellStyle name="Total 2 3 6 2" xfId="21714"/>
    <cellStyle name="Total 2 3 6 2 2" xfId="42900"/>
    <cellStyle name="Total 2 3 6 3" xfId="32296"/>
    <cellStyle name="Total 2 3 7" xfId="16601"/>
    <cellStyle name="Total 2 3 7 2" xfId="37788"/>
    <cellStyle name="Total 2 3 8" xfId="26848"/>
    <cellStyle name="Total 2 3_Table 2A-1_EFT (Annual)" xfId="3543"/>
    <cellStyle name="Total 2 4" xfId="1155"/>
    <cellStyle name="Total 2 4 2" xfId="2425"/>
    <cellStyle name="Total 2 4 2 2" xfId="5986"/>
    <cellStyle name="Total 2 4 2 2 2" xfId="14180"/>
    <cellStyle name="Total 2 4 2 2 2 2" xfId="26152"/>
    <cellStyle name="Total 2 4 2 2 2 2 2" xfId="47338"/>
    <cellStyle name="Total 2 4 2 2 2 3" xfId="36734"/>
    <cellStyle name="Total 2 4 2 2 3" xfId="21039"/>
    <cellStyle name="Total 2 4 2 2 3 2" xfId="42226"/>
    <cellStyle name="Total 2 4 2 2 4" xfId="31642"/>
    <cellStyle name="Total 2 4 2 2_Table 2A-1_EFT (Annual)" xfId="8745"/>
    <cellStyle name="Total 2 4 2 3" xfId="11522"/>
    <cellStyle name="Total 2 4 2 3 2" xfId="23606"/>
    <cellStyle name="Total 2 4 2 3 2 2" xfId="44792"/>
    <cellStyle name="Total 2 4 2 3 3" xfId="34188"/>
    <cellStyle name="Total 2 4 2 4" xfId="18493"/>
    <cellStyle name="Total 2 4 2 4 2" xfId="39680"/>
    <cellStyle name="Total 2 4 2 5" xfId="28899"/>
    <cellStyle name="Total 2 4 2_Table 2A-1_EFT (Annual)" xfId="8744"/>
    <cellStyle name="Total 2 4 3" xfId="4716"/>
    <cellStyle name="Total 2 4 3 2" xfId="12976"/>
    <cellStyle name="Total 2 4 3 2 2" xfId="24982"/>
    <cellStyle name="Total 2 4 3 2 2 2" xfId="46168"/>
    <cellStyle name="Total 2 4 3 2 3" xfId="35564"/>
    <cellStyle name="Total 2 4 3 3" xfId="19869"/>
    <cellStyle name="Total 2 4 3 3 2" xfId="41056"/>
    <cellStyle name="Total 2 4 3 4" xfId="30373"/>
    <cellStyle name="Total 2 4 3_Table 2A-1_EFT (Annual)" xfId="8746"/>
    <cellStyle name="Total 2 4 4" xfId="10320"/>
    <cellStyle name="Total 2 4 4 2" xfId="22436"/>
    <cellStyle name="Total 2 4 4 2 2" xfId="43622"/>
    <cellStyle name="Total 2 4 4 3" xfId="33018"/>
    <cellStyle name="Total 2 4 5" xfId="17323"/>
    <cellStyle name="Total 2 4 5 2" xfId="38510"/>
    <cellStyle name="Total 2 4 6" xfId="27630"/>
    <cellStyle name="Total 2 4_Table 2A-1_EFT (Annual)" xfId="8743"/>
    <cellStyle name="Total 2 5" xfId="718"/>
    <cellStyle name="Total 2 5 2" xfId="4279"/>
    <cellStyle name="Total 2 5 2 2" xfId="12563"/>
    <cellStyle name="Total 2 5 2 2 2" xfId="24581"/>
    <cellStyle name="Total 2 5 2 2 2 2" xfId="45767"/>
    <cellStyle name="Total 2 5 2 2 3" xfId="35163"/>
    <cellStyle name="Total 2 5 2 3" xfId="19468"/>
    <cellStyle name="Total 2 5 2 3 2" xfId="40655"/>
    <cellStyle name="Total 2 5 2 4" xfId="29936"/>
    <cellStyle name="Total 2 5 2_Table 2A-1_EFT (Annual)" xfId="8748"/>
    <cellStyle name="Total 2 5 3" xfId="9910"/>
    <cellStyle name="Total 2 5 3 2" xfId="22035"/>
    <cellStyle name="Total 2 5 3 2 2" xfId="43221"/>
    <cellStyle name="Total 2 5 3 3" xfId="32617"/>
    <cellStyle name="Total 2 5 4" xfId="16922"/>
    <cellStyle name="Total 2 5 4 2" xfId="38109"/>
    <cellStyle name="Total 2 5 5" xfId="27193"/>
    <cellStyle name="Total 2 5_Table 2A-1_EFT (Annual)" xfId="8747"/>
    <cellStyle name="Total 2 6" xfId="1809"/>
    <cellStyle name="Total 2 6 2" xfId="5370"/>
    <cellStyle name="Total 2 6 2 2" xfId="13585"/>
    <cellStyle name="Total 2 6 2 2 2" xfId="25573"/>
    <cellStyle name="Total 2 6 2 2 2 2" xfId="46759"/>
    <cellStyle name="Total 2 6 2 2 3" xfId="36155"/>
    <cellStyle name="Total 2 6 2 3" xfId="20460"/>
    <cellStyle name="Total 2 6 2 3 2" xfId="41647"/>
    <cellStyle name="Total 2 6 2 4" xfId="31027"/>
    <cellStyle name="Total 2 6 2_Table 2A-1_EFT (Annual)" xfId="8750"/>
    <cellStyle name="Total 2 6 3" xfId="10929"/>
    <cellStyle name="Total 2 6 3 2" xfId="23027"/>
    <cellStyle name="Total 2 6 3 2 2" xfId="44213"/>
    <cellStyle name="Total 2 6 3 3" xfId="33609"/>
    <cellStyle name="Total 2 6 4" xfId="17914"/>
    <cellStyle name="Total 2 6 4 2" xfId="39101"/>
    <cellStyle name="Total 2 6 5" xfId="28284"/>
    <cellStyle name="Total 2 6_Table 2A-1_EFT (Annual)" xfId="8749"/>
    <cellStyle name="Total 2 7" xfId="3691"/>
    <cellStyle name="Total 2 7 2" xfId="12063"/>
    <cellStyle name="Total 2 7 2 2" xfId="24094"/>
    <cellStyle name="Total 2 7 2 2 2" xfId="45280"/>
    <cellStyle name="Total 2 7 2 3" xfId="34676"/>
    <cellStyle name="Total 2 7 3" xfId="18981"/>
    <cellStyle name="Total 2 7 3 2" xfId="40168"/>
    <cellStyle name="Total 2 7 4" xfId="29400"/>
    <cellStyle name="Total 2 7_Table 2A-1_EFT (Annual)" xfId="8751"/>
    <cellStyle name="Total 2 8" xfId="9381"/>
    <cellStyle name="Total 2 8 2" xfId="21548"/>
    <cellStyle name="Total 2 8 2 2" xfId="42734"/>
    <cellStyle name="Total 2 8 3" xfId="32130"/>
    <cellStyle name="Total 2 9" xfId="16435"/>
    <cellStyle name="Total 2 9 2" xfId="37622"/>
    <cellStyle name="Total 2_Table 2A-1_EFT (Annual)" xfId="3541"/>
    <cellStyle name="Total 20" xfId="181"/>
    <cellStyle name="Total 20 10" xfId="26736"/>
    <cellStyle name="Total 20 2" xfId="574"/>
    <cellStyle name="Total 20 2 2" xfId="1551"/>
    <cellStyle name="Total 20 2 2 2" xfId="2821"/>
    <cellStyle name="Total 20 2 2 2 2" xfId="6382"/>
    <cellStyle name="Total 20 2 2 2 2 2" xfId="14576"/>
    <cellStyle name="Total 20 2 2 2 2 2 2" xfId="26548"/>
    <cellStyle name="Total 20 2 2 2 2 2 2 2" xfId="47734"/>
    <cellStyle name="Total 20 2 2 2 2 2 3" xfId="37130"/>
    <cellStyle name="Total 20 2 2 2 2 3" xfId="21435"/>
    <cellStyle name="Total 20 2 2 2 2 3 2" xfId="42622"/>
    <cellStyle name="Total 20 2 2 2 2 4" xfId="32038"/>
    <cellStyle name="Total 20 2 2 2 2_Table 2A-1_EFT (Annual)" xfId="8754"/>
    <cellStyle name="Total 20 2 2 2 3" xfId="11918"/>
    <cellStyle name="Total 20 2 2 2 3 2" xfId="24002"/>
    <cellStyle name="Total 20 2 2 2 3 2 2" xfId="45188"/>
    <cellStyle name="Total 20 2 2 2 3 3" xfId="34584"/>
    <cellStyle name="Total 20 2 2 2 4" xfId="18889"/>
    <cellStyle name="Total 20 2 2 2 4 2" xfId="40076"/>
    <cellStyle name="Total 20 2 2 2 5" xfId="29295"/>
    <cellStyle name="Total 20 2 2 2_Table 2A-1_EFT (Annual)" xfId="8753"/>
    <cellStyle name="Total 20 2 2 3" xfId="5112"/>
    <cellStyle name="Total 20 2 2 3 2" xfId="13372"/>
    <cellStyle name="Total 20 2 2 3 2 2" xfId="25378"/>
    <cellStyle name="Total 20 2 2 3 2 2 2" xfId="46564"/>
    <cellStyle name="Total 20 2 2 3 2 3" xfId="35960"/>
    <cellStyle name="Total 20 2 2 3 3" xfId="20265"/>
    <cellStyle name="Total 20 2 2 3 3 2" xfId="41452"/>
    <cellStyle name="Total 20 2 2 3 4" xfId="30769"/>
    <cellStyle name="Total 20 2 2 3_Table 2A-1_EFT (Annual)" xfId="8755"/>
    <cellStyle name="Total 20 2 2 4" xfId="10716"/>
    <cellStyle name="Total 20 2 2 4 2" xfId="22832"/>
    <cellStyle name="Total 20 2 2 4 2 2" xfId="44018"/>
    <cellStyle name="Total 20 2 2 4 3" xfId="33414"/>
    <cellStyle name="Total 20 2 2 5" xfId="17719"/>
    <cellStyle name="Total 20 2 2 5 2" xfId="38906"/>
    <cellStyle name="Total 20 2 2 6" xfId="28026"/>
    <cellStyle name="Total 20 2 2_Table 2A-1_EFT (Annual)" xfId="8752"/>
    <cellStyle name="Total 20 2 3" xfId="1075"/>
    <cellStyle name="Total 20 2 3 2" xfId="4636"/>
    <cellStyle name="Total 20 2 3 2 2" xfId="12896"/>
    <cellStyle name="Total 20 2 3 2 2 2" xfId="24902"/>
    <cellStyle name="Total 20 2 3 2 2 2 2" xfId="46088"/>
    <cellStyle name="Total 20 2 3 2 2 3" xfId="35484"/>
    <cellStyle name="Total 20 2 3 2 3" xfId="19789"/>
    <cellStyle name="Total 20 2 3 2 3 2" xfId="40976"/>
    <cellStyle name="Total 20 2 3 2 4" xfId="30293"/>
    <cellStyle name="Total 20 2 3 2_Table 2A-1_EFT (Annual)" xfId="8757"/>
    <cellStyle name="Total 20 2 3 3" xfId="10240"/>
    <cellStyle name="Total 20 2 3 3 2" xfId="22356"/>
    <cellStyle name="Total 20 2 3 3 2 2" xfId="43542"/>
    <cellStyle name="Total 20 2 3 3 3" xfId="32938"/>
    <cellStyle name="Total 20 2 3 4" xfId="17243"/>
    <cellStyle name="Total 20 2 3 4 2" xfId="38430"/>
    <cellStyle name="Total 20 2 3 5" xfId="27550"/>
    <cellStyle name="Total 20 2 3_Table 2A-1_EFT (Annual)" xfId="8756"/>
    <cellStyle name="Total 20 2 4" xfId="2290"/>
    <cellStyle name="Total 20 2 4 2" xfId="5851"/>
    <cellStyle name="Total 20 2 4 2 2" xfId="14066"/>
    <cellStyle name="Total 20 2 4 2 2 2" xfId="26054"/>
    <cellStyle name="Total 20 2 4 2 2 2 2" xfId="47240"/>
    <cellStyle name="Total 20 2 4 2 2 3" xfId="36636"/>
    <cellStyle name="Total 20 2 4 2 3" xfId="20941"/>
    <cellStyle name="Total 20 2 4 2 3 2" xfId="42128"/>
    <cellStyle name="Total 20 2 4 2 4" xfId="31508"/>
    <cellStyle name="Total 20 2 4 2_Table 2A-1_EFT (Annual)" xfId="8759"/>
    <cellStyle name="Total 20 2 4 3" xfId="11410"/>
    <cellStyle name="Total 20 2 4 3 2" xfId="23508"/>
    <cellStyle name="Total 20 2 4 3 2 2" xfId="44694"/>
    <cellStyle name="Total 20 2 4 3 3" xfId="34090"/>
    <cellStyle name="Total 20 2 4 4" xfId="18395"/>
    <cellStyle name="Total 20 2 4 4 2" xfId="39582"/>
    <cellStyle name="Total 20 2 4 5" xfId="28765"/>
    <cellStyle name="Total 20 2 4_Table 2A-1_EFT (Annual)" xfId="8758"/>
    <cellStyle name="Total 20 2 5" xfId="4144"/>
    <cellStyle name="Total 20 2 5 2" xfId="12468"/>
    <cellStyle name="Total 20 2 5 2 2" xfId="24490"/>
    <cellStyle name="Total 20 2 5 2 2 2" xfId="45676"/>
    <cellStyle name="Total 20 2 5 2 3" xfId="35072"/>
    <cellStyle name="Total 20 2 5 3" xfId="19377"/>
    <cellStyle name="Total 20 2 5 3 2" xfId="40564"/>
    <cellStyle name="Total 20 2 5 4" xfId="29832"/>
    <cellStyle name="Total 20 2 5_Table 2A-1_EFT (Annual)" xfId="8760"/>
    <cellStyle name="Total 20 2 6" xfId="9807"/>
    <cellStyle name="Total 20 2 6 2" xfId="21944"/>
    <cellStyle name="Total 20 2 6 2 2" xfId="43130"/>
    <cellStyle name="Total 20 2 6 3" xfId="32526"/>
    <cellStyle name="Total 20 2 7" xfId="16831"/>
    <cellStyle name="Total 20 2 7 2" xfId="38018"/>
    <cellStyle name="Total 20 2 8" xfId="27089"/>
    <cellStyle name="Total 20 2_Table 2A-1_EFT (Annual)" xfId="3545"/>
    <cellStyle name="Total 20 3" xfId="412"/>
    <cellStyle name="Total 20 3 2" xfId="1395"/>
    <cellStyle name="Total 20 3 2 2" xfId="2665"/>
    <cellStyle name="Total 20 3 2 2 2" xfId="6226"/>
    <cellStyle name="Total 20 3 2 2 2 2" xfId="14420"/>
    <cellStyle name="Total 20 3 2 2 2 2 2" xfId="26392"/>
    <cellStyle name="Total 20 3 2 2 2 2 2 2" xfId="47578"/>
    <cellStyle name="Total 20 3 2 2 2 2 3" xfId="36974"/>
    <cellStyle name="Total 20 3 2 2 2 3" xfId="21279"/>
    <cellStyle name="Total 20 3 2 2 2 3 2" xfId="42466"/>
    <cellStyle name="Total 20 3 2 2 2 4" xfId="31882"/>
    <cellStyle name="Total 20 3 2 2 2_Table 2A-1_EFT (Annual)" xfId="8763"/>
    <cellStyle name="Total 20 3 2 2 3" xfId="11762"/>
    <cellStyle name="Total 20 3 2 2 3 2" xfId="23846"/>
    <cellStyle name="Total 20 3 2 2 3 2 2" xfId="45032"/>
    <cellStyle name="Total 20 3 2 2 3 3" xfId="34428"/>
    <cellStyle name="Total 20 3 2 2 4" xfId="18733"/>
    <cellStyle name="Total 20 3 2 2 4 2" xfId="39920"/>
    <cellStyle name="Total 20 3 2 2 5" xfId="29139"/>
    <cellStyle name="Total 20 3 2 2_Table 2A-1_EFT (Annual)" xfId="8762"/>
    <cellStyle name="Total 20 3 2 3" xfId="4956"/>
    <cellStyle name="Total 20 3 2 3 2" xfId="13216"/>
    <cellStyle name="Total 20 3 2 3 2 2" xfId="25222"/>
    <cellStyle name="Total 20 3 2 3 2 2 2" xfId="46408"/>
    <cellStyle name="Total 20 3 2 3 2 3" xfId="35804"/>
    <cellStyle name="Total 20 3 2 3 3" xfId="20109"/>
    <cellStyle name="Total 20 3 2 3 3 2" xfId="41296"/>
    <cellStyle name="Total 20 3 2 3 4" xfId="30613"/>
    <cellStyle name="Total 20 3 2 3_Table 2A-1_EFT (Annual)" xfId="8764"/>
    <cellStyle name="Total 20 3 2 4" xfId="10560"/>
    <cellStyle name="Total 20 3 2 4 2" xfId="22676"/>
    <cellStyle name="Total 20 3 2 4 2 2" xfId="43862"/>
    <cellStyle name="Total 20 3 2 4 3" xfId="33258"/>
    <cellStyle name="Total 20 3 2 5" xfId="17563"/>
    <cellStyle name="Total 20 3 2 5 2" xfId="38750"/>
    <cellStyle name="Total 20 3 2 6" xfId="27870"/>
    <cellStyle name="Total 20 3 2_Table 2A-1_EFT (Annual)" xfId="8761"/>
    <cellStyle name="Total 20 3 3" xfId="943"/>
    <cellStyle name="Total 20 3 3 2" xfId="4504"/>
    <cellStyle name="Total 20 3 3 2 2" xfId="12766"/>
    <cellStyle name="Total 20 3 3 2 2 2" xfId="24776"/>
    <cellStyle name="Total 20 3 3 2 2 2 2" xfId="45962"/>
    <cellStyle name="Total 20 3 3 2 2 3" xfId="35358"/>
    <cellStyle name="Total 20 3 3 2 3" xfId="19663"/>
    <cellStyle name="Total 20 3 3 2 3 2" xfId="40850"/>
    <cellStyle name="Total 20 3 3 2 4" xfId="30161"/>
    <cellStyle name="Total 20 3 3 2_Table 2A-1_EFT (Annual)" xfId="8766"/>
    <cellStyle name="Total 20 3 3 3" xfId="10113"/>
    <cellStyle name="Total 20 3 3 3 2" xfId="22230"/>
    <cellStyle name="Total 20 3 3 3 2 2" xfId="43416"/>
    <cellStyle name="Total 20 3 3 3 3" xfId="32812"/>
    <cellStyle name="Total 20 3 3 4" xfId="17117"/>
    <cellStyle name="Total 20 3 3 4 2" xfId="38304"/>
    <cellStyle name="Total 20 3 3 5" xfId="27418"/>
    <cellStyle name="Total 20 3 3_Table 2A-1_EFT (Annual)" xfId="8765"/>
    <cellStyle name="Total 20 3 4" xfId="2134"/>
    <cellStyle name="Total 20 3 4 2" xfId="5695"/>
    <cellStyle name="Total 20 3 4 2 2" xfId="13910"/>
    <cellStyle name="Total 20 3 4 2 2 2" xfId="25898"/>
    <cellStyle name="Total 20 3 4 2 2 2 2" xfId="47084"/>
    <cellStyle name="Total 20 3 4 2 2 3" xfId="36480"/>
    <cellStyle name="Total 20 3 4 2 3" xfId="20785"/>
    <cellStyle name="Total 20 3 4 2 3 2" xfId="41972"/>
    <cellStyle name="Total 20 3 4 2 4" xfId="31352"/>
    <cellStyle name="Total 20 3 4 2_Table 2A-1_EFT (Annual)" xfId="8768"/>
    <cellStyle name="Total 20 3 4 3" xfId="11254"/>
    <cellStyle name="Total 20 3 4 3 2" xfId="23352"/>
    <cellStyle name="Total 20 3 4 3 2 2" xfId="44538"/>
    <cellStyle name="Total 20 3 4 3 3" xfId="33934"/>
    <cellStyle name="Total 20 3 4 4" xfId="18239"/>
    <cellStyle name="Total 20 3 4 4 2" xfId="39426"/>
    <cellStyle name="Total 20 3 4 5" xfId="28609"/>
    <cellStyle name="Total 20 3 4_Table 2A-1_EFT (Annual)" xfId="8767"/>
    <cellStyle name="Total 20 3 5" xfId="3982"/>
    <cellStyle name="Total 20 3 5 2" xfId="12310"/>
    <cellStyle name="Total 20 3 5 2 2" xfId="24334"/>
    <cellStyle name="Total 20 3 5 2 2 2" xfId="45520"/>
    <cellStyle name="Total 20 3 5 2 3" xfId="34916"/>
    <cellStyle name="Total 20 3 5 3" xfId="19221"/>
    <cellStyle name="Total 20 3 5 3 2" xfId="40408"/>
    <cellStyle name="Total 20 3 5 4" xfId="29670"/>
    <cellStyle name="Total 20 3 5_Table 2A-1_EFT (Annual)" xfId="8769"/>
    <cellStyle name="Total 20 3 6" xfId="9647"/>
    <cellStyle name="Total 20 3 6 2" xfId="21788"/>
    <cellStyle name="Total 20 3 6 2 2" xfId="42974"/>
    <cellStyle name="Total 20 3 6 3" xfId="32370"/>
    <cellStyle name="Total 20 3 7" xfId="16675"/>
    <cellStyle name="Total 20 3 7 2" xfId="37862"/>
    <cellStyle name="Total 20 3 8" xfId="26927"/>
    <cellStyle name="Total 20 3_Table 2A-1_EFT (Annual)" xfId="3546"/>
    <cellStyle name="Total 20 4" xfId="1229"/>
    <cellStyle name="Total 20 4 2" xfId="2499"/>
    <cellStyle name="Total 20 4 2 2" xfId="6060"/>
    <cellStyle name="Total 20 4 2 2 2" xfId="14254"/>
    <cellStyle name="Total 20 4 2 2 2 2" xfId="26226"/>
    <cellStyle name="Total 20 4 2 2 2 2 2" xfId="47412"/>
    <cellStyle name="Total 20 4 2 2 2 3" xfId="36808"/>
    <cellStyle name="Total 20 4 2 2 3" xfId="21113"/>
    <cellStyle name="Total 20 4 2 2 3 2" xfId="42300"/>
    <cellStyle name="Total 20 4 2 2 4" xfId="31716"/>
    <cellStyle name="Total 20 4 2 2_Table 2A-1_EFT (Annual)" xfId="8772"/>
    <cellStyle name="Total 20 4 2 3" xfId="11596"/>
    <cellStyle name="Total 20 4 2 3 2" xfId="23680"/>
    <cellStyle name="Total 20 4 2 3 2 2" xfId="44866"/>
    <cellStyle name="Total 20 4 2 3 3" xfId="34262"/>
    <cellStyle name="Total 20 4 2 4" xfId="18567"/>
    <cellStyle name="Total 20 4 2 4 2" xfId="39754"/>
    <cellStyle name="Total 20 4 2 5" xfId="28973"/>
    <cellStyle name="Total 20 4 2_Table 2A-1_EFT (Annual)" xfId="8771"/>
    <cellStyle name="Total 20 4 3" xfId="4790"/>
    <cellStyle name="Total 20 4 3 2" xfId="13050"/>
    <cellStyle name="Total 20 4 3 2 2" xfId="25056"/>
    <cellStyle name="Total 20 4 3 2 2 2" xfId="46242"/>
    <cellStyle name="Total 20 4 3 2 3" xfId="35638"/>
    <cellStyle name="Total 20 4 3 3" xfId="19943"/>
    <cellStyle name="Total 20 4 3 3 2" xfId="41130"/>
    <cellStyle name="Total 20 4 3 4" xfId="30447"/>
    <cellStyle name="Total 20 4 3_Table 2A-1_EFT (Annual)" xfId="8773"/>
    <cellStyle name="Total 20 4 4" xfId="10394"/>
    <cellStyle name="Total 20 4 4 2" xfId="22510"/>
    <cellStyle name="Total 20 4 4 2 2" xfId="43696"/>
    <cellStyle name="Total 20 4 4 3" xfId="33092"/>
    <cellStyle name="Total 20 4 5" xfId="17397"/>
    <cellStyle name="Total 20 4 5 2" xfId="38584"/>
    <cellStyle name="Total 20 4 6" xfId="27704"/>
    <cellStyle name="Total 20 4_Table 2A-1_EFT (Annual)" xfId="8770"/>
    <cellStyle name="Total 20 5" xfId="784"/>
    <cellStyle name="Total 20 5 2" xfId="4345"/>
    <cellStyle name="Total 20 5 2 2" xfId="12625"/>
    <cellStyle name="Total 20 5 2 2 2" xfId="24642"/>
    <cellStyle name="Total 20 5 2 2 2 2" xfId="45828"/>
    <cellStyle name="Total 20 5 2 2 3" xfId="35224"/>
    <cellStyle name="Total 20 5 2 3" xfId="19529"/>
    <cellStyle name="Total 20 5 2 3 2" xfId="40716"/>
    <cellStyle name="Total 20 5 2 4" xfId="30002"/>
    <cellStyle name="Total 20 5 2_Table 2A-1_EFT (Annual)" xfId="8775"/>
    <cellStyle name="Total 20 5 3" xfId="9973"/>
    <cellStyle name="Total 20 5 3 2" xfId="22096"/>
    <cellStyle name="Total 20 5 3 2 2" xfId="43282"/>
    <cellStyle name="Total 20 5 3 3" xfId="32678"/>
    <cellStyle name="Total 20 5 4" xfId="16983"/>
    <cellStyle name="Total 20 5 4 2" xfId="38170"/>
    <cellStyle name="Total 20 5 5" xfId="27259"/>
    <cellStyle name="Total 20 5_Table 2A-1_EFT (Annual)" xfId="8774"/>
    <cellStyle name="Total 20 6" xfId="1968"/>
    <cellStyle name="Total 20 6 2" xfId="5529"/>
    <cellStyle name="Total 20 6 2 2" xfId="13744"/>
    <cellStyle name="Total 20 6 2 2 2" xfId="25732"/>
    <cellStyle name="Total 20 6 2 2 2 2" xfId="46918"/>
    <cellStyle name="Total 20 6 2 2 3" xfId="36314"/>
    <cellStyle name="Total 20 6 2 3" xfId="20619"/>
    <cellStyle name="Total 20 6 2 3 2" xfId="41806"/>
    <cellStyle name="Total 20 6 2 4" xfId="31186"/>
    <cellStyle name="Total 20 6 2_Table 2A-1_EFT (Annual)" xfId="8777"/>
    <cellStyle name="Total 20 6 3" xfId="11088"/>
    <cellStyle name="Total 20 6 3 2" xfId="23186"/>
    <cellStyle name="Total 20 6 3 2 2" xfId="44372"/>
    <cellStyle name="Total 20 6 3 3" xfId="33768"/>
    <cellStyle name="Total 20 6 4" xfId="18073"/>
    <cellStyle name="Total 20 6 4 2" xfId="39260"/>
    <cellStyle name="Total 20 6 5" xfId="28443"/>
    <cellStyle name="Total 20 6_Table 2A-1_EFT (Annual)" xfId="8776"/>
    <cellStyle name="Total 20 7" xfId="3770"/>
    <cellStyle name="Total 20 7 2" xfId="12138"/>
    <cellStyle name="Total 20 7 2 2" xfId="24168"/>
    <cellStyle name="Total 20 7 2 2 2" xfId="45354"/>
    <cellStyle name="Total 20 7 2 3" xfId="34750"/>
    <cellStyle name="Total 20 7 3" xfId="19055"/>
    <cellStyle name="Total 20 7 3 2" xfId="40242"/>
    <cellStyle name="Total 20 7 4" xfId="29479"/>
    <cellStyle name="Total 20 7_Table 2A-1_EFT (Annual)" xfId="8778"/>
    <cellStyle name="Total 20 8" xfId="9457"/>
    <cellStyle name="Total 20 8 2" xfId="21622"/>
    <cellStyle name="Total 20 8 2 2" xfId="42808"/>
    <cellStyle name="Total 20 8 3" xfId="32204"/>
    <cellStyle name="Total 20 9" xfId="16509"/>
    <cellStyle name="Total 20 9 2" xfId="37696"/>
    <cellStyle name="Total 20_Table 2A-1_EFT (Annual)" xfId="3544"/>
    <cellStyle name="Total 21" xfId="199"/>
    <cellStyle name="Total 21 10" xfId="26754"/>
    <cellStyle name="Total 21 2" xfId="592"/>
    <cellStyle name="Total 21 2 2" xfId="1569"/>
    <cellStyle name="Total 21 2 2 2" xfId="2839"/>
    <cellStyle name="Total 21 2 2 2 2" xfId="6400"/>
    <cellStyle name="Total 21 2 2 2 2 2" xfId="14594"/>
    <cellStyle name="Total 21 2 2 2 2 2 2" xfId="26566"/>
    <cellStyle name="Total 21 2 2 2 2 2 2 2" xfId="47752"/>
    <cellStyle name="Total 21 2 2 2 2 2 3" xfId="37148"/>
    <cellStyle name="Total 21 2 2 2 2 3" xfId="21453"/>
    <cellStyle name="Total 21 2 2 2 2 3 2" xfId="42640"/>
    <cellStyle name="Total 21 2 2 2 2 4" xfId="32056"/>
    <cellStyle name="Total 21 2 2 2 2_Table 2A-1_EFT (Annual)" xfId="8781"/>
    <cellStyle name="Total 21 2 2 2 3" xfId="11936"/>
    <cellStyle name="Total 21 2 2 2 3 2" xfId="24020"/>
    <cellStyle name="Total 21 2 2 2 3 2 2" xfId="45206"/>
    <cellStyle name="Total 21 2 2 2 3 3" xfId="34602"/>
    <cellStyle name="Total 21 2 2 2 4" xfId="18907"/>
    <cellStyle name="Total 21 2 2 2 4 2" xfId="40094"/>
    <cellStyle name="Total 21 2 2 2 5" xfId="29313"/>
    <cellStyle name="Total 21 2 2 2_Table 2A-1_EFT (Annual)" xfId="8780"/>
    <cellStyle name="Total 21 2 2 3" xfId="5130"/>
    <cellStyle name="Total 21 2 2 3 2" xfId="13390"/>
    <cellStyle name="Total 21 2 2 3 2 2" xfId="25396"/>
    <cellStyle name="Total 21 2 2 3 2 2 2" xfId="46582"/>
    <cellStyle name="Total 21 2 2 3 2 3" xfId="35978"/>
    <cellStyle name="Total 21 2 2 3 3" xfId="20283"/>
    <cellStyle name="Total 21 2 2 3 3 2" xfId="41470"/>
    <cellStyle name="Total 21 2 2 3 4" xfId="30787"/>
    <cellStyle name="Total 21 2 2 3_Table 2A-1_EFT (Annual)" xfId="8782"/>
    <cellStyle name="Total 21 2 2 4" xfId="10734"/>
    <cellStyle name="Total 21 2 2 4 2" xfId="22850"/>
    <cellStyle name="Total 21 2 2 4 2 2" xfId="44036"/>
    <cellStyle name="Total 21 2 2 4 3" xfId="33432"/>
    <cellStyle name="Total 21 2 2 5" xfId="17737"/>
    <cellStyle name="Total 21 2 2 5 2" xfId="38924"/>
    <cellStyle name="Total 21 2 2 6" xfId="28044"/>
    <cellStyle name="Total 21 2 2_Table 2A-1_EFT (Annual)" xfId="8779"/>
    <cellStyle name="Total 21 2 3" xfId="1090"/>
    <cellStyle name="Total 21 2 3 2" xfId="4651"/>
    <cellStyle name="Total 21 2 3 2 2" xfId="12911"/>
    <cellStyle name="Total 21 2 3 2 2 2" xfId="24917"/>
    <cellStyle name="Total 21 2 3 2 2 2 2" xfId="46103"/>
    <cellStyle name="Total 21 2 3 2 2 3" xfId="35499"/>
    <cellStyle name="Total 21 2 3 2 3" xfId="19804"/>
    <cellStyle name="Total 21 2 3 2 3 2" xfId="40991"/>
    <cellStyle name="Total 21 2 3 2 4" xfId="30308"/>
    <cellStyle name="Total 21 2 3 2_Table 2A-1_EFT (Annual)" xfId="8784"/>
    <cellStyle name="Total 21 2 3 3" xfId="10255"/>
    <cellStyle name="Total 21 2 3 3 2" xfId="22371"/>
    <cellStyle name="Total 21 2 3 3 2 2" xfId="43557"/>
    <cellStyle name="Total 21 2 3 3 3" xfId="32953"/>
    <cellStyle name="Total 21 2 3 4" xfId="17258"/>
    <cellStyle name="Total 21 2 3 4 2" xfId="38445"/>
    <cellStyle name="Total 21 2 3 5" xfId="27565"/>
    <cellStyle name="Total 21 2 3_Table 2A-1_EFT (Annual)" xfId="8783"/>
    <cellStyle name="Total 21 2 4" xfId="2308"/>
    <cellStyle name="Total 21 2 4 2" xfId="5869"/>
    <cellStyle name="Total 21 2 4 2 2" xfId="14084"/>
    <cellStyle name="Total 21 2 4 2 2 2" xfId="26072"/>
    <cellStyle name="Total 21 2 4 2 2 2 2" xfId="47258"/>
    <cellStyle name="Total 21 2 4 2 2 3" xfId="36654"/>
    <cellStyle name="Total 21 2 4 2 3" xfId="20959"/>
    <cellStyle name="Total 21 2 4 2 3 2" xfId="42146"/>
    <cellStyle name="Total 21 2 4 2 4" xfId="31526"/>
    <cellStyle name="Total 21 2 4 2_Table 2A-1_EFT (Annual)" xfId="8786"/>
    <cellStyle name="Total 21 2 4 3" xfId="11428"/>
    <cellStyle name="Total 21 2 4 3 2" xfId="23526"/>
    <cellStyle name="Total 21 2 4 3 2 2" xfId="44712"/>
    <cellStyle name="Total 21 2 4 3 3" xfId="34108"/>
    <cellStyle name="Total 21 2 4 4" xfId="18413"/>
    <cellStyle name="Total 21 2 4 4 2" xfId="39600"/>
    <cellStyle name="Total 21 2 4 5" xfId="28783"/>
    <cellStyle name="Total 21 2 4_Table 2A-1_EFT (Annual)" xfId="8785"/>
    <cellStyle name="Total 21 2 5" xfId="4162"/>
    <cellStyle name="Total 21 2 5 2" xfId="12486"/>
    <cellStyle name="Total 21 2 5 2 2" xfId="24508"/>
    <cellStyle name="Total 21 2 5 2 2 2" xfId="45694"/>
    <cellStyle name="Total 21 2 5 2 3" xfId="35090"/>
    <cellStyle name="Total 21 2 5 3" xfId="19395"/>
    <cellStyle name="Total 21 2 5 3 2" xfId="40582"/>
    <cellStyle name="Total 21 2 5 4" xfId="29850"/>
    <cellStyle name="Total 21 2 5_Table 2A-1_EFT (Annual)" xfId="8787"/>
    <cellStyle name="Total 21 2 6" xfId="9825"/>
    <cellStyle name="Total 21 2 6 2" xfId="21962"/>
    <cellStyle name="Total 21 2 6 2 2" xfId="43148"/>
    <cellStyle name="Total 21 2 6 3" xfId="32544"/>
    <cellStyle name="Total 21 2 7" xfId="16849"/>
    <cellStyle name="Total 21 2 7 2" xfId="38036"/>
    <cellStyle name="Total 21 2 8" xfId="27107"/>
    <cellStyle name="Total 21 2_Table 2A-1_EFT (Annual)" xfId="3548"/>
    <cellStyle name="Total 21 3" xfId="428"/>
    <cellStyle name="Total 21 3 2" xfId="1411"/>
    <cellStyle name="Total 21 3 2 2" xfId="2681"/>
    <cellStyle name="Total 21 3 2 2 2" xfId="6242"/>
    <cellStyle name="Total 21 3 2 2 2 2" xfId="14436"/>
    <cellStyle name="Total 21 3 2 2 2 2 2" xfId="26408"/>
    <cellStyle name="Total 21 3 2 2 2 2 2 2" xfId="47594"/>
    <cellStyle name="Total 21 3 2 2 2 2 3" xfId="36990"/>
    <cellStyle name="Total 21 3 2 2 2 3" xfId="21295"/>
    <cellStyle name="Total 21 3 2 2 2 3 2" xfId="42482"/>
    <cellStyle name="Total 21 3 2 2 2 4" xfId="31898"/>
    <cellStyle name="Total 21 3 2 2 2_Table 2A-1_EFT (Annual)" xfId="8790"/>
    <cellStyle name="Total 21 3 2 2 3" xfId="11778"/>
    <cellStyle name="Total 21 3 2 2 3 2" xfId="23862"/>
    <cellStyle name="Total 21 3 2 2 3 2 2" xfId="45048"/>
    <cellStyle name="Total 21 3 2 2 3 3" xfId="34444"/>
    <cellStyle name="Total 21 3 2 2 4" xfId="18749"/>
    <cellStyle name="Total 21 3 2 2 4 2" xfId="39936"/>
    <cellStyle name="Total 21 3 2 2 5" xfId="29155"/>
    <cellStyle name="Total 21 3 2 2_Table 2A-1_EFT (Annual)" xfId="8789"/>
    <cellStyle name="Total 21 3 2 3" xfId="4972"/>
    <cellStyle name="Total 21 3 2 3 2" xfId="13232"/>
    <cellStyle name="Total 21 3 2 3 2 2" xfId="25238"/>
    <cellStyle name="Total 21 3 2 3 2 2 2" xfId="46424"/>
    <cellStyle name="Total 21 3 2 3 2 3" xfId="35820"/>
    <cellStyle name="Total 21 3 2 3 3" xfId="20125"/>
    <cellStyle name="Total 21 3 2 3 3 2" xfId="41312"/>
    <cellStyle name="Total 21 3 2 3 4" xfId="30629"/>
    <cellStyle name="Total 21 3 2 3_Table 2A-1_EFT (Annual)" xfId="8791"/>
    <cellStyle name="Total 21 3 2 4" xfId="10576"/>
    <cellStyle name="Total 21 3 2 4 2" xfId="22692"/>
    <cellStyle name="Total 21 3 2 4 2 2" xfId="43878"/>
    <cellStyle name="Total 21 3 2 4 3" xfId="33274"/>
    <cellStyle name="Total 21 3 2 5" xfId="17579"/>
    <cellStyle name="Total 21 3 2 5 2" xfId="38766"/>
    <cellStyle name="Total 21 3 2 6" xfId="27886"/>
    <cellStyle name="Total 21 3 2_Table 2A-1_EFT (Annual)" xfId="8788"/>
    <cellStyle name="Total 21 3 3" xfId="956"/>
    <cellStyle name="Total 21 3 3 2" xfId="4517"/>
    <cellStyle name="Total 21 3 3 2 2" xfId="12779"/>
    <cellStyle name="Total 21 3 3 2 2 2" xfId="24789"/>
    <cellStyle name="Total 21 3 3 2 2 2 2" xfId="45975"/>
    <cellStyle name="Total 21 3 3 2 2 3" xfId="35371"/>
    <cellStyle name="Total 21 3 3 2 3" xfId="19676"/>
    <cellStyle name="Total 21 3 3 2 3 2" xfId="40863"/>
    <cellStyle name="Total 21 3 3 2 4" xfId="30174"/>
    <cellStyle name="Total 21 3 3 2_Table 2A-1_EFT (Annual)" xfId="8793"/>
    <cellStyle name="Total 21 3 3 3" xfId="10126"/>
    <cellStyle name="Total 21 3 3 3 2" xfId="22243"/>
    <cellStyle name="Total 21 3 3 3 2 2" xfId="43429"/>
    <cellStyle name="Total 21 3 3 3 3" xfId="32825"/>
    <cellStyle name="Total 21 3 3 4" xfId="17130"/>
    <cellStyle name="Total 21 3 3 4 2" xfId="38317"/>
    <cellStyle name="Total 21 3 3 5" xfId="27431"/>
    <cellStyle name="Total 21 3 3_Table 2A-1_EFT (Annual)" xfId="8792"/>
    <cellStyle name="Total 21 3 4" xfId="2150"/>
    <cellStyle name="Total 21 3 4 2" xfId="5711"/>
    <cellStyle name="Total 21 3 4 2 2" xfId="13926"/>
    <cellStyle name="Total 21 3 4 2 2 2" xfId="25914"/>
    <cellStyle name="Total 21 3 4 2 2 2 2" xfId="47100"/>
    <cellStyle name="Total 21 3 4 2 2 3" xfId="36496"/>
    <cellStyle name="Total 21 3 4 2 3" xfId="20801"/>
    <cellStyle name="Total 21 3 4 2 3 2" xfId="41988"/>
    <cellStyle name="Total 21 3 4 2 4" xfId="31368"/>
    <cellStyle name="Total 21 3 4 2_Table 2A-1_EFT (Annual)" xfId="8795"/>
    <cellStyle name="Total 21 3 4 3" xfId="11270"/>
    <cellStyle name="Total 21 3 4 3 2" xfId="23368"/>
    <cellStyle name="Total 21 3 4 3 2 2" xfId="44554"/>
    <cellStyle name="Total 21 3 4 3 3" xfId="33950"/>
    <cellStyle name="Total 21 3 4 4" xfId="18255"/>
    <cellStyle name="Total 21 3 4 4 2" xfId="39442"/>
    <cellStyle name="Total 21 3 4 5" xfId="28625"/>
    <cellStyle name="Total 21 3 4_Table 2A-1_EFT (Annual)" xfId="8794"/>
    <cellStyle name="Total 21 3 5" xfId="3998"/>
    <cellStyle name="Total 21 3 5 2" xfId="12326"/>
    <cellStyle name="Total 21 3 5 2 2" xfId="24350"/>
    <cellStyle name="Total 21 3 5 2 2 2" xfId="45536"/>
    <cellStyle name="Total 21 3 5 2 3" xfId="34932"/>
    <cellStyle name="Total 21 3 5 3" xfId="19237"/>
    <cellStyle name="Total 21 3 5 3 2" xfId="40424"/>
    <cellStyle name="Total 21 3 5 4" xfId="29686"/>
    <cellStyle name="Total 21 3 5_Table 2A-1_EFT (Annual)" xfId="8796"/>
    <cellStyle name="Total 21 3 6" xfId="9663"/>
    <cellStyle name="Total 21 3 6 2" xfId="21804"/>
    <cellStyle name="Total 21 3 6 2 2" xfId="42990"/>
    <cellStyle name="Total 21 3 6 3" xfId="32386"/>
    <cellStyle name="Total 21 3 7" xfId="16691"/>
    <cellStyle name="Total 21 3 7 2" xfId="37878"/>
    <cellStyle name="Total 21 3 8" xfId="26943"/>
    <cellStyle name="Total 21 3_Table 2A-1_EFT (Annual)" xfId="3549"/>
    <cellStyle name="Total 21 4" xfId="1247"/>
    <cellStyle name="Total 21 4 2" xfId="2517"/>
    <cellStyle name="Total 21 4 2 2" xfId="6078"/>
    <cellStyle name="Total 21 4 2 2 2" xfId="14272"/>
    <cellStyle name="Total 21 4 2 2 2 2" xfId="26244"/>
    <cellStyle name="Total 21 4 2 2 2 2 2" xfId="47430"/>
    <cellStyle name="Total 21 4 2 2 2 3" xfId="36826"/>
    <cellStyle name="Total 21 4 2 2 3" xfId="21131"/>
    <cellStyle name="Total 21 4 2 2 3 2" xfId="42318"/>
    <cellStyle name="Total 21 4 2 2 4" xfId="31734"/>
    <cellStyle name="Total 21 4 2 2_Table 2A-1_EFT (Annual)" xfId="8799"/>
    <cellStyle name="Total 21 4 2 3" xfId="11614"/>
    <cellStyle name="Total 21 4 2 3 2" xfId="23698"/>
    <cellStyle name="Total 21 4 2 3 2 2" xfId="44884"/>
    <cellStyle name="Total 21 4 2 3 3" xfId="34280"/>
    <cellStyle name="Total 21 4 2 4" xfId="18585"/>
    <cellStyle name="Total 21 4 2 4 2" xfId="39772"/>
    <cellStyle name="Total 21 4 2 5" xfId="28991"/>
    <cellStyle name="Total 21 4 2_Table 2A-1_EFT (Annual)" xfId="8798"/>
    <cellStyle name="Total 21 4 3" xfId="4808"/>
    <cellStyle name="Total 21 4 3 2" xfId="13068"/>
    <cellStyle name="Total 21 4 3 2 2" xfId="25074"/>
    <cellStyle name="Total 21 4 3 2 2 2" xfId="46260"/>
    <cellStyle name="Total 21 4 3 2 3" xfId="35656"/>
    <cellStyle name="Total 21 4 3 3" xfId="19961"/>
    <cellStyle name="Total 21 4 3 3 2" xfId="41148"/>
    <cellStyle name="Total 21 4 3 4" xfId="30465"/>
    <cellStyle name="Total 21 4 3_Table 2A-1_EFT (Annual)" xfId="8800"/>
    <cellStyle name="Total 21 4 4" xfId="10412"/>
    <cellStyle name="Total 21 4 4 2" xfId="22528"/>
    <cellStyle name="Total 21 4 4 2 2" xfId="43714"/>
    <cellStyle name="Total 21 4 4 3" xfId="33110"/>
    <cellStyle name="Total 21 4 5" xfId="17415"/>
    <cellStyle name="Total 21 4 5 2" xfId="38602"/>
    <cellStyle name="Total 21 4 6" xfId="27722"/>
    <cellStyle name="Total 21 4_Table 2A-1_EFT (Annual)" xfId="8797"/>
    <cellStyle name="Total 21 5" xfId="799"/>
    <cellStyle name="Total 21 5 2" xfId="4360"/>
    <cellStyle name="Total 21 5 2 2" xfId="12640"/>
    <cellStyle name="Total 21 5 2 2 2" xfId="24657"/>
    <cellStyle name="Total 21 5 2 2 2 2" xfId="45843"/>
    <cellStyle name="Total 21 5 2 2 3" xfId="35239"/>
    <cellStyle name="Total 21 5 2 3" xfId="19544"/>
    <cellStyle name="Total 21 5 2 3 2" xfId="40731"/>
    <cellStyle name="Total 21 5 2 4" xfId="30017"/>
    <cellStyle name="Total 21 5 2_Table 2A-1_EFT (Annual)" xfId="8802"/>
    <cellStyle name="Total 21 5 3" xfId="9988"/>
    <cellStyle name="Total 21 5 3 2" xfId="22111"/>
    <cellStyle name="Total 21 5 3 2 2" xfId="43297"/>
    <cellStyle name="Total 21 5 3 3" xfId="32693"/>
    <cellStyle name="Total 21 5 4" xfId="16998"/>
    <cellStyle name="Total 21 5 4 2" xfId="38185"/>
    <cellStyle name="Total 21 5 5" xfId="27274"/>
    <cellStyle name="Total 21 5_Table 2A-1_EFT (Annual)" xfId="8801"/>
    <cellStyle name="Total 21 6" xfId="1986"/>
    <cellStyle name="Total 21 6 2" xfId="5547"/>
    <cellStyle name="Total 21 6 2 2" xfId="13762"/>
    <cellStyle name="Total 21 6 2 2 2" xfId="25750"/>
    <cellStyle name="Total 21 6 2 2 2 2" xfId="46936"/>
    <cellStyle name="Total 21 6 2 2 3" xfId="36332"/>
    <cellStyle name="Total 21 6 2 3" xfId="20637"/>
    <cellStyle name="Total 21 6 2 3 2" xfId="41824"/>
    <cellStyle name="Total 21 6 2 4" xfId="31204"/>
    <cellStyle name="Total 21 6 2_Table 2A-1_EFT (Annual)" xfId="8804"/>
    <cellStyle name="Total 21 6 3" xfId="11106"/>
    <cellStyle name="Total 21 6 3 2" xfId="23204"/>
    <cellStyle name="Total 21 6 3 2 2" xfId="44390"/>
    <cellStyle name="Total 21 6 3 3" xfId="33786"/>
    <cellStyle name="Total 21 6 4" xfId="18091"/>
    <cellStyle name="Total 21 6 4 2" xfId="39278"/>
    <cellStyle name="Total 21 6 5" xfId="28461"/>
    <cellStyle name="Total 21 6_Table 2A-1_EFT (Annual)" xfId="8803"/>
    <cellStyle name="Total 21 7" xfId="3788"/>
    <cellStyle name="Total 21 7 2" xfId="12156"/>
    <cellStyle name="Total 21 7 2 2" xfId="24186"/>
    <cellStyle name="Total 21 7 2 2 2" xfId="45372"/>
    <cellStyle name="Total 21 7 2 3" xfId="34768"/>
    <cellStyle name="Total 21 7 3" xfId="19073"/>
    <cellStyle name="Total 21 7 3 2" xfId="40260"/>
    <cellStyle name="Total 21 7 4" xfId="29497"/>
    <cellStyle name="Total 21 7_Table 2A-1_EFT (Annual)" xfId="8805"/>
    <cellStyle name="Total 21 8" xfId="9475"/>
    <cellStyle name="Total 21 8 2" xfId="21640"/>
    <cellStyle name="Total 21 8 2 2" xfId="42826"/>
    <cellStyle name="Total 21 8 3" xfId="32222"/>
    <cellStyle name="Total 21 9" xfId="16527"/>
    <cellStyle name="Total 21 9 2" xfId="37714"/>
    <cellStyle name="Total 21_Table 2A-1_EFT (Annual)" xfId="3547"/>
    <cellStyle name="Total 22" xfId="211"/>
    <cellStyle name="Total 22 10" xfId="26766"/>
    <cellStyle name="Total 22 2" xfId="604"/>
    <cellStyle name="Total 22 2 2" xfId="1581"/>
    <cellStyle name="Total 22 2 2 2" xfId="2851"/>
    <cellStyle name="Total 22 2 2 2 2" xfId="6412"/>
    <cellStyle name="Total 22 2 2 2 2 2" xfId="14606"/>
    <cellStyle name="Total 22 2 2 2 2 2 2" xfId="26578"/>
    <cellStyle name="Total 22 2 2 2 2 2 2 2" xfId="47764"/>
    <cellStyle name="Total 22 2 2 2 2 2 3" xfId="37160"/>
    <cellStyle name="Total 22 2 2 2 2 3" xfId="21465"/>
    <cellStyle name="Total 22 2 2 2 2 3 2" xfId="42652"/>
    <cellStyle name="Total 22 2 2 2 2 4" xfId="32068"/>
    <cellStyle name="Total 22 2 2 2 2_Table 2A-1_EFT (Annual)" xfId="8808"/>
    <cellStyle name="Total 22 2 2 2 3" xfId="11948"/>
    <cellStyle name="Total 22 2 2 2 3 2" xfId="24032"/>
    <cellStyle name="Total 22 2 2 2 3 2 2" xfId="45218"/>
    <cellStyle name="Total 22 2 2 2 3 3" xfId="34614"/>
    <cellStyle name="Total 22 2 2 2 4" xfId="18919"/>
    <cellStyle name="Total 22 2 2 2 4 2" xfId="40106"/>
    <cellStyle name="Total 22 2 2 2 5" xfId="29325"/>
    <cellStyle name="Total 22 2 2 2_Table 2A-1_EFT (Annual)" xfId="8807"/>
    <cellStyle name="Total 22 2 2 3" xfId="5142"/>
    <cellStyle name="Total 22 2 2 3 2" xfId="13402"/>
    <cellStyle name="Total 22 2 2 3 2 2" xfId="25408"/>
    <cellStyle name="Total 22 2 2 3 2 2 2" xfId="46594"/>
    <cellStyle name="Total 22 2 2 3 2 3" xfId="35990"/>
    <cellStyle name="Total 22 2 2 3 3" xfId="20295"/>
    <cellStyle name="Total 22 2 2 3 3 2" xfId="41482"/>
    <cellStyle name="Total 22 2 2 3 4" xfId="30799"/>
    <cellStyle name="Total 22 2 2 3_Table 2A-1_EFT (Annual)" xfId="8809"/>
    <cellStyle name="Total 22 2 2 4" xfId="10746"/>
    <cellStyle name="Total 22 2 2 4 2" xfId="22862"/>
    <cellStyle name="Total 22 2 2 4 2 2" xfId="44048"/>
    <cellStyle name="Total 22 2 2 4 3" xfId="33444"/>
    <cellStyle name="Total 22 2 2 5" xfId="17749"/>
    <cellStyle name="Total 22 2 2 5 2" xfId="38936"/>
    <cellStyle name="Total 22 2 2 6" xfId="28056"/>
    <cellStyle name="Total 22 2 2_Table 2A-1_EFT (Annual)" xfId="8806"/>
    <cellStyle name="Total 22 2 3" xfId="1099"/>
    <cellStyle name="Total 22 2 3 2" xfId="4660"/>
    <cellStyle name="Total 22 2 3 2 2" xfId="12920"/>
    <cellStyle name="Total 22 2 3 2 2 2" xfId="24926"/>
    <cellStyle name="Total 22 2 3 2 2 2 2" xfId="46112"/>
    <cellStyle name="Total 22 2 3 2 2 3" xfId="35508"/>
    <cellStyle name="Total 22 2 3 2 3" xfId="19813"/>
    <cellStyle name="Total 22 2 3 2 3 2" xfId="41000"/>
    <cellStyle name="Total 22 2 3 2 4" xfId="30317"/>
    <cellStyle name="Total 22 2 3 2_Table 2A-1_EFT (Annual)" xfId="8811"/>
    <cellStyle name="Total 22 2 3 3" xfId="10264"/>
    <cellStyle name="Total 22 2 3 3 2" xfId="22380"/>
    <cellStyle name="Total 22 2 3 3 2 2" xfId="43566"/>
    <cellStyle name="Total 22 2 3 3 3" xfId="32962"/>
    <cellStyle name="Total 22 2 3 4" xfId="17267"/>
    <cellStyle name="Total 22 2 3 4 2" xfId="38454"/>
    <cellStyle name="Total 22 2 3 5" xfId="27574"/>
    <cellStyle name="Total 22 2 3_Table 2A-1_EFT (Annual)" xfId="8810"/>
    <cellStyle name="Total 22 2 4" xfId="2320"/>
    <cellStyle name="Total 22 2 4 2" xfId="5881"/>
    <cellStyle name="Total 22 2 4 2 2" xfId="14096"/>
    <cellStyle name="Total 22 2 4 2 2 2" xfId="26084"/>
    <cellStyle name="Total 22 2 4 2 2 2 2" xfId="47270"/>
    <cellStyle name="Total 22 2 4 2 2 3" xfId="36666"/>
    <cellStyle name="Total 22 2 4 2 3" xfId="20971"/>
    <cellStyle name="Total 22 2 4 2 3 2" xfId="42158"/>
    <cellStyle name="Total 22 2 4 2 4" xfId="31538"/>
    <cellStyle name="Total 22 2 4 2_Table 2A-1_EFT (Annual)" xfId="8813"/>
    <cellStyle name="Total 22 2 4 3" xfId="11440"/>
    <cellStyle name="Total 22 2 4 3 2" xfId="23538"/>
    <cellStyle name="Total 22 2 4 3 2 2" xfId="44724"/>
    <cellStyle name="Total 22 2 4 3 3" xfId="34120"/>
    <cellStyle name="Total 22 2 4 4" xfId="18425"/>
    <cellStyle name="Total 22 2 4 4 2" xfId="39612"/>
    <cellStyle name="Total 22 2 4 5" xfId="28795"/>
    <cellStyle name="Total 22 2 4_Table 2A-1_EFT (Annual)" xfId="8812"/>
    <cellStyle name="Total 22 2 5" xfId="4174"/>
    <cellStyle name="Total 22 2 5 2" xfId="12498"/>
    <cellStyle name="Total 22 2 5 2 2" xfId="24520"/>
    <cellStyle name="Total 22 2 5 2 2 2" xfId="45706"/>
    <cellStyle name="Total 22 2 5 2 3" xfId="35102"/>
    <cellStyle name="Total 22 2 5 3" xfId="19407"/>
    <cellStyle name="Total 22 2 5 3 2" xfId="40594"/>
    <cellStyle name="Total 22 2 5 4" xfId="29862"/>
    <cellStyle name="Total 22 2 5_Table 2A-1_EFT (Annual)" xfId="8814"/>
    <cellStyle name="Total 22 2 6" xfId="9837"/>
    <cellStyle name="Total 22 2 6 2" xfId="21974"/>
    <cellStyle name="Total 22 2 6 2 2" xfId="43160"/>
    <cellStyle name="Total 22 2 6 3" xfId="32556"/>
    <cellStyle name="Total 22 2 7" xfId="16861"/>
    <cellStyle name="Total 22 2 7 2" xfId="38048"/>
    <cellStyle name="Total 22 2 8" xfId="27119"/>
    <cellStyle name="Total 22 2_Table 2A-1_EFT (Annual)" xfId="3551"/>
    <cellStyle name="Total 22 3" xfId="439"/>
    <cellStyle name="Total 22 3 2" xfId="1422"/>
    <cellStyle name="Total 22 3 2 2" xfId="2692"/>
    <cellStyle name="Total 22 3 2 2 2" xfId="6253"/>
    <cellStyle name="Total 22 3 2 2 2 2" xfId="14447"/>
    <cellStyle name="Total 22 3 2 2 2 2 2" xfId="26419"/>
    <cellStyle name="Total 22 3 2 2 2 2 2 2" xfId="47605"/>
    <cellStyle name="Total 22 3 2 2 2 2 3" xfId="37001"/>
    <cellStyle name="Total 22 3 2 2 2 3" xfId="21306"/>
    <cellStyle name="Total 22 3 2 2 2 3 2" xfId="42493"/>
    <cellStyle name="Total 22 3 2 2 2 4" xfId="31909"/>
    <cellStyle name="Total 22 3 2 2 2_Table 2A-1_EFT (Annual)" xfId="8817"/>
    <cellStyle name="Total 22 3 2 2 3" xfId="11789"/>
    <cellStyle name="Total 22 3 2 2 3 2" xfId="23873"/>
    <cellStyle name="Total 22 3 2 2 3 2 2" xfId="45059"/>
    <cellStyle name="Total 22 3 2 2 3 3" xfId="34455"/>
    <cellStyle name="Total 22 3 2 2 4" xfId="18760"/>
    <cellStyle name="Total 22 3 2 2 4 2" xfId="39947"/>
    <cellStyle name="Total 22 3 2 2 5" xfId="29166"/>
    <cellStyle name="Total 22 3 2 2_Table 2A-1_EFT (Annual)" xfId="8816"/>
    <cellStyle name="Total 22 3 2 3" xfId="4983"/>
    <cellStyle name="Total 22 3 2 3 2" xfId="13243"/>
    <cellStyle name="Total 22 3 2 3 2 2" xfId="25249"/>
    <cellStyle name="Total 22 3 2 3 2 2 2" xfId="46435"/>
    <cellStyle name="Total 22 3 2 3 2 3" xfId="35831"/>
    <cellStyle name="Total 22 3 2 3 3" xfId="20136"/>
    <cellStyle name="Total 22 3 2 3 3 2" xfId="41323"/>
    <cellStyle name="Total 22 3 2 3 4" xfId="30640"/>
    <cellStyle name="Total 22 3 2 3_Table 2A-1_EFT (Annual)" xfId="8818"/>
    <cellStyle name="Total 22 3 2 4" xfId="10587"/>
    <cellStyle name="Total 22 3 2 4 2" xfId="22703"/>
    <cellStyle name="Total 22 3 2 4 2 2" xfId="43889"/>
    <cellStyle name="Total 22 3 2 4 3" xfId="33285"/>
    <cellStyle name="Total 22 3 2 5" xfId="17590"/>
    <cellStyle name="Total 22 3 2 5 2" xfId="38777"/>
    <cellStyle name="Total 22 3 2 6" xfId="27897"/>
    <cellStyle name="Total 22 3 2_Table 2A-1_EFT (Annual)" xfId="8815"/>
    <cellStyle name="Total 22 3 3" xfId="964"/>
    <cellStyle name="Total 22 3 3 2" xfId="4525"/>
    <cellStyle name="Total 22 3 3 2 2" xfId="12787"/>
    <cellStyle name="Total 22 3 3 2 2 2" xfId="24797"/>
    <cellStyle name="Total 22 3 3 2 2 2 2" xfId="45983"/>
    <cellStyle name="Total 22 3 3 2 2 3" xfId="35379"/>
    <cellStyle name="Total 22 3 3 2 3" xfId="19684"/>
    <cellStyle name="Total 22 3 3 2 3 2" xfId="40871"/>
    <cellStyle name="Total 22 3 3 2 4" xfId="30182"/>
    <cellStyle name="Total 22 3 3 2_Table 2A-1_EFT (Annual)" xfId="8820"/>
    <cellStyle name="Total 22 3 3 3" xfId="10134"/>
    <cellStyle name="Total 22 3 3 3 2" xfId="22251"/>
    <cellStyle name="Total 22 3 3 3 2 2" xfId="43437"/>
    <cellStyle name="Total 22 3 3 3 3" xfId="32833"/>
    <cellStyle name="Total 22 3 3 4" xfId="17138"/>
    <cellStyle name="Total 22 3 3 4 2" xfId="38325"/>
    <cellStyle name="Total 22 3 3 5" xfId="27439"/>
    <cellStyle name="Total 22 3 3_Table 2A-1_EFT (Annual)" xfId="8819"/>
    <cellStyle name="Total 22 3 4" xfId="2161"/>
    <cellStyle name="Total 22 3 4 2" xfId="5722"/>
    <cellStyle name="Total 22 3 4 2 2" xfId="13937"/>
    <cellStyle name="Total 22 3 4 2 2 2" xfId="25925"/>
    <cellStyle name="Total 22 3 4 2 2 2 2" xfId="47111"/>
    <cellStyle name="Total 22 3 4 2 2 3" xfId="36507"/>
    <cellStyle name="Total 22 3 4 2 3" xfId="20812"/>
    <cellStyle name="Total 22 3 4 2 3 2" xfId="41999"/>
    <cellStyle name="Total 22 3 4 2 4" xfId="31379"/>
    <cellStyle name="Total 22 3 4 2_Table 2A-1_EFT (Annual)" xfId="8822"/>
    <cellStyle name="Total 22 3 4 3" xfId="11281"/>
    <cellStyle name="Total 22 3 4 3 2" xfId="23379"/>
    <cellStyle name="Total 22 3 4 3 2 2" xfId="44565"/>
    <cellStyle name="Total 22 3 4 3 3" xfId="33961"/>
    <cellStyle name="Total 22 3 4 4" xfId="18266"/>
    <cellStyle name="Total 22 3 4 4 2" xfId="39453"/>
    <cellStyle name="Total 22 3 4 5" xfId="28636"/>
    <cellStyle name="Total 22 3 4_Table 2A-1_EFT (Annual)" xfId="8821"/>
    <cellStyle name="Total 22 3 5" xfId="4009"/>
    <cellStyle name="Total 22 3 5 2" xfId="12337"/>
    <cellStyle name="Total 22 3 5 2 2" xfId="24361"/>
    <cellStyle name="Total 22 3 5 2 2 2" xfId="45547"/>
    <cellStyle name="Total 22 3 5 2 3" xfId="34943"/>
    <cellStyle name="Total 22 3 5 3" xfId="19248"/>
    <cellStyle name="Total 22 3 5 3 2" xfId="40435"/>
    <cellStyle name="Total 22 3 5 4" xfId="29697"/>
    <cellStyle name="Total 22 3 5_Table 2A-1_EFT (Annual)" xfId="8823"/>
    <cellStyle name="Total 22 3 6" xfId="9674"/>
    <cellStyle name="Total 22 3 6 2" xfId="21815"/>
    <cellStyle name="Total 22 3 6 2 2" xfId="43001"/>
    <cellStyle name="Total 22 3 6 3" xfId="32397"/>
    <cellStyle name="Total 22 3 7" xfId="16702"/>
    <cellStyle name="Total 22 3 7 2" xfId="37889"/>
    <cellStyle name="Total 22 3 8" xfId="26954"/>
    <cellStyle name="Total 22 3_Table 2A-1_EFT (Annual)" xfId="3552"/>
    <cellStyle name="Total 22 4" xfId="1259"/>
    <cellStyle name="Total 22 4 2" xfId="2529"/>
    <cellStyle name="Total 22 4 2 2" xfId="6090"/>
    <cellStyle name="Total 22 4 2 2 2" xfId="14284"/>
    <cellStyle name="Total 22 4 2 2 2 2" xfId="26256"/>
    <cellStyle name="Total 22 4 2 2 2 2 2" xfId="47442"/>
    <cellStyle name="Total 22 4 2 2 2 3" xfId="36838"/>
    <cellStyle name="Total 22 4 2 2 3" xfId="21143"/>
    <cellStyle name="Total 22 4 2 2 3 2" xfId="42330"/>
    <cellStyle name="Total 22 4 2 2 4" xfId="31746"/>
    <cellStyle name="Total 22 4 2 2_Table 2A-1_EFT (Annual)" xfId="8826"/>
    <cellStyle name="Total 22 4 2 3" xfId="11626"/>
    <cellStyle name="Total 22 4 2 3 2" xfId="23710"/>
    <cellStyle name="Total 22 4 2 3 2 2" xfId="44896"/>
    <cellStyle name="Total 22 4 2 3 3" xfId="34292"/>
    <cellStyle name="Total 22 4 2 4" xfId="18597"/>
    <cellStyle name="Total 22 4 2 4 2" xfId="39784"/>
    <cellStyle name="Total 22 4 2 5" xfId="29003"/>
    <cellStyle name="Total 22 4 2_Table 2A-1_EFT (Annual)" xfId="8825"/>
    <cellStyle name="Total 22 4 3" xfId="4820"/>
    <cellStyle name="Total 22 4 3 2" xfId="13080"/>
    <cellStyle name="Total 22 4 3 2 2" xfId="25086"/>
    <cellStyle name="Total 22 4 3 2 2 2" xfId="46272"/>
    <cellStyle name="Total 22 4 3 2 3" xfId="35668"/>
    <cellStyle name="Total 22 4 3 3" xfId="19973"/>
    <cellStyle name="Total 22 4 3 3 2" xfId="41160"/>
    <cellStyle name="Total 22 4 3 4" xfId="30477"/>
    <cellStyle name="Total 22 4 3_Table 2A-1_EFT (Annual)" xfId="8827"/>
    <cellStyle name="Total 22 4 4" xfId="10424"/>
    <cellStyle name="Total 22 4 4 2" xfId="22540"/>
    <cellStyle name="Total 22 4 4 2 2" xfId="43726"/>
    <cellStyle name="Total 22 4 4 3" xfId="33122"/>
    <cellStyle name="Total 22 4 5" xfId="17427"/>
    <cellStyle name="Total 22 4 5 2" xfId="38614"/>
    <cellStyle name="Total 22 4 6" xfId="27734"/>
    <cellStyle name="Total 22 4_Table 2A-1_EFT (Annual)" xfId="8824"/>
    <cellStyle name="Total 22 5" xfId="808"/>
    <cellStyle name="Total 22 5 2" xfId="4369"/>
    <cellStyle name="Total 22 5 2 2" xfId="12649"/>
    <cellStyle name="Total 22 5 2 2 2" xfId="24666"/>
    <cellStyle name="Total 22 5 2 2 2 2" xfId="45852"/>
    <cellStyle name="Total 22 5 2 2 3" xfId="35248"/>
    <cellStyle name="Total 22 5 2 3" xfId="19553"/>
    <cellStyle name="Total 22 5 2 3 2" xfId="40740"/>
    <cellStyle name="Total 22 5 2 4" xfId="30026"/>
    <cellStyle name="Total 22 5 2_Table 2A-1_EFT (Annual)" xfId="8829"/>
    <cellStyle name="Total 22 5 3" xfId="9997"/>
    <cellStyle name="Total 22 5 3 2" xfId="22120"/>
    <cellStyle name="Total 22 5 3 2 2" xfId="43306"/>
    <cellStyle name="Total 22 5 3 3" xfId="32702"/>
    <cellStyle name="Total 22 5 4" xfId="17007"/>
    <cellStyle name="Total 22 5 4 2" xfId="38194"/>
    <cellStyle name="Total 22 5 5" xfId="27283"/>
    <cellStyle name="Total 22 5_Table 2A-1_EFT (Annual)" xfId="8828"/>
    <cellStyle name="Total 22 6" xfId="1998"/>
    <cellStyle name="Total 22 6 2" xfId="5559"/>
    <cellStyle name="Total 22 6 2 2" xfId="13774"/>
    <cellStyle name="Total 22 6 2 2 2" xfId="25762"/>
    <cellStyle name="Total 22 6 2 2 2 2" xfId="46948"/>
    <cellStyle name="Total 22 6 2 2 3" xfId="36344"/>
    <cellStyle name="Total 22 6 2 3" xfId="20649"/>
    <cellStyle name="Total 22 6 2 3 2" xfId="41836"/>
    <cellStyle name="Total 22 6 2 4" xfId="31216"/>
    <cellStyle name="Total 22 6 2_Table 2A-1_EFT (Annual)" xfId="8831"/>
    <cellStyle name="Total 22 6 3" xfId="11118"/>
    <cellStyle name="Total 22 6 3 2" xfId="23216"/>
    <cellStyle name="Total 22 6 3 2 2" xfId="44402"/>
    <cellStyle name="Total 22 6 3 3" xfId="33798"/>
    <cellStyle name="Total 22 6 4" xfId="18103"/>
    <cellStyle name="Total 22 6 4 2" xfId="39290"/>
    <cellStyle name="Total 22 6 5" xfId="28473"/>
    <cellStyle name="Total 22 6_Table 2A-1_EFT (Annual)" xfId="8830"/>
    <cellStyle name="Total 22 7" xfId="3800"/>
    <cellStyle name="Total 22 7 2" xfId="12168"/>
    <cellStyle name="Total 22 7 2 2" xfId="24198"/>
    <cellStyle name="Total 22 7 2 2 2" xfId="45384"/>
    <cellStyle name="Total 22 7 2 3" xfId="34780"/>
    <cellStyle name="Total 22 7 3" xfId="19085"/>
    <cellStyle name="Total 22 7 3 2" xfId="40272"/>
    <cellStyle name="Total 22 7 4" xfId="29509"/>
    <cellStyle name="Total 22 7_Table 2A-1_EFT (Annual)" xfId="8832"/>
    <cellStyle name="Total 22 8" xfId="9487"/>
    <cellStyle name="Total 22 8 2" xfId="21652"/>
    <cellStyle name="Total 22 8 2 2" xfId="42838"/>
    <cellStyle name="Total 22 8 3" xfId="32234"/>
    <cellStyle name="Total 22 9" xfId="16539"/>
    <cellStyle name="Total 22 9 2" xfId="37726"/>
    <cellStyle name="Total 22_Table 2A-1_EFT (Annual)" xfId="3550"/>
    <cellStyle name="Total 23" xfId="215"/>
    <cellStyle name="Total 23 10" xfId="26770"/>
    <cellStyle name="Total 23 2" xfId="608"/>
    <cellStyle name="Total 23 2 2" xfId="1585"/>
    <cellStyle name="Total 23 2 2 2" xfId="2855"/>
    <cellStyle name="Total 23 2 2 2 2" xfId="6416"/>
    <cellStyle name="Total 23 2 2 2 2 2" xfId="14610"/>
    <cellStyle name="Total 23 2 2 2 2 2 2" xfId="26582"/>
    <cellStyle name="Total 23 2 2 2 2 2 2 2" xfId="47768"/>
    <cellStyle name="Total 23 2 2 2 2 2 3" xfId="37164"/>
    <cellStyle name="Total 23 2 2 2 2 3" xfId="21469"/>
    <cellStyle name="Total 23 2 2 2 2 3 2" xfId="42656"/>
    <cellStyle name="Total 23 2 2 2 2 4" xfId="32072"/>
    <cellStyle name="Total 23 2 2 2 2_Table 2A-1_EFT (Annual)" xfId="8835"/>
    <cellStyle name="Total 23 2 2 2 3" xfId="11952"/>
    <cellStyle name="Total 23 2 2 2 3 2" xfId="24036"/>
    <cellStyle name="Total 23 2 2 2 3 2 2" xfId="45222"/>
    <cellStyle name="Total 23 2 2 2 3 3" xfId="34618"/>
    <cellStyle name="Total 23 2 2 2 4" xfId="18923"/>
    <cellStyle name="Total 23 2 2 2 4 2" xfId="40110"/>
    <cellStyle name="Total 23 2 2 2 5" xfId="29329"/>
    <cellStyle name="Total 23 2 2 2_Table 2A-1_EFT (Annual)" xfId="8834"/>
    <cellStyle name="Total 23 2 2 3" xfId="5146"/>
    <cellStyle name="Total 23 2 2 3 2" xfId="13406"/>
    <cellStyle name="Total 23 2 2 3 2 2" xfId="25412"/>
    <cellStyle name="Total 23 2 2 3 2 2 2" xfId="46598"/>
    <cellStyle name="Total 23 2 2 3 2 3" xfId="35994"/>
    <cellStyle name="Total 23 2 2 3 3" xfId="20299"/>
    <cellStyle name="Total 23 2 2 3 3 2" xfId="41486"/>
    <cellStyle name="Total 23 2 2 3 4" xfId="30803"/>
    <cellStyle name="Total 23 2 2 3_Table 2A-1_EFT (Annual)" xfId="8836"/>
    <cellStyle name="Total 23 2 2 4" xfId="10750"/>
    <cellStyle name="Total 23 2 2 4 2" xfId="22866"/>
    <cellStyle name="Total 23 2 2 4 2 2" xfId="44052"/>
    <cellStyle name="Total 23 2 2 4 3" xfId="33448"/>
    <cellStyle name="Total 23 2 2 5" xfId="17753"/>
    <cellStyle name="Total 23 2 2 5 2" xfId="38940"/>
    <cellStyle name="Total 23 2 2 6" xfId="28060"/>
    <cellStyle name="Total 23 2 2_Table 2A-1_EFT (Annual)" xfId="8833"/>
    <cellStyle name="Total 23 2 3" xfId="1103"/>
    <cellStyle name="Total 23 2 3 2" xfId="4664"/>
    <cellStyle name="Total 23 2 3 2 2" xfId="12924"/>
    <cellStyle name="Total 23 2 3 2 2 2" xfId="24930"/>
    <cellStyle name="Total 23 2 3 2 2 2 2" xfId="46116"/>
    <cellStyle name="Total 23 2 3 2 2 3" xfId="35512"/>
    <cellStyle name="Total 23 2 3 2 3" xfId="19817"/>
    <cellStyle name="Total 23 2 3 2 3 2" xfId="41004"/>
    <cellStyle name="Total 23 2 3 2 4" xfId="30321"/>
    <cellStyle name="Total 23 2 3 2_Table 2A-1_EFT (Annual)" xfId="8838"/>
    <cellStyle name="Total 23 2 3 3" xfId="10268"/>
    <cellStyle name="Total 23 2 3 3 2" xfId="22384"/>
    <cellStyle name="Total 23 2 3 3 2 2" xfId="43570"/>
    <cellStyle name="Total 23 2 3 3 3" xfId="32966"/>
    <cellStyle name="Total 23 2 3 4" xfId="17271"/>
    <cellStyle name="Total 23 2 3 4 2" xfId="38458"/>
    <cellStyle name="Total 23 2 3 5" xfId="27578"/>
    <cellStyle name="Total 23 2 3_Table 2A-1_EFT (Annual)" xfId="8837"/>
    <cellStyle name="Total 23 2 4" xfId="2324"/>
    <cellStyle name="Total 23 2 4 2" xfId="5885"/>
    <cellStyle name="Total 23 2 4 2 2" xfId="14100"/>
    <cellStyle name="Total 23 2 4 2 2 2" xfId="26088"/>
    <cellStyle name="Total 23 2 4 2 2 2 2" xfId="47274"/>
    <cellStyle name="Total 23 2 4 2 2 3" xfId="36670"/>
    <cellStyle name="Total 23 2 4 2 3" xfId="20975"/>
    <cellStyle name="Total 23 2 4 2 3 2" xfId="42162"/>
    <cellStyle name="Total 23 2 4 2 4" xfId="31542"/>
    <cellStyle name="Total 23 2 4 2_Table 2A-1_EFT (Annual)" xfId="8840"/>
    <cellStyle name="Total 23 2 4 3" xfId="11444"/>
    <cellStyle name="Total 23 2 4 3 2" xfId="23542"/>
    <cellStyle name="Total 23 2 4 3 2 2" xfId="44728"/>
    <cellStyle name="Total 23 2 4 3 3" xfId="34124"/>
    <cellStyle name="Total 23 2 4 4" xfId="18429"/>
    <cellStyle name="Total 23 2 4 4 2" xfId="39616"/>
    <cellStyle name="Total 23 2 4 5" xfId="28799"/>
    <cellStyle name="Total 23 2 4_Table 2A-1_EFT (Annual)" xfId="8839"/>
    <cellStyle name="Total 23 2 5" xfId="4178"/>
    <cellStyle name="Total 23 2 5 2" xfId="12502"/>
    <cellStyle name="Total 23 2 5 2 2" xfId="24524"/>
    <cellStyle name="Total 23 2 5 2 2 2" xfId="45710"/>
    <cellStyle name="Total 23 2 5 2 3" xfId="35106"/>
    <cellStyle name="Total 23 2 5 3" xfId="19411"/>
    <cellStyle name="Total 23 2 5 3 2" xfId="40598"/>
    <cellStyle name="Total 23 2 5 4" xfId="29866"/>
    <cellStyle name="Total 23 2 5_Table 2A-1_EFT (Annual)" xfId="8841"/>
    <cellStyle name="Total 23 2 6" xfId="9841"/>
    <cellStyle name="Total 23 2 6 2" xfId="21978"/>
    <cellStyle name="Total 23 2 6 2 2" xfId="43164"/>
    <cellStyle name="Total 23 2 6 3" xfId="32560"/>
    <cellStyle name="Total 23 2 7" xfId="16865"/>
    <cellStyle name="Total 23 2 7 2" xfId="38052"/>
    <cellStyle name="Total 23 2 8" xfId="27123"/>
    <cellStyle name="Total 23 2_Table 2A-1_EFT (Annual)" xfId="3554"/>
    <cellStyle name="Total 23 3" xfId="443"/>
    <cellStyle name="Total 23 3 2" xfId="1426"/>
    <cellStyle name="Total 23 3 2 2" xfId="2696"/>
    <cellStyle name="Total 23 3 2 2 2" xfId="6257"/>
    <cellStyle name="Total 23 3 2 2 2 2" xfId="14451"/>
    <cellStyle name="Total 23 3 2 2 2 2 2" xfId="26423"/>
    <cellStyle name="Total 23 3 2 2 2 2 2 2" xfId="47609"/>
    <cellStyle name="Total 23 3 2 2 2 2 3" xfId="37005"/>
    <cellStyle name="Total 23 3 2 2 2 3" xfId="21310"/>
    <cellStyle name="Total 23 3 2 2 2 3 2" xfId="42497"/>
    <cellStyle name="Total 23 3 2 2 2 4" xfId="31913"/>
    <cellStyle name="Total 23 3 2 2 2_Table 2A-1_EFT (Annual)" xfId="8844"/>
    <cellStyle name="Total 23 3 2 2 3" xfId="11793"/>
    <cellStyle name="Total 23 3 2 2 3 2" xfId="23877"/>
    <cellStyle name="Total 23 3 2 2 3 2 2" xfId="45063"/>
    <cellStyle name="Total 23 3 2 2 3 3" xfId="34459"/>
    <cellStyle name="Total 23 3 2 2 4" xfId="18764"/>
    <cellStyle name="Total 23 3 2 2 4 2" xfId="39951"/>
    <cellStyle name="Total 23 3 2 2 5" xfId="29170"/>
    <cellStyle name="Total 23 3 2 2_Table 2A-1_EFT (Annual)" xfId="8843"/>
    <cellStyle name="Total 23 3 2 3" xfId="4987"/>
    <cellStyle name="Total 23 3 2 3 2" xfId="13247"/>
    <cellStyle name="Total 23 3 2 3 2 2" xfId="25253"/>
    <cellStyle name="Total 23 3 2 3 2 2 2" xfId="46439"/>
    <cellStyle name="Total 23 3 2 3 2 3" xfId="35835"/>
    <cellStyle name="Total 23 3 2 3 3" xfId="20140"/>
    <cellStyle name="Total 23 3 2 3 3 2" xfId="41327"/>
    <cellStyle name="Total 23 3 2 3 4" xfId="30644"/>
    <cellStyle name="Total 23 3 2 3_Table 2A-1_EFT (Annual)" xfId="8845"/>
    <cellStyle name="Total 23 3 2 4" xfId="10591"/>
    <cellStyle name="Total 23 3 2 4 2" xfId="22707"/>
    <cellStyle name="Total 23 3 2 4 2 2" xfId="43893"/>
    <cellStyle name="Total 23 3 2 4 3" xfId="33289"/>
    <cellStyle name="Total 23 3 2 5" xfId="17594"/>
    <cellStyle name="Total 23 3 2 5 2" xfId="38781"/>
    <cellStyle name="Total 23 3 2 6" xfId="27901"/>
    <cellStyle name="Total 23 3 2_Table 2A-1_EFT (Annual)" xfId="8842"/>
    <cellStyle name="Total 23 3 3" xfId="968"/>
    <cellStyle name="Total 23 3 3 2" xfId="4529"/>
    <cellStyle name="Total 23 3 3 2 2" xfId="12791"/>
    <cellStyle name="Total 23 3 3 2 2 2" xfId="24801"/>
    <cellStyle name="Total 23 3 3 2 2 2 2" xfId="45987"/>
    <cellStyle name="Total 23 3 3 2 2 3" xfId="35383"/>
    <cellStyle name="Total 23 3 3 2 3" xfId="19688"/>
    <cellStyle name="Total 23 3 3 2 3 2" xfId="40875"/>
    <cellStyle name="Total 23 3 3 2 4" xfId="30186"/>
    <cellStyle name="Total 23 3 3 2_Table 2A-1_EFT (Annual)" xfId="8847"/>
    <cellStyle name="Total 23 3 3 3" xfId="10138"/>
    <cellStyle name="Total 23 3 3 3 2" xfId="22255"/>
    <cellStyle name="Total 23 3 3 3 2 2" xfId="43441"/>
    <cellStyle name="Total 23 3 3 3 3" xfId="32837"/>
    <cellStyle name="Total 23 3 3 4" xfId="17142"/>
    <cellStyle name="Total 23 3 3 4 2" xfId="38329"/>
    <cellStyle name="Total 23 3 3 5" xfId="27443"/>
    <cellStyle name="Total 23 3 3_Table 2A-1_EFT (Annual)" xfId="8846"/>
    <cellStyle name="Total 23 3 4" xfId="2165"/>
    <cellStyle name="Total 23 3 4 2" xfId="5726"/>
    <cellStyle name="Total 23 3 4 2 2" xfId="13941"/>
    <cellStyle name="Total 23 3 4 2 2 2" xfId="25929"/>
    <cellStyle name="Total 23 3 4 2 2 2 2" xfId="47115"/>
    <cellStyle name="Total 23 3 4 2 2 3" xfId="36511"/>
    <cellStyle name="Total 23 3 4 2 3" xfId="20816"/>
    <cellStyle name="Total 23 3 4 2 3 2" xfId="42003"/>
    <cellStyle name="Total 23 3 4 2 4" xfId="31383"/>
    <cellStyle name="Total 23 3 4 2_Table 2A-1_EFT (Annual)" xfId="8849"/>
    <cellStyle name="Total 23 3 4 3" xfId="11285"/>
    <cellStyle name="Total 23 3 4 3 2" xfId="23383"/>
    <cellStyle name="Total 23 3 4 3 2 2" xfId="44569"/>
    <cellStyle name="Total 23 3 4 3 3" xfId="33965"/>
    <cellStyle name="Total 23 3 4 4" xfId="18270"/>
    <cellStyle name="Total 23 3 4 4 2" xfId="39457"/>
    <cellStyle name="Total 23 3 4 5" xfId="28640"/>
    <cellStyle name="Total 23 3 4_Table 2A-1_EFT (Annual)" xfId="8848"/>
    <cellStyle name="Total 23 3 5" xfId="4013"/>
    <cellStyle name="Total 23 3 5 2" xfId="12341"/>
    <cellStyle name="Total 23 3 5 2 2" xfId="24365"/>
    <cellStyle name="Total 23 3 5 2 2 2" xfId="45551"/>
    <cellStyle name="Total 23 3 5 2 3" xfId="34947"/>
    <cellStyle name="Total 23 3 5 3" xfId="19252"/>
    <cellStyle name="Total 23 3 5 3 2" xfId="40439"/>
    <cellStyle name="Total 23 3 5 4" xfId="29701"/>
    <cellStyle name="Total 23 3 5_Table 2A-1_EFT (Annual)" xfId="8850"/>
    <cellStyle name="Total 23 3 6" xfId="9678"/>
    <cellStyle name="Total 23 3 6 2" xfId="21819"/>
    <cellStyle name="Total 23 3 6 2 2" xfId="43005"/>
    <cellStyle name="Total 23 3 6 3" xfId="32401"/>
    <cellStyle name="Total 23 3 7" xfId="16706"/>
    <cellStyle name="Total 23 3 7 2" xfId="37893"/>
    <cellStyle name="Total 23 3 8" xfId="26958"/>
    <cellStyle name="Total 23 3_Table 2A-1_EFT (Annual)" xfId="3555"/>
    <cellStyle name="Total 23 4" xfId="1263"/>
    <cellStyle name="Total 23 4 2" xfId="2533"/>
    <cellStyle name="Total 23 4 2 2" xfId="6094"/>
    <cellStyle name="Total 23 4 2 2 2" xfId="14288"/>
    <cellStyle name="Total 23 4 2 2 2 2" xfId="26260"/>
    <cellStyle name="Total 23 4 2 2 2 2 2" xfId="47446"/>
    <cellStyle name="Total 23 4 2 2 2 3" xfId="36842"/>
    <cellStyle name="Total 23 4 2 2 3" xfId="21147"/>
    <cellStyle name="Total 23 4 2 2 3 2" xfId="42334"/>
    <cellStyle name="Total 23 4 2 2 4" xfId="31750"/>
    <cellStyle name="Total 23 4 2 2_Table 2A-1_EFT (Annual)" xfId="8853"/>
    <cellStyle name="Total 23 4 2 3" xfId="11630"/>
    <cellStyle name="Total 23 4 2 3 2" xfId="23714"/>
    <cellStyle name="Total 23 4 2 3 2 2" xfId="44900"/>
    <cellStyle name="Total 23 4 2 3 3" xfId="34296"/>
    <cellStyle name="Total 23 4 2 4" xfId="18601"/>
    <cellStyle name="Total 23 4 2 4 2" xfId="39788"/>
    <cellStyle name="Total 23 4 2 5" xfId="29007"/>
    <cellStyle name="Total 23 4 2_Table 2A-1_EFT (Annual)" xfId="8852"/>
    <cellStyle name="Total 23 4 3" xfId="4824"/>
    <cellStyle name="Total 23 4 3 2" xfId="13084"/>
    <cellStyle name="Total 23 4 3 2 2" xfId="25090"/>
    <cellStyle name="Total 23 4 3 2 2 2" xfId="46276"/>
    <cellStyle name="Total 23 4 3 2 3" xfId="35672"/>
    <cellStyle name="Total 23 4 3 3" xfId="19977"/>
    <cellStyle name="Total 23 4 3 3 2" xfId="41164"/>
    <cellStyle name="Total 23 4 3 4" xfId="30481"/>
    <cellStyle name="Total 23 4 3_Table 2A-1_EFT (Annual)" xfId="8854"/>
    <cellStyle name="Total 23 4 4" xfId="10428"/>
    <cellStyle name="Total 23 4 4 2" xfId="22544"/>
    <cellStyle name="Total 23 4 4 2 2" xfId="43730"/>
    <cellStyle name="Total 23 4 4 3" xfId="33126"/>
    <cellStyle name="Total 23 4 5" xfId="17431"/>
    <cellStyle name="Total 23 4 5 2" xfId="38618"/>
    <cellStyle name="Total 23 4 6" xfId="27738"/>
    <cellStyle name="Total 23 4_Table 2A-1_EFT (Annual)" xfId="8851"/>
    <cellStyle name="Total 23 5" xfId="812"/>
    <cellStyle name="Total 23 5 2" xfId="4373"/>
    <cellStyle name="Total 23 5 2 2" xfId="12653"/>
    <cellStyle name="Total 23 5 2 2 2" xfId="24670"/>
    <cellStyle name="Total 23 5 2 2 2 2" xfId="45856"/>
    <cellStyle name="Total 23 5 2 2 3" xfId="35252"/>
    <cellStyle name="Total 23 5 2 3" xfId="19557"/>
    <cellStyle name="Total 23 5 2 3 2" xfId="40744"/>
    <cellStyle name="Total 23 5 2 4" xfId="30030"/>
    <cellStyle name="Total 23 5 2_Table 2A-1_EFT (Annual)" xfId="8856"/>
    <cellStyle name="Total 23 5 3" xfId="10001"/>
    <cellStyle name="Total 23 5 3 2" xfId="22124"/>
    <cellStyle name="Total 23 5 3 2 2" xfId="43310"/>
    <cellStyle name="Total 23 5 3 3" xfId="32706"/>
    <cellStyle name="Total 23 5 4" xfId="17011"/>
    <cellStyle name="Total 23 5 4 2" xfId="38198"/>
    <cellStyle name="Total 23 5 5" xfId="27287"/>
    <cellStyle name="Total 23 5_Table 2A-1_EFT (Annual)" xfId="8855"/>
    <cellStyle name="Total 23 6" xfId="2002"/>
    <cellStyle name="Total 23 6 2" xfId="5563"/>
    <cellStyle name="Total 23 6 2 2" xfId="13778"/>
    <cellStyle name="Total 23 6 2 2 2" xfId="25766"/>
    <cellStyle name="Total 23 6 2 2 2 2" xfId="46952"/>
    <cellStyle name="Total 23 6 2 2 3" xfId="36348"/>
    <cellStyle name="Total 23 6 2 3" xfId="20653"/>
    <cellStyle name="Total 23 6 2 3 2" xfId="41840"/>
    <cellStyle name="Total 23 6 2 4" xfId="31220"/>
    <cellStyle name="Total 23 6 2_Table 2A-1_EFT (Annual)" xfId="8858"/>
    <cellStyle name="Total 23 6 3" xfId="11122"/>
    <cellStyle name="Total 23 6 3 2" xfId="23220"/>
    <cellStyle name="Total 23 6 3 2 2" xfId="44406"/>
    <cellStyle name="Total 23 6 3 3" xfId="33802"/>
    <cellStyle name="Total 23 6 4" xfId="18107"/>
    <cellStyle name="Total 23 6 4 2" xfId="39294"/>
    <cellStyle name="Total 23 6 5" xfId="28477"/>
    <cellStyle name="Total 23 6_Table 2A-1_EFT (Annual)" xfId="8857"/>
    <cellStyle name="Total 23 7" xfId="3804"/>
    <cellStyle name="Total 23 7 2" xfId="12172"/>
    <cellStyle name="Total 23 7 2 2" xfId="24202"/>
    <cellStyle name="Total 23 7 2 2 2" xfId="45388"/>
    <cellStyle name="Total 23 7 2 3" xfId="34784"/>
    <cellStyle name="Total 23 7 3" xfId="19089"/>
    <cellStyle name="Total 23 7 3 2" xfId="40276"/>
    <cellStyle name="Total 23 7 4" xfId="29513"/>
    <cellStyle name="Total 23 7_Table 2A-1_EFT (Annual)" xfId="8859"/>
    <cellStyle name="Total 23 8" xfId="9491"/>
    <cellStyle name="Total 23 8 2" xfId="21656"/>
    <cellStyle name="Total 23 8 2 2" xfId="42842"/>
    <cellStyle name="Total 23 8 3" xfId="32238"/>
    <cellStyle name="Total 23 9" xfId="16543"/>
    <cellStyle name="Total 23 9 2" xfId="37730"/>
    <cellStyle name="Total 23_Table 2A-1_EFT (Annual)" xfId="3553"/>
    <cellStyle name="Total 24" xfId="198"/>
    <cellStyle name="Total 24 10" xfId="26753"/>
    <cellStyle name="Total 24 2" xfId="591"/>
    <cellStyle name="Total 24 2 2" xfId="1568"/>
    <cellStyle name="Total 24 2 2 2" xfId="2838"/>
    <cellStyle name="Total 24 2 2 2 2" xfId="6399"/>
    <cellStyle name="Total 24 2 2 2 2 2" xfId="14593"/>
    <cellStyle name="Total 24 2 2 2 2 2 2" xfId="26565"/>
    <cellStyle name="Total 24 2 2 2 2 2 2 2" xfId="47751"/>
    <cellStyle name="Total 24 2 2 2 2 2 3" xfId="37147"/>
    <cellStyle name="Total 24 2 2 2 2 3" xfId="21452"/>
    <cellStyle name="Total 24 2 2 2 2 3 2" xfId="42639"/>
    <cellStyle name="Total 24 2 2 2 2 4" xfId="32055"/>
    <cellStyle name="Total 24 2 2 2 2_Table 2A-1_EFT (Annual)" xfId="8862"/>
    <cellStyle name="Total 24 2 2 2 3" xfId="11935"/>
    <cellStyle name="Total 24 2 2 2 3 2" xfId="24019"/>
    <cellStyle name="Total 24 2 2 2 3 2 2" xfId="45205"/>
    <cellStyle name="Total 24 2 2 2 3 3" xfId="34601"/>
    <cellStyle name="Total 24 2 2 2 4" xfId="18906"/>
    <cellStyle name="Total 24 2 2 2 4 2" xfId="40093"/>
    <cellStyle name="Total 24 2 2 2 5" xfId="29312"/>
    <cellStyle name="Total 24 2 2 2_Table 2A-1_EFT (Annual)" xfId="8861"/>
    <cellStyle name="Total 24 2 2 3" xfId="5129"/>
    <cellStyle name="Total 24 2 2 3 2" xfId="13389"/>
    <cellStyle name="Total 24 2 2 3 2 2" xfId="25395"/>
    <cellStyle name="Total 24 2 2 3 2 2 2" xfId="46581"/>
    <cellStyle name="Total 24 2 2 3 2 3" xfId="35977"/>
    <cellStyle name="Total 24 2 2 3 3" xfId="20282"/>
    <cellStyle name="Total 24 2 2 3 3 2" xfId="41469"/>
    <cellStyle name="Total 24 2 2 3 4" xfId="30786"/>
    <cellStyle name="Total 24 2 2 3_Table 2A-1_EFT (Annual)" xfId="8863"/>
    <cellStyle name="Total 24 2 2 4" xfId="10733"/>
    <cellStyle name="Total 24 2 2 4 2" xfId="22849"/>
    <cellStyle name="Total 24 2 2 4 2 2" xfId="44035"/>
    <cellStyle name="Total 24 2 2 4 3" xfId="33431"/>
    <cellStyle name="Total 24 2 2 5" xfId="17736"/>
    <cellStyle name="Total 24 2 2 5 2" xfId="38923"/>
    <cellStyle name="Total 24 2 2 6" xfId="28043"/>
    <cellStyle name="Total 24 2 2_Table 2A-1_EFT (Annual)" xfId="8860"/>
    <cellStyle name="Total 24 2 3" xfId="1089"/>
    <cellStyle name="Total 24 2 3 2" xfId="4650"/>
    <cellStyle name="Total 24 2 3 2 2" xfId="12910"/>
    <cellStyle name="Total 24 2 3 2 2 2" xfId="24916"/>
    <cellStyle name="Total 24 2 3 2 2 2 2" xfId="46102"/>
    <cellStyle name="Total 24 2 3 2 2 3" xfId="35498"/>
    <cellStyle name="Total 24 2 3 2 3" xfId="19803"/>
    <cellStyle name="Total 24 2 3 2 3 2" xfId="40990"/>
    <cellStyle name="Total 24 2 3 2 4" xfId="30307"/>
    <cellStyle name="Total 24 2 3 2_Table 2A-1_EFT (Annual)" xfId="8865"/>
    <cellStyle name="Total 24 2 3 3" xfId="10254"/>
    <cellStyle name="Total 24 2 3 3 2" xfId="22370"/>
    <cellStyle name="Total 24 2 3 3 2 2" xfId="43556"/>
    <cellStyle name="Total 24 2 3 3 3" xfId="32952"/>
    <cellStyle name="Total 24 2 3 4" xfId="17257"/>
    <cellStyle name="Total 24 2 3 4 2" xfId="38444"/>
    <cellStyle name="Total 24 2 3 5" xfId="27564"/>
    <cellStyle name="Total 24 2 3_Table 2A-1_EFT (Annual)" xfId="8864"/>
    <cellStyle name="Total 24 2 4" xfId="2307"/>
    <cellStyle name="Total 24 2 4 2" xfId="5868"/>
    <cellStyle name="Total 24 2 4 2 2" xfId="14083"/>
    <cellStyle name="Total 24 2 4 2 2 2" xfId="26071"/>
    <cellStyle name="Total 24 2 4 2 2 2 2" xfId="47257"/>
    <cellStyle name="Total 24 2 4 2 2 3" xfId="36653"/>
    <cellStyle name="Total 24 2 4 2 3" xfId="20958"/>
    <cellStyle name="Total 24 2 4 2 3 2" xfId="42145"/>
    <cellStyle name="Total 24 2 4 2 4" xfId="31525"/>
    <cellStyle name="Total 24 2 4 2_Table 2A-1_EFT (Annual)" xfId="8867"/>
    <cellStyle name="Total 24 2 4 3" xfId="11427"/>
    <cellStyle name="Total 24 2 4 3 2" xfId="23525"/>
    <cellStyle name="Total 24 2 4 3 2 2" xfId="44711"/>
    <cellStyle name="Total 24 2 4 3 3" xfId="34107"/>
    <cellStyle name="Total 24 2 4 4" xfId="18412"/>
    <cellStyle name="Total 24 2 4 4 2" xfId="39599"/>
    <cellStyle name="Total 24 2 4 5" xfId="28782"/>
    <cellStyle name="Total 24 2 4_Table 2A-1_EFT (Annual)" xfId="8866"/>
    <cellStyle name="Total 24 2 5" xfId="4161"/>
    <cellStyle name="Total 24 2 5 2" xfId="12485"/>
    <cellStyle name="Total 24 2 5 2 2" xfId="24507"/>
    <cellStyle name="Total 24 2 5 2 2 2" xfId="45693"/>
    <cellStyle name="Total 24 2 5 2 3" xfId="35089"/>
    <cellStyle name="Total 24 2 5 3" xfId="19394"/>
    <cellStyle name="Total 24 2 5 3 2" xfId="40581"/>
    <cellStyle name="Total 24 2 5 4" xfId="29849"/>
    <cellStyle name="Total 24 2 5_Table 2A-1_EFT (Annual)" xfId="8868"/>
    <cellStyle name="Total 24 2 6" xfId="9824"/>
    <cellStyle name="Total 24 2 6 2" xfId="21961"/>
    <cellStyle name="Total 24 2 6 2 2" xfId="43147"/>
    <cellStyle name="Total 24 2 6 3" xfId="32543"/>
    <cellStyle name="Total 24 2 7" xfId="16848"/>
    <cellStyle name="Total 24 2 7 2" xfId="38035"/>
    <cellStyle name="Total 24 2 8" xfId="27106"/>
    <cellStyle name="Total 24 2_Table 2A-1_EFT (Annual)" xfId="3557"/>
    <cellStyle name="Total 24 3" xfId="427"/>
    <cellStyle name="Total 24 3 2" xfId="1410"/>
    <cellStyle name="Total 24 3 2 2" xfId="2680"/>
    <cellStyle name="Total 24 3 2 2 2" xfId="6241"/>
    <cellStyle name="Total 24 3 2 2 2 2" xfId="14435"/>
    <cellStyle name="Total 24 3 2 2 2 2 2" xfId="26407"/>
    <cellStyle name="Total 24 3 2 2 2 2 2 2" xfId="47593"/>
    <cellStyle name="Total 24 3 2 2 2 2 3" xfId="36989"/>
    <cellStyle name="Total 24 3 2 2 2 3" xfId="21294"/>
    <cellStyle name="Total 24 3 2 2 2 3 2" xfId="42481"/>
    <cellStyle name="Total 24 3 2 2 2 4" xfId="31897"/>
    <cellStyle name="Total 24 3 2 2 2_Table 2A-1_EFT (Annual)" xfId="8871"/>
    <cellStyle name="Total 24 3 2 2 3" xfId="11777"/>
    <cellStyle name="Total 24 3 2 2 3 2" xfId="23861"/>
    <cellStyle name="Total 24 3 2 2 3 2 2" xfId="45047"/>
    <cellStyle name="Total 24 3 2 2 3 3" xfId="34443"/>
    <cellStyle name="Total 24 3 2 2 4" xfId="18748"/>
    <cellStyle name="Total 24 3 2 2 4 2" xfId="39935"/>
    <cellStyle name="Total 24 3 2 2 5" xfId="29154"/>
    <cellStyle name="Total 24 3 2 2_Table 2A-1_EFT (Annual)" xfId="8870"/>
    <cellStyle name="Total 24 3 2 3" xfId="4971"/>
    <cellStyle name="Total 24 3 2 3 2" xfId="13231"/>
    <cellStyle name="Total 24 3 2 3 2 2" xfId="25237"/>
    <cellStyle name="Total 24 3 2 3 2 2 2" xfId="46423"/>
    <cellStyle name="Total 24 3 2 3 2 3" xfId="35819"/>
    <cellStyle name="Total 24 3 2 3 3" xfId="20124"/>
    <cellStyle name="Total 24 3 2 3 3 2" xfId="41311"/>
    <cellStyle name="Total 24 3 2 3 4" xfId="30628"/>
    <cellStyle name="Total 24 3 2 3_Table 2A-1_EFT (Annual)" xfId="8872"/>
    <cellStyle name="Total 24 3 2 4" xfId="10575"/>
    <cellStyle name="Total 24 3 2 4 2" xfId="22691"/>
    <cellStyle name="Total 24 3 2 4 2 2" xfId="43877"/>
    <cellStyle name="Total 24 3 2 4 3" xfId="33273"/>
    <cellStyle name="Total 24 3 2 5" xfId="17578"/>
    <cellStyle name="Total 24 3 2 5 2" xfId="38765"/>
    <cellStyle name="Total 24 3 2 6" xfId="27885"/>
    <cellStyle name="Total 24 3 2_Table 2A-1_EFT (Annual)" xfId="8869"/>
    <cellStyle name="Total 24 3 3" xfId="955"/>
    <cellStyle name="Total 24 3 3 2" xfId="4516"/>
    <cellStyle name="Total 24 3 3 2 2" xfId="12778"/>
    <cellStyle name="Total 24 3 3 2 2 2" xfId="24788"/>
    <cellStyle name="Total 24 3 3 2 2 2 2" xfId="45974"/>
    <cellStyle name="Total 24 3 3 2 2 3" xfId="35370"/>
    <cellStyle name="Total 24 3 3 2 3" xfId="19675"/>
    <cellStyle name="Total 24 3 3 2 3 2" xfId="40862"/>
    <cellStyle name="Total 24 3 3 2 4" xfId="30173"/>
    <cellStyle name="Total 24 3 3 2_Table 2A-1_EFT (Annual)" xfId="8874"/>
    <cellStyle name="Total 24 3 3 3" xfId="10125"/>
    <cellStyle name="Total 24 3 3 3 2" xfId="22242"/>
    <cellStyle name="Total 24 3 3 3 2 2" xfId="43428"/>
    <cellStyle name="Total 24 3 3 3 3" xfId="32824"/>
    <cellStyle name="Total 24 3 3 4" xfId="17129"/>
    <cellStyle name="Total 24 3 3 4 2" xfId="38316"/>
    <cellStyle name="Total 24 3 3 5" xfId="27430"/>
    <cellStyle name="Total 24 3 3_Table 2A-1_EFT (Annual)" xfId="8873"/>
    <cellStyle name="Total 24 3 4" xfId="2149"/>
    <cellStyle name="Total 24 3 4 2" xfId="5710"/>
    <cellStyle name="Total 24 3 4 2 2" xfId="13925"/>
    <cellStyle name="Total 24 3 4 2 2 2" xfId="25913"/>
    <cellStyle name="Total 24 3 4 2 2 2 2" xfId="47099"/>
    <cellStyle name="Total 24 3 4 2 2 3" xfId="36495"/>
    <cellStyle name="Total 24 3 4 2 3" xfId="20800"/>
    <cellStyle name="Total 24 3 4 2 3 2" xfId="41987"/>
    <cellStyle name="Total 24 3 4 2 4" xfId="31367"/>
    <cellStyle name="Total 24 3 4 2_Table 2A-1_EFT (Annual)" xfId="8876"/>
    <cellStyle name="Total 24 3 4 3" xfId="11269"/>
    <cellStyle name="Total 24 3 4 3 2" xfId="23367"/>
    <cellStyle name="Total 24 3 4 3 2 2" xfId="44553"/>
    <cellStyle name="Total 24 3 4 3 3" xfId="33949"/>
    <cellStyle name="Total 24 3 4 4" xfId="18254"/>
    <cellStyle name="Total 24 3 4 4 2" xfId="39441"/>
    <cellStyle name="Total 24 3 4 5" xfId="28624"/>
    <cellStyle name="Total 24 3 4_Table 2A-1_EFT (Annual)" xfId="8875"/>
    <cellStyle name="Total 24 3 5" xfId="3997"/>
    <cellStyle name="Total 24 3 5 2" xfId="12325"/>
    <cellStyle name="Total 24 3 5 2 2" xfId="24349"/>
    <cellStyle name="Total 24 3 5 2 2 2" xfId="45535"/>
    <cellStyle name="Total 24 3 5 2 3" xfId="34931"/>
    <cellStyle name="Total 24 3 5 3" xfId="19236"/>
    <cellStyle name="Total 24 3 5 3 2" xfId="40423"/>
    <cellStyle name="Total 24 3 5 4" xfId="29685"/>
    <cellStyle name="Total 24 3 5_Table 2A-1_EFT (Annual)" xfId="8877"/>
    <cellStyle name="Total 24 3 6" xfId="9662"/>
    <cellStyle name="Total 24 3 6 2" xfId="21803"/>
    <cellStyle name="Total 24 3 6 2 2" xfId="42989"/>
    <cellStyle name="Total 24 3 6 3" xfId="32385"/>
    <cellStyle name="Total 24 3 7" xfId="16690"/>
    <cellStyle name="Total 24 3 7 2" xfId="37877"/>
    <cellStyle name="Total 24 3 8" xfId="26942"/>
    <cellStyle name="Total 24 3_Table 2A-1_EFT (Annual)" xfId="3558"/>
    <cellStyle name="Total 24 4" xfId="1246"/>
    <cellStyle name="Total 24 4 2" xfId="2516"/>
    <cellStyle name="Total 24 4 2 2" xfId="6077"/>
    <cellStyle name="Total 24 4 2 2 2" xfId="14271"/>
    <cellStyle name="Total 24 4 2 2 2 2" xfId="26243"/>
    <cellStyle name="Total 24 4 2 2 2 2 2" xfId="47429"/>
    <cellStyle name="Total 24 4 2 2 2 3" xfId="36825"/>
    <cellStyle name="Total 24 4 2 2 3" xfId="21130"/>
    <cellStyle name="Total 24 4 2 2 3 2" xfId="42317"/>
    <cellStyle name="Total 24 4 2 2 4" xfId="31733"/>
    <cellStyle name="Total 24 4 2 2_Table 2A-1_EFT (Annual)" xfId="8880"/>
    <cellStyle name="Total 24 4 2 3" xfId="11613"/>
    <cellStyle name="Total 24 4 2 3 2" xfId="23697"/>
    <cellStyle name="Total 24 4 2 3 2 2" xfId="44883"/>
    <cellStyle name="Total 24 4 2 3 3" xfId="34279"/>
    <cellStyle name="Total 24 4 2 4" xfId="18584"/>
    <cellStyle name="Total 24 4 2 4 2" xfId="39771"/>
    <cellStyle name="Total 24 4 2 5" xfId="28990"/>
    <cellStyle name="Total 24 4 2_Table 2A-1_EFT (Annual)" xfId="8879"/>
    <cellStyle name="Total 24 4 3" xfId="4807"/>
    <cellStyle name="Total 24 4 3 2" xfId="13067"/>
    <cellStyle name="Total 24 4 3 2 2" xfId="25073"/>
    <cellStyle name="Total 24 4 3 2 2 2" xfId="46259"/>
    <cellStyle name="Total 24 4 3 2 3" xfId="35655"/>
    <cellStyle name="Total 24 4 3 3" xfId="19960"/>
    <cellStyle name="Total 24 4 3 3 2" xfId="41147"/>
    <cellStyle name="Total 24 4 3 4" xfId="30464"/>
    <cellStyle name="Total 24 4 3_Table 2A-1_EFT (Annual)" xfId="8881"/>
    <cellStyle name="Total 24 4 4" xfId="10411"/>
    <cellStyle name="Total 24 4 4 2" xfId="22527"/>
    <cellStyle name="Total 24 4 4 2 2" xfId="43713"/>
    <cellStyle name="Total 24 4 4 3" xfId="33109"/>
    <cellStyle name="Total 24 4 5" xfId="17414"/>
    <cellStyle name="Total 24 4 5 2" xfId="38601"/>
    <cellStyle name="Total 24 4 6" xfId="27721"/>
    <cellStyle name="Total 24 4_Table 2A-1_EFT (Annual)" xfId="8878"/>
    <cellStyle name="Total 24 5" xfId="798"/>
    <cellStyle name="Total 24 5 2" xfId="4359"/>
    <cellStyle name="Total 24 5 2 2" xfId="12639"/>
    <cellStyle name="Total 24 5 2 2 2" xfId="24656"/>
    <cellStyle name="Total 24 5 2 2 2 2" xfId="45842"/>
    <cellStyle name="Total 24 5 2 2 3" xfId="35238"/>
    <cellStyle name="Total 24 5 2 3" xfId="19543"/>
    <cellStyle name="Total 24 5 2 3 2" xfId="40730"/>
    <cellStyle name="Total 24 5 2 4" xfId="30016"/>
    <cellStyle name="Total 24 5 2_Table 2A-1_EFT (Annual)" xfId="8883"/>
    <cellStyle name="Total 24 5 3" xfId="9987"/>
    <cellStyle name="Total 24 5 3 2" xfId="22110"/>
    <cellStyle name="Total 24 5 3 2 2" xfId="43296"/>
    <cellStyle name="Total 24 5 3 3" xfId="32692"/>
    <cellStyle name="Total 24 5 4" xfId="16997"/>
    <cellStyle name="Total 24 5 4 2" xfId="38184"/>
    <cellStyle name="Total 24 5 5" xfId="27273"/>
    <cellStyle name="Total 24 5_Table 2A-1_EFT (Annual)" xfId="8882"/>
    <cellStyle name="Total 24 6" xfId="1985"/>
    <cellStyle name="Total 24 6 2" xfId="5546"/>
    <cellStyle name="Total 24 6 2 2" xfId="13761"/>
    <cellStyle name="Total 24 6 2 2 2" xfId="25749"/>
    <cellStyle name="Total 24 6 2 2 2 2" xfId="46935"/>
    <cellStyle name="Total 24 6 2 2 3" xfId="36331"/>
    <cellStyle name="Total 24 6 2 3" xfId="20636"/>
    <cellStyle name="Total 24 6 2 3 2" xfId="41823"/>
    <cellStyle name="Total 24 6 2 4" xfId="31203"/>
    <cellStyle name="Total 24 6 2_Table 2A-1_EFT (Annual)" xfId="8885"/>
    <cellStyle name="Total 24 6 3" xfId="11105"/>
    <cellStyle name="Total 24 6 3 2" xfId="23203"/>
    <cellStyle name="Total 24 6 3 2 2" xfId="44389"/>
    <cellStyle name="Total 24 6 3 3" xfId="33785"/>
    <cellStyle name="Total 24 6 4" xfId="18090"/>
    <cellStyle name="Total 24 6 4 2" xfId="39277"/>
    <cellStyle name="Total 24 6 5" xfId="28460"/>
    <cellStyle name="Total 24 6_Table 2A-1_EFT (Annual)" xfId="8884"/>
    <cellStyle name="Total 24 7" xfId="3787"/>
    <cellStyle name="Total 24 7 2" xfId="12155"/>
    <cellStyle name="Total 24 7 2 2" xfId="24185"/>
    <cellStyle name="Total 24 7 2 2 2" xfId="45371"/>
    <cellStyle name="Total 24 7 2 3" xfId="34767"/>
    <cellStyle name="Total 24 7 3" xfId="19072"/>
    <cellStyle name="Total 24 7 3 2" xfId="40259"/>
    <cellStyle name="Total 24 7 4" xfId="29496"/>
    <cellStyle name="Total 24 7_Table 2A-1_EFT (Annual)" xfId="8886"/>
    <cellStyle name="Total 24 8" xfId="9474"/>
    <cellStyle name="Total 24 8 2" xfId="21639"/>
    <cellStyle name="Total 24 8 2 2" xfId="42825"/>
    <cellStyle name="Total 24 8 3" xfId="32221"/>
    <cellStyle name="Total 24 9" xfId="16526"/>
    <cellStyle name="Total 24 9 2" xfId="37713"/>
    <cellStyle name="Total 24_Table 2A-1_EFT (Annual)" xfId="3556"/>
    <cellStyle name="Total 25" xfId="241"/>
    <cellStyle name="Total 25 10" xfId="26796"/>
    <cellStyle name="Total 25 2" xfId="628"/>
    <cellStyle name="Total 25 2 2" xfId="1605"/>
    <cellStyle name="Total 25 2 2 2" xfId="2875"/>
    <cellStyle name="Total 25 2 2 2 2" xfId="6436"/>
    <cellStyle name="Total 25 2 2 2 2 2" xfId="14630"/>
    <cellStyle name="Total 25 2 2 2 2 2 2" xfId="26602"/>
    <cellStyle name="Total 25 2 2 2 2 2 2 2" xfId="47788"/>
    <cellStyle name="Total 25 2 2 2 2 2 3" xfId="37184"/>
    <cellStyle name="Total 25 2 2 2 2 3" xfId="21489"/>
    <cellStyle name="Total 25 2 2 2 2 3 2" xfId="42676"/>
    <cellStyle name="Total 25 2 2 2 2 4" xfId="32092"/>
    <cellStyle name="Total 25 2 2 2 2_Table 2A-1_EFT (Annual)" xfId="8889"/>
    <cellStyle name="Total 25 2 2 2 3" xfId="11972"/>
    <cellStyle name="Total 25 2 2 2 3 2" xfId="24056"/>
    <cellStyle name="Total 25 2 2 2 3 2 2" xfId="45242"/>
    <cellStyle name="Total 25 2 2 2 3 3" xfId="34638"/>
    <cellStyle name="Total 25 2 2 2 4" xfId="18943"/>
    <cellStyle name="Total 25 2 2 2 4 2" xfId="40130"/>
    <cellStyle name="Total 25 2 2 2 5" xfId="29349"/>
    <cellStyle name="Total 25 2 2 2_Table 2A-1_EFT (Annual)" xfId="8888"/>
    <cellStyle name="Total 25 2 2 3" xfId="5166"/>
    <cellStyle name="Total 25 2 2 3 2" xfId="13426"/>
    <cellStyle name="Total 25 2 2 3 2 2" xfId="25432"/>
    <cellStyle name="Total 25 2 2 3 2 2 2" xfId="46618"/>
    <cellStyle name="Total 25 2 2 3 2 3" xfId="36014"/>
    <cellStyle name="Total 25 2 2 3 3" xfId="20319"/>
    <cellStyle name="Total 25 2 2 3 3 2" xfId="41506"/>
    <cellStyle name="Total 25 2 2 3 4" xfId="30823"/>
    <cellStyle name="Total 25 2 2 3_Table 2A-1_EFT (Annual)" xfId="8890"/>
    <cellStyle name="Total 25 2 2 4" xfId="10770"/>
    <cellStyle name="Total 25 2 2 4 2" xfId="22886"/>
    <cellStyle name="Total 25 2 2 4 2 2" xfId="44072"/>
    <cellStyle name="Total 25 2 2 4 3" xfId="33468"/>
    <cellStyle name="Total 25 2 2 5" xfId="17773"/>
    <cellStyle name="Total 25 2 2 5 2" xfId="38960"/>
    <cellStyle name="Total 25 2 2 6" xfId="28080"/>
    <cellStyle name="Total 25 2 2_Table 2A-1_EFT (Annual)" xfId="8887"/>
    <cellStyle name="Total 25 2 3" xfId="1118"/>
    <cellStyle name="Total 25 2 3 2" xfId="4679"/>
    <cellStyle name="Total 25 2 3 2 2" xfId="12939"/>
    <cellStyle name="Total 25 2 3 2 2 2" xfId="24945"/>
    <cellStyle name="Total 25 2 3 2 2 2 2" xfId="46131"/>
    <cellStyle name="Total 25 2 3 2 2 3" xfId="35527"/>
    <cellStyle name="Total 25 2 3 2 3" xfId="19832"/>
    <cellStyle name="Total 25 2 3 2 3 2" xfId="41019"/>
    <cellStyle name="Total 25 2 3 2 4" xfId="30336"/>
    <cellStyle name="Total 25 2 3 2_Table 2A-1_EFT (Annual)" xfId="8892"/>
    <cellStyle name="Total 25 2 3 3" xfId="10283"/>
    <cellStyle name="Total 25 2 3 3 2" xfId="22399"/>
    <cellStyle name="Total 25 2 3 3 2 2" xfId="43585"/>
    <cellStyle name="Total 25 2 3 3 3" xfId="32981"/>
    <cellStyle name="Total 25 2 3 4" xfId="17286"/>
    <cellStyle name="Total 25 2 3 4 2" xfId="38473"/>
    <cellStyle name="Total 25 2 3 5" xfId="27593"/>
    <cellStyle name="Total 25 2 3_Table 2A-1_EFT (Annual)" xfId="8891"/>
    <cellStyle name="Total 25 2 4" xfId="2344"/>
    <cellStyle name="Total 25 2 4 2" xfId="5905"/>
    <cellStyle name="Total 25 2 4 2 2" xfId="14120"/>
    <cellStyle name="Total 25 2 4 2 2 2" xfId="26108"/>
    <cellStyle name="Total 25 2 4 2 2 2 2" xfId="47294"/>
    <cellStyle name="Total 25 2 4 2 2 3" xfId="36690"/>
    <cellStyle name="Total 25 2 4 2 3" xfId="20995"/>
    <cellStyle name="Total 25 2 4 2 3 2" xfId="42182"/>
    <cellStyle name="Total 25 2 4 2 4" xfId="31562"/>
    <cellStyle name="Total 25 2 4 2_Table 2A-1_EFT (Annual)" xfId="8894"/>
    <cellStyle name="Total 25 2 4 3" xfId="11464"/>
    <cellStyle name="Total 25 2 4 3 2" xfId="23562"/>
    <cellStyle name="Total 25 2 4 3 2 2" xfId="44748"/>
    <cellStyle name="Total 25 2 4 3 3" xfId="34144"/>
    <cellStyle name="Total 25 2 4 4" xfId="18449"/>
    <cellStyle name="Total 25 2 4 4 2" xfId="39636"/>
    <cellStyle name="Total 25 2 4 5" xfId="28819"/>
    <cellStyle name="Total 25 2 4_Table 2A-1_EFT (Annual)" xfId="8893"/>
    <cellStyle name="Total 25 2 5" xfId="4198"/>
    <cellStyle name="Total 25 2 5 2" xfId="12522"/>
    <cellStyle name="Total 25 2 5 2 2" xfId="24544"/>
    <cellStyle name="Total 25 2 5 2 2 2" xfId="45730"/>
    <cellStyle name="Total 25 2 5 2 3" xfId="35126"/>
    <cellStyle name="Total 25 2 5 3" xfId="19431"/>
    <cellStyle name="Total 25 2 5 3 2" xfId="40618"/>
    <cellStyle name="Total 25 2 5 4" xfId="29886"/>
    <cellStyle name="Total 25 2 5_Table 2A-1_EFT (Annual)" xfId="8895"/>
    <cellStyle name="Total 25 2 6" xfId="9861"/>
    <cellStyle name="Total 25 2 6 2" xfId="21998"/>
    <cellStyle name="Total 25 2 6 2 2" xfId="43184"/>
    <cellStyle name="Total 25 2 6 3" xfId="32580"/>
    <cellStyle name="Total 25 2 7" xfId="16885"/>
    <cellStyle name="Total 25 2 7 2" xfId="38072"/>
    <cellStyle name="Total 25 2 8" xfId="27143"/>
    <cellStyle name="Total 25 2_Table 2A-1_EFT (Annual)" xfId="3560"/>
    <cellStyle name="Total 25 3" xfId="467"/>
    <cellStyle name="Total 25 3 2" xfId="1444"/>
    <cellStyle name="Total 25 3 2 2" xfId="2714"/>
    <cellStyle name="Total 25 3 2 2 2" xfId="6275"/>
    <cellStyle name="Total 25 3 2 2 2 2" xfId="14469"/>
    <cellStyle name="Total 25 3 2 2 2 2 2" xfId="26441"/>
    <cellStyle name="Total 25 3 2 2 2 2 2 2" xfId="47627"/>
    <cellStyle name="Total 25 3 2 2 2 2 3" xfId="37023"/>
    <cellStyle name="Total 25 3 2 2 2 3" xfId="21328"/>
    <cellStyle name="Total 25 3 2 2 2 3 2" xfId="42515"/>
    <cellStyle name="Total 25 3 2 2 2 4" xfId="31931"/>
    <cellStyle name="Total 25 3 2 2 2_Table 2A-1_EFT (Annual)" xfId="8898"/>
    <cellStyle name="Total 25 3 2 2 3" xfId="11811"/>
    <cellStyle name="Total 25 3 2 2 3 2" xfId="23895"/>
    <cellStyle name="Total 25 3 2 2 3 2 2" xfId="45081"/>
    <cellStyle name="Total 25 3 2 2 3 3" xfId="34477"/>
    <cellStyle name="Total 25 3 2 2 4" xfId="18782"/>
    <cellStyle name="Total 25 3 2 2 4 2" xfId="39969"/>
    <cellStyle name="Total 25 3 2 2 5" xfId="29188"/>
    <cellStyle name="Total 25 3 2 2_Table 2A-1_EFT (Annual)" xfId="8897"/>
    <cellStyle name="Total 25 3 2 3" xfId="5005"/>
    <cellStyle name="Total 25 3 2 3 2" xfId="13265"/>
    <cellStyle name="Total 25 3 2 3 2 2" xfId="25271"/>
    <cellStyle name="Total 25 3 2 3 2 2 2" xfId="46457"/>
    <cellStyle name="Total 25 3 2 3 2 3" xfId="35853"/>
    <cellStyle name="Total 25 3 2 3 3" xfId="20158"/>
    <cellStyle name="Total 25 3 2 3 3 2" xfId="41345"/>
    <cellStyle name="Total 25 3 2 3 4" xfId="30662"/>
    <cellStyle name="Total 25 3 2 3_Table 2A-1_EFT (Annual)" xfId="8899"/>
    <cellStyle name="Total 25 3 2 4" xfId="10609"/>
    <cellStyle name="Total 25 3 2 4 2" xfId="22725"/>
    <cellStyle name="Total 25 3 2 4 2 2" xfId="43911"/>
    <cellStyle name="Total 25 3 2 4 3" xfId="33307"/>
    <cellStyle name="Total 25 3 2 5" xfId="17612"/>
    <cellStyle name="Total 25 3 2 5 2" xfId="38799"/>
    <cellStyle name="Total 25 3 2 6" xfId="27919"/>
    <cellStyle name="Total 25 3 2_Table 2A-1_EFT (Annual)" xfId="8896"/>
    <cellStyle name="Total 25 3 3" xfId="988"/>
    <cellStyle name="Total 25 3 3 2" xfId="4549"/>
    <cellStyle name="Total 25 3 3 2 2" xfId="12809"/>
    <cellStyle name="Total 25 3 3 2 2 2" xfId="24815"/>
    <cellStyle name="Total 25 3 3 2 2 2 2" xfId="46001"/>
    <cellStyle name="Total 25 3 3 2 2 3" xfId="35397"/>
    <cellStyle name="Total 25 3 3 2 3" xfId="19702"/>
    <cellStyle name="Total 25 3 3 2 3 2" xfId="40889"/>
    <cellStyle name="Total 25 3 3 2 4" xfId="30206"/>
    <cellStyle name="Total 25 3 3 2_Table 2A-1_EFT (Annual)" xfId="8901"/>
    <cellStyle name="Total 25 3 3 3" xfId="10153"/>
    <cellStyle name="Total 25 3 3 3 2" xfId="22269"/>
    <cellStyle name="Total 25 3 3 3 2 2" xfId="43455"/>
    <cellStyle name="Total 25 3 3 3 3" xfId="32851"/>
    <cellStyle name="Total 25 3 3 4" xfId="17156"/>
    <cellStyle name="Total 25 3 3 4 2" xfId="38343"/>
    <cellStyle name="Total 25 3 3 5" xfId="27463"/>
    <cellStyle name="Total 25 3 3_Table 2A-1_EFT (Annual)" xfId="8900"/>
    <cellStyle name="Total 25 3 4" xfId="2183"/>
    <cellStyle name="Total 25 3 4 2" xfId="5744"/>
    <cellStyle name="Total 25 3 4 2 2" xfId="13959"/>
    <cellStyle name="Total 25 3 4 2 2 2" xfId="25947"/>
    <cellStyle name="Total 25 3 4 2 2 2 2" xfId="47133"/>
    <cellStyle name="Total 25 3 4 2 2 3" xfId="36529"/>
    <cellStyle name="Total 25 3 4 2 3" xfId="20834"/>
    <cellStyle name="Total 25 3 4 2 3 2" xfId="42021"/>
    <cellStyle name="Total 25 3 4 2 4" xfId="31401"/>
    <cellStyle name="Total 25 3 4 2_Table 2A-1_EFT (Annual)" xfId="8903"/>
    <cellStyle name="Total 25 3 4 3" xfId="11303"/>
    <cellStyle name="Total 25 3 4 3 2" xfId="23401"/>
    <cellStyle name="Total 25 3 4 3 2 2" xfId="44587"/>
    <cellStyle name="Total 25 3 4 3 3" xfId="33983"/>
    <cellStyle name="Total 25 3 4 4" xfId="18288"/>
    <cellStyle name="Total 25 3 4 4 2" xfId="39475"/>
    <cellStyle name="Total 25 3 4 5" xfId="28658"/>
    <cellStyle name="Total 25 3 4_Table 2A-1_EFT (Annual)" xfId="8902"/>
    <cellStyle name="Total 25 3 5" xfId="4037"/>
    <cellStyle name="Total 25 3 5 2" xfId="12361"/>
    <cellStyle name="Total 25 3 5 2 2" xfId="24383"/>
    <cellStyle name="Total 25 3 5 2 2 2" xfId="45569"/>
    <cellStyle name="Total 25 3 5 2 3" xfId="34965"/>
    <cellStyle name="Total 25 3 5 3" xfId="19270"/>
    <cellStyle name="Total 25 3 5 3 2" xfId="40457"/>
    <cellStyle name="Total 25 3 5 4" xfId="29725"/>
    <cellStyle name="Total 25 3 5_Table 2A-1_EFT (Annual)" xfId="8904"/>
    <cellStyle name="Total 25 3 6" xfId="9700"/>
    <cellStyle name="Total 25 3 6 2" xfId="21837"/>
    <cellStyle name="Total 25 3 6 2 2" xfId="43023"/>
    <cellStyle name="Total 25 3 6 3" xfId="32419"/>
    <cellStyle name="Total 25 3 7" xfId="16724"/>
    <cellStyle name="Total 25 3 7 2" xfId="37911"/>
    <cellStyle name="Total 25 3 8" xfId="26982"/>
    <cellStyle name="Total 25 3_Table 2A-1_EFT (Annual)" xfId="3561"/>
    <cellStyle name="Total 25 4" xfId="1283"/>
    <cellStyle name="Total 25 4 2" xfId="2553"/>
    <cellStyle name="Total 25 4 2 2" xfId="6114"/>
    <cellStyle name="Total 25 4 2 2 2" xfId="14308"/>
    <cellStyle name="Total 25 4 2 2 2 2" xfId="26280"/>
    <cellStyle name="Total 25 4 2 2 2 2 2" xfId="47466"/>
    <cellStyle name="Total 25 4 2 2 2 3" xfId="36862"/>
    <cellStyle name="Total 25 4 2 2 3" xfId="21167"/>
    <cellStyle name="Total 25 4 2 2 3 2" xfId="42354"/>
    <cellStyle name="Total 25 4 2 2 4" xfId="31770"/>
    <cellStyle name="Total 25 4 2 2_Table 2A-1_EFT (Annual)" xfId="8907"/>
    <cellStyle name="Total 25 4 2 3" xfId="11650"/>
    <cellStyle name="Total 25 4 2 3 2" xfId="23734"/>
    <cellStyle name="Total 25 4 2 3 2 2" xfId="44920"/>
    <cellStyle name="Total 25 4 2 3 3" xfId="34316"/>
    <cellStyle name="Total 25 4 2 4" xfId="18621"/>
    <cellStyle name="Total 25 4 2 4 2" xfId="39808"/>
    <cellStyle name="Total 25 4 2 5" xfId="29027"/>
    <cellStyle name="Total 25 4 2_Table 2A-1_EFT (Annual)" xfId="8906"/>
    <cellStyle name="Total 25 4 3" xfId="4844"/>
    <cellStyle name="Total 25 4 3 2" xfId="13104"/>
    <cellStyle name="Total 25 4 3 2 2" xfId="25110"/>
    <cellStyle name="Total 25 4 3 2 2 2" xfId="46296"/>
    <cellStyle name="Total 25 4 3 2 3" xfId="35692"/>
    <cellStyle name="Total 25 4 3 3" xfId="19997"/>
    <cellStyle name="Total 25 4 3 3 2" xfId="41184"/>
    <cellStyle name="Total 25 4 3 4" xfId="30501"/>
    <cellStyle name="Total 25 4 3_Table 2A-1_EFT (Annual)" xfId="8908"/>
    <cellStyle name="Total 25 4 4" xfId="10448"/>
    <cellStyle name="Total 25 4 4 2" xfId="22564"/>
    <cellStyle name="Total 25 4 4 2 2" xfId="43750"/>
    <cellStyle name="Total 25 4 4 3" xfId="33146"/>
    <cellStyle name="Total 25 4 5" xfId="17451"/>
    <cellStyle name="Total 25 4 5 2" xfId="38638"/>
    <cellStyle name="Total 25 4 6" xfId="27758"/>
    <cellStyle name="Total 25 4_Table 2A-1_EFT (Annual)" xfId="8905"/>
    <cellStyle name="Total 25 5" xfId="833"/>
    <cellStyle name="Total 25 5 2" xfId="4394"/>
    <cellStyle name="Total 25 5 2 2" xfId="12668"/>
    <cellStyle name="Total 25 5 2 2 2" xfId="24685"/>
    <cellStyle name="Total 25 5 2 2 2 2" xfId="45871"/>
    <cellStyle name="Total 25 5 2 2 3" xfId="35267"/>
    <cellStyle name="Total 25 5 2 3" xfId="19572"/>
    <cellStyle name="Total 25 5 2 3 2" xfId="40759"/>
    <cellStyle name="Total 25 5 2 4" xfId="30051"/>
    <cellStyle name="Total 25 5 2_Table 2A-1_EFT (Annual)" xfId="8910"/>
    <cellStyle name="Total 25 5 3" xfId="10017"/>
    <cellStyle name="Total 25 5 3 2" xfId="22139"/>
    <cellStyle name="Total 25 5 3 2 2" xfId="43325"/>
    <cellStyle name="Total 25 5 3 3" xfId="32721"/>
    <cellStyle name="Total 25 5 4" xfId="17026"/>
    <cellStyle name="Total 25 5 4 2" xfId="38213"/>
    <cellStyle name="Total 25 5 5" xfId="27308"/>
    <cellStyle name="Total 25 5_Table 2A-1_EFT (Annual)" xfId="8909"/>
    <cellStyle name="Total 25 6" xfId="2022"/>
    <cellStyle name="Total 25 6 2" xfId="5583"/>
    <cellStyle name="Total 25 6 2 2" xfId="13798"/>
    <cellStyle name="Total 25 6 2 2 2" xfId="25786"/>
    <cellStyle name="Total 25 6 2 2 2 2" xfId="46972"/>
    <cellStyle name="Total 25 6 2 2 3" xfId="36368"/>
    <cellStyle name="Total 25 6 2 3" xfId="20673"/>
    <cellStyle name="Total 25 6 2 3 2" xfId="41860"/>
    <cellStyle name="Total 25 6 2 4" xfId="31240"/>
    <cellStyle name="Total 25 6 2_Table 2A-1_EFT (Annual)" xfId="8912"/>
    <cellStyle name="Total 25 6 3" xfId="11142"/>
    <cellStyle name="Total 25 6 3 2" xfId="23240"/>
    <cellStyle name="Total 25 6 3 2 2" xfId="44426"/>
    <cellStyle name="Total 25 6 3 3" xfId="33822"/>
    <cellStyle name="Total 25 6 4" xfId="18127"/>
    <cellStyle name="Total 25 6 4 2" xfId="39314"/>
    <cellStyle name="Total 25 6 5" xfId="28497"/>
    <cellStyle name="Total 25 6_Table 2A-1_EFT (Annual)" xfId="8911"/>
    <cellStyle name="Total 25 7" xfId="3830"/>
    <cellStyle name="Total 25 7 2" xfId="12193"/>
    <cellStyle name="Total 25 7 2 2" xfId="24222"/>
    <cellStyle name="Total 25 7 2 2 2" xfId="45408"/>
    <cellStyle name="Total 25 7 2 3" xfId="34804"/>
    <cellStyle name="Total 25 7 3" xfId="19109"/>
    <cellStyle name="Total 25 7 3 2" xfId="40296"/>
    <cellStyle name="Total 25 7 4" xfId="29539"/>
    <cellStyle name="Total 25 7_Table 2A-1_EFT (Annual)" xfId="8913"/>
    <cellStyle name="Total 25 8" xfId="9512"/>
    <cellStyle name="Total 25 8 2" xfId="21676"/>
    <cellStyle name="Total 25 8 2 2" xfId="42862"/>
    <cellStyle name="Total 25 8 3" xfId="32258"/>
    <cellStyle name="Total 25 9" xfId="16563"/>
    <cellStyle name="Total 25 9 2" xfId="37750"/>
    <cellStyle name="Total 25_Table 2A-1_EFT (Annual)" xfId="3559"/>
    <cellStyle name="Total 26" xfId="206"/>
    <cellStyle name="Total 26 10" xfId="26761"/>
    <cellStyle name="Total 26 2" xfId="599"/>
    <cellStyle name="Total 26 2 2" xfId="1576"/>
    <cellStyle name="Total 26 2 2 2" xfId="2846"/>
    <cellStyle name="Total 26 2 2 2 2" xfId="6407"/>
    <cellStyle name="Total 26 2 2 2 2 2" xfId="14601"/>
    <cellStyle name="Total 26 2 2 2 2 2 2" xfId="26573"/>
    <cellStyle name="Total 26 2 2 2 2 2 2 2" xfId="47759"/>
    <cellStyle name="Total 26 2 2 2 2 2 3" xfId="37155"/>
    <cellStyle name="Total 26 2 2 2 2 3" xfId="21460"/>
    <cellStyle name="Total 26 2 2 2 2 3 2" xfId="42647"/>
    <cellStyle name="Total 26 2 2 2 2 4" xfId="32063"/>
    <cellStyle name="Total 26 2 2 2 2_Table 2A-1_EFT (Annual)" xfId="8916"/>
    <cellStyle name="Total 26 2 2 2 3" xfId="11943"/>
    <cellStyle name="Total 26 2 2 2 3 2" xfId="24027"/>
    <cellStyle name="Total 26 2 2 2 3 2 2" xfId="45213"/>
    <cellStyle name="Total 26 2 2 2 3 3" xfId="34609"/>
    <cellStyle name="Total 26 2 2 2 4" xfId="18914"/>
    <cellStyle name="Total 26 2 2 2 4 2" xfId="40101"/>
    <cellStyle name="Total 26 2 2 2 5" xfId="29320"/>
    <cellStyle name="Total 26 2 2 2_Table 2A-1_EFT (Annual)" xfId="8915"/>
    <cellStyle name="Total 26 2 2 3" xfId="5137"/>
    <cellStyle name="Total 26 2 2 3 2" xfId="13397"/>
    <cellStyle name="Total 26 2 2 3 2 2" xfId="25403"/>
    <cellStyle name="Total 26 2 2 3 2 2 2" xfId="46589"/>
    <cellStyle name="Total 26 2 2 3 2 3" xfId="35985"/>
    <cellStyle name="Total 26 2 2 3 3" xfId="20290"/>
    <cellStyle name="Total 26 2 2 3 3 2" xfId="41477"/>
    <cellStyle name="Total 26 2 2 3 4" xfId="30794"/>
    <cellStyle name="Total 26 2 2 3_Table 2A-1_EFT (Annual)" xfId="8917"/>
    <cellStyle name="Total 26 2 2 4" xfId="10741"/>
    <cellStyle name="Total 26 2 2 4 2" xfId="22857"/>
    <cellStyle name="Total 26 2 2 4 2 2" xfId="44043"/>
    <cellStyle name="Total 26 2 2 4 3" xfId="33439"/>
    <cellStyle name="Total 26 2 2 5" xfId="17744"/>
    <cellStyle name="Total 26 2 2 5 2" xfId="38931"/>
    <cellStyle name="Total 26 2 2 6" xfId="28051"/>
    <cellStyle name="Total 26 2 2_Table 2A-1_EFT (Annual)" xfId="8914"/>
    <cellStyle name="Total 26 2 3" xfId="1096"/>
    <cellStyle name="Total 26 2 3 2" xfId="4657"/>
    <cellStyle name="Total 26 2 3 2 2" xfId="12917"/>
    <cellStyle name="Total 26 2 3 2 2 2" xfId="24923"/>
    <cellStyle name="Total 26 2 3 2 2 2 2" xfId="46109"/>
    <cellStyle name="Total 26 2 3 2 2 3" xfId="35505"/>
    <cellStyle name="Total 26 2 3 2 3" xfId="19810"/>
    <cellStyle name="Total 26 2 3 2 3 2" xfId="40997"/>
    <cellStyle name="Total 26 2 3 2 4" xfId="30314"/>
    <cellStyle name="Total 26 2 3 2_Table 2A-1_EFT (Annual)" xfId="8919"/>
    <cellStyle name="Total 26 2 3 3" xfId="10261"/>
    <cellStyle name="Total 26 2 3 3 2" xfId="22377"/>
    <cellStyle name="Total 26 2 3 3 2 2" xfId="43563"/>
    <cellStyle name="Total 26 2 3 3 3" xfId="32959"/>
    <cellStyle name="Total 26 2 3 4" xfId="17264"/>
    <cellStyle name="Total 26 2 3 4 2" xfId="38451"/>
    <cellStyle name="Total 26 2 3 5" xfId="27571"/>
    <cellStyle name="Total 26 2 3_Table 2A-1_EFT (Annual)" xfId="8918"/>
    <cellStyle name="Total 26 2 4" xfId="2315"/>
    <cellStyle name="Total 26 2 4 2" xfId="5876"/>
    <cellStyle name="Total 26 2 4 2 2" xfId="14091"/>
    <cellStyle name="Total 26 2 4 2 2 2" xfId="26079"/>
    <cellStyle name="Total 26 2 4 2 2 2 2" xfId="47265"/>
    <cellStyle name="Total 26 2 4 2 2 3" xfId="36661"/>
    <cellStyle name="Total 26 2 4 2 3" xfId="20966"/>
    <cellStyle name="Total 26 2 4 2 3 2" xfId="42153"/>
    <cellStyle name="Total 26 2 4 2 4" xfId="31533"/>
    <cellStyle name="Total 26 2 4 2_Table 2A-1_EFT (Annual)" xfId="8921"/>
    <cellStyle name="Total 26 2 4 3" xfId="11435"/>
    <cellStyle name="Total 26 2 4 3 2" xfId="23533"/>
    <cellStyle name="Total 26 2 4 3 2 2" xfId="44719"/>
    <cellStyle name="Total 26 2 4 3 3" xfId="34115"/>
    <cellStyle name="Total 26 2 4 4" xfId="18420"/>
    <cellStyle name="Total 26 2 4 4 2" xfId="39607"/>
    <cellStyle name="Total 26 2 4 5" xfId="28790"/>
    <cellStyle name="Total 26 2 4_Table 2A-1_EFT (Annual)" xfId="8920"/>
    <cellStyle name="Total 26 2 5" xfId="4169"/>
    <cellStyle name="Total 26 2 5 2" xfId="12493"/>
    <cellStyle name="Total 26 2 5 2 2" xfId="24515"/>
    <cellStyle name="Total 26 2 5 2 2 2" xfId="45701"/>
    <cellStyle name="Total 26 2 5 2 3" xfId="35097"/>
    <cellStyle name="Total 26 2 5 3" xfId="19402"/>
    <cellStyle name="Total 26 2 5 3 2" xfId="40589"/>
    <cellStyle name="Total 26 2 5 4" xfId="29857"/>
    <cellStyle name="Total 26 2 5_Table 2A-1_EFT (Annual)" xfId="8922"/>
    <cellStyle name="Total 26 2 6" xfId="9832"/>
    <cellStyle name="Total 26 2 6 2" xfId="21969"/>
    <cellStyle name="Total 26 2 6 2 2" xfId="43155"/>
    <cellStyle name="Total 26 2 6 3" xfId="32551"/>
    <cellStyle name="Total 26 2 7" xfId="16856"/>
    <cellStyle name="Total 26 2 7 2" xfId="38043"/>
    <cellStyle name="Total 26 2 8" xfId="27114"/>
    <cellStyle name="Total 26 2_Table 2A-1_EFT (Annual)" xfId="3563"/>
    <cellStyle name="Total 26 3" xfId="434"/>
    <cellStyle name="Total 26 3 2" xfId="1417"/>
    <cellStyle name="Total 26 3 2 2" xfId="2687"/>
    <cellStyle name="Total 26 3 2 2 2" xfId="6248"/>
    <cellStyle name="Total 26 3 2 2 2 2" xfId="14442"/>
    <cellStyle name="Total 26 3 2 2 2 2 2" xfId="26414"/>
    <cellStyle name="Total 26 3 2 2 2 2 2 2" xfId="47600"/>
    <cellStyle name="Total 26 3 2 2 2 2 3" xfId="36996"/>
    <cellStyle name="Total 26 3 2 2 2 3" xfId="21301"/>
    <cellStyle name="Total 26 3 2 2 2 3 2" xfId="42488"/>
    <cellStyle name="Total 26 3 2 2 2 4" xfId="31904"/>
    <cellStyle name="Total 26 3 2 2 2_Table 2A-1_EFT (Annual)" xfId="8925"/>
    <cellStyle name="Total 26 3 2 2 3" xfId="11784"/>
    <cellStyle name="Total 26 3 2 2 3 2" xfId="23868"/>
    <cellStyle name="Total 26 3 2 2 3 2 2" xfId="45054"/>
    <cellStyle name="Total 26 3 2 2 3 3" xfId="34450"/>
    <cellStyle name="Total 26 3 2 2 4" xfId="18755"/>
    <cellStyle name="Total 26 3 2 2 4 2" xfId="39942"/>
    <cellStyle name="Total 26 3 2 2 5" xfId="29161"/>
    <cellStyle name="Total 26 3 2 2_Table 2A-1_EFT (Annual)" xfId="8924"/>
    <cellStyle name="Total 26 3 2 3" xfId="4978"/>
    <cellStyle name="Total 26 3 2 3 2" xfId="13238"/>
    <cellStyle name="Total 26 3 2 3 2 2" xfId="25244"/>
    <cellStyle name="Total 26 3 2 3 2 2 2" xfId="46430"/>
    <cellStyle name="Total 26 3 2 3 2 3" xfId="35826"/>
    <cellStyle name="Total 26 3 2 3 3" xfId="20131"/>
    <cellStyle name="Total 26 3 2 3 3 2" xfId="41318"/>
    <cellStyle name="Total 26 3 2 3 4" xfId="30635"/>
    <cellStyle name="Total 26 3 2 3_Table 2A-1_EFT (Annual)" xfId="8926"/>
    <cellStyle name="Total 26 3 2 4" xfId="10582"/>
    <cellStyle name="Total 26 3 2 4 2" xfId="22698"/>
    <cellStyle name="Total 26 3 2 4 2 2" xfId="43884"/>
    <cellStyle name="Total 26 3 2 4 3" xfId="33280"/>
    <cellStyle name="Total 26 3 2 5" xfId="17585"/>
    <cellStyle name="Total 26 3 2 5 2" xfId="38772"/>
    <cellStyle name="Total 26 3 2 6" xfId="27892"/>
    <cellStyle name="Total 26 3 2_Table 2A-1_EFT (Annual)" xfId="8923"/>
    <cellStyle name="Total 26 3 3" xfId="961"/>
    <cellStyle name="Total 26 3 3 2" xfId="4522"/>
    <cellStyle name="Total 26 3 3 2 2" xfId="12784"/>
    <cellStyle name="Total 26 3 3 2 2 2" xfId="24794"/>
    <cellStyle name="Total 26 3 3 2 2 2 2" xfId="45980"/>
    <cellStyle name="Total 26 3 3 2 2 3" xfId="35376"/>
    <cellStyle name="Total 26 3 3 2 3" xfId="19681"/>
    <cellStyle name="Total 26 3 3 2 3 2" xfId="40868"/>
    <cellStyle name="Total 26 3 3 2 4" xfId="30179"/>
    <cellStyle name="Total 26 3 3 2_Table 2A-1_EFT (Annual)" xfId="8928"/>
    <cellStyle name="Total 26 3 3 3" xfId="10131"/>
    <cellStyle name="Total 26 3 3 3 2" xfId="22248"/>
    <cellStyle name="Total 26 3 3 3 2 2" xfId="43434"/>
    <cellStyle name="Total 26 3 3 3 3" xfId="32830"/>
    <cellStyle name="Total 26 3 3 4" xfId="17135"/>
    <cellStyle name="Total 26 3 3 4 2" xfId="38322"/>
    <cellStyle name="Total 26 3 3 5" xfId="27436"/>
    <cellStyle name="Total 26 3 3_Table 2A-1_EFT (Annual)" xfId="8927"/>
    <cellStyle name="Total 26 3 4" xfId="2156"/>
    <cellStyle name="Total 26 3 4 2" xfId="5717"/>
    <cellStyle name="Total 26 3 4 2 2" xfId="13932"/>
    <cellStyle name="Total 26 3 4 2 2 2" xfId="25920"/>
    <cellStyle name="Total 26 3 4 2 2 2 2" xfId="47106"/>
    <cellStyle name="Total 26 3 4 2 2 3" xfId="36502"/>
    <cellStyle name="Total 26 3 4 2 3" xfId="20807"/>
    <cellStyle name="Total 26 3 4 2 3 2" xfId="41994"/>
    <cellStyle name="Total 26 3 4 2 4" xfId="31374"/>
    <cellStyle name="Total 26 3 4 2_Table 2A-1_EFT (Annual)" xfId="8930"/>
    <cellStyle name="Total 26 3 4 3" xfId="11276"/>
    <cellStyle name="Total 26 3 4 3 2" xfId="23374"/>
    <cellStyle name="Total 26 3 4 3 2 2" xfId="44560"/>
    <cellStyle name="Total 26 3 4 3 3" xfId="33956"/>
    <cellStyle name="Total 26 3 4 4" xfId="18261"/>
    <cellStyle name="Total 26 3 4 4 2" xfId="39448"/>
    <cellStyle name="Total 26 3 4 5" xfId="28631"/>
    <cellStyle name="Total 26 3 4_Table 2A-1_EFT (Annual)" xfId="8929"/>
    <cellStyle name="Total 26 3 5" xfId="4004"/>
    <cellStyle name="Total 26 3 5 2" xfId="12332"/>
    <cellStyle name="Total 26 3 5 2 2" xfId="24356"/>
    <cellStyle name="Total 26 3 5 2 2 2" xfId="45542"/>
    <cellStyle name="Total 26 3 5 2 3" xfId="34938"/>
    <cellStyle name="Total 26 3 5 3" xfId="19243"/>
    <cellStyle name="Total 26 3 5 3 2" xfId="40430"/>
    <cellStyle name="Total 26 3 5 4" xfId="29692"/>
    <cellStyle name="Total 26 3 5_Table 2A-1_EFT (Annual)" xfId="8931"/>
    <cellStyle name="Total 26 3 6" xfId="9669"/>
    <cellStyle name="Total 26 3 6 2" xfId="21810"/>
    <cellStyle name="Total 26 3 6 2 2" xfId="42996"/>
    <cellStyle name="Total 26 3 6 3" xfId="32392"/>
    <cellStyle name="Total 26 3 7" xfId="16697"/>
    <cellStyle name="Total 26 3 7 2" xfId="37884"/>
    <cellStyle name="Total 26 3 8" xfId="26949"/>
    <cellStyle name="Total 26 3_Table 2A-1_EFT (Annual)" xfId="3564"/>
    <cellStyle name="Total 26 4" xfId="1254"/>
    <cellStyle name="Total 26 4 2" xfId="2524"/>
    <cellStyle name="Total 26 4 2 2" xfId="6085"/>
    <cellStyle name="Total 26 4 2 2 2" xfId="14279"/>
    <cellStyle name="Total 26 4 2 2 2 2" xfId="26251"/>
    <cellStyle name="Total 26 4 2 2 2 2 2" xfId="47437"/>
    <cellStyle name="Total 26 4 2 2 2 3" xfId="36833"/>
    <cellStyle name="Total 26 4 2 2 3" xfId="21138"/>
    <cellStyle name="Total 26 4 2 2 3 2" xfId="42325"/>
    <cellStyle name="Total 26 4 2 2 4" xfId="31741"/>
    <cellStyle name="Total 26 4 2 2_Table 2A-1_EFT (Annual)" xfId="8934"/>
    <cellStyle name="Total 26 4 2 3" xfId="11621"/>
    <cellStyle name="Total 26 4 2 3 2" xfId="23705"/>
    <cellStyle name="Total 26 4 2 3 2 2" xfId="44891"/>
    <cellStyle name="Total 26 4 2 3 3" xfId="34287"/>
    <cellStyle name="Total 26 4 2 4" xfId="18592"/>
    <cellStyle name="Total 26 4 2 4 2" xfId="39779"/>
    <cellStyle name="Total 26 4 2 5" xfId="28998"/>
    <cellStyle name="Total 26 4 2_Table 2A-1_EFT (Annual)" xfId="8933"/>
    <cellStyle name="Total 26 4 3" xfId="4815"/>
    <cellStyle name="Total 26 4 3 2" xfId="13075"/>
    <cellStyle name="Total 26 4 3 2 2" xfId="25081"/>
    <cellStyle name="Total 26 4 3 2 2 2" xfId="46267"/>
    <cellStyle name="Total 26 4 3 2 3" xfId="35663"/>
    <cellStyle name="Total 26 4 3 3" xfId="19968"/>
    <cellStyle name="Total 26 4 3 3 2" xfId="41155"/>
    <cellStyle name="Total 26 4 3 4" xfId="30472"/>
    <cellStyle name="Total 26 4 3_Table 2A-1_EFT (Annual)" xfId="8935"/>
    <cellStyle name="Total 26 4 4" xfId="10419"/>
    <cellStyle name="Total 26 4 4 2" xfId="22535"/>
    <cellStyle name="Total 26 4 4 2 2" xfId="43721"/>
    <cellStyle name="Total 26 4 4 3" xfId="33117"/>
    <cellStyle name="Total 26 4 5" xfId="17422"/>
    <cellStyle name="Total 26 4 5 2" xfId="38609"/>
    <cellStyle name="Total 26 4 6" xfId="27729"/>
    <cellStyle name="Total 26 4_Table 2A-1_EFT (Annual)" xfId="8932"/>
    <cellStyle name="Total 26 5" xfId="805"/>
    <cellStyle name="Total 26 5 2" xfId="4366"/>
    <cellStyle name="Total 26 5 2 2" xfId="12646"/>
    <cellStyle name="Total 26 5 2 2 2" xfId="24663"/>
    <cellStyle name="Total 26 5 2 2 2 2" xfId="45849"/>
    <cellStyle name="Total 26 5 2 2 3" xfId="35245"/>
    <cellStyle name="Total 26 5 2 3" xfId="19550"/>
    <cellStyle name="Total 26 5 2 3 2" xfId="40737"/>
    <cellStyle name="Total 26 5 2 4" xfId="30023"/>
    <cellStyle name="Total 26 5 2_Table 2A-1_EFT (Annual)" xfId="8937"/>
    <cellStyle name="Total 26 5 3" xfId="9994"/>
    <cellStyle name="Total 26 5 3 2" xfId="22117"/>
    <cellStyle name="Total 26 5 3 2 2" xfId="43303"/>
    <cellStyle name="Total 26 5 3 3" xfId="32699"/>
    <cellStyle name="Total 26 5 4" xfId="17004"/>
    <cellStyle name="Total 26 5 4 2" xfId="38191"/>
    <cellStyle name="Total 26 5 5" xfId="27280"/>
    <cellStyle name="Total 26 5_Table 2A-1_EFT (Annual)" xfId="8936"/>
    <cellStyle name="Total 26 6" xfId="1993"/>
    <cellStyle name="Total 26 6 2" xfId="5554"/>
    <cellStyle name="Total 26 6 2 2" xfId="13769"/>
    <cellStyle name="Total 26 6 2 2 2" xfId="25757"/>
    <cellStyle name="Total 26 6 2 2 2 2" xfId="46943"/>
    <cellStyle name="Total 26 6 2 2 3" xfId="36339"/>
    <cellStyle name="Total 26 6 2 3" xfId="20644"/>
    <cellStyle name="Total 26 6 2 3 2" xfId="41831"/>
    <cellStyle name="Total 26 6 2 4" xfId="31211"/>
    <cellStyle name="Total 26 6 2_Table 2A-1_EFT (Annual)" xfId="8939"/>
    <cellStyle name="Total 26 6 3" xfId="11113"/>
    <cellStyle name="Total 26 6 3 2" xfId="23211"/>
    <cellStyle name="Total 26 6 3 2 2" xfId="44397"/>
    <cellStyle name="Total 26 6 3 3" xfId="33793"/>
    <cellStyle name="Total 26 6 4" xfId="18098"/>
    <cellStyle name="Total 26 6 4 2" xfId="39285"/>
    <cellStyle name="Total 26 6 5" xfId="28468"/>
    <cellStyle name="Total 26 6_Table 2A-1_EFT (Annual)" xfId="8938"/>
    <cellStyle name="Total 26 7" xfId="3795"/>
    <cellStyle name="Total 26 7 2" xfId="12163"/>
    <cellStyle name="Total 26 7 2 2" xfId="24193"/>
    <cellStyle name="Total 26 7 2 2 2" xfId="45379"/>
    <cellStyle name="Total 26 7 2 3" xfId="34775"/>
    <cellStyle name="Total 26 7 3" xfId="19080"/>
    <cellStyle name="Total 26 7 3 2" xfId="40267"/>
    <cellStyle name="Total 26 7 4" xfId="29504"/>
    <cellStyle name="Total 26 7_Table 2A-1_EFT (Annual)" xfId="8940"/>
    <cellStyle name="Total 26 8" xfId="9482"/>
    <cellStyle name="Total 26 8 2" xfId="21647"/>
    <cellStyle name="Total 26 8 2 2" xfId="42833"/>
    <cellStyle name="Total 26 8 3" xfId="32229"/>
    <cellStyle name="Total 26 9" xfId="16534"/>
    <cellStyle name="Total 26 9 2" xfId="37721"/>
    <cellStyle name="Total 26_Table 2A-1_EFT (Annual)" xfId="3562"/>
    <cellStyle name="Total 27" xfId="248"/>
    <cellStyle name="Total 27 10" xfId="26803"/>
    <cellStyle name="Total 27 2" xfId="635"/>
    <cellStyle name="Total 27 2 2" xfId="1612"/>
    <cellStyle name="Total 27 2 2 2" xfId="2882"/>
    <cellStyle name="Total 27 2 2 2 2" xfId="6443"/>
    <cellStyle name="Total 27 2 2 2 2 2" xfId="14637"/>
    <cellStyle name="Total 27 2 2 2 2 2 2" xfId="26609"/>
    <cellStyle name="Total 27 2 2 2 2 2 2 2" xfId="47795"/>
    <cellStyle name="Total 27 2 2 2 2 2 3" xfId="37191"/>
    <cellStyle name="Total 27 2 2 2 2 3" xfId="21496"/>
    <cellStyle name="Total 27 2 2 2 2 3 2" xfId="42683"/>
    <cellStyle name="Total 27 2 2 2 2 4" xfId="32099"/>
    <cellStyle name="Total 27 2 2 2 2_Table 2A-1_EFT (Annual)" xfId="8943"/>
    <cellStyle name="Total 27 2 2 2 3" xfId="11979"/>
    <cellStyle name="Total 27 2 2 2 3 2" xfId="24063"/>
    <cellStyle name="Total 27 2 2 2 3 2 2" xfId="45249"/>
    <cellStyle name="Total 27 2 2 2 3 3" xfId="34645"/>
    <cellStyle name="Total 27 2 2 2 4" xfId="18950"/>
    <cellStyle name="Total 27 2 2 2 4 2" xfId="40137"/>
    <cellStyle name="Total 27 2 2 2 5" xfId="29356"/>
    <cellStyle name="Total 27 2 2 2_Table 2A-1_EFT (Annual)" xfId="8942"/>
    <cellStyle name="Total 27 2 2 3" xfId="5173"/>
    <cellStyle name="Total 27 2 2 3 2" xfId="13433"/>
    <cellStyle name="Total 27 2 2 3 2 2" xfId="25439"/>
    <cellStyle name="Total 27 2 2 3 2 2 2" xfId="46625"/>
    <cellStyle name="Total 27 2 2 3 2 3" xfId="36021"/>
    <cellStyle name="Total 27 2 2 3 3" xfId="20326"/>
    <cellStyle name="Total 27 2 2 3 3 2" xfId="41513"/>
    <cellStyle name="Total 27 2 2 3 4" xfId="30830"/>
    <cellStyle name="Total 27 2 2 3_Table 2A-1_EFT (Annual)" xfId="8944"/>
    <cellStyle name="Total 27 2 2 4" xfId="10777"/>
    <cellStyle name="Total 27 2 2 4 2" xfId="22893"/>
    <cellStyle name="Total 27 2 2 4 2 2" xfId="44079"/>
    <cellStyle name="Total 27 2 2 4 3" xfId="33475"/>
    <cellStyle name="Total 27 2 2 5" xfId="17780"/>
    <cellStyle name="Total 27 2 2 5 2" xfId="38967"/>
    <cellStyle name="Total 27 2 2 6" xfId="28087"/>
    <cellStyle name="Total 27 2 2_Table 2A-1_EFT (Annual)" xfId="8941"/>
    <cellStyle name="Total 27 2 3" xfId="1125"/>
    <cellStyle name="Total 27 2 3 2" xfId="4686"/>
    <cellStyle name="Total 27 2 3 2 2" xfId="12946"/>
    <cellStyle name="Total 27 2 3 2 2 2" xfId="24952"/>
    <cellStyle name="Total 27 2 3 2 2 2 2" xfId="46138"/>
    <cellStyle name="Total 27 2 3 2 2 3" xfId="35534"/>
    <cellStyle name="Total 27 2 3 2 3" xfId="19839"/>
    <cellStyle name="Total 27 2 3 2 3 2" xfId="41026"/>
    <cellStyle name="Total 27 2 3 2 4" xfId="30343"/>
    <cellStyle name="Total 27 2 3 2_Table 2A-1_EFT (Annual)" xfId="8946"/>
    <cellStyle name="Total 27 2 3 3" xfId="10290"/>
    <cellStyle name="Total 27 2 3 3 2" xfId="22406"/>
    <cellStyle name="Total 27 2 3 3 2 2" xfId="43592"/>
    <cellStyle name="Total 27 2 3 3 3" xfId="32988"/>
    <cellStyle name="Total 27 2 3 4" xfId="17293"/>
    <cellStyle name="Total 27 2 3 4 2" xfId="38480"/>
    <cellStyle name="Total 27 2 3 5" xfId="27600"/>
    <cellStyle name="Total 27 2 3_Table 2A-1_EFT (Annual)" xfId="8945"/>
    <cellStyle name="Total 27 2 4" xfId="2351"/>
    <cellStyle name="Total 27 2 4 2" xfId="5912"/>
    <cellStyle name="Total 27 2 4 2 2" xfId="14127"/>
    <cellStyle name="Total 27 2 4 2 2 2" xfId="26115"/>
    <cellStyle name="Total 27 2 4 2 2 2 2" xfId="47301"/>
    <cellStyle name="Total 27 2 4 2 2 3" xfId="36697"/>
    <cellStyle name="Total 27 2 4 2 3" xfId="21002"/>
    <cellStyle name="Total 27 2 4 2 3 2" xfId="42189"/>
    <cellStyle name="Total 27 2 4 2 4" xfId="31569"/>
    <cellStyle name="Total 27 2 4 2_Table 2A-1_EFT (Annual)" xfId="8948"/>
    <cellStyle name="Total 27 2 4 3" xfId="11471"/>
    <cellStyle name="Total 27 2 4 3 2" xfId="23569"/>
    <cellStyle name="Total 27 2 4 3 2 2" xfId="44755"/>
    <cellStyle name="Total 27 2 4 3 3" xfId="34151"/>
    <cellStyle name="Total 27 2 4 4" xfId="18456"/>
    <cellStyle name="Total 27 2 4 4 2" xfId="39643"/>
    <cellStyle name="Total 27 2 4 5" xfId="28826"/>
    <cellStyle name="Total 27 2 4_Table 2A-1_EFT (Annual)" xfId="8947"/>
    <cellStyle name="Total 27 2 5" xfId="4205"/>
    <cellStyle name="Total 27 2 5 2" xfId="12529"/>
    <cellStyle name="Total 27 2 5 2 2" xfId="24551"/>
    <cellStyle name="Total 27 2 5 2 2 2" xfId="45737"/>
    <cellStyle name="Total 27 2 5 2 3" xfId="35133"/>
    <cellStyle name="Total 27 2 5 3" xfId="19438"/>
    <cellStyle name="Total 27 2 5 3 2" xfId="40625"/>
    <cellStyle name="Total 27 2 5 4" xfId="29893"/>
    <cellStyle name="Total 27 2 5_Table 2A-1_EFT (Annual)" xfId="8949"/>
    <cellStyle name="Total 27 2 6" xfId="9868"/>
    <cellStyle name="Total 27 2 6 2" xfId="22005"/>
    <cellStyle name="Total 27 2 6 2 2" xfId="43191"/>
    <cellStyle name="Total 27 2 6 3" xfId="32587"/>
    <cellStyle name="Total 27 2 7" xfId="16892"/>
    <cellStyle name="Total 27 2 7 2" xfId="38079"/>
    <cellStyle name="Total 27 2 8" xfId="27150"/>
    <cellStyle name="Total 27 2_Table 2A-1_EFT (Annual)" xfId="3566"/>
    <cellStyle name="Total 27 3" xfId="474"/>
    <cellStyle name="Total 27 3 2" xfId="1451"/>
    <cellStyle name="Total 27 3 2 2" xfId="2721"/>
    <cellStyle name="Total 27 3 2 2 2" xfId="6282"/>
    <cellStyle name="Total 27 3 2 2 2 2" xfId="14476"/>
    <cellStyle name="Total 27 3 2 2 2 2 2" xfId="26448"/>
    <cellStyle name="Total 27 3 2 2 2 2 2 2" xfId="47634"/>
    <cellStyle name="Total 27 3 2 2 2 2 3" xfId="37030"/>
    <cellStyle name="Total 27 3 2 2 2 3" xfId="21335"/>
    <cellStyle name="Total 27 3 2 2 2 3 2" xfId="42522"/>
    <cellStyle name="Total 27 3 2 2 2 4" xfId="31938"/>
    <cellStyle name="Total 27 3 2 2 2_Table 2A-1_EFT (Annual)" xfId="8952"/>
    <cellStyle name="Total 27 3 2 2 3" xfId="11818"/>
    <cellStyle name="Total 27 3 2 2 3 2" xfId="23902"/>
    <cellStyle name="Total 27 3 2 2 3 2 2" xfId="45088"/>
    <cellStyle name="Total 27 3 2 2 3 3" xfId="34484"/>
    <cellStyle name="Total 27 3 2 2 4" xfId="18789"/>
    <cellStyle name="Total 27 3 2 2 4 2" xfId="39976"/>
    <cellStyle name="Total 27 3 2 2 5" xfId="29195"/>
    <cellStyle name="Total 27 3 2 2_Table 2A-1_EFT (Annual)" xfId="8951"/>
    <cellStyle name="Total 27 3 2 3" xfId="5012"/>
    <cellStyle name="Total 27 3 2 3 2" xfId="13272"/>
    <cellStyle name="Total 27 3 2 3 2 2" xfId="25278"/>
    <cellStyle name="Total 27 3 2 3 2 2 2" xfId="46464"/>
    <cellStyle name="Total 27 3 2 3 2 3" xfId="35860"/>
    <cellStyle name="Total 27 3 2 3 3" xfId="20165"/>
    <cellStyle name="Total 27 3 2 3 3 2" xfId="41352"/>
    <cellStyle name="Total 27 3 2 3 4" xfId="30669"/>
    <cellStyle name="Total 27 3 2 3_Table 2A-1_EFT (Annual)" xfId="8953"/>
    <cellStyle name="Total 27 3 2 4" xfId="10616"/>
    <cellStyle name="Total 27 3 2 4 2" xfId="22732"/>
    <cellStyle name="Total 27 3 2 4 2 2" xfId="43918"/>
    <cellStyle name="Total 27 3 2 4 3" xfId="33314"/>
    <cellStyle name="Total 27 3 2 5" xfId="17619"/>
    <cellStyle name="Total 27 3 2 5 2" xfId="38806"/>
    <cellStyle name="Total 27 3 2 6" xfId="27926"/>
    <cellStyle name="Total 27 3 2_Table 2A-1_EFT (Annual)" xfId="8950"/>
    <cellStyle name="Total 27 3 3" xfId="995"/>
    <cellStyle name="Total 27 3 3 2" xfId="4556"/>
    <cellStyle name="Total 27 3 3 2 2" xfId="12816"/>
    <cellStyle name="Total 27 3 3 2 2 2" xfId="24822"/>
    <cellStyle name="Total 27 3 3 2 2 2 2" xfId="46008"/>
    <cellStyle name="Total 27 3 3 2 2 3" xfId="35404"/>
    <cellStyle name="Total 27 3 3 2 3" xfId="19709"/>
    <cellStyle name="Total 27 3 3 2 3 2" xfId="40896"/>
    <cellStyle name="Total 27 3 3 2 4" xfId="30213"/>
    <cellStyle name="Total 27 3 3 2_Table 2A-1_EFT (Annual)" xfId="8955"/>
    <cellStyle name="Total 27 3 3 3" xfId="10160"/>
    <cellStyle name="Total 27 3 3 3 2" xfId="22276"/>
    <cellStyle name="Total 27 3 3 3 2 2" xfId="43462"/>
    <cellStyle name="Total 27 3 3 3 3" xfId="32858"/>
    <cellStyle name="Total 27 3 3 4" xfId="17163"/>
    <cellStyle name="Total 27 3 3 4 2" xfId="38350"/>
    <cellStyle name="Total 27 3 3 5" xfId="27470"/>
    <cellStyle name="Total 27 3 3_Table 2A-1_EFT (Annual)" xfId="8954"/>
    <cellStyle name="Total 27 3 4" xfId="2190"/>
    <cellStyle name="Total 27 3 4 2" xfId="5751"/>
    <cellStyle name="Total 27 3 4 2 2" xfId="13966"/>
    <cellStyle name="Total 27 3 4 2 2 2" xfId="25954"/>
    <cellStyle name="Total 27 3 4 2 2 2 2" xfId="47140"/>
    <cellStyle name="Total 27 3 4 2 2 3" xfId="36536"/>
    <cellStyle name="Total 27 3 4 2 3" xfId="20841"/>
    <cellStyle name="Total 27 3 4 2 3 2" xfId="42028"/>
    <cellStyle name="Total 27 3 4 2 4" xfId="31408"/>
    <cellStyle name="Total 27 3 4 2_Table 2A-1_EFT (Annual)" xfId="8957"/>
    <cellStyle name="Total 27 3 4 3" xfId="11310"/>
    <cellStyle name="Total 27 3 4 3 2" xfId="23408"/>
    <cellStyle name="Total 27 3 4 3 2 2" xfId="44594"/>
    <cellStyle name="Total 27 3 4 3 3" xfId="33990"/>
    <cellStyle name="Total 27 3 4 4" xfId="18295"/>
    <cellStyle name="Total 27 3 4 4 2" xfId="39482"/>
    <cellStyle name="Total 27 3 4 5" xfId="28665"/>
    <cellStyle name="Total 27 3 4_Table 2A-1_EFT (Annual)" xfId="8956"/>
    <cellStyle name="Total 27 3 5" xfId="4044"/>
    <cellStyle name="Total 27 3 5 2" xfId="12368"/>
    <cellStyle name="Total 27 3 5 2 2" xfId="24390"/>
    <cellStyle name="Total 27 3 5 2 2 2" xfId="45576"/>
    <cellStyle name="Total 27 3 5 2 3" xfId="34972"/>
    <cellStyle name="Total 27 3 5 3" xfId="19277"/>
    <cellStyle name="Total 27 3 5 3 2" xfId="40464"/>
    <cellStyle name="Total 27 3 5 4" xfId="29732"/>
    <cellStyle name="Total 27 3 5_Table 2A-1_EFT (Annual)" xfId="8958"/>
    <cellStyle name="Total 27 3 6" xfId="9707"/>
    <cellStyle name="Total 27 3 6 2" xfId="21844"/>
    <cellStyle name="Total 27 3 6 2 2" xfId="43030"/>
    <cellStyle name="Total 27 3 6 3" xfId="32426"/>
    <cellStyle name="Total 27 3 7" xfId="16731"/>
    <cellStyle name="Total 27 3 7 2" xfId="37918"/>
    <cellStyle name="Total 27 3 8" xfId="26989"/>
    <cellStyle name="Total 27 3_Table 2A-1_EFT (Annual)" xfId="3567"/>
    <cellStyle name="Total 27 4" xfId="1290"/>
    <cellStyle name="Total 27 4 2" xfId="2560"/>
    <cellStyle name="Total 27 4 2 2" xfId="6121"/>
    <cellStyle name="Total 27 4 2 2 2" xfId="14315"/>
    <cellStyle name="Total 27 4 2 2 2 2" xfId="26287"/>
    <cellStyle name="Total 27 4 2 2 2 2 2" xfId="47473"/>
    <cellStyle name="Total 27 4 2 2 2 3" xfId="36869"/>
    <cellStyle name="Total 27 4 2 2 3" xfId="21174"/>
    <cellStyle name="Total 27 4 2 2 3 2" xfId="42361"/>
    <cellStyle name="Total 27 4 2 2 4" xfId="31777"/>
    <cellStyle name="Total 27 4 2 2_Table 2A-1_EFT (Annual)" xfId="8961"/>
    <cellStyle name="Total 27 4 2 3" xfId="11657"/>
    <cellStyle name="Total 27 4 2 3 2" xfId="23741"/>
    <cellStyle name="Total 27 4 2 3 2 2" xfId="44927"/>
    <cellStyle name="Total 27 4 2 3 3" xfId="34323"/>
    <cellStyle name="Total 27 4 2 4" xfId="18628"/>
    <cellStyle name="Total 27 4 2 4 2" xfId="39815"/>
    <cellStyle name="Total 27 4 2 5" xfId="29034"/>
    <cellStyle name="Total 27 4 2_Table 2A-1_EFT (Annual)" xfId="8960"/>
    <cellStyle name="Total 27 4 3" xfId="4851"/>
    <cellStyle name="Total 27 4 3 2" xfId="13111"/>
    <cellStyle name="Total 27 4 3 2 2" xfId="25117"/>
    <cellStyle name="Total 27 4 3 2 2 2" xfId="46303"/>
    <cellStyle name="Total 27 4 3 2 3" xfId="35699"/>
    <cellStyle name="Total 27 4 3 3" xfId="20004"/>
    <cellStyle name="Total 27 4 3 3 2" xfId="41191"/>
    <cellStyle name="Total 27 4 3 4" xfId="30508"/>
    <cellStyle name="Total 27 4 3_Table 2A-1_EFT (Annual)" xfId="8962"/>
    <cellStyle name="Total 27 4 4" xfId="10455"/>
    <cellStyle name="Total 27 4 4 2" xfId="22571"/>
    <cellStyle name="Total 27 4 4 2 2" xfId="43757"/>
    <cellStyle name="Total 27 4 4 3" xfId="33153"/>
    <cellStyle name="Total 27 4 5" xfId="17458"/>
    <cellStyle name="Total 27 4 5 2" xfId="38645"/>
    <cellStyle name="Total 27 4 6" xfId="27765"/>
    <cellStyle name="Total 27 4_Table 2A-1_EFT (Annual)" xfId="8959"/>
    <cellStyle name="Total 27 5" xfId="840"/>
    <cellStyle name="Total 27 5 2" xfId="4401"/>
    <cellStyle name="Total 27 5 2 2" xfId="12675"/>
    <cellStyle name="Total 27 5 2 2 2" xfId="24692"/>
    <cellStyle name="Total 27 5 2 2 2 2" xfId="45878"/>
    <cellStyle name="Total 27 5 2 2 3" xfId="35274"/>
    <cellStyle name="Total 27 5 2 3" xfId="19579"/>
    <cellStyle name="Total 27 5 2 3 2" xfId="40766"/>
    <cellStyle name="Total 27 5 2 4" xfId="30058"/>
    <cellStyle name="Total 27 5 2_Table 2A-1_EFT (Annual)" xfId="8964"/>
    <cellStyle name="Total 27 5 3" xfId="10024"/>
    <cellStyle name="Total 27 5 3 2" xfId="22146"/>
    <cellStyle name="Total 27 5 3 2 2" xfId="43332"/>
    <cellStyle name="Total 27 5 3 3" xfId="32728"/>
    <cellStyle name="Total 27 5 4" xfId="17033"/>
    <cellStyle name="Total 27 5 4 2" xfId="38220"/>
    <cellStyle name="Total 27 5 5" xfId="27315"/>
    <cellStyle name="Total 27 5_Table 2A-1_EFT (Annual)" xfId="8963"/>
    <cellStyle name="Total 27 6" xfId="2029"/>
    <cellStyle name="Total 27 6 2" xfId="5590"/>
    <cellStyle name="Total 27 6 2 2" xfId="13805"/>
    <cellStyle name="Total 27 6 2 2 2" xfId="25793"/>
    <cellStyle name="Total 27 6 2 2 2 2" xfId="46979"/>
    <cellStyle name="Total 27 6 2 2 3" xfId="36375"/>
    <cellStyle name="Total 27 6 2 3" xfId="20680"/>
    <cellStyle name="Total 27 6 2 3 2" xfId="41867"/>
    <cellStyle name="Total 27 6 2 4" xfId="31247"/>
    <cellStyle name="Total 27 6 2_Table 2A-1_EFT (Annual)" xfId="8966"/>
    <cellStyle name="Total 27 6 3" xfId="11149"/>
    <cellStyle name="Total 27 6 3 2" xfId="23247"/>
    <cellStyle name="Total 27 6 3 2 2" xfId="44433"/>
    <cellStyle name="Total 27 6 3 3" xfId="33829"/>
    <cellStyle name="Total 27 6 4" xfId="18134"/>
    <cellStyle name="Total 27 6 4 2" xfId="39321"/>
    <cellStyle name="Total 27 6 5" xfId="28504"/>
    <cellStyle name="Total 27 6_Table 2A-1_EFT (Annual)" xfId="8965"/>
    <cellStyle name="Total 27 7" xfId="3837"/>
    <cellStyle name="Total 27 7 2" xfId="12200"/>
    <cellStyle name="Total 27 7 2 2" xfId="24229"/>
    <cellStyle name="Total 27 7 2 2 2" xfId="45415"/>
    <cellStyle name="Total 27 7 2 3" xfId="34811"/>
    <cellStyle name="Total 27 7 3" xfId="19116"/>
    <cellStyle name="Total 27 7 3 2" xfId="40303"/>
    <cellStyle name="Total 27 7 4" xfId="29546"/>
    <cellStyle name="Total 27 7_Table 2A-1_EFT (Annual)" xfId="8967"/>
    <cellStyle name="Total 27 8" xfId="9519"/>
    <cellStyle name="Total 27 8 2" xfId="21683"/>
    <cellStyle name="Total 27 8 2 2" xfId="42869"/>
    <cellStyle name="Total 27 8 3" xfId="32265"/>
    <cellStyle name="Total 27 9" xfId="16570"/>
    <cellStyle name="Total 27 9 2" xfId="37757"/>
    <cellStyle name="Total 27_Table 2A-1_EFT (Annual)" xfId="3565"/>
    <cellStyle name="Total 28" xfId="188"/>
    <cellStyle name="Total 28 10" xfId="26743"/>
    <cellStyle name="Total 28 2" xfId="581"/>
    <cellStyle name="Total 28 2 2" xfId="1558"/>
    <cellStyle name="Total 28 2 2 2" xfId="2828"/>
    <cellStyle name="Total 28 2 2 2 2" xfId="6389"/>
    <cellStyle name="Total 28 2 2 2 2 2" xfId="14583"/>
    <cellStyle name="Total 28 2 2 2 2 2 2" xfId="26555"/>
    <cellStyle name="Total 28 2 2 2 2 2 2 2" xfId="47741"/>
    <cellStyle name="Total 28 2 2 2 2 2 3" xfId="37137"/>
    <cellStyle name="Total 28 2 2 2 2 3" xfId="21442"/>
    <cellStyle name="Total 28 2 2 2 2 3 2" xfId="42629"/>
    <cellStyle name="Total 28 2 2 2 2 4" xfId="32045"/>
    <cellStyle name="Total 28 2 2 2 2_Table 2A-1_EFT (Annual)" xfId="8970"/>
    <cellStyle name="Total 28 2 2 2 3" xfId="11925"/>
    <cellStyle name="Total 28 2 2 2 3 2" xfId="24009"/>
    <cellStyle name="Total 28 2 2 2 3 2 2" xfId="45195"/>
    <cellStyle name="Total 28 2 2 2 3 3" xfId="34591"/>
    <cellStyle name="Total 28 2 2 2 4" xfId="18896"/>
    <cellStyle name="Total 28 2 2 2 4 2" xfId="40083"/>
    <cellStyle name="Total 28 2 2 2 5" xfId="29302"/>
    <cellStyle name="Total 28 2 2 2_Table 2A-1_EFT (Annual)" xfId="8969"/>
    <cellStyle name="Total 28 2 2 3" xfId="5119"/>
    <cellStyle name="Total 28 2 2 3 2" xfId="13379"/>
    <cellStyle name="Total 28 2 2 3 2 2" xfId="25385"/>
    <cellStyle name="Total 28 2 2 3 2 2 2" xfId="46571"/>
    <cellStyle name="Total 28 2 2 3 2 3" xfId="35967"/>
    <cellStyle name="Total 28 2 2 3 3" xfId="20272"/>
    <cellStyle name="Total 28 2 2 3 3 2" xfId="41459"/>
    <cellStyle name="Total 28 2 2 3 4" xfId="30776"/>
    <cellStyle name="Total 28 2 2 3_Table 2A-1_EFT (Annual)" xfId="8971"/>
    <cellStyle name="Total 28 2 2 4" xfId="10723"/>
    <cellStyle name="Total 28 2 2 4 2" xfId="22839"/>
    <cellStyle name="Total 28 2 2 4 2 2" xfId="44025"/>
    <cellStyle name="Total 28 2 2 4 3" xfId="33421"/>
    <cellStyle name="Total 28 2 2 5" xfId="17726"/>
    <cellStyle name="Total 28 2 2 5 2" xfId="38913"/>
    <cellStyle name="Total 28 2 2 6" xfId="28033"/>
    <cellStyle name="Total 28 2 2_Table 2A-1_EFT (Annual)" xfId="8968"/>
    <cellStyle name="Total 28 2 3" xfId="1081"/>
    <cellStyle name="Total 28 2 3 2" xfId="4642"/>
    <cellStyle name="Total 28 2 3 2 2" xfId="12902"/>
    <cellStyle name="Total 28 2 3 2 2 2" xfId="24908"/>
    <cellStyle name="Total 28 2 3 2 2 2 2" xfId="46094"/>
    <cellStyle name="Total 28 2 3 2 2 3" xfId="35490"/>
    <cellStyle name="Total 28 2 3 2 3" xfId="19795"/>
    <cellStyle name="Total 28 2 3 2 3 2" xfId="40982"/>
    <cellStyle name="Total 28 2 3 2 4" xfId="30299"/>
    <cellStyle name="Total 28 2 3 2_Table 2A-1_EFT (Annual)" xfId="8973"/>
    <cellStyle name="Total 28 2 3 3" xfId="10246"/>
    <cellStyle name="Total 28 2 3 3 2" xfId="22362"/>
    <cellStyle name="Total 28 2 3 3 2 2" xfId="43548"/>
    <cellStyle name="Total 28 2 3 3 3" xfId="32944"/>
    <cellStyle name="Total 28 2 3 4" xfId="17249"/>
    <cellStyle name="Total 28 2 3 4 2" xfId="38436"/>
    <cellStyle name="Total 28 2 3 5" xfId="27556"/>
    <cellStyle name="Total 28 2 3_Table 2A-1_EFT (Annual)" xfId="8972"/>
    <cellStyle name="Total 28 2 4" xfId="2297"/>
    <cellStyle name="Total 28 2 4 2" xfId="5858"/>
    <cellStyle name="Total 28 2 4 2 2" xfId="14073"/>
    <cellStyle name="Total 28 2 4 2 2 2" xfId="26061"/>
    <cellStyle name="Total 28 2 4 2 2 2 2" xfId="47247"/>
    <cellStyle name="Total 28 2 4 2 2 3" xfId="36643"/>
    <cellStyle name="Total 28 2 4 2 3" xfId="20948"/>
    <cellStyle name="Total 28 2 4 2 3 2" xfId="42135"/>
    <cellStyle name="Total 28 2 4 2 4" xfId="31515"/>
    <cellStyle name="Total 28 2 4 2_Table 2A-1_EFT (Annual)" xfId="8975"/>
    <cellStyle name="Total 28 2 4 3" xfId="11417"/>
    <cellStyle name="Total 28 2 4 3 2" xfId="23515"/>
    <cellStyle name="Total 28 2 4 3 2 2" xfId="44701"/>
    <cellStyle name="Total 28 2 4 3 3" xfId="34097"/>
    <cellStyle name="Total 28 2 4 4" xfId="18402"/>
    <cellStyle name="Total 28 2 4 4 2" xfId="39589"/>
    <cellStyle name="Total 28 2 4 5" xfId="28772"/>
    <cellStyle name="Total 28 2 4_Table 2A-1_EFT (Annual)" xfId="8974"/>
    <cellStyle name="Total 28 2 5" xfId="4151"/>
    <cellStyle name="Total 28 2 5 2" xfId="12475"/>
    <cellStyle name="Total 28 2 5 2 2" xfId="24497"/>
    <cellStyle name="Total 28 2 5 2 2 2" xfId="45683"/>
    <cellStyle name="Total 28 2 5 2 3" xfId="35079"/>
    <cellStyle name="Total 28 2 5 3" xfId="19384"/>
    <cellStyle name="Total 28 2 5 3 2" xfId="40571"/>
    <cellStyle name="Total 28 2 5 4" xfId="29839"/>
    <cellStyle name="Total 28 2 5_Table 2A-1_EFT (Annual)" xfId="8976"/>
    <cellStyle name="Total 28 2 6" xfId="9814"/>
    <cellStyle name="Total 28 2 6 2" xfId="21951"/>
    <cellStyle name="Total 28 2 6 2 2" xfId="43137"/>
    <cellStyle name="Total 28 2 6 3" xfId="32533"/>
    <cellStyle name="Total 28 2 7" xfId="16838"/>
    <cellStyle name="Total 28 2 7 2" xfId="38025"/>
    <cellStyle name="Total 28 2 8" xfId="27096"/>
    <cellStyle name="Total 28 2_Table 2A-1_EFT (Annual)" xfId="3569"/>
    <cellStyle name="Total 28 3" xfId="418"/>
    <cellStyle name="Total 28 3 2" xfId="1401"/>
    <cellStyle name="Total 28 3 2 2" xfId="2671"/>
    <cellStyle name="Total 28 3 2 2 2" xfId="6232"/>
    <cellStyle name="Total 28 3 2 2 2 2" xfId="14426"/>
    <cellStyle name="Total 28 3 2 2 2 2 2" xfId="26398"/>
    <cellStyle name="Total 28 3 2 2 2 2 2 2" xfId="47584"/>
    <cellStyle name="Total 28 3 2 2 2 2 3" xfId="36980"/>
    <cellStyle name="Total 28 3 2 2 2 3" xfId="21285"/>
    <cellStyle name="Total 28 3 2 2 2 3 2" xfId="42472"/>
    <cellStyle name="Total 28 3 2 2 2 4" xfId="31888"/>
    <cellStyle name="Total 28 3 2 2 2_Table 2A-1_EFT (Annual)" xfId="8979"/>
    <cellStyle name="Total 28 3 2 2 3" xfId="11768"/>
    <cellStyle name="Total 28 3 2 2 3 2" xfId="23852"/>
    <cellStyle name="Total 28 3 2 2 3 2 2" xfId="45038"/>
    <cellStyle name="Total 28 3 2 2 3 3" xfId="34434"/>
    <cellStyle name="Total 28 3 2 2 4" xfId="18739"/>
    <cellStyle name="Total 28 3 2 2 4 2" xfId="39926"/>
    <cellStyle name="Total 28 3 2 2 5" xfId="29145"/>
    <cellStyle name="Total 28 3 2 2_Table 2A-1_EFT (Annual)" xfId="8978"/>
    <cellStyle name="Total 28 3 2 3" xfId="4962"/>
    <cellStyle name="Total 28 3 2 3 2" xfId="13222"/>
    <cellStyle name="Total 28 3 2 3 2 2" xfId="25228"/>
    <cellStyle name="Total 28 3 2 3 2 2 2" xfId="46414"/>
    <cellStyle name="Total 28 3 2 3 2 3" xfId="35810"/>
    <cellStyle name="Total 28 3 2 3 3" xfId="20115"/>
    <cellStyle name="Total 28 3 2 3 3 2" xfId="41302"/>
    <cellStyle name="Total 28 3 2 3 4" xfId="30619"/>
    <cellStyle name="Total 28 3 2 3_Table 2A-1_EFT (Annual)" xfId="8980"/>
    <cellStyle name="Total 28 3 2 4" xfId="10566"/>
    <cellStyle name="Total 28 3 2 4 2" xfId="22682"/>
    <cellStyle name="Total 28 3 2 4 2 2" xfId="43868"/>
    <cellStyle name="Total 28 3 2 4 3" xfId="33264"/>
    <cellStyle name="Total 28 3 2 5" xfId="17569"/>
    <cellStyle name="Total 28 3 2 5 2" xfId="38756"/>
    <cellStyle name="Total 28 3 2 6" xfId="27876"/>
    <cellStyle name="Total 28 3 2_Table 2A-1_EFT (Annual)" xfId="8977"/>
    <cellStyle name="Total 28 3 3" xfId="948"/>
    <cellStyle name="Total 28 3 3 2" xfId="4509"/>
    <cellStyle name="Total 28 3 3 2 2" xfId="12771"/>
    <cellStyle name="Total 28 3 3 2 2 2" xfId="24781"/>
    <cellStyle name="Total 28 3 3 2 2 2 2" xfId="45967"/>
    <cellStyle name="Total 28 3 3 2 2 3" xfId="35363"/>
    <cellStyle name="Total 28 3 3 2 3" xfId="19668"/>
    <cellStyle name="Total 28 3 3 2 3 2" xfId="40855"/>
    <cellStyle name="Total 28 3 3 2 4" xfId="30166"/>
    <cellStyle name="Total 28 3 3 2_Table 2A-1_EFT (Annual)" xfId="8982"/>
    <cellStyle name="Total 28 3 3 3" xfId="10118"/>
    <cellStyle name="Total 28 3 3 3 2" xfId="22235"/>
    <cellStyle name="Total 28 3 3 3 2 2" xfId="43421"/>
    <cellStyle name="Total 28 3 3 3 3" xfId="32817"/>
    <cellStyle name="Total 28 3 3 4" xfId="17122"/>
    <cellStyle name="Total 28 3 3 4 2" xfId="38309"/>
    <cellStyle name="Total 28 3 3 5" xfId="27423"/>
    <cellStyle name="Total 28 3 3_Table 2A-1_EFT (Annual)" xfId="8981"/>
    <cellStyle name="Total 28 3 4" xfId="2140"/>
    <cellStyle name="Total 28 3 4 2" xfId="5701"/>
    <cellStyle name="Total 28 3 4 2 2" xfId="13916"/>
    <cellStyle name="Total 28 3 4 2 2 2" xfId="25904"/>
    <cellStyle name="Total 28 3 4 2 2 2 2" xfId="47090"/>
    <cellStyle name="Total 28 3 4 2 2 3" xfId="36486"/>
    <cellStyle name="Total 28 3 4 2 3" xfId="20791"/>
    <cellStyle name="Total 28 3 4 2 3 2" xfId="41978"/>
    <cellStyle name="Total 28 3 4 2 4" xfId="31358"/>
    <cellStyle name="Total 28 3 4 2_Table 2A-1_EFT (Annual)" xfId="8984"/>
    <cellStyle name="Total 28 3 4 3" xfId="11260"/>
    <cellStyle name="Total 28 3 4 3 2" xfId="23358"/>
    <cellStyle name="Total 28 3 4 3 2 2" xfId="44544"/>
    <cellStyle name="Total 28 3 4 3 3" xfId="33940"/>
    <cellStyle name="Total 28 3 4 4" xfId="18245"/>
    <cellStyle name="Total 28 3 4 4 2" xfId="39432"/>
    <cellStyle name="Total 28 3 4 5" xfId="28615"/>
    <cellStyle name="Total 28 3 4_Table 2A-1_EFT (Annual)" xfId="8983"/>
    <cellStyle name="Total 28 3 5" xfId="3988"/>
    <cellStyle name="Total 28 3 5 2" xfId="12316"/>
    <cellStyle name="Total 28 3 5 2 2" xfId="24340"/>
    <cellStyle name="Total 28 3 5 2 2 2" xfId="45526"/>
    <cellStyle name="Total 28 3 5 2 3" xfId="34922"/>
    <cellStyle name="Total 28 3 5 3" xfId="19227"/>
    <cellStyle name="Total 28 3 5 3 2" xfId="40414"/>
    <cellStyle name="Total 28 3 5 4" xfId="29676"/>
    <cellStyle name="Total 28 3 5_Table 2A-1_EFT (Annual)" xfId="8985"/>
    <cellStyle name="Total 28 3 6" xfId="9653"/>
    <cellStyle name="Total 28 3 6 2" xfId="21794"/>
    <cellStyle name="Total 28 3 6 2 2" xfId="42980"/>
    <cellStyle name="Total 28 3 6 3" xfId="32376"/>
    <cellStyle name="Total 28 3 7" xfId="16681"/>
    <cellStyle name="Total 28 3 7 2" xfId="37868"/>
    <cellStyle name="Total 28 3 8" xfId="26933"/>
    <cellStyle name="Total 28 3_Table 2A-1_EFT (Annual)" xfId="3570"/>
    <cellStyle name="Total 28 4" xfId="1236"/>
    <cellStyle name="Total 28 4 2" xfId="2506"/>
    <cellStyle name="Total 28 4 2 2" xfId="6067"/>
    <cellStyle name="Total 28 4 2 2 2" xfId="14261"/>
    <cellStyle name="Total 28 4 2 2 2 2" xfId="26233"/>
    <cellStyle name="Total 28 4 2 2 2 2 2" xfId="47419"/>
    <cellStyle name="Total 28 4 2 2 2 3" xfId="36815"/>
    <cellStyle name="Total 28 4 2 2 3" xfId="21120"/>
    <cellStyle name="Total 28 4 2 2 3 2" xfId="42307"/>
    <cellStyle name="Total 28 4 2 2 4" xfId="31723"/>
    <cellStyle name="Total 28 4 2 2_Table 2A-1_EFT (Annual)" xfId="8988"/>
    <cellStyle name="Total 28 4 2 3" xfId="11603"/>
    <cellStyle name="Total 28 4 2 3 2" xfId="23687"/>
    <cellStyle name="Total 28 4 2 3 2 2" xfId="44873"/>
    <cellStyle name="Total 28 4 2 3 3" xfId="34269"/>
    <cellStyle name="Total 28 4 2 4" xfId="18574"/>
    <cellStyle name="Total 28 4 2 4 2" xfId="39761"/>
    <cellStyle name="Total 28 4 2 5" xfId="28980"/>
    <cellStyle name="Total 28 4 2_Table 2A-1_EFT (Annual)" xfId="8987"/>
    <cellStyle name="Total 28 4 3" xfId="4797"/>
    <cellStyle name="Total 28 4 3 2" xfId="13057"/>
    <cellStyle name="Total 28 4 3 2 2" xfId="25063"/>
    <cellStyle name="Total 28 4 3 2 2 2" xfId="46249"/>
    <cellStyle name="Total 28 4 3 2 3" xfId="35645"/>
    <cellStyle name="Total 28 4 3 3" xfId="19950"/>
    <cellStyle name="Total 28 4 3 3 2" xfId="41137"/>
    <cellStyle name="Total 28 4 3 4" xfId="30454"/>
    <cellStyle name="Total 28 4 3_Table 2A-1_EFT (Annual)" xfId="8989"/>
    <cellStyle name="Total 28 4 4" xfId="10401"/>
    <cellStyle name="Total 28 4 4 2" xfId="22517"/>
    <cellStyle name="Total 28 4 4 2 2" xfId="43703"/>
    <cellStyle name="Total 28 4 4 3" xfId="33099"/>
    <cellStyle name="Total 28 4 5" xfId="17404"/>
    <cellStyle name="Total 28 4 5 2" xfId="38591"/>
    <cellStyle name="Total 28 4 6" xfId="27711"/>
    <cellStyle name="Total 28 4_Table 2A-1_EFT (Annual)" xfId="8986"/>
    <cellStyle name="Total 28 5" xfId="790"/>
    <cellStyle name="Total 28 5 2" xfId="4351"/>
    <cellStyle name="Total 28 5 2 2" xfId="12631"/>
    <cellStyle name="Total 28 5 2 2 2" xfId="24648"/>
    <cellStyle name="Total 28 5 2 2 2 2" xfId="45834"/>
    <cellStyle name="Total 28 5 2 2 3" xfId="35230"/>
    <cellStyle name="Total 28 5 2 3" xfId="19535"/>
    <cellStyle name="Total 28 5 2 3 2" xfId="40722"/>
    <cellStyle name="Total 28 5 2 4" xfId="30008"/>
    <cellStyle name="Total 28 5 2_Table 2A-1_EFT (Annual)" xfId="8991"/>
    <cellStyle name="Total 28 5 3" xfId="9979"/>
    <cellStyle name="Total 28 5 3 2" xfId="22102"/>
    <cellStyle name="Total 28 5 3 2 2" xfId="43288"/>
    <cellStyle name="Total 28 5 3 3" xfId="32684"/>
    <cellStyle name="Total 28 5 4" xfId="16989"/>
    <cellStyle name="Total 28 5 4 2" xfId="38176"/>
    <cellStyle name="Total 28 5 5" xfId="27265"/>
    <cellStyle name="Total 28 5_Table 2A-1_EFT (Annual)" xfId="8990"/>
    <cellStyle name="Total 28 6" xfId="1975"/>
    <cellStyle name="Total 28 6 2" xfId="5536"/>
    <cellStyle name="Total 28 6 2 2" xfId="13751"/>
    <cellStyle name="Total 28 6 2 2 2" xfId="25739"/>
    <cellStyle name="Total 28 6 2 2 2 2" xfId="46925"/>
    <cellStyle name="Total 28 6 2 2 3" xfId="36321"/>
    <cellStyle name="Total 28 6 2 3" xfId="20626"/>
    <cellStyle name="Total 28 6 2 3 2" xfId="41813"/>
    <cellStyle name="Total 28 6 2 4" xfId="31193"/>
    <cellStyle name="Total 28 6 2_Table 2A-1_EFT (Annual)" xfId="8993"/>
    <cellStyle name="Total 28 6 3" xfId="11095"/>
    <cellStyle name="Total 28 6 3 2" xfId="23193"/>
    <cellStyle name="Total 28 6 3 2 2" xfId="44379"/>
    <cellStyle name="Total 28 6 3 3" xfId="33775"/>
    <cellStyle name="Total 28 6 4" xfId="18080"/>
    <cellStyle name="Total 28 6 4 2" xfId="39267"/>
    <cellStyle name="Total 28 6 5" xfId="28450"/>
    <cellStyle name="Total 28 6_Table 2A-1_EFT (Annual)" xfId="8992"/>
    <cellStyle name="Total 28 7" xfId="3777"/>
    <cellStyle name="Total 28 7 2" xfId="12145"/>
    <cellStyle name="Total 28 7 2 2" xfId="24175"/>
    <cellStyle name="Total 28 7 2 2 2" xfId="45361"/>
    <cellStyle name="Total 28 7 2 3" xfId="34757"/>
    <cellStyle name="Total 28 7 3" xfId="19062"/>
    <cellStyle name="Total 28 7 3 2" xfId="40249"/>
    <cellStyle name="Total 28 7 4" xfId="29486"/>
    <cellStyle name="Total 28 7_Table 2A-1_EFT (Annual)" xfId="8994"/>
    <cellStyle name="Total 28 8" xfId="9464"/>
    <cellStyle name="Total 28 8 2" xfId="21629"/>
    <cellStyle name="Total 28 8 2 2" xfId="42815"/>
    <cellStyle name="Total 28 8 3" xfId="32211"/>
    <cellStyle name="Total 28 9" xfId="16516"/>
    <cellStyle name="Total 28 9 2" xfId="37703"/>
    <cellStyle name="Total 28_Table 2A-1_EFT (Annual)" xfId="3568"/>
    <cellStyle name="Total 29" xfId="214"/>
    <cellStyle name="Total 29 10" xfId="26769"/>
    <cellStyle name="Total 29 2" xfId="607"/>
    <cellStyle name="Total 29 2 2" xfId="1584"/>
    <cellStyle name="Total 29 2 2 2" xfId="2854"/>
    <cellStyle name="Total 29 2 2 2 2" xfId="6415"/>
    <cellStyle name="Total 29 2 2 2 2 2" xfId="14609"/>
    <cellStyle name="Total 29 2 2 2 2 2 2" xfId="26581"/>
    <cellStyle name="Total 29 2 2 2 2 2 2 2" xfId="47767"/>
    <cellStyle name="Total 29 2 2 2 2 2 3" xfId="37163"/>
    <cellStyle name="Total 29 2 2 2 2 3" xfId="21468"/>
    <cellStyle name="Total 29 2 2 2 2 3 2" xfId="42655"/>
    <cellStyle name="Total 29 2 2 2 2 4" xfId="32071"/>
    <cellStyle name="Total 29 2 2 2 2_Table 2A-1_EFT (Annual)" xfId="8997"/>
    <cellStyle name="Total 29 2 2 2 3" xfId="11951"/>
    <cellStyle name="Total 29 2 2 2 3 2" xfId="24035"/>
    <cellStyle name="Total 29 2 2 2 3 2 2" xfId="45221"/>
    <cellStyle name="Total 29 2 2 2 3 3" xfId="34617"/>
    <cellStyle name="Total 29 2 2 2 4" xfId="18922"/>
    <cellStyle name="Total 29 2 2 2 4 2" xfId="40109"/>
    <cellStyle name="Total 29 2 2 2 5" xfId="29328"/>
    <cellStyle name="Total 29 2 2 2_Table 2A-1_EFT (Annual)" xfId="8996"/>
    <cellStyle name="Total 29 2 2 3" xfId="5145"/>
    <cellStyle name="Total 29 2 2 3 2" xfId="13405"/>
    <cellStyle name="Total 29 2 2 3 2 2" xfId="25411"/>
    <cellStyle name="Total 29 2 2 3 2 2 2" xfId="46597"/>
    <cellStyle name="Total 29 2 2 3 2 3" xfId="35993"/>
    <cellStyle name="Total 29 2 2 3 3" xfId="20298"/>
    <cellStyle name="Total 29 2 2 3 3 2" xfId="41485"/>
    <cellStyle name="Total 29 2 2 3 4" xfId="30802"/>
    <cellStyle name="Total 29 2 2 3_Table 2A-1_EFT (Annual)" xfId="8998"/>
    <cellStyle name="Total 29 2 2 4" xfId="10749"/>
    <cellStyle name="Total 29 2 2 4 2" xfId="22865"/>
    <cellStyle name="Total 29 2 2 4 2 2" xfId="44051"/>
    <cellStyle name="Total 29 2 2 4 3" xfId="33447"/>
    <cellStyle name="Total 29 2 2 5" xfId="17752"/>
    <cellStyle name="Total 29 2 2 5 2" xfId="38939"/>
    <cellStyle name="Total 29 2 2 6" xfId="28059"/>
    <cellStyle name="Total 29 2 2_Table 2A-1_EFT (Annual)" xfId="8995"/>
    <cellStyle name="Total 29 2 3" xfId="1102"/>
    <cellStyle name="Total 29 2 3 2" xfId="4663"/>
    <cellStyle name="Total 29 2 3 2 2" xfId="12923"/>
    <cellStyle name="Total 29 2 3 2 2 2" xfId="24929"/>
    <cellStyle name="Total 29 2 3 2 2 2 2" xfId="46115"/>
    <cellStyle name="Total 29 2 3 2 2 3" xfId="35511"/>
    <cellStyle name="Total 29 2 3 2 3" xfId="19816"/>
    <cellStyle name="Total 29 2 3 2 3 2" xfId="41003"/>
    <cellStyle name="Total 29 2 3 2 4" xfId="30320"/>
    <cellStyle name="Total 29 2 3 2_Table 2A-1_EFT (Annual)" xfId="9000"/>
    <cellStyle name="Total 29 2 3 3" xfId="10267"/>
    <cellStyle name="Total 29 2 3 3 2" xfId="22383"/>
    <cellStyle name="Total 29 2 3 3 2 2" xfId="43569"/>
    <cellStyle name="Total 29 2 3 3 3" xfId="32965"/>
    <cellStyle name="Total 29 2 3 4" xfId="17270"/>
    <cellStyle name="Total 29 2 3 4 2" xfId="38457"/>
    <cellStyle name="Total 29 2 3 5" xfId="27577"/>
    <cellStyle name="Total 29 2 3_Table 2A-1_EFT (Annual)" xfId="8999"/>
    <cellStyle name="Total 29 2 4" xfId="2323"/>
    <cellStyle name="Total 29 2 4 2" xfId="5884"/>
    <cellStyle name="Total 29 2 4 2 2" xfId="14099"/>
    <cellStyle name="Total 29 2 4 2 2 2" xfId="26087"/>
    <cellStyle name="Total 29 2 4 2 2 2 2" xfId="47273"/>
    <cellStyle name="Total 29 2 4 2 2 3" xfId="36669"/>
    <cellStyle name="Total 29 2 4 2 3" xfId="20974"/>
    <cellStyle name="Total 29 2 4 2 3 2" xfId="42161"/>
    <cellStyle name="Total 29 2 4 2 4" xfId="31541"/>
    <cellStyle name="Total 29 2 4 2_Table 2A-1_EFT (Annual)" xfId="9002"/>
    <cellStyle name="Total 29 2 4 3" xfId="11443"/>
    <cellStyle name="Total 29 2 4 3 2" xfId="23541"/>
    <cellStyle name="Total 29 2 4 3 2 2" xfId="44727"/>
    <cellStyle name="Total 29 2 4 3 3" xfId="34123"/>
    <cellStyle name="Total 29 2 4 4" xfId="18428"/>
    <cellStyle name="Total 29 2 4 4 2" xfId="39615"/>
    <cellStyle name="Total 29 2 4 5" xfId="28798"/>
    <cellStyle name="Total 29 2 4_Table 2A-1_EFT (Annual)" xfId="9001"/>
    <cellStyle name="Total 29 2 5" xfId="4177"/>
    <cellStyle name="Total 29 2 5 2" xfId="12501"/>
    <cellStyle name="Total 29 2 5 2 2" xfId="24523"/>
    <cellStyle name="Total 29 2 5 2 2 2" xfId="45709"/>
    <cellStyle name="Total 29 2 5 2 3" xfId="35105"/>
    <cellStyle name="Total 29 2 5 3" xfId="19410"/>
    <cellStyle name="Total 29 2 5 3 2" xfId="40597"/>
    <cellStyle name="Total 29 2 5 4" xfId="29865"/>
    <cellStyle name="Total 29 2 5_Table 2A-1_EFT (Annual)" xfId="9003"/>
    <cellStyle name="Total 29 2 6" xfId="9840"/>
    <cellStyle name="Total 29 2 6 2" xfId="21977"/>
    <cellStyle name="Total 29 2 6 2 2" xfId="43163"/>
    <cellStyle name="Total 29 2 6 3" xfId="32559"/>
    <cellStyle name="Total 29 2 7" xfId="16864"/>
    <cellStyle name="Total 29 2 7 2" xfId="38051"/>
    <cellStyle name="Total 29 2 8" xfId="27122"/>
    <cellStyle name="Total 29 2_Table 2A-1_EFT (Annual)" xfId="3572"/>
    <cellStyle name="Total 29 3" xfId="442"/>
    <cellStyle name="Total 29 3 2" xfId="1425"/>
    <cellStyle name="Total 29 3 2 2" xfId="2695"/>
    <cellStyle name="Total 29 3 2 2 2" xfId="6256"/>
    <cellStyle name="Total 29 3 2 2 2 2" xfId="14450"/>
    <cellStyle name="Total 29 3 2 2 2 2 2" xfId="26422"/>
    <cellStyle name="Total 29 3 2 2 2 2 2 2" xfId="47608"/>
    <cellStyle name="Total 29 3 2 2 2 2 3" xfId="37004"/>
    <cellStyle name="Total 29 3 2 2 2 3" xfId="21309"/>
    <cellStyle name="Total 29 3 2 2 2 3 2" xfId="42496"/>
    <cellStyle name="Total 29 3 2 2 2 4" xfId="31912"/>
    <cellStyle name="Total 29 3 2 2 2_Table 2A-1_EFT (Annual)" xfId="9006"/>
    <cellStyle name="Total 29 3 2 2 3" xfId="11792"/>
    <cellStyle name="Total 29 3 2 2 3 2" xfId="23876"/>
    <cellStyle name="Total 29 3 2 2 3 2 2" xfId="45062"/>
    <cellStyle name="Total 29 3 2 2 3 3" xfId="34458"/>
    <cellStyle name="Total 29 3 2 2 4" xfId="18763"/>
    <cellStyle name="Total 29 3 2 2 4 2" xfId="39950"/>
    <cellStyle name="Total 29 3 2 2 5" xfId="29169"/>
    <cellStyle name="Total 29 3 2 2_Table 2A-1_EFT (Annual)" xfId="9005"/>
    <cellStyle name="Total 29 3 2 3" xfId="4986"/>
    <cellStyle name="Total 29 3 2 3 2" xfId="13246"/>
    <cellStyle name="Total 29 3 2 3 2 2" xfId="25252"/>
    <cellStyle name="Total 29 3 2 3 2 2 2" xfId="46438"/>
    <cellStyle name="Total 29 3 2 3 2 3" xfId="35834"/>
    <cellStyle name="Total 29 3 2 3 3" xfId="20139"/>
    <cellStyle name="Total 29 3 2 3 3 2" xfId="41326"/>
    <cellStyle name="Total 29 3 2 3 4" xfId="30643"/>
    <cellStyle name="Total 29 3 2 3_Table 2A-1_EFT (Annual)" xfId="9007"/>
    <cellStyle name="Total 29 3 2 4" xfId="10590"/>
    <cellStyle name="Total 29 3 2 4 2" xfId="22706"/>
    <cellStyle name="Total 29 3 2 4 2 2" xfId="43892"/>
    <cellStyle name="Total 29 3 2 4 3" xfId="33288"/>
    <cellStyle name="Total 29 3 2 5" xfId="17593"/>
    <cellStyle name="Total 29 3 2 5 2" xfId="38780"/>
    <cellStyle name="Total 29 3 2 6" xfId="27900"/>
    <cellStyle name="Total 29 3 2_Table 2A-1_EFT (Annual)" xfId="9004"/>
    <cellStyle name="Total 29 3 3" xfId="967"/>
    <cellStyle name="Total 29 3 3 2" xfId="4528"/>
    <cellStyle name="Total 29 3 3 2 2" xfId="12790"/>
    <cellStyle name="Total 29 3 3 2 2 2" xfId="24800"/>
    <cellStyle name="Total 29 3 3 2 2 2 2" xfId="45986"/>
    <cellStyle name="Total 29 3 3 2 2 3" xfId="35382"/>
    <cellStyle name="Total 29 3 3 2 3" xfId="19687"/>
    <cellStyle name="Total 29 3 3 2 3 2" xfId="40874"/>
    <cellStyle name="Total 29 3 3 2 4" xfId="30185"/>
    <cellStyle name="Total 29 3 3 2_Table 2A-1_EFT (Annual)" xfId="9009"/>
    <cellStyle name="Total 29 3 3 3" xfId="10137"/>
    <cellStyle name="Total 29 3 3 3 2" xfId="22254"/>
    <cellStyle name="Total 29 3 3 3 2 2" xfId="43440"/>
    <cellStyle name="Total 29 3 3 3 3" xfId="32836"/>
    <cellStyle name="Total 29 3 3 4" xfId="17141"/>
    <cellStyle name="Total 29 3 3 4 2" xfId="38328"/>
    <cellStyle name="Total 29 3 3 5" xfId="27442"/>
    <cellStyle name="Total 29 3 3_Table 2A-1_EFT (Annual)" xfId="9008"/>
    <cellStyle name="Total 29 3 4" xfId="2164"/>
    <cellStyle name="Total 29 3 4 2" xfId="5725"/>
    <cellStyle name="Total 29 3 4 2 2" xfId="13940"/>
    <cellStyle name="Total 29 3 4 2 2 2" xfId="25928"/>
    <cellStyle name="Total 29 3 4 2 2 2 2" xfId="47114"/>
    <cellStyle name="Total 29 3 4 2 2 3" xfId="36510"/>
    <cellStyle name="Total 29 3 4 2 3" xfId="20815"/>
    <cellStyle name="Total 29 3 4 2 3 2" xfId="42002"/>
    <cellStyle name="Total 29 3 4 2 4" xfId="31382"/>
    <cellStyle name="Total 29 3 4 2_Table 2A-1_EFT (Annual)" xfId="9011"/>
    <cellStyle name="Total 29 3 4 3" xfId="11284"/>
    <cellStyle name="Total 29 3 4 3 2" xfId="23382"/>
    <cellStyle name="Total 29 3 4 3 2 2" xfId="44568"/>
    <cellStyle name="Total 29 3 4 3 3" xfId="33964"/>
    <cellStyle name="Total 29 3 4 4" xfId="18269"/>
    <cellStyle name="Total 29 3 4 4 2" xfId="39456"/>
    <cellStyle name="Total 29 3 4 5" xfId="28639"/>
    <cellStyle name="Total 29 3 4_Table 2A-1_EFT (Annual)" xfId="9010"/>
    <cellStyle name="Total 29 3 5" xfId="4012"/>
    <cellStyle name="Total 29 3 5 2" xfId="12340"/>
    <cellStyle name="Total 29 3 5 2 2" xfId="24364"/>
    <cellStyle name="Total 29 3 5 2 2 2" xfId="45550"/>
    <cellStyle name="Total 29 3 5 2 3" xfId="34946"/>
    <cellStyle name="Total 29 3 5 3" xfId="19251"/>
    <cellStyle name="Total 29 3 5 3 2" xfId="40438"/>
    <cellStyle name="Total 29 3 5 4" xfId="29700"/>
    <cellStyle name="Total 29 3 5_Table 2A-1_EFT (Annual)" xfId="9012"/>
    <cellStyle name="Total 29 3 6" xfId="9677"/>
    <cellStyle name="Total 29 3 6 2" xfId="21818"/>
    <cellStyle name="Total 29 3 6 2 2" xfId="43004"/>
    <cellStyle name="Total 29 3 6 3" xfId="32400"/>
    <cellStyle name="Total 29 3 7" xfId="16705"/>
    <cellStyle name="Total 29 3 7 2" xfId="37892"/>
    <cellStyle name="Total 29 3 8" xfId="26957"/>
    <cellStyle name="Total 29 3_Table 2A-1_EFT (Annual)" xfId="3573"/>
    <cellStyle name="Total 29 4" xfId="1262"/>
    <cellStyle name="Total 29 4 2" xfId="2532"/>
    <cellStyle name="Total 29 4 2 2" xfId="6093"/>
    <cellStyle name="Total 29 4 2 2 2" xfId="14287"/>
    <cellStyle name="Total 29 4 2 2 2 2" xfId="26259"/>
    <cellStyle name="Total 29 4 2 2 2 2 2" xfId="47445"/>
    <cellStyle name="Total 29 4 2 2 2 3" xfId="36841"/>
    <cellStyle name="Total 29 4 2 2 3" xfId="21146"/>
    <cellStyle name="Total 29 4 2 2 3 2" xfId="42333"/>
    <cellStyle name="Total 29 4 2 2 4" xfId="31749"/>
    <cellStyle name="Total 29 4 2 2_Table 2A-1_EFT (Annual)" xfId="9015"/>
    <cellStyle name="Total 29 4 2 3" xfId="11629"/>
    <cellStyle name="Total 29 4 2 3 2" xfId="23713"/>
    <cellStyle name="Total 29 4 2 3 2 2" xfId="44899"/>
    <cellStyle name="Total 29 4 2 3 3" xfId="34295"/>
    <cellStyle name="Total 29 4 2 4" xfId="18600"/>
    <cellStyle name="Total 29 4 2 4 2" xfId="39787"/>
    <cellStyle name="Total 29 4 2 5" xfId="29006"/>
    <cellStyle name="Total 29 4 2_Table 2A-1_EFT (Annual)" xfId="9014"/>
    <cellStyle name="Total 29 4 3" xfId="4823"/>
    <cellStyle name="Total 29 4 3 2" xfId="13083"/>
    <cellStyle name="Total 29 4 3 2 2" xfId="25089"/>
    <cellStyle name="Total 29 4 3 2 2 2" xfId="46275"/>
    <cellStyle name="Total 29 4 3 2 3" xfId="35671"/>
    <cellStyle name="Total 29 4 3 3" xfId="19976"/>
    <cellStyle name="Total 29 4 3 3 2" xfId="41163"/>
    <cellStyle name="Total 29 4 3 4" xfId="30480"/>
    <cellStyle name="Total 29 4 3_Table 2A-1_EFT (Annual)" xfId="9016"/>
    <cellStyle name="Total 29 4 4" xfId="10427"/>
    <cellStyle name="Total 29 4 4 2" xfId="22543"/>
    <cellStyle name="Total 29 4 4 2 2" xfId="43729"/>
    <cellStyle name="Total 29 4 4 3" xfId="33125"/>
    <cellStyle name="Total 29 4 5" xfId="17430"/>
    <cellStyle name="Total 29 4 5 2" xfId="38617"/>
    <cellStyle name="Total 29 4 6" xfId="27737"/>
    <cellStyle name="Total 29 4_Table 2A-1_EFT (Annual)" xfId="9013"/>
    <cellStyle name="Total 29 5" xfId="811"/>
    <cellStyle name="Total 29 5 2" xfId="4372"/>
    <cellStyle name="Total 29 5 2 2" xfId="12652"/>
    <cellStyle name="Total 29 5 2 2 2" xfId="24669"/>
    <cellStyle name="Total 29 5 2 2 2 2" xfId="45855"/>
    <cellStyle name="Total 29 5 2 2 3" xfId="35251"/>
    <cellStyle name="Total 29 5 2 3" xfId="19556"/>
    <cellStyle name="Total 29 5 2 3 2" xfId="40743"/>
    <cellStyle name="Total 29 5 2 4" xfId="30029"/>
    <cellStyle name="Total 29 5 2_Table 2A-1_EFT (Annual)" xfId="9018"/>
    <cellStyle name="Total 29 5 3" xfId="10000"/>
    <cellStyle name="Total 29 5 3 2" xfId="22123"/>
    <cellStyle name="Total 29 5 3 2 2" xfId="43309"/>
    <cellStyle name="Total 29 5 3 3" xfId="32705"/>
    <cellStyle name="Total 29 5 4" xfId="17010"/>
    <cellStyle name="Total 29 5 4 2" xfId="38197"/>
    <cellStyle name="Total 29 5 5" xfId="27286"/>
    <cellStyle name="Total 29 5_Table 2A-1_EFT (Annual)" xfId="9017"/>
    <cellStyle name="Total 29 6" xfId="2001"/>
    <cellStyle name="Total 29 6 2" xfId="5562"/>
    <cellStyle name="Total 29 6 2 2" xfId="13777"/>
    <cellStyle name="Total 29 6 2 2 2" xfId="25765"/>
    <cellStyle name="Total 29 6 2 2 2 2" xfId="46951"/>
    <cellStyle name="Total 29 6 2 2 3" xfId="36347"/>
    <cellStyle name="Total 29 6 2 3" xfId="20652"/>
    <cellStyle name="Total 29 6 2 3 2" xfId="41839"/>
    <cellStyle name="Total 29 6 2 4" xfId="31219"/>
    <cellStyle name="Total 29 6 2_Table 2A-1_EFT (Annual)" xfId="9020"/>
    <cellStyle name="Total 29 6 3" xfId="11121"/>
    <cellStyle name="Total 29 6 3 2" xfId="23219"/>
    <cellStyle name="Total 29 6 3 2 2" xfId="44405"/>
    <cellStyle name="Total 29 6 3 3" xfId="33801"/>
    <cellStyle name="Total 29 6 4" xfId="18106"/>
    <cellStyle name="Total 29 6 4 2" xfId="39293"/>
    <cellStyle name="Total 29 6 5" xfId="28476"/>
    <cellStyle name="Total 29 6_Table 2A-1_EFT (Annual)" xfId="9019"/>
    <cellStyle name="Total 29 7" xfId="3803"/>
    <cellStyle name="Total 29 7 2" xfId="12171"/>
    <cellStyle name="Total 29 7 2 2" xfId="24201"/>
    <cellStyle name="Total 29 7 2 2 2" xfId="45387"/>
    <cellStyle name="Total 29 7 2 3" xfId="34783"/>
    <cellStyle name="Total 29 7 3" xfId="19088"/>
    <cellStyle name="Total 29 7 3 2" xfId="40275"/>
    <cellStyle name="Total 29 7 4" xfId="29512"/>
    <cellStyle name="Total 29 7_Table 2A-1_EFT (Annual)" xfId="9021"/>
    <cellStyle name="Total 29 8" xfId="9490"/>
    <cellStyle name="Total 29 8 2" xfId="21655"/>
    <cellStyle name="Total 29 8 2 2" xfId="42841"/>
    <cellStyle name="Total 29 8 3" xfId="32237"/>
    <cellStyle name="Total 29 9" xfId="16542"/>
    <cellStyle name="Total 29 9 2" xfId="37729"/>
    <cellStyle name="Total 29_Table 2A-1_EFT (Annual)" xfId="3571"/>
    <cellStyle name="Total 3" xfId="115"/>
    <cellStyle name="Total 3 10" xfId="21507"/>
    <cellStyle name="Total 3 10 2" xfId="42694"/>
    <cellStyle name="Total 3 11" xfId="26670"/>
    <cellStyle name="Total 3 2" xfId="508"/>
    <cellStyle name="Total 3 2 2" xfId="1485"/>
    <cellStyle name="Total 3 2 2 2" xfId="2755"/>
    <cellStyle name="Total 3 2 2 2 2" xfId="6316"/>
    <cellStyle name="Total 3 2 2 2 2 2" xfId="14510"/>
    <cellStyle name="Total 3 2 2 2 2 2 2" xfId="26482"/>
    <cellStyle name="Total 3 2 2 2 2 2 2 2" xfId="47668"/>
    <cellStyle name="Total 3 2 2 2 2 2 3" xfId="37064"/>
    <cellStyle name="Total 3 2 2 2 2 3" xfId="21369"/>
    <cellStyle name="Total 3 2 2 2 2 3 2" xfId="42556"/>
    <cellStyle name="Total 3 2 2 2 2 4" xfId="31972"/>
    <cellStyle name="Total 3 2 2 2 2_Table 2A-1_EFT (Annual)" xfId="9024"/>
    <cellStyle name="Total 3 2 2 2 3" xfId="11852"/>
    <cellStyle name="Total 3 2 2 2 3 2" xfId="23936"/>
    <cellStyle name="Total 3 2 2 2 3 2 2" xfId="45122"/>
    <cellStyle name="Total 3 2 2 2 3 3" xfId="34518"/>
    <cellStyle name="Total 3 2 2 2 4" xfId="18823"/>
    <cellStyle name="Total 3 2 2 2 4 2" xfId="40010"/>
    <cellStyle name="Total 3 2 2 2 5" xfId="29229"/>
    <cellStyle name="Total 3 2 2 2_Table 2A-1_EFT (Annual)" xfId="9023"/>
    <cellStyle name="Total 3 2 2 3" xfId="5046"/>
    <cellStyle name="Total 3 2 2 3 2" xfId="13306"/>
    <cellStyle name="Total 3 2 2 3 2 2" xfId="25312"/>
    <cellStyle name="Total 3 2 2 3 2 2 2" xfId="46498"/>
    <cellStyle name="Total 3 2 2 3 2 3" xfId="35894"/>
    <cellStyle name="Total 3 2 2 3 3" xfId="20199"/>
    <cellStyle name="Total 3 2 2 3 3 2" xfId="41386"/>
    <cellStyle name="Total 3 2 2 3 4" xfId="30703"/>
    <cellStyle name="Total 3 2 2 3_Table 2A-1_EFT (Annual)" xfId="9025"/>
    <cellStyle name="Total 3 2 2 4" xfId="10650"/>
    <cellStyle name="Total 3 2 2 4 2" xfId="22766"/>
    <cellStyle name="Total 3 2 2 4 2 2" xfId="43952"/>
    <cellStyle name="Total 3 2 2 4 3" xfId="33348"/>
    <cellStyle name="Total 3 2 2 5" xfId="17653"/>
    <cellStyle name="Total 3 2 2 5 2" xfId="38840"/>
    <cellStyle name="Total 3 2 2 6" xfId="27960"/>
    <cellStyle name="Total 3 2 2_Table 2A-1_EFT (Annual)" xfId="9022"/>
    <cellStyle name="Total 3 2 3" xfId="1020"/>
    <cellStyle name="Total 3 2 3 2" xfId="4581"/>
    <cellStyle name="Total 3 2 3 2 2" xfId="12841"/>
    <cellStyle name="Total 3 2 3 2 2 2" xfId="24847"/>
    <cellStyle name="Total 3 2 3 2 2 2 2" xfId="46033"/>
    <cellStyle name="Total 3 2 3 2 2 3" xfId="35429"/>
    <cellStyle name="Total 3 2 3 2 3" xfId="19734"/>
    <cellStyle name="Total 3 2 3 2 3 2" xfId="40921"/>
    <cellStyle name="Total 3 2 3 2 4" xfId="30238"/>
    <cellStyle name="Total 3 2 3 2_Table 2A-1_EFT (Annual)" xfId="9027"/>
    <cellStyle name="Total 3 2 3 3" xfId="10185"/>
    <cellStyle name="Total 3 2 3 3 2" xfId="22301"/>
    <cellStyle name="Total 3 2 3 3 2 2" xfId="43487"/>
    <cellStyle name="Total 3 2 3 3 3" xfId="32883"/>
    <cellStyle name="Total 3 2 3 4" xfId="17188"/>
    <cellStyle name="Total 3 2 3 4 2" xfId="38375"/>
    <cellStyle name="Total 3 2 3 5" xfId="27495"/>
    <cellStyle name="Total 3 2 3_Table 2A-1_EFT (Annual)" xfId="9026"/>
    <cellStyle name="Total 3 2 4" xfId="2224"/>
    <cellStyle name="Total 3 2 4 2" xfId="5785"/>
    <cellStyle name="Total 3 2 4 2 2" xfId="14000"/>
    <cellStyle name="Total 3 2 4 2 2 2" xfId="25988"/>
    <cellStyle name="Total 3 2 4 2 2 2 2" xfId="47174"/>
    <cellStyle name="Total 3 2 4 2 2 3" xfId="36570"/>
    <cellStyle name="Total 3 2 4 2 3" xfId="20875"/>
    <cellStyle name="Total 3 2 4 2 3 2" xfId="42062"/>
    <cellStyle name="Total 3 2 4 2 4" xfId="31442"/>
    <cellStyle name="Total 3 2 4 2_Table 2A-1_EFT (Annual)" xfId="9029"/>
    <cellStyle name="Total 3 2 4 3" xfId="11344"/>
    <cellStyle name="Total 3 2 4 3 2" xfId="23442"/>
    <cellStyle name="Total 3 2 4 3 2 2" xfId="44628"/>
    <cellStyle name="Total 3 2 4 3 3" xfId="34024"/>
    <cellStyle name="Total 3 2 4 4" xfId="18329"/>
    <cellStyle name="Total 3 2 4 4 2" xfId="39516"/>
    <cellStyle name="Total 3 2 4 5" xfId="28699"/>
    <cellStyle name="Total 3 2 4_Table 2A-1_EFT (Annual)" xfId="9028"/>
    <cellStyle name="Total 3 2 5" xfId="4078"/>
    <cellStyle name="Total 3 2 5 2" xfId="12402"/>
    <cellStyle name="Total 3 2 5 2 2" xfId="24424"/>
    <cellStyle name="Total 3 2 5 2 2 2" xfId="45610"/>
    <cellStyle name="Total 3 2 5 2 3" xfId="35006"/>
    <cellStyle name="Total 3 2 5 3" xfId="19311"/>
    <cellStyle name="Total 3 2 5 3 2" xfId="40498"/>
    <cellStyle name="Total 3 2 5 4" xfId="29766"/>
    <cellStyle name="Total 3 2 5_Table 2A-1_EFT (Annual)" xfId="9030"/>
    <cellStyle name="Total 3 2 6" xfId="9741"/>
    <cellStyle name="Total 3 2 6 2" xfId="21878"/>
    <cellStyle name="Total 3 2 6 2 2" xfId="43064"/>
    <cellStyle name="Total 3 2 6 3" xfId="32460"/>
    <cellStyle name="Total 3 2 7" xfId="16765"/>
    <cellStyle name="Total 3 2 7 2" xfId="37952"/>
    <cellStyle name="Total 3 2 8" xfId="27023"/>
    <cellStyle name="Total 3 2_Table 2A-1_EFT (Annual)" xfId="3575"/>
    <cellStyle name="Total 3 3" xfId="346"/>
    <cellStyle name="Total 3 3 2" xfId="1329"/>
    <cellStyle name="Total 3 3 2 2" xfId="2599"/>
    <cellStyle name="Total 3 3 2 2 2" xfId="6160"/>
    <cellStyle name="Total 3 3 2 2 2 2" xfId="14354"/>
    <cellStyle name="Total 3 3 2 2 2 2 2" xfId="26326"/>
    <cellStyle name="Total 3 3 2 2 2 2 2 2" xfId="47512"/>
    <cellStyle name="Total 3 3 2 2 2 2 3" xfId="36908"/>
    <cellStyle name="Total 3 3 2 2 2 3" xfId="21213"/>
    <cellStyle name="Total 3 3 2 2 2 3 2" xfId="42400"/>
    <cellStyle name="Total 3 3 2 2 2 4" xfId="31816"/>
    <cellStyle name="Total 3 3 2 2 2_Table 2A-1_EFT (Annual)" xfId="9033"/>
    <cellStyle name="Total 3 3 2 2 3" xfId="11696"/>
    <cellStyle name="Total 3 3 2 2 3 2" xfId="23780"/>
    <cellStyle name="Total 3 3 2 2 3 2 2" xfId="44966"/>
    <cellStyle name="Total 3 3 2 2 3 3" xfId="34362"/>
    <cellStyle name="Total 3 3 2 2 4" xfId="18667"/>
    <cellStyle name="Total 3 3 2 2 4 2" xfId="39854"/>
    <cellStyle name="Total 3 3 2 2 5" xfId="29073"/>
    <cellStyle name="Total 3 3 2 2_Table 2A-1_EFT (Annual)" xfId="9032"/>
    <cellStyle name="Total 3 3 2 3" xfId="4890"/>
    <cellStyle name="Total 3 3 2 3 2" xfId="13150"/>
    <cellStyle name="Total 3 3 2 3 2 2" xfId="25156"/>
    <cellStyle name="Total 3 3 2 3 2 2 2" xfId="46342"/>
    <cellStyle name="Total 3 3 2 3 2 3" xfId="35738"/>
    <cellStyle name="Total 3 3 2 3 3" xfId="20043"/>
    <cellStyle name="Total 3 3 2 3 3 2" xfId="41230"/>
    <cellStyle name="Total 3 3 2 3 4" xfId="30547"/>
    <cellStyle name="Total 3 3 2 3_Table 2A-1_EFT (Annual)" xfId="9034"/>
    <cellStyle name="Total 3 3 2 4" xfId="10494"/>
    <cellStyle name="Total 3 3 2 4 2" xfId="22610"/>
    <cellStyle name="Total 3 3 2 4 2 2" xfId="43796"/>
    <cellStyle name="Total 3 3 2 4 3" xfId="33192"/>
    <cellStyle name="Total 3 3 2 5" xfId="17497"/>
    <cellStyle name="Total 3 3 2 5 2" xfId="38684"/>
    <cellStyle name="Total 3 3 2 6" xfId="27804"/>
    <cellStyle name="Total 3 3 2_Table 2A-1_EFT (Annual)" xfId="9031"/>
    <cellStyle name="Total 3 3 3" xfId="888"/>
    <cellStyle name="Total 3 3 3 2" xfId="4449"/>
    <cellStyle name="Total 3 3 3 2 2" xfId="12711"/>
    <cellStyle name="Total 3 3 3 2 2 2" xfId="24721"/>
    <cellStyle name="Total 3 3 3 2 2 2 2" xfId="45907"/>
    <cellStyle name="Total 3 3 3 2 2 3" xfId="35303"/>
    <cellStyle name="Total 3 3 3 2 3" xfId="19608"/>
    <cellStyle name="Total 3 3 3 2 3 2" xfId="40795"/>
    <cellStyle name="Total 3 3 3 2 4" xfId="30106"/>
    <cellStyle name="Total 3 3 3 2_Table 2A-1_EFT (Annual)" xfId="9036"/>
    <cellStyle name="Total 3 3 3 3" xfId="10058"/>
    <cellStyle name="Total 3 3 3 3 2" xfId="22175"/>
    <cellStyle name="Total 3 3 3 3 2 2" xfId="43361"/>
    <cellStyle name="Total 3 3 3 3 3" xfId="32757"/>
    <cellStyle name="Total 3 3 3 4" xfId="17062"/>
    <cellStyle name="Total 3 3 3 4 2" xfId="38249"/>
    <cellStyle name="Total 3 3 3 5" xfId="27363"/>
    <cellStyle name="Total 3 3 3_Table 2A-1_EFT (Annual)" xfId="9035"/>
    <cellStyle name="Total 3 3 4" xfId="2068"/>
    <cellStyle name="Total 3 3 4 2" xfId="5629"/>
    <cellStyle name="Total 3 3 4 2 2" xfId="13844"/>
    <cellStyle name="Total 3 3 4 2 2 2" xfId="25832"/>
    <cellStyle name="Total 3 3 4 2 2 2 2" xfId="47018"/>
    <cellStyle name="Total 3 3 4 2 2 3" xfId="36414"/>
    <cellStyle name="Total 3 3 4 2 3" xfId="20719"/>
    <cellStyle name="Total 3 3 4 2 3 2" xfId="41906"/>
    <cellStyle name="Total 3 3 4 2 4" xfId="31286"/>
    <cellStyle name="Total 3 3 4 2_Table 2A-1_EFT (Annual)" xfId="9038"/>
    <cellStyle name="Total 3 3 4 3" xfId="11188"/>
    <cellStyle name="Total 3 3 4 3 2" xfId="23286"/>
    <cellStyle name="Total 3 3 4 3 2 2" xfId="44472"/>
    <cellStyle name="Total 3 3 4 3 3" xfId="33868"/>
    <cellStyle name="Total 3 3 4 4" xfId="18173"/>
    <cellStyle name="Total 3 3 4 4 2" xfId="39360"/>
    <cellStyle name="Total 3 3 4 5" xfId="28543"/>
    <cellStyle name="Total 3 3 4_Table 2A-1_EFT (Annual)" xfId="9037"/>
    <cellStyle name="Total 3 3 5" xfId="3916"/>
    <cellStyle name="Total 3 3 5 2" xfId="12244"/>
    <cellStyle name="Total 3 3 5 2 2" xfId="24268"/>
    <cellStyle name="Total 3 3 5 2 2 2" xfId="45454"/>
    <cellStyle name="Total 3 3 5 2 3" xfId="34850"/>
    <cellStyle name="Total 3 3 5 3" xfId="19155"/>
    <cellStyle name="Total 3 3 5 3 2" xfId="40342"/>
    <cellStyle name="Total 3 3 5 4" xfId="29604"/>
    <cellStyle name="Total 3 3 5_Table 2A-1_EFT (Annual)" xfId="9039"/>
    <cellStyle name="Total 3 3 6" xfId="9581"/>
    <cellStyle name="Total 3 3 6 2" xfId="21722"/>
    <cellStyle name="Total 3 3 6 2 2" xfId="42908"/>
    <cellStyle name="Total 3 3 6 3" xfId="32304"/>
    <cellStyle name="Total 3 3 7" xfId="16609"/>
    <cellStyle name="Total 3 3 7 2" xfId="37796"/>
    <cellStyle name="Total 3 3 8" xfId="26861"/>
    <cellStyle name="Total 3 3_Table 2A-1_EFT (Annual)" xfId="3576"/>
    <cellStyle name="Total 3 4" xfId="1163"/>
    <cellStyle name="Total 3 4 2" xfId="2433"/>
    <cellStyle name="Total 3 4 2 2" xfId="5994"/>
    <cellStyle name="Total 3 4 2 2 2" xfId="14188"/>
    <cellStyle name="Total 3 4 2 2 2 2" xfId="26160"/>
    <cellStyle name="Total 3 4 2 2 2 2 2" xfId="47346"/>
    <cellStyle name="Total 3 4 2 2 2 3" xfId="36742"/>
    <cellStyle name="Total 3 4 2 2 3" xfId="21047"/>
    <cellStyle name="Total 3 4 2 2 3 2" xfId="42234"/>
    <cellStyle name="Total 3 4 2 2 4" xfId="31650"/>
    <cellStyle name="Total 3 4 2 2_Table 2A-1_EFT (Annual)" xfId="9042"/>
    <cellStyle name="Total 3 4 2 3" xfId="11530"/>
    <cellStyle name="Total 3 4 2 3 2" xfId="23614"/>
    <cellStyle name="Total 3 4 2 3 2 2" xfId="44800"/>
    <cellStyle name="Total 3 4 2 3 3" xfId="34196"/>
    <cellStyle name="Total 3 4 2 4" xfId="18501"/>
    <cellStyle name="Total 3 4 2 4 2" xfId="39688"/>
    <cellStyle name="Total 3 4 2 5" xfId="28907"/>
    <cellStyle name="Total 3 4 2_Table 2A-1_EFT (Annual)" xfId="9041"/>
    <cellStyle name="Total 3 4 3" xfId="4724"/>
    <cellStyle name="Total 3 4 3 2" xfId="12984"/>
    <cellStyle name="Total 3 4 3 2 2" xfId="24990"/>
    <cellStyle name="Total 3 4 3 2 2 2" xfId="46176"/>
    <cellStyle name="Total 3 4 3 2 3" xfId="35572"/>
    <cellStyle name="Total 3 4 3 3" xfId="19877"/>
    <cellStyle name="Total 3 4 3 3 2" xfId="41064"/>
    <cellStyle name="Total 3 4 3 4" xfId="30381"/>
    <cellStyle name="Total 3 4 3_Table 2A-1_EFT (Annual)" xfId="9043"/>
    <cellStyle name="Total 3 4 4" xfId="10328"/>
    <cellStyle name="Total 3 4 4 2" xfId="22444"/>
    <cellStyle name="Total 3 4 4 2 2" xfId="43630"/>
    <cellStyle name="Total 3 4 4 3" xfId="33026"/>
    <cellStyle name="Total 3 4 5" xfId="17331"/>
    <cellStyle name="Total 3 4 5 2" xfId="38518"/>
    <cellStyle name="Total 3 4 6" xfId="27638"/>
    <cellStyle name="Total 3 4_Table 2A-1_EFT (Annual)" xfId="9040"/>
    <cellStyle name="Total 3 5" xfId="729"/>
    <cellStyle name="Total 3 5 2" xfId="4290"/>
    <cellStyle name="Total 3 5 2 2" xfId="12570"/>
    <cellStyle name="Total 3 5 2 2 2" xfId="24587"/>
    <cellStyle name="Total 3 5 2 2 2 2" xfId="45773"/>
    <cellStyle name="Total 3 5 2 2 3" xfId="35169"/>
    <cellStyle name="Total 3 5 2 3" xfId="19474"/>
    <cellStyle name="Total 3 5 2 3 2" xfId="40661"/>
    <cellStyle name="Total 3 5 2 4" xfId="29947"/>
    <cellStyle name="Total 3 5 2_Table 2A-1_EFT (Annual)" xfId="9045"/>
    <cellStyle name="Total 3 5 3" xfId="9918"/>
    <cellStyle name="Total 3 5 3 2" xfId="22041"/>
    <cellStyle name="Total 3 5 3 2 2" xfId="43227"/>
    <cellStyle name="Total 3 5 3 3" xfId="32623"/>
    <cellStyle name="Total 3 5 4" xfId="16928"/>
    <cellStyle name="Total 3 5 4 2" xfId="38115"/>
    <cellStyle name="Total 3 5 5" xfId="27204"/>
    <cellStyle name="Total 3 5_Table 2A-1_EFT (Annual)" xfId="9044"/>
    <cellStyle name="Total 3 6" xfId="1799"/>
    <cellStyle name="Total 3 6 2" xfId="5360"/>
    <cellStyle name="Total 3 6 2 2" xfId="13575"/>
    <cellStyle name="Total 3 6 2 2 2" xfId="25563"/>
    <cellStyle name="Total 3 6 2 2 2 2" xfId="46749"/>
    <cellStyle name="Total 3 6 2 2 3" xfId="36145"/>
    <cellStyle name="Total 3 6 2 3" xfId="20450"/>
    <cellStyle name="Total 3 6 2 3 2" xfId="41637"/>
    <cellStyle name="Total 3 6 2 4" xfId="31017"/>
    <cellStyle name="Total 3 6 2_Table 2A-1_EFT (Annual)" xfId="9047"/>
    <cellStyle name="Total 3 6 3" xfId="10919"/>
    <cellStyle name="Total 3 6 3 2" xfId="23017"/>
    <cellStyle name="Total 3 6 3 2 2" xfId="44203"/>
    <cellStyle name="Total 3 6 3 3" xfId="33599"/>
    <cellStyle name="Total 3 6 4" xfId="17904"/>
    <cellStyle name="Total 3 6 4 2" xfId="39091"/>
    <cellStyle name="Total 3 6 5" xfId="28274"/>
    <cellStyle name="Total 3 6_Table 2A-1_EFT (Annual)" xfId="9046"/>
    <cellStyle name="Total 3 7" xfId="3704"/>
    <cellStyle name="Total 3 7 2" xfId="12072"/>
    <cellStyle name="Total 3 7 2 2" xfId="24102"/>
    <cellStyle name="Total 3 7 2 2 2" xfId="45288"/>
    <cellStyle name="Total 3 7 2 3" xfId="34684"/>
    <cellStyle name="Total 3 7 3" xfId="18989"/>
    <cellStyle name="Total 3 7 3 2" xfId="40176"/>
    <cellStyle name="Total 3 7 4" xfId="29413"/>
    <cellStyle name="Total 3 7_Table 2A-1_EFT (Annual)" xfId="9048"/>
    <cellStyle name="Total 3 8" xfId="9391"/>
    <cellStyle name="Total 3 8 2" xfId="21556"/>
    <cellStyle name="Total 3 8 2 2" xfId="42742"/>
    <cellStyle name="Total 3 8 3" xfId="32138"/>
    <cellStyle name="Total 3 9" xfId="16443"/>
    <cellStyle name="Total 3 9 2" xfId="37630"/>
    <cellStyle name="Total 3_Table 2A-1_EFT (Annual)" xfId="3574"/>
    <cellStyle name="Total 30" xfId="192"/>
    <cellStyle name="Total 30 10" xfId="26747"/>
    <cellStyle name="Total 30 2" xfId="585"/>
    <cellStyle name="Total 30 2 2" xfId="1562"/>
    <cellStyle name="Total 30 2 2 2" xfId="2832"/>
    <cellStyle name="Total 30 2 2 2 2" xfId="6393"/>
    <cellStyle name="Total 30 2 2 2 2 2" xfId="14587"/>
    <cellStyle name="Total 30 2 2 2 2 2 2" xfId="26559"/>
    <cellStyle name="Total 30 2 2 2 2 2 2 2" xfId="47745"/>
    <cellStyle name="Total 30 2 2 2 2 2 3" xfId="37141"/>
    <cellStyle name="Total 30 2 2 2 2 3" xfId="21446"/>
    <cellStyle name="Total 30 2 2 2 2 3 2" xfId="42633"/>
    <cellStyle name="Total 30 2 2 2 2 4" xfId="32049"/>
    <cellStyle name="Total 30 2 2 2 2_Table 2A-1_EFT (Annual)" xfId="9051"/>
    <cellStyle name="Total 30 2 2 2 3" xfId="11929"/>
    <cellStyle name="Total 30 2 2 2 3 2" xfId="24013"/>
    <cellStyle name="Total 30 2 2 2 3 2 2" xfId="45199"/>
    <cellStyle name="Total 30 2 2 2 3 3" xfId="34595"/>
    <cellStyle name="Total 30 2 2 2 4" xfId="18900"/>
    <cellStyle name="Total 30 2 2 2 4 2" xfId="40087"/>
    <cellStyle name="Total 30 2 2 2 5" xfId="29306"/>
    <cellStyle name="Total 30 2 2 2_Table 2A-1_EFT (Annual)" xfId="9050"/>
    <cellStyle name="Total 30 2 2 3" xfId="5123"/>
    <cellStyle name="Total 30 2 2 3 2" xfId="13383"/>
    <cellStyle name="Total 30 2 2 3 2 2" xfId="25389"/>
    <cellStyle name="Total 30 2 2 3 2 2 2" xfId="46575"/>
    <cellStyle name="Total 30 2 2 3 2 3" xfId="35971"/>
    <cellStyle name="Total 30 2 2 3 3" xfId="20276"/>
    <cellStyle name="Total 30 2 2 3 3 2" xfId="41463"/>
    <cellStyle name="Total 30 2 2 3 4" xfId="30780"/>
    <cellStyle name="Total 30 2 2 3_Table 2A-1_EFT (Annual)" xfId="9052"/>
    <cellStyle name="Total 30 2 2 4" xfId="10727"/>
    <cellStyle name="Total 30 2 2 4 2" xfId="22843"/>
    <cellStyle name="Total 30 2 2 4 2 2" xfId="44029"/>
    <cellStyle name="Total 30 2 2 4 3" xfId="33425"/>
    <cellStyle name="Total 30 2 2 5" xfId="17730"/>
    <cellStyle name="Total 30 2 2 5 2" xfId="38917"/>
    <cellStyle name="Total 30 2 2 6" xfId="28037"/>
    <cellStyle name="Total 30 2 2_Table 2A-1_EFT (Annual)" xfId="9049"/>
    <cellStyle name="Total 30 2 3" xfId="1084"/>
    <cellStyle name="Total 30 2 3 2" xfId="4645"/>
    <cellStyle name="Total 30 2 3 2 2" xfId="12905"/>
    <cellStyle name="Total 30 2 3 2 2 2" xfId="24911"/>
    <cellStyle name="Total 30 2 3 2 2 2 2" xfId="46097"/>
    <cellStyle name="Total 30 2 3 2 2 3" xfId="35493"/>
    <cellStyle name="Total 30 2 3 2 3" xfId="19798"/>
    <cellStyle name="Total 30 2 3 2 3 2" xfId="40985"/>
    <cellStyle name="Total 30 2 3 2 4" xfId="30302"/>
    <cellStyle name="Total 30 2 3 2_Table 2A-1_EFT (Annual)" xfId="9054"/>
    <cellStyle name="Total 30 2 3 3" xfId="10249"/>
    <cellStyle name="Total 30 2 3 3 2" xfId="22365"/>
    <cellStyle name="Total 30 2 3 3 2 2" xfId="43551"/>
    <cellStyle name="Total 30 2 3 3 3" xfId="32947"/>
    <cellStyle name="Total 30 2 3 4" xfId="17252"/>
    <cellStyle name="Total 30 2 3 4 2" xfId="38439"/>
    <cellStyle name="Total 30 2 3 5" xfId="27559"/>
    <cellStyle name="Total 30 2 3_Table 2A-1_EFT (Annual)" xfId="9053"/>
    <cellStyle name="Total 30 2 4" xfId="2301"/>
    <cellStyle name="Total 30 2 4 2" xfId="5862"/>
    <cellStyle name="Total 30 2 4 2 2" xfId="14077"/>
    <cellStyle name="Total 30 2 4 2 2 2" xfId="26065"/>
    <cellStyle name="Total 30 2 4 2 2 2 2" xfId="47251"/>
    <cellStyle name="Total 30 2 4 2 2 3" xfId="36647"/>
    <cellStyle name="Total 30 2 4 2 3" xfId="20952"/>
    <cellStyle name="Total 30 2 4 2 3 2" xfId="42139"/>
    <cellStyle name="Total 30 2 4 2 4" xfId="31519"/>
    <cellStyle name="Total 30 2 4 2_Table 2A-1_EFT (Annual)" xfId="9056"/>
    <cellStyle name="Total 30 2 4 3" xfId="11421"/>
    <cellStyle name="Total 30 2 4 3 2" xfId="23519"/>
    <cellStyle name="Total 30 2 4 3 2 2" xfId="44705"/>
    <cellStyle name="Total 30 2 4 3 3" xfId="34101"/>
    <cellStyle name="Total 30 2 4 4" xfId="18406"/>
    <cellStyle name="Total 30 2 4 4 2" xfId="39593"/>
    <cellStyle name="Total 30 2 4 5" xfId="28776"/>
    <cellStyle name="Total 30 2 4_Table 2A-1_EFT (Annual)" xfId="9055"/>
    <cellStyle name="Total 30 2 5" xfId="4155"/>
    <cellStyle name="Total 30 2 5 2" xfId="12479"/>
    <cellStyle name="Total 30 2 5 2 2" xfId="24501"/>
    <cellStyle name="Total 30 2 5 2 2 2" xfId="45687"/>
    <cellStyle name="Total 30 2 5 2 3" xfId="35083"/>
    <cellStyle name="Total 30 2 5 3" xfId="19388"/>
    <cellStyle name="Total 30 2 5 3 2" xfId="40575"/>
    <cellStyle name="Total 30 2 5 4" xfId="29843"/>
    <cellStyle name="Total 30 2 5_Table 2A-1_EFT (Annual)" xfId="9057"/>
    <cellStyle name="Total 30 2 6" xfId="9818"/>
    <cellStyle name="Total 30 2 6 2" xfId="21955"/>
    <cellStyle name="Total 30 2 6 2 2" xfId="43141"/>
    <cellStyle name="Total 30 2 6 3" xfId="32537"/>
    <cellStyle name="Total 30 2 7" xfId="16842"/>
    <cellStyle name="Total 30 2 7 2" xfId="38029"/>
    <cellStyle name="Total 30 2 8" xfId="27100"/>
    <cellStyle name="Total 30 2_Table 2A-1_EFT (Annual)" xfId="3578"/>
    <cellStyle name="Total 30 3" xfId="422"/>
    <cellStyle name="Total 30 3 2" xfId="1405"/>
    <cellStyle name="Total 30 3 2 2" xfId="2675"/>
    <cellStyle name="Total 30 3 2 2 2" xfId="6236"/>
    <cellStyle name="Total 30 3 2 2 2 2" xfId="14430"/>
    <cellStyle name="Total 30 3 2 2 2 2 2" xfId="26402"/>
    <cellStyle name="Total 30 3 2 2 2 2 2 2" xfId="47588"/>
    <cellStyle name="Total 30 3 2 2 2 2 3" xfId="36984"/>
    <cellStyle name="Total 30 3 2 2 2 3" xfId="21289"/>
    <cellStyle name="Total 30 3 2 2 2 3 2" xfId="42476"/>
    <cellStyle name="Total 30 3 2 2 2 4" xfId="31892"/>
    <cellStyle name="Total 30 3 2 2 2_Table 2A-1_EFT (Annual)" xfId="9060"/>
    <cellStyle name="Total 30 3 2 2 3" xfId="11772"/>
    <cellStyle name="Total 30 3 2 2 3 2" xfId="23856"/>
    <cellStyle name="Total 30 3 2 2 3 2 2" xfId="45042"/>
    <cellStyle name="Total 30 3 2 2 3 3" xfId="34438"/>
    <cellStyle name="Total 30 3 2 2 4" xfId="18743"/>
    <cellStyle name="Total 30 3 2 2 4 2" xfId="39930"/>
    <cellStyle name="Total 30 3 2 2 5" xfId="29149"/>
    <cellStyle name="Total 30 3 2 2_Table 2A-1_EFT (Annual)" xfId="9059"/>
    <cellStyle name="Total 30 3 2 3" xfId="4966"/>
    <cellStyle name="Total 30 3 2 3 2" xfId="13226"/>
    <cellStyle name="Total 30 3 2 3 2 2" xfId="25232"/>
    <cellStyle name="Total 30 3 2 3 2 2 2" xfId="46418"/>
    <cellStyle name="Total 30 3 2 3 2 3" xfId="35814"/>
    <cellStyle name="Total 30 3 2 3 3" xfId="20119"/>
    <cellStyle name="Total 30 3 2 3 3 2" xfId="41306"/>
    <cellStyle name="Total 30 3 2 3 4" xfId="30623"/>
    <cellStyle name="Total 30 3 2 3_Table 2A-1_EFT (Annual)" xfId="9061"/>
    <cellStyle name="Total 30 3 2 4" xfId="10570"/>
    <cellStyle name="Total 30 3 2 4 2" xfId="22686"/>
    <cellStyle name="Total 30 3 2 4 2 2" xfId="43872"/>
    <cellStyle name="Total 30 3 2 4 3" xfId="33268"/>
    <cellStyle name="Total 30 3 2 5" xfId="17573"/>
    <cellStyle name="Total 30 3 2 5 2" xfId="38760"/>
    <cellStyle name="Total 30 3 2 6" xfId="27880"/>
    <cellStyle name="Total 30 3 2_Table 2A-1_EFT (Annual)" xfId="9058"/>
    <cellStyle name="Total 30 3 3" xfId="951"/>
    <cellStyle name="Total 30 3 3 2" xfId="4512"/>
    <cellStyle name="Total 30 3 3 2 2" xfId="12774"/>
    <cellStyle name="Total 30 3 3 2 2 2" xfId="24784"/>
    <cellStyle name="Total 30 3 3 2 2 2 2" xfId="45970"/>
    <cellStyle name="Total 30 3 3 2 2 3" xfId="35366"/>
    <cellStyle name="Total 30 3 3 2 3" xfId="19671"/>
    <cellStyle name="Total 30 3 3 2 3 2" xfId="40858"/>
    <cellStyle name="Total 30 3 3 2 4" xfId="30169"/>
    <cellStyle name="Total 30 3 3 2_Table 2A-1_EFT (Annual)" xfId="9063"/>
    <cellStyle name="Total 30 3 3 3" xfId="10121"/>
    <cellStyle name="Total 30 3 3 3 2" xfId="22238"/>
    <cellStyle name="Total 30 3 3 3 2 2" xfId="43424"/>
    <cellStyle name="Total 30 3 3 3 3" xfId="32820"/>
    <cellStyle name="Total 30 3 3 4" xfId="17125"/>
    <cellStyle name="Total 30 3 3 4 2" xfId="38312"/>
    <cellStyle name="Total 30 3 3 5" xfId="27426"/>
    <cellStyle name="Total 30 3 3_Table 2A-1_EFT (Annual)" xfId="9062"/>
    <cellStyle name="Total 30 3 4" xfId="2144"/>
    <cellStyle name="Total 30 3 4 2" xfId="5705"/>
    <cellStyle name="Total 30 3 4 2 2" xfId="13920"/>
    <cellStyle name="Total 30 3 4 2 2 2" xfId="25908"/>
    <cellStyle name="Total 30 3 4 2 2 2 2" xfId="47094"/>
    <cellStyle name="Total 30 3 4 2 2 3" xfId="36490"/>
    <cellStyle name="Total 30 3 4 2 3" xfId="20795"/>
    <cellStyle name="Total 30 3 4 2 3 2" xfId="41982"/>
    <cellStyle name="Total 30 3 4 2 4" xfId="31362"/>
    <cellStyle name="Total 30 3 4 2_Table 2A-1_EFT (Annual)" xfId="9065"/>
    <cellStyle name="Total 30 3 4 3" xfId="11264"/>
    <cellStyle name="Total 30 3 4 3 2" xfId="23362"/>
    <cellStyle name="Total 30 3 4 3 2 2" xfId="44548"/>
    <cellStyle name="Total 30 3 4 3 3" xfId="33944"/>
    <cellStyle name="Total 30 3 4 4" xfId="18249"/>
    <cellStyle name="Total 30 3 4 4 2" xfId="39436"/>
    <cellStyle name="Total 30 3 4 5" xfId="28619"/>
    <cellStyle name="Total 30 3 4_Table 2A-1_EFT (Annual)" xfId="9064"/>
    <cellStyle name="Total 30 3 5" xfId="3992"/>
    <cellStyle name="Total 30 3 5 2" xfId="12320"/>
    <cellStyle name="Total 30 3 5 2 2" xfId="24344"/>
    <cellStyle name="Total 30 3 5 2 2 2" xfId="45530"/>
    <cellStyle name="Total 30 3 5 2 3" xfId="34926"/>
    <cellStyle name="Total 30 3 5 3" xfId="19231"/>
    <cellStyle name="Total 30 3 5 3 2" xfId="40418"/>
    <cellStyle name="Total 30 3 5 4" xfId="29680"/>
    <cellStyle name="Total 30 3 5_Table 2A-1_EFT (Annual)" xfId="9066"/>
    <cellStyle name="Total 30 3 6" xfId="9657"/>
    <cellStyle name="Total 30 3 6 2" xfId="21798"/>
    <cellStyle name="Total 30 3 6 2 2" xfId="42984"/>
    <cellStyle name="Total 30 3 6 3" xfId="32380"/>
    <cellStyle name="Total 30 3 7" xfId="16685"/>
    <cellStyle name="Total 30 3 7 2" xfId="37872"/>
    <cellStyle name="Total 30 3 8" xfId="26937"/>
    <cellStyle name="Total 30 3_Table 2A-1_EFT (Annual)" xfId="3579"/>
    <cellStyle name="Total 30 4" xfId="1240"/>
    <cellStyle name="Total 30 4 2" xfId="2510"/>
    <cellStyle name="Total 30 4 2 2" xfId="6071"/>
    <cellStyle name="Total 30 4 2 2 2" xfId="14265"/>
    <cellStyle name="Total 30 4 2 2 2 2" xfId="26237"/>
    <cellStyle name="Total 30 4 2 2 2 2 2" xfId="47423"/>
    <cellStyle name="Total 30 4 2 2 2 3" xfId="36819"/>
    <cellStyle name="Total 30 4 2 2 3" xfId="21124"/>
    <cellStyle name="Total 30 4 2 2 3 2" xfId="42311"/>
    <cellStyle name="Total 30 4 2 2 4" xfId="31727"/>
    <cellStyle name="Total 30 4 2 2_Table 2A-1_EFT (Annual)" xfId="9069"/>
    <cellStyle name="Total 30 4 2 3" xfId="11607"/>
    <cellStyle name="Total 30 4 2 3 2" xfId="23691"/>
    <cellStyle name="Total 30 4 2 3 2 2" xfId="44877"/>
    <cellStyle name="Total 30 4 2 3 3" xfId="34273"/>
    <cellStyle name="Total 30 4 2 4" xfId="18578"/>
    <cellStyle name="Total 30 4 2 4 2" xfId="39765"/>
    <cellStyle name="Total 30 4 2 5" xfId="28984"/>
    <cellStyle name="Total 30 4 2_Table 2A-1_EFT (Annual)" xfId="9068"/>
    <cellStyle name="Total 30 4 3" xfId="4801"/>
    <cellStyle name="Total 30 4 3 2" xfId="13061"/>
    <cellStyle name="Total 30 4 3 2 2" xfId="25067"/>
    <cellStyle name="Total 30 4 3 2 2 2" xfId="46253"/>
    <cellStyle name="Total 30 4 3 2 3" xfId="35649"/>
    <cellStyle name="Total 30 4 3 3" xfId="19954"/>
    <cellStyle name="Total 30 4 3 3 2" xfId="41141"/>
    <cellStyle name="Total 30 4 3 4" xfId="30458"/>
    <cellStyle name="Total 30 4 3_Table 2A-1_EFT (Annual)" xfId="9070"/>
    <cellStyle name="Total 30 4 4" xfId="10405"/>
    <cellStyle name="Total 30 4 4 2" xfId="22521"/>
    <cellStyle name="Total 30 4 4 2 2" xfId="43707"/>
    <cellStyle name="Total 30 4 4 3" xfId="33103"/>
    <cellStyle name="Total 30 4 5" xfId="17408"/>
    <cellStyle name="Total 30 4 5 2" xfId="38595"/>
    <cellStyle name="Total 30 4 6" xfId="27715"/>
    <cellStyle name="Total 30 4_Table 2A-1_EFT (Annual)" xfId="9067"/>
    <cellStyle name="Total 30 5" xfId="793"/>
    <cellStyle name="Total 30 5 2" xfId="4354"/>
    <cellStyle name="Total 30 5 2 2" xfId="12634"/>
    <cellStyle name="Total 30 5 2 2 2" xfId="24651"/>
    <cellStyle name="Total 30 5 2 2 2 2" xfId="45837"/>
    <cellStyle name="Total 30 5 2 2 3" xfId="35233"/>
    <cellStyle name="Total 30 5 2 3" xfId="19538"/>
    <cellStyle name="Total 30 5 2 3 2" xfId="40725"/>
    <cellStyle name="Total 30 5 2 4" xfId="30011"/>
    <cellStyle name="Total 30 5 2_Table 2A-1_EFT (Annual)" xfId="9072"/>
    <cellStyle name="Total 30 5 3" xfId="9982"/>
    <cellStyle name="Total 30 5 3 2" xfId="22105"/>
    <cellStyle name="Total 30 5 3 2 2" xfId="43291"/>
    <cellStyle name="Total 30 5 3 3" xfId="32687"/>
    <cellStyle name="Total 30 5 4" xfId="16992"/>
    <cellStyle name="Total 30 5 4 2" xfId="38179"/>
    <cellStyle name="Total 30 5 5" xfId="27268"/>
    <cellStyle name="Total 30 5_Table 2A-1_EFT (Annual)" xfId="9071"/>
    <cellStyle name="Total 30 6" xfId="1979"/>
    <cellStyle name="Total 30 6 2" xfId="5540"/>
    <cellStyle name="Total 30 6 2 2" xfId="13755"/>
    <cellStyle name="Total 30 6 2 2 2" xfId="25743"/>
    <cellStyle name="Total 30 6 2 2 2 2" xfId="46929"/>
    <cellStyle name="Total 30 6 2 2 3" xfId="36325"/>
    <cellStyle name="Total 30 6 2 3" xfId="20630"/>
    <cellStyle name="Total 30 6 2 3 2" xfId="41817"/>
    <cellStyle name="Total 30 6 2 4" xfId="31197"/>
    <cellStyle name="Total 30 6 2_Table 2A-1_EFT (Annual)" xfId="9074"/>
    <cellStyle name="Total 30 6 3" xfId="11099"/>
    <cellStyle name="Total 30 6 3 2" xfId="23197"/>
    <cellStyle name="Total 30 6 3 2 2" xfId="44383"/>
    <cellStyle name="Total 30 6 3 3" xfId="33779"/>
    <cellStyle name="Total 30 6 4" xfId="18084"/>
    <cellStyle name="Total 30 6 4 2" xfId="39271"/>
    <cellStyle name="Total 30 6 5" xfId="28454"/>
    <cellStyle name="Total 30 6_Table 2A-1_EFT (Annual)" xfId="9073"/>
    <cellStyle name="Total 30 7" xfId="3781"/>
    <cellStyle name="Total 30 7 2" xfId="12149"/>
    <cellStyle name="Total 30 7 2 2" xfId="24179"/>
    <cellStyle name="Total 30 7 2 2 2" xfId="45365"/>
    <cellStyle name="Total 30 7 2 3" xfId="34761"/>
    <cellStyle name="Total 30 7 3" xfId="19066"/>
    <cellStyle name="Total 30 7 3 2" xfId="40253"/>
    <cellStyle name="Total 30 7 4" xfId="29490"/>
    <cellStyle name="Total 30 7_Table 2A-1_EFT (Annual)" xfId="9075"/>
    <cellStyle name="Total 30 8" xfId="9468"/>
    <cellStyle name="Total 30 8 2" xfId="21633"/>
    <cellStyle name="Total 30 8 2 2" xfId="42819"/>
    <cellStyle name="Total 30 8 3" xfId="32215"/>
    <cellStyle name="Total 30 9" xfId="16520"/>
    <cellStyle name="Total 30 9 2" xfId="37707"/>
    <cellStyle name="Total 30_Table 2A-1_EFT (Annual)" xfId="3577"/>
    <cellStyle name="Total 31" xfId="245"/>
    <cellStyle name="Total 31 10" xfId="26800"/>
    <cellStyle name="Total 31 2" xfId="632"/>
    <cellStyle name="Total 31 2 2" xfId="1609"/>
    <cellStyle name="Total 31 2 2 2" xfId="2879"/>
    <cellStyle name="Total 31 2 2 2 2" xfId="6440"/>
    <cellStyle name="Total 31 2 2 2 2 2" xfId="14634"/>
    <cellStyle name="Total 31 2 2 2 2 2 2" xfId="26606"/>
    <cellStyle name="Total 31 2 2 2 2 2 2 2" xfId="47792"/>
    <cellStyle name="Total 31 2 2 2 2 2 3" xfId="37188"/>
    <cellStyle name="Total 31 2 2 2 2 3" xfId="21493"/>
    <cellStyle name="Total 31 2 2 2 2 3 2" xfId="42680"/>
    <cellStyle name="Total 31 2 2 2 2 4" xfId="32096"/>
    <cellStyle name="Total 31 2 2 2 2_Table 2A-1_EFT (Annual)" xfId="9078"/>
    <cellStyle name="Total 31 2 2 2 3" xfId="11976"/>
    <cellStyle name="Total 31 2 2 2 3 2" xfId="24060"/>
    <cellStyle name="Total 31 2 2 2 3 2 2" xfId="45246"/>
    <cellStyle name="Total 31 2 2 2 3 3" xfId="34642"/>
    <cellStyle name="Total 31 2 2 2 4" xfId="18947"/>
    <cellStyle name="Total 31 2 2 2 4 2" xfId="40134"/>
    <cellStyle name="Total 31 2 2 2 5" xfId="29353"/>
    <cellStyle name="Total 31 2 2 2_Table 2A-1_EFT (Annual)" xfId="9077"/>
    <cellStyle name="Total 31 2 2 3" xfId="5170"/>
    <cellStyle name="Total 31 2 2 3 2" xfId="13430"/>
    <cellStyle name="Total 31 2 2 3 2 2" xfId="25436"/>
    <cellStyle name="Total 31 2 2 3 2 2 2" xfId="46622"/>
    <cellStyle name="Total 31 2 2 3 2 3" xfId="36018"/>
    <cellStyle name="Total 31 2 2 3 3" xfId="20323"/>
    <cellStyle name="Total 31 2 2 3 3 2" xfId="41510"/>
    <cellStyle name="Total 31 2 2 3 4" xfId="30827"/>
    <cellStyle name="Total 31 2 2 3_Table 2A-1_EFT (Annual)" xfId="9079"/>
    <cellStyle name="Total 31 2 2 4" xfId="10774"/>
    <cellStyle name="Total 31 2 2 4 2" xfId="22890"/>
    <cellStyle name="Total 31 2 2 4 2 2" xfId="44076"/>
    <cellStyle name="Total 31 2 2 4 3" xfId="33472"/>
    <cellStyle name="Total 31 2 2 5" xfId="17777"/>
    <cellStyle name="Total 31 2 2 5 2" xfId="38964"/>
    <cellStyle name="Total 31 2 2 6" xfId="28084"/>
    <cellStyle name="Total 31 2 2_Table 2A-1_EFT (Annual)" xfId="9076"/>
    <cellStyle name="Total 31 2 3" xfId="1122"/>
    <cellStyle name="Total 31 2 3 2" xfId="4683"/>
    <cellStyle name="Total 31 2 3 2 2" xfId="12943"/>
    <cellStyle name="Total 31 2 3 2 2 2" xfId="24949"/>
    <cellStyle name="Total 31 2 3 2 2 2 2" xfId="46135"/>
    <cellStyle name="Total 31 2 3 2 2 3" xfId="35531"/>
    <cellStyle name="Total 31 2 3 2 3" xfId="19836"/>
    <cellStyle name="Total 31 2 3 2 3 2" xfId="41023"/>
    <cellStyle name="Total 31 2 3 2 4" xfId="30340"/>
    <cellStyle name="Total 31 2 3 2_Table 2A-1_EFT (Annual)" xfId="9081"/>
    <cellStyle name="Total 31 2 3 3" xfId="10287"/>
    <cellStyle name="Total 31 2 3 3 2" xfId="22403"/>
    <cellStyle name="Total 31 2 3 3 2 2" xfId="43589"/>
    <cellStyle name="Total 31 2 3 3 3" xfId="32985"/>
    <cellStyle name="Total 31 2 3 4" xfId="17290"/>
    <cellStyle name="Total 31 2 3 4 2" xfId="38477"/>
    <cellStyle name="Total 31 2 3 5" xfId="27597"/>
    <cellStyle name="Total 31 2 3_Table 2A-1_EFT (Annual)" xfId="9080"/>
    <cellStyle name="Total 31 2 4" xfId="2348"/>
    <cellStyle name="Total 31 2 4 2" xfId="5909"/>
    <cellStyle name="Total 31 2 4 2 2" xfId="14124"/>
    <cellStyle name="Total 31 2 4 2 2 2" xfId="26112"/>
    <cellStyle name="Total 31 2 4 2 2 2 2" xfId="47298"/>
    <cellStyle name="Total 31 2 4 2 2 3" xfId="36694"/>
    <cellStyle name="Total 31 2 4 2 3" xfId="20999"/>
    <cellStyle name="Total 31 2 4 2 3 2" xfId="42186"/>
    <cellStyle name="Total 31 2 4 2 4" xfId="31566"/>
    <cellStyle name="Total 31 2 4 2_Table 2A-1_EFT (Annual)" xfId="9083"/>
    <cellStyle name="Total 31 2 4 3" xfId="11468"/>
    <cellStyle name="Total 31 2 4 3 2" xfId="23566"/>
    <cellStyle name="Total 31 2 4 3 2 2" xfId="44752"/>
    <cellStyle name="Total 31 2 4 3 3" xfId="34148"/>
    <cellStyle name="Total 31 2 4 4" xfId="18453"/>
    <cellStyle name="Total 31 2 4 4 2" xfId="39640"/>
    <cellStyle name="Total 31 2 4 5" xfId="28823"/>
    <cellStyle name="Total 31 2 4_Table 2A-1_EFT (Annual)" xfId="9082"/>
    <cellStyle name="Total 31 2 5" xfId="4202"/>
    <cellStyle name="Total 31 2 5 2" xfId="12526"/>
    <cellStyle name="Total 31 2 5 2 2" xfId="24548"/>
    <cellStyle name="Total 31 2 5 2 2 2" xfId="45734"/>
    <cellStyle name="Total 31 2 5 2 3" xfId="35130"/>
    <cellStyle name="Total 31 2 5 3" xfId="19435"/>
    <cellStyle name="Total 31 2 5 3 2" xfId="40622"/>
    <cellStyle name="Total 31 2 5 4" xfId="29890"/>
    <cellStyle name="Total 31 2 5_Table 2A-1_EFT (Annual)" xfId="9084"/>
    <cellStyle name="Total 31 2 6" xfId="9865"/>
    <cellStyle name="Total 31 2 6 2" xfId="22002"/>
    <cellStyle name="Total 31 2 6 2 2" xfId="43188"/>
    <cellStyle name="Total 31 2 6 3" xfId="32584"/>
    <cellStyle name="Total 31 2 7" xfId="16889"/>
    <cellStyle name="Total 31 2 7 2" xfId="38076"/>
    <cellStyle name="Total 31 2 8" xfId="27147"/>
    <cellStyle name="Total 31 2_Table 2A-1_EFT (Annual)" xfId="3581"/>
    <cellStyle name="Total 31 3" xfId="471"/>
    <cellStyle name="Total 31 3 2" xfId="1448"/>
    <cellStyle name="Total 31 3 2 2" xfId="2718"/>
    <cellStyle name="Total 31 3 2 2 2" xfId="6279"/>
    <cellStyle name="Total 31 3 2 2 2 2" xfId="14473"/>
    <cellStyle name="Total 31 3 2 2 2 2 2" xfId="26445"/>
    <cellStyle name="Total 31 3 2 2 2 2 2 2" xfId="47631"/>
    <cellStyle name="Total 31 3 2 2 2 2 3" xfId="37027"/>
    <cellStyle name="Total 31 3 2 2 2 3" xfId="21332"/>
    <cellStyle name="Total 31 3 2 2 2 3 2" xfId="42519"/>
    <cellStyle name="Total 31 3 2 2 2 4" xfId="31935"/>
    <cellStyle name="Total 31 3 2 2 2_Table 2A-1_EFT (Annual)" xfId="9087"/>
    <cellStyle name="Total 31 3 2 2 3" xfId="11815"/>
    <cellStyle name="Total 31 3 2 2 3 2" xfId="23899"/>
    <cellStyle name="Total 31 3 2 2 3 2 2" xfId="45085"/>
    <cellStyle name="Total 31 3 2 2 3 3" xfId="34481"/>
    <cellStyle name="Total 31 3 2 2 4" xfId="18786"/>
    <cellStyle name="Total 31 3 2 2 4 2" xfId="39973"/>
    <cellStyle name="Total 31 3 2 2 5" xfId="29192"/>
    <cellStyle name="Total 31 3 2 2_Table 2A-1_EFT (Annual)" xfId="9086"/>
    <cellStyle name="Total 31 3 2 3" xfId="5009"/>
    <cellStyle name="Total 31 3 2 3 2" xfId="13269"/>
    <cellStyle name="Total 31 3 2 3 2 2" xfId="25275"/>
    <cellStyle name="Total 31 3 2 3 2 2 2" xfId="46461"/>
    <cellStyle name="Total 31 3 2 3 2 3" xfId="35857"/>
    <cellStyle name="Total 31 3 2 3 3" xfId="20162"/>
    <cellStyle name="Total 31 3 2 3 3 2" xfId="41349"/>
    <cellStyle name="Total 31 3 2 3 4" xfId="30666"/>
    <cellStyle name="Total 31 3 2 3_Table 2A-1_EFT (Annual)" xfId="9088"/>
    <cellStyle name="Total 31 3 2 4" xfId="10613"/>
    <cellStyle name="Total 31 3 2 4 2" xfId="22729"/>
    <cellStyle name="Total 31 3 2 4 2 2" xfId="43915"/>
    <cellStyle name="Total 31 3 2 4 3" xfId="33311"/>
    <cellStyle name="Total 31 3 2 5" xfId="17616"/>
    <cellStyle name="Total 31 3 2 5 2" xfId="38803"/>
    <cellStyle name="Total 31 3 2 6" xfId="27923"/>
    <cellStyle name="Total 31 3 2_Table 2A-1_EFT (Annual)" xfId="9085"/>
    <cellStyle name="Total 31 3 3" xfId="992"/>
    <cellStyle name="Total 31 3 3 2" xfId="4553"/>
    <cellStyle name="Total 31 3 3 2 2" xfId="12813"/>
    <cellStyle name="Total 31 3 3 2 2 2" xfId="24819"/>
    <cellStyle name="Total 31 3 3 2 2 2 2" xfId="46005"/>
    <cellStyle name="Total 31 3 3 2 2 3" xfId="35401"/>
    <cellStyle name="Total 31 3 3 2 3" xfId="19706"/>
    <cellStyle name="Total 31 3 3 2 3 2" xfId="40893"/>
    <cellStyle name="Total 31 3 3 2 4" xfId="30210"/>
    <cellStyle name="Total 31 3 3 2_Table 2A-1_EFT (Annual)" xfId="9090"/>
    <cellStyle name="Total 31 3 3 3" xfId="10157"/>
    <cellStyle name="Total 31 3 3 3 2" xfId="22273"/>
    <cellStyle name="Total 31 3 3 3 2 2" xfId="43459"/>
    <cellStyle name="Total 31 3 3 3 3" xfId="32855"/>
    <cellStyle name="Total 31 3 3 4" xfId="17160"/>
    <cellStyle name="Total 31 3 3 4 2" xfId="38347"/>
    <cellStyle name="Total 31 3 3 5" xfId="27467"/>
    <cellStyle name="Total 31 3 3_Table 2A-1_EFT (Annual)" xfId="9089"/>
    <cellStyle name="Total 31 3 4" xfId="2187"/>
    <cellStyle name="Total 31 3 4 2" xfId="5748"/>
    <cellStyle name="Total 31 3 4 2 2" xfId="13963"/>
    <cellStyle name="Total 31 3 4 2 2 2" xfId="25951"/>
    <cellStyle name="Total 31 3 4 2 2 2 2" xfId="47137"/>
    <cellStyle name="Total 31 3 4 2 2 3" xfId="36533"/>
    <cellStyle name="Total 31 3 4 2 3" xfId="20838"/>
    <cellStyle name="Total 31 3 4 2 3 2" xfId="42025"/>
    <cellStyle name="Total 31 3 4 2 4" xfId="31405"/>
    <cellStyle name="Total 31 3 4 2_Table 2A-1_EFT (Annual)" xfId="9092"/>
    <cellStyle name="Total 31 3 4 3" xfId="11307"/>
    <cellStyle name="Total 31 3 4 3 2" xfId="23405"/>
    <cellStyle name="Total 31 3 4 3 2 2" xfId="44591"/>
    <cellStyle name="Total 31 3 4 3 3" xfId="33987"/>
    <cellStyle name="Total 31 3 4 4" xfId="18292"/>
    <cellStyle name="Total 31 3 4 4 2" xfId="39479"/>
    <cellStyle name="Total 31 3 4 5" xfId="28662"/>
    <cellStyle name="Total 31 3 4_Table 2A-1_EFT (Annual)" xfId="9091"/>
    <cellStyle name="Total 31 3 5" xfId="4041"/>
    <cellStyle name="Total 31 3 5 2" xfId="12365"/>
    <cellStyle name="Total 31 3 5 2 2" xfId="24387"/>
    <cellStyle name="Total 31 3 5 2 2 2" xfId="45573"/>
    <cellStyle name="Total 31 3 5 2 3" xfId="34969"/>
    <cellStyle name="Total 31 3 5 3" xfId="19274"/>
    <cellStyle name="Total 31 3 5 3 2" xfId="40461"/>
    <cellStyle name="Total 31 3 5 4" xfId="29729"/>
    <cellStyle name="Total 31 3 5_Table 2A-1_EFT (Annual)" xfId="9093"/>
    <cellStyle name="Total 31 3 6" xfId="9704"/>
    <cellStyle name="Total 31 3 6 2" xfId="21841"/>
    <cellStyle name="Total 31 3 6 2 2" xfId="43027"/>
    <cellStyle name="Total 31 3 6 3" xfId="32423"/>
    <cellStyle name="Total 31 3 7" xfId="16728"/>
    <cellStyle name="Total 31 3 7 2" xfId="37915"/>
    <cellStyle name="Total 31 3 8" xfId="26986"/>
    <cellStyle name="Total 31 3_Table 2A-1_EFT (Annual)" xfId="3582"/>
    <cellStyle name="Total 31 4" xfId="1287"/>
    <cellStyle name="Total 31 4 2" xfId="2557"/>
    <cellStyle name="Total 31 4 2 2" xfId="6118"/>
    <cellStyle name="Total 31 4 2 2 2" xfId="14312"/>
    <cellStyle name="Total 31 4 2 2 2 2" xfId="26284"/>
    <cellStyle name="Total 31 4 2 2 2 2 2" xfId="47470"/>
    <cellStyle name="Total 31 4 2 2 2 3" xfId="36866"/>
    <cellStyle name="Total 31 4 2 2 3" xfId="21171"/>
    <cellStyle name="Total 31 4 2 2 3 2" xfId="42358"/>
    <cellStyle name="Total 31 4 2 2 4" xfId="31774"/>
    <cellStyle name="Total 31 4 2 2_Table 2A-1_EFT (Annual)" xfId="9096"/>
    <cellStyle name="Total 31 4 2 3" xfId="11654"/>
    <cellStyle name="Total 31 4 2 3 2" xfId="23738"/>
    <cellStyle name="Total 31 4 2 3 2 2" xfId="44924"/>
    <cellStyle name="Total 31 4 2 3 3" xfId="34320"/>
    <cellStyle name="Total 31 4 2 4" xfId="18625"/>
    <cellStyle name="Total 31 4 2 4 2" xfId="39812"/>
    <cellStyle name="Total 31 4 2 5" xfId="29031"/>
    <cellStyle name="Total 31 4 2_Table 2A-1_EFT (Annual)" xfId="9095"/>
    <cellStyle name="Total 31 4 3" xfId="4848"/>
    <cellStyle name="Total 31 4 3 2" xfId="13108"/>
    <cellStyle name="Total 31 4 3 2 2" xfId="25114"/>
    <cellStyle name="Total 31 4 3 2 2 2" xfId="46300"/>
    <cellStyle name="Total 31 4 3 2 3" xfId="35696"/>
    <cellStyle name="Total 31 4 3 3" xfId="20001"/>
    <cellStyle name="Total 31 4 3 3 2" xfId="41188"/>
    <cellStyle name="Total 31 4 3 4" xfId="30505"/>
    <cellStyle name="Total 31 4 3_Table 2A-1_EFT (Annual)" xfId="9097"/>
    <cellStyle name="Total 31 4 4" xfId="10452"/>
    <cellStyle name="Total 31 4 4 2" xfId="22568"/>
    <cellStyle name="Total 31 4 4 2 2" xfId="43754"/>
    <cellStyle name="Total 31 4 4 3" xfId="33150"/>
    <cellStyle name="Total 31 4 5" xfId="17455"/>
    <cellStyle name="Total 31 4 5 2" xfId="38642"/>
    <cellStyle name="Total 31 4 6" xfId="27762"/>
    <cellStyle name="Total 31 4_Table 2A-1_EFT (Annual)" xfId="9094"/>
    <cellStyle name="Total 31 5" xfId="837"/>
    <cellStyle name="Total 31 5 2" xfId="4398"/>
    <cellStyle name="Total 31 5 2 2" xfId="12672"/>
    <cellStyle name="Total 31 5 2 2 2" xfId="24689"/>
    <cellStyle name="Total 31 5 2 2 2 2" xfId="45875"/>
    <cellStyle name="Total 31 5 2 2 3" xfId="35271"/>
    <cellStyle name="Total 31 5 2 3" xfId="19576"/>
    <cellStyle name="Total 31 5 2 3 2" xfId="40763"/>
    <cellStyle name="Total 31 5 2 4" xfId="30055"/>
    <cellStyle name="Total 31 5 2_Table 2A-1_EFT (Annual)" xfId="9099"/>
    <cellStyle name="Total 31 5 3" xfId="10021"/>
    <cellStyle name="Total 31 5 3 2" xfId="22143"/>
    <cellStyle name="Total 31 5 3 2 2" xfId="43329"/>
    <cellStyle name="Total 31 5 3 3" xfId="32725"/>
    <cellStyle name="Total 31 5 4" xfId="17030"/>
    <cellStyle name="Total 31 5 4 2" xfId="38217"/>
    <cellStyle name="Total 31 5 5" xfId="27312"/>
    <cellStyle name="Total 31 5_Table 2A-1_EFT (Annual)" xfId="9098"/>
    <cellStyle name="Total 31 6" xfId="2026"/>
    <cellStyle name="Total 31 6 2" xfId="5587"/>
    <cellStyle name="Total 31 6 2 2" xfId="13802"/>
    <cellStyle name="Total 31 6 2 2 2" xfId="25790"/>
    <cellStyle name="Total 31 6 2 2 2 2" xfId="46976"/>
    <cellStyle name="Total 31 6 2 2 3" xfId="36372"/>
    <cellStyle name="Total 31 6 2 3" xfId="20677"/>
    <cellStyle name="Total 31 6 2 3 2" xfId="41864"/>
    <cellStyle name="Total 31 6 2 4" xfId="31244"/>
    <cellStyle name="Total 31 6 2_Table 2A-1_EFT (Annual)" xfId="9101"/>
    <cellStyle name="Total 31 6 3" xfId="11146"/>
    <cellStyle name="Total 31 6 3 2" xfId="23244"/>
    <cellStyle name="Total 31 6 3 2 2" xfId="44430"/>
    <cellStyle name="Total 31 6 3 3" xfId="33826"/>
    <cellStyle name="Total 31 6 4" xfId="18131"/>
    <cellStyle name="Total 31 6 4 2" xfId="39318"/>
    <cellStyle name="Total 31 6 5" xfId="28501"/>
    <cellStyle name="Total 31 6_Table 2A-1_EFT (Annual)" xfId="9100"/>
    <cellStyle name="Total 31 7" xfId="3834"/>
    <cellStyle name="Total 31 7 2" xfId="12197"/>
    <cellStyle name="Total 31 7 2 2" xfId="24226"/>
    <cellStyle name="Total 31 7 2 2 2" xfId="45412"/>
    <cellStyle name="Total 31 7 2 3" xfId="34808"/>
    <cellStyle name="Total 31 7 3" xfId="19113"/>
    <cellStyle name="Total 31 7 3 2" xfId="40300"/>
    <cellStyle name="Total 31 7 4" xfId="29543"/>
    <cellStyle name="Total 31 7_Table 2A-1_EFT (Annual)" xfId="9102"/>
    <cellStyle name="Total 31 8" xfId="9516"/>
    <cellStyle name="Total 31 8 2" xfId="21680"/>
    <cellStyle name="Total 31 8 2 2" xfId="42866"/>
    <cellStyle name="Total 31 8 3" xfId="32262"/>
    <cellStyle name="Total 31 9" xfId="16567"/>
    <cellStyle name="Total 31 9 2" xfId="37754"/>
    <cellStyle name="Total 31_Table 2A-1_EFT (Annual)" xfId="3580"/>
    <cellStyle name="Total 32" xfId="251"/>
    <cellStyle name="Total 32 10" xfId="26806"/>
    <cellStyle name="Total 32 2" xfId="638"/>
    <cellStyle name="Total 32 2 2" xfId="1615"/>
    <cellStyle name="Total 32 2 2 2" xfId="2885"/>
    <cellStyle name="Total 32 2 2 2 2" xfId="6446"/>
    <cellStyle name="Total 32 2 2 2 2 2" xfId="14640"/>
    <cellStyle name="Total 32 2 2 2 2 2 2" xfId="26612"/>
    <cellStyle name="Total 32 2 2 2 2 2 2 2" xfId="47798"/>
    <cellStyle name="Total 32 2 2 2 2 2 3" xfId="37194"/>
    <cellStyle name="Total 32 2 2 2 2 3" xfId="21499"/>
    <cellStyle name="Total 32 2 2 2 2 3 2" xfId="42686"/>
    <cellStyle name="Total 32 2 2 2 2 4" xfId="32102"/>
    <cellStyle name="Total 32 2 2 2 2_Table 2A-1_EFT (Annual)" xfId="9105"/>
    <cellStyle name="Total 32 2 2 2 3" xfId="11982"/>
    <cellStyle name="Total 32 2 2 2 3 2" xfId="24066"/>
    <cellStyle name="Total 32 2 2 2 3 2 2" xfId="45252"/>
    <cellStyle name="Total 32 2 2 2 3 3" xfId="34648"/>
    <cellStyle name="Total 32 2 2 2 4" xfId="18953"/>
    <cellStyle name="Total 32 2 2 2 4 2" xfId="40140"/>
    <cellStyle name="Total 32 2 2 2 5" xfId="29359"/>
    <cellStyle name="Total 32 2 2 2_Table 2A-1_EFT (Annual)" xfId="9104"/>
    <cellStyle name="Total 32 2 2 3" xfId="5176"/>
    <cellStyle name="Total 32 2 2 3 2" xfId="13436"/>
    <cellStyle name="Total 32 2 2 3 2 2" xfId="25442"/>
    <cellStyle name="Total 32 2 2 3 2 2 2" xfId="46628"/>
    <cellStyle name="Total 32 2 2 3 2 3" xfId="36024"/>
    <cellStyle name="Total 32 2 2 3 3" xfId="20329"/>
    <cellStyle name="Total 32 2 2 3 3 2" xfId="41516"/>
    <cellStyle name="Total 32 2 2 3 4" xfId="30833"/>
    <cellStyle name="Total 32 2 2 3_Table 2A-1_EFT (Annual)" xfId="9106"/>
    <cellStyle name="Total 32 2 2 4" xfId="10780"/>
    <cellStyle name="Total 32 2 2 4 2" xfId="22896"/>
    <cellStyle name="Total 32 2 2 4 2 2" xfId="44082"/>
    <cellStyle name="Total 32 2 2 4 3" xfId="33478"/>
    <cellStyle name="Total 32 2 2 5" xfId="17783"/>
    <cellStyle name="Total 32 2 2 5 2" xfId="38970"/>
    <cellStyle name="Total 32 2 2 6" xfId="28090"/>
    <cellStyle name="Total 32 2 2_Table 2A-1_EFT (Annual)" xfId="9103"/>
    <cellStyle name="Total 32 2 3" xfId="1127"/>
    <cellStyle name="Total 32 2 3 2" xfId="4688"/>
    <cellStyle name="Total 32 2 3 2 2" xfId="12948"/>
    <cellStyle name="Total 32 2 3 2 2 2" xfId="24954"/>
    <cellStyle name="Total 32 2 3 2 2 2 2" xfId="46140"/>
    <cellStyle name="Total 32 2 3 2 2 3" xfId="35536"/>
    <cellStyle name="Total 32 2 3 2 3" xfId="19841"/>
    <cellStyle name="Total 32 2 3 2 3 2" xfId="41028"/>
    <cellStyle name="Total 32 2 3 2 4" xfId="30345"/>
    <cellStyle name="Total 32 2 3 2_Table 2A-1_EFT (Annual)" xfId="9108"/>
    <cellStyle name="Total 32 2 3 3" xfId="10292"/>
    <cellStyle name="Total 32 2 3 3 2" xfId="22408"/>
    <cellStyle name="Total 32 2 3 3 2 2" xfId="43594"/>
    <cellStyle name="Total 32 2 3 3 3" xfId="32990"/>
    <cellStyle name="Total 32 2 3 4" xfId="17295"/>
    <cellStyle name="Total 32 2 3 4 2" xfId="38482"/>
    <cellStyle name="Total 32 2 3 5" xfId="27602"/>
    <cellStyle name="Total 32 2 3_Table 2A-1_EFT (Annual)" xfId="9107"/>
    <cellStyle name="Total 32 2 4" xfId="2354"/>
    <cellStyle name="Total 32 2 4 2" xfId="5915"/>
    <cellStyle name="Total 32 2 4 2 2" xfId="14130"/>
    <cellStyle name="Total 32 2 4 2 2 2" xfId="26118"/>
    <cellStyle name="Total 32 2 4 2 2 2 2" xfId="47304"/>
    <cellStyle name="Total 32 2 4 2 2 3" xfId="36700"/>
    <cellStyle name="Total 32 2 4 2 3" xfId="21005"/>
    <cellStyle name="Total 32 2 4 2 3 2" xfId="42192"/>
    <cellStyle name="Total 32 2 4 2 4" xfId="31572"/>
    <cellStyle name="Total 32 2 4 2_Table 2A-1_EFT (Annual)" xfId="9110"/>
    <cellStyle name="Total 32 2 4 3" xfId="11474"/>
    <cellStyle name="Total 32 2 4 3 2" xfId="23572"/>
    <cellStyle name="Total 32 2 4 3 2 2" xfId="44758"/>
    <cellStyle name="Total 32 2 4 3 3" xfId="34154"/>
    <cellStyle name="Total 32 2 4 4" xfId="18459"/>
    <cellStyle name="Total 32 2 4 4 2" xfId="39646"/>
    <cellStyle name="Total 32 2 4 5" xfId="28829"/>
    <cellStyle name="Total 32 2 4_Table 2A-1_EFT (Annual)" xfId="9109"/>
    <cellStyle name="Total 32 2 5" xfId="4208"/>
    <cellStyle name="Total 32 2 5 2" xfId="12532"/>
    <cellStyle name="Total 32 2 5 2 2" xfId="24554"/>
    <cellStyle name="Total 32 2 5 2 2 2" xfId="45740"/>
    <cellStyle name="Total 32 2 5 2 3" xfId="35136"/>
    <cellStyle name="Total 32 2 5 3" xfId="19441"/>
    <cellStyle name="Total 32 2 5 3 2" xfId="40628"/>
    <cellStyle name="Total 32 2 5 4" xfId="29896"/>
    <cellStyle name="Total 32 2 5_Table 2A-1_EFT (Annual)" xfId="9111"/>
    <cellStyle name="Total 32 2 6" xfId="9871"/>
    <cellStyle name="Total 32 2 6 2" xfId="22008"/>
    <cellStyle name="Total 32 2 6 2 2" xfId="43194"/>
    <cellStyle name="Total 32 2 6 3" xfId="32590"/>
    <cellStyle name="Total 32 2 7" xfId="16895"/>
    <cellStyle name="Total 32 2 7 2" xfId="38082"/>
    <cellStyle name="Total 32 2 8" xfId="27153"/>
    <cellStyle name="Total 32 2_Table 2A-1_EFT (Annual)" xfId="3584"/>
    <cellStyle name="Total 32 3" xfId="477"/>
    <cellStyle name="Total 32 3 2" xfId="1454"/>
    <cellStyle name="Total 32 3 2 2" xfId="2724"/>
    <cellStyle name="Total 32 3 2 2 2" xfId="6285"/>
    <cellStyle name="Total 32 3 2 2 2 2" xfId="14479"/>
    <cellStyle name="Total 32 3 2 2 2 2 2" xfId="26451"/>
    <cellStyle name="Total 32 3 2 2 2 2 2 2" xfId="47637"/>
    <cellStyle name="Total 32 3 2 2 2 2 3" xfId="37033"/>
    <cellStyle name="Total 32 3 2 2 2 3" xfId="21338"/>
    <cellStyle name="Total 32 3 2 2 2 3 2" xfId="42525"/>
    <cellStyle name="Total 32 3 2 2 2 4" xfId="31941"/>
    <cellStyle name="Total 32 3 2 2 2_Table 2A-1_EFT (Annual)" xfId="9114"/>
    <cellStyle name="Total 32 3 2 2 3" xfId="11821"/>
    <cellStyle name="Total 32 3 2 2 3 2" xfId="23905"/>
    <cellStyle name="Total 32 3 2 2 3 2 2" xfId="45091"/>
    <cellStyle name="Total 32 3 2 2 3 3" xfId="34487"/>
    <cellStyle name="Total 32 3 2 2 4" xfId="18792"/>
    <cellStyle name="Total 32 3 2 2 4 2" xfId="39979"/>
    <cellStyle name="Total 32 3 2 2 5" xfId="29198"/>
    <cellStyle name="Total 32 3 2 2_Table 2A-1_EFT (Annual)" xfId="9113"/>
    <cellStyle name="Total 32 3 2 3" xfId="5015"/>
    <cellStyle name="Total 32 3 2 3 2" xfId="13275"/>
    <cellStyle name="Total 32 3 2 3 2 2" xfId="25281"/>
    <cellStyle name="Total 32 3 2 3 2 2 2" xfId="46467"/>
    <cellStyle name="Total 32 3 2 3 2 3" xfId="35863"/>
    <cellStyle name="Total 32 3 2 3 3" xfId="20168"/>
    <cellStyle name="Total 32 3 2 3 3 2" xfId="41355"/>
    <cellStyle name="Total 32 3 2 3 4" xfId="30672"/>
    <cellStyle name="Total 32 3 2 3_Table 2A-1_EFT (Annual)" xfId="9115"/>
    <cellStyle name="Total 32 3 2 4" xfId="10619"/>
    <cellStyle name="Total 32 3 2 4 2" xfId="22735"/>
    <cellStyle name="Total 32 3 2 4 2 2" xfId="43921"/>
    <cellStyle name="Total 32 3 2 4 3" xfId="33317"/>
    <cellStyle name="Total 32 3 2 5" xfId="17622"/>
    <cellStyle name="Total 32 3 2 5 2" xfId="38809"/>
    <cellStyle name="Total 32 3 2 6" xfId="27929"/>
    <cellStyle name="Total 32 3 2_Table 2A-1_EFT (Annual)" xfId="9112"/>
    <cellStyle name="Total 32 3 3" xfId="997"/>
    <cellStyle name="Total 32 3 3 2" xfId="4558"/>
    <cellStyle name="Total 32 3 3 2 2" xfId="12818"/>
    <cellStyle name="Total 32 3 3 2 2 2" xfId="24824"/>
    <cellStyle name="Total 32 3 3 2 2 2 2" xfId="46010"/>
    <cellStyle name="Total 32 3 3 2 2 3" xfId="35406"/>
    <cellStyle name="Total 32 3 3 2 3" xfId="19711"/>
    <cellStyle name="Total 32 3 3 2 3 2" xfId="40898"/>
    <cellStyle name="Total 32 3 3 2 4" xfId="30215"/>
    <cellStyle name="Total 32 3 3 2_Table 2A-1_EFT (Annual)" xfId="9117"/>
    <cellStyle name="Total 32 3 3 3" xfId="10162"/>
    <cellStyle name="Total 32 3 3 3 2" xfId="22278"/>
    <cellStyle name="Total 32 3 3 3 2 2" xfId="43464"/>
    <cellStyle name="Total 32 3 3 3 3" xfId="32860"/>
    <cellStyle name="Total 32 3 3 4" xfId="17165"/>
    <cellStyle name="Total 32 3 3 4 2" xfId="38352"/>
    <cellStyle name="Total 32 3 3 5" xfId="27472"/>
    <cellStyle name="Total 32 3 3_Table 2A-1_EFT (Annual)" xfId="9116"/>
    <cellStyle name="Total 32 3 4" xfId="2193"/>
    <cellStyle name="Total 32 3 4 2" xfId="5754"/>
    <cellStyle name="Total 32 3 4 2 2" xfId="13969"/>
    <cellStyle name="Total 32 3 4 2 2 2" xfId="25957"/>
    <cellStyle name="Total 32 3 4 2 2 2 2" xfId="47143"/>
    <cellStyle name="Total 32 3 4 2 2 3" xfId="36539"/>
    <cellStyle name="Total 32 3 4 2 3" xfId="20844"/>
    <cellStyle name="Total 32 3 4 2 3 2" xfId="42031"/>
    <cellStyle name="Total 32 3 4 2 4" xfId="31411"/>
    <cellStyle name="Total 32 3 4 2_Table 2A-1_EFT (Annual)" xfId="9119"/>
    <cellStyle name="Total 32 3 4 3" xfId="11313"/>
    <cellStyle name="Total 32 3 4 3 2" xfId="23411"/>
    <cellStyle name="Total 32 3 4 3 2 2" xfId="44597"/>
    <cellStyle name="Total 32 3 4 3 3" xfId="33993"/>
    <cellStyle name="Total 32 3 4 4" xfId="18298"/>
    <cellStyle name="Total 32 3 4 4 2" xfId="39485"/>
    <cellStyle name="Total 32 3 4 5" xfId="28668"/>
    <cellStyle name="Total 32 3 4_Table 2A-1_EFT (Annual)" xfId="9118"/>
    <cellStyle name="Total 32 3 5" xfId="4047"/>
    <cellStyle name="Total 32 3 5 2" xfId="12371"/>
    <cellStyle name="Total 32 3 5 2 2" xfId="24393"/>
    <cellStyle name="Total 32 3 5 2 2 2" xfId="45579"/>
    <cellStyle name="Total 32 3 5 2 3" xfId="34975"/>
    <cellStyle name="Total 32 3 5 3" xfId="19280"/>
    <cellStyle name="Total 32 3 5 3 2" xfId="40467"/>
    <cellStyle name="Total 32 3 5 4" xfId="29735"/>
    <cellStyle name="Total 32 3 5_Table 2A-1_EFT (Annual)" xfId="9120"/>
    <cellStyle name="Total 32 3 6" xfId="9710"/>
    <cellStyle name="Total 32 3 6 2" xfId="21847"/>
    <cellStyle name="Total 32 3 6 2 2" xfId="43033"/>
    <cellStyle name="Total 32 3 6 3" xfId="32429"/>
    <cellStyle name="Total 32 3 7" xfId="16734"/>
    <cellStyle name="Total 32 3 7 2" xfId="37921"/>
    <cellStyle name="Total 32 3 8" xfId="26992"/>
    <cellStyle name="Total 32 3_Table 2A-1_EFT (Annual)" xfId="3585"/>
    <cellStyle name="Total 32 4" xfId="1293"/>
    <cellStyle name="Total 32 4 2" xfId="2563"/>
    <cellStyle name="Total 32 4 2 2" xfId="6124"/>
    <cellStyle name="Total 32 4 2 2 2" xfId="14318"/>
    <cellStyle name="Total 32 4 2 2 2 2" xfId="26290"/>
    <cellStyle name="Total 32 4 2 2 2 2 2" xfId="47476"/>
    <cellStyle name="Total 32 4 2 2 2 3" xfId="36872"/>
    <cellStyle name="Total 32 4 2 2 3" xfId="21177"/>
    <cellStyle name="Total 32 4 2 2 3 2" xfId="42364"/>
    <cellStyle name="Total 32 4 2 2 4" xfId="31780"/>
    <cellStyle name="Total 32 4 2 2_Table 2A-1_EFT (Annual)" xfId="9123"/>
    <cellStyle name="Total 32 4 2 3" xfId="11660"/>
    <cellStyle name="Total 32 4 2 3 2" xfId="23744"/>
    <cellStyle name="Total 32 4 2 3 2 2" xfId="44930"/>
    <cellStyle name="Total 32 4 2 3 3" xfId="34326"/>
    <cellStyle name="Total 32 4 2 4" xfId="18631"/>
    <cellStyle name="Total 32 4 2 4 2" xfId="39818"/>
    <cellStyle name="Total 32 4 2 5" xfId="29037"/>
    <cellStyle name="Total 32 4 2_Table 2A-1_EFT (Annual)" xfId="9122"/>
    <cellStyle name="Total 32 4 3" xfId="4854"/>
    <cellStyle name="Total 32 4 3 2" xfId="13114"/>
    <cellStyle name="Total 32 4 3 2 2" xfId="25120"/>
    <cellStyle name="Total 32 4 3 2 2 2" xfId="46306"/>
    <cellStyle name="Total 32 4 3 2 3" xfId="35702"/>
    <cellStyle name="Total 32 4 3 3" xfId="20007"/>
    <cellStyle name="Total 32 4 3 3 2" xfId="41194"/>
    <cellStyle name="Total 32 4 3 4" xfId="30511"/>
    <cellStyle name="Total 32 4 3_Table 2A-1_EFT (Annual)" xfId="9124"/>
    <cellStyle name="Total 32 4 4" xfId="10458"/>
    <cellStyle name="Total 32 4 4 2" xfId="22574"/>
    <cellStyle name="Total 32 4 4 2 2" xfId="43760"/>
    <cellStyle name="Total 32 4 4 3" xfId="33156"/>
    <cellStyle name="Total 32 4 5" xfId="17461"/>
    <cellStyle name="Total 32 4 5 2" xfId="38648"/>
    <cellStyle name="Total 32 4 6" xfId="27768"/>
    <cellStyle name="Total 32 4_Table 2A-1_EFT (Annual)" xfId="9121"/>
    <cellStyle name="Total 32 5" xfId="842"/>
    <cellStyle name="Total 32 5 2" xfId="4403"/>
    <cellStyle name="Total 32 5 2 2" xfId="12677"/>
    <cellStyle name="Total 32 5 2 2 2" xfId="24694"/>
    <cellStyle name="Total 32 5 2 2 2 2" xfId="45880"/>
    <cellStyle name="Total 32 5 2 2 3" xfId="35276"/>
    <cellStyle name="Total 32 5 2 3" xfId="19581"/>
    <cellStyle name="Total 32 5 2 3 2" xfId="40768"/>
    <cellStyle name="Total 32 5 2 4" xfId="30060"/>
    <cellStyle name="Total 32 5 2_Table 2A-1_EFT (Annual)" xfId="9126"/>
    <cellStyle name="Total 32 5 3" xfId="10026"/>
    <cellStyle name="Total 32 5 3 2" xfId="22148"/>
    <cellStyle name="Total 32 5 3 2 2" xfId="43334"/>
    <cellStyle name="Total 32 5 3 3" xfId="32730"/>
    <cellStyle name="Total 32 5 4" xfId="17035"/>
    <cellStyle name="Total 32 5 4 2" xfId="38222"/>
    <cellStyle name="Total 32 5 5" xfId="27317"/>
    <cellStyle name="Total 32 5_Table 2A-1_EFT (Annual)" xfId="9125"/>
    <cellStyle name="Total 32 6" xfId="2032"/>
    <cellStyle name="Total 32 6 2" xfId="5593"/>
    <cellStyle name="Total 32 6 2 2" xfId="13808"/>
    <cellStyle name="Total 32 6 2 2 2" xfId="25796"/>
    <cellStyle name="Total 32 6 2 2 2 2" xfId="46982"/>
    <cellStyle name="Total 32 6 2 2 3" xfId="36378"/>
    <cellStyle name="Total 32 6 2 3" xfId="20683"/>
    <cellStyle name="Total 32 6 2 3 2" xfId="41870"/>
    <cellStyle name="Total 32 6 2 4" xfId="31250"/>
    <cellStyle name="Total 32 6 2_Table 2A-1_EFT (Annual)" xfId="9128"/>
    <cellStyle name="Total 32 6 3" xfId="11152"/>
    <cellStyle name="Total 32 6 3 2" xfId="23250"/>
    <cellStyle name="Total 32 6 3 2 2" xfId="44436"/>
    <cellStyle name="Total 32 6 3 3" xfId="33832"/>
    <cellStyle name="Total 32 6 4" xfId="18137"/>
    <cellStyle name="Total 32 6 4 2" xfId="39324"/>
    <cellStyle name="Total 32 6 5" xfId="28507"/>
    <cellStyle name="Total 32 6_Table 2A-1_EFT (Annual)" xfId="9127"/>
    <cellStyle name="Total 32 7" xfId="3840"/>
    <cellStyle name="Total 32 7 2" xfId="12203"/>
    <cellStyle name="Total 32 7 2 2" xfId="24232"/>
    <cellStyle name="Total 32 7 2 2 2" xfId="45418"/>
    <cellStyle name="Total 32 7 2 3" xfId="34814"/>
    <cellStyle name="Total 32 7 3" xfId="19119"/>
    <cellStyle name="Total 32 7 3 2" xfId="40306"/>
    <cellStyle name="Total 32 7 4" xfId="29549"/>
    <cellStyle name="Total 32 7_Table 2A-1_EFT (Annual)" xfId="9129"/>
    <cellStyle name="Total 32 8" xfId="9522"/>
    <cellStyle name="Total 32 8 2" xfId="21686"/>
    <cellStyle name="Total 32 8 2 2" xfId="42872"/>
    <cellStyle name="Total 32 8 3" xfId="32268"/>
    <cellStyle name="Total 32 9" xfId="16573"/>
    <cellStyle name="Total 32 9 2" xfId="37760"/>
    <cellStyle name="Total 32_Table 2A-1_EFT (Annual)" xfId="3583"/>
    <cellStyle name="Total 33" xfId="186"/>
    <cellStyle name="Total 33 2" xfId="579"/>
    <cellStyle name="Total 33 2 2" xfId="1556"/>
    <cellStyle name="Total 33 2 2 2" xfId="2826"/>
    <cellStyle name="Total 33 2 2 2 2" xfId="6387"/>
    <cellStyle name="Total 33 2 2 2 2 2" xfId="14581"/>
    <cellStyle name="Total 33 2 2 2 2 2 2" xfId="26553"/>
    <cellStyle name="Total 33 2 2 2 2 2 2 2" xfId="47739"/>
    <cellStyle name="Total 33 2 2 2 2 2 3" xfId="37135"/>
    <cellStyle name="Total 33 2 2 2 2 3" xfId="21440"/>
    <cellStyle name="Total 33 2 2 2 2 3 2" xfId="42627"/>
    <cellStyle name="Total 33 2 2 2 2 4" xfId="32043"/>
    <cellStyle name="Total 33 2 2 2 2_Table 2A-1_EFT (Annual)" xfId="9132"/>
    <cellStyle name="Total 33 2 2 2 3" xfId="11923"/>
    <cellStyle name="Total 33 2 2 2 3 2" xfId="24007"/>
    <cellStyle name="Total 33 2 2 2 3 2 2" xfId="45193"/>
    <cellStyle name="Total 33 2 2 2 3 3" xfId="34589"/>
    <cellStyle name="Total 33 2 2 2 4" xfId="18894"/>
    <cellStyle name="Total 33 2 2 2 4 2" xfId="40081"/>
    <cellStyle name="Total 33 2 2 2 5" xfId="29300"/>
    <cellStyle name="Total 33 2 2 2_Table 2A-1_EFT (Annual)" xfId="9131"/>
    <cellStyle name="Total 33 2 2 3" xfId="5117"/>
    <cellStyle name="Total 33 2 2 3 2" xfId="13377"/>
    <cellStyle name="Total 33 2 2 3 2 2" xfId="25383"/>
    <cellStyle name="Total 33 2 2 3 2 2 2" xfId="46569"/>
    <cellStyle name="Total 33 2 2 3 2 3" xfId="35965"/>
    <cellStyle name="Total 33 2 2 3 3" xfId="20270"/>
    <cellStyle name="Total 33 2 2 3 3 2" xfId="41457"/>
    <cellStyle name="Total 33 2 2 3 4" xfId="30774"/>
    <cellStyle name="Total 33 2 2 3_Table 2A-1_EFT (Annual)" xfId="9133"/>
    <cellStyle name="Total 33 2 2 4" xfId="10721"/>
    <cellStyle name="Total 33 2 2 4 2" xfId="22837"/>
    <cellStyle name="Total 33 2 2 4 2 2" xfId="44023"/>
    <cellStyle name="Total 33 2 2 4 3" xfId="33419"/>
    <cellStyle name="Total 33 2 2 5" xfId="17724"/>
    <cellStyle name="Total 33 2 2 5 2" xfId="38911"/>
    <cellStyle name="Total 33 2 2 6" xfId="28031"/>
    <cellStyle name="Total 33 2 2_Table 2A-1_EFT (Annual)" xfId="9130"/>
    <cellStyle name="Total 33 2 3" xfId="1079"/>
    <cellStyle name="Total 33 2 3 2" xfId="4640"/>
    <cellStyle name="Total 33 2 3 2 2" xfId="12900"/>
    <cellStyle name="Total 33 2 3 2 2 2" xfId="24906"/>
    <cellStyle name="Total 33 2 3 2 2 2 2" xfId="46092"/>
    <cellStyle name="Total 33 2 3 2 2 3" xfId="35488"/>
    <cellStyle name="Total 33 2 3 2 3" xfId="19793"/>
    <cellStyle name="Total 33 2 3 2 3 2" xfId="40980"/>
    <cellStyle name="Total 33 2 3 2 4" xfId="30297"/>
    <cellStyle name="Total 33 2 3 2_Table 2A-1_EFT (Annual)" xfId="9135"/>
    <cellStyle name="Total 33 2 3 3" xfId="10244"/>
    <cellStyle name="Total 33 2 3 3 2" xfId="22360"/>
    <cellStyle name="Total 33 2 3 3 2 2" xfId="43546"/>
    <cellStyle name="Total 33 2 3 3 3" xfId="32942"/>
    <cellStyle name="Total 33 2 3 4" xfId="17247"/>
    <cellStyle name="Total 33 2 3 4 2" xfId="38434"/>
    <cellStyle name="Total 33 2 3 5" xfId="27554"/>
    <cellStyle name="Total 33 2 3_Table 2A-1_EFT (Annual)" xfId="9134"/>
    <cellStyle name="Total 33 2 4" xfId="2295"/>
    <cellStyle name="Total 33 2 4 2" xfId="5856"/>
    <cellStyle name="Total 33 2 4 2 2" xfId="14071"/>
    <cellStyle name="Total 33 2 4 2 2 2" xfId="26059"/>
    <cellStyle name="Total 33 2 4 2 2 2 2" xfId="47245"/>
    <cellStyle name="Total 33 2 4 2 2 3" xfId="36641"/>
    <cellStyle name="Total 33 2 4 2 3" xfId="20946"/>
    <cellStyle name="Total 33 2 4 2 3 2" xfId="42133"/>
    <cellStyle name="Total 33 2 4 2 4" xfId="31513"/>
    <cellStyle name="Total 33 2 4 2_Table 2A-1_EFT (Annual)" xfId="9137"/>
    <cellStyle name="Total 33 2 4 3" xfId="11415"/>
    <cellStyle name="Total 33 2 4 3 2" xfId="23513"/>
    <cellStyle name="Total 33 2 4 3 2 2" xfId="44699"/>
    <cellStyle name="Total 33 2 4 3 3" xfId="34095"/>
    <cellStyle name="Total 33 2 4 4" xfId="18400"/>
    <cellStyle name="Total 33 2 4 4 2" xfId="39587"/>
    <cellStyle name="Total 33 2 4 5" xfId="28770"/>
    <cellStyle name="Total 33 2 4_Table 2A-1_EFT (Annual)" xfId="9136"/>
    <cellStyle name="Total 33 2 5" xfId="4149"/>
    <cellStyle name="Total 33 2 5 2" xfId="12473"/>
    <cellStyle name="Total 33 2 5 2 2" xfId="24495"/>
    <cellStyle name="Total 33 2 5 2 2 2" xfId="45681"/>
    <cellStyle name="Total 33 2 5 2 3" xfId="35077"/>
    <cellStyle name="Total 33 2 5 3" xfId="19382"/>
    <cellStyle name="Total 33 2 5 3 2" xfId="40569"/>
    <cellStyle name="Total 33 2 5 4" xfId="29837"/>
    <cellStyle name="Total 33 2 5_Table 2A-1_EFT (Annual)" xfId="9138"/>
    <cellStyle name="Total 33 2 6" xfId="9812"/>
    <cellStyle name="Total 33 2 6 2" xfId="21949"/>
    <cellStyle name="Total 33 2 6 2 2" xfId="43135"/>
    <cellStyle name="Total 33 2 6 3" xfId="32531"/>
    <cellStyle name="Total 33 2 7" xfId="16836"/>
    <cellStyle name="Total 33 2 7 2" xfId="38023"/>
    <cellStyle name="Total 33 2 8" xfId="27094"/>
    <cellStyle name="Total 33 2_Table 2A-1_EFT (Annual)" xfId="3587"/>
    <cellStyle name="Total 33 3" xfId="1234"/>
    <cellStyle name="Total 33 3 2" xfId="2504"/>
    <cellStyle name="Total 33 3 2 2" xfId="6065"/>
    <cellStyle name="Total 33 3 2 2 2" xfId="14259"/>
    <cellStyle name="Total 33 3 2 2 2 2" xfId="26231"/>
    <cellStyle name="Total 33 3 2 2 2 2 2" xfId="47417"/>
    <cellStyle name="Total 33 3 2 2 2 3" xfId="36813"/>
    <cellStyle name="Total 33 3 2 2 3" xfId="21118"/>
    <cellStyle name="Total 33 3 2 2 3 2" xfId="42305"/>
    <cellStyle name="Total 33 3 2 2 4" xfId="31721"/>
    <cellStyle name="Total 33 3 2 2_Table 2A-1_EFT (Annual)" xfId="9141"/>
    <cellStyle name="Total 33 3 2 3" xfId="11601"/>
    <cellStyle name="Total 33 3 2 3 2" xfId="23685"/>
    <cellStyle name="Total 33 3 2 3 2 2" xfId="44871"/>
    <cellStyle name="Total 33 3 2 3 3" xfId="34267"/>
    <cellStyle name="Total 33 3 2 4" xfId="18572"/>
    <cellStyle name="Total 33 3 2 4 2" xfId="39759"/>
    <cellStyle name="Total 33 3 2 5" xfId="28978"/>
    <cellStyle name="Total 33 3 2_Table 2A-1_EFT (Annual)" xfId="9140"/>
    <cellStyle name="Total 33 3 3" xfId="4795"/>
    <cellStyle name="Total 33 3 3 2" xfId="13055"/>
    <cellStyle name="Total 33 3 3 2 2" xfId="25061"/>
    <cellStyle name="Total 33 3 3 2 2 2" xfId="46247"/>
    <cellStyle name="Total 33 3 3 2 3" xfId="35643"/>
    <cellStyle name="Total 33 3 3 3" xfId="19948"/>
    <cellStyle name="Total 33 3 3 3 2" xfId="41135"/>
    <cellStyle name="Total 33 3 3 4" xfId="30452"/>
    <cellStyle name="Total 33 3 3_Table 2A-1_EFT (Annual)" xfId="9142"/>
    <cellStyle name="Total 33 3 4" xfId="10399"/>
    <cellStyle name="Total 33 3 4 2" xfId="22515"/>
    <cellStyle name="Total 33 3 4 2 2" xfId="43701"/>
    <cellStyle name="Total 33 3 4 3" xfId="33097"/>
    <cellStyle name="Total 33 3 5" xfId="17402"/>
    <cellStyle name="Total 33 3 5 2" xfId="38589"/>
    <cellStyle name="Total 33 3 6" xfId="27709"/>
    <cellStyle name="Total 33 3_Table 2A-1_EFT (Annual)" xfId="9139"/>
    <cellStyle name="Total 33 4" xfId="788"/>
    <cellStyle name="Total 33 4 2" xfId="4349"/>
    <cellStyle name="Total 33 4 2 2" xfId="12629"/>
    <cellStyle name="Total 33 4 2 2 2" xfId="24646"/>
    <cellStyle name="Total 33 4 2 2 2 2" xfId="45832"/>
    <cellStyle name="Total 33 4 2 2 3" xfId="35228"/>
    <cellStyle name="Total 33 4 2 3" xfId="19533"/>
    <cellStyle name="Total 33 4 2 3 2" xfId="40720"/>
    <cellStyle name="Total 33 4 2 4" xfId="30006"/>
    <cellStyle name="Total 33 4 2_Table 2A-1_EFT (Annual)" xfId="9144"/>
    <cellStyle name="Total 33 4 3" xfId="9977"/>
    <cellStyle name="Total 33 4 3 2" xfId="22100"/>
    <cellStyle name="Total 33 4 3 2 2" xfId="43286"/>
    <cellStyle name="Total 33 4 3 3" xfId="32682"/>
    <cellStyle name="Total 33 4 4" xfId="16987"/>
    <cellStyle name="Total 33 4 4 2" xfId="38174"/>
    <cellStyle name="Total 33 4 5" xfId="27263"/>
    <cellStyle name="Total 33 4_Table 2A-1_EFT (Annual)" xfId="9143"/>
    <cellStyle name="Total 33 5" xfId="1973"/>
    <cellStyle name="Total 33 5 2" xfId="5534"/>
    <cellStyle name="Total 33 5 2 2" xfId="13749"/>
    <cellStyle name="Total 33 5 2 2 2" xfId="25737"/>
    <cellStyle name="Total 33 5 2 2 2 2" xfId="46923"/>
    <cellStyle name="Total 33 5 2 2 3" xfId="36319"/>
    <cellStyle name="Total 33 5 2 3" xfId="20624"/>
    <cellStyle name="Total 33 5 2 3 2" xfId="41811"/>
    <cellStyle name="Total 33 5 2 4" xfId="31191"/>
    <cellStyle name="Total 33 5 2_Table 2A-1_EFT (Annual)" xfId="9146"/>
    <cellStyle name="Total 33 5 3" xfId="11093"/>
    <cellStyle name="Total 33 5 3 2" xfId="23191"/>
    <cellStyle name="Total 33 5 3 2 2" xfId="44377"/>
    <cellStyle name="Total 33 5 3 3" xfId="33773"/>
    <cellStyle name="Total 33 5 4" xfId="18078"/>
    <cellStyle name="Total 33 5 4 2" xfId="39265"/>
    <cellStyle name="Total 33 5 5" xfId="28448"/>
    <cellStyle name="Total 33 5_Table 2A-1_EFT (Annual)" xfId="9145"/>
    <cellStyle name="Total 33 6" xfId="3775"/>
    <cellStyle name="Total 33 6 2" xfId="12143"/>
    <cellStyle name="Total 33 6 2 2" xfId="24173"/>
    <cellStyle name="Total 33 6 2 2 2" xfId="45359"/>
    <cellStyle name="Total 33 6 2 3" xfId="34755"/>
    <cellStyle name="Total 33 6 3" xfId="19060"/>
    <cellStyle name="Total 33 6 3 2" xfId="40247"/>
    <cellStyle name="Total 33 6 4" xfId="29484"/>
    <cellStyle name="Total 33 6_Table 2A-1_EFT (Annual)" xfId="9147"/>
    <cellStyle name="Total 33 7" xfId="9462"/>
    <cellStyle name="Total 33 7 2" xfId="21627"/>
    <cellStyle name="Total 33 7 2 2" xfId="42813"/>
    <cellStyle name="Total 33 7 3" xfId="32209"/>
    <cellStyle name="Total 33 8" xfId="16514"/>
    <cellStyle name="Total 33 8 2" xfId="37701"/>
    <cellStyle name="Total 33 9" xfId="26741"/>
    <cellStyle name="Total 33_Table 2A-1_EFT (Annual)" xfId="3586"/>
    <cellStyle name="Total 34" xfId="296"/>
    <cellStyle name="Total 34 2" xfId="1298"/>
    <cellStyle name="Total 34 2 2" xfId="2568"/>
    <cellStyle name="Total 34 2 2 2" xfId="6129"/>
    <cellStyle name="Total 34 2 2 2 2" xfId="14323"/>
    <cellStyle name="Total 34 2 2 2 2 2" xfId="26295"/>
    <cellStyle name="Total 34 2 2 2 2 2 2" xfId="47481"/>
    <cellStyle name="Total 34 2 2 2 2 3" xfId="36877"/>
    <cellStyle name="Total 34 2 2 2 3" xfId="21182"/>
    <cellStyle name="Total 34 2 2 2 3 2" xfId="42369"/>
    <cellStyle name="Total 34 2 2 2 4" xfId="31785"/>
    <cellStyle name="Total 34 2 2 2_Table 2A-1_EFT (Annual)" xfId="9150"/>
    <cellStyle name="Total 34 2 2 3" xfId="11665"/>
    <cellStyle name="Total 34 2 2 3 2" xfId="23749"/>
    <cellStyle name="Total 34 2 2 3 2 2" xfId="44935"/>
    <cellStyle name="Total 34 2 2 3 3" xfId="34331"/>
    <cellStyle name="Total 34 2 2 4" xfId="18636"/>
    <cellStyle name="Total 34 2 2 4 2" xfId="39823"/>
    <cellStyle name="Total 34 2 2 5" xfId="29042"/>
    <cellStyle name="Total 34 2 2_Table 2A-1_EFT (Annual)" xfId="9149"/>
    <cellStyle name="Total 34 2 3" xfId="4859"/>
    <cellStyle name="Total 34 2 3 2" xfId="13119"/>
    <cellStyle name="Total 34 2 3 2 2" xfId="25125"/>
    <cellStyle name="Total 34 2 3 2 2 2" xfId="46311"/>
    <cellStyle name="Total 34 2 3 2 3" xfId="35707"/>
    <cellStyle name="Total 34 2 3 3" xfId="20012"/>
    <cellStyle name="Total 34 2 3 3 2" xfId="41199"/>
    <cellStyle name="Total 34 2 3 4" xfId="30516"/>
    <cellStyle name="Total 34 2 3_Table 2A-1_EFT (Annual)" xfId="9151"/>
    <cellStyle name="Total 34 2 4" xfId="10463"/>
    <cellStyle name="Total 34 2 4 2" xfId="22579"/>
    <cellStyle name="Total 34 2 4 2 2" xfId="43765"/>
    <cellStyle name="Total 34 2 4 3" xfId="33161"/>
    <cellStyle name="Total 34 2 5" xfId="17466"/>
    <cellStyle name="Total 34 2 5 2" xfId="38653"/>
    <cellStyle name="Total 34 2 6" xfId="27773"/>
    <cellStyle name="Total 34 2_Table 2A-1_EFT (Annual)" xfId="9148"/>
    <cellStyle name="Total 34 3" xfId="847"/>
    <cellStyle name="Total 34 3 2" xfId="4408"/>
    <cellStyle name="Total 34 3 2 2" xfId="12681"/>
    <cellStyle name="Total 34 3 2 2 2" xfId="24698"/>
    <cellStyle name="Total 34 3 2 2 2 2" xfId="45884"/>
    <cellStyle name="Total 34 3 2 2 3" xfId="35280"/>
    <cellStyle name="Total 34 3 2 3" xfId="19585"/>
    <cellStyle name="Total 34 3 2 3 2" xfId="40772"/>
    <cellStyle name="Total 34 3 2 4" xfId="30065"/>
    <cellStyle name="Total 34 3 2_Table 2A-1_EFT (Annual)" xfId="9153"/>
    <cellStyle name="Total 34 3 3" xfId="10030"/>
    <cellStyle name="Total 34 3 3 2" xfId="22152"/>
    <cellStyle name="Total 34 3 3 2 2" xfId="43338"/>
    <cellStyle name="Total 34 3 3 3" xfId="32734"/>
    <cellStyle name="Total 34 3 4" xfId="17039"/>
    <cellStyle name="Total 34 3 4 2" xfId="38226"/>
    <cellStyle name="Total 34 3 5" xfId="27322"/>
    <cellStyle name="Total 34 3_Table 2A-1_EFT (Annual)" xfId="9152"/>
    <cellStyle name="Total 34 4" xfId="2037"/>
    <cellStyle name="Total 34 4 2" xfId="5598"/>
    <cellStyle name="Total 34 4 2 2" xfId="13813"/>
    <cellStyle name="Total 34 4 2 2 2" xfId="25801"/>
    <cellStyle name="Total 34 4 2 2 2 2" xfId="46987"/>
    <cellStyle name="Total 34 4 2 2 3" xfId="36383"/>
    <cellStyle name="Total 34 4 2 3" xfId="20688"/>
    <cellStyle name="Total 34 4 2 3 2" xfId="41875"/>
    <cellStyle name="Total 34 4 2 4" xfId="31255"/>
    <cellStyle name="Total 34 4 2_Table 2A-1_EFT (Annual)" xfId="9155"/>
    <cellStyle name="Total 34 4 3" xfId="11157"/>
    <cellStyle name="Total 34 4 3 2" xfId="23255"/>
    <cellStyle name="Total 34 4 3 2 2" xfId="44441"/>
    <cellStyle name="Total 34 4 3 3" xfId="33837"/>
    <cellStyle name="Total 34 4 4" xfId="18142"/>
    <cellStyle name="Total 34 4 4 2" xfId="39329"/>
    <cellStyle name="Total 34 4 5" xfId="28512"/>
    <cellStyle name="Total 34 4_Table 2A-1_EFT (Annual)" xfId="9154"/>
    <cellStyle name="Total 34 5" xfId="3867"/>
    <cellStyle name="Total 34 5 2" xfId="12208"/>
    <cellStyle name="Total 34 5 2 2" xfId="24237"/>
    <cellStyle name="Total 34 5 2 2 2" xfId="45423"/>
    <cellStyle name="Total 34 5 2 3" xfId="34819"/>
    <cellStyle name="Total 34 5 3" xfId="19124"/>
    <cellStyle name="Total 34 5 3 2" xfId="40311"/>
    <cellStyle name="Total 34 5 4" xfId="29555"/>
    <cellStyle name="Total 34 5_Table 2A-1_EFT (Annual)" xfId="9156"/>
    <cellStyle name="Total 34 6" xfId="9543"/>
    <cellStyle name="Total 34 6 2" xfId="21691"/>
    <cellStyle name="Total 34 6 2 2" xfId="42877"/>
    <cellStyle name="Total 34 6 3" xfId="32273"/>
    <cellStyle name="Total 34 7" xfId="16578"/>
    <cellStyle name="Total 34 7 2" xfId="37765"/>
    <cellStyle name="Total 34 8" xfId="26812"/>
    <cellStyle name="Total 34_Table 2A-1_EFT (Annual)" xfId="3588"/>
    <cellStyle name="Total 35" xfId="639"/>
    <cellStyle name="Total 35 2" xfId="1616"/>
    <cellStyle name="Total 35 2 2" xfId="2886"/>
    <cellStyle name="Total 35 2 2 2" xfId="6447"/>
    <cellStyle name="Total 35 2 2 2 2" xfId="14641"/>
    <cellStyle name="Total 35 2 2 2 2 2" xfId="26613"/>
    <cellStyle name="Total 35 2 2 2 2 2 2" xfId="47799"/>
    <cellStyle name="Total 35 2 2 2 2 3" xfId="37195"/>
    <cellStyle name="Total 35 2 2 2 3" xfId="21500"/>
    <cellStyle name="Total 35 2 2 2 3 2" xfId="42687"/>
    <cellStyle name="Total 35 2 2 2 4" xfId="32103"/>
    <cellStyle name="Total 35 2 2 2_Table 2A-1_EFT (Annual)" xfId="9159"/>
    <cellStyle name="Total 35 2 2 3" xfId="11983"/>
    <cellStyle name="Total 35 2 2 3 2" xfId="24067"/>
    <cellStyle name="Total 35 2 2 3 2 2" xfId="45253"/>
    <cellStyle name="Total 35 2 2 3 3" xfId="34649"/>
    <cellStyle name="Total 35 2 2 4" xfId="18954"/>
    <cellStyle name="Total 35 2 2 4 2" xfId="40141"/>
    <cellStyle name="Total 35 2 2 5" xfId="29360"/>
    <cellStyle name="Total 35 2 2_Table 2A-1_EFT (Annual)" xfId="9158"/>
    <cellStyle name="Total 35 2 3" xfId="5177"/>
    <cellStyle name="Total 35 2 3 2" xfId="13437"/>
    <cellStyle name="Total 35 2 3 2 2" xfId="25443"/>
    <cellStyle name="Total 35 2 3 2 2 2" xfId="46629"/>
    <cellStyle name="Total 35 2 3 2 3" xfId="36025"/>
    <cellStyle name="Total 35 2 3 3" xfId="20330"/>
    <cellStyle name="Total 35 2 3 3 2" xfId="41517"/>
    <cellStyle name="Total 35 2 3 4" xfId="30834"/>
    <cellStyle name="Total 35 2 3_Table 2A-1_EFT (Annual)" xfId="9160"/>
    <cellStyle name="Total 35 2 4" xfId="10781"/>
    <cellStyle name="Total 35 2 4 2" xfId="22897"/>
    <cellStyle name="Total 35 2 4 2 2" xfId="44083"/>
    <cellStyle name="Total 35 2 4 3" xfId="33479"/>
    <cellStyle name="Total 35 2 5" xfId="17784"/>
    <cellStyle name="Total 35 2 5 2" xfId="38971"/>
    <cellStyle name="Total 35 2 6" xfId="28091"/>
    <cellStyle name="Total 35 2_Table 2A-1_EFT (Annual)" xfId="9157"/>
    <cellStyle name="Total 35 3" xfId="1128"/>
    <cellStyle name="Total 35 3 2" xfId="4689"/>
    <cellStyle name="Total 35 3 2 2" xfId="12949"/>
    <cellStyle name="Total 35 3 2 2 2" xfId="24955"/>
    <cellStyle name="Total 35 3 2 2 2 2" xfId="46141"/>
    <cellStyle name="Total 35 3 2 2 3" xfId="35537"/>
    <cellStyle name="Total 35 3 2 3" xfId="19842"/>
    <cellStyle name="Total 35 3 2 3 2" xfId="41029"/>
    <cellStyle name="Total 35 3 2 4" xfId="30346"/>
    <cellStyle name="Total 35 3 2_Table 2A-1_EFT (Annual)" xfId="9162"/>
    <cellStyle name="Total 35 3 3" xfId="10293"/>
    <cellStyle name="Total 35 3 3 2" xfId="22409"/>
    <cellStyle name="Total 35 3 3 2 2" xfId="43595"/>
    <cellStyle name="Total 35 3 3 3" xfId="32991"/>
    <cellStyle name="Total 35 3 4" xfId="17296"/>
    <cellStyle name="Total 35 3 4 2" xfId="38483"/>
    <cellStyle name="Total 35 3 5" xfId="27603"/>
    <cellStyle name="Total 35 3_Table 2A-1_EFT (Annual)" xfId="9161"/>
    <cellStyle name="Total 35 4" xfId="2355"/>
    <cellStyle name="Total 35 4 2" xfId="5916"/>
    <cellStyle name="Total 35 4 2 2" xfId="14131"/>
    <cellStyle name="Total 35 4 2 2 2" xfId="26119"/>
    <cellStyle name="Total 35 4 2 2 2 2" xfId="47305"/>
    <cellStyle name="Total 35 4 2 2 3" xfId="36701"/>
    <cellStyle name="Total 35 4 2 3" xfId="21006"/>
    <cellStyle name="Total 35 4 2 3 2" xfId="42193"/>
    <cellStyle name="Total 35 4 2 4" xfId="31573"/>
    <cellStyle name="Total 35 4 2_Table 2A-1_EFT (Annual)" xfId="9164"/>
    <cellStyle name="Total 35 4 3" xfId="11475"/>
    <cellStyle name="Total 35 4 3 2" xfId="23573"/>
    <cellStyle name="Total 35 4 3 2 2" xfId="44759"/>
    <cellStyle name="Total 35 4 3 3" xfId="34155"/>
    <cellStyle name="Total 35 4 4" xfId="18460"/>
    <cellStyle name="Total 35 4 4 2" xfId="39647"/>
    <cellStyle name="Total 35 4 5" xfId="28830"/>
    <cellStyle name="Total 35 4_Table 2A-1_EFT (Annual)" xfId="9163"/>
    <cellStyle name="Total 35 5" xfId="4209"/>
    <cellStyle name="Total 35 5 2" xfId="12533"/>
    <cellStyle name="Total 35 5 2 2" xfId="24555"/>
    <cellStyle name="Total 35 5 2 2 2" xfId="45741"/>
    <cellStyle name="Total 35 5 2 3" xfId="35137"/>
    <cellStyle name="Total 35 5 3" xfId="19442"/>
    <cellStyle name="Total 35 5 3 2" xfId="40629"/>
    <cellStyle name="Total 35 5 4" xfId="29897"/>
    <cellStyle name="Total 35 5_Table 2A-1_EFT (Annual)" xfId="9165"/>
    <cellStyle name="Total 35 6" xfId="9872"/>
    <cellStyle name="Total 35 6 2" xfId="22009"/>
    <cellStyle name="Total 35 6 2 2" xfId="43195"/>
    <cellStyle name="Total 35 6 3" xfId="32591"/>
    <cellStyle name="Total 35 7" xfId="16896"/>
    <cellStyle name="Total 35 7 2" xfId="38083"/>
    <cellStyle name="Total 35 8" xfId="27154"/>
    <cellStyle name="Total 35_Table 2A-1_EFT (Annual)" xfId="3589"/>
    <cellStyle name="Total 36" xfId="700"/>
    <cellStyle name="Total 36 2" xfId="2365"/>
    <cellStyle name="Total 36 2 2" xfId="5926"/>
    <cellStyle name="Total 36 2 2 2" xfId="14140"/>
    <cellStyle name="Total 36 2 2 2 2" xfId="26128"/>
    <cellStyle name="Total 36 2 2 2 2 2" xfId="47314"/>
    <cellStyle name="Total 36 2 2 2 3" xfId="36710"/>
    <cellStyle name="Total 36 2 2 3" xfId="21015"/>
    <cellStyle name="Total 36 2 2 3 2" xfId="42202"/>
    <cellStyle name="Total 36 2 2 4" xfId="31582"/>
    <cellStyle name="Total 36 2 2_Table 2A-1_EFT (Annual)" xfId="9168"/>
    <cellStyle name="Total 36 2 3" xfId="11485"/>
    <cellStyle name="Total 36 2 3 2" xfId="23582"/>
    <cellStyle name="Total 36 2 3 2 2" xfId="44768"/>
    <cellStyle name="Total 36 2 3 3" xfId="34164"/>
    <cellStyle name="Total 36 2 4" xfId="18469"/>
    <cellStyle name="Total 36 2 4 2" xfId="39656"/>
    <cellStyle name="Total 36 2 5" xfId="28839"/>
    <cellStyle name="Total 36 2_Table 2A-1_EFT (Annual)" xfId="9167"/>
    <cellStyle name="Total 36 3" xfId="4262"/>
    <cellStyle name="Total 36 3 2" xfId="12546"/>
    <cellStyle name="Total 36 3 2 2" xfId="24564"/>
    <cellStyle name="Total 36 3 2 2 2" xfId="45750"/>
    <cellStyle name="Total 36 3 2 3" xfId="35146"/>
    <cellStyle name="Total 36 3 3" xfId="19451"/>
    <cellStyle name="Total 36 3 3 2" xfId="40638"/>
    <cellStyle name="Total 36 3 4" xfId="29919"/>
    <cellStyle name="Total 36 3_Table 2A-1_EFT (Annual)" xfId="9169"/>
    <cellStyle name="Total 36 4" xfId="9893"/>
    <cellStyle name="Total 36 4 2" xfId="22018"/>
    <cellStyle name="Total 36 4 2 2" xfId="43204"/>
    <cellStyle name="Total 36 4 3" xfId="32600"/>
    <cellStyle name="Total 36 5" xfId="16905"/>
    <cellStyle name="Total 36 5 2" xfId="38092"/>
    <cellStyle name="Total 36 6" xfId="27176"/>
    <cellStyle name="Total 36_Table 2A-1_EFT (Annual)" xfId="9166"/>
    <cellStyle name="Total 37" xfId="16014"/>
    <cellStyle name="Total 37 2" xfId="37205"/>
    <cellStyle name="Total 38" xfId="47809"/>
    <cellStyle name="Total 4" xfId="94"/>
    <cellStyle name="Total 4 10" xfId="21518"/>
    <cellStyle name="Total 4 10 2" xfId="42705"/>
    <cellStyle name="Total 4 11" xfId="26650"/>
    <cellStyle name="Total 4 2" xfId="493"/>
    <cellStyle name="Total 4 2 2" xfId="1470"/>
    <cellStyle name="Total 4 2 2 2" xfId="2740"/>
    <cellStyle name="Total 4 2 2 2 2" xfId="6301"/>
    <cellStyle name="Total 4 2 2 2 2 2" xfId="14495"/>
    <cellStyle name="Total 4 2 2 2 2 2 2" xfId="26467"/>
    <cellStyle name="Total 4 2 2 2 2 2 2 2" xfId="47653"/>
    <cellStyle name="Total 4 2 2 2 2 2 3" xfId="37049"/>
    <cellStyle name="Total 4 2 2 2 2 3" xfId="21354"/>
    <cellStyle name="Total 4 2 2 2 2 3 2" xfId="42541"/>
    <cellStyle name="Total 4 2 2 2 2 4" xfId="31957"/>
    <cellStyle name="Total 4 2 2 2 2_Table 2A-1_EFT (Annual)" xfId="9172"/>
    <cellStyle name="Total 4 2 2 2 3" xfId="11837"/>
    <cellStyle name="Total 4 2 2 2 3 2" xfId="23921"/>
    <cellStyle name="Total 4 2 2 2 3 2 2" xfId="45107"/>
    <cellStyle name="Total 4 2 2 2 3 3" xfId="34503"/>
    <cellStyle name="Total 4 2 2 2 4" xfId="18808"/>
    <cellStyle name="Total 4 2 2 2 4 2" xfId="39995"/>
    <cellStyle name="Total 4 2 2 2 5" xfId="29214"/>
    <cellStyle name="Total 4 2 2 2_Table 2A-1_EFT (Annual)" xfId="9171"/>
    <cellStyle name="Total 4 2 2 3" xfId="5031"/>
    <cellStyle name="Total 4 2 2 3 2" xfId="13291"/>
    <cellStyle name="Total 4 2 2 3 2 2" xfId="25297"/>
    <cellStyle name="Total 4 2 2 3 2 2 2" xfId="46483"/>
    <cellStyle name="Total 4 2 2 3 2 3" xfId="35879"/>
    <cellStyle name="Total 4 2 2 3 3" xfId="20184"/>
    <cellStyle name="Total 4 2 2 3 3 2" xfId="41371"/>
    <cellStyle name="Total 4 2 2 3 4" xfId="30688"/>
    <cellStyle name="Total 4 2 2 3_Table 2A-1_EFT (Annual)" xfId="9173"/>
    <cellStyle name="Total 4 2 2 4" xfId="10635"/>
    <cellStyle name="Total 4 2 2 4 2" xfId="22751"/>
    <cellStyle name="Total 4 2 2 4 2 2" xfId="43937"/>
    <cellStyle name="Total 4 2 2 4 3" xfId="33333"/>
    <cellStyle name="Total 4 2 2 5" xfId="17638"/>
    <cellStyle name="Total 4 2 2 5 2" xfId="38825"/>
    <cellStyle name="Total 4 2 2 6" xfId="27945"/>
    <cellStyle name="Total 4 2 2_Table 2A-1_EFT (Annual)" xfId="9170"/>
    <cellStyle name="Total 4 2 3" xfId="1009"/>
    <cellStyle name="Total 4 2 3 2" xfId="4570"/>
    <cellStyle name="Total 4 2 3 2 2" xfId="12830"/>
    <cellStyle name="Total 4 2 3 2 2 2" xfId="24836"/>
    <cellStyle name="Total 4 2 3 2 2 2 2" xfId="46022"/>
    <cellStyle name="Total 4 2 3 2 2 3" xfId="35418"/>
    <cellStyle name="Total 4 2 3 2 3" xfId="19723"/>
    <cellStyle name="Total 4 2 3 2 3 2" xfId="40910"/>
    <cellStyle name="Total 4 2 3 2 4" xfId="30227"/>
    <cellStyle name="Total 4 2 3 2_Table 2A-1_EFT (Annual)" xfId="9175"/>
    <cellStyle name="Total 4 2 3 3" xfId="10174"/>
    <cellStyle name="Total 4 2 3 3 2" xfId="22290"/>
    <cellStyle name="Total 4 2 3 3 2 2" xfId="43476"/>
    <cellStyle name="Total 4 2 3 3 3" xfId="32872"/>
    <cellStyle name="Total 4 2 3 4" xfId="17177"/>
    <cellStyle name="Total 4 2 3 4 2" xfId="38364"/>
    <cellStyle name="Total 4 2 3 5" xfId="27484"/>
    <cellStyle name="Total 4 2 3_Table 2A-1_EFT (Annual)" xfId="9174"/>
    <cellStyle name="Total 4 2 4" xfId="2209"/>
    <cellStyle name="Total 4 2 4 2" xfId="5770"/>
    <cellStyle name="Total 4 2 4 2 2" xfId="13985"/>
    <cellStyle name="Total 4 2 4 2 2 2" xfId="25973"/>
    <cellStyle name="Total 4 2 4 2 2 2 2" xfId="47159"/>
    <cellStyle name="Total 4 2 4 2 2 3" xfId="36555"/>
    <cellStyle name="Total 4 2 4 2 3" xfId="20860"/>
    <cellStyle name="Total 4 2 4 2 3 2" xfId="42047"/>
    <cellStyle name="Total 4 2 4 2 4" xfId="31427"/>
    <cellStyle name="Total 4 2 4 2_Table 2A-1_EFT (Annual)" xfId="9177"/>
    <cellStyle name="Total 4 2 4 3" xfId="11329"/>
    <cellStyle name="Total 4 2 4 3 2" xfId="23427"/>
    <cellStyle name="Total 4 2 4 3 2 2" xfId="44613"/>
    <cellStyle name="Total 4 2 4 3 3" xfId="34009"/>
    <cellStyle name="Total 4 2 4 4" xfId="18314"/>
    <cellStyle name="Total 4 2 4 4 2" xfId="39501"/>
    <cellStyle name="Total 4 2 4 5" xfId="28684"/>
    <cellStyle name="Total 4 2 4_Table 2A-1_EFT (Annual)" xfId="9176"/>
    <cellStyle name="Total 4 2 5" xfId="4063"/>
    <cellStyle name="Total 4 2 5 2" xfId="12387"/>
    <cellStyle name="Total 4 2 5 2 2" xfId="24409"/>
    <cellStyle name="Total 4 2 5 2 2 2" xfId="45595"/>
    <cellStyle name="Total 4 2 5 2 3" xfId="34991"/>
    <cellStyle name="Total 4 2 5 3" xfId="19296"/>
    <cellStyle name="Total 4 2 5 3 2" xfId="40483"/>
    <cellStyle name="Total 4 2 5 4" xfId="29751"/>
    <cellStyle name="Total 4 2 5_Table 2A-1_EFT (Annual)" xfId="9178"/>
    <cellStyle name="Total 4 2 6" xfId="9726"/>
    <cellStyle name="Total 4 2 6 2" xfId="21863"/>
    <cellStyle name="Total 4 2 6 2 2" xfId="43049"/>
    <cellStyle name="Total 4 2 6 3" xfId="32445"/>
    <cellStyle name="Total 4 2 7" xfId="16750"/>
    <cellStyle name="Total 4 2 7 2" xfId="37937"/>
    <cellStyle name="Total 4 2 8" xfId="27008"/>
    <cellStyle name="Total 4 2_Table 2A-1_EFT (Annual)" xfId="3591"/>
    <cellStyle name="Total 4 3" xfId="326"/>
    <cellStyle name="Total 4 3 2" xfId="1314"/>
    <cellStyle name="Total 4 3 2 2" xfId="2584"/>
    <cellStyle name="Total 4 3 2 2 2" xfId="6145"/>
    <cellStyle name="Total 4 3 2 2 2 2" xfId="14339"/>
    <cellStyle name="Total 4 3 2 2 2 2 2" xfId="26311"/>
    <cellStyle name="Total 4 3 2 2 2 2 2 2" xfId="47497"/>
    <cellStyle name="Total 4 3 2 2 2 2 3" xfId="36893"/>
    <cellStyle name="Total 4 3 2 2 2 3" xfId="21198"/>
    <cellStyle name="Total 4 3 2 2 2 3 2" xfId="42385"/>
    <cellStyle name="Total 4 3 2 2 2 4" xfId="31801"/>
    <cellStyle name="Total 4 3 2 2 2_Table 2A-1_EFT (Annual)" xfId="9181"/>
    <cellStyle name="Total 4 3 2 2 3" xfId="11681"/>
    <cellStyle name="Total 4 3 2 2 3 2" xfId="23765"/>
    <cellStyle name="Total 4 3 2 2 3 2 2" xfId="44951"/>
    <cellStyle name="Total 4 3 2 2 3 3" xfId="34347"/>
    <cellStyle name="Total 4 3 2 2 4" xfId="18652"/>
    <cellStyle name="Total 4 3 2 2 4 2" xfId="39839"/>
    <cellStyle name="Total 4 3 2 2 5" xfId="29058"/>
    <cellStyle name="Total 4 3 2 2_Table 2A-1_EFT (Annual)" xfId="9180"/>
    <cellStyle name="Total 4 3 2 3" xfId="4875"/>
    <cellStyle name="Total 4 3 2 3 2" xfId="13135"/>
    <cellStyle name="Total 4 3 2 3 2 2" xfId="25141"/>
    <cellStyle name="Total 4 3 2 3 2 2 2" xfId="46327"/>
    <cellStyle name="Total 4 3 2 3 2 3" xfId="35723"/>
    <cellStyle name="Total 4 3 2 3 3" xfId="20028"/>
    <cellStyle name="Total 4 3 2 3 3 2" xfId="41215"/>
    <cellStyle name="Total 4 3 2 3 4" xfId="30532"/>
    <cellStyle name="Total 4 3 2 3_Table 2A-1_EFT (Annual)" xfId="9182"/>
    <cellStyle name="Total 4 3 2 4" xfId="10479"/>
    <cellStyle name="Total 4 3 2 4 2" xfId="22595"/>
    <cellStyle name="Total 4 3 2 4 2 2" xfId="43781"/>
    <cellStyle name="Total 4 3 2 4 3" xfId="33177"/>
    <cellStyle name="Total 4 3 2 5" xfId="17482"/>
    <cellStyle name="Total 4 3 2 5 2" xfId="38669"/>
    <cellStyle name="Total 4 3 2 6" xfId="27789"/>
    <cellStyle name="Total 4 3 2_Table 2A-1_EFT (Annual)" xfId="9179"/>
    <cellStyle name="Total 4 3 3" xfId="872"/>
    <cellStyle name="Total 4 3 3 2" xfId="4433"/>
    <cellStyle name="Total 4 3 3 2 2" xfId="12698"/>
    <cellStyle name="Total 4 3 3 2 2 2" xfId="24710"/>
    <cellStyle name="Total 4 3 3 2 2 2 2" xfId="45896"/>
    <cellStyle name="Total 4 3 3 2 2 3" xfId="35292"/>
    <cellStyle name="Total 4 3 3 2 3" xfId="19597"/>
    <cellStyle name="Total 4 3 3 2 3 2" xfId="40784"/>
    <cellStyle name="Total 4 3 3 2 4" xfId="30090"/>
    <cellStyle name="Total 4 3 3 2_Table 2A-1_EFT (Annual)" xfId="9184"/>
    <cellStyle name="Total 4 3 3 3" xfId="10045"/>
    <cellStyle name="Total 4 3 3 3 2" xfId="22164"/>
    <cellStyle name="Total 4 3 3 3 2 2" xfId="43350"/>
    <cellStyle name="Total 4 3 3 3 3" xfId="32746"/>
    <cellStyle name="Total 4 3 3 4" xfId="17051"/>
    <cellStyle name="Total 4 3 3 4 2" xfId="38238"/>
    <cellStyle name="Total 4 3 3 5" xfId="27347"/>
    <cellStyle name="Total 4 3 3_Table 2A-1_EFT (Annual)" xfId="9183"/>
    <cellStyle name="Total 4 3 4" xfId="2053"/>
    <cellStyle name="Total 4 3 4 2" xfId="5614"/>
    <cellStyle name="Total 4 3 4 2 2" xfId="13829"/>
    <cellStyle name="Total 4 3 4 2 2 2" xfId="25817"/>
    <cellStyle name="Total 4 3 4 2 2 2 2" xfId="47003"/>
    <cellStyle name="Total 4 3 4 2 2 3" xfId="36399"/>
    <cellStyle name="Total 4 3 4 2 3" xfId="20704"/>
    <cellStyle name="Total 4 3 4 2 3 2" xfId="41891"/>
    <cellStyle name="Total 4 3 4 2 4" xfId="31271"/>
    <cellStyle name="Total 4 3 4 2_Table 2A-1_EFT (Annual)" xfId="9186"/>
    <cellStyle name="Total 4 3 4 3" xfId="11173"/>
    <cellStyle name="Total 4 3 4 3 2" xfId="23271"/>
    <cellStyle name="Total 4 3 4 3 2 2" xfId="44457"/>
    <cellStyle name="Total 4 3 4 3 3" xfId="33853"/>
    <cellStyle name="Total 4 3 4 4" xfId="18158"/>
    <cellStyle name="Total 4 3 4 4 2" xfId="39345"/>
    <cellStyle name="Total 4 3 4 5" xfId="28528"/>
    <cellStyle name="Total 4 3 4_Table 2A-1_EFT (Annual)" xfId="9185"/>
    <cellStyle name="Total 4 3 5" xfId="3896"/>
    <cellStyle name="Total 4 3 5 2" xfId="12228"/>
    <cellStyle name="Total 4 3 5 2 2" xfId="24253"/>
    <cellStyle name="Total 4 3 5 2 2 2" xfId="45439"/>
    <cellStyle name="Total 4 3 5 2 3" xfId="34835"/>
    <cellStyle name="Total 4 3 5 3" xfId="19140"/>
    <cellStyle name="Total 4 3 5 3 2" xfId="40327"/>
    <cellStyle name="Total 4 3 5 4" xfId="29584"/>
    <cellStyle name="Total 4 3 5_Table 2A-1_EFT (Annual)" xfId="9187"/>
    <cellStyle name="Total 4 3 6" xfId="9565"/>
    <cellStyle name="Total 4 3 6 2" xfId="21707"/>
    <cellStyle name="Total 4 3 6 2 2" xfId="42893"/>
    <cellStyle name="Total 4 3 6 3" xfId="32289"/>
    <cellStyle name="Total 4 3 7" xfId="16594"/>
    <cellStyle name="Total 4 3 7 2" xfId="37781"/>
    <cellStyle name="Total 4 3 8" xfId="26841"/>
    <cellStyle name="Total 4 3_Table 2A-1_EFT (Annual)" xfId="3592"/>
    <cellStyle name="Total 4 4" xfId="1148"/>
    <cellStyle name="Total 4 4 2" xfId="2418"/>
    <cellStyle name="Total 4 4 2 2" xfId="5979"/>
    <cellStyle name="Total 4 4 2 2 2" xfId="14173"/>
    <cellStyle name="Total 4 4 2 2 2 2" xfId="26145"/>
    <cellStyle name="Total 4 4 2 2 2 2 2" xfId="47331"/>
    <cellStyle name="Total 4 4 2 2 2 3" xfId="36727"/>
    <cellStyle name="Total 4 4 2 2 3" xfId="21032"/>
    <cellStyle name="Total 4 4 2 2 3 2" xfId="42219"/>
    <cellStyle name="Total 4 4 2 2 4" xfId="31635"/>
    <cellStyle name="Total 4 4 2 2_Table 2A-1_EFT (Annual)" xfId="9190"/>
    <cellStyle name="Total 4 4 2 3" xfId="11515"/>
    <cellStyle name="Total 4 4 2 3 2" xfId="23599"/>
    <cellStyle name="Total 4 4 2 3 2 2" xfId="44785"/>
    <cellStyle name="Total 4 4 2 3 3" xfId="34181"/>
    <cellStyle name="Total 4 4 2 4" xfId="18486"/>
    <cellStyle name="Total 4 4 2 4 2" xfId="39673"/>
    <cellStyle name="Total 4 4 2 5" xfId="28892"/>
    <cellStyle name="Total 4 4 2_Table 2A-1_EFT (Annual)" xfId="9189"/>
    <cellStyle name="Total 4 4 3" xfId="4709"/>
    <cellStyle name="Total 4 4 3 2" xfId="12969"/>
    <cellStyle name="Total 4 4 3 2 2" xfId="24975"/>
    <cellStyle name="Total 4 4 3 2 2 2" xfId="46161"/>
    <cellStyle name="Total 4 4 3 2 3" xfId="35557"/>
    <cellStyle name="Total 4 4 3 3" xfId="19862"/>
    <cellStyle name="Total 4 4 3 3 2" xfId="41049"/>
    <cellStyle name="Total 4 4 3 4" xfId="30366"/>
    <cellStyle name="Total 4 4 3_Table 2A-1_EFT (Annual)" xfId="9191"/>
    <cellStyle name="Total 4 4 4" xfId="10313"/>
    <cellStyle name="Total 4 4 4 2" xfId="22429"/>
    <cellStyle name="Total 4 4 4 2 2" xfId="43615"/>
    <cellStyle name="Total 4 4 4 3" xfId="33011"/>
    <cellStyle name="Total 4 4 5" xfId="17316"/>
    <cellStyle name="Total 4 4 5 2" xfId="38503"/>
    <cellStyle name="Total 4 4 6" xfId="27623"/>
    <cellStyle name="Total 4 4_Table 2A-1_EFT (Annual)" xfId="9188"/>
    <cellStyle name="Total 4 5" xfId="713"/>
    <cellStyle name="Total 4 5 2" xfId="4274"/>
    <cellStyle name="Total 4 5 2 2" xfId="12558"/>
    <cellStyle name="Total 4 5 2 2 2" xfId="24576"/>
    <cellStyle name="Total 4 5 2 2 2 2" xfId="45762"/>
    <cellStyle name="Total 4 5 2 2 3" xfId="35158"/>
    <cellStyle name="Total 4 5 2 3" xfId="19463"/>
    <cellStyle name="Total 4 5 2 3 2" xfId="40650"/>
    <cellStyle name="Total 4 5 2 4" xfId="29931"/>
    <cellStyle name="Total 4 5 2_Table 2A-1_EFT (Annual)" xfId="9193"/>
    <cellStyle name="Total 4 5 3" xfId="9905"/>
    <cellStyle name="Total 4 5 3 2" xfId="22030"/>
    <cellStyle name="Total 4 5 3 2 2" xfId="43216"/>
    <cellStyle name="Total 4 5 3 3" xfId="32612"/>
    <cellStyle name="Total 4 5 4" xfId="16917"/>
    <cellStyle name="Total 4 5 4 2" xfId="38104"/>
    <cellStyle name="Total 4 5 5" xfId="27188"/>
    <cellStyle name="Total 4 5_Table 2A-1_EFT (Annual)" xfId="9192"/>
    <cellStyle name="Total 4 6" xfId="1876"/>
    <cellStyle name="Total 4 6 2" xfId="5437"/>
    <cellStyle name="Total 4 6 2 2" xfId="13652"/>
    <cellStyle name="Total 4 6 2 2 2" xfId="25640"/>
    <cellStyle name="Total 4 6 2 2 2 2" xfId="46826"/>
    <cellStyle name="Total 4 6 2 2 3" xfId="36222"/>
    <cellStyle name="Total 4 6 2 3" xfId="20527"/>
    <cellStyle name="Total 4 6 2 3 2" xfId="41714"/>
    <cellStyle name="Total 4 6 2 4" xfId="31094"/>
    <cellStyle name="Total 4 6 2_Table 2A-1_EFT (Annual)" xfId="9195"/>
    <cellStyle name="Total 4 6 3" xfId="10996"/>
    <cellStyle name="Total 4 6 3 2" xfId="23094"/>
    <cellStyle name="Total 4 6 3 2 2" xfId="44280"/>
    <cellStyle name="Total 4 6 3 3" xfId="33676"/>
    <cellStyle name="Total 4 6 4" xfId="17981"/>
    <cellStyle name="Total 4 6 4 2" xfId="39168"/>
    <cellStyle name="Total 4 6 5" xfId="28351"/>
    <cellStyle name="Total 4 6_Table 2A-1_EFT (Annual)" xfId="9194"/>
    <cellStyle name="Total 4 7" xfId="3683"/>
    <cellStyle name="Total 4 7 2" xfId="12056"/>
    <cellStyle name="Total 4 7 2 2" xfId="24087"/>
    <cellStyle name="Total 4 7 2 2 2" xfId="45273"/>
    <cellStyle name="Total 4 7 2 3" xfId="34669"/>
    <cellStyle name="Total 4 7 3" xfId="18974"/>
    <cellStyle name="Total 4 7 3 2" xfId="40161"/>
    <cellStyle name="Total 4 7 4" xfId="29393"/>
    <cellStyle name="Total 4 7_Table 2A-1_EFT (Annual)" xfId="9196"/>
    <cellStyle name="Total 4 8" xfId="9373"/>
    <cellStyle name="Total 4 8 2" xfId="21541"/>
    <cellStyle name="Total 4 8 2 2" xfId="42727"/>
    <cellStyle name="Total 4 8 3" xfId="32123"/>
    <cellStyle name="Total 4 9" xfId="16428"/>
    <cellStyle name="Total 4 9 2" xfId="37615"/>
    <cellStyle name="Total 4_Table 2A-1_EFT (Annual)" xfId="3590"/>
    <cellStyle name="Total 5" xfId="83"/>
    <cellStyle name="Total 5 10" xfId="21523"/>
    <cellStyle name="Total 5 10 2" xfId="42710"/>
    <cellStyle name="Total 5 11" xfId="26639"/>
    <cellStyle name="Total 5 2" xfId="482"/>
    <cellStyle name="Total 5 2 2" xfId="1459"/>
    <cellStyle name="Total 5 2 2 2" xfId="2729"/>
    <cellStyle name="Total 5 2 2 2 2" xfId="6290"/>
    <cellStyle name="Total 5 2 2 2 2 2" xfId="14484"/>
    <cellStyle name="Total 5 2 2 2 2 2 2" xfId="26456"/>
    <cellStyle name="Total 5 2 2 2 2 2 2 2" xfId="47642"/>
    <cellStyle name="Total 5 2 2 2 2 2 3" xfId="37038"/>
    <cellStyle name="Total 5 2 2 2 2 3" xfId="21343"/>
    <cellStyle name="Total 5 2 2 2 2 3 2" xfId="42530"/>
    <cellStyle name="Total 5 2 2 2 2 4" xfId="31946"/>
    <cellStyle name="Total 5 2 2 2 2_Table 2A-1_EFT (Annual)" xfId="9199"/>
    <cellStyle name="Total 5 2 2 2 3" xfId="11826"/>
    <cellStyle name="Total 5 2 2 2 3 2" xfId="23910"/>
    <cellStyle name="Total 5 2 2 2 3 2 2" xfId="45096"/>
    <cellStyle name="Total 5 2 2 2 3 3" xfId="34492"/>
    <cellStyle name="Total 5 2 2 2 4" xfId="18797"/>
    <cellStyle name="Total 5 2 2 2 4 2" xfId="39984"/>
    <cellStyle name="Total 5 2 2 2 5" xfId="29203"/>
    <cellStyle name="Total 5 2 2 2_Table 2A-1_EFT (Annual)" xfId="9198"/>
    <cellStyle name="Total 5 2 2 3" xfId="5020"/>
    <cellStyle name="Total 5 2 2 3 2" xfId="13280"/>
    <cellStyle name="Total 5 2 2 3 2 2" xfId="25286"/>
    <cellStyle name="Total 5 2 2 3 2 2 2" xfId="46472"/>
    <cellStyle name="Total 5 2 2 3 2 3" xfId="35868"/>
    <cellStyle name="Total 5 2 2 3 3" xfId="20173"/>
    <cellStyle name="Total 5 2 2 3 3 2" xfId="41360"/>
    <cellStyle name="Total 5 2 2 3 4" xfId="30677"/>
    <cellStyle name="Total 5 2 2 3_Table 2A-1_EFT (Annual)" xfId="9200"/>
    <cellStyle name="Total 5 2 2 4" xfId="10624"/>
    <cellStyle name="Total 5 2 2 4 2" xfId="22740"/>
    <cellStyle name="Total 5 2 2 4 2 2" xfId="43926"/>
    <cellStyle name="Total 5 2 2 4 3" xfId="33322"/>
    <cellStyle name="Total 5 2 2 5" xfId="17627"/>
    <cellStyle name="Total 5 2 2 5 2" xfId="38814"/>
    <cellStyle name="Total 5 2 2 6" xfId="27934"/>
    <cellStyle name="Total 5 2 2_Table 2A-1_EFT (Annual)" xfId="9197"/>
    <cellStyle name="Total 5 2 3" xfId="1002"/>
    <cellStyle name="Total 5 2 3 2" xfId="4563"/>
    <cellStyle name="Total 5 2 3 2 2" xfId="12823"/>
    <cellStyle name="Total 5 2 3 2 2 2" xfId="24829"/>
    <cellStyle name="Total 5 2 3 2 2 2 2" xfId="46015"/>
    <cellStyle name="Total 5 2 3 2 2 3" xfId="35411"/>
    <cellStyle name="Total 5 2 3 2 3" xfId="19716"/>
    <cellStyle name="Total 5 2 3 2 3 2" xfId="40903"/>
    <cellStyle name="Total 5 2 3 2 4" xfId="30220"/>
    <cellStyle name="Total 5 2 3 2_Table 2A-1_EFT (Annual)" xfId="9202"/>
    <cellStyle name="Total 5 2 3 3" xfId="10167"/>
    <cellStyle name="Total 5 2 3 3 2" xfId="22283"/>
    <cellStyle name="Total 5 2 3 3 2 2" xfId="43469"/>
    <cellStyle name="Total 5 2 3 3 3" xfId="32865"/>
    <cellStyle name="Total 5 2 3 4" xfId="17170"/>
    <cellStyle name="Total 5 2 3 4 2" xfId="38357"/>
    <cellStyle name="Total 5 2 3 5" xfId="27477"/>
    <cellStyle name="Total 5 2 3_Table 2A-1_EFT (Annual)" xfId="9201"/>
    <cellStyle name="Total 5 2 4" xfId="2198"/>
    <cellStyle name="Total 5 2 4 2" xfId="5759"/>
    <cellStyle name="Total 5 2 4 2 2" xfId="13974"/>
    <cellStyle name="Total 5 2 4 2 2 2" xfId="25962"/>
    <cellStyle name="Total 5 2 4 2 2 2 2" xfId="47148"/>
    <cellStyle name="Total 5 2 4 2 2 3" xfId="36544"/>
    <cellStyle name="Total 5 2 4 2 3" xfId="20849"/>
    <cellStyle name="Total 5 2 4 2 3 2" xfId="42036"/>
    <cellStyle name="Total 5 2 4 2 4" xfId="31416"/>
    <cellStyle name="Total 5 2 4 2_Table 2A-1_EFT (Annual)" xfId="9204"/>
    <cellStyle name="Total 5 2 4 3" xfId="11318"/>
    <cellStyle name="Total 5 2 4 3 2" xfId="23416"/>
    <cellStyle name="Total 5 2 4 3 2 2" xfId="44602"/>
    <cellStyle name="Total 5 2 4 3 3" xfId="33998"/>
    <cellStyle name="Total 5 2 4 4" xfId="18303"/>
    <cellStyle name="Total 5 2 4 4 2" xfId="39490"/>
    <cellStyle name="Total 5 2 4 5" xfId="28673"/>
    <cellStyle name="Total 5 2 4_Table 2A-1_EFT (Annual)" xfId="9203"/>
    <cellStyle name="Total 5 2 5" xfId="4052"/>
    <cellStyle name="Total 5 2 5 2" xfId="12376"/>
    <cellStyle name="Total 5 2 5 2 2" xfId="24398"/>
    <cellStyle name="Total 5 2 5 2 2 2" xfId="45584"/>
    <cellStyle name="Total 5 2 5 2 3" xfId="34980"/>
    <cellStyle name="Total 5 2 5 3" xfId="19285"/>
    <cellStyle name="Total 5 2 5 3 2" xfId="40472"/>
    <cellStyle name="Total 5 2 5 4" xfId="29740"/>
    <cellStyle name="Total 5 2 5_Table 2A-1_EFT (Annual)" xfId="9205"/>
    <cellStyle name="Total 5 2 6" xfId="9715"/>
    <cellStyle name="Total 5 2 6 2" xfId="21852"/>
    <cellStyle name="Total 5 2 6 2 2" xfId="43038"/>
    <cellStyle name="Total 5 2 6 3" xfId="32434"/>
    <cellStyle name="Total 5 2 7" xfId="16739"/>
    <cellStyle name="Total 5 2 7 2" xfId="37926"/>
    <cellStyle name="Total 5 2 8" xfId="26997"/>
    <cellStyle name="Total 5 2_Table 2A-1_EFT (Annual)" xfId="3594"/>
    <cellStyle name="Total 5 3" xfId="315"/>
    <cellStyle name="Total 5 3 2" xfId="1303"/>
    <cellStyle name="Total 5 3 2 2" xfId="2573"/>
    <cellStyle name="Total 5 3 2 2 2" xfId="6134"/>
    <cellStyle name="Total 5 3 2 2 2 2" xfId="14328"/>
    <cellStyle name="Total 5 3 2 2 2 2 2" xfId="26300"/>
    <cellStyle name="Total 5 3 2 2 2 2 2 2" xfId="47486"/>
    <cellStyle name="Total 5 3 2 2 2 2 3" xfId="36882"/>
    <cellStyle name="Total 5 3 2 2 2 3" xfId="21187"/>
    <cellStyle name="Total 5 3 2 2 2 3 2" xfId="42374"/>
    <cellStyle name="Total 5 3 2 2 2 4" xfId="31790"/>
    <cellStyle name="Total 5 3 2 2 2_Table 2A-1_EFT (Annual)" xfId="9208"/>
    <cellStyle name="Total 5 3 2 2 3" xfId="11670"/>
    <cellStyle name="Total 5 3 2 2 3 2" xfId="23754"/>
    <cellStyle name="Total 5 3 2 2 3 2 2" xfId="44940"/>
    <cellStyle name="Total 5 3 2 2 3 3" xfId="34336"/>
    <cellStyle name="Total 5 3 2 2 4" xfId="18641"/>
    <cellStyle name="Total 5 3 2 2 4 2" xfId="39828"/>
    <cellStyle name="Total 5 3 2 2 5" xfId="29047"/>
    <cellStyle name="Total 5 3 2 2_Table 2A-1_EFT (Annual)" xfId="9207"/>
    <cellStyle name="Total 5 3 2 3" xfId="4864"/>
    <cellStyle name="Total 5 3 2 3 2" xfId="13124"/>
    <cellStyle name="Total 5 3 2 3 2 2" xfId="25130"/>
    <cellStyle name="Total 5 3 2 3 2 2 2" xfId="46316"/>
    <cellStyle name="Total 5 3 2 3 2 3" xfId="35712"/>
    <cellStyle name="Total 5 3 2 3 3" xfId="20017"/>
    <cellStyle name="Total 5 3 2 3 3 2" xfId="41204"/>
    <cellStyle name="Total 5 3 2 3 4" xfId="30521"/>
    <cellStyle name="Total 5 3 2 3_Table 2A-1_EFT (Annual)" xfId="9209"/>
    <cellStyle name="Total 5 3 2 4" xfId="10468"/>
    <cellStyle name="Total 5 3 2 4 2" xfId="22584"/>
    <cellStyle name="Total 5 3 2 4 2 2" xfId="43770"/>
    <cellStyle name="Total 5 3 2 4 3" xfId="33166"/>
    <cellStyle name="Total 5 3 2 5" xfId="17471"/>
    <cellStyle name="Total 5 3 2 5 2" xfId="38658"/>
    <cellStyle name="Total 5 3 2 6" xfId="27778"/>
    <cellStyle name="Total 5 3 2_Table 2A-1_EFT (Annual)" xfId="9206"/>
    <cellStyle name="Total 5 3 3" xfId="865"/>
    <cellStyle name="Total 5 3 3 2" xfId="4426"/>
    <cellStyle name="Total 5 3 3 2 2" xfId="12691"/>
    <cellStyle name="Total 5 3 3 2 2 2" xfId="24703"/>
    <cellStyle name="Total 5 3 3 2 2 2 2" xfId="45889"/>
    <cellStyle name="Total 5 3 3 2 2 3" xfId="35285"/>
    <cellStyle name="Total 5 3 3 2 3" xfId="19590"/>
    <cellStyle name="Total 5 3 3 2 3 2" xfId="40777"/>
    <cellStyle name="Total 5 3 3 2 4" xfId="30083"/>
    <cellStyle name="Total 5 3 3 2_Table 2A-1_EFT (Annual)" xfId="9211"/>
    <cellStyle name="Total 5 3 3 3" xfId="10038"/>
    <cellStyle name="Total 5 3 3 3 2" xfId="22157"/>
    <cellStyle name="Total 5 3 3 3 2 2" xfId="43343"/>
    <cellStyle name="Total 5 3 3 3 3" xfId="32739"/>
    <cellStyle name="Total 5 3 3 4" xfId="17044"/>
    <cellStyle name="Total 5 3 3 4 2" xfId="38231"/>
    <cellStyle name="Total 5 3 3 5" xfId="27340"/>
    <cellStyle name="Total 5 3 3_Table 2A-1_EFT (Annual)" xfId="9210"/>
    <cellStyle name="Total 5 3 4" xfId="2042"/>
    <cellStyle name="Total 5 3 4 2" xfId="5603"/>
    <cellStyle name="Total 5 3 4 2 2" xfId="13818"/>
    <cellStyle name="Total 5 3 4 2 2 2" xfId="25806"/>
    <cellStyle name="Total 5 3 4 2 2 2 2" xfId="46992"/>
    <cellStyle name="Total 5 3 4 2 2 3" xfId="36388"/>
    <cellStyle name="Total 5 3 4 2 3" xfId="20693"/>
    <cellStyle name="Total 5 3 4 2 3 2" xfId="41880"/>
    <cellStyle name="Total 5 3 4 2 4" xfId="31260"/>
    <cellStyle name="Total 5 3 4 2_Table 2A-1_EFT (Annual)" xfId="9213"/>
    <cellStyle name="Total 5 3 4 3" xfId="11162"/>
    <cellStyle name="Total 5 3 4 3 2" xfId="23260"/>
    <cellStyle name="Total 5 3 4 3 2 2" xfId="44446"/>
    <cellStyle name="Total 5 3 4 3 3" xfId="33842"/>
    <cellStyle name="Total 5 3 4 4" xfId="18147"/>
    <cellStyle name="Total 5 3 4 4 2" xfId="39334"/>
    <cellStyle name="Total 5 3 4 5" xfId="28517"/>
    <cellStyle name="Total 5 3 4_Table 2A-1_EFT (Annual)" xfId="9212"/>
    <cellStyle name="Total 5 3 5" xfId="3885"/>
    <cellStyle name="Total 5 3 5 2" xfId="12217"/>
    <cellStyle name="Total 5 3 5 2 2" xfId="24242"/>
    <cellStyle name="Total 5 3 5 2 2 2" xfId="45428"/>
    <cellStyle name="Total 5 3 5 2 3" xfId="34824"/>
    <cellStyle name="Total 5 3 5 3" xfId="19129"/>
    <cellStyle name="Total 5 3 5 3 2" xfId="40316"/>
    <cellStyle name="Total 5 3 5 4" xfId="29573"/>
    <cellStyle name="Total 5 3 5_Table 2A-1_EFT (Annual)" xfId="9214"/>
    <cellStyle name="Total 5 3 6" xfId="9554"/>
    <cellStyle name="Total 5 3 6 2" xfId="21696"/>
    <cellStyle name="Total 5 3 6 2 2" xfId="42882"/>
    <cellStyle name="Total 5 3 6 3" xfId="32278"/>
    <cellStyle name="Total 5 3 7" xfId="16583"/>
    <cellStyle name="Total 5 3 7 2" xfId="37770"/>
    <cellStyle name="Total 5 3 8" xfId="26830"/>
    <cellStyle name="Total 5 3_Table 2A-1_EFT (Annual)" xfId="3595"/>
    <cellStyle name="Total 5 4" xfId="1137"/>
    <cellStyle name="Total 5 4 2" xfId="2407"/>
    <cellStyle name="Total 5 4 2 2" xfId="5968"/>
    <cellStyle name="Total 5 4 2 2 2" xfId="14162"/>
    <cellStyle name="Total 5 4 2 2 2 2" xfId="26134"/>
    <cellStyle name="Total 5 4 2 2 2 2 2" xfId="47320"/>
    <cellStyle name="Total 5 4 2 2 2 3" xfId="36716"/>
    <cellStyle name="Total 5 4 2 2 3" xfId="21021"/>
    <cellStyle name="Total 5 4 2 2 3 2" xfId="42208"/>
    <cellStyle name="Total 5 4 2 2 4" xfId="31624"/>
    <cellStyle name="Total 5 4 2 2_Table 2A-1_EFT (Annual)" xfId="9217"/>
    <cellStyle name="Total 5 4 2 3" xfId="11504"/>
    <cellStyle name="Total 5 4 2 3 2" xfId="23588"/>
    <cellStyle name="Total 5 4 2 3 2 2" xfId="44774"/>
    <cellStyle name="Total 5 4 2 3 3" xfId="34170"/>
    <cellStyle name="Total 5 4 2 4" xfId="18475"/>
    <cellStyle name="Total 5 4 2 4 2" xfId="39662"/>
    <cellStyle name="Total 5 4 2 5" xfId="28881"/>
    <cellStyle name="Total 5 4 2_Table 2A-1_EFT (Annual)" xfId="9216"/>
    <cellStyle name="Total 5 4 3" xfId="4698"/>
    <cellStyle name="Total 5 4 3 2" xfId="12958"/>
    <cellStyle name="Total 5 4 3 2 2" xfId="24964"/>
    <cellStyle name="Total 5 4 3 2 2 2" xfId="46150"/>
    <cellStyle name="Total 5 4 3 2 3" xfId="35546"/>
    <cellStyle name="Total 5 4 3 3" xfId="19851"/>
    <cellStyle name="Total 5 4 3 3 2" xfId="41038"/>
    <cellStyle name="Total 5 4 3 4" xfId="30355"/>
    <cellStyle name="Total 5 4 3_Table 2A-1_EFT (Annual)" xfId="9218"/>
    <cellStyle name="Total 5 4 4" xfId="10302"/>
    <cellStyle name="Total 5 4 4 2" xfId="22418"/>
    <cellStyle name="Total 5 4 4 2 2" xfId="43604"/>
    <cellStyle name="Total 5 4 4 3" xfId="33000"/>
    <cellStyle name="Total 5 4 5" xfId="17305"/>
    <cellStyle name="Total 5 4 5 2" xfId="38492"/>
    <cellStyle name="Total 5 4 6" xfId="27612"/>
    <cellStyle name="Total 5 4_Table 2A-1_EFT (Annual)" xfId="9215"/>
    <cellStyle name="Total 5 5" xfId="706"/>
    <cellStyle name="Total 5 5 2" xfId="4267"/>
    <cellStyle name="Total 5 5 2 2" xfId="12551"/>
    <cellStyle name="Total 5 5 2 2 2" xfId="24569"/>
    <cellStyle name="Total 5 5 2 2 2 2" xfId="45755"/>
    <cellStyle name="Total 5 5 2 2 3" xfId="35151"/>
    <cellStyle name="Total 5 5 2 3" xfId="19456"/>
    <cellStyle name="Total 5 5 2 3 2" xfId="40643"/>
    <cellStyle name="Total 5 5 2 4" xfId="29924"/>
    <cellStyle name="Total 5 5 2_Table 2A-1_EFT (Annual)" xfId="9220"/>
    <cellStyle name="Total 5 5 3" xfId="9898"/>
    <cellStyle name="Total 5 5 3 2" xfId="22023"/>
    <cellStyle name="Total 5 5 3 2 2" xfId="43209"/>
    <cellStyle name="Total 5 5 3 3" xfId="32605"/>
    <cellStyle name="Total 5 5 4" xfId="16910"/>
    <cellStyle name="Total 5 5 4 2" xfId="38097"/>
    <cellStyle name="Total 5 5 5" xfId="27181"/>
    <cellStyle name="Total 5 5_Table 2A-1_EFT (Annual)" xfId="9219"/>
    <cellStyle name="Total 5 6" xfId="1904"/>
    <cellStyle name="Total 5 6 2" xfId="5465"/>
    <cellStyle name="Total 5 6 2 2" xfId="13680"/>
    <cellStyle name="Total 5 6 2 2 2" xfId="25668"/>
    <cellStyle name="Total 5 6 2 2 2 2" xfId="46854"/>
    <cellStyle name="Total 5 6 2 2 3" xfId="36250"/>
    <cellStyle name="Total 5 6 2 3" xfId="20555"/>
    <cellStyle name="Total 5 6 2 3 2" xfId="41742"/>
    <cellStyle name="Total 5 6 2 4" xfId="31122"/>
    <cellStyle name="Total 5 6 2_Table 2A-1_EFT (Annual)" xfId="9222"/>
    <cellStyle name="Total 5 6 3" xfId="11024"/>
    <cellStyle name="Total 5 6 3 2" xfId="23122"/>
    <cellStyle name="Total 5 6 3 2 2" xfId="44308"/>
    <cellStyle name="Total 5 6 3 3" xfId="33704"/>
    <cellStyle name="Total 5 6 4" xfId="18009"/>
    <cellStyle name="Total 5 6 4 2" xfId="39196"/>
    <cellStyle name="Total 5 6 5" xfId="28379"/>
    <cellStyle name="Total 5 6_Table 2A-1_EFT (Annual)" xfId="9221"/>
    <cellStyle name="Total 5 7" xfId="3672"/>
    <cellStyle name="Total 5 7 2" xfId="12045"/>
    <cellStyle name="Total 5 7 2 2" xfId="24076"/>
    <cellStyle name="Total 5 7 2 2 2" xfId="45262"/>
    <cellStyle name="Total 5 7 2 3" xfId="34658"/>
    <cellStyle name="Total 5 7 3" xfId="18963"/>
    <cellStyle name="Total 5 7 3 2" xfId="40150"/>
    <cellStyle name="Total 5 7 4" xfId="29382"/>
    <cellStyle name="Total 5 7_Table 2A-1_EFT (Annual)" xfId="9223"/>
    <cellStyle name="Total 5 8" xfId="9362"/>
    <cellStyle name="Total 5 8 2" xfId="21530"/>
    <cellStyle name="Total 5 8 2 2" xfId="42716"/>
    <cellStyle name="Total 5 8 3" xfId="32112"/>
    <cellStyle name="Total 5 9" xfId="16417"/>
    <cellStyle name="Total 5 9 2" xfId="37604"/>
    <cellStyle name="Total 5_Table 2A-1_EFT (Annual)" xfId="3593"/>
    <cellStyle name="Total 6" xfId="96"/>
    <cellStyle name="Total 6 10" xfId="26652"/>
    <cellStyle name="Total 6 2" xfId="495"/>
    <cellStyle name="Total 6 2 2" xfId="1472"/>
    <cellStyle name="Total 6 2 2 2" xfId="2742"/>
    <cellStyle name="Total 6 2 2 2 2" xfId="6303"/>
    <cellStyle name="Total 6 2 2 2 2 2" xfId="14497"/>
    <cellStyle name="Total 6 2 2 2 2 2 2" xfId="26469"/>
    <cellStyle name="Total 6 2 2 2 2 2 2 2" xfId="47655"/>
    <cellStyle name="Total 6 2 2 2 2 2 3" xfId="37051"/>
    <cellStyle name="Total 6 2 2 2 2 3" xfId="21356"/>
    <cellStyle name="Total 6 2 2 2 2 3 2" xfId="42543"/>
    <cellStyle name="Total 6 2 2 2 2 4" xfId="31959"/>
    <cellStyle name="Total 6 2 2 2 2_Table 2A-1_EFT (Annual)" xfId="9226"/>
    <cellStyle name="Total 6 2 2 2 3" xfId="11839"/>
    <cellStyle name="Total 6 2 2 2 3 2" xfId="23923"/>
    <cellStyle name="Total 6 2 2 2 3 2 2" xfId="45109"/>
    <cellStyle name="Total 6 2 2 2 3 3" xfId="34505"/>
    <cellStyle name="Total 6 2 2 2 4" xfId="18810"/>
    <cellStyle name="Total 6 2 2 2 4 2" xfId="39997"/>
    <cellStyle name="Total 6 2 2 2 5" xfId="29216"/>
    <cellStyle name="Total 6 2 2 2_Table 2A-1_EFT (Annual)" xfId="9225"/>
    <cellStyle name="Total 6 2 2 3" xfId="5033"/>
    <cellStyle name="Total 6 2 2 3 2" xfId="13293"/>
    <cellStyle name="Total 6 2 2 3 2 2" xfId="25299"/>
    <cellStyle name="Total 6 2 2 3 2 2 2" xfId="46485"/>
    <cellStyle name="Total 6 2 2 3 2 3" xfId="35881"/>
    <cellStyle name="Total 6 2 2 3 3" xfId="20186"/>
    <cellStyle name="Total 6 2 2 3 3 2" xfId="41373"/>
    <cellStyle name="Total 6 2 2 3 4" xfId="30690"/>
    <cellStyle name="Total 6 2 2 3_Table 2A-1_EFT (Annual)" xfId="9227"/>
    <cellStyle name="Total 6 2 2 4" xfId="10637"/>
    <cellStyle name="Total 6 2 2 4 2" xfId="22753"/>
    <cellStyle name="Total 6 2 2 4 2 2" xfId="43939"/>
    <cellStyle name="Total 6 2 2 4 3" xfId="33335"/>
    <cellStyle name="Total 6 2 2 5" xfId="17640"/>
    <cellStyle name="Total 6 2 2 5 2" xfId="38827"/>
    <cellStyle name="Total 6 2 2 6" xfId="27947"/>
    <cellStyle name="Total 6 2 2_Table 2A-1_EFT (Annual)" xfId="9224"/>
    <cellStyle name="Total 6 2 3" xfId="1011"/>
    <cellStyle name="Total 6 2 3 2" xfId="4572"/>
    <cellStyle name="Total 6 2 3 2 2" xfId="12832"/>
    <cellStyle name="Total 6 2 3 2 2 2" xfId="24838"/>
    <cellStyle name="Total 6 2 3 2 2 2 2" xfId="46024"/>
    <cellStyle name="Total 6 2 3 2 2 3" xfId="35420"/>
    <cellStyle name="Total 6 2 3 2 3" xfId="19725"/>
    <cellStyle name="Total 6 2 3 2 3 2" xfId="40912"/>
    <cellStyle name="Total 6 2 3 2 4" xfId="30229"/>
    <cellStyle name="Total 6 2 3 2_Table 2A-1_EFT (Annual)" xfId="9229"/>
    <cellStyle name="Total 6 2 3 3" xfId="10176"/>
    <cellStyle name="Total 6 2 3 3 2" xfId="22292"/>
    <cellStyle name="Total 6 2 3 3 2 2" xfId="43478"/>
    <cellStyle name="Total 6 2 3 3 3" xfId="32874"/>
    <cellStyle name="Total 6 2 3 4" xfId="17179"/>
    <cellStyle name="Total 6 2 3 4 2" xfId="38366"/>
    <cellStyle name="Total 6 2 3 5" xfId="27486"/>
    <cellStyle name="Total 6 2 3_Table 2A-1_EFT (Annual)" xfId="9228"/>
    <cellStyle name="Total 6 2 4" xfId="2211"/>
    <cellStyle name="Total 6 2 4 2" xfId="5772"/>
    <cellStyle name="Total 6 2 4 2 2" xfId="13987"/>
    <cellStyle name="Total 6 2 4 2 2 2" xfId="25975"/>
    <cellStyle name="Total 6 2 4 2 2 2 2" xfId="47161"/>
    <cellStyle name="Total 6 2 4 2 2 3" xfId="36557"/>
    <cellStyle name="Total 6 2 4 2 3" xfId="20862"/>
    <cellStyle name="Total 6 2 4 2 3 2" xfId="42049"/>
    <cellStyle name="Total 6 2 4 2 4" xfId="31429"/>
    <cellStyle name="Total 6 2 4 2_Table 2A-1_EFT (Annual)" xfId="9231"/>
    <cellStyle name="Total 6 2 4 3" xfId="11331"/>
    <cellStyle name="Total 6 2 4 3 2" xfId="23429"/>
    <cellStyle name="Total 6 2 4 3 2 2" xfId="44615"/>
    <cellStyle name="Total 6 2 4 3 3" xfId="34011"/>
    <cellStyle name="Total 6 2 4 4" xfId="18316"/>
    <cellStyle name="Total 6 2 4 4 2" xfId="39503"/>
    <cellStyle name="Total 6 2 4 5" xfId="28686"/>
    <cellStyle name="Total 6 2 4_Table 2A-1_EFT (Annual)" xfId="9230"/>
    <cellStyle name="Total 6 2 5" xfId="4065"/>
    <cellStyle name="Total 6 2 5 2" xfId="12389"/>
    <cellStyle name="Total 6 2 5 2 2" xfId="24411"/>
    <cellStyle name="Total 6 2 5 2 2 2" xfId="45597"/>
    <cellStyle name="Total 6 2 5 2 3" xfId="34993"/>
    <cellStyle name="Total 6 2 5 3" xfId="19298"/>
    <cellStyle name="Total 6 2 5 3 2" xfId="40485"/>
    <cellStyle name="Total 6 2 5 4" xfId="29753"/>
    <cellStyle name="Total 6 2 5_Table 2A-1_EFT (Annual)" xfId="9232"/>
    <cellStyle name="Total 6 2 6" xfId="9728"/>
    <cellStyle name="Total 6 2 6 2" xfId="21865"/>
    <cellStyle name="Total 6 2 6 2 2" xfId="43051"/>
    <cellStyle name="Total 6 2 6 3" xfId="32447"/>
    <cellStyle name="Total 6 2 7" xfId="16752"/>
    <cellStyle name="Total 6 2 7 2" xfId="37939"/>
    <cellStyle name="Total 6 2 8" xfId="27010"/>
    <cellStyle name="Total 6 2_Table 2A-1_EFT (Annual)" xfId="3597"/>
    <cellStyle name="Total 6 3" xfId="328"/>
    <cellStyle name="Total 6 3 2" xfId="1316"/>
    <cellStyle name="Total 6 3 2 2" xfId="2586"/>
    <cellStyle name="Total 6 3 2 2 2" xfId="6147"/>
    <cellStyle name="Total 6 3 2 2 2 2" xfId="14341"/>
    <cellStyle name="Total 6 3 2 2 2 2 2" xfId="26313"/>
    <cellStyle name="Total 6 3 2 2 2 2 2 2" xfId="47499"/>
    <cellStyle name="Total 6 3 2 2 2 2 3" xfId="36895"/>
    <cellStyle name="Total 6 3 2 2 2 3" xfId="21200"/>
    <cellStyle name="Total 6 3 2 2 2 3 2" xfId="42387"/>
    <cellStyle name="Total 6 3 2 2 2 4" xfId="31803"/>
    <cellStyle name="Total 6 3 2 2 2_Table 2A-1_EFT (Annual)" xfId="9235"/>
    <cellStyle name="Total 6 3 2 2 3" xfId="11683"/>
    <cellStyle name="Total 6 3 2 2 3 2" xfId="23767"/>
    <cellStyle name="Total 6 3 2 2 3 2 2" xfId="44953"/>
    <cellStyle name="Total 6 3 2 2 3 3" xfId="34349"/>
    <cellStyle name="Total 6 3 2 2 4" xfId="18654"/>
    <cellStyle name="Total 6 3 2 2 4 2" xfId="39841"/>
    <cellStyle name="Total 6 3 2 2 5" xfId="29060"/>
    <cellStyle name="Total 6 3 2 2_Table 2A-1_EFT (Annual)" xfId="9234"/>
    <cellStyle name="Total 6 3 2 3" xfId="4877"/>
    <cellStyle name="Total 6 3 2 3 2" xfId="13137"/>
    <cellStyle name="Total 6 3 2 3 2 2" xfId="25143"/>
    <cellStyle name="Total 6 3 2 3 2 2 2" xfId="46329"/>
    <cellStyle name="Total 6 3 2 3 2 3" xfId="35725"/>
    <cellStyle name="Total 6 3 2 3 3" xfId="20030"/>
    <cellStyle name="Total 6 3 2 3 3 2" xfId="41217"/>
    <cellStyle name="Total 6 3 2 3 4" xfId="30534"/>
    <cellStyle name="Total 6 3 2 3_Table 2A-1_EFT (Annual)" xfId="9236"/>
    <cellStyle name="Total 6 3 2 4" xfId="10481"/>
    <cellStyle name="Total 6 3 2 4 2" xfId="22597"/>
    <cellStyle name="Total 6 3 2 4 2 2" xfId="43783"/>
    <cellStyle name="Total 6 3 2 4 3" xfId="33179"/>
    <cellStyle name="Total 6 3 2 5" xfId="17484"/>
    <cellStyle name="Total 6 3 2 5 2" xfId="38671"/>
    <cellStyle name="Total 6 3 2 6" xfId="27791"/>
    <cellStyle name="Total 6 3 2_Table 2A-1_EFT (Annual)" xfId="9233"/>
    <cellStyle name="Total 6 3 3" xfId="874"/>
    <cellStyle name="Total 6 3 3 2" xfId="4435"/>
    <cellStyle name="Total 6 3 3 2 2" xfId="12700"/>
    <cellStyle name="Total 6 3 3 2 2 2" xfId="24712"/>
    <cellStyle name="Total 6 3 3 2 2 2 2" xfId="45898"/>
    <cellStyle name="Total 6 3 3 2 2 3" xfId="35294"/>
    <cellStyle name="Total 6 3 3 2 3" xfId="19599"/>
    <cellStyle name="Total 6 3 3 2 3 2" xfId="40786"/>
    <cellStyle name="Total 6 3 3 2 4" xfId="30092"/>
    <cellStyle name="Total 6 3 3 2_Table 2A-1_EFT (Annual)" xfId="9238"/>
    <cellStyle name="Total 6 3 3 3" xfId="10047"/>
    <cellStyle name="Total 6 3 3 3 2" xfId="22166"/>
    <cellStyle name="Total 6 3 3 3 2 2" xfId="43352"/>
    <cellStyle name="Total 6 3 3 3 3" xfId="32748"/>
    <cellStyle name="Total 6 3 3 4" xfId="17053"/>
    <cellStyle name="Total 6 3 3 4 2" xfId="38240"/>
    <cellStyle name="Total 6 3 3 5" xfId="27349"/>
    <cellStyle name="Total 6 3 3_Table 2A-1_EFT (Annual)" xfId="9237"/>
    <cellStyle name="Total 6 3 4" xfId="2055"/>
    <cellStyle name="Total 6 3 4 2" xfId="5616"/>
    <cellStyle name="Total 6 3 4 2 2" xfId="13831"/>
    <cellStyle name="Total 6 3 4 2 2 2" xfId="25819"/>
    <cellStyle name="Total 6 3 4 2 2 2 2" xfId="47005"/>
    <cellStyle name="Total 6 3 4 2 2 3" xfId="36401"/>
    <cellStyle name="Total 6 3 4 2 3" xfId="20706"/>
    <cellStyle name="Total 6 3 4 2 3 2" xfId="41893"/>
    <cellStyle name="Total 6 3 4 2 4" xfId="31273"/>
    <cellStyle name="Total 6 3 4 2_Table 2A-1_EFT (Annual)" xfId="9240"/>
    <cellStyle name="Total 6 3 4 3" xfId="11175"/>
    <cellStyle name="Total 6 3 4 3 2" xfId="23273"/>
    <cellStyle name="Total 6 3 4 3 2 2" xfId="44459"/>
    <cellStyle name="Total 6 3 4 3 3" xfId="33855"/>
    <cellStyle name="Total 6 3 4 4" xfId="18160"/>
    <cellStyle name="Total 6 3 4 4 2" xfId="39347"/>
    <cellStyle name="Total 6 3 4 5" xfId="28530"/>
    <cellStyle name="Total 6 3 4_Table 2A-1_EFT (Annual)" xfId="9239"/>
    <cellStyle name="Total 6 3 5" xfId="3898"/>
    <cellStyle name="Total 6 3 5 2" xfId="12230"/>
    <cellStyle name="Total 6 3 5 2 2" xfId="24255"/>
    <cellStyle name="Total 6 3 5 2 2 2" xfId="45441"/>
    <cellStyle name="Total 6 3 5 2 3" xfId="34837"/>
    <cellStyle name="Total 6 3 5 3" xfId="19142"/>
    <cellStyle name="Total 6 3 5 3 2" xfId="40329"/>
    <cellStyle name="Total 6 3 5 4" xfId="29586"/>
    <cellStyle name="Total 6 3 5_Table 2A-1_EFT (Annual)" xfId="9241"/>
    <cellStyle name="Total 6 3 6" xfId="9567"/>
    <cellStyle name="Total 6 3 6 2" xfId="21709"/>
    <cellStyle name="Total 6 3 6 2 2" xfId="42895"/>
    <cellStyle name="Total 6 3 6 3" xfId="32291"/>
    <cellStyle name="Total 6 3 7" xfId="16596"/>
    <cellStyle name="Total 6 3 7 2" xfId="37783"/>
    <cellStyle name="Total 6 3 8" xfId="26843"/>
    <cellStyle name="Total 6 3_Table 2A-1_EFT (Annual)" xfId="3598"/>
    <cellStyle name="Total 6 4" xfId="1150"/>
    <cellStyle name="Total 6 4 2" xfId="2420"/>
    <cellStyle name="Total 6 4 2 2" xfId="5981"/>
    <cellStyle name="Total 6 4 2 2 2" xfId="14175"/>
    <cellStyle name="Total 6 4 2 2 2 2" xfId="26147"/>
    <cellStyle name="Total 6 4 2 2 2 2 2" xfId="47333"/>
    <cellStyle name="Total 6 4 2 2 2 3" xfId="36729"/>
    <cellStyle name="Total 6 4 2 2 3" xfId="21034"/>
    <cellStyle name="Total 6 4 2 2 3 2" xfId="42221"/>
    <cellStyle name="Total 6 4 2 2 4" xfId="31637"/>
    <cellStyle name="Total 6 4 2 2_Table 2A-1_EFT (Annual)" xfId="9244"/>
    <cellStyle name="Total 6 4 2 3" xfId="11517"/>
    <cellStyle name="Total 6 4 2 3 2" xfId="23601"/>
    <cellStyle name="Total 6 4 2 3 2 2" xfId="44787"/>
    <cellStyle name="Total 6 4 2 3 3" xfId="34183"/>
    <cellStyle name="Total 6 4 2 4" xfId="18488"/>
    <cellStyle name="Total 6 4 2 4 2" xfId="39675"/>
    <cellStyle name="Total 6 4 2 5" xfId="28894"/>
    <cellStyle name="Total 6 4 2_Table 2A-1_EFT (Annual)" xfId="9243"/>
    <cellStyle name="Total 6 4 3" xfId="4711"/>
    <cellStyle name="Total 6 4 3 2" xfId="12971"/>
    <cellStyle name="Total 6 4 3 2 2" xfId="24977"/>
    <cellStyle name="Total 6 4 3 2 2 2" xfId="46163"/>
    <cellStyle name="Total 6 4 3 2 3" xfId="35559"/>
    <cellStyle name="Total 6 4 3 3" xfId="19864"/>
    <cellStyle name="Total 6 4 3 3 2" xfId="41051"/>
    <cellStyle name="Total 6 4 3 4" xfId="30368"/>
    <cellStyle name="Total 6 4 3_Table 2A-1_EFT (Annual)" xfId="9245"/>
    <cellStyle name="Total 6 4 4" xfId="10315"/>
    <cellStyle name="Total 6 4 4 2" xfId="22431"/>
    <cellStyle name="Total 6 4 4 2 2" xfId="43617"/>
    <cellStyle name="Total 6 4 4 3" xfId="33013"/>
    <cellStyle name="Total 6 4 5" xfId="17318"/>
    <cellStyle name="Total 6 4 5 2" xfId="38505"/>
    <cellStyle name="Total 6 4 6" xfId="27625"/>
    <cellStyle name="Total 6 4_Table 2A-1_EFT (Annual)" xfId="9242"/>
    <cellStyle name="Total 6 5" xfId="715"/>
    <cellStyle name="Total 6 5 2" xfId="4276"/>
    <cellStyle name="Total 6 5 2 2" xfId="12560"/>
    <cellStyle name="Total 6 5 2 2 2" xfId="24578"/>
    <cellStyle name="Total 6 5 2 2 2 2" xfId="45764"/>
    <cellStyle name="Total 6 5 2 2 3" xfId="35160"/>
    <cellStyle name="Total 6 5 2 3" xfId="19465"/>
    <cellStyle name="Total 6 5 2 3 2" xfId="40652"/>
    <cellStyle name="Total 6 5 2 4" xfId="29933"/>
    <cellStyle name="Total 6 5 2_Table 2A-1_EFT (Annual)" xfId="9247"/>
    <cellStyle name="Total 6 5 3" xfId="9907"/>
    <cellStyle name="Total 6 5 3 2" xfId="22032"/>
    <cellStyle name="Total 6 5 3 2 2" xfId="43218"/>
    <cellStyle name="Total 6 5 3 3" xfId="32614"/>
    <cellStyle name="Total 6 5 4" xfId="16919"/>
    <cellStyle name="Total 6 5 4 2" xfId="38106"/>
    <cellStyle name="Total 6 5 5" xfId="27190"/>
    <cellStyle name="Total 6 5_Table 2A-1_EFT (Annual)" xfId="9246"/>
    <cellStyle name="Total 6 6" xfId="1808"/>
    <cellStyle name="Total 6 6 2" xfId="5369"/>
    <cellStyle name="Total 6 6 2 2" xfId="13584"/>
    <cellStyle name="Total 6 6 2 2 2" xfId="25572"/>
    <cellStyle name="Total 6 6 2 2 2 2" xfId="46758"/>
    <cellStyle name="Total 6 6 2 2 3" xfId="36154"/>
    <cellStyle name="Total 6 6 2 3" xfId="20459"/>
    <cellStyle name="Total 6 6 2 3 2" xfId="41646"/>
    <cellStyle name="Total 6 6 2 4" xfId="31026"/>
    <cellStyle name="Total 6 6 2_Table 2A-1_EFT (Annual)" xfId="9249"/>
    <cellStyle name="Total 6 6 3" xfId="10928"/>
    <cellStyle name="Total 6 6 3 2" xfId="23026"/>
    <cellStyle name="Total 6 6 3 2 2" xfId="44212"/>
    <cellStyle name="Total 6 6 3 3" xfId="33608"/>
    <cellStyle name="Total 6 6 4" xfId="17913"/>
    <cellStyle name="Total 6 6 4 2" xfId="39100"/>
    <cellStyle name="Total 6 6 5" xfId="28283"/>
    <cellStyle name="Total 6 6_Table 2A-1_EFT (Annual)" xfId="9248"/>
    <cellStyle name="Total 6 7" xfId="3685"/>
    <cellStyle name="Total 6 7 2" xfId="12058"/>
    <cellStyle name="Total 6 7 2 2" xfId="24089"/>
    <cellStyle name="Total 6 7 2 2 2" xfId="45275"/>
    <cellStyle name="Total 6 7 2 3" xfId="34671"/>
    <cellStyle name="Total 6 7 3" xfId="18976"/>
    <cellStyle name="Total 6 7 3 2" xfId="40163"/>
    <cellStyle name="Total 6 7 4" xfId="29395"/>
    <cellStyle name="Total 6 7_Table 2A-1_EFT (Annual)" xfId="9250"/>
    <cellStyle name="Total 6 8" xfId="9375"/>
    <cellStyle name="Total 6 8 2" xfId="21543"/>
    <cellStyle name="Total 6 8 2 2" xfId="42729"/>
    <cellStyle name="Total 6 8 3" xfId="32125"/>
    <cellStyle name="Total 6 9" xfId="16430"/>
    <cellStyle name="Total 6 9 2" xfId="37617"/>
    <cellStyle name="Total 6_Table 2A-1_EFT (Annual)" xfId="3596"/>
    <cellStyle name="Total 7" xfId="116"/>
    <cellStyle name="Total 7 10" xfId="26671"/>
    <cellStyle name="Total 7 2" xfId="509"/>
    <cellStyle name="Total 7 2 2" xfId="1486"/>
    <cellStyle name="Total 7 2 2 2" xfId="2756"/>
    <cellStyle name="Total 7 2 2 2 2" xfId="6317"/>
    <cellStyle name="Total 7 2 2 2 2 2" xfId="14511"/>
    <cellStyle name="Total 7 2 2 2 2 2 2" xfId="26483"/>
    <cellStyle name="Total 7 2 2 2 2 2 2 2" xfId="47669"/>
    <cellStyle name="Total 7 2 2 2 2 2 3" xfId="37065"/>
    <cellStyle name="Total 7 2 2 2 2 3" xfId="21370"/>
    <cellStyle name="Total 7 2 2 2 2 3 2" xfId="42557"/>
    <cellStyle name="Total 7 2 2 2 2 4" xfId="31973"/>
    <cellStyle name="Total 7 2 2 2 2_Table 2A-1_EFT (Annual)" xfId="9253"/>
    <cellStyle name="Total 7 2 2 2 3" xfId="11853"/>
    <cellStyle name="Total 7 2 2 2 3 2" xfId="23937"/>
    <cellStyle name="Total 7 2 2 2 3 2 2" xfId="45123"/>
    <cellStyle name="Total 7 2 2 2 3 3" xfId="34519"/>
    <cellStyle name="Total 7 2 2 2 4" xfId="18824"/>
    <cellStyle name="Total 7 2 2 2 4 2" xfId="40011"/>
    <cellStyle name="Total 7 2 2 2 5" xfId="29230"/>
    <cellStyle name="Total 7 2 2 2_Table 2A-1_EFT (Annual)" xfId="9252"/>
    <cellStyle name="Total 7 2 2 3" xfId="5047"/>
    <cellStyle name="Total 7 2 2 3 2" xfId="13307"/>
    <cellStyle name="Total 7 2 2 3 2 2" xfId="25313"/>
    <cellStyle name="Total 7 2 2 3 2 2 2" xfId="46499"/>
    <cellStyle name="Total 7 2 2 3 2 3" xfId="35895"/>
    <cellStyle name="Total 7 2 2 3 3" xfId="20200"/>
    <cellStyle name="Total 7 2 2 3 3 2" xfId="41387"/>
    <cellStyle name="Total 7 2 2 3 4" xfId="30704"/>
    <cellStyle name="Total 7 2 2 3_Table 2A-1_EFT (Annual)" xfId="9254"/>
    <cellStyle name="Total 7 2 2 4" xfId="10651"/>
    <cellStyle name="Total 7 2 2 4 2" xfId="22767"/>
    <cellStyle name="Total 7 2 2 4 2 2" xfId="43953"/>
    <cellStyle name="Total 7 2 2 4 3" xfId="33349"/>
    <cellStyle name="Total 7 2 2 5" xfId="17654"/>
    <cellStyle name="Total 7 2 2 5 2" xfId="38841"/>
    <cellStyle name="Total 7 2 2 6" xfId="27961"/>
    <cellStyle name="Total 7 2 2_Table 2A-1_EFT (Annual)" xfId="9251"/>
    <cellStyle name="Total 7 2 3" xfId="1021"/>
    <cellStyle name="Total 7 2 3 2" xfId="4582"/>
    <cellStyle name="Total 7 2 3 2 2" xfId="12842"/>
    <cellStyle name="Total 7 2 3 2 2 2" xfId="24848"/>
    <cellStyle name="Total 7 2 3 2 2 2 2" xfId="46034"/>
    <cellStyle name="Total 7 2 3 2 2 3" xfId="35430"/>
    <cellStyle name="Total 7 2 3 2 3" xfId="19735"/>
    <cellStyle name="Total 7 2 3 2 3 2" xfId="40922"/>
    <cellStyle name="Total 7 2 3 2 4" xfId="30239"/>
    <cellStyle name="Total 7 2 3 2_Table 2A-1_EFT (Annual)" xfId="9256"/>
    <cellStyle name="Total 7 2 3 3" xfId="10186"/>
    <cellStyle name="Total 7 2 3 3 2" xfId="22302"/>
    <cellStyle name="Total 7 2 3 3 2 2" xfId="43488"/>
    <cellStyle name="Total 7 2 3 3 3" xfId="32884"/>
    <cellStyle name="Total 7 2 3 4" xfId="17189"/>
    <cellStyle name="Total 7 2 3 4 2" xfId="38376"/>
    <cellStyle name="Total 7 2 3 5" xfId="27496"/>
    <cellStyle name="Total 7 2 3_Table 2A-1_EFT (Annual)" xfId="9255"/>
    <cellStyle name="Total 7 2 4" xfId="2225"/>
    <cellStyle name="Total 7 2 4 2" xfId="5786"/>
    <cellStyle name="Total 7 2 4 2 2" xfId="14001"/>
    <cellStyle name="Total 7 2 4 2 2 2" xfId="25989"/>
    <cellStyle name="Total 7 2 4 2 2 2 2" xfId="47175"/>
    <cellStyle name="Total 7 2 4 2 2 3" xfId="36571"/>
    <cellStyle name="Total 7 2 4 2 3" xfId="20876"/>
    <cellStyle name="Total 7 2 4 2 3 2" xfId="42063"/>
    <cellStyle name="Total 7 2 4 2 4" xfId="31443"/>
    <cellStyle name="Total 7 2 4 2_Table 2A-1_EFT (Annual)" xfId="9258"/>
    <cellStyle name="Total 7 2 4 3" xfId="11345"/>
    <cellStyle name="Total 7 2 4 3 2" xfId="23443"/>
    <cellStyle name="Total 7 2 4 3 2 2" xfId="44629"/>
    <cellStyle name="Total 7 2 4 3 3" xfId="34025"/>
    <cellStyle name="Total 7 2 4 4" xfId="18330"/>
    <cellStyle name="Total 7 2 4 4 2" xfId="39517"/>
    <cellStyle name="Total 7 2 4 5" xfId="28700"/>
    <cellStyle name="Total 7 2 4_Table 2A-1_EFT (Annual)" xfId="9257"/>
    <cellStyle name="Total 7 2 5" xfId="4079"/>
    <cellStyle name="Total 7 2 5 2" xfId="12403"/>
    <cellStyle name="Total 7 2 5 2 2" xfId="24425"/>
    <cellStyle name="Total 7 2 5 2 2 2" xfId="45611"/>
    <cellStyle name="Total 7 2 5 2 3" xfId="35007"/>
    <cellStyle name="Total 7 2 5 3" xfId="19312"/>
    <cellStyle name="Total 7 2 5 3 2" xfId="40499"/>
    <cellStyle name="Total 7 2 5 4" xfId="29767"/>
    <cellStyle name="Total 7 2 5_Table 2A-1_EFT (Annual)" xfId="9259"/>
    <cellStyle name="Total 7 2 6" xfId="9742"/>
    <cellStyle name="Total 7 2 6 2" xfId="21879"/>
    <cellStyle name="Total 7 2 6 2 2" xfId="43065"/>
    <cellStyle name="Total 7 2 6 3" xfId="32461"/>
    <cellStyle name="Total 7 2 7" xfId="16766"/>
    <cellStyle name="Total 7 2 7 2" xfId="37953"/>
    <cellStyle name="Total 7 2 8" xfId="27024"/>
    <cellStyle name="Total 7 2_Table 2A-1_EFT (Annual)" xfId="3600"/>
    <cellStyle name="Total 7 3" xfId="347"/>
    <cellStyle name="Total 7 3 2" xfId="1330"/>
    <cellStyle name="Total 7 3 2 2" xfId="2600"/>
    <cellStyle name="Total 7 3 2 2 2" xfId="6161"/>
    <cellStyle name="Total 7 3 2 2 2 2" xfId="14355"/>
    <cellStyle name="Total 7 3 2 2 2 2 2" xfId="26327"/>
    <cellStyle name="Total 7 3 2 2 2 2 2 2" xfId="47513"/>
    <cellStyle name="Total 7 3 2 2 2 2 3" xfId="36909"/>
    <cellStyle name="Total 7 3 2 2 2 3" xfId="21214"/>
    <cellStyle name="Total 7 3 2 2 2 3 2" xfId="42401"/>
    <cellStyle name="Total 7 3 2 2 2 4" xfId="31817"/>
    <cellStyle name="Total 7 3 2 2 2_Table 2A-1_EFT (Annual)" xfId="9262"/>
    <cellStyle name="Total 7 3 2 2 3" xfId="11697"/>
    <cellStyle name="Total 7 3 2 2 3 2" xfId="23781"/>
    <cellStyle name="Total 7 3 2 2 3 2 2" xfId="44967"/>
    <cellStyle name="Total 7 3 2 2 3 3" xfId="34363"/>
    <cellStyle name="Total 7 3 2 2 4" xfId="18668"/>
    <cellStyle name="Total 7 3 2 2 4 2" xfId="39855"/>
    <cellStyle name="Total 7 3 2 2 5" xfId="29074"/>
    <cellStyle name="Total 7 3 2 2_Table 2A-1_EFT (Annual)" xfId="9261"/>
    <cellStyle name="Total 7 3 2 3" xfId="4891"/>
    <cellStyle name="Total 7 3 2 3 2" xfId="13151"/>
    <cellStyle name="Total 7 3 2 3 2 2" xfId="25157"/>
    <cellStyle name="Total 7 3 2 3 2 2 2" xfId="46343"/>
    <cellStyle name="Total 7 3 2 3 2 3" xfId="35739"/>
    <cellStyle name="Total 7 3 2 3 3" xfId="20044"/>
    <cellStyle name="Total 7 3 2 3 3 2" xfId="41231"/>
    <cellStyle name="Total 7 3 2 3 4" xfId="30548"/>
    <cellStyle name="Total 7 3 2 3_Table 2A-1_EFT (Annual)" xfId="9263"/>
    <cellStyle name="Total 7 3 2 4" xfId="10495"/>
    <cellStyle name="Total 7 3 2 4 2" xfId="22611"/>
    <cellStyle name="Total 7 3 2 4 2 2" xfId="43797"/>
    <cellStyle name="Total 7 3 2 4 3" xfId="33193"/>
    <cellStyle name="Total 7 3 2 5" xfId="17498"/>
    <cellStyle name="Total 7 3 2 5 2" xfId="38685"/>
    <cellStyle name="Total 7 3 2 6" xfId="27805"/>
    <cellStyle name="Total 7 3 2_Table 2A-1_EFT (Annual)" xfId="9260"/>
    <cellStyle name="Total 7 3 3" xfId="889"/>
    <cellStyle name="Total 7 3 3 2" xfId="4450"/>
    <cellStyle name="Total 7 3 3 2 2" xfId="12712"/>
    <cellStyle name="Total 7 3 3 2 2 2" xfId="24722"/>
    <cellStyle name="Total 7 3 3 2 2 2 2" xfId="45908"/>
    <cellStyle name="Total 7 3 3 2 2 3" xfId="35304"/>
    <cellStyle name="Total 7 3 3 2 3" xfId="19609"/>
    <cellStyle name="Total 7 3 3 2 3 2" xfId="40796"/>
    <cellStyle name="Total 7 3 3 2 4" xfId="30107"/>
    <cellStyle name="Total 7 3 3 2_Table 2A-1_EFT (Annual)" xfId="9265"/>
    <cellStyle name="Total 7 3 3 3" xfId="10059"/>
    <cellStyle name="Total 7 3 3 3 2" xfId="22176"/>
    <cellStyle name="Total 7 3 3 3 2 2" xfId="43362"/>
    <cellStyle name="Total 7 3 3 3 3" xfId="32758"/>
    <cellStyle name="Total 7 3 3 4" xfId="17063"/>
    <cellStyle name="Total 7 3 3 4 2" xfId="38250"/>
    <cellStyle name="Total 7 3 3 5" xfId="27364"/>
    <cellStyle name="Total 7 3 3_Table 2A-1_EFT (Annual)" xfId="9264"/>
    <cellStyle name="Total 7 3 4" xfId="2069"/>
    <cellStyle name="Total 7 3 4 2" xfId="5630"/>
    <cellStyle name="Total 7 3 4 2 2" xfId="13845"/>
    <cellStyle name="Total 7 3 4 2 2 2" xfId="25833"/>
    <cellStyle name="Total 7 3 4 2 2 2 2" xfId="47019"/>
    <cellStyle name="Total 7 3 4 2 2 3" xfId="36415"/>
    <cellStyle name="Total 7 3 4 2 3" xfId="20720"/>
    <cellStyle name="Total 7 3 4 2 3 2" xfId="41907"/>
    <cellStyle name="Total 7 3 4 2 4" xfId="31287"/>
    <cellStyle name="Total 7 3 4 2_Table 2A-1_EFT (Annual)" xfId="9267"/>
    <cellStyle name="Total 7 3 4 3" xfId="11189"/>
    <cellStyle name="Total 7 3 4 3 2" xfId="23287"/>
    <cellStyle name="Total 7 3 4 3 2 2" xfId="44473"/>
    <cellStyle name="Total 7 3 4 3 3" xfId="33869"/>
    <cellStyle name="Total 7 3 4 4" xfId="18174"/>
    <cellStyle name="Total 7 3 4 4 2" xfId="39361"/>
    <cellStyle name="Total 7 3 4 5" xfId="28544"/>
    <cellStyle name="Total 7 3 4_Table 2A-1_EFT (Annual)" xfId="9266"/>
    <cellStyle name="Total 7 3 5" xfId="3917"/>
    <cellStyle name="Total 7 3 5 2" xfId="12245"/>
    <cellStyle name="Total 7 3 5 2 2" xfId="24269"/>
    <cellStyle name="Total 7 3 5 2 2 2" xfId="45455"/>
    <cellStyle name="Total 7 3 5 2 3" xfId="34851"/>
    <cellStyle name="Total 7 3 5 3" xfId="19156"/>
    <cellStyle name="Total 7 3 5 3 2" xfId="40343"/>
    <cellStyle name="Total 7 3 5 4" xfId="29605"/>
    <cellStyle name="Total 7 3 5_Table 2A-1_EFT (Annual)" xfId="9268"/>
    <cellStyle name="Total 7 3 6" xfId="9582"/>
    <cellStyle name="Total 7 3 6 2" xfId="21723"/>
    <cellStyle name="Total 7 3 6 2 2" xfId="42909"/>
    <cellStyle name="Total 7 3 6 3" xfId="32305"/>
    <cellStyle name="Total 7 3 7" xfId="16610"/>
    <cellStyle name="Total 7 3 7 2" xfId="37797"/>
    <cellStyle name="Total 7 3 8" xfId="26862"/>
    <cellStyle name="Total 7 3_Table 2A-1_EFT (Annual)" xfId="3601"/>
    <cellStyle name="Total 7 4" xfId="1164"/>
    <cellStyle name="Total 7 4 2" xfId="2434"/>
    <cellStyle name="Total 7 4 2 2" xfId="5995"/>
    <cellStyle name="Total 7 4 2 2 2" xfId="14189"/>
    <cellStyle name="Total 7 4 2 2 2 2" xfId="26161"/>
    <cellStyle name="Total 7 4 2 2 2 2 2" xfId="47347"/>
    <cellStyle name="Total 7 4 2 2 2 3" xfId="36743"/>
    <cellStyle name="Total 7 4 2 2 3" xfId="21048"/>
    <cellStyle name="Total 7 4 2 2 3 2" xfId="42235"/>
    <cellStyle name="Total 7 4 2 2 4" xfId="31651"/>
    <cellStyle name="Total 7 4 2 2_Table 2A-1_EFT (Annual)" xfId="9271"/>
    <cellStyle name="Total 7 4 2 3" xfId="11531"/>
    <cellStyle name="Total 7 4 2 3 2" xfId="23615"/>
    <cellStyle name="Total 7 4 2 3 2 2" xfId="44801"/>
    <cellStyle name="Total 7 4 2 3 3" xfId="34197"/>
    <cellStyle name="Total 7 4 2 4" xfId="18502"/>
    <cellStyle name="Total 7 4 2 4 2" xfId="39689"/>
    <cellStyle name="Total 7 4 2 5" xfId="28908"/>
    <cellStyle name="Total 7 4 2_Table 2A-1_EFT (Annual)" xfId="9270"/>
    <cellStyle name="Total 7 4 3" xfId="4725"/>
    <cellStyle name="Total 7 4 3 2" xfId="12985"/>
    <cellStyle name="Total 7 4 3 2 2" xfId="24991"/>
    <cellStyle name="Total 7 4 3 2 2 2" xfId="46177"/>
    <cellStyle name="Total 7 4 3 2 3" xfId="35573"/>
    <cellStyle name="Total 7 4 3 3" xfId="19878"/>
    <cellStyle name="Total 7 4 3 3 2" xfId="41065"/>
    <cellStyle name="Total 7 4 3 4" xfId="30382"/>
    <cellStyle name="Total 7 4 3_Table 2A-1_EFT (Annual)" xfId="9272"/>
    <cellStyle name="Total 7 4 4" xfId="10329"/>
    <cellStyle name="Total 7 4 4 2" xfId="22445"/>
    <cellStyle name="Total 7 4 4 2 2" xfId="43631"/>
    <cellStyle name="Total 7 4 4 3" xfId="33027"/>
    <cellStyle name="Total 7 4 5" xfId="17332"/>
    <cellStyle name="Total 7 4 5 2" xfId="38519"/>
    <cellStyle name="Total 7 4 6" xfId="27639"/>
    <cellStyle name="Total 7 4_Table 2A-1_EFT (Annual)" xfId="9269"/>
    <cellStyle name="Total 7 5" xfId="730"/>
    <cellStyle name="Total 7 5 2" xfId="4291"/>
    <cellStyle name="Total 7 5 2 2" xfId="12571"/>
    <cellStyle name="Total 7 5 2 2 2" xfId="24588"/>
    <cellStyle name="Total 7 5 2 2 2 2" xfId="45774"/>
    <cellStyle name="Total 7 5 2 2 3" xfId="35170"/>
    <cellStyle name="Total 7 5 2 3" xfId="19475"/>
    <cellStyle name="Total 7 5 2 3 2" xfId="40662"/>
    <cellStyle name="Total 7 5 2 4" xfId="29948"/>
    <cellStyle name="Total 7 5 2_Table 2A-1_EFT (Annual)" xfId="9274"/>
    <cellStyle name="Total 7 5 3" xfId="9919"/>
    <cellStyle name="Total 7 5 3 2" xfId="22042"/>
    <cellStyle name="Total 7 5 3 2 2" xfId="43228"/>
    <cellStyle name="Total 7 5 3 3" xfId="32624"/>
    <cellStyle name="Total 7 5 4" xfId="16929"/>
    <cellStyle name="Total 7 5 4 2" xfId="38116"/>
    <cellStyle name="Total 7 5 5" xfId="27205"/>
    <cellStyle name="Total 7 5_Table 2A-1_EFT (Annual)" xfId="9273"/>
    <cellStyle name="Total 7 6" xfId="1866"/>
    <cellStyle name="Total 7 6 2" xfId="5427"/>
    <cellStyle name="Total 7 6 2 2" xfId="13642"/>
    <cellStyle name="Total 7 6 2 2 2" xfId="25630"/>
    <cellStyle name="Total 7 6 2 2 2 2" xfId="46816"/>
    <cellStyle name="Total 7 6 2 2 3" xfId="36212"/>
    <cellStyle name="Total 7 6 2 3" xfId="20517"/>
    <cellStyle name="Total 7 6 2 3 2" xfId="41704"/>
    <cellStyle name="Total 7 6 2 4" xfId="31084"/>
    <cellStyle name="Total 7 6 2_Table 2A-1_EFT (Annual)" xfId="9276"/>
    <cellStyle name="Total 7 6 3" xfId="10986"/>
    <cellStyle name="Total 7 6 3 2" xfId="23084"/>
    <cellStyle name="Total 7 6 3 2 2" xfId="44270"/>
    <cellStyle name="Total 7 6 3 3" xfId="33666"/>
    <cellStyle name="Total 7 6 4" xfId="17971"/>
    <cellStyle name="Total 7 6 4 2" xfId="39158"/>
    <cellStyle name="Total 7 6 5" xfId="28341"/>
    <cellStyle name="Total 7 6_Table 2A-1_EFT (Annual)" xfId="9275"/>
    <cellStyle name="Total 7 7" xfId="3705"/>
    <cellStyle name="Total 7 7 2" xfId="12073"/>
    <cellStyle name="Total 7 7 2 2" xfId="24103"/>
    <cellStyle name="Total 7 7 2 2 2" xfId="45289"/>
    <cellStyle name="Total 7 7 2 3" xfId="34685"/>
    <cellStyle name="Total 7 7 3" xfId="18990"/>
    <cellStyle name="Total 7 7 3 2" xfId="40177"/>
    <cellStyle name="Total 7 7 4" xfId="29414"/>
    <cellStyle name="Total 7 7_Table 2A-1_EFT (Annual)" xfId="9277"/>
    <cellStyle name="Total 7 8" xfId="9392"/>
    <cellStyle name="Total 7 8 2" xfId="21557"/>
    <cellStyle name="Total 7 8 2 2" xfId="42743"/>
    <cellStyle name="Total 7 8 3" xfId="32139"/>
    <cellStyle name="Total 7 9" xfId="16444"/>
    <cellStyle name="Total 7 9 2" xfId="37631"/>
    <cellStyle name="Total 7_Table 2A-1_EFT (Annual)" xfId="3599"/>
    <cellStyle name="Total 8" xfId="131"/>
    <cellStyle name="Total 8 10" xfId="26686"/>
    <cellStyle name="Total 8 2" xfId="524"/>
    <cellStyle name="Total 8 2 2" xfId="1501"/>
    <cellStyle name="Total 8 2 2 2" xfId="2771"/>
    <cellStyle name="Total 8 2 2 2 2" xfId="6332"/>
    <cellStyle name="Total 8 2 2 2 2 2" xfId="14526"/>
    <cellStyle name="Total 8 2 2 2 2 2 2" xfId="26498"/>
    <cellStyle name="Total 8 2 2 2 2 2 2 2" xfId="47684"/>
    <cellStyle name="Total 8 2 2 2 2 2 3" xfId="37080"/>
    <cellStyle name="Total 8 2 2 2 2 3" xfId="21385"/>
    <cellStyle name="Total 8 2 2 2 2 3 2" xfId="42572"/>
    <cellStyle name="Total 8 2 2 2 2 4" xfId="31988"/>
    <cellStyle name="Total 8 2 2 2 2_Table 2A-1_EFT (Annual)" xfId="9280"/>
    <cellStyle name="Total 8 2 2 2 3" xfId="11868"/>
    <cellStyle name="Total 8 2 2 2 3 2" xfId="23952"/>
    <cellStyle name="Total 8 2 2 2 3 2 2" xfId="45138"/>
    <cellStyle name="Total 8 2 2 2 3 3" xfId="34534"/>
    <cellStyle name="Total 8 2 2 2 4" xfId="18839"/>
    <cellStyle name="Total 8 2 2 2 4 2" xfId="40026"/>
    <cellStyle name="Total 8 2 2 2 5" xfId="29245"/>
    <cellStyle name="Total 8 2 2 2_Table 2A-1_EFT (Annual)" xfId="9279"/>
    <cellStyle name="Total 8 2 2 3" xfId="5062"/>
    <cellStyle name="Total 8 2 2 3 2" xfId="13322"/>
    <cellStyle name="Total 8 2 2 3 2 2" xfId="25328"/>
    <cellStyle name="Total 8 2 2 3 2 2 2" xfId="46514"/>
    <cellStyle name="Total 8 2 2 3 2 3" xfId="35910"/>
    <cellStyle name="Total 8 2 2 3 3" xfId="20215"/>
    <cellStyle name="Total 8 2 2 3 3 2" xfId="41402"/>
    <cellStyle name="Total 8 2 2 3 4" xfId="30719"/>
    <cellStyle name="Total 8 2 2 3_Table 2A-1_EFT (Annual)" xfId="9281"/>
    <cellStyle name="Total 8 2 2 4" xfId="10666"/>
    <cellStyle name="Total 8 2 2 4 2" xfId="22782"/>
    <cellStyle name="Total 8 2 2 4 2 2" xfId="43968"/>
    <cellStyle name="Total 8 2 2 4 3" xfId="33364"/>
    <cellStyle name="Total 8 2 2 5" xfId="17669"/>
    <cellStyle name="Total 8 2 2 5 2" xfId="38856"/>
    <cellStyle name="Total 8 2 2 6" xfId="27976"/>
    <cellStyle name="Total 8 2 2_Table 2A-1_EFT (Annual)" xfId="9278"/>
    <cellStyle name="Total 8 2 3" xfId="1034"/>
    <cellStyle name="Total 8 2 3 2" xfId="4595"/>
    <cellStyle name="Total 8 2 3 2 2" xfId="12855"/>
    <cellStyle name="Total 8 2 3 2 2 2" xfId="24861"/>
    <cellStyle name="Total 8 2 3 2 2 2 2" xfId="46047"/>
    <cellStyle name="Total 8 2 3 2 2 3" xfId="35443"/>
    <cellStyle name="Total 8 2 3 2 3" xfId="19748"/>
    <cellStyle name="Total 8 2 3 2 3 2" xfId="40935"/>
    <cellStyle name="Total 8 2 3 2 4" xfId="30252"/>
    <cellStyle name="Total 8 2 3 2_Table 2A-1_EFT (Annual)" xfId="9283"/>
    <cellStyle name="Total 8 2 3 3" xfId="10199"/>
    <cellStyle name="Total 8 2 3 3 2" xfId="22315"/>
    <cellStyle name="Total 8 2 3 3 2 2" xfId="43501"/>
    <cellStyle name="Total 8 2 3 3 3" xfId="32897"/>
    <cellStyle name="Total 8 2 3 4" xfId="17202"/>
    <cellStyle name="Total 8 2 3 4 2" xfId="38389"/>
    <cellStyle name="Total 8 2 3 5" xfId="27509"/>
    <cellStyle name="Total 8 2 3_Table 2A-1_EFT (Annual)" xfId="9282"/>
    <cellStyle name="Total 8 2 4" xfId="2240"/>
    <cellStyle name="Total 8 2 4 2" xfId="5801"/>
    <cellStyle name="Total 8 2 4 2 2" xfId="14016"/>
    <cellStyle name="Total 8 2 4 2 2 2" xfId="26004"/>
    <cellStyle name="Total 8 2 4 2 2 2 2" xfId="47190"/>
    <cellStyle name="Total 8 2 4 2 2 3" xfId="36586"/>
    <cellStyle name="Total 8 2 4 2 3" xfId="20891"/>
    <cellStyle name="Total 8 2 4 2 3 2" xfId="42078"/>
    <cellStyle name="Total 8 2 4 2 4" xfId="31458"/>
    <cellStyle name="Total 8 2 4 2_Table 2A-1_EFT (Annual)" xfId="9285"/>
    <cellStyle name="Total 8 2 4 3" xfId="11360"/>
    <cellStyle name="Total 8 2 4 3 2" xfId="23458"/>
    <cellStyle name="Total 8 2 4 3 2 2" xfId="44644"/>
    <cellStyle name="Total 8 2 4 3 3" xfId="34040"/>
    <cellStyle name="Total 8 2 4 4" xfId="18345"/>
    <cellStyle name="Total 8 2 4 4 2" xfId="39532"/>
    <cellStyle name="Total 8 2 4 5" xfId="28715"/>
    <cellStyle name="Total 8 2 4_Table 2A-1_EFT (Annual)" xfId="9284"/>
    <cellStyle name="Total 8 2 5" xfId="4094"/>
    <cellStyle name="Total 8 2 5 2" xfId="12418"/>
    <cellStyle name="Total 8 2 5 2 2" xfId="24440"/>
    <cellStyle name="Total 8 2 5 2 2 2" xfId="45626"/>
    <cellStyle name="Total 8 2 5 2 3" xfId="35022"/>
    <cellStyle name="Total 8 2 5 3" xfId="19327"/>
    <cellStyle name="Total 8 2 5 3 2" xfId="40514"/>
    <cellStyle name="Total 8 2 5 4" xfId="29782"/>
    <cellStyle name="Total 8 2 5_Table 2A-1_EFT (Annual)" xfId="9286"/>
    <cellStyle name="Total 8 2 6" xfId="9757"/>
    <cellStyle name="Total 8 2 6 2" xfId="21894"/>
    <cellStyle name="Total 8 2 6 2 2" xfId="43080"/>
    <cellStyle name="Total 8 2 6 3" xfId="32476"/>
    <cellStyle name="Total 8 2 7" xfId="16781"/>
    <cellStyle name="Total 8 2 7 2" xfId="37968"/>
    <cellStyle name="Total 8 2 8" xfId="27039"/>
    <cellStyle name="Total 8 2_Table 2A-1_EFT (Annual)" xfId="3603"/>
    <cellStyle name="Total 8 3" xfId="362"/>
    <cellStyle name="Total 8 3 2" xfId="1345"/>
    <cellStyle name="Total 8 3 2 2" xfId="2615"/>
    <cellStyle name="Total 8 3 2 2 2" xfId="6176"/>
    <cellStyle name="Total 8 3 2 2 2 2" xfId="14370"/>
    <cellStyle name="Total 8 3 2 2 2 2 2" xfId="26342"/>
    <cellStyle name="Total 8 3 2 2 2 2 2 2" xfId="47528"/>
    <cellStyle name="Total 8 3 2 2 2 2 3" xfId="36924"/>
    <cellStyle name="Total 8 3 2 2 2 3" xfId="21229"/>
    <cellStyle name="Total 8 3 2 2 2 3 2" xfId="42416"/>
    <cellStyle name="Total 8 3 2 2 2 4" xfId="31832"/>
    <cellStyle name="Total 8 3 2 2 2_Table 2A-1_EFT (Annual)" xfId="9289"/>
    <cellStyle name="Total 8 3 2 2 3" xfId="11712"/>
    <cellStyle name="Total 8 3 2 2 3 2" xfId="23796"/>
    <cellStyle name="Total 8 3 2 2 3 2 2" xfId="44982"/>
    <cellStyle name="Total 8 3 2 2 3 3" xfId="34378"/>
    <cellStyle name="Total 8 3 2 2 4" xfId="18683"/>
    <cellStyle name="Total 8 3 2 2 4 2" xfId="39870"/>
    <cellStyle name="Total 8 3 2 2 5" xfId="29089"/>
    <cellStyle name="Total 8 3 2 2_Table 2A-1_EFT (Annual)" xfId="9288"/>
    <cellStyle name="Total 8 3 2 3" xfId="4906"/>
    <cellStyle name="Total 8 3 2 3 2" xfId="13166"/>
    <cellStyle name="Total 8 3 2 3 2 2" xfId="25172"/>
    <cellStyle name="Total 8 3 2 3 2 2 2" xfId="46358"/>
    <cellStyle name="Total 8 3 2 3 2 3" xfId="35754"/>
    <cellStyle name="Total 8 3 2 3 3" xfId="20059"/>
    <cellStyle name="Total 8 3 2 3 3 2" xfId="41246"/>
    <cellStyle name="Total 8 3 2 3 4" xfId="30563"/>
    <cellStyle name="Total 8 3 2 3_Table 2A-1_EFT (Annual)" xfId="9290"/>
    <cellStyle name="Total 8 3 2 4" xfId="10510"/>
    <cellStyle name="Total 8 3 2 4 2" xfId="22626"/>
    <cellStyle name="Total 8 3 2 4 2 2" xfId="43812"/>
    <cellStyle name="Total 8 3 2 4 3" xfId="33208"/>
    <cellStyle name="Total 8 3 2 5" xfId="17513"/>
    <cellStyle name="Total 8 3 2 5 2" xfId="38700"/>
    <cellStyle name="Total 8 3 2 6" xfId="27820"/>
    <cellStyle name="Total 8 3 2_Table 2A-1_EFT (Annual)" xfId="9287"/>
    <cellStyle name="Total 8 3 3" xfId="902"/>
    <cellStyle name="Total 8 3 3 2" xfId="4463"/>
    <cellStyle name="Total 8 3 3 2 2" xfId="12725"/>
    <cellStyle name="Total 8 3 3 2 2 2" xfId="24735"/>
    <cellStyle name="Total 8 3 3 2 2 2 2" xfId="45921"/>
    <cellStyle name="Total 8 3 3 2 2 3" xfId="35317"/>
    <cellStyle name="Total 8 3 3 2 3" xfId="19622"/>
    <cellStyle name="Total 8 3 3 2 3 2" xfId="40809"/>
    <cellStyle name="Total 8 3 3 2 4" xfId="30120"/>
    <cellStyle name="Total 8 3 3 2_Table 2A-1_EFT (Annual)" xfId="9292"/>
    <cellStyle name="Total 8 3 3 3" xfId="10072"/>
    <cellStyle name="Total 8 3 3 3 2" xfId="22189"/>
    <cellStyle name="Total 8 3 3 3 2 2" xfId="43375"/>
    <cellStyle name="Total 8 3 3 3 3" xfId="32771"/>
    <cellStyle name="Total 8 3 3 4" xfId="17076"/>
    <cellStyle name="Total 8 3 3 4 2" xfId="38263"/>
    <cellStyle name="Total 8 3 3 5" xfId="27377"/>
    <cellStyle name="Total 8 3 3_Table 2A-1_EFT (Annual)" xfId="9291"/>
    <cellStyle name="Total 8 3 4" xfId="2084"/>
    <cellStyle name="Total 8 3 4 2" xfId="5645"/>
    <cellStyle name="Total 8 3 4 2 2" xfId="13860"/>
    <cellStyle name="Total 8 3 4 2 2 2" xfId="25848"/>
    <cellStyle name="Total 8 3 4 2 2 2 2" xfId="47034"/>
    <cellStyle name="Total 8 3 4 2 2 3" xfId="36430"/>
    <cellStyle name="Total 8 3 4 2 3" xfId="20735"/>
    <cellStyle name="Total 8 3 4 2 3 2" xfId="41922"/>
    <cellStyle name="Total 8 3 4 2 4" xfId="31302"/>
    <cellStyle name="Total 8 3 4 2_Table 2A-1_EFT (Annual)" xfId="9294"/>
    <cellStyle name="Total 8 3 4 3" xfId="11204"/>
    <cellStyle name="Total 8 3 4 3 2" xfId="23302"/>
    <cellStyle name="Total 8 3 4 3 2 2" xfId="44488"/>
    <cellStyle name="Total 8 3 4 3 3" xfId="33884"/>
    <cellStyle name="Total 8 3 4 4" xfId="18189"/>
    <cellStyle name="Total 8 3 4 4 2" xfId="39376"/>
    <cellStyle name="Total 8 3 4 5" xfId="28559"/>
    <cellStyle name="Total 8 3 4_Table 2A-1_EFT (Annual)" xfId="9293"/>
    <cellStyle name="Total 8 3 5" xfId="3932"/>
    <cellStyle name="Total 8 3 5 2" xfId="12260"/>
    <cellStyle name="Total 8 3 5 2 2" xfId="24284"/>
    <cellStyle name="Total 8 3 5 2 2 2" xfId="45470"/>
    <cellStyle name="Total 8 3 5 2 3" xfId="34866"/>
    <cellStyle name="Total 8 3 5 3" xfId="19171"/>
    <cellStyle name="Total 8 3 5 3 2" xfId="40358"/>
    <cellStyle name="Total 8 3 5 4" xfId="29620"/>
    <cellStyle name="Total 8 3 5_Table 2A-1_EFT (Annual)" xfId="9295"/>
    <cellStyle name="Total 8 3 6" xfId="9597"/>
    <cellStyle name="Total 8 3 6 2" xfId="21738"/>
    <cellStyle name="Total 8 3 6 2 2" xfId="42924"/>
    <cellStyle name="Total 8 3 6 3" xfId="32320"/>
    <cellStyle name="Total 8 3 7" xfId="16625"/>
    <cellStyle name="Total 8 3 7 2" xfId="37812"/>
    <cellStyle name="Total 8 3 8" xfId="26877"/>
    <cellStyle name="Total 8 3_Table 2A-1_EFT (Annual)" xfId="3604"/>
    <cellStyle name="Total 8 4" xfId="1179"/>
    <cellStyle name="Total 8 4 2" xfId="2449"/>
    <cellStyle name="Total 8 4 2 2" xfId="6010"/>
    <cellStyle name="Total 8 4 2 2 2" xfId="14204"/>
    <cellStyle name="Total 8 4 2 2 2 2" xfId="26176"/>
    <cellStyle name="Total 8 4 2 2 2 2 2" xfId="47362"/>
    <cellStyle name="Total 8 4 2 2 2 3" xfId="36758"/>
    <cellStyle name="Total 8 4 2 2 3" xfId="21063"/>
    <cellStyle name="Total 8 4 2 2 3 2" xfId="42250"/>
    <cellStyle name="Total 8 4 2 2 4" xfId="31666"/>
    <cellStyle name="Total 8 4 2 2_Table 2A-1_EFT (Annual)" xfId="9298"/>
    <cellStyle name="Total 8 4 2 3" xfId="11546"/>
    <cellStyle name="Total 8 4 2 3 2" xfId="23630"/>
    <cellStyle name="Total 8 4 2 3 2 2" xfId="44816"/>
    <cellStyle name="Total 8 4 2 3 3" xfId="34212"/>
    <cellStyle name="Total 8 4 2 4" xfId="18517"/>
    <cellStyle name="Total 8 4 2 4 2" xfId="39704"/>
    <cellStyle name="Total 8 4 2 5" xfId="28923"/>
    <cellStyle name="Total 8 4 2_Table 2A-1_EFT (Annual)" xfId="9297"/>
    <cellStyle name="Total 8 4 3" xfId="4740"/>
    <cellStyle name="Total 8 4 3 2" xfId="13000"/>
    <cellStyle name="Total 8 4 3 2 2" xfId="25006"/>
    <cellStyle name="Total 8 4 3 2 2 2" xfId="46192"/>
    <cellStyle name="Total 8 4 3 2 3" xfId="35588"/>
    <cellStyle name="Total 8 4 3 3" xfId="19893"/>
    <cellStyle name="Total 8 4 3 3 2" xfId="41080"/>
    <cellStyle name="Total 8 4 3 4" xfId="30397"/>
    <cellStyle name="Total 8 4 3_Table 2A-1_EFT (Annual)" xfId="9299"/>
    <cellStyle name="Total 8 4 4" xfId="10344"/>
    <cellStyle name="Total 8 4 4 2" xfId="22460"/>
    <cellStyle name="Total 8 4 4 2 2" xfId="43646"/>
    <cellStyle name="Total 8 4 4 3" xfId="33042"/>
    <cellStyle name="Total 8 4 5" xfId="17347"/>
    <cellStyle name="Total 8 4 5 2" xfId="38534"/>
    <cellStyle name="Total 8 4 6" xfId="27654"/>
    <cellStyle name="Total 8 4_Table 2A-1_EFT (Annual)" xfId="9296"/>
    <cellStyle name="Total 8 5" xfId="743"/>
    <cellStyle name="Total 8 5 2" xfId="4304"/>
    <cellStyle name="Total 8 5 2 2" xfId="12584"/>
    <cellStyle name="Total 8 5 2 2 2" xfId="24601"/>
    <cellStyle name="Total 8 5 2 2 2 2" xfId="45787"/>
    <cellStyle name="Total 8 5 2 2 3" xfId="35183"/>
    <cellStyle name="Total 8 5 2 3" xfId="19488"/>
    <cellStyle name="Total 8 5 2 3 2" xfId="40675"/>
    <cellStyle name="Total 8 5 2 4" xfId="29961"/>
    <cellStyle name="Total 8 5 2_Table 2A-1_EFT (Annual)" xfId="9301"/>
    <cellStyle name="Total 8 5 3" xfId="9932"/>
    <cellStyle name="Total 8 5 3 2" xfId="22055"/>
    <cellStyle name="Total 8 5 3 2 2" xfId="43241"/>
    <cellStyle name="Total 8 5 3 3" xfId="32637"/>
    <cellStyle name="Total 8 5 4" xfId="16942"/>
    <cellStyle name="Total 8 5 4 2" xfId="38129"/>
    <cellStyle name="Total 8 5 5" xfId="27218"/>
    <cellStyle name="Total 8 5_Table 2A-1_EFT (Annual)" xfId="9300"/>
    <cellStyle name="Total 8 6" xfId="1791"/>
    <cellStyle name="Total 8 6 2" xfId="5352"/>
    <cellStyle name="Total 8 6 2 2" xfId="13567"/>
    <cellStyle name="Total 8 6 2 2 2" xfId="25555"/>
    <cellStyle name="Total 8 6 2 2 2 2" xfId="46741"/>
    <cellStyle name="Total 8 6 2 2 3" xfId="36137"/>
    <cellStyle name="Total 8 6 2 3" xfId="20442"/>
    <cellStyle name="Total 8 6 2 3 2" xfId="41629"/>
    <cellStyle name="Total 8 6 2 4" xfId="31009"/>
    <cellStyle name="Total 8 6 2_Table 2A-1_EFT (Annual)" xfId="9303"/>
    <cellStyle name="Total 8 6 3" xfId="10911"/>
    <cellStyle name="Total 8 6 3 2" xfId="23009"/>
    <cellStyle name="Total 8 6 3 2 2" xfId="44195"/>
    <cellStyle name="Total 8 6 3 3" xfId="33591"/>
    <cellStyle name="Total 8 6 4" xfId="17896"/>
    <cellStyle name="Total 8 6 4 2" xfId="39083"/>
    <cellStyle name="Total 8 6 5" xfId="28266"/>
    <cellStyle name="Total 8 6_Table 2A-1_EFT (Annual)" xfId="9302"/>
    <cellStyle name="Total 8 7" xfId="3720"/>
    <cellStyle name="Total 8 7 2" xfId="12088"/>
    <cellStyle name="Total 8 7 2 2" xfId="24118"/>
    <cellStyle name="Total 8 7 2 2 2" xfId="45304"/>
    <cellStyle name="Total 8 7 2 3" xfId="34700"/>
    <cellStyle name="Total 8 7 3" xfId="19005"/>
    <cellStyle name="Total 8 7 3 2" xfId="40192"/>
    <cellStyle name="Total 8 7 4" xfId="29429"/>
    <cellStyle name="Total 8 7_Table 2A-1_EFT (Annual)" xfId="9304"/>
    <cellStyle name="Total 8 8" xfId="9407"/>
    <cellStyle name="Total 8 8 2" xfId="21572"/>
    <cellStyle name="Total 8 8 2 2" xfId="42758"/>
    <cellStyle name="Total 8 8 3" xfId="32154"/>
    <cellStyle name="Total 8 9" xfId="16459"/>
    <cellStyle name="Total 8 9 2" xfId="37646"/>
    <cellStyle name="Total 8_Table 2A-1_EFT (Annual)" xfId="3602"/>
    <cellStyle name="Total 9" xfId="120"/>
    <cellStyle name="Total 9 10" xfId="26675"/>
    <cellStyle name="Total 9 2" xfId="513"/>
    <cellStyle name="Total 9 2 2" xfId="1490"/>
    <cellStyle name="Total 9 2 2 2" xfId="2760"/>
    <cellStyle name="Total 9 2 2 2 2" xfId="6321"/>
    <cellStyle name="Total 9 2 2 2 2 2" xfId="14515"/>
    <cellStyle name="Total 9 2 2 2 2 2 2" xfId="26487"/>
    <cellStyle name="Total 9 2 2 2 2 2 2 2" xfId="47673"/>
    <cellStyle name="Total 9 2 2 2 2 2 3" xfId="37069"/>
    <cellStyle name="Total 9 2 2 2 2 3" xfId="21374"/>
    <cellStyle name="Total 9 2 2 2 2 3 2" xfId="42561"/>
    <cellStyle name="Total 9 2 2 2 2 4" xfId="31977"/>
    <cellStyle name="Total 9 2 2 2 2_Table 2A-1_EFT (Annual)" xfId="9307"/>
    <cellStyle name="Total 9 2 2 2 3" xfId="11857"/>
    <cellStyle name="Total 9 2 2 2 3 2" xfId="23941"/>
    <cellStyle name="Total 9 2 2 2 3 2 2" xfId="45127"/>
    <cellStyle name="Total 9 2 2 2 3 3" xfId="34523"/>
    <cellStyle name="Total 9 2 2 2 4" xfId="18828"/>
    <cellStyle name="Total 9 2 2 2 4 2" xfId="40015"/>
    <cellStyle name="Total 9 2 2 2 5" xfId="29234"/>
    <cellStyle name="Total 9 2 2 2_Table 2A-1_EFT (Annual)" xfId="9306"/>
    <cellStyle name="Total 9 2 2 3" xfId="5051"/>
    <cellStyle name="Total 9 2 2 3 2" xfId="13311"/>
    <cellStyle name="Total 9 2 2 3 2 2" xfId="25317"/>
    <cellStyle name="Total 9 2 2 3 2 2 2" xfId="46503"/>
    <cellStyle name="Total 9 2 2 3 2 3" xfId="35899"/>
    <cellStyle name="Total 9 2 2 3 3" xfId="20204"/>
    <cellStyle name="Total 9 2 2 3 3 2" xfId="41391"/>
    <cellStyle name="Total 9 2 2 3 4" xfId="30708"/>
    <cellStyle name="Total 9 2 2 3_Table 2A-1_EFT (Annual)" xfId="9308"/>
    <cellStyle name="Total 9 2 2 4" xfId="10655"/>
    <cellStyle name="Total 9 2 2 4 2" xfId="22771"/>
    <cellStyle name="Total 9 2 2 4 2 2" xfId="43957"/>
    <cellStyle name="Total 9 2 2 4 3" xfId="33353"/>
    <cellStyle name="Total 9 2 2 5" xfId="17658"/>
    <cellStyle name="Total 9 2 2 5 2" xfId="38845"/>
    <cellStyle name="Total 9 2 2 6" xfId="27965"/>
    <cellStyle name="Total 9 2 2_Table 2A-1_EFT (Annual)" xfId="9305"/>
    <cellStyle name="Total 9 2 3" xfId="1024"/>
    <cellStyle name="Total 9 2 3 2" xfId="4585"/>
    <cellStyle name="Total 9 2 3 2 2" xfId="12845"/>
    <cellStyle name="Total 9 2 3 2 2 2" xfId="24851"/>
    <cellStyle name="Total 9 2 3 2 2 2 2" xfId="46037"/>
    <cellStyle name="Total 9 2 3 2 2 3" xfId="35433"/>
    <cellStyle name="Total 9 2 3 2 3" xfId="19738"/>
    <cellStyle name="Total 9 2 3 2 3 2" xfId="40925"/>
    <cellStyle name="Total 9 2 3 2 4" xfId="30242"/>
    <cellStyle name="Total 9 2 3 2_Table 2A-1_EFT (Annual)" xfId="9310"/>
    <cellStyle name="Total 9 2 3 3" xfId="10189"/>
    <cellStyle name="Total 9 2 3 3 2" xfId="22305"/>
    <cellStyle name="Total 9 2 3 3 2 2" xfId="43491"/>
    <cellStyle name="Total 9 2 3 3 3" xfId="32887"/>
    <cellStyle name="Total 9 2 3 4" xfId="17192"/>
    <cellStyle name="Total 9 2 3 4 2" xfId="38379"/>
    <cellStyle name="Total 9 2 3 5" xfId="27499"/>
    <cellStyle name="Total 9 2 3_Table 2A-1_EFT (Annual)" xfId="9309"/>
    <cellStyle name="Total 9 2 4" xfId="2229"/>
    <cellStyle name="Total 9 2 4 2" xfId="5790"/>
    <cellStyle name="Total 9 2 4 2 2" xfId="14005"/>
    <cellStyle name="Total 9 2 4 2 2 2" xfId="25993"/>
    <cellStyle name="Total 9 2 4 2 2 2 2" xfId="47179"/>
    <cellStyle name="Total 9 2 4 2 2 3" xfId="36575"/>
    <cellStyle name="Total 9 2 4 2 3" xfId="20880"/>
    <cellStyle name="Total 9 2 4 2 3 2" xfId="42067"/>
    <cellStyle name="Total 9 2 4 2 4" xfId="31447"/>
    <cellStyle name="Total 9 2 4 2_Table 2A-1_EFT (Annual)" xfId="9312"/>
    <cellStyle name="Total 9 2 4 3" xfId="11349"/>
    <cellStyle name="Total 9 2 4 3 2" xfId="23447"/>
    <cellStyle name="Total 9 2 4 3 2 2" xfId="44633"/>
    <cellStyle name="Total 9 2 4 3 3" xfId="34029"/>
    <cellStyle name="Total 9 2 4 4" xfId="18334"/>
    <cellStyle name="Total 9 2 4 4 2" xfId="39521"/>
    <cellStyle name="Total 9 2 4 5" xfId="28704"/>
    <cellStyle name="Total 9 2 4_Table 2A-1_EFT (Annual)" xfId="9311"/>
    <cellStyle name="Total 9 2 5" xfId="4083"/>
    <cellStyle name="Total 9 2 5 2" xfId="12407"/>
    <cellStyle name="Total 9 2 5 2 2" xfId="24429"/>
    <cellStyle name="Total 9 2 5 2 2 2" xfId="45615"/>
    <cellStyle name="Total 9 2 5 2 3" xfId="35011"/>
    <cellStyle name="Total 9 2 5 3" xfId="19316"/>
    <cellStyle name="Total 9 2 5 3 2" xfId="40503"/>
    <cellStyle name="Total 9 2 5 4" xfId="29771"/>
    <cellStyle name="Total 9 2 5_Table 2A-1_EFT (Annual)" xfId="9313"/>
    <cellStyle name="Total 9 2 6" xfId="9746"/>
    <cellStyle name="Total 9 2 6 2" xfId="21883"/>
    <cellStyle name="Total 9 2 6 2 2" xfId="43069"/>
    <cellStyle name="Total 9 2 6 3" xfId="32465"/>
    <cellStyle name="Total 9 2 7" xfId="16770"/>
    <cellStyle name="Total 9 2 7 2" xfId="37957"/>
    <cellStyle name="Total 9 2 8" xfId="27028"/>
    <cellStyle name="Total 9 2_Table 2A-1_EFT (Annual)" xfId="3606"/>
    <cellStyle name="Total 9 3" xfId="351"/>
    <cellStyle name="Total 9 3 2" xfId="1334"/>
    <cellStyle name="Total 9 3 2 2" xfId="2604"/>
    <cellStyle name="Total 9 3 2 2 2" xfId="6165"/>
    <cellStyle name="Total 9 3 2 2 2 2" xfId="14359"/>
    <cellStyle name="Total 9 3 2 2 2 2 2" xfId="26331"/>
    <cellStyle name="Total 9 3 2 2 2 2 2 2" xfId="47517"/>
    <cellStyle name="Total 9 3 2 2 2 2 3" xfId="36913"/>
    <cellStyle name="Total 9 3 2 2 2 3" xfId="21218"/>
    <cellStyle name="Total 9 3 2 2 2 3 2" xfId="42405"/>
    <cellStyle name="Total 9 3 2 2 2 4" xfId="31821"/>
    <cellStyle name="Total 9 3 2 2 2_Table 2A-1_EFT (Annual)" xfId="9316"/>
    <cellStyle name="Total 9 3 2 2 3" xfId="11701"/>
    <cellStyle name="Total 9 3 2 2 3 2" xfId="23785"/>
    <cellStyle name="Total 9 3 2 2 3 2 2" xfId="44971"/>
    <cellStyle name="Total 9 3 2 2 3 3" xfId="34367"/>
    <cellStyle name="Total 9 3 2 2 4" xfId="18672"/>
    <cellStyle name="Total 9 3 2 2 4 2" xfId="39859"/>
    <cellStyle name="Total 9 3 2 2 5" xfId="29078"/>
    <cellStyle name="Total 9 3 2 2_Table 2A-1_EFT (Annual)" xfId="9315"/>
    <cellStyle name="Total 9 3 2 3" xfId="4895"/>
    <cellStyle name="Total 9 3 2 3 2" xfId="13155"/>
    <cellStyle name="Total 9 3 2 3 2 2" xfId="25161"/>
    <cellStyle name="Total 9 3 2 3 2 2 2" xfId="46347"/>
    <cellStyle name="Total 9 3 2 3 2 3" xfId="35743"/>
    <cellStyle name="Total 9 3 2 3 3" xfId="20048"/>
    <cellStyle name="Total 9 3 2 3 3 2" xfId="41235"/>
    <cellStyle name="Total 9 3 2 3 4" xfId="30552"/>
    <cellStyle name="Total 9 3 2 3_Table 2A-1_EFT (Annual)" xfId="9317"/>
    <cellStyle name="Total 9 3 2 4" xfId="10499"/>
    <cellStyle name="Total 9 3 2 4 2" xfId="22615"/>
    <cellStyle name="Total 9 3 2 4 2 2" xfId="43801"/>
    <cellStyle name="Total 9 3 2 4 3" xfId="33197"/>
    <cellStyle name="Total 9 3 2 5" xfId="17502"/>
    <cellStyle name="Total 9 3 2 5 2" xfId="38689"/>
    <cellStyle name="Total 9 3 2 6" xfId="27809"/>
    <cellStyle name="Total 9 3 2_Table 2A-1_EFT (Annual)" xfId="9314"/>
    <cellStyle name="Total 9 3 3" xfId="892"/>
    <cellStyle name="Total 9 3 3 2" xfId="4453"/>
    <cellStyle name="Total 9 3 3 2 2" xfId="12715"/>
    <cellStyle name="Total 9 3 3 2 2 2" xfId="24725"/>
    <cellStyle name="Total 9 3 3 2 2 2 2" xfId="45911"/>
    <cellStyle name="Total 9 3 3 2 2 3" xfId="35307"/>
    <cellStyle name="Total 9 3 3 2 3" xfId="19612"/>
    <cellStyle name="Total 9 3 3 2 3 2" xfId="40799"/>
    <cellStyle name="Total 9 3 3 2 4" xfId="30110"/>
    <cellStyle name="Total 9 3 3 2_Table 2A-1_EFT (Annual)" xfId="9319"/>
    <cellStyle name="Total 9 3 3 3" xfId="10062"/>
    <cellStyle name="Total 9 3 3 3 2" xfId="22179"/>
    <cellStyle name="Total 9 3 3 3 2 2" xfId="43365"/>
    <cellStyle name="Total 9 3 3 3 3" xfId="32761"/>
    <cellStyle name="Total 9 3 3 4" xfId="17066"/>
    <cellStyle name="Total 9 3 3 4 2" xfId="38253"/>
    <cellStyle name="Total 9 3 3 5" xfId="27367"/>
    <cellStyle name="Total 9 3 3_Table 2A-1_EFT (Annual)" xfId="9318"/>
    <cellStyle name="Total 9 3 4" xfId="2073"/>
    <cellStyle name="Total 9 3 4 2" xfId="5634"/>
    <cellStyle name="Total 9 3 4 2 2" xfId="13849"/>
    <cellStyle name="Total 9 3 4 2 2 2" xfId="25837"/>
    <cellStyle name="Total 9 3 4 2 2 2 2" xfId="47023"/>
    <cellStyle name="Total 9 3 4 2 2 3" xfId="36419"/>
    <cellStyle name="Total 9 3 4 2 3" xfId="20724"/>
    <cellStyle name="Total 9 3 4 2 3 2" xfId="41911"/>
    <cellStyle name="Total 9 3 4 2 4" xfId="31291"/>
    <cellStyle name="Total 9 3 4 2_Table 2A-1_EFT (Annual)" xfId="9321"/>
    <cellStyle name="Total 9 3 4 3" xfId="11193"/>
    <cellStyle name="Total 9 3 4 3 2" xfId="23291"/>
    <cellStyle name="Total 9 3 4 3 2 2" xfId="44477"/>
    <cellStyle name="Total 9 3 4 3 3" xfId="33873"/>
    <cellStyle name="Total 9 3 4 4" xfId="18178"/>
    <cellStyle name="Total 9 3 4 4 2" xfId="39365"/>
    <cellStyle name="Total 9 3 4 5" xfId="28548"/>
    <cellStyle name="Total 9 3 4_Table 2A-1_EFT (Annual)" xfId="9320"/>
    <cellStyle name="Total 9 3 5" xfId="3921"/>
    <cellStyle name="Total 9 3 5 2" xfId="12249"/>
    <cellStyle name="Total 9 3 5 2 2" xfId="24273"/>
    <cellStyle name="Total 9 3 5 2 2 2" xfId="45459"/>
    <cellStyle name="Total 9 3 5 2 3" xfId="34855"/>
    <cellStyle name="Total 9 3 5 3" xfId="19160"/>
    <cellStyle name="Total 9 3 5 3 2" xfId="40347"/>
    <cellStyle name="Total 9 3 5 4" xfId="29609"/>
    <cellStyle name="Total 9 3 5_Table 2A-1_EFT (Annual)" xfId="9322"/>
    <cellStyle name="Total 9 3 6" xfId="9586"/>
    <cellStyle name="Total 9 3 6 2" xfId="21727"/>
    <cellStyle name="Total 9 3 6 2 2" xfId="42913"/>
    <cellStyle name="Total 9 3 6 3" xfId="32309"/>
    <cellStyle name="Total 9 3 7" xfId="16614"/>
    <cellStyle name="Total 9 3 7 2" xfId="37801"/>
    <cellStyle name="Total 9 3 8" xfId="26866"/>
    <cellStyle name="Total 9 3_Table 2A-1_EFT (Annual)" xfId="3607"/>
    <cellStyle name="Total 9 4" xfId="1168"/>
    <cellStyle name="Total 9 4 2" xfId="2438"/>
    <cellStyle name="Total 9 4 2 2" xfId="5999"/>
    <cellStyle name="Total 9 4 2 2 2" xfId="14193"/>
    <cellStyle name="Total 9 4 2 2 2 2" xfId="26165"/>
    <cellStyle name="Total 9 4 2 2 2 2 2" xfId="47351"/>
    <cellStyle name="Total 9 4 2 2 2 3" xfId="36747"/>
    <cellStyle name="Total 9 4 2 2 3" xfId="21052"/>
    <cellStyle name="Total 9 4 2 2 3 2" xfId="42239"/>
    <cellStyle name="Total 9 4 2 2 4" xfId="31655"/>
    <cellStyle name="Total 9 4 2 2_Table 2A-1_EFT (Annual)" xfId="9325"/>
    <cellStyle name="Total 9 4 2 3" xfId="11535"/>
    <cellStyle name="Total 9 4 2 3 2" xfId="23619"/>
    <cellStyle name="Total 9 4 2 3 2 2" xfId="44805"/>
    <cellStyle name="Total 9 4 2 3 3" xfId="34201"/>
    <cellStyle name="Total 9 4 2 4" xfId="18506"/>
    <cellStyle name="Total 9 4 2 4 2" xfId="39693"/>
    <cellStyle name="Total 9 4 2 5" xfId="28912"/>
    <cellStyle name="Total 9 4 2_Table 2A-1_EFT (Annual)" xfId="9324"/>
    <cellStyle name="Total 9 4 3" xfId="4729"/>
    <cellStyle name="Total 9 4 3 2" xfId="12989"/>
    <cellStyle name="Total 9 4 3 2 2" xfId="24995"/>
    <cellStyle name="Total 9 4 3 2 2 2" xfId="46181"/>
    <cellStyle name="Total 9 4 3 2 3" xfId="35577"/>
    <cellStyle name="Total 9 4 3 3" xfId="19882"/>
    <cellStyle name="Total 9 4 3 3 2" xfId="41069"/>
    <cellStyle name="Total 9 4 3 4" xfId="30386"/>
    <cellStyle name="Total 9 4 3_Table 2A-1_EFT (Annual)" xfId="9326"/>
    <cellStyle name="Total 9 4 4" xfId="10333"/>
    <cellStyle name="Total 9 4 4 2" xfId="22449"/>
    <cellStyle name="Total 9 4 4 2 2" xfId="43635"/>
    <cellStyle name="Total 9 4 4 3" xfId="33031"/>
    <cellStyle name="Total 9 4 5" xfId="17336"/>
    <cellStyle name="Total 9 4 5 2" xfId="38523"/>
    <cellStyle name="Total 9 4 6" xfId="27643"/>
    <cellStyle name="Total 9 4_Table 2A-1_EFT (Annual)" xfId="9323"/>
    <cellStyle name="Total 9 5" xfId="733"/>
    <cellStyle name="Total 9 5 2" xfId="4294"/>
    <cellStyle name="Total 9 5 2 2" xfId="12574"/>
    <cellStyle name="Total 9 5 2 2 2" xfId="24591"/>
    <cellStyle name="Total 9 5 2 2 2 2" xfId="45777"/>
    <cellStyle name="Total 9 5 2 2 3" xfId="35173"/>
    <cellStyle name="Total 9 5 2 3" xfId="19478"/>
    <cellStyle name="Total 9 5 2 3 2" xfId="40665"/>
    <cellStyle name="Total 9 5 2 4" xfId="29951"/>
    <cellStyle name="Total 9 5 2_Table 2A-1_EFT (Annual)" xfId="9328"/>
    <cellStyle name="Total 9 5 3" xfId="9922"/>
    <cellStyle name="Total 9 5 3 2" xfId="22045"/>
    <cellStyle name="Total 9 5 3 2 2" xfId="43231"/>
    <cellStyle name="Total 9 5 3 3" xfId="32627"/>
    <cellStyle name="Total 9 5 4" xfId="16932"/>
    <cellStyle name="Total 9 5 4 2" xfId="38119"/>
    <cellStyle name="Total 9 5 5" xfId="27208"/>
    <cellStyle name="Total 9 5_Table 2A-1_EFT (Annual)" xfId="9327"/>
    <cellStyle name="Total 9 6" xfId="1864"/>
    <cellStyle name="Total 9 6 2" xfId="5425"/>
    <cellStyle name="Total 9 6 2 2" xfId="13640"/>
    <cellStyle name="Total 9 6 2 2 2" xfId="25628"/>
    <cellStyle name="Total 9 6 2 2 2 2" xfId="46814"/>
    <cellStyle name="Total 9 6 2 2 3" xfId="36210"/>
    <cellStyle name="Total 9 6 2 3" xfId="20515"/>
    <cellStyle name="Total 9 6 2 3 2" xfId="41702"/>
    <cellStyle name="Total 9 6 2 4" xfId="31082"/>
    <cellStyle name="Total 9 6 2_Table 2A-1_EFT (Annual)" xfId="9330"/>
    <cellStyle name="Total 9 6 3" xfId="10984"/>
    <cellStyle name="Total 9 6 3 2" xfId="23082"/>
    <cellStyle name="Total 9 6 3 2 2" xfId="44268"/>
    <cellStyle name="Total 9 6 3 3" xfId="33664"/>
    <cellStyle name="Total 9 6 4" xfId="17969"/>
    <cellStyle name="Total 9 6 4 2" xfId="39156"/>
    <cellStyle name="Total 9 6 5" xfId="28339"/>
    <cellStyle name="Total 9 6_Table 2A-1_EFT (Annual)" xfId="9329"/>
    <cellStyle name="Total 9 7" xfId="3709"/>
    <cellStyle name="Total 9 7 2" xfId="12077"/>
    <cellStyle name="Total 9 7 2 2" xfId="24107"/>
    <cellStyle name="Total 9 7 2 2 2" xfId="45293"/>
    <cellStyle name="Total 9 7 2 3" xfId="34689"/>
    <cellStyle name="Total 9 7 3" xfId="18994"/>
    <cellStyle name="Total 9 7 3 2" xfId="40181"/>
    <cellStyle name="Total 9 7 4" xfId="29418"/>
    <cellStyle name="Total 9 7_Table 2A-1_EFT (Annual)" xfId="9331"/>
    <cellStyle name="Total 9 8" xfId="9396"/>
    <cellStyle name="Total 9 8 2" xfId="21561"/>
    <cellStyle name="Total 9 8 2 2" xfId="42747"/>
    <cellStyle name="Total 9 8 3" xfId="32143"/>
    <cellStyle name="Total 9 9" xfId="16448"/>
    <cellStyle name="Total 9 9 2" xfId="37635"/>
    <cellStyle name="Total 9_Table 2A-1_EFT (Annual)" xfId="3605"/>
    <cellStyle name="Warning Text" xfId="52" builtinId="11" customBuiltin="1"/>
    <cellStyle name="Warning Text 2" xfId="297"/>
    <cellStyle name="Warning Text 3" xfId="701"/>
    <cellStyle name="Warning Text 4" xfId="16015"/>
  </cellStyles>
  <dxfs count="56">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9" defaultPivotStyle="PivotStyleLight16"/>
  <colors>
    <mruColors>
      <color rgb="FFFFFF66"/>
      <color rgb="FFFFCC99"/>
      <color rgb="FFFFFFCC"/>
      <color rgb="FF000080"/>
      <color rgb="FFCCFFCC"/>
      <color rgb="FF9999FF"/>
      <color rgb="FFFFFF99"/>
      <color rgb="FFCCFFFF"/>
      <color rgb="FFB7DEE8"/>
      <color rgb="FFFFCC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f/EFS/MFPAdm/MFP%20Task%20Force/2013-2014/SIMULATIONS/To%20BESE%20March%202014/MFP%20Based%20on%20projected%202-1-14%20counts/FY2013-14%20MFP%20BUDGET%20LETTER-%20March%202014%20+2.75_12-13%20Tax%20Data_MASTER%20-%20ZZM.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1-14%20SIS%20per%20Table%20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f/EFS/MFPAdm/MFP%20Budget%20Letter/2014-2015/Student%20Data/SIS%20Data/February%202014/2b)%20RSD_396_by_Site_Feb_1_2014_MFP_Membership.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f/EFS/MFPAdm/MFP%20Budget%20Letter/2014-2015/Student%20Data/SIS%20Data/February%202014/2a)%20RSD_NO_by_Site_Feb_1_2014_MFP_Membershi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f/EFS/MFPAdm/MFP%20Budget%20Letter/2013-2014/Budget%20Letter/July%202013/FY2013-14%20MFP%20Budget%20Letter-%20July%2020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f/EFS/MFPAdm/MFP%20Task%20Force/2013-2014/SIMULATIONS/To%20Legislature%20March%202014/PROJECTED%20FY2014-15%20MFP%20BUDGET%20LETT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f/EFS/MFPAdm/MFP%20Budget%20Letter/2014-2015/Student%20Data/SIS%20Data/February%202014/4)%20MFP_At_Risk_Funded_Membership_Feb_1_2014_Other_Funded_At_Risk_Membership_by_School_Location_or_Student_Residence_Adjusted_0306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f/EFS/MFPAdm/MFP%20Budget%20Letter/2014-2015/Student%20Data/CTE%20Data/MS6687_2013%20CTE%20Units%20(Total_Fundamental_Technical)corrected5-2-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f/EFS/MFPAdm/MFP%20Budget%20Letter/2014-2015/Student%20Data/SER%20Data/SpEd%20MFP%202_1_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f/EFS/MFPAdm/MFP%20Task%20Force/2013-2014/SIMULATIONS/To%20BESE%20March%202014/MFP%20Based%20on%20projected%202-1-14%20counts/mf/EFS/MFPAdm/MFP%20Budget%20Letter/2013-2014/Budget%20Letter/July%202013/FY2013-14%20MFP%20Budget%20Letter-%20July%20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f/EFS/MFPAdm/MFP%20Budget%20Letter/2014-2015/Student%20Data/SIS%20Data/February%202014/2013%20PP3%20Multistats%20-%202-1-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f/EFS/EDFIN_AC/Charters/2014-15/Per%20Pupil%20Calculations%20FY14-15/Initial/FY2014-15%20Initial%20Charter%20Per%20Pupil%20Amounts_July%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s"/>
      <sheetName val="Table 1 State Summary  (2)"/>
      <sheetName val="Table 1 State Summary "/>
      <sheetName val="Table 2_State Distrib and Adjs"/>
      <sheetName val="Table 2A-1_EFT (Annual)"/>
      <sheetName val="Table 2A-2 EFT (Monthly)"/>
      <sheetName val="Table 3 Levels 1&amp;2"/>
      <sheetName val="Table 3A Level 3"/>
      <sheetName val="Table 4 Level 4"/>
      <sheetName val="Table 5A Labs"/>
      <sheetName val="5A1 NOCCA"/>
      <sheetName val="5A2 LSMSA"/>
      <sheetName val="5A3 SSD"/>
      <sheetName val="5A4 LSDVI"/>
      <sheetName val="Table 5B1_RSD_Orleans"/>
      <sheetName val="Table 5B2_RSD_LA"/>
      <sheetName val="Table 5C1A-Madison Prep"/>
      <sheetName val="Table 5C1B-DArbonne"/>
      <sheetName val="Table 5C1C-Intl_VIBE"/>
      <sheetName val="Table 5C1D-NOMMA"/>
      <sheetName val="Table 5C1E-LFNO"/>
      <sheetName val="Table 5C1F-Lake Charles Charter"/>
      <sheetName val="Table 5C1G-JS Clark Academy"/>
      <sheetName val="Table 5C1H-Southwest LA Charter"/>
      <sheetName val="Table 5C1I-LA Key Academy"/>
      <sheetName val="Table 5C1J-Jefferson Chamber"/>
      <sheetName val="Table 5C1K-Tallulah Charter"/>
      <sheetName val="Table 5C1L-Northshore Charter"/>
      <sheetName val="Table 5C1M-B.R. Charter"/>
      <sheetName val="Table 5C1N-Delta Charter"/>
      <sheetName val="Table 5C1O-Impact Charter"/>
      <sheetName val="Table 5C1P-Vision Academy"/>
      <sheetName val="Table 5C1Q-Advantage Academy"/>
      <sheetName val="Table 5C1R-Iberville Charter"/>
      <sheetName val="Table 5C1S-Lake Charles Prep"/>
      <sheetName val="Table 5C1T-N. Claiborne Charter"/>
      <sheetName val="Table 5C1U-Acadiana Renaissance"/>
      <sheetName val="Table 5C1V-Lafayette Renaissanc"/>
      <sheetName val="Table 5C1W-Lafayette N.Charter"/>
      <sheetName val="Table 5C2 - LA Virtual Admy"/>
      <sheetName val="Table 5C3 - LA Connections EBR"/>
      <sheetName val="Table 5D- Legacy Type 2"/>
      <sheetName val="Table 5E_OJJ"/>
      <sheetName val="Table 6 (Local Deduct Calc.)"/>
      <sheetName val="Table 7 Local Revenue"/>
      <sheetName val="2-1-13 SIS"/>
    </sheetNames>
    <sheetDataSet>
      <sheetData sheetId="0" refreshError="1"/>
      <sheetData sheetId="1" refreshError="1">
        <row r="9">
          <cell r="F9">
            <v>3961</v>
          </cell>
        </row>
        <row r="10">
          <cell r="F10">
            <v>945068.5</v>
          </cell>
        </row>
        <row r="11">
          <cell r="F11">
            <v>674822</v>
          </cell>
        </row>
        <row r="12">
          <cell r="F12">
            <v>100820</v>
          </cell>
        </row>
        <row r="13">
          <cell r="F13">
            <v>10251</v>
          </cell>
        </row>
        <row r="15">
          <cell r="F15">
            <v>122437.5</v>
          </cell>
        </row>
        <row r="16">
          <cell r="F16">
            <v>17448.000000000007</v>
          </cell>
        </row>
        <row r="17">
          <cell r="F17">
            <v>13215</v>
          </cell>
        </row>
        <row r="18">
          <cell r="F18">
            <v>3743416333</v>
          </cell>
        </row>
        <row r="19">
          <cell r="F19">
            <v>2433401062.5</v>
          </cell>
        </row>
        <row r="20">
          <cell r="F20">
            <v>1310015270.5</v>
          </cell>
        </row>
        <row r="21">
          <cell r="F21">
            <v>3227058931.5</v>
          </cell>
        </row>
        <row r="22">
          <cell r="F22">
            <v>35814070376.900002</v>
          </cell>
        </row>
        <row r="23">
          <cell r="F23">
            <v>86104463778</v>
          </cell>
        </row>
        <row r="24">
          <cell r="F24" t="str">
            <v>40.97/16.47</v>
          </cell>
        </row>
        <row r="25">
          <cell r="F25" t="str">
            <v>1.98%/.80%</v>
          </cell>
        </row>
        <row r="26">
          <cell r="F26">
            <v>1475705348</v>
          </cell>
        </row>
        <row r="27">
          <cell r="F27">
            <v>1714025872</v>
          </cell>
        </row>
        <row r="28">
          <cell r="F28">
            <v>37327711.5</v>
          </cell>
        </row>
        <row r="29">
          <cell r="F29">
            <v>1171023172.4200003</v>
          </cell>
        </row>
        <row r="30">
          <cell r="F30">
            <v>452599304.0092876</v>
          </cell>
        </row>
        <row r="31">
          <cell r="F31">
            <v>2886000366.5092878</v>
          </cell>
        </row>
        <row r="32">
          <cell r="F32">
            <v>619695064.09162688</v>
          </cell>
        </row>
        <row r="33">
          <cell r="F33">
            <v>475419931.09162682</v>
          </cell>
        </row>
        <row r="34">
          <cell r="F34">
            <v>76792933</v>
          </cell>
        </row>
        <row r="35">
          <cell r="F35">
            <v>38336714</v>
          </cell>
        </row>
        <row r="36">
          <cell r="F36">
            <v>7439394</v>
          </cell>
        </row>
        <row r="37">
          <cell r="F37">
            <v>31016825</v>
          </cell>
        </row>
        <row r="38">
          <cell r="F38">
            <v>67482200</v>
          </cell>
        </row>
        <row r="39">
          <cell r="F39">
            <v>3505695430.600915</v>
          </cell>
        </row>
        <row r="40">
          <cell r="F40">
            <v>5194.992801955058</v>
          </cell>
        </row>
        <row r="41">
          <cell r="F41">
            <v>19213920.559999999</v>
          </cell>
        </row>
        <row r="42">
          <cell r="F42">
            <v>734000</v>
          </cell>
        </row>
        <row r="43">
          <cell r="F43">
            <v>5313000</v>
          </cell>
        </row>
        <row r="44">
          <cell r="F44">
            <v>4000000</v>
          </cell>
        </row>
        <row r="45">
          <cell r="F45">
            <v>9166920.5599999987</v>
          </cell>
        </row>
        <row r="46">
          <cell r="F46">
            <v>80806164.484785199</v>
          </cell>
        </row>
        <row r="47">
          <cell r="F47">
            <v>7012057.2776208175</v>
          </cell>
        </row>
        <row r="48">
          <cell r="F48">
            <v>2029250.2464872522</v>
          </cell>
        </row>
        <row r="49">
          <cell r="F49">
            <v>2604937.8847332816</v>
          </cell>
        </row>
        <row r="50">
          <cell r="F50">
            <v>45789791</v>
          </cell>
        </row>
        <row r="52">
          <cell r="F52">
            <v>3605715515.6457</v>
          </cell>
        </row>
        <row r="53">
          <cell r="F53">
            <v>-3424283.4633850949</v>
          </cell>
        </row>
        <row r="54">
          <cell r="F54">
            <v>-2392245.0927018928</v>
          </cell>
        </row>
        <row r="55">
          <cell r="F55">
            <v>2515.1664215795245</v>
          </cell>
        </row>
        <row r="56">
          <cell r="F56">
            <v>-984537.11062668241</v>
          </cell>
        </row>
        <row r="57">
          <cell r="F57">
            <v>-45508.371878513033</v>
          </cell>
        </row>
        <row r="58">
          <cell r="F58">
            <v>-4508.0545995861094</v>
          </cell>
        </row>
        <row r="61">
          <cell r="F61">
            <v>0</v>
          </cell>
        </row>
        <row r="62">
          <cell r="F62">
            <v>3602291232.1823149</v>
          </cell>
        </row>
        <row r="63">
          <cell r="F63">
            <v>-21436434</v>
          </cell>
        </row>
        <row r="64">
          <cell r="F64">
            <v>-1196434</v>
          </cell>
        </row>
        <row r="65">
          <cell r="F65">
            <v>-20240000</v>
          </cell>
        </row>
        <row r="67">
          <cell r="F67">
            <v>3580854798.1823149</v>
          </cell>
        </row>
        <row r="68">
          <cell r="F68">
            <v>0</v>
          </cell>
        </row>
        <row r="69">
          <cell r="F69">
            <v>0</v>
          </cell>
        </row>
        <row r="70">
          <cell r="F70">
            <v>0</v>
          </cell>
        </row>
        <row r="71">
          <cell r="F71">
            <v>3602291232.1823149</v>
          </cell>
        </row>
        <row r="72">
          <cell r="F72">
            <v>3510142422</v>
          </cell>
        </row>
        <row r="73">
          <cell r="F73">
            <v>92148810.182314873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8 Membership 2.1.14"/>
    </sheetNames>
    <sheetDataSet>
      <sheetData sheetId="0">
        <row r="3">
          <cell r="W3">
            <v>7</v>
          </cell>
        </row>
        <row r="4">
          <cell r="W4">
            <v>1</v>
          </cell>
        </row>
        <row r="5">
          <cell r="W5">
            <v>14</v>
          </cell>
          <cell r="X5">
            <v>1</v>
          </cell>
        </row>
        <row r="7">
          <cell r="W7">
            <v>3</v>
          </cell>
        </row>
        <row r="8">
          <cell r="W8">
            <v>4</v>
          </cell>
        </row>
        <row r="10">
          <cell r="W10">
            <v>12</v>
          </cell>
        </row>
        <row r="11">
          <cell r="W11">
            <v>2</v>
          </cell>
        </row>
        <row r="12">
          <cell r="W12">
            <v>9</v>
          </cell>
        </row>
        <row r="13">
          <cell r="W13">
            <v>1</v>
          </cell>
        </row>
        <row r="17">
          <cell r="W17">
            <v>1</v>
          </cell>
        </row>
        <row r="18">
          <cell r="W18">
            <v>2</v>
          </cell>
        </row>
        <row r="19">
          <cell r="W19">
            <v>25</v>
          </cell>
        </row>
        <row r="22">
          <cell r="W22">
            <v>2</v>
          </cell>
        </row>
        <row r="23">
          <cell r="W23">
            <v>2</v>
          </cell>
        </row>
        <row r="25">
          <cell r="W25">
            <v>6</v>
          </cell>
        </row>
        <row r="26">
          <cell r="W26">
            <v>3</v>
          </cell>
        </row>
        <row r="28">
          <cell r="W28">
            <v>6</v>
          </cell>
          <cell r="X28">
            <v>48</v>
          </cell>
        </row>
        <row r="30">
          <cell r="W30">
            <v>12</v>
          </cell>
        </row>
        <row r="31">
          <cell r="W31">
            <v>3</v>
          </cell>
          <cell r="X31">
            <v>1</v>
          </cell>
        </row>
        <row r="33">
          <cell r="W33">
            <v>3</v>
          </cell>
        </row>
        <row r="34">
          <cell r="W34">
            <v>17</v>
          </cell>
          <cell r="X34">
            <v>1</v>
          </cell>
        </row>
        <row r="36">
          <cell r="W36">
            <v>1</v>
          </cell>
        </row>
        <row r="37">
          <cell r="W37">
            <v>17</v>
          </cell>
        </row>
        <row r="38">
          <cell r="W38">
            <v>2</v>
          </cell>
          <cell r="X38">
            <v>76</v>
          </cell>
        </row>
        <row r="39">
          <cell r="W39">
            <v>7</v>
          </cell>
        </row>
        <row r="40">
          <cell r="W40">
            <v>1</v>
          </cell>
          <cell r="X40">
            <v>2</v>
          </cell>
        </row>
        <row r="41">
          <cell r="W41">
            <v>6</v>
          </cell>
        </row>
        <row r="42">
          <cell r="W42">
            <v>16</v>
          </cell>
        </row>
        <row r="43">
          <cell r="W43">
            <v>1</v>
          </cell>
        </row>
        <row r="45">
          <cell r="W45">
            <v>3</v>
          </cell>
        </row>
        <row r="46">
          <cell r="W46">
            <v>2</v>
          </cell>
          <cell r="X46">
            <v>6</v>
          </cell>
        </row>
        <row r="47">
          <cell r="W47">
            <v>3</v>
          </cell>
          <cell r="X47">
            <v>9</v>
          </cell>
        </row>
        <row r="49">
          <cell r="W49">
            <v>5</v>
          </cell>
        </row>
        <row r="50">
          <cell r="W50">
            <v>1</v>
          </cell>
          <cell r="X50">
            <v>1</v>
          </cell>
        </row>
        <row r="51">
          <cell r="W51">
            <v>7</v>
          </cell>
        </row>
        <row r="52">
          <cell r="W52">
            <v>7</v>
          </cell>
        </row>
        <row r="53">
          <cell r="W53">
            <v>5</v>
          </cell>
        </row>
        <row r="54">
          <cell r="W54">
            <v>10</v>
          </cell>
          <cell r="X54">
            <v>26</v>
          </cell>
        </row>
        <row r="55">
          <cell r="W55">
            <v>6</v>
          </cell>
          <cell r="X55">
            <v>3</v>
          </cell>
        </row>
        <row r="57">
          <cell r="W57">
            <v>18</v>
          </cell>
          <cell r="X57">
            <v>1</v>
          </cell>
        </row>
        <row r="59">
          <cell r="W59">
            <v>1</v>
          </cell>
        </row>
        <row r="60">
          <cell r="W60">
            <v>14</v>
          </cell>
        </row>
        <row r="62">
          <cell r="W62">
            <v>4</v>
          </cell>
        </row>
        <row r="64">
          <cell r="W64">
            <v>1</v>
          </cell>
        </row>
        <row r="65">
          <cell r="W65">
            <v>4</v>
          </cell>
        </row>
        <row r="66">
          <cell r="W66">
            <v>1</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D by Site MER"/>
      <sheetName val="RSD by Site"/>
      <sheetName val="Feb 1 2013"/>
    </sheetNames>
    <sheetDataSet>
      <sheetData sheetId="0">
        <row r="11">
          <cell r="D11">
            <v>999</v>
          </cell>
        </row>
      </sheetData>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D-NO by Site"/>
      <sheetName val="Feb 1 2013"/>
    </sheetNames>
    <sheetDataSet>
      <sheetData sheetId="0">
        <row r="5">
          <cell r="B5">
            <v>300001</v>
          </cell>
          <cell r="C5" t="str">
            <v>Pierre A. Capdau Learning Academy</v>
          </cell>
          <cell r="D5">
            <v>376</v>
          </cell>
        </row>
        <row r="6">
          <cell r="B6">
            <v>300002</v>
          </cell>
          <cell r="C6" t="str">
            <v>Nelson Elementary School</v>
          </cell>
          <cell r="D6">
            <v>492</v>
          </cell>
        </row>
        <row r="7">
          <cell r="B7">
            <v>300003</v>
          </cell>
          <cell r="C7" t="str">
            <v>Lake Area New Tech Early College High School</v>
          </cell>
          <cell r="D7">
            <v>660</v>
          </cell>
        </row>
        <row r="8">
          <cell r="B8">
            <v>300004</v>
          </cell>
          <cell r="C8" t="str">
            <v>Gentilly Terrace Elementary School</v>
          </cell>
          <cell r="D8">
            <v>447</v>
          </cell>
        </row>
        <row r="9">
          <cell r="B9">
            <v>360001</v>
          </cell>
          <cell r="C9" t="str">
            <v>The NET Charter High School</v>
          </cell>
          <cell r="D9">
            <v>145</v>
          </cell>
        </row>
        <row r="10">
          <cell r="B10">
            <v>361001</v>
          </cell>
          <cell r="C10" t="str">
            <v>Crescent Leadership Academy</v>
          </cell>
          <cell r="D10">
            <v>234</v>
          </cell>
        </row>
        <row r="11">
          <cell r="B11">
            <v>362001</v>
          </cell>
          <cell r="C11" t="str">
            <v>John McDonogh High School</v>
          </cell>
          <cell r="D11">
            <v>302</v>
          </cell>
        </row>
        <row r="12">
          <cell r="B12">
            <v>363001</v>
          </cell>
          <cell r="C12" t="str">
            <v>Harriet Tubman Charter School</v>
          </cell>
          <cell r="D12">
            <v>521</v>
          </cell>
        </row>
        <row r="13">
          <cell r="B13">
            <v>363002</v>
          </cell>
          <cell r="C13" t="str">
            <v>Paul Habans Charter School</v>
          </cell>
          <cell r="D13">
            <v>369</v>
          </cell>
        </row>
        <row r="14">
          <cell r="B14">
            <v>364001</v>
          </cell>
          <cell r="C14" t="str">
            <v>Fannie C. Williams Charter School</v>
          </cell>
          <cell r="D14">
            <v>548</v>
          </cell>
        </row>
        <row r="15">
          <cell r="B15">
            <v>366001</v>
          </cell>
          <cell r="C15" t="str">
            <v>Lagniappe Academy of New Orleans</v>
          </cell>
          <cell r="D15">
            <v>164</v>
          </cell>
        </row>
        <row r="16">
          <cell r="B16">
            <v>367001</v>
          </cell>
          <cell r="C16" t="str">
            <v>Edgar P. Harney Spirit of Excellence Academy</v>
          </cell>
          <cell r="D16">
            <v>371</v>
          </cell>
        </row>
        <row r="17">
          <cell r="B17">
            <v>368001</v>
          </cell>
          <cell r="C17" t="str">
            <v>Morris Jeff Community School</v>
          </cell>
          <cell r="D17">
            <v>369</v>
          </cell>
        </row>
        <row r="18">
          <cell r="B18">
            <v>369001</v>
          </cell>
          <cell r="C18" t="str">
            <v>ReNew Cultural Arts Academy at Live Oak</v>
          </cell>
          <cell r="D18">
            <v>611</v>
          </cell>
        </row>
        <row r="19">
          <cell r="B19">
            <v>369002</v>
          </cell>
          <cell r="C19" t="str">
            <v>ReNew SciTech Academy at Laurel</v>
          </cell>
          <cell r="D19">
            <v>692</v>
          </cell>
        </row>
        <row r="20">
          <cell r="B20">
            <v>369003</v>
          </cell>
          <cell r="C20" t="str">
            <v>ReNew Dolores T. Aaron Elementary</v>
          </cell>
          <cell r="D20">
            <v>708</v>
          </cell>
        </row>
        <row r="21">
          <cell r="B21">
            <v>369004</v>
          </cell>
          <cell r="C21" t="str">
            <v>ReNEW Accelerated High School #1</v>
          </cell>
          <cell r="D21">
            <v>174</v>
          </cell>
        </row>
        <row r="22">
          <cell r="B22">
            <v>369005</v>
          </cell>
          <cell r="C22" t="str">
            <v>ReNEW Accelerated High School #2</v>
          </cell>
          <cell r="D22">
            <v>177</v>
          </cell>
        </row>
        <row r="23">
          <cell r="B23">
            <v>369006</v>
          </cell>
          <cell r="C23" t="str">
            <v>ReNew Schaumburg Elementary</v>
          </cell>
          <cell r="D23">
            <v>777</v>
          </cell>
        </row>
        <row r="24">
          <cell r="B24">
            <v>369700</v>
          </cell>
          <cell r="C24" t="str">
            <v>RSD-ReNEW-Reinventing Education, Inc. Central Ofc.</v>
          </cell>
        </row>
        <row r="25">
          <cell r="B25">
            <v>373001</v>
          </cell>
          <cell r="C25" t="str">
            <v>Arise Academy</v>
          </cell>
          <cell r="D25">
            <v>450</v>
          </cell>
        </row>
        <row r="26">
          <cell r="B26">
            <v>373002</v>
          </cell>
          <cell r="C26" t="str">
            <v>Mildred Osborne Charter School</v>
          </cell>
          <cell r="D26">
            <v>379</v>
          </cell>
        </row>
        <row r="27">
          <cell r="B27">
            <v>374001</v>
          </cell>
          <cell r="C27" t="str">
            <v>Success Preparatory Academy</v>
          </cell>
          <cell r="D27">
            <v>467</v>
          </cell>
        </row>
        <row r="28">
          <cell r="B28">
            <v>381001</v>
          </cell>
          <cell r="C28" t="str">
            <v>Akili Academy of New Orleans</v>
          </cell>
          <cell r="D28">
            <v>482</v>
          </cell>
        </row>
        <row r="29">
          <cell r="B29">
            <v>382001</v>
          </cell>
          <cell r="C29" t="str">
            <v>Sci Academy</v>
          </cell>
          <cell r="D29">
            <v>433</v>
          </cell>
        </row>
        <row r="30">
          <cell r="B30">
            <v>382002</v>
          </cell>
          <cell r="C30" t="str">
            <v>G. W. Carver Collegiate Academy</v>
          </cell>
          <cell r="D30">
            <v>202</v>
          </cell>
        </row>
        <row r="31">
          <cell r="B31">
            <v>382003</v>
          </cell>
          <cell r="C31" t="str">
            <v>G. W. Carver Preparatory Academy</v>
          </cell>
          <cell r="D31">
            <v>186</v>
          </cell>
        </row>
        <row r="32">
          <cell r="B32">
            <v>384001</v>
          </cell>
          <cell r="C32" t="str">
            <v>Miller-McCoy Academy for Mathematics and Business</v>
          </cell>
          <cell r="D32">
            <v>326</v>
          </cell>
        </row>
        <row r="33">
          <cell r="B33">
            <v>385001</v>
          </cell>
          <cell r="C33" t="str">
            <v>Sylvanie Williams College Prep</v>
          </cell>
          <cell r="D33">
            <v>322</v>
          </cell>
        </row>
        <row r="34">
          <cell r="B34">
            <v>385002</v>
          </cell>
          <cell r="C34" t="str">
            <v>Cohen College Prep</v>
          </cell>
          <cell r="D34">
            <v>493</v>
          </cell>
        </row>
        <row r="35">
          <cell r="B35">
            <v>385003</v>
          </cell>
          <cell r="C35" t="str">
            <v>Lawrence D. Crocker College Prep</v>
          </cell>
          <cell r="D35">
            <v>278</v>
          </cell>
        </row>
        <row r="36">
          <cell r="B36">
            <v>388001</v>
          </cell>
          <cell r="C36" t="str">
            <v>Andrew H. Wilson Charter School</v>
          </cell>
          <cell r="D36">
            <v>599</v>
          </cell>
        </row>
        <row r="37">
          <cell r="B37">
            <v>390001</v>
          </cell>
          <cell r="C37" t="str">
            <v>James M. Singleton Charter School</v>
          </cell>
          <cell r="D37">
            <v>511</v>
          </cell>
        </row>
        <row r="38">
          <cell r="B38">
            <v>391001</v>
          </cell>
          <cell r="C38" t="str">
            <v>Dr. Martin Luther King Charter School for Sci/Tech</v>
          </cell>
          <cell r="D38">
            <v>738</v>
          </cell>
        </row>
        <row r="39">
          <cell r="B39">
            <v>391002</v>
          </cell>
          <cell r="C39" t="str">
            <v>Joseph A. Craig Charter School</v>
          </cell>
          <cell r="D39">
            <v>377</v>
          </cell>
        </row>
        <row r="40">
          <cell r="B40">
            <v>392001</v>
          </cell>
          <cell r="C40" t="str">
            <v>McDonogh City Park Academy</v>
          </cell>
          <cell r="D40">
            <v>449</v>
          </cell>
        </row>
        <row r="41">
          <cell r="B41">
            <v>393001</v>
          </cell>
          <cell r="C41" t="str">
            <v>Lafayette Academy</v>
          </cell>
          <cell r="D41">
            <v>880</v>
          </cell>
        </row>
        <row r="42">
          <cell r="B42">
            <v>393002</v>
          </cell>
          <cell r="C42" t="str">
            <v>Esperanza Charter School</v>
          </cell>
          <cell r="D42">
            <v>484</v>
          </cell>
        </row>
        <row r="43">
          <cell r="B43">
            <v>393003</v>
          </cell>
          <cell r="C43" t="str">
            <v>McDonogh 42 Charter School</v>
          </cell>
          <cell r="D43">
            <v>439</v>
          </cell>
        </row>
        <row r="44">
          <cell r="B44">
            <v>395001</v>
          </cell>
          <cell r="C44" t="str">
            <v>Martin Behrman Elementary School</v>
          </cell>
          <cell r="D44">
            <v>686</v>
          </cell>
        </row>
        <row r="45">
          <cell r="B45">
            <v>395002</v>
          </cell>
          <cell r="C45" t="str">
            <v>Dwight D. Eisenhower Elementary School</v>
          </cell>
          <cell r="D45">
            <v>778</v>
          </cell>
        </row>
        <row r="46">
          <cell r="B46">
            <v>395003</v>
          </cell>
          <cell r="C46" t="str">
            <v>William J. Fischer Elementary School</v>
          </cell>
          <cell r="D46">
            <v>616</v>
          </cell>
        </row>
        <row r="47">
          <cell r="B47">
            <v>395004</v>
          </cell>
          <cell r="C47" t="str">
            <v>McDonogh #32 Elementary School</v>
          </cell>
          <cell r="D47">
            <v>564</v>
          </cell>
        </row>
        <row r="48">
          <cell r="B48">
            <v>395005</v>
          </cell>
          <cell r="C48" t="str">
            <v>Lord Beaconsfield Landry-Oliver Perry Walker High</v>
          </cell>
          <cell r="D48">
            <v>1170</v>
          </cell>
        </row>
        <row r="49">
          <cell r="B49">
            <v>395007</v>
          </cell>
          <cell r="C49" t="str">
            <v>Algiers Technology Academy</v>
          </cell>
          <cell r="D49">
            <v>234</v>
          </cell>
        </row>
        <row r="50">
          <cell r="B50">
            <v>397001</v>
          </cell>
          <cell r="C50" t="str">
            <v>Sophie B. Wright Learning Academy</v>
          </cell>
          <cell r="D50">
            <v>447</v>
          </cell>
        </row>
        <row r="51">
          <cell r="B51">
            <v>398001</v>
          </cell>
          <cell r="C51" t="str">
            <v>KIPP Believe College Prep (Phillips)</v>
          </cell>
          <cell r="D51">
            <v>714</v>
          </cell>
        </row>
        <row r="52">
          <cell r="B52">
            <v>398002</v>
          </cell>
          <cell r="C52" t="str">
            <v>KIPP McDonogh 15 School for the Creative Arts</v>
          </cell>
          <cell r="D52">
            <v>878</v>
          </cell>
        </row>
        <row r="53">
          <cell r="B53">
            <v>398003</v>
          </cell>
          <cell r="C53" t="str">
            <v>KIPP Central City Academy</v>
          </cell>
          <cell r="D53">
            <v>430</v>
          </cell>
        </row>
        <row r="54">
          <cell r="B54">
            <v>398004</v>
          </cell>
          <cell r="C54" t="str">
            <v>KIPP Central City Primary</v>
          </cell>
          <cell r="D54">
            <v>524</v>
          </cell>
        </row>
        <row r="55">
          <cell r="B55">
            <v>398005</v>
          </cell>
          <cell r="C55" t="str">
            <v>KIPP Renaissance High School</v>
          </cell>
          <cell r="D55">
            <v>418</v>
          </cell>
        </row>
        <row r="56">
          <cell r="B56">
            <v>398006</v>
          </cell>
          <cell r="C56" t="str">
            <v>KIPP New Orleans Leadership Academy</v>
          </cell>
          <cell r="D56">
            <v>770</v>
          </cell>
        </row>
        <row r="57">
          <cell r="B57">
            <v>399001</v>
          </cell>
          <cell r="C57" t="str">
            <v>Samuel J. Green Charter School</v>
          </cell>
          <cell r="D57">
            <v>482</v>
          </cell>
        </row>
        <row r="58">
          <cell r="B58">
            <v>399002</v>
          </cell>
          <cell r="C58" t="str">
            <v>Arthur Ashe Charter School</v>
          </cell>
          <cell r="D58">
            <v>583</v>
          </cell>
        </row>
        <row r="59">
          <cell r="B59">
            <v>399003</v>
          </cell>
          <cell r="C59" t="str">
            <v>Joseph S. Clark Preparatory High School</v>
          </cell>
          <cell r="D59">
            <v>379</v>
          </cell>
        </row>
        <row r="60">
          <cell r="B60">
            <v>399004</v>
          </cell>
          <cell r="C60" t="str">
            <v>John Dibert Community School</v>
          </cell>
          <cell r="D60">
            <v>496</v>
          </cell>
        </row>
        <row r="61">
          <cell r="B61">
            <v>399005</v>
          </cell>
          <cell r="C61" t="str">
            <v>Langston Hughes Charter Academy</v>
          </cell>
          <cell r="D61">
            <v>777</v>
          </cell>
        </row>
        <row r="62">
          <cell r="B62" t="str">
            <v>3A5001</v>
          </cell>
          <cell r="C62" t="str">
            <v>Mary D. Coghill Charter School</v>
          </cell>
          <cell r="D62">
            <v>587</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s"/>
      <sheetName val="Table 1 State Summary "/>
      <sheetName val="Table 2_State Distrib and Adjs"/>
      <sheetName val="Table 2A-1_EFT (Annual)"/>
      <sheetName val="Table 2A-2 EFT (Monthly)"/>
      <sheetName val="Table 3 Levels 1&amp;2"/>
      <sheetName val="Table 4 Level 3"/>
      <sheetName val="Table 4A Stipends"/>
      <sheetName val="Table 5A Labs, NOCCA,LSMSA"/>
      <sheetName val="Table 5B1_RSD_Orleans"/>
      <sheetName val="Table 5B2_RSD_LA"/>
      <sheetName val="Table 5C1A-Madison Prep"/>
      <sheetName val="Table 5C1B-DArbonne"/>
      <sheetName val="Table 5C1C-Intl_VIBE"/>
      <sheetName val="Table 5C1D-NOMMA"/>
      <sheetName val="Table 5C1E-LFNO"/>
      <sheetName val="Table 5C1F-Lake Charles Charter"/>
      <sheetName val="Table 5C1G-JS Clark Academy"/>
      <sheetName val="Table 5C1H-Southwest LA Charter"/>
      <sheetName val="Table 5C1I-LA Key Academy"/>
      <sheetName val="Table 5C1J-Jefferson Chamber"/>
      <sheetName val="Table 5C1K-Tallulah Charter"/>
      <sheetName val="Table 5C1L-Northshore Charter"/>
      <sheetName val="Table 5C1M-B.R. Charter"/>
      <sheetName val="Table 5C1N-Delta Charter"/>
      <sheetName val="Table 5C2 - LA Virtual Admy"/>
      <sheetName val="Table 5C3 - LA Connections EBR"/>
      <sheetName val="Table 5D- Legacy Type 2"/>
      <sheetName val="Table 5E_OJJ"/>
      <sheetName val="Table 6 (Local Deduct Calc.)"/>
      <sheetName val="Table 7 Local Revenue"/>
      <sheetName val="2-1-13 SIS"/>
    </sheetNames>
    <sheetDataSet>
      <sheetData sheetId="0"/>
      <sheetData sheetId="1">
        <row r="12">
          <cell r="E12">
            <v>673908</v>
          </cell>
        </row>
      </sheetData>
      <sheetData sheetId="2">
        <row r="7">
          <cell r="V7">
            <v>4279450</v>
          </cell>
        </row>
        <row r="76">
          <cell r="F76">
            <v>-2392245.0927018928</v>
          </cell>
        </row>
      </sheetData>
      <sheetData sheetId="3"/>
      <sheetData sheetId="4"/>
      <sheetData sheetId="5"/>
      <sheetData sheetId="6"/>
      <sheetData sheetId="7"/>
      <sheetData sheetId="8">
        <row r="8">
          <cell r="J8">
            <v>568972.77313506813</v>
          </cell>
        </row>
        <row r="10">
          <cell r="H10">
            <v>2515.1664215795245</v>
          </cell>
        </row>
        <row r="21">
          <cell r="H21">
            <v>0</v>
          </cell>
        </row>
      </sheetData>
      <sheetData sheetId="9">
        <row r="70">
          <cell r="I70">
            <v>-784998.1814409392</v>
          </cell>
        </row>
      </sheetData>
      <sheetData sheetId="10">
        <row r="10">
          <cell r="O10">
            <v>55875.450314265028</v>
          </cell>
        </row>
        <row r="38">
          <cell r="M38">
            <v>-199538.92918574315</v>
          </cell>
        </row>
      </sheetData>
      <sheetData sheetId="11">
        <row r="7">
          <cell r="M7">
            <v>0</v>
          </cell>
        </row>
        <row r="76">
          <cell r="K76">
            <v>0</v>
          </cell>
        </row>
      </sheetData>
      <sheetData sheetId="12">
        <row r="7">
          <cell r="M7">
            <v>0</v>
          </cell>
        </row>
        <row r="77">
          <cell r="K77">
            <v>0</v>
          </cell>
        </row>
      </sheetData>
      <sheetData sheetId="13">
        <row r="7">
          <cell r="M7">
            <v>0</v>
          </cell>
        </row>
      </sheetData>
      <sheetData sheetId="14">
        <row r="7">
          <cell r="M7">
            <v>0</v>
          </cell>
        </row>
        <row r="76">
          <cell r="K76">
            <v>3987.1779009796828</v>
          </cell>
        </row>
      </sheetData>
      <sheetData sheetId="15">
        <row r="7">
          <cell r="M7">
            <v>0</v>
          </cell>
        </row>
        <row r="76">
          <cell r="K76">
            <v>0</v>
          </cell>
        </row>
      </sheetData>
      <sheetData sheetId="16">
        <row r="7">
          <cell r="M7">
            <v>0</v>
          </cell>
        </row>
        <row r="76">
          <cell r="K76">
            <v>0</v>
          </cell>
        </row>
      </sheetData>
      <sheetData sheetId="17">
        <row r="7">
          <cell r="M7">
            <v>0</v>
          </cell>
        </row>
        <row r="76">
          <cell r="K76">
            <v>5393.6121863971766</v>
          </cell>
        </row>
      </sheetData>
      <sheetData sheetId="18">
        <row r="7">
          <cell r="M7">
            <v>0</v>
          </cell>
        </row>
        <row r="76">
          <cell r="K76">
            <v>0</v>
          </cell>
        </row>
      </sheetData>
      <sheetData sheetId="19">
        <row r="7">
          <cell r="M7">
            <v>0</v>
          </cell>
        </row>
        <row r="76">
          <cell r="K76">
            <v>0</v>
          </cell>
        </row>
      </sheetData>
      <sheetData sheetId="20">
        <row r="7">
          <cell r="M7">
            <v>0</v>
          </cell>
        </row>
        <row r="76">
          <cell r="K76">
            <v>0</v>
          </cell>
        </row>
      </sheetData>
      <sheetData sheetId="21">
        <row r="7">
          <cell r="M7">
            <v>0</v>
          </cell>
        </row>
        <row r="76">
          <cell r="K76">
            <v>0</v>
          </cell>
        </row>
      </sheetData>
      <sheetData sheetId="22">
        <row r="7">
          <cell r="M7">
            <v>0</v>
          </cell>
        </row>
        <row r="76">
          <cell r="K76">
            <v>0</v>
          </cell>
        </row>
      </sheetData>
      <sheetData sheetId="23">
        <row r="7">
          <cell r="P7">
            <v>0</v>
          </cell>
        </row>
        <row r="76">
          <cell r="K76">
            <v>0</v>
          </cell>
        </row>
      </sheetData>
      <sheetData sheetId="24">
        <row r="7">
          <cell r="M7">
            <v>0</v>
          </cell>
        </row>
        <row r="76">
          <cell r="K76">
            <v>0</v>
          </cell>
        </row>
      </sheetData>
      <sheetData sheetId="25">
        <row r="4">
          <cell r="N4">
            <v>5591</v>
          </cell>
        </row>
        <row r="73">
          <cell r="I73">
            <v>579925.66571777314</v>
          </cell>
          <cell r="L73">
            <v>-49420.477637276839</v>
          </cell>
        </row>
      </sheetData>
      <sheetData sheetId="26">
        <row r="4">
          <cell r="N4">
            <v>7238</v>
          </cell>
        </row>
        <row r="73">
          <cell r="I73">
            <v>616508.00394886779</v>
          </cell>
        </row>
        <row r="77">
          <cell r="L77">
            <v>-5468.6843286130497</v>
          </cell>
        </row>
      </sheetData>
      <sheetData sheetId="27">
        <row r="10">
          <cell r="M10">
            <v>273033</v>
          </cell>
        </row>
        <row r="22">
          <cell r="K22">
            <v>-4508.0545995861094</v>
          </cell>
        </row>
      </sheetData>
      <sheetData sheetId="28">
        <row r="7">
          <cell r="K7">
            <v>1581</v>
          </cell>
        </row>
      </sheetData>
      <sheetData sheetId="29">
        <row r="76">
          <cell r="I76">
            <v>45224</v>
          </cell>
        </row>
      </sheetData>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mparison City-Parish"/>
      <sheetName val="Comparison Other"/>
      <sheetName val="Comparison ALL"/>
      <sheetName val="Factors"/>
      <sheetName val="Table 1 State Summary"/>
      <sheetName val="T1 V2"/>
      <sheetName val="T1-Original"/>
      <sheetName val="Table 2_State Distrib and Adjs"/>
      <sheetName val="Table 2A-1_EFT (Annual)"/>
      <sheetName val="Table 2A-2 EFT (Monthly)"/>
      <sheetName val="Table 3 Levels 1&amp;2"/>
      <sheetName val="Table 3A Level 3"/>
      <sheetName val="Table 4 Level 4"/>
      <sheetName val="Table 5A1_Labs"/>
      <sheetName val="Table 5A2- Legacy Type 2"/>
      <sheetName val="Table 5A3_OJJ"/>
      <sheetName val="Table 5A4_NOCCA"/>
      <sheetName val="Table 5A5_LSMSA"/>
      <sheetName val="Table 5A6_SSD"/>
      <sheetName val="Table 5A7_LSDVI"/>
      <sheetName val="Table 5B1_RSD_Orleans"/>
      <sheetName val="Table 5B2_RSD_LA"/>
      <sheetName val="Table 5C1A-Madison Prep"/>
      <sheetName val="Table 5C1B-DArbonne"/>
      <sheetName val="Table 5C1C-Intl_VIBE"/>
      <sheetName val="Table 5C1D-NOMMA"/>
      <sheetName val="Table 5C1E-LFNO"/>
      <sheetName val="Table 5C1F-Lake Charles Charter"/>
      <sheetName val="Table 5C1G-JS Clark Academy"/>
      <sheetName val="Table 5C1H-Southwest LA Charter"/>
      <sheetName val="Table 5C1I-LA Key Academy"/>
      <sheetName val="Table 5C1J-Jefferson Chamber"/>
      <sheetName val="Table 5C1K-Tallulah Charter"/>
      <sheetName val="Table 5C1L-Northshore Charter"/>
      <sheetName val="Table 5C1M-B.R. Charter"/>
      <sheetName val="Table 5C1N-Delta Charter"/>
      <sheetName val="Table 5C1O-Impact"/>
      <sheetName val="Table 5C1P-Vision"/>
      <sheetName val="Table 5C1Q-Advantage"/>
      <sheetName val="Table 5C1R-Iberville"/>
      <sheetName val="Table 5C1S-L.C. Coll Prep"/>
      <sheetName val="Table 5C1T-Northeast"/>
      <sheetName val="Table 5C1U-Acadiana Ren"/>
      <sheetName val="Table 5C1V-Laf Ren"/>
      <sheetName val="Table 5C1W-Laf North"/>
      <sheetName val="Table 5C2 - LA Virtual Admy"/>
      <sheetName val="Table 5C3 - LA Connections EBR"/>
      <sheetName val="Table 6 (Local Deduct Calc.)"/>
      <sheetName val="Table 7 Local Revenue"/>
      <sheetName val="Table 8 Membership 2.1.14"/>
      <sheetName val="Comparison w $69  DONT USE"/>
      <sheetName val="Comparison Type 2"/>
      <sheetName val="2.1.14 vs 2.1.13"/>
    </sheetNames>
    <sheetDataSet>
      <sheetData sheetId="0"/>
      <sheetData sheetId="1"/>
      <sheetData sheetId="2"/>
      <sheetData sheetId="3">
        <row r="4">
          <cell r="F4">
            <v>53694543.55072204</v>
          </cell>
        </row>
      </sheetData>
      <sheetData sheetId="4"/>
      <sheetData sheetId="5">
        <row r="9">
          <cell r="F9">
            <v>949239</v>
          </cell>
        </row>
        <row r="58">
          <cell r="F58">
            <v>0</v>
          </cell>
        </row>
        <row r="59">
          <cell r="F59" t="str">
            <v>TBD</v>
          </cell>
        </row>
        <row r="60">
          <cell r="F60" t="str">
            <v>TBD</v>
          </cell>
        </row>
      </sheetData>
      <sheetData sheetId="6"/>
      <sheetData sheetId="7"/>
      <sheetData sheetId="8"/>
      <sheetData sheetId="9">
        <row r="6">
          <cell r="E6">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ABLE 3 "/>
      <sheetName val="ALL"/>
      <sheetName val="SSD"/>
      <sheetName val="LSDVI"/>
      <sheetName val="OJJ"/>
      <sheetName val="Raw Data"/>
      <sheetName val="Sheet1"/>
    </sheetNames>
    <sheetDataSet>
      <sheetData sheetId="0">
        <row r="6">
          <cell r="W6">
            <v>1</v>
          </cell>
          <cell r="Y6">
            <v>1</v>
          </cell>
          <cell r="Z6">
            <v>1</v>
          </cell>
          <cell r="AA6">
            <v>6672</v>
          </cell>
        </row>
        <row r="7">
          <cell r="Y7">
            <v>0</v>
          </cell>
          <cell r="Z7">
            <v>0</v>
          </cell>
          <cell r="AA7">
            <v>2568</v>
          </cell>
        </row>
        <row r="8">
          <cell r="W8">
            <v>3</v>
          </cell>
          <cell r="X8">
            <v>1</v>
          </cell>
          <cell r="Y8">
            <v>4</v>
          </cell>
          <cell r="Z8">
            <v>6</v>
          </cell>
          <cell r="AA8">
            <v>10017</v>
          </cell>
        </row>
        <row r="9">
          <cell r="Y9">
            <v>1</v>
          </cell>
          <cell r="Z9">
            <v>0</v>
          </cell>
          <cell r="AA9">
            <v>2348</v>
          </cell>
        </row>
        <row r="10">
          <cell r="W10">
            <v>1</v>
          </cell>
          <cell r="Y10">
            <v>4</v>
          </cell>
          <cell r="Z10">
            <v>3</v>
          </cell>
          <cell r="AA10">
            <v>4848</v>
          </cell>
        </row>
        <row r="11">
          <cell r="W11">
            <v>1</v>
          </cell>
          <cell r="Y11">
            <v>0</v>
          </cell>
          <cell r="Z11">
            <v>3</v>
          </cell>
          <cell r="AA11">
            <v>3146</v>
          </cell>
        </row>
        <row r="12">
          <cell r="Y12">
            <v>0</v>
          </cell>
          <cell r="Z12">
            <v>2</v>
          </cell>
          <cell r="AA12">
            <v>1517</v>
          </cell>
        </row>
        <row r="13">
          <cell r="W13">
            <v>3</v>
          </cell>
          <cell r="Y13">
            <v>2</v>
          </cell>
          <cell r="Z13">
            <v>8</v>
          </cell>
          <cell r="AA13">
            <v>10100</v>
          </cell>
        </row>
        <row r="14">
          <cell r="Y14">
            <v>6</v>
          </cell>
          <cell r="Z14">
            <v>28</v>
          </cell>
          <cell r="AA14">
            <v>27455</v>
          </cell>
        </row>
        <row r="15">
          <cell r="W15">
            <v>2</v>
          </cell>
          <cell r="Y15">
            <v>8</v>
          </cell>
          <cell r="Z15">
            <v>3</v>
          </cell>
          <cell r="AA15">
            <v>19495</v>
          </cell>
        </row>
        <row r="16">
          <cell r="Y16">
            <v>0</v>
          </cell>
          <cell r="Z16">
            <v>1</v>
          </cell>
          <cell r="AA16">
            <v>1069</v>
          </cell>
        </row>
        <row r="17">
          <cell r="Y17">
            <v>1</v>
          </cell>
          <cell r="Z17">
            <v>0</v>
          </cell>
          <cell r="AA17">
            <v>533</v>
          </cell>
        </row>
        <row r="18">
          <cell r="Y18">
            <v>0</v>
          </cell>
          <cell r="Z18">
            <v>0</v>
          </cell>
          <cell r="AA18">
            <v>1105</v>
          </cell>
        </row>
        <row r="19">
          <cell r="Y19">
            <v>0</v>
          </cell>
          <cell r="Z19">
            <v>0</v>
          </cell>
          <cell r="AA19">
            <v>1376</v>
          </cell>
        </row>
        <row r="20">
          <cell r="Y20">
            <v>0</v>
          </cell>
          <cell r="Z20">
            <v>0</v>
          </cell>
          <cell r="AA20">
            <v>2753</v>
          </cell>
        </row>
        <row r="21">
          <cell r="Y21">
            <v>0</v>
          </cell>
          <cell r="Z21">
            <v>0</v>
          </cell>
          <cell r="AA21">
            <v>3146</v>
          </cell>
        </row>
        <row r="22">
          <cell r="W22">
            <v>2</v>
          </cell>
          <cell r="Y22">
            <v>43</v>
          </cell>
          <cell r="Z22">
            <v>22</v>
          </cell>
          <cell r="AA22">
            <v>36686</v>
          </cell>
        </row>
        <row r="23">
          <cell r="Y23">
            <v>0</v>
          </cell>
          <cell r="Z23">
            <v>0</v>
          </cell>
          <cell r="AA23">
            <v>968</v>
          </cell>
        </row>
        <row r="24">
          <cell r="Y24">
            <v>3</v>
          </cell>
          <cell r="Z24">
            <v>0</v>
          </cell>
          <cell r="AA24">
            <v>1631</v>
          </cell>
        </row>
        <row r="25">
          <cell r="Y25">
            <v>2</v>
          </cell>
          <cell r="Z25">
            <v>1</v>
          </cell>
          <cell r="AA25">
            <v>4523</v>
          </cell>
        </row>
        <row r="26">
          <cell r="W26">
            <v>2</v>
          </cell>
          <cell r="Y26">
            <v>0</v>
          </cell>
          <cell r="Z26">
            <v>1</v>
          </cell>
          <cell r="AA26">
            <v>2424</v>
          </cell>
        </row>
        <row r="27">
          <cell r="Y27">
            <v>1</v>
          </cell>
          <cell r="Z27">
            <v>1</v>
          </cell>
          <cell r="AA27">
            <v>2162</v>
          </cell>
        </row>
        <row r="28">
          <cell r="W28">
            <v>1</v>
          </cell>
          <cell r="Y28">
            <v>1</v>
          </cell>
          <cell r="Z28">
            <v>4</v>
          </cell>
          <cell r="AA28">
            <v>9621</v>
          </cell>
        </row>
        <row r="29">
          <cell r="W29">
            <v>1</v>
          </cell>
          <cell r="Y29">
            <v>4</v>
          </cell>
          <cell r="Z29">
            <v>1</v>
          </cell>
          <cell r="AA29">
            <v>3877</v>
          </cell>
        </row>
        <row r="30">
          <cell r="Y30">
            <v>0</v>
          </cell>
          <cell r="Z30">
            <v>1</v>
          </cell>
          <cell r="AA30">
            <v>1485</v>
          </cell>
        </row>
        <row r="31">
          <cell r="W31">
            <v>1</v>
          </cell>
          <cell r="X31">
            <v>16</v>
          </cell>
          <cell r="Y31">
            <v>6</v>
          </cell>
          <cell r="Z31">
            <v>12</v>
          </cell>
          <cell r="AA31">
            <v>35631</v>
          </cell>
        </row>
        <row r="32">
          <cell r="Y32">
            <v>2</v>
          </cell>
          <cell r="Z32">
            <v>1</v>
          </cell>
          <cell r="AA32">
            <v>3337</v>
          </cell>
        </row>
        <row r="33">
          <cell r="Y33">
            <v>2</v>
          </cell>
          <cell r="Z33">
            <v>6</v>
          </cell>
          <cell r="AA33">
            <v>18532</v>
          </cell>
        </row>
        <row r="34">
          <cell r="Y34">
            <v>1</v>
          </cell>
          <cell r="Z34">
            <v>2</v>
          </cell>
          <cell r="AA34">
            <v>8409</v>
          </cell>
        </row>
        <row r="35">
          <cell r="Y35">
            <v>0</v>
          </cell>
          <cell r="Z35">
            <v>0</v>
          </cell>
          <cell r="AA35">
            <v>1405</v>
          </cell>
        </row>
        <row r="36">
          <cell r="Y36">
            <v>3</v>
          </cell>
          <cell r="Z36">
            <v>1</v>
          </cell>
          <cell r="AA36">
            <v>3958</v>
          </cell>
        </row>
        <row r="37">
          <cell r="W37">
            <v>1</v>
          </cell>
          <cell r="Y37">
            <v>10</v>
          </cell>
          <cell r="Z37">
            <v>5</v>
          </cell>
          <cell r="AA37">
            <v>12617</v>
          </cell>
        </row>
        <row r="38">
          <cell r="Y38">
            <v>2</v>
          </cell>
          <cell r="Z38">
            <v>0</v>
          </cell>
          <cell r="AA38">
            <v>1560</v>
          </cell>
        </row>
        <row r="39">
          <cell r="Y39">
            <v>0</v>
          </cell>
          <cell r="Z39">
            <v>0</v>
          </cell>
          <cell r="AA39">
            <v>3704</v>
          </cell>
        </row>
        <row r="40">
          <cell r="W40">
            <v>1</v>
          </cell>
          <cell r="Y40">
            <v>1</v>
          </cell>
          <cell r="Z40">
            <v>3</v>
          </cell>
          <cell r="AA40">
            <v>4742</v>
          </cell>
        </row>
        <row r="41">
          <cell r="W41">
            <v>1</v>
          </cell>
          <cell r="X41">
            <v>30</v>
          </cell>
          <cell r="Y41">
            <v>9</v>
          </cell>
          <cell r="Z41">
            <v>30</v>
          </cell>
          <cell r="AA41">
            <v>36375</v>
          </cell>
        </row>
        <row r="42">
          <cell r="Y42">
            <v>2</v>
          </cell>
          <cell r="Z42">
            <v>5</v>
          </cell>
          <cell r="AA42">
            <v>11653</v>
          </cell>
        </row>
        <row r="43">
          <cell r="Y43">
            <v>0</v>
          </cell>
          <cell r="Z43">
            <v>0</v>
          </cell>
          <cell r="AA43">
            <v>2431</v>
          </cell>
        </row>
        <row r="44">
          <cell r="W44">
            <v>1</v>
          </cell>
          <cell r="Y44">
            <v>8</v>
          </cell>
          <cell r="Z44">
            <v>0</v>
          </cell>
          <cell r="AA44">
            <v>2378</v>
          </cell>
        </row>
        <row r="45">
          <cell r="W45">
            <v>8</v>
          </cell>
          <cell r="Y45">
            <v>3</v>
          </cell>
          <cell r="Z45">
            <v>32</v>
          </cell>
          <cell r="AA45">
            <v>16084</v>
          </cell>
        </row>
        <row r="46">
          <cell r="Y46">
            <v>1</v>
          </cell>
          <cell r="Z46">
            <v>2</v>
          </cell>
          <cell r="AA46">
            <v>1274</v>
          </cell>
        </row>
        <row r="47">
          <cell r="Y47">
            <v>0</v>
          </cell>
          <cell r="Z47">
            <v>0</v>
          </cell>
          <cell r="AA47">
            <v>2751</v>
          </cell>
        </row>
        <row r="48">
          <cell r="Y48">
            <v>0</v>
          </cell>
          <cell r="Z48">
            <v>1</v>
          </cell>
          <cell r="AA48">
            <v>2840</v>
          </cell>
        </row>
        <row r="49">
          <cell r="X49">
            <v>2</v>
          </cell>
          <cell r="Y49">
            <v>4</v>
          </cell>
          <cell r="Z49">
            <v>1</v>
          </cell>
          <cell r="AA49">
            <v>5346</v>
          </cell>
        </row>
        <row r="50">
          <cell r="X50">
            <v>1</v>
          </cell>
          <cell r="Y50">
            <v>1</v>
          </cell>
          <cell r="Z50">
            <v>2</v>
          </cell>
          <cell r="AA50">
            <v>5005</v>
          </cell>
        </row>
        <row r="51">
          <cell r="Y51">
            <v>0</v>
          </cell>
          <cell r="Z51">
            <v>0</v>
          </cell>
          <cell r="AA51">
            <v>984</v>
          </cell>
        </row>
        <row r="52">
          <cell r="W52">
            <v>3</v>
          </cell>
          <cell r="Y52">
            <v>1</v>
          </cell>
          <cell r="Z52">
            <v>1</v>
          </cell>
          <cell r="AA52">
            <v>2618</v>
          </cell>
        </row>
        <row r="53">
          <cell r="Y53">
            <v>2</v>
          </cell>
          <cell r="Z53">
            <v>1</v>
          </cell>
          <cell r="AA53">
            <v>5114</v>
          </cell>
        </row>
        <row r="54">
          <cell r="W54">
            <v>1</v>
          </cell>
          <cell r="Y54">
            <v>5</v>
          </cell>
          <cell r="Z54">
            <v>6</v>
          </cell>
          <cell r="AA54">
            <v>11511</v>
          </cell>
        </row>
        <row r="55">
          <cell r="W55">
            <v>4</v>
          </cell>
          <cell r="Y55">
            <v>2</v>
          </cell>
          <cell r="Z55">
            <v>0</v>
          </cell>
          <cell r="AA55">
            <v>5979</v>
          </cell>
        </row>
        <row r="56">
          <cell r="Y56">
            <v>3</v>
          </cell>
          <cell r="Z56">
            <v>1</v>
          </cell>
          <cell r="AA56">
            <v>6570</v>
          </cell>
        </row>
        <row r="57">
          <cell r="X57">
            <v>3</v>
          </cell>
          <cell r="Y57">
            <v>4</v>
          </cell>
          <cell r="Z57">
            <v>10</v>
          </cell>
          <cell r="AA57">
            <v>17244</v>
          </cell>
        </row>
        <row r="58">
          <cell r="W58">
            <v>2</v>
          </cell>
          <cell r="X58">
            <v>1</v>
          </cell>
          <cell r="Y58">
            <v>9</v>
          </cell>
          <cell r="Z58">
            <v>6</v>
          </cell>
          <cell r="AA58">
            <v>15075</v>
          </cell>
        </row>
        <row r="59">
          <cell r="Y59">
            <v>0</v>
          </cell>
          <cell r="Z59">
            <v>0</v>
          </cell>
          <cell r="AA59">
            <v>617</v>
          </cell>
        </row>
        <row r="60">
          <cell r="W60">
            <v>1</v>
          </cell>
          <cell r="Y60">
            <v>6</v>
          </cell>
          <cell r="Z60">
            <v>15</v>
          </cell>
          <cell r="AA60">
            <v>12046</v>
          </cell>
        </row>
        <row r="61">
          <cell r="Y61">
            <v>0</v>
          </cell>
          <cell r="Z61">
            <v>0</v>
          </cell>
          <cell r="AA61">
            <v>2113</v>
          </cell>
        </row>
        <row r="62">
          <cell r="Y62">
            <v>0</v>
          </cell>
          <cell r="Z62">
            <v>0</v>
          </cell>
          <cell r="AA62">
            <v>5352</v>
          </cell>
        </row>
        <row r="63">
          <cell r="W63">
            <v>1</v>
          </cell>
          <cell r="Y63">
            <v>1</v>
          </cell>
          <cell r="Z63">
            <v>3</v>
          </cell>
          <cell r="AA63">
            <v>5196</v>
          </cell>
        </row>
        <row r="64">
          <cell r="Y64">
            <v>0</v>
          </cell>
          <cell r="Z64">
            <v>3</v>
          </cell>
          <cell r="AA64">
            <v>4342</v>
          </cell>
        </row>
        <row r="65">
          <cell r="Y65">
            <v>2</v>
          </cell>
          <cell r="Z65">
            <v>4</v>
          </cell>
          <cell r="AA65">
            <v>4470</v>
          </cell>
        </row>
        <row r="66">
          <cell r="Y66">
            <v>3</v>
          </cell>
          <cell r="Z66">
            <v>0</v>
          </cell>
          <cell r="AA66">
            <v>2523</v>
          </cell>
        </row>
        <row r="67">
          <cell r="Y67">
            <v>1</v>
          </cell>
          <cell r="Z67">
            <v>0</v>
          </cell>
          <cell r="AA67">
            <v>1625</v>
          </cell>
        </row>
        <row r="68">
          <cell r="Y68">
            <v>1</v>
          </cell>
          <cell r="Z68">
            <v>1</v>
          </cell>
          <cell r="AA68">
            <v>1069</v>
          </cell>
        </row>
        <row r="69">
          <cell r="Y69">
            <v>1</v>
          </cell>
          <cell r="Z69">
            <v>0</v>
          </cell>
          <cell r="AA69">
            <v>1680</v>
          </cell>
        </row>
        <row r="70">
          <cell r="Y70">
            <v>2</v>
          </cell>
          <cell r="Z70">
            <v>2</v>
          </cell>
          <cell r="AA70">
            <v>6627</v>
          </cell>
        </row>
        <row r="71">
          <cell r="Y71">
            <v>4</v>
          </cell>
          <cell r="Z71">
            <v>2</v>
          </cell>
          <cell r="AA71">
            <v>1911</v>
          </cell>
        </row>
        <row r="72">
          <cell r="Y72">
            <v>2</v>
          </cell>
          <cell r="Z72">
            <v>1</v>
          </cell>
          <cell r="AA72">
            <v>2364</v>
          </cell>
        </row>
        <row r="73">
          <cell r="Y73">
            <v>3</v>
          </cell>
          <cell r="Z73">
            <v>0</v>
          </cell>
          <cell r="AA73">
            <v>1337</v>
          </cell>
        </row>
        <row r="74">
          <cell r="Y74">
            <v>0</v>
          </cell>
          <cell r="Z74">
            <v>0</v>
          </cell>
          <cell r="AA74">
            <v>2162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6887_Total CTE T3 corrected"/>
      <sheetName val="MS6887_Total CTE Units"/>
      <sheetName val="Total CTE"/>
      <sheetName val="MS6887_Fundamental Units"/>
      <sheetName val="MS6887_Technical Units"/>
      <sheetName val="CTE student-level base table"/>
      <sheetName val="Tech for BESE"/>
      <sheetName val="Fund for BESE"/>
    </sheetNames>
    <sheetDataSet>
      <sheetData sheetId="0">
        <row r="6">
          <cell r="E6">
            <v>2975</v>
          </cell>
          <cell r="M6">
            <v>2984.5</v>
          </cell>
        </row>
        <row r="7">
          <cell r="M7">
            <v>1559</v>
          </cell>
        </row>
        <row r="8">
          <cell r="M8">
            <v>7942.5</v>
          </cell>
        </row>
        <row r="9">
          <cell r="M9">
            <v>1449.5</v>
          </cell>
        </row>
        <row r="10">
          <cell r="M10">
            <v>2518</v>
          </cell>
        </row>
        <row r="11">
          <cell r="M11">
            <v>1868.5</v>
          </cell>
        </row>
        <row r="12">
          <cell r="M12">
            <v>846</v>
          </cell>
        </row>
        <row r="13">
          <cell r="M13">
            <v>6770.5</v>
          </cell>
        </row>
        <row r="14">
          <cell r="M14">
            <v>11113.5</v>
          </cell>
        </row>
        <row r="15">
          <cell r="M15">
            <v>9134</v>
          </cell>
        </row>
        <row r="16">
          <cell r="M16">
            <v>611</v>
          </cell>
        </row>
        <row r="17">
          <cell r="M17">
            <v>445.5</v>
          </cell>
        </row>
        <row r="18">
          <cell r="M18">
            <v>626.5</v>
          </cell>
        </row>
        <row r="19">
          <cell r="M19">
            <v>477.5</v>
          </cell>
        </row>
        <row r="20">
          <cell r="M20">
            <v>1281.5</v>
          </cell>
        </row>
        <row r="21">
          <cell r="M21">
            <v>1759.5</v>
          </cell>
        </row>
        <row r="22">
          <cell r="M22">
            <v>15647</v>
          </cell>
        </row>
        <row r="23">
          <cell r="M23">
            <v>432</v>
          </cell>
        </row>
        <row r="24">
          <cell r="M24">
            <v>367.5</v>
          </cell>
        </row>
        <row r="25">
          <cell r="M25">
            <v>2045.5</v>
          </cell>
        </row>
        <row r="26">
          <cell r="M26">
            <v>967</v>
          </cell>
        </row>
        <row r="27">
          <cell r="M27">
            <v>1061</v>
          </cell>
        </row>
        <row r="28">
          <cell r="M28">
            <v>5827.5</v>
          </cell>
        </row>
        <row r="29">
          <cell r="M29">
            <v>868</v>
          </cell>
        </row>
        <row r="30">
          <cell r="M30">
            <v>967</v>
          </cell>
        </row>
        <row r="31">
          <cell r="M31">
            <v>10993.5</v>
          </cell>
        </row>
        <row r="32">
          <cell r="M32">
            <v>2366</v>
          </cell>
        </row>
        <row r="33">
          <cell r="M33">
            <v>7590</v>
          </cell>
        </row>
        <row r="34">
          <cell r="M34">
            <v>5273.5</v>
          </cell>
        </row>
        <row r="35">
          <cell r="M35">
            <v>963</v>
          </cell>
        </row>
        <row r="36">
          <cell r="M36">
            <v>2540.5</v>
          </cell>
        </row>
        <row r="37">
          <cell r="M37">
            <v>10978.5</v>
          </cell>
        </row>
        <row r="38">
          <cell r="M38">
            <v>548.5</v>
          </cell>
        </row>
        <row r="39">
          <cell r="M39">
            <v>1690.5</v>
          </cell>
        </row>
        <row r="40">
          <cell r="M40">
            <v>2199</v>
          </cell>
        </row>
        <row r="41">
          <cell r="M41">
            <v>5081</v>
          </cell>
        </row>
        <row r="42">
          <cell r="M42">
            <v>5431.5</v>
          </cell>
        </row>
        <row r="43">
          <cell r="M43">
            <v>1504.5</v>
          </cell>
        </row>
        <row r="44">
          <cell r="M44">
            <v>986</v>
          </cell>
        </row>
        <row r="45">
          <cell r="M45">
            <v>6007</v>
          </cell>
        </row>
        <row r="46">
          <cell r="M46">
            <v>554</v>
          </cell>
        </row>
        <row r="47">
          <cell r="M47">
            <v>1156</v>
          </cell>
        </row>
        <row r="48">
          <cell r="M48">
            <v>1649.5</v>
          </cell>
        </row>
        <row r="49">
          <cell r="M49">
            <v>1870</v>
          </cell>
        </row>
        <row r="50">
          <cell r="M50">
            <v>4226.5</v>
          </cell>
        </row>
        <row r="51">
          <cell r="M51">
            <v>347</v>
          </cell>
        </row>
        <row r="52">
          <cell r="M52">
            <v>1665</v>
          </cell>
        </row>
        <row r="53">
          <cell r="M53">
            <v>2280</v>
          </cell>
        </row>
        <row r="54">
          <cell r="M54">
            <v>4485</v>
          </cell>
        </row>
        <row r="55">
          <cell r="M55">
            <v>3391.5</v>
          </cell>
        </row>
        <row r="56">
          <cell r="M56">
            <v>3471</v>
          </cell>
        </row>
        <row r="57">
          <cell r="M57">
            <v>16993</v>
          </cell>
        </row>
        <row r="58">
          <cell r="M58">
            <v>6756.5</v>
          </cell>
        </row>
        <row r="59">
          <cell r="M59">
            <v>263.5</v>
          </cell>
        </row>
        <row r="60">
          <cell r="M60">
            <v>5894</v>
          </cell>
        </row>
        <row r="61">
          <cell r="M61">
            <v>823.5</v>
          </cell>
        </row>
        <row r="62">
          <cell r="M62">
            <v>3280</v>
          </cell>
        </row>
        <row r="63">
          <cell r="M63">
            <v>3124</v>
          </cell>
        </row>
        <row r="64">
          <cell r="M64">
            <v>2255.5</v>
          </cell>
        </row>
        <row r="65">
          <cell r="M65">
            <v>2642.5</v>
          </cell>
        </row>
        <row r="66">
          <cell r="M66">
            <v>1173</v>
          </cell>
        </row>
        <row r="67">
          <cell r="M67">
            <v>643</v>
          </cell>
        </row>
        <row r="68">
          <cell r="M68">
            <v>431</v>
          </cell>
        </row>
        <row r="69">
          <cell r="M69">
            <v>1210</v>
          </cell>
        </row>
        <row r="70">
          <cell r="M70">
            <v>2298</v>
          </cell>
        </row>
        <row r="71">
          <cell r="M71">
            <v>636</v>
          </cell>
        </row>
        <row r="72">
          <cell r="M72">
            <v>1513.5</v>
          </cell>
        </row>
        <row r="73">
          <cell r="M73">
            <v>578</v>
          </cell>
        </row>
        <row r="74">
          <cell r="M74">
            <v>1288.5</v>
          </cell>
        </row>
      </sheetData>
      <sheetData sheetId="1"/>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P Funded SWD -Table 3"/>
      <sheetName val="MFP Funded GT -Table 3"/>
      <sheetName val="MFP Funded SWD"/>
      <sheetName val="MFP Funded GT"/>
      <sheetName val="By Severity (L1)"/>
      <sheetName val="By Severity (L2)"/>
      <sheetName val="By Severity (L3)"/>
      <sheetName val="By Severity (Infants)"/>
      <sheetName val="RSD&amp;Type 5 by Site SWD"/>
      <sheetName val="RSD&amp;Type 5 by Site GT"/>
      <sheetName val="RSD&amp;Type 5 by Site Severity -L1"/>
      <sheetName val="RSD&amp;Type 5 by Site Severity -L2"/>
      <sheetName val="RSD&amp;Type 5 by Site Severity L3"/>
    </sheetNames>
    <sheetDataSet>
      <sheetData sheetId="0">
        <row r="5">
          <cell r="W5">
            <v>900</v>
          </cell>
        </row>
        <row r="6">
          <cell r="W6">
            <v>417</v>
          </cell>
        </row>
        <row r="7">
          <cell r="W7">
            <v>2308</v>
          </cell>
        </row>
        <row r="8">
          <cell r="W8">
            <v>483</v>
          </cell>
        </row>
        <row r="9">
          <cell r="W9">
            <v>579</v>
          </cell>
        </row>
        <row r="10">
          <cell r="W10">
            <v>873</v>
          </cell>
        </row>
        <row r="11">
          <cell r="W11">
            <v>209</v>
          </cell>
        </row>
        <row r="12">
          <cell r="W12">
            <v>2554</v>
          </cell>
        </row>
        <row r="13">
          <cell r="W13">
            <v>4071</v>
          </cell>
        </row>
        <row r="14">
          <cell r="W14">
            <v>5020</v>
          </cell>
        </row>
        <row r="15">
          <cell r="W15">
            <v>328</v>
          </cell>
        </row>
        <row r="16">
          <cell r="W16">
            <v>142</v>
          </cell>
        </row>
        <row r="17">
          <cell r="W17">
            <v>163</v>
          </cell>
        </row>
        <row r="18">
          <cell r="W18">
            <v>326</v>
          </cell>
        </row>
        <row r="19">
          <cell r="W19">
            <v>390</v>
          </cell>
        </row>
        <row r="20">
          <cell r="W20">
            <v>509</v>
          </cell>
        </row>
        <row r="21">
          <cell r="W21">
            <v>4615</v>
          </cell>
        </row>
        <row r="22">
          <cell r="W22">
            <v>109</v>
          </cell>
        </row>
        <row r="23">
          <cell r="W23">
            <v>274</v>
          </cell>
        </row>
        <row r="24">
          <cell r="W24">
            <v>761</v>
          </cell>
        </row>
        <row r="25">
          <cell r="W25">
            <v>444</v>
          </cell>
        </row>
        <row r="26">
          <cell r="W26">
            <v>498</v>
          </cell>
        </row>
        <row r="27">
          <cell r="W27">
            <v>1591</v>
          </cell>
        </row>
        <row r="28">
          <cell r="W28">
            <v>437</v>
          </cell>
        </row>
        <row r="29">
          <cell r="W29">
            <v>216</v>
          </cell>
        </row>
        <row r="30">
          <cell r="W30">
            <v>5569</v>
          </cell>
        </row>
        <row r="31">
          <cell r="W31">
            <v>787</v>
          </cell>
        </row>
        <row r="32">
          <cell r="W32">
            <v>2704</v>
          </cell>
        </row>
        <row r="33">
          <cell r="W33">
            <v>1092</v>
          </cell>
        </row>
        <row r="34">
          <cell r="W34">
            <v>228</v>
          </cell>
        </row>
        <row r="35">
          <cell r="W35">
            <v>772</v>
          </cell>
        </row>
        <row r="36">
          <cell r="W36">
            <v>3189</v>
          </cell>
        </row>
        <row r="37">
          <cell r="W37">
            <v>172</v>
          </cell>
        </row>
        <row r="38">
          <cell r="W38">
            <v>688</v>
          </cell>
        </row>
        <row r="39">
          <cell r="W39">
            <v>759</v>
          </cell>
        </row>
        <row r="40">
          <cell r="W40">
            <v>5256</v>
          </cell>
        </row>
        <row r="41">
          <cell r="W41">
            <v>2486</v>
          </cell>
        </row>
        <row r="42">
          <cell r="W42">
            <v>454</v>
          </cell>
        </row>
        <row r="43">
          <cell r="W43">
            <v>468</v>
          </cell>
        </row>
        <row r="44">
          <cell r="W44">
            <v>2587</v>
          </cell>
        </row>
        <row r="45">
          <cell r="W45">
            <v>130</v>
          </cell>
        </row>
        <row r="46">
          <cell r="W46">
            <v>361</v>
          </cell>
        </row>
        <row r="47">
          <cell r="W47">
            <v>525</v>
          </cell>
        </row>
        <row r="48">
          <cell r="W48">
            <v>750</v>
          </cell>
        </row>
        <row r="49">
          <cell r="W49">
            <v>923</v>
          </cell>
        </row>
        <row r="50">
          <cell r="W50">
            <v>163</v>
          </cell>
        </row>
        <row r="51">
          <cell r="W51">
            <v>522</v>
          </cell>
        </row>
        <row r="52">
          <cell r="W52">
            <v>842</v>
          </cell>
        </row>
        <row r="53">
          <cell r="W53">
            <v>1823</v>
          </cell>
        </row>
        <row r="54">
          <cell r="W54">
            <v>895</v>
          </cell>
        </row>
        <row r="55">
          <cell r="W55">
            <v>1309</v>
          </cell>
        </row>
        <row r="56">
          <cell r="W56">
            <v>6138</v>
          </cell>
        </row>
        <row r="57">
          <cell r="W57">
            <v>2235</v>
          </cell>
        </row>
        <row r="58">
          <cell r="W58">
            <v>112</v>
          </cell>
        </row>
        <row r="59">
          <cell r="W59">
            <v>2130</v>
          </cell>
        </row>
        <row r="60">
          <cell r="W60">
            <v>347</v>
          </cell>
        </row>
        <row r="61">
          <cell r="W61">
            <v>1070</v>
          </cell>
        </row>
        <row r="62">
          <cell r="W62">
            <v>1052</v>
          </cell>
        </row>
        <row r="63">
          <cell r="W63">
            <v>830</v>
          </cell>
        </row>
        <row r="64">
          <cell r="W64">
            <v>738</v>
          </cell>
        </row>
        <row r="65">
          <cell r="W65">
            <v>367</v>
          </cell>
        </row>
        <row r="66">
          <cell r="W66">
            <v>235</v>
          </cell>
        </row>
        <row r="67">
          <cell r="W67">
            <v>264</v>
          </cell>
        </row>
        <row r="68">
          <cell r="W68">
            <v>338</v>
          </cell>
        </row>
        <row r="69">
          <cell r="W69">
            <v>1303</v>
          </cell>
        </row>
        <row r="70">
          <cell r="W70">
            <v>481</v>
          </cell>
        </row>
        <row r="71">
          <cell r="W71">
            <v>439</v>
          </cell>
        </row>
        <row r="72">
          <cell r="W72">
            <v>230</v>
          </cell>
        </row>
        <row r="73">
          <cell r="W73">
            <v>299</v>
          </cell>
        </row>
      </sheetData>
      <sheetData sheetId="1">
        <row r="5">
          <cell r="S5">
            <v>111</v>
          </cell>
        </row>
        <row r="6">
          <cell r="S6">
            <v>54</v>
          </cell>
        </row>
        <row r="7">
          <cell r="S7">
            <v>560</v>
          </cell>
        </row>
        <row r="8">
          <cell r="S8">
            <v>76</v>
          </cell>
        </row>
        <row r="9">
          <cell r="S9">
            <v>12</v>
          </cell>
        </row>
        <row r="10">
          <cell r="S10">
            <v>70</v>
          </cell>
        </row>
        <row r="11">
          <cell r="S11">
            <v>53</v>
          </cell>
        </row>
        <row r="12">
          <cell r="S12">
            <v>1095</v>
          </cell>
        </row>
        <row r="13">
          <cell r="S13">
            <v>1695</v>
          </cell>
        </row>
        <row r="14">
          <cell r="S14">
            <v>1298</v>
          </cell>
        </row>
        <row r="15">
          <cell r="S15">
            <v>35</v>
          </cell>
        </row>
        <row r="16">
          <cell r="S16">
            <v>93</v>
          </cell>
        </row>
        <row r="17">
          <cell r="S17">
            <v>25</v>
          </cell>
        </row>
        <row r="18">
          <cell r="S18">
            <v>95</v>
          </cell>
        </row>
        <row r="19">
          <cell r="S19">
            <v>113</v>
          </cell>
        </row>
        <row r="20">
          <cell r="S20">
            <v>237</v>
          </cell>
        </row>
        <row r="21">
          <cell r="S21">
            <v>1939</v>
          </cell>
        </row>
        <row r="22">
          <cell r="S22">
            <v>1</v>
          </cell>
        </row>
        <row r="23">
          <cell r="S23">
            <v>21</v>
          </cell>
        </row>
        <row r="24">
          <cell r="S24">
            <v>75</v>
          </cell>
        </row>
        <row r="25">
          <cell r="S25">
            <v>28</v>
          </cell>
        </row>
        <row r="26">
          <cell r="S26">
            <v>31</v>
          </cell>
        </row>
        <row r="27">
          <cell r="S27">
            <v>402</v>
          </cell>
        </row>
        <row r="28">
          <cell r="S28">
            <v>116</v>
          </cell>
        </row>
        <row r="29">
          <cell r="S29">
            <v>83</v>
          </cell>
        </row>
        <row r="30">
          <cell r="S30">
            <v>3484</v>
          </cell>
        </row>
        <row r="31">
          <cell r="S31">
            <v>146</v>
          </cell>
        </row>
        <row r="32">
          <cell r="S32">
            <v>1371</v>
          </cell>
        </row>
        <row r="33">
          <cell r="S33">
            <v>215</v>
          </cell>
        </row>
        <row r="34">
          <cell r="S34">
            <v>37</v>
          </cell>
        </row>
        <row r="35">
          <cell r="S35">
            <v>342</v>
          </cell>
        </row>
        <row r="36">
          <cell r="S36">
            <v>1177</v>
          </cell>
        </row>
        <row r="37">
          <cell r="S37">
            <v>10</v>
          </cell>
        </row>
        <row r="38">
          <cell r="S38">
            <v>39</v>
          </cell>
        </row>
        <row r="39">
          <cell r="S39">
            <v>224</v>
          </cell>
        </row>
        <row r="40">
          <cell r="S40">
            <v>2974</v>
          </cell>
        </row>
        <row r="41">
          <cell r="S41">
            <v>983</v>
          </cell>
        </row>
        <row r="42">
          <cell r="S42">
            <v>202</v>
          </cell>
        </row>
        <row r="43">
          <cell r="S43">
            <v>34</v>
          </cell>
        </row>
        <row r="44">
          <cell r="S44">
            <v>595</v>
          </cell>
        </row>
        <row r="45">
          <cell r="S45">
            <v>2</v>
          </cell>
        </row>
        <row r="46">
          <cell r="S46">
            <v>50</v>
          </cell>
        </row>
        <row r="47">
          <cell r="S47">
            <v>102</v>
          </cell>
        </row>
        <row r="48">
          <cell r="S48">
            <v>145</v>
          </cell>
        </row>
        <row r="49">
          <cell r="S49">
            <v>488</v>
          </cell>
        </row>
        <row r="50">
          <cell r="S50">
            <v>18</v>
          </cell>
        </row>
        <row r="51">
          <cell r="S51">
            <v>82</v>
          </cell>
        </row>
        <row r="52">
          <cell r="S52">
            <v>118</v>
          </cell>
        </row>
        <row r="53">
          <cell r="S53">
            <v>332</v>
          </cell>
        </row>
        <row r="54">
          <cell r="S54">
            <v>159</v>
          </cell>
        </row>
        <row r="55">
          <cell r="S55">
            <v>557</v>
          </cell>
        </row>
        <row r="56">
          <cell r="S56">
            <v>3248</v>
          </cell>
        </row>
        <row r="57">
          <cell r="S57">
            <v>439</v>
          </cell>
        </row>
        <row r="58">
          <cell r="S58">
            <v>30</v>
          </cell>
        </row>
        <row r="59">
          <cell r="S59">
            <v>653</v>
          </cell>
        </row>
        <row r="60">
          <cell r="S60">
            <v>14</v>
          </cell>
        </row>
        <row r="61">
          <cell r="S61">
            <v>180</v>
          </cell>
        </row>
        <row r="62">
          <cell r="S62">
            <v>242</v>
          </cell>
        </row>
        <row r="63">
          <cell r="S63">
            <v>341</v>
          </cell>
        </row>
        <row r="64">
          <cell r="S64">
            <v>305</v>
          </cell>
        </row>
        <row r="65">
          <cell r="S65">
            <v>153</v>
          </cell>
        </row>
        <row r="66">
          <cell r="S66">
            <v>16</v>
          </cell>
        </row>
        <row r="67">
          <cell r="S67">
            <v>143</v>
          </cell>
        </row>
        <row r="68">
          <cell r="S68">
            <v>65</v>
          </cell>
        </row>
        <row r="69">
          <cell r="S69">
            <v>579</v>
          </cell>
        </row>
        <row r="70">
          <cell r="S70">
            <v>123</v>
          </cell>
        </row>
        <row r="71">
          <cell r="S71">
            <v>467</v>
          </cell>
        </row>
        <row r="72">
          <cell r="S72">
            <v>11</v>
          </cell>
        </row>
        <row r="73">
          <cell r="S73">
            <v>308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s"/>
      <sheetName val="Table 1 State Summary "/>
      <sheetName val="Table 2_State Distrib and Adjs"/>
      <sheetName val="Table 2A-1_EFT (Annual)"/>
      <sheetName val="Table 2A-2 EFT (Monthly)"/>
      <sheetName val="Table 3 Levels 1&amp;2"/>
      <sheetName val="Table 4 Level 3"/>
      <sheetName val="Table 4A Stipends"/>
      <sheetName val="Table 5A Labs, NOCCA,LSMSA"/>
      <sheetName val="Table 5B1_RSD_Orleans"/>
      <sheetName val="Table 5B2_RSD_LA"/>
      <sheetName val="Table 5C1A-Madison Prep"/>
      <sheetName val="Table 5C1B-DArbonne"/>
      <sheetName val="Table 5C1C-Intl_VIBE"/>
      <sheetName val="Table 5C1D-NOMMA"/>
      <sheetName val="Table 5C1E-LFNO"/>
      <sheetName val="Table 5C1F-Lake Charles Charter"/>
      <sheetName val="Table 5C1G-JS Clark Academy"/>
      <sheetName val="Table 5C1H-Southwest LA Charter"/>
      <sheetName val="Table 5C1I-LA Key Academy"/>
      <sheetName val="Table 5C1J-Jefferson Chamber"/>
      <sheetName val="Table 5C1K-Tallulah Charter"/>
      <sheetName val="Table 5C1L-Northshore Charter"/>
      <sheetName val="Table 5C1M-B.R. Charter"/>
      <sheetName val="Table 5C1N-Delta Charter"/>
      <sheetName val="Table 5C2 - LA Virtual Admy"/>
      <sheetName val="Table 5C3 - LA Connections EBR"/>
      <sheetName val="Table 5D- Legacy Type 2"/>
      <sheetName val="Table 5E_OJJ"/>
      <sheetName val="Table 6 (Local Deduct Calc.)"/>
      <sheetName val="Table 7 Local Revenue"/>
      <sheetName val="2-1-13 SIS"/>
    </sheetNames>
    <sheetDataSet>
      <sheetData sheetId="0" refreshError="1"/>
      <sheetData sheetId="1" refreshError="1"/>
      <sheetData sheetId="2" refreshError="1"/>
      <sheetData sheetId="3" refreshError="1"/>
      <sheetData sheetId="4" refreshError="1"/>
      <sheetData sheetId="5" refreshError="1"/>
      <sheetData sheetId="6">
        <row r="6">
          <cell r="F6">
            <v>0</v>
          </cell>
          <cell r="H6">
            <v>0</v>
          </cell>
        </row>
        <row r="7">
          <cell r="F7">
            <v>0</v>
          </cell>
          <cell r="H7">
            <v>0</v>
          </cell>
        </row>
        <row r="8">
          <cell r="F8">
            <v>0</v>
          </cell>
          <cell r="H8">
            <v>0</v>
          </cell>
        </row>
        <row r="9">
          <cell r="F9">
            <v>0</v>
          </cell>
          <cell r="H9">
            <v>0</v>
          </cell>
        </row>
        <row r="10">
          <cell r="F10">
            <v>0</v>
          </cell>
          <cell r="H10">
            <v>0</v>
          </cell>
        </row>
        <row r="11">
          <cell r="F11">
            <v>0</v>
          </cell>
          <cell r="H11">
            <v>0</v>
          </cell>
        </row>
        <row r="12">
          <cell r="F12">
            <v>0</v>
          </cell>
          <cell r="H12">
            <v>0</v>
          </cell>
        </row>
        <row r="13">
          <cell r="F13">
            <v>0</v>
          </cell>
          <cell r="H13">
            <v>0</v>
          </cell>
        </row>
        <row r="14">
          <cell r="F14">
            <v>0</v>
          </cell>
          <cell r="H14">
            <v>0</v>
          </cell>
        </row>
        <row r="15">
          <cell r="F15">
            <v>0</v>
          </cell>
          <cell r="H15">
            <v>0</v>
          </cell>
        </row>
        <row r="16">
          <cell r="F16">
            <v>0</v>
          </cell>
          <cell r="H16">
            <v>0</v>
          </cell>
        </row>
        <row r="17">
          <cell r="F17">
            <v>0</v>
          </cell>
          <cell r="H17">
            <v>0</v>
          </cell>
        </row>
        <row r="18">
          <cell r="F18">
            <v>0</v>
          </cell>
          <cell r="H18">
            <v>0</v>
          </cell>
        </row>
        <row r="19">
          <cell r="F19">
            <v>0</v>
          </cell>
          <cell r="H19">
            <v>0</v>
          </cell>
        </row>
        <row r="20">
          <cell r="F20">
            <v>-134652</v>
          </cell>
          <cell r="H20">
            <v>-22442</v>
          </cell>
        </row>
        <row r="21">
          <cell r="F21">
            <v>0</v>
          </cell>
          <cell r="H21">
            <v>0</v>
          </cell>
        </row>
        <row r="22">
          <cell r="F22">
            <v>-7208892</v>
          </cell>
          <cell r="H22">
            <v>-1201483</v>
          </cell>
        </row>
        <row r="23">
          <cell r="F23">
            <v>0</v>
          </cell>
          <cell r="H23">
            <v>0</v>
          </cell>
        </row>
        <row r="24">
          <cell r="F24">
            <v>0</v>
          </cell>
          <cell r="H24">
            <v>0</v>
          </cell>
        </row>
        <row r="25">
          <cell r="F25">
            <v>-105372</v>
          </cell>
          <cell r="H25">
            <v>-17562</v>
          </cell>
        </row>
        <row r="26">
          <cell r="F26">
            <v>0</v>
          </cell>
          <cell r="H26">
            <v>0</v>
          </cell>
        </row>
        <row r="27">
          <cell r="F27">
            <v>0</v>
          </cell>
          <cell r="H27">
            <v>0</v>
          </cell>
        </row>
        <row r="28">
          <cell r="F28">
            <v>0</v>
          </cell>
          <cell r="H28">
            <v>0</v>
          </cell>
        </row>
        <row r="29">
          <cell r="F29">
            <v>-460322</v>
          </cell>
          <cell r="H29">
            <v>-76721</v>
          </cell>
        </row>
        <row r="30">
          <cell r="F30">
            <v>0</v>
          </cell>
          <cell r="H30">
            <v>0</v>
          </cell>
        </row>
        <row r="31">
          <cell r="F31">
            <v>-5093546</v>
          </cell>
          <cell r="H31">
            <v>-848925</v>
          </cell>
        </row>
        <row r="32">
          <cell r="F32">
            <v>0</v>
          </cell>
          <cell r="H32">
            <v>0</v>
          </cell>
        </row>
        <row r="33">
          <cell r="F33">
            <v>0</v>
          </cell>
          <cell r="H33">
            <v>0</v>
          </cell>
        </row>
        <row r="34">
          <cell r="F34">
            <v>0</v>
          </cell>
          <cell r="H34">
            <v>0</v>
          </cell>
        </row>
        <row r="35">
          <cell r="F35">
            <v>0</v>
          </cell>
          <cell r="H35">
            <v>0</v>
          </cell>
        </row>
        <row r="36">
          <cell r="F36">
            <v>0</v>
          </cell>
          <cell r="H36">
            <v>0</v>
          </cell>
        </row>
        <row r="37">
          <cell r="F37">
            <v>0</v>
          </cell>
          <cell r="H37">
            <v>0</v>
          </cell>
        </row>
        <row r="38">
          <cell r="F38">
            <v>0</v>
          </cell>
          <cell r="H38">
            <v>0</v>
          </cell>
        </row>
        <row r="39">
          <cell r="F39">
            <v>0</v>
          </cell>
          <cell r="H39">
            <v>0</v>
          </cell>
        </row>
        <row r="40">
          <cell r="F40">
            <v>0</v>
          </cell>
          <cell r="H40">
            <v>0</v>
          </cell>
        </row>
        <row r="41">
          <cell r="F41">
            <v>0</v>
          </cell>
          <cell r="H41">
            <v>0</v>
          </cell>
        </row>
        <row r="42">
          <cell r="F42">
            <v>0</v>
          </cell>
          <cell r="H42">
            <v>0</v>
          </cell>
        </row>
        <row r="43">
          <cell r="F43">
            <v>-2477808</v>
          </cell>
          <cell r="H43">
            <v>-412968</v>
          </cell>
        </row>
        <row r="44">
          <cell r="F44">
            <v>0</v>
          </cell>
          <cell r="H44">
            <v>0</v>
          </cell>
        </row>
        <row r="45">
          <cell r="F45">
            <v>0</v>
          </cell>
          <cell r="H45">
            <v>0</v>
          </cell>
        </row>
        <row r="46">
          <cell r="F46">
            <v>0</v>
          </cell>
          <cell r="H46">
            <v>0</v>
          </cell>
        </row>
        <row r="47">
          <cell r="F47">
            <v>0</v>
          </cell>
          <cell r="H47">
            <v>0</v>
          </cell>
        </row>
        <row r="48">
          <cell r="F48">
            <v>0</v>
          </cell>
          <cell r="H48">
            <v>0</v>
          </cell>
        </row>
        <row r="49">
          <cell r="F49">
            <v>0</v>
          </cell>
          <cell r="H49">
            <v>0</v>
          </cell>
        </row>
        <row r="50">
          <cell r="F50">
            <v>-4485644</v>
          </cell>
          <cell r="H50">
            <v>-537734</v>
          </cell>
        </row>
        <row r="51">
          <cell r="F51">
            <v>0</v>
          </cell>
          <cell r="H51">
            <v>0</v>
          </cell>
        </row>
        <row r="52">
          <cell r="F52">
            <v>-474270</v>
          </cell>
          <cell r="H52">
            <v>-79046</v>
          </cell>
        </row>
        <row r="53">
          <cell r="F53">
            <v>0</v>
          </cell>
          <cell r="H53">
            <v>0</v>
          </cell>
        </row>
        <row r="54">
          <cell r="F54">
            <v>0</v>
          </cell>
          <cell r="H54">
            <v>0</v>
          </cell>
        </row>
        <row r="55">
          <cell r="F55">
            <v>0</v>
          </cell>
          <cell r="H55">
            <v>0</v>
          </cell>
        </row>
        <row r="56">
          <cell r="F56">
            <v>0</v>
          </cell>
          <cell r="H56">
            <v>0</v>
          </cell>
        </row>
        <row r="57">
          <cell r="F57">
            <v>0</v>
          </cell>
          <cell r="H57">
            <v>0</v>
          </cell>
        </row>
        <row r="58">
          <cell r="F58">
            <v>0</v>
          </cell>
          <cell r="H58">
            <v>0</v>
          </cell>
        </row>
        <row r="59">
          <cell r="F59">
            <v>0</v>
          </cell>
          <cell r="H59">
            <v>0</v>
          </cell>
        </row>
        <row r="60">
          <cell r="F60">
            <v>0</v>
          </cell>
          <cell r="H60">
            <v>0</v>
          </cell>
        </row>
        <row r="61">
          <cell r="F61">
            <v>0</v>
          </cell>
          <cell r="H61">
            <v>0</v>
          </cell>
        </row>
        <row r="62">
          <cell r="F62">
            <v>0</v>
          </cell>
          <cell r="H62">
            <v>0</v>
          </cell>
        </row>
        <row r="63">
          <cell r="F63">
            <v>0</v>
          </cell>
          <cell r="H63">
            <v>0</v>
          </cell>
        </row>
        <row r="64">
          <cell r="F64">
            <v>0</v>
          </cell>
          <cell r="H64">
            <v>0</v>
          </cell>
        </row>
        <row r="65">
          <cell r="F65">
            <v>0</v>
          </cell>
          <cell r="H65">
            <v>0</v>
          </cell>
        </row>
        <row r="66">
          <cell r="F66">
            <v>0</v>
          </cell>
          <cell r="H66">
            <v>0</v>
          </cell>
        </row>
        <row r="67">
          <cell r="F67">
            <v>0</v>
          </cell>
          <cell r="H67">
            <v>0</v>
          </cell>
        </row>
        <row r="68">
          <cell r="F68">
            <v>-3136920</v>
          </cell>
          <cell r="H68">
            <v>-522820</v>
          </cell>
        </row>
        <row r="69">
          <cell r="F69">
            <v>0</v>
          </cell>
          <cell r="H69">
            <v>0</v>
          </cell>
        </row>
        <row r="70">
          <cell r="F70">
            <v>0</v>
          </cell>
          <cell r="H70">
            <v>0</v>
          </cell>
        </row>
        <row r="71">
          <cell r="F71">
            <v>0</v>
          </cell>
          <cell r="H71">
            <v>0</v>
          </cell>
        </row>
        <row r="72">
          <cell r="F72">
            <v>0</v>
          </cell>
          <cell r="H72">
            <v>0</v>
          </cell>
        </row>
        <row r="73">
          <cell r="F73">
            <v>0</v>
          </cell>
          <cell r="H73">
            <v>0</v>
          </cell>
        </row>
        <row r="74">
          <cell r="F74">
            <v>0</v>
          </cell>
          <cell r="H74">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 1 MFP by LEA"/>
      <sheetName val="Feb 1 MFP by Site"/>
      <sheetName val="7-12 by LEA"/>
      <sheetName val="7-12 by Site"/>
      <sheetName val="9-12 by LEA"/>
      <sheetName val="9-12 by Site"/>
    </sheetNames>
    <sheetDataSet>
      <sheetData sheetId="0" refreshError="1"/>
      <sheetData sheetId="1" refreshError="1"/>
      <sheetData sheetId="2">
        <row r="7">
          <cell r="K7">
            <v>3940</v>
          </cell>
        </row>
        <row r="8">
          <cell r="K8">
            <v>1706</v>
          </cell>
        </row>
        <row r="9">
          <cell r="K9">
            <v>9290</v>
          </cell>
        </row>
        <row r="10">
          <cell r="K10">
            <v>1614</v>
          </cell>
        </row>
        <row r="11">
          <cell r="K11">
            <v>2452</v>
          </cell>
        </row>
        <row r="12">
          <cell r="K12">
            <v>2712</v>
          </cell>
        </row>
        <row r="13">
          <cell r="K13">
            <v>921</v>
          </cell>
        </row>
        <row r="14">
          <cell r="K14">
            <v>8993</v>
          </cell>
        </row>
        <row r="15">
          <cell r="K15">
            <v>16655</v>
          </cell>
        </row>
        <row r="16">
          <cell r="K16">
            <v>13418</v>
          </cell>
        </row>
        <row r="17">
          <cell r="K17">
            <v>653</v>
          </cell>
        </row>
        <row r="18">
          <cell r="K18">
            <v>564</v>
          </cell>
        </row>
        <row r="19">
          <cell r="K19">
            <v>576</v>
          </cell>
        </row>
        <row r="20">
          <cell r="K20">
            <v>732</v>
          </cell>
        </row>
        <row r="21">
          <cell r="K21">
            <v>1422</v>
          </cell>
        </row>
        <row r="22">
          <cell r="K22">
            <v>2120</v>
          </cell>
        </row>
        <row r="23">
          <cell r="K23">
            <v>16633</v>
          </cell>
        </row>
        <row r="24">
          <cell r="K24">
            <v>429</v>
          </cell>
        </row>
        <row r="25">
          <cell r="K25">
            <v>765</v>
          </cell>
        </row>
        <row r="26">
          <cell r="K26">
            <v>2418</v>
          </cell>
        </row>
        <row r="27">
          <cell r="K27">
            <v>1165</v>
          </cell>
        </row>
        <row r="28">
          <cell r="K28">
            <v>1380</v>
          </cell>
        </row>
        <row r="29">
          <cell r="K29">
            <v>5797</v>
          </cell>
        </row>
        <row r="30">
          <cell r="K30">
            <v>1876</v>
          </cell>
        </row>
        <row r="31">
          <cell r="K31">
            <v>909</v>
          </cell>
        </row>
        <row r="32">
          <cell r="K32">
            <v>17824</v>
          </cell>
        </row>
        <row r="33">
          <cell r="K33">
            <v>2507</v>
          </cell>
        </row>
        <row r="34">
          <cell r="K34">
            <v>12906</v>
          </cell>
        </row>
        <row r="35">
          <cell r="K35">
            <v>5859</v>
          </cell>
        </row>
        <row r="36">
          <cell r="K36">
            <v>1074</v>
          </cell>
        </row>
        <row r="37">
          <cell r="K37">
            <v>2805</v>
          </cell>
        </row>
        <row r="38">
          <cell r="K38">
            <v>10744</v>
          </cell>
        </row>
        <row r="39">
          <cell r="K39">
            <v>743</v>
          </cell>
        </row>
        <row r="40">
          <cell r="K40">
            <v>1767</v>
          </cell>
        </row>
        <row r="41">
          <cell r="K41">
            <v>2677</v>
          </cell>
        </row>
        <row r="42">
          <cell r="K42">
            <v>6556</v>
          </cell>
        </row>
        <row r="43">
          <cell r="K43">
            <v>8497</v>
          </cell>
        </row>
        <row r="44">
          <cell r="K44">
            <v>1704</v>
          </cell>
        </row>
        <row r="45">
          <cell r="K45">
            <v>1008</v>
          </cell>
        </row>
        <row r="46">
          <cell r="K46">
            <v>10039</v>
          </cell>
        </row>
        <row r="47">
          <cell r="K47">
            <v>622</v>
          </cell>
        </row>
        <row r="48">
          <cell r="K48">
            <v>1428</v>
          </cell>
        </row>
        <row r="49">
          <cell r="K49">
            <v>1715</v>
          </cell>
        </row>
        <row r="50">
          <cell r="K50">
            <v>2620</v>
          </cell>
        </row>
        <row r="51">
          <cell r="K51">
            <v>4366</v>
          </cell>
        </row>
        <row r="52">
          <cell r="K52">
            <v>282</v>
          </cell>
        </row>
        <row r="53">
          <cell r="K53">
            <v>1624</v>
          </cell>
        </row>
        <row r="54">
          <cell r="K54">
            <v>2365</v>
          </cell>
        </row>
        <row r="55">
          <cell r="K55">
            <v>5684</v>
          </cell>
        </row>
        <row r="56">
          <cell r="K56">
            <v>3425</v>
          </cell>
        </row>
        <row r="57">
          <cell r="K57">
            <v>3918</v>
          </cell>
        </row>
        <row r="58">
          <cell r="K58">
            <v>16357</v>
          </cell>
        </row>
        <row r="59">
          <cell r="K59">
            <v>8376</v>
          </cell>
        </row>
        <row r="60">
          <cell r="K60">
            <v>277</v>
          </cell>
        </row>
        <row r="61">
          <cell r="K61">
            <v>7380</v>
          </cell>
        </row>
        <row r="62">
          <cell r="K62">
            <v>1021</v>
          </cell>
        </row>
        <row r="63">
          <cell r="K63">
            <v>3750</v>
          </cell>
        </row>
        <row r="64">
          <cell r="K64">
            <v>3622</v>
          </cell>
        </row>
        <row r="65">
          <cell r="K65">
            <v>2309</v>
          </cell>
        </row>
        <row r="66">
          <cell r="K66">
            <v>2805</v>
          </cell>
        </row>
        <row r="67">
          <cell r="K67">
            <v>1545</v>
          </cell>
        </row>
        <row r="68">
          <cell r="K68">
            <v>879</v>
          </cell>
        </row>
        <row r="69">
          <cell r="K69">
            <v>946</v>
          </cell>
        </row>
        <row r="70">
          <cell r="K70">
            <v>1034</v>
          </cell>
        </row>
        <row r="71">
          <cell r="K71">
            <v>3263</v>
          </cell>
        </row>
        <row r="72">
          <cell r="K72">
            <v>770</v>
          </cell>
        </row>
        <row r="73">
          <cell r="K73">
            <v>2397</v>
          </cell>
        </row>
        <row r="74">
          <cell r="K74">
            <v>710</v>
          </cell>
        </row>
        <row r="75">
          <cell r="K75">
            <v>1869</v>
          </cell>
        </row>
      </sheetData>
      <sheetData sheetId="3">
        <row r="6">
          <cell r="A6">
            <v>101</v>
          </cell>
          <cell r="B6" t="str">
            <v>SSD (Does not include: 4_101018, 4_101021, 4_101022</v>
          </cell>
          <cell r="C6">
            <v>20</v>
          </cell>
          <cell r="D6">
            <v>36</v>
          </cell>
          <cell r="E6">
            <v>51</v>
          </cell>
          <cell r="F6">
            <v>29</v>
          </cell>
          <cell r="G6">
            <v>16</v>
          </cell>
          <cell r="H6">
            <v>71</v>
          </cell>
          <cell r="I6">
            <v>223</v>
          </cell>
        </row>
        <row r="7">
          <cell r="A7">
            <v>300001</v>
          </cell>
          <cell r="B7" t="str">
            <v>Pierre A. Capdau Learning Academy</v>
          </cell>
          <cell r="C7">
            <v>46</v>
          </cell>
          <cell r="D7">
            <v>50</v>
          </cell>
          <cell r="E7">
            <v>0</v>
          </cell>
          <cell r="F7">
            <v>0</v>
          </cell>
          <cell r="G7">
            <v>0</v>
          </cell>
          <cell r="H7">
            <v>0</v>
          </cell>
          <cell r="I7">
            <v>96</v>
          </cell>
        </row>
        <row r="8">
          <cell r="A8">
            <v>300002</v>
          </cell>
          <cell r="B8" t="str">
            <v>Nelson Elementary School</v>
          </cell>
          <cell r="C8">
            <v>53</v>
          </cell>
          <cell r="D8">
            <v>55</v>
          </cell>
          <cell r="E8">
            <v>0</v>
          </cell>
          <cell r="F8">
            <v>0</v>
          </cell>
          <cell r="G8">
            <v>0</v>
          </cell>
          <cell r="H8">
            <v>0</v>
          </cell>
          <cell r="I8">
            <v>108</v>
          </cell>
        </row>
        <row r="9">
          <cell r="A9">
            <v>300003</v>
          </cell>
          <cell r="B9" t="str">
            <v>Lake Area New Tech Early College High School</v>
          </cell>
          <cell r="C9">
            <v>0</v>
          </cell>
          <cell r="D9">
            <v>0</v>
          </cell>
          <cell r="E9">
            <v>196</v>
          </cell>
          <cell r="F9">
            <v>193</v>
          </cell>
          <cell r="G9">
            <v>135</v>
          </cell>
          <cell r="H9">
            <v>136</v>
          </cell>
          <cell r="I9">
            <v>660</v>
          </cell>
        </row>
        <row r="10">
          <cell r="A10">
            <v>300004</v>
          </cell>
          <cell r="B10" t="str">
            <v>Gentilly Terrace Elementary School</v>
          </cell>
          <cell r="C10">
            <v>54</v>
          </cell>
          <cell r="D10">
            <v>56</v>
          </cell>
          <cell r="E10">
            <v>0</v>
          </cell>
          <cell r="F10">
            <v>0</v>
          </cell>
          <cell r="G10">
            <v>0</v>
          </cell>
          <cell r="H10">
            <v>0</v>
          </cell>
          <cell r="I10">
            <v>110</v>
          </cell>
        </row>
        <row r="11">
          <cell r="A11">
            <v>302006</v>
          </cell>
          <cell r="B11" t="str">
            <v>Louisiana School for Math Science &amp; the Arts</v>
          </cell>
          <cell r="C11">
            <v>0</v>
          </cell>
          <cell r="D11">
            <v>0</v>
          </cell>
          <cell r="E11">
            <v>0</v>
          </cell>
          <cell r="F11">
            <v>82</v>
          </cell>
          <cell r="G11">
            <v>101</v>
          </cell>
          <cell r="H11">
            <v>95</v>
          </cell>
          <cell r="I11">
            <v>278</v>
          </cell>
        </row>
        <row r="12">
          <cell r="A12">
            <v>304</v>
          </cell>
          <cell r="B12" t="str">
            <v>LSDVI</v>
          </cell>
          <cell r="C12">
            <v>24</v>
          </cell>
          <cell r="D12">
            <v>19</v>
          </cell>
          <cell r="E12">
            <v>13</v>
          </cell>
          <cell r="F12">
            <v>19</v>
          </cell>
          <cell r="G12">
            <v>19</v>
          </cell>
          <cell r="H12">
            <v>24</v>
          </cell>
          <cell r="I12">
            <v>118</v>
          </cell>
        </row>
        <row r="13">
          <cell r="I13">
            <v>0</v>
          </cell>
        </row>
        <row r="14">
          <cell r="A14">
            <v>318001</v>
          </cell>
          <cell r="B14" t="str">
            <v>LSU Laboratory School</v>
          </cell>
          <cell r="C14">
            <v>110</v>
          </cell>
          <cell r="D14">
            <v>113</v>
          </cell>
          <cell r="E14">
            <v>112</v>
          </cell>
          <cell r="F14">
            <v>109</v>
          </cell>
          <cell r="G14">
            <v>109</v>
          </cell>
          <cell r="H14">
            <v>105</v>
          </cell>
          <cell r="I14">
            <v>658</v>
          </cell>
        </row>
        <row r="15">
          <cell r="A15">
            <v>319001</v>
          </cell>
          <cell r="B15" t="str">
            <v>Southern University Lab School</v>
          </cell>
          <cell r="C15">
            <v>67</v>
          </cell>
          <cell r="D15">
            <v>64</v>
          </cell>
          <cell r="E15">
            <v>64</v>
          </cell>
          <cell r="F15">
            <v>67</v>
          </cell>
          <cell r="G15">
            <v>36</v>
          </cell>
          <cell r="H15">
            <v>43</v>
          </cell>
          <cell r="I15">
            <v>341</v>
          </cell>
        </row>
        <row r="16">
          <cell r="A16">
            <v>321001</v>
          </cell>
          <cell r="B16" t="str">
            <v>New Vision Learning Academy</v>
          </cell>
          <cell r="C16">
            <v>0</v>
          </cell>
          <cell r="D16">
            <v>0</v>
          </cell>
          <cell r="E16">
            <v>0</v>
          </cell>
          <cell r="F16">
            <v>0</v>
          </cell>
          <cell r="G16">
            <v>0</v>
          </cell>
          <cell r="H16">
            <v>0</v>
          </cell>
          <cell r="I16">
            <v>0</v>
          </cell>
        </row>
        <row r="17">
          <cell r="A17">
            <v>328001</v>
          </cell>
          <cell r="B17" t="str">
            <v>Southwest Louisiana Charter School</v>
          </cell>
          <cell r="C17">
            <v>74</v>
          </cell>
          <cell r="D17">
            <v>0</v>
          </cell>
          <cell r="E17">
            <v>0</v>
          </cell>
          <cell r="F17">
            <v>0</v>
          </cell>
          <cell r="G17">
            <v>0</v>
          </cell>
          <cell r="H17">
            <v>0</v>
          </cell>
          <cell r="I17">
            <v>74</v>
          </cell>
        </row>
        <row r="18">
          <cell r="A18">
            <v>329001</v>
          </cell>
          <cell r="B18" t="str">
            <v>V. B. Glencoe Charter School</v>
          </cell>
          <cell r="C18">
            <v>42</v>
          </cell>
          <cell r="D18">
            <v>33</v>
          </cell>
          <cell r="E18">
            <v>0</v>
          </cell>
          <cell r="F18">
            <v>0</v>
          </cell>
          <cell r="G18">
            <v>0</v>
          </cell>
          <cell r="H18">
            <v>0</v>
          </cell>
          <cell r="I18">
            <v>75</v>
          </cell>
        </row>
        <row r="19">
          <cell r="A19">
            <v>331001</v>
          </cell>
          <cell r="B19" t="str">
            <v>International School of Louisiana</v>
          </cell>
          <cell r="C19">
            <v>47</v>
          </cell>
          <cell r="D19">
            <v>27</v>
          </cell>
          <cell r="E19">
            <v>0</v>
          </cell>
          <cell r="F19">
            <v>0</v>
          </cell>
          <cell r="G19">
            <v>0</v>
          </cell>
          <cell r="H19">
            <v>0</v>
          </cell>
          <cell r="I19">
            <v>74</v>
          </cell>
        </row>
        <row r="20">
          <cell r="A20">
            <v>333001</v>
          </cell>
          <cell r="B20" t="str">
            <v>Avoyelles Public Charter School</v>
          </cell>
          <cell r="C20">
            <v>56</v>
          </cell>
          <cell r="D20">
            <v>54</v>
          </cell>
          <cell r="E20">
            <v>64</v>
          </cell>
          <cell r="F20">
            <v>55</v>
          </cell>
          <cell r="G20">
            <v>54</v>
          </cell>
          <cell r="H20">
            <v>50</v>
          </cell>
          <cell r="I20">
            <v>333</v>
          </cell>
        </row>
        <row r="21">
          <cell r="A21">
            <v>334001</v>
          </cell>
          <cell r="B21" t="str">
            <v>New Orleans Center for Creative Arts</v>
          </cell>
          <cell r="C21">
            <v>0</v>
          </cell>
          <cell r="D21">
            <v>0</v>
          </cell>
          <cell r="E21">
            <v>67</v>
          </cell>
          <cell r="F21">
            <v>62</v>
          </cell>
          <cell r="G21">
            <v>46</v>
          </cell>
          <cell r="H21">
            <v>0</v>
          </cell>
          <cell r="I21">
            <v>175</v>
          </cell>
        </row>
        <row r="22">
          <cell r="A22">
            <v>336001</v>
          </cell>
          <cell r="B22" t="str">
            <v>Delhi Charter School</v>
          </cell>
          <cell r="C22">
            <v>80</v>
          </cell>
          <cell r="D22">
            <v>83</v>
          </cell>
          <cell r="E22">
            <v>61</v>
          </cell>
          <cell r="F22">
            <v>64</v>
          </cell>
          <cell r="G22">
            <v>65</v>
          </cell>
          <cell r="H22">
            <v>57</v>
          </cell>
          <cell r="I22">
            <v>410</v>
          </cell>
        </row>
        <row r="23">
          <cell r="A23">
            <v>337001</v>
          </cell>
          <cell r="B23" t="str">
            <v>Belle Chasse Academy</v>
          </cell>
          <cell r="C23">
            <v>105</v>
          </cell>
          <cell r="D23">
            <v>109</v>
          </cell>
          <cell r="E23">
            <v>0</v>
          </cell>
          <cell r="F23">
            <v>0</v>
          </cell>
          <cell r="G23">
            <v>0</v>
          </cell>
          <cell r="H23">
            <v>0</v>
          </cell>
          <cell r="I23">
            <v>214</v>
          </cell>
        </row>
        <row r="24">
          <cell r="A24">
            <v>339001</v>
          </cell>
          <cell r="B24" t="str">
            <v>Milestone SABIS Academy of New Orleans</v>
          </cell>
          <cell r="C24">
            <v>34</v>
          </cell>
          <cell r="D24">
            <v>34</v>
          </cell>
          <cell r="E24">
            <v>11</v>
          </cell>
          <cell r="F24">
            <v>5</v>
          </cell>
          <cell r="G24">
            <v>0</v>
          </cell>
          <cell r="H24">
            <v>0</v>
          </cell>
          <cell r="I24">
            <v>84</v>
          </cell>
        </row>
        <row r="25">
          <cell r="A25">
            <v>340001</v>
          </cell>
          <cell r="B25" t="str">
            <v>Max Charter Alternative Education</v>
          </cell>
          <cell r="C25">
            <v>16</v>
          </cell>
          <cell r="D25">
            <v>13</v>
          </cell>
          <cell r="E25">
            <v>0</v>
          </cell>
          <cell r="F25">
            <v>0</v>
          </cell>
          <cell r="G25">
            <v>0</v>
          </cell>
          <cell r="H25">
            <v>0</v>
          </cell>
          <cell r="I25">
            <v>29</v>
          </cell>
        </row>
        <row r="26">
          <cell r="A26">
            <v>341001</v>
          </cell>
          <cell r="B26" t="str">
            <v>D'Arbonne Woods Charter School</v>
          </cell>
          <cell r="C26">
            <v>52</v>
          </cell>
          <cell r="D26">
            <v>57</v>
          </cell>
          <cell r="E26">
            <v>44</v>
          </cell>
          <cell r="F26">
            <v>39</v>
          </cell>
          <cell r="G26">
            <v>0</v>
          </cell>
          <cell r="H26">
            <v>0</v>
          </cell>
          <cell r="I26">
            <v>192</v>
          </cell>
        </row>
        <row r="27">
          <cell r="A27">
            <v>343001</v>
          </cell>
          <cell r="B27" t="str">
            <v>Madison Preparatory Academy</v>
          </cell>
          <cell r="C27">
            <v>0</v>
          </cell>
          <cell r="D27">
            <v>0</v>
          </cell>
          <cell r="E27">
            <v>97</v>
          </cell>
          <cell r="F27">
            <v>69</v>
          </cell>
          <cell r="G27">
            <v>68</v>
          </cell>
          <cell r="H27">
            <v>41</v>
          </cell>
          <cell r="I27">
            <v>275</v>
          </cell>
        </row>
        <row r="28">
          <cell r="A28">
            <v>343002</v>
          </cell>
          <cell r="B28" t="str">
            <v>Louisiana Virtual Charter Academy</v>
          </cell>
          <cell r="C28">
            <v>219</v>
          </cell>
          <cell r="D28">
            <v>199</v>
          </cell>
          <cell r="E28">
            <v>213</v>
          </cell>
          <cell r="F28">
            <v>161</v>
          </cell>
          <cell r="G28">
            <v>99</v>
          </cell>
          <cell r="H28">
            <v>20</v>
          </cell>
          <cell r="I28">
            <v>911</v>
          </cell>
        </row>
        <row r="29">
          <cell r="A29">
            <v>344001</v>
          </cell>
          <cell r="B29" t="str">
            <v>International High School of New Orleans</v>
          </cell>
          <cell r="C29">
            <v>0</v>
          </cell>
          <cell r="D29">
            <v>0</v>
          </cell>
          <cell r="E29">
            <v>148</v>
          </cell>
          <cell r="F29">
            <v>125</v>
          </cell>
          <cell r="G29">
            <v>103</v>
          </cell>
          <cell r="H29">
            <v>85</v>
          </cell>
          <cell r="I29">
            <v>461</v>
          </cell>
        </row>
        <row r="30">
          <cell r="A30">
            <v>345001</v>
          </cell>
          <cell r="B30" t="str">
            <v>Louisiana Connections Academy</v>
          </cell>
          <cell r="C30">
            <v>127</v>
          </cell>
          <cell r="D30">
            <v>144</v>
          </cell>
          <cell r="E30">
            <v>130</v>
          </cell>
          <cell r="F30">
            <v>136</v>
          </cell>
          <cell r="G30">
            <v>117</v>
          </cell>
          <cell r="H30">
            <v>116</v>
          </cell>
          <cell r="I30">
            <v>770</v>
          </cell>
        </row>
        <row r="31">
          <cell r="A31">
            <v>346001</v>
          </cell>
          <cell r="B31" t="str">
            <v>Lake Charles Charter Academy</v>
          </cell>
          <cell r="C31">
            <v>100</v>
          </cell>
          <cell r="D31">
            <v>100</v>
          </cell>
          <cell r="E31">
            <v>0</v>
          </cell>
          <cell r="F31">
            <v>0</v>
          </cell>
          <cell r="G31">
            <v>0</v>
          </cell>
          <cell r="H31">
            <v>0</v>
          </cell>
          <cell r="I31">
            <v>200</v>
          </cell>
        </row>
        <row r="32">
          <cell r="A32">
            <v>347001</v>
          </cell>
          <cell r="B32" t="str">
            <v>Lycee Francais de la Nouvelle-Orleans</v>
          </cell>
          <cell r="C32">
            <v>0</v>
          </cell>
          <cell r="D32">
            <v>0</v>
          </cell>
          <cell r="E32">
            <v>0</v>
          </cell>
          <cell r="F32">
            <v>0</v>
          </cell>
          <cell r="G32">
            <v>0</v>
          </cell>
          <cell r="H32">
            <v>0</v>
          </cell>
          <cell r="I32">
            <v>0</v>
          </cell>
        </row>
        <row r="33">
          <cell r="A33">
            <v>348001</v>
          </cell>
          <cell r="B33" t="str">
            <v>New Orleans Military/Maritime Academy</v>
          </cell>
          <cell r="C33">
            <v>0</v>
          </cell>
          <cell r="D33">
            <v>0</v>
          </cell>
          <cell r="E33">
            <v>153</v>
          </cell>
          <cell r="F33">
            <v>112</v>
          </cell>
          <cell r="G33">
            <v>90</v>
          </cell>
          <cell r="H33">
            <v>2</v>
          </cell>
          <cell r="I33">
            <v>357</v>
          </cell>
        </row>
        <row r="34">
          <cell r="A34">
            <v>349001</v>
          </cell>
          <cell r="B34" t="str">
            <v>JS Clark Leadership Academy</v>
          </cell>
          <cell r="C34">
            <v>67</v>
          </cell>
          <cell r="D34">
            <v>54</v>
          </cell>
          <cell r="E34">
            <v>0</v>
          </cell>
          <cell r="F34">
            <v>0</v>
          </cell>
          <cell r="G34">
            <v>0</v>
          </cell>
          <cell r="H34">
            <v>0</v>
          </cell>
          <cell r="I34">
            <v>121</v>
          </cell>
        </row>
        <row r="35">
          <cell r="A35">
            <v>360001</v>
          </cell>
          <cell r="B35" t="str">
            <v>The NET Charter High School</v>
          </cell>
          <cell r="C35">
            <v>0</v>
          </cell>
          <cell r="D35">
            <v>0</v>
          </cell>
          <cell r="E35">
            <v>46</v>
          </cell>
          <cell r="F35">
            <v>33</v>
          </cell>
          <cell r="G35">
            <v>40</v>
          </cell>
          <cell r="H35">
            <v>26</v>
          </cell>
          <cell r="I35">
            <v>145</v>
          </cell>
        </row>
        <row r="36">
          <cell r="A36">
            <v>361001</v>
          </cell>
          <cell r="B36" t="str">
            <v>Crescent Leadership Academy</v>
          </cell>
          <cell r="C36">
            <v>14</v>
          </cell>
          <cell r="D36">
            <v>56</v>
          </cell>
          <cell r="E36">
            <v>58</v>
          </cell>
          <cell r="F36">
            <v>49</v>
          </cell>
          <cell r="G36">
            <v>31</v>
          </cell>
          <cell r="H36">
            <v>26</v>
          </cell>
          <cell r="I36">
            <v>234</v>
          </cell>
        </row>
        <row r="37">
          <cell r="A37">
            <v>362001</v>
          </cell>
          <cell r="B37" t="str">
            <v>John McDonogh High School</v>
          </cell>
          <cell r="C37">
            <v>0</v>
          </cell>
          <cell r="D37">
            <v>0</v>
          </cell>
          <cell r="E37">
            <v>65</v>
          </cell>
          <cell r="F37">
            <v>86</v>
          </cell>
          <cell r="G37">
            <v>53</v>
          </cell>
          <cell r="H37">
            <v>98</v>
          </cell>
          <cell r="I37">
            <v>302</v>
          </cell>
        </row>
        <row r="38">
          <cell r="A38">
            <v>363001</v>
          </cell>
          <cell r="B38" t="str">
            <v>Harriet Tubman Charter School</v>
          </cell>
          <cell r="C38">
            <v>59</v>
          </cell>
          <cell r="D38">
            <v>59</v>
          </cell>
          <cell r="E38">
            <v>0</v>
          </cell>
          <cell r="F38">
            <v>0</v>
          </cell>
          <cell r="G38">
            <v>0</v>
          </cell>
          <cell r="H38">
            <v>0</v>
          </cell>
          <cell r="I38">
            <v>118</v>
          </cell>
        </row>
        <row r="39">
          <cell r="A39">
            <v>363002</v>
          </cell>
          <cell r="B39" t="str">
            <v>Paul Habans Charter School</v>
          </cell>
          <cell r="C39">
            <v>0</v>
          </cell>
          <cell r="D39">
            <v>0</v>
          </cell>
          <cell r="E39">
            <v>0</v>
          </cell>
          <cell r="F39">
            <v>0</v>
          </cell>
          <cell r="G39">
            <v>0</v>
          </cell>
          <cell r="H39">
            <v>0</v>
          </cell>
          <cell r="I39">
            <v>0</v>
          </cell>
        </row>
        <row r="40">
          <cell r="A40">
            <v>364001</v>
          </cell>
          <cell r="B40" t="str">
            <v>Fannie C. Williams Charter School</v>
          </cell>
          <cell r="C40">
            <v>56</v>
          </cell>
          <cell r="D40">
            <v>47</v>
          </cell>
          <cell r="E40">
            <v>0</v>
          </cell>
          <cell r="F40">
            <v>0</v>
          </cell>
          <cell r="G40">
            <v>0</v>
          </cell>
          <cell r="H40">
            <v>0</v>
          </cell>
          <cell r="I40">
            <v>103</v>
          </cell>
        </row>
        <row r="41">
          <cell r="A41">
            <v>366001</v>
          </cell>
          <cell r="B41" t="str">
            <v>Lagniappe Academy of New Orleans</v>
          </cell>
          <cell r="C41">
            <v>6</v>
          </cell>
          <cell r="D41">
            <v>15</v>
          </cell>
          <cell r="E41">
            <v>0</v>
          </cell>
          <cell r="F41">
            <v>0</v>
          </cell>
          <cell r="G41">
            <v>0</v>
          </cell>
          <cell r="H41">
            <v>0</v>
          </cell>
          <cell r="I41">
            <v>21</v>
          </cell>
        </row>
        <row r="42">
          <cell r="A42">
            <v>367001</v>
          </cell>
          <cell r="B42" t="str">
            <v>Edgar P. Harney Spirit of Excellence Academy</v>
          </cell>
          <cell r="C42">
            <v>45</v>
          </cell>
          <cell r="D42">
            <v>21</v>
          </cell>
          <cell r="E42">
            <v>0</v>
          </cell>
          <cell r="F42">
            <v>0</v>
          </cell>
          <cell r="G42">
            <v>0</v>
          </cell>
          <cell r="H42">
            <v>0</v>
          </cell>
          <cell r="I42">
            <v>66</v>
          </cell>
        </row>
        <row r="43">
          <cell r="A43">
            <v>368001</v>
          </cell>
          <cell r="B43" t="str">
            <v>Morris Jeff Community School</v>
          </cell>
          <cell r="C43">
            <v>0</v>
          </cell>
          <cell r="D43">
            <v>0</v>
          </cell>
          <cell r="E43">
            <v>0</v>
          </cell>
          <cell r="F43">
            <v>0</v>
          </cell>
          <cell r="G43">
            <v>0</v>
          </cell>
          <cell r="H43">
            <v>0</v>
          </cell>
          <cell r="I43">
            <v>0</v>
          </cell>
        </row>
        <row r="44">
          <cell r="A44">
            <v>369001</v>
          </cell>
          <cell r="B44" t="str">
            <v>ReNew Cultural Arts Academy at Live Oak</v>
          </cell>
          <cell r="C44">
            <v>70</v>
          </cell>
          <cell r="D44">
            <v>68</v>
          </cell>
          <cell r="E44">
            <v>0</v>
          </cell>
          <cell r="F44">
            <v>0</v>
          </cell>
          <cell r="G44">
            <v>0</v>
          </cell>
          <cell r="H44">
            <v>0</v>
          </cell>
          <cell r="I44">
            <v>138</v>
          </cell>
        </row>
        <row r="45">
          <cell r="A45">
            <v>369002</v>
          </cell>
          <cell r="B45" t="str">
            <v>ReNew SciTech Academy at Laurel</v>
          </cell>
          <cell r="C45">
            <v>51</v>
          </cell>
          <cell r="D45">
            <v>81</v>
          </cell>
          <cell r="E45">
            <v>0</v>
          </cell>
          <cell r="F45">
            <v>0</v>
          </cell>
          <cell r="G45">
            <v>0</v>
          </cell>
          <cell r="H45">
            <v>0</v>
          </cell>
          <cell r="I45">
            <v>132</v>
          </cell>
        </row>
        <row r="46">
          <cell r="A46">
            <v>369003</v>
          </cell>
          <cell r="B46" t="str">
            <v>ReNew Dolores T. Aaron Elementary</v>
          </cell>
          <cell r="C46">
            <v>62</v>
          </cell>
          <cell r="D46">
            <v>62</v>
          </cell>
          <cell r="E46">
            <v>0</v>
          </cell>
          <cell r="F46">
            <v>0</v>
          </cell>
          <cell r="G46">
            <v>0</v>
          </cell>
          <cell r="H46">
            <v>0</v>
          </cell>
          <cell r="I46">
            <v>124</v>
          </cell>
        </row>
        <row r="47">
          <cell r="A47">
            <v>369004</v>
          </cell>
          <cell r="B47" t="str">
            <v>ReNEW Accelerated High School #1</v>
          </cell>
          <cell r="C47">
            <v>0</v>
          </cell>
          <cell r="D47">
            <v>0</v>
          </cell>
          <cell r="E47">
            <v>35</v>
          </cell>
          <cell r="F47">
            <v>51</v>
          </cell>
          <cell r="G47">
            <v>42</v>
          </cell>
          <cell r="H47">
            <v>46</v>
          </cell>
          <cell r="I47">
            <v>174</v>
          </cell>
        </row>
        <row r="48">
          <cell r="A48">
            <v>369005</v>
          </cell>
          <cell r="B48" t="str">
            <v>ReNEW Accelerated High School #2</v>
          </cell>
          <cell r="C48">
            <v>0</v>
          </cell>
          <cell r="D48">
            <v>0</v>
          </cell>
          <cell r="E48">
            <v>28</v>
          </cell>
          <cell r="F48">
            <v>59</v>
          </cell>
          <cell r="G48">
            <v>54</v>
          </cell>
          <cell r="H48">
            <v>36</v>
          </cell>
          <cell r="I48">
            <v>177</v>
          </cell>
        </row>
        <row r="49">
          <cell r="A49">
            <v>369006</v>
          </cell>
          <cell r="B49" t="str">
            <v>ReNew Schaumburg Elementary</v>
          </cell>
          <cell r="C49">
            <v>91</v>
          </cell>
          <cell r="D49">
            <v>76</v>
          </cell>
          <cell r="E49">
            <v>0</v>
          </cell>
          <cell r="F49">
            <v>0</v>
          </cell>
          <cell r="G49">
            <v>0</v>
          </cell>
          <cell r="H49">
            <v>0</v>
          </cell>
          <cell r="I49">
            <v>167</v>
          </cell>
        </row>
        <row r="50">
          <cell r="A50">
            <v>369700</v>
          </cell>
          <cell r="B50" t="str">
            <v>RSD-ReNEW-Reinventing Education, Inc. Central Ofc.</v>
          </cell>
          <cell r="C50">
            <v>0</v>
          </cell>
          <cell r="D50">
            <v>0</v>
          </cell>
          <cell r="E50">
            <v>0</v>
          </cell>
          <cell r="F50">
            <v>0</v>
          </cell>
          <cell r="G50">
            <v>0</v>
          </cell>
          <cell r="H50">
            <v>0</v>
          </cell>
          <cell r="I50">
            <v>0</v>
          </cell>
        </row>
        <row r="51">
          <cell r="A51">
            <v>371001</v>
          </cell>
          <cell r="B51" t="str">
            <v>Linwood Public Charter School</v>
          </cell>
          <cell r="C51">
            <v>185</v>
          </cell>
          <cell r="D51">
            <v>171</v>
          </cell>
          <cell r="E51">
            <v>0</v>
          </cell>
          <cell r="F51">
            <v>0</v>
          </cell>
          <cell r="G51">
            <v>0</v>
          </cell>
          <cell r="H51">
            <v>0</v>
          </cell>
          <cell r="I51">
            <v>356</v>
          </cell>
        </row>
        <row r="52">
          <cell r="A52">
            <v>373001</v>
          </cell>
          <cell r="B52" t="str">
            <v>Arise Academy</v>
          </cell>
          <cell r="C52">
            <v>0</v>
          </cell>
          <cell r="D52">
            <v>0</v>
          </cell>
          <cell r="E52">
            <v>0</v>
          </cell>
          <cell r="F52">
            <v>0</v>
          </cell>
          <cell r="G52">
            <v>0</v>
          </cell>
          <cell r="H52">
            <v>0</v>
          </cell>
          <cell r="I52">
            <v>0</v>
          </cell>
        </row>
        <row r="53">
          <cell r="A53">
            <v>373002</v>
          </cell>
          <cell r="B53" t="str">
            <v>Mildred Osborne Charter School</v>
          </cell>
          <cell r="C53">
            <v>0</v>
          </cell>
          <cell r="D53">
            <v>0</v>
          </cell>
          <cell r="E53">
            <v>0</v>
          </cell>
          <cell r="F53">
            <v>0</v>
          </cell>
          <cell r="G53">
            <v>0</v>
          </cell>
          <cell r="H53">
            <v>0</v>
          </cell>
          <cell r="I53">
            <v>0</v>
          </cell>
        </row>
        <row r="54">
          <cell r="A54">
            <v>374001</v>
          </cell>
          <cell r="B54" t="str">
            <v>Success Preparatory Academy</v>
          </cell>
          <cell r="C54">
            <v>66</v>
          </cell>
          <cell r="D54">
            <v>0</v>
          </cell>
          <cell r="E54">
            <v>0</v>
          </cell>
          <cell r="F54">
            <v>0</v>
          </cell>
          <cell r="G54">
            <v>0</v>
          </cell>
          <cell r="H54">
            <v>0</v>
          </cell>
          <cell r="I54">
            <v>66</v>
          </cell>
        </row>
        <row r="55">
          <cell r="A55">
            <v>381001</v>
          </cell>
          <cell r="B55" t="str">
            <v>Akili Academy of New Orleans</v>
          </cell>
          <cell r="C55">
            <v>0</v>
          </cell>
          <cell r="D55">
            <v>0</v>
          </cell>
          <cell r="E55">
            <v>0</v>
          </cell>
          <cell r="F55">
            <v>0</v>
          </cell>
          <cell r="G55">
            <v>0</v>
          </cell>
          <cell r="H55">
            <v>0</v>
          </cell>
          <cell r="I55">
            <v>0</v>
          </cell>
        </row>
        <row r="56">
          <cell r="A56">
            <v>382001</v>
          </cell>
          <cell r="B56" t="str">
            <v>Sci Academy</v>
          </cell>
          <cell r="C56">
            <v>0</v>
          </cell>
          <cell r="D56">
            <v>0</v>
          </cell>
          <cell r="E56">
            <v>134</v>
          </cell>
          <cell r="F56">
            <v>111</v>
          </cell>
          <cell r="G56">
            <v>101</v>
          </cell>
          <cell r="H56">
            <v>87</v>
          </cell>
          <cell r="I56">
            <v>433</v>
          </cell>
        </row>
        <row r="57">
          <cell r="A57">
            <v>382002</v>
          </cell>
          <cell r="B57" t="str">
            <v>G. W. Carver Collegiate Academy</v>
          </cell>
          <cell r="C57">
            <v>0</v>
          </cell>
          <cell r="D57">
            <v>0</v>
          </cell>
          <cell r="E57">
            <v>111</v>
          </cell>
          <cell r="F57">
            <v>91</v>
          </cell>
          <cell r="G57">
            <v>0</v>
          </cell>
          <cell r="H57">
            <v>0</v>
          </cell>
          <cell r="I57">
            <v>202</v>
          </cell>
        </row>
        <row r="58">
          <cell r="A58">
            <v>382003</v>
          </cell>
          <cell r="B58" t="str">
            <v>G. W. Carver Preparatory Academy</v>
          </cell>
          <cell r="C58">
            <v>0</v>
          </cell>
          <cell r="D58">
            <v>0</v>
          </cell>
          <cell r="E58">
            <v>103</v>
          </cell>
          <cell r="F58">
            <v>83</v>
          </cell>
          <cell r="G58">
            <v>0</v>
          </cell>
          <cell r="H58">
            <v>0</v>
          </cell>
          <cell r="I58">
            <v>186</v>
          </cell>
        </row>
        <row r="59">
          <cell r="A59">
            <v>384001</v>
          </cell>
          <cell r="B59" t="str">
            <v>Miller-McCoy Academy for Mathematics and Business</v>
          </cell>
          <cell r="C59">
            <v>61</v>
          </cell>
          <cell r="D59">
            <v>58</v>
          </cell>
          <cell r="E59">
            <v>53</v>
          </cell>
          <cell r="F59">
            <v>47</v>
          </cell>
          <cell r="G59">
            <v>37</v>
          </cell>
          <cell r="H59">
            <v>26</v>
          </cell>
          <cell r="I59">
            <v>282</v>
          </cell>
        </row>
        <row r="60">
          <cell r="A60">
            <v>385001</v>
          </cell>
          <cell r="B60" t="str">
            <v>Sylvanie Williams College Prep</v>
          </cell>
          <cell r="C60">
            <v>0</v>
          </cell>
          <cell r="D60">
            <v>0</v>
          </cell>
          <cell r="E60">
            <v>0</v>
          </cell>
          <cell r="F60">
            <v>0</v>
          </cell>
          <cell r="G60">
            <v>0</v>
          </cell>
          <cell r="H60">
            <v>0</v>
          </cell>
          <cell r="I60">
            <v>0</v>
          </cell>
        </row>
        <row r="61">
          <cell r="A61">
            <v>385002</v>
          </cell>
          <cell r="B61" t="str">
            <v>Cohen College Prep</v>
          </cell>
          <cell r="C61">
            <v>44</v>
          </cell>
          <cell r="D61">
            <v>74</v>
          </cell>
          <cell r="E61">
            <v>122</v>
          </cell>
          <cell r="F61">
            <v>72</v>
          </cell>
          <cell r="G61">
            <v>76</v>
          </cell>
          <cell r="H61">
            <v>55</v>
          </cell>
          <cell r="I61">
            <v>443</v>
          </cell>
        </row>
        <row r="62">
          <cell r="A62">
            <v>385003</v>
          </cell>
          <cell r="B62" t="str">
            <v>Lawrence D. Crocker College Prep</v>
          </cell>
          <cell r="C62">
            <v>0</v>
          </cell>
          <cell r="D62">
            <v>0</v>
          </cell>
          <cell r="E62">
            <v>0</v>
          </cell>
          <cell r="F62">
            <v>0</v>
          </cell>
          <cell r="G62">
            <v>0</v>
          </cell>
          <cell r="H62">
            <v>0</v>
          </cell>
          <cell r="I62">
            <v>0</v>
          </cell>
        </row>
        <row r="63">
          <cell r="A63">
            <v>388001</v>
          </cell>
          <cell r="B63" t="str">
            <v>Andrew H. Wilson Charter School</v>
          </cell>
          <cell r="C63">
            <v>70</v>
          </cell>
          <cell r="D63">
            <v>70</v>
          </cell>
          <cell r="E63">
            <v>0</v>
          </cell>
          <cell r="F63">
            <v>0</v>
          </cell>
          <cell r="G63">
            <v>0</v>
          </cell>
          <cell r="H63">
            <v>0</v>
          </cell>
          <cell r="I63">
            <v>140</v>
          </cell>
        </row>
        <row r="64">
          <cell r="A64">
            <v>389002</v>
          </cell>
          <cell r="B64" t="str">
            <v>Kenilworth Science and Technology Charter School</v>
          </cell>
          <cell r="C64">
            <v>202</v>
          </cell>
          <cell r="D64">
            <v>163</v>
          </cell>
          <cell r="E64">
            <v>0</v>
          </cell>
          <cell r="F64">
            <v>0</v>
          </cell>
          <cell r="G64">
            <v>0</v>
          </cell>
          <cell r="H64">
            <v>0</v>
          </cell>
          <cell r="I64">
            <v>365</v>
          </cell>
        </row>
        <row r="65">
          <cell r="A65">
            <v>390001</v>
          </cell>
          <cell r="B65" t="str">
            <v>James M. Singleton Charter School</v>
          </cell>
          <cell r="C65">
            <v>46</v>
          </cell>
          <cell r="D65">
            <v>51</v>
          </cell>
          <cell r="E65">
            <v>0</v>
          </cell>
          <cell r="F65">
            <v>0</v>
          </cell>
          <cell r="G65">
            <v>0</v>
          </cell>
          <cell r="H65">
            <v>0</v>
          </cell>
          <cell r="I65">
            <v>97</v>
          </cell>
        </row>
        <row r="66">
          <cell r="A66">
            <v>391001</v>
          </cell>
          <cell r="B66" t="str">
            <v>Dr. Martin Luther King Charter School for Sci/Tech</v>
          </cell>
          <cell r="C66">
            <v>57</v>
          </cell>
          <cell r="D66">
            <v>46</v>
          </cell>
          <cell r="E66">
            <v>49</v>
          </cell>
          <cell r="F66">
            <v>44</v>
          </cell>
          <cell r="G66">
            <v>32</v>
          </cell>
          <cell r="H66">
            <v>39</v>
          </cell>
          <cell r="I66">
            <v>267</v>
          </cell>
        </row>
        <row r="67">
          <cell r="A67">
            <v>391002</v>
          </cell>
          <cell r="B67" t="str">
            <v>Joseph A. Craig Charter School</v>
          </cell>
          <cell r="C67">
            <v>45</v>
          </cell>
          <cell r="D67">
            <v>34</v>
          </cell>
          <cell r="E67">
            <v>0</v>
          </cell>
          <cell r="F67">
            <v>0</v>
          </cell>
          <cell r="G67">
            <v>0</v>
          </cell>
          <cell r="H67">
            <v>0</v>
          </cell>
          <cell r="I67">
            <v>79</v>
          </cell>
        </row>
        <row r="68">
          <cell r="A68">
            <v>392001</v>
          </cell>
          <cell r="B68" t="str">
            <v>McDonogh City Park Academy</v>
          </cell>
          <cell r="C68">
            <v>51</v>
          </cell>
          <cell r="D68">
            <v>52</v>
          </cell>
          <cell r="E68">
            <v>0</v>
          </cell>
          <cell r="F68">
            <v>0</v>
          </cell>
          <cell r="G68">
            <v>0</v>
          </cell>
          <cell r="H68">
            <v>0</v>
          </cell>
          <cell r="I68">
            <v>103</v>
          </cell>
        </row>
        <row r="69">
          <cell r="A69">
            <v>393001</v>
          </cell>
          <cell r="B69" t="str">
            <v>Lafayette Academy</v>
          </cell>
          <cell r="C69">
            <v>97</v>
          </cell>
          <cell r="D69">
            <v>100</v>
          </cell>
          <cell r="E69">
            <v>0</v>
          </cell>
          <cell r="F69">
            <v>0</v>
          </cell>
          <cell r="G69">
            <v>0</v>
          </cell>
          <cell r="H69">
            <v>0</v>
          </cell>
          <cell r="I69">
            <v>197</v>
          </cell>
        </row>
        <row r="70">
          <cell r="A70">
            <v>393002</v>
          </cell>
          <cell r="B70" t="str">
            <v>Esperanza Charter School</v>
          </cell>
          <cell r="C70">
            <v>56</v>
          </cell>
          <cell r="D70">
            <v>54</v>
          </cell>
          <cell r="E70">
            <v>0</v>
          </cell>
          <cell r="F70">
            <v>0</v>
          </cell>
          <cell r="G70">
            <v>0</v>
          </cell>
          <cell r="H70">
            <v>0</v>
          </cell>
          <cell r="I70">
            <v>110</v>
          </cell>
        </row>
        <row r="71">
          <cell r="A71">
            <v>393003</v>
          </cell>
          <cell r="B71" t="str">
            <v>McDonogh 42 Charter School</v>
          </cell>
          <cell r="C71">
            <v>51</v>
          </cell>
          <cell r="D71">
            <v>40</v>
          </cell>
          <cell r="E71">
            <v>0</v>
          </cell>
          <cell r="F71">
            <v>0</v>
          </cell>
          <cell r="G71">
            <v>0</v>
          </cell>
          <cell r="H71">
            <v>0</v>
          </cell>
          <cell r="I71">
            <v>91</v>
          </cell>
        </row>
        <row r="72">
          <cell r="A72">
            <v>395001</v>
          </cell>
          <cell r="B72" t="str">
            <v>Martin Behrman Elementary School</v>
          </cell>
          <cell r="C72">
            <v>73</v>
          </cell>
          <cell r="D72">
            <v>72</v>
          </cell>
          <cell r="E72">
            <v>0</v>
          </cell>
          <cell r="F72">
            <v>0</v>
          </cell>
          <cell r="G72">
            <v>0</v>
          </cell>
          <cell r="H72">
            <v>0</v>
          </cell>
          <cell r="I72">
            <v>145</v>
          </cell>
        </row>
        <row r="73">
          <cell r="A73">
            <v>395002</v>
          </cell>
          <cell r="B73" t="str">
            <v>Dwight D. Eisenhower Elementary School</v>
          </cell>
          <cell r="C73">
            <v>89</v>
          </cell>
          <cell r="D73">
            <v>101</v>
          </cell>
          <cell r="E73">
            <v>0</v>
          </cell>
          <cell r="F73">
            <v>0</v>
          </cell>
          <cell r="G73">
            <v>0</v>
          </cell>
          <cell r="H73">
            <v>0</v>
          </cell>
          <cell r="I73">
            <v>190</v>
          </cell>
        </row>
        <row r="74">
          <cell r="A74">
            <v>395003</v>
          </cell>
          <cell r="B74" t="str">
            <v>William J. Fischer Elementary School</v>
          </cell>
          <cell r="C74">
            <v>56</v>
          </cell>
          <cell r="D74">
            <v>66</v>
          </cell>
          <cell r="E74">
            <v>0</v>
          </cell>
          <cell r="F74">
            <v>0</v>
          </cell>
          <cell r="G74">
            <v>0</v>
          </cell>
          <cell r="H74">
            <v>0</v>
          </cell>
          <cell r="I74">
            <v>122</v>
          </cell>
        </row>
        <row r="75">
          <cell r="A75">
            <v>395004</v>
          </cell>
          <cell r="B75" t="str">
            <v>McDonogh #32 Elementary School</v>
          </cell>
          <cell r="C75">
            <v>62</v>
          </cell>
          <cell r="D75">
            <v>65</v>
          </cell>
          <cell r="E75">
            <v>0</v>
          </cell>
          <cell r="F75">
            <v>0</v>
          </cell>
          <cell r="G75">
            <v>0</v>
          </cell>
          <cell r="H75">
            <v>0</v>
          </cell>
          <cell r="I75">
            <v>127</v>
          </cell>
        </row>
        <row r="76">
          <cell r="A76">
            <v>395005</v>
          </cell>
          <cell r="B76" t="str">
            <v>Lord Beaconsfield Landry-Oliver Perry Walker High</v>
          </cell>
          <cell r="C76">
            <v>0</v>
          </cell>
          <cell r="D76">
            <v>0</v>
          </cell>
          <cell r="E76">
            <v>292</v>
          </cell>
          <cell r="F76">
            <v>289</v>
          </cell>
          <cell r="G76">
            <v>245</v>
          </cell>
          <cell r="H76">
            <v>344</v>
          </cell>
          <cell r="I76">
            <v>1170</v>
          </cell>
        </row>
        <row r="77">
          <cell r="A77">
            <v>395007</v>
          </cell>
          <cell r="B77" t="str">
            <v>Algiers Technology Academy</v>
          </cell>
          <cell r="C77">
            <v>0</v>
          </cell>
          <cell r="D77">
            <v>0</v>
          </cell>
          <cell r="E77">
            <v>69</v>
          </cell>
          <cell r="F77">
            <v>55</v>
          </cell>
          <cell r="G77">
            <v>54</v>
          </cell>
          <cell r="H77">
            <v>56</v>
          </cell>
          <cell r="I77">
            <v>234</v>
          </cell>
        </row>
        <row r="78">
          <cell r="A78">
            <v>396</v>
          </cell>
          <cell r="B78" t="str">
            <v>RSD-Orleans</v>
          </cell>
          <cell r="C78">
            <v>29</v>
          </cell>
          <cell r="D78">
            <v>35</v>
          </cell>
          <cell r="E78">
            <v>0</v>
          </cell>
          <cell r="F78">
            <v>4</v>
          </cell>
          <cell r="G78">
            <v>83</v>
          </cell>
          <cell r="H78">
            <v>187</v>
          </cell>
          <cell r="I78">
            <v>338</v>
          </cell>
        </row>
        <row r="79">
          <cell r="A79">
            <v>396200</v>
          </cell>
          <cell r="B79" t="str">
            <v>St. Helena Central Middle School</v>
          </cell>
          <cell r="C79">
            <v>69</v>
          </cell>
          <cell r="D79">
            <v>75</v>
          </cell>
          <cell r="E79">
            <v>0</v>
          </cell>
          <cell r="F79">
            <v>0</v>
          </cell>
          <cell r="G79">
            <v>0</v>
          </cell>
          <cell r="H79">
            <v>0</v>
          </cell>
          <cell r="I79">
            <v>144</v>
          </cell>
        </row>
        <row r="80">
          <cell r="A80">
            <v>396201</v>
          </cell>
          <cell r="B80" t="str">
            <v>Linear Leadership Academy</v>
          </cell>
          <cell r="C80">
            <v>51</v>
          </cell>
          <cell r="D80">
            <v>55</v>
          </cell>
          <cell r="E80">
            <v>0</v>
          </cell>
          <cell r="F80">
            <v>0</v>
          </cell>
          <cell r="G80">
            <v>0</v>
          </cell>
          <cell r="H80">
            <v>0</v>
          </cell>
          <cell r="I80">
            <v>106</v>
          </cell>
        </row>
        <row r="81">
          <cell r="A81">
            <v>396202</v>
          </cell>
          <cell r="B81" t="str">
            <v>Capitol High School</v>
          </cell>
          <cell r="C81">
            <v>0</v>
          </cell>
          <cell r="D81">
            <v>0</v>
          </cell>
          <cell r="E81">
            <v>53</v>
          </cell>
          <cell r="F81">
            <v>61</v>
          </cell>
          <cell r="G81">
            <v>58</v>
          </cell>
          <cell r="H81">
            <v>57</v>
          </cell>
          <cell r="I81">
            <v>229</v>
          </cell>
        </row>
        <row r="82">
          <cell r="A82">
            <v>396204</v>
          </cell>
          <cell r="B82" t="str">
            <v>Istrouma Senior High School</v>
          </cell>
          <cell r="C82">
            <v>0</v>
          </cell>
          <cell r="D82">
            <v>0</v>
          </cell>
          <cell r="E82">
            <v>65</v>
          </cell>
          <cell r="F82">
            <v>55</v>
          </cell>
          <cell r="G82">
            <v>43</v>
          </cell>
          <cell r="H82">
            <v>73</v>
          </cell>
          <cell r="I82">
            <v>236</v>
          </cell>
        </row>
        <row r="83">
          <cell r="A83">
            <v>396205</v>
          </cell>
          <cell r="B83" t="str">
            <v>Glen Oaks Middle School</v>
          </cell>
          <cell r="C83">
            <v>60</v>
          </cell>
          <cell r="D83">
            <v>60</v>
          </cell>
          <cell r="E83">
            <v>0</v>
          </cell>
          <cell r="F83">
            <v>0</v>
          </cell>
          <cell r="G83">
            <v>0</v>
          </cell>
          <cell r="H83">
            <v>0</v>
          </cell>
          <cell r="I83">
            <v>120</v>
          </cell>
        </row>
        <row r="84">
          <cell r="A84">
            <v>396206</v>
          </cell>
          <cell r="B84" t="str">
            <v>Prescott Middle School</v>
          </cell>
          <cell r="C84">
            <v>45</v>
          </cell>
          <cell r="D84">
            <v>61</v>
          </cell>
          <cell r="E84">
            <v>0</v>
          </cell>
          <cell r="F84">
            <v>0</v>
          </cell>
          <cell r="G84">
            <v>0</v>
          </cell>
          <cell r="H84">
            <v>0</v>
          </cell>
          <cell r="I84">
            <v>106</v>
          </cell>
        </row>
        <row r="85">
          <cell r="A85">
            <v>396207</v>
          </cell>
          <cell r="B85" t="str">
            <v>Pointe Coupee Central High School</v>
          </cell>
          <cell r="C85">
            <v>0</v>
          </cell>
          <cell r="D85">
            <v>31</v>
          </cell>
          <cell r="E85">
            <v>48</v>
          </cell>
          <cell r="F85">
            <v>30</v>
          </cell>
          <cell r="G85">
            <v>33</v>
          </cell>
          <cell r="H85">
            <v>40</v>
          </cell>
          <cell r="I85">
            <v>182</v>
          </cell>
        </row>
        <row r="86">
          <cell r="A86">
            <v>396208</v>
          </cell>
          <cell r="B86" t="str">
            <v>Dalton Elementary School</v>
          </cell>
          <cell r="C86">
            <v>0</v>
          </cell>
          <cell r="D86">
            <v>0</v>
          </cell>
          <cell r="E86">
            <v>0</v>
          </cell>
          <cell r="F86">
            <v>0</v>
          </cell>
          <cell r="G86">
            <v>0</v>
          </cell>
          <cell r="H86">
            <v>0</v>
          </cell>
          <cell r="I86">
            <v>0</v>
          </cell>
        </row>
        <row r="87">
          <cell r="A87">
            <v>396209</v>
          </cell>
          <cell r="B87" t="str">
            <v>Lanier Elementary School</v>
          </cell>
          <cell r="C87">
            <v>0</v>
          </cell>
          <cell r="D87">
            <v>0</v>
          </cell>
          <cell r="E87">
            <v>0</v>
          </cell>
          <cell r="F87">
            <v>0</v>
          </cell>
          <cell r="G87">
            <v>0</v>
          </cell>
          <cell r="H87">
            <v>0</v>
          </cell>
          <cell r="I87">
            <v>0</v>
          </cell>
        </row>
        <row r="88">
          <cell r="A88">
            <v>396210</v>
          </cell>
          <cell r="B88" t="str">
            <v>Crestworth Middle School</v>
          </cell>
          <cell r="C88">
            <v>49</v>
          </cell>
          <cell r="D88">
            <v>68</v>
          </cell>
          <cell r="E88">
            <v>0</v>
          </cell>
          <cell r="F88">
            <v>0</v>
          </cell>
          <cell r="G88">
            <v>0</v>
          </cell>
          <cell r="H88">
            <v>0</v>
          </cell>
          <cell r="I88">
            <v>117</v>
          </cell>
        </row>
        <row r="89">
          <cell r="A89">
            <v>397001</v>
          </cell>
          <cell r="B89" t="str">
            <v>Sophie B. Wright Learning Academy</v>
          </cell>
          <cell r="C89">
            <v>57</v>
          </cell>
          <cell r="D89">
            <v>78</v>
          </cell>
          <cell r="E89">
            <v>73</v>
          </cell>
          <cell r="F89">
            <v>68</v>
          </cell>
          <cell r="G89">
            <v>71</v>
          </cell>
          <cell r="H89">
            <v>76</v>
          </cell>
          <cell r="I89">
            <v>423</v>
          </cell>
        </row>
        <row r="90">
          <cell r="A90">
            <v>398001</v>
          </cell>
          <cell r="B90" t="str">
            <v>KIPP Believe College Prep (Phillips)</v>
          </cell>
          <cell r="C90">
            <v>105</v>
          </cell>
          <cell r="D90">
            <v>98</v>
          </cell>
          <cell r="E90">
            <v>0</v>
          </cell>
          <cell r="F90">
            <v>0</v>
          </cell>
          <cell r="G90">
            <v>0</v>
          </cell>
          <cell r="H90">
            <v>0</v>
          </cell>
          <cell r="I90">
            <v>203</v>
          </cell>
        </row>
        <row r="91">
          <cell r="A91">
            <v>398002</v>
          </cell>
          <cell r="B91" t="str">
            <v>KIPP McDonogh 15 School for the Creative Arts</v>
          </cell>
          <cell r="C91">
            <v>103</v>
          </cell>
          <cell r="D91">
            <v>110</v>
          </cell>
          <cell r="E91">
            <v>0</v>
          </cell>
          <cell r="F91">
            <v>0</v>
          </cell>
          <cell r="G91">
            <v>0</v>
          </cell>
          <cell r="H91">
            <v>0</v>
          </cell>
          <cell r="I91">
            <v>213</v>
          </cell>
        </row>
        <row r="92">
          <cell r="A92">
            <v>398003</v>
          </cell>
          <cell r="B92" t="str">
            <v>KIPP Central City Academy</v>
          </cell>
          <cell r="C92">
            <v>99</v>
          </cell>
          <cell r="D92">
            <v>114</v>
          </cell>
          <cell r="E92">
            <v>0</v>
          </cell>
          <cell r="F92">
            <v>0</v>
          </cell>
          <cell r="G92">
            <v>0</v>
          </cell>
          <cell r="H92">
            <v>0</v>
          </cell>
          <cell r="I92">
            <v>213</v>
          </cell>
        </row>
        <row r="93">
          <cell r="A93">
            <v>398004</v>
          </cell>
          <cell r="B93" t="str">
            <v>KIPP Central City Primary</v>
          </cell>
          <cell r="C93">
            <v>0</v>
          </cell>
          <cell r="D93">
            <v>0</v>
          </cell>
          <cell r="E93">
            <v>0</v>
          </cell>
          <cell r="F93">
            <v>0</v>
          </cell>
          <cell r="G93">
            <v>0</v>
          </cell>
          <cell r="H93">
            <v>0</v>
          </cell>
          <cell r="I93">
            <v>0</v>
          </cell>
        </row>
        <row r="94">
          <cell r="A94">
            <v>398005</v>
          </cell>
          <cell r="B94" t="str">
            <v>KIPP Renaissance High School</v>
          </cell>
          <cell r="C94">
            <v>0</v>
          </cell>
          <cell r="D94">
            <v>0</v>
          </cell>
          <cell r="E94">
            <v>118</v>
          </cell>
          <cell r="F94">
            <v>102</v>
          </cell>
          <cell r="G94">
            <v>99</v>
          </cell>
          <cell r="H94">
            <v>99</v>
          </cell>
          <cell r="I94">
            <v>418</v>
          </cell>
        </row>
        <row r="95">
          <cell r="A95">
            <v>398006</v>
          </cell>
          <cell r="B95" t="str">
            <v>KIPP New Orleans Leadership Academy</v>
          </cell>
          <cell r="C95">
            <v>109</v>
          </cell>
          <cell r="D95">
            <v>99</v>
          </cell>
          <cell r="E95">
            <v>0</v>
          </cell>
          <cell r="F95">
            <v>0</v>
          </cell>
          <cell r="G95">
            <v>0</v>
          </cell>
          <cell r="H95">
            <v>0</v>
          </cell>
          <cell r="I95">
            <v>208</v>
          </cell>
        </row>
        <row r="96">
          <cell r="A96">
            <v>399001</v>
          </cell>
          <cell r="B96" t="str">
            <v>Samuel J. Green Charter School</v>
          </cell>
          <cell r="C96">
            <v>51</v>
          </cell>
          <cell r="D96">
            <v>58</v>
          </cell>
          <cell r="E96">
            <v>0</v>
          </cell>
          <cell r="F96">
            <v>0</v>
          </cell>
          <cell r="G96">
            <v>0</v>
          </cell>
          <cell r="H96">
            <v>0</v>
          </cell>
          <cell r="I96">
            <v>109</v>
          </cell>
        </row>
        <row r="97">
          <cell r="A97">
            <v>399002</v>
          </cell>
          <cell r="B97" t="str">
            <v>Arthur Ashe Charter School</v>
          </cell>
          <cell r="C97">
            <v>61</v>
          </cell>
          <cell r="D97">
            <v>32</v>
          </cell>
          <cell r="E97">
            <v>0</v>
          </cell>
          <cell r="F97">
            <v>0</v>
          </cell>
          <cell r="G97">
            <v>0</v>
          </cell>
          <cell r="H97">
            <v>0</v>
          </cell>
          <cell r="I97">
            <v>93</v>
          </cell>
        </row>
        <row r="98">
          <cell r="A98">
            <v>399003</v>
          </cell>
          <cell r="B98" t="str">
            <v>Joseph S. Clark Preparatory High School</v>
          </cell>
          <cell r="C98">
            <v>0</v>
          </cell>
          <cell r="D98">
            <v>0</v>
          </cell>
          <cell r="E98">
            <v>130</v>
          </cell>
          <cell r="F98">
            <v>94</v>
          </cell>
          <cell r="G98">
            <v>86</v>
          </cell>
          <cell r="H98">
            <v>69</v>
          </cell>
          <cell r="I98">
            <v>379</v>
          </cell>
        </row>
        <row r="99">
          <cell r="A99">
            <v>399004</v>
          </cell>
          <cell r="B99" t="str">
            <v>John Dibert Community School</v>
          </cell>
          <cell r="C99">
            <v>60</v>
          </cell>
          <cell r="D99">
            <v>58</v>
          </cell>
          <cell r="E99">
            <v>0</v>
          </cell>
          <cell r="F99">
            <v>0</v>
          </cell>
          <cell r="G99">
            <v>0</v>
          </cell>
          <cell r="H99">
            <v>0</v>
          </cell>
          <cell r="I99">
            <v>118</v>
          </cell>
        </row>
        <row r="100">
          <cell r="A100">
            <v>399005</v>
          </cell>
          <cell r="B100" t="str">
            <v>Langston Hughes Charter Academy</v>
          </cell>
          <cell r="C100">
            <v>88</v>
          </cell>
          <cell r="D100">
            <v>72</v>
          </cell>
          <cell r="E100">
            <v>0</v>
          </cell>
          <cell r="F100">
            <v>0</v>
          </cell>
          <cell r="G100">
            <v>0</v>
          </cell>
          <cell r="H100">
            <v>0</v>
          </cell>
          <cell r="I100">
            <v>160</v>
          </cell>
        </row>
        <row r="101">
          <cell r="A101" t="str">
            <v>3A1001</v>
          </cell>
          <cell r="B101" t="str">
            <v>JCFA-East</v>
          </cell>
          <cell r="C101">
            <v>0</v>
          </cell>
          <cell r="D101">
            <v>6</v>
          </cell>
          <cell r="E101">
            <v>34</v>
          </cell>
          <cell r="F101">
            <v>17</v>
          </cell>
          <cell r="G101">
            <v>19</v>
          </cell>
          <cell r="H101">
            <v>19</v>
          </cell>
          <cell r="I101">
            <v>95</v>
          </cell>
        </row>
        <row r="102">
          <cell r="A102" t="str">
            <v>3A2001</v>
          </cell>
          <cell r="B102" t="str">
            <v>Tallulah Charter School</v>
          </cell>
          <cell r="C102">
            <v>0</v>
          </cell>
          <cell r="D102">
            <v>0</v>
          </cell>
          <cell r="E102">
            <v>0</v>
          </cell>
          <cell r="F102">
            <v>0</v>
          </cell>
          <cell r="G102">
            <v>0</v>
          </cell>
          <cell r="H102">
            <v>0</v>
          </cell>
          <cell r="I102">
            <v>0</v>
          </cell>
        </row>
        <row r="103">
          <cell r="A103" t="str">
            <v>3A3001</v>
          </cell>
          <cell r="B103" t="str">
            <v>East Baton Rouge Charter Academy</v>
          </cell>
          <cell r="C103">
            <v>0</v>
          </cell>
          <cell r="D103">
            <v>0</v>
          </cell>
          <cell r="E103">
            <v>0</v>
          </cell>
          <cell r="F103">
            <v>0</v>
          </cell>
          <cell r="G103">
            <v>0</v>
          </cell>
          <cell r="H103">
            <v>0</v>
          </cell>
          <cell r="I103">
            <v>0</v>
          </cell>
        </row>
        <row r="104">
          <cell r="A104" t="str">
            <v>3A4001</v>
          </cell>
          <cell r="B104" t="str">
            <v>Delta Charter School, MST</v>
          </cell>
          <cell r="C104">
            <v>31</v>
          </cell>
          <cell r="D104">
            <v>37</v>
          </cell>
          <cell r="E104">
            <v>26</v>
          </cell>
          <cell r="F104">
            <v>0</v>
          </cell>
          <cell r="G104">
            <v>0</v>
          </cell>
          <cell r="H104">
            <v>0</v>
          </cell>
          <cell r="I104">
            <v>94</v>
          </cell>
        </row>
        <row r="105">
          <cell r="A105" t="str">
            <v>3A5001</v>
          </cell>
          <cell r="B105" t="str">
            <v>Mary D. Coghill Charter School</v>
          </cell>
          <cell r="C105">
            <v>61</v>
          </cell>
          <cell r="D105">
            <v>63</v>
          </cell>
          <cell r="E105">
            <v>0</v>
          </cell>
          <cell r="F105">
            <v>0</v>
          </cell>
          <cell r="G105">
            <v>0</v>
          </cell>
          <cell r="H105">
            <v>0</v>
          </cell>
          <cell r="I105">
            <v>124</v>
          </cell>
        </row>
        <row r="106">
          <cell r="A106" t="str">
            <v>3A6001</v>
          </cell>
          <cell r="B106" t="str">
            <v>Northshore Charter School</v>
          </cell>
          <cell r="C106">
            <v>0</v>
          </cell>
          <cell r="D106">
            <v>0</v>
          </cell>
          <cell r="E106">
            <v>27</v>
          </cell>
          <cell r="F106">
            <v>0</v>
          </cell>
          <cell r="G106">
            <v>0</v>
          </cell>
          <cell r="H106">
            <v>0</v>
          </cell>
          <cell r="I106">
            <v>27</v>
          </cell>
        </row>
        <row r="107">
          <cell r="A107" t="str">
            <v>3A7001</v>
          </cell>
          <cell r="B107" t="str">
            <v>Louisiana Key Academy</v>
          </cell>
          <cell r="C107">
            <v>0</v>
          </cell>
          <cell r="D107">
            <v>0</v>
          </cell>
          <cell r="E107">
            <v>0</v>
          </cell>
          <cell r="F107">
            <v>0</v>
          </cell>
          <cell r="G107">
            <v>0</v>
          </cell>
          <cell r="H107">
            <v>0</v>
          </cell>
          <cell r="I107">
            <v>0</v>
          </cell>
        </row>
        <row r="108">
          <cell r="A108" t="str">
            <v>A02</v>
          </cell>
          <cell r="B108" t="str">
            <v>OJJ</v>
          </cell>
          <cell r="C108">
            <v>23</v>
          </cell>
          <cell r="D108">
            <v>96</v>
          </cell>
          <cell r="E108">
            <v>147</v>
          </cell>
          <cell r="F108">
            <v>47</v>
          </cell>
          <cell r="G108">
            <v>18</v>
          </cell>
          <cell r="H108">
            <v>10</v>
          </cell>
          <cell r="I108">
            <v>341</v>
          </cell>
        </row>
        <row r="109">
          <cell r="I109">
            <v>0</v>
          </cell>
        </row>
        <row r="110">
          <cell r="A110">
            <v>101005</v>
          </cell>
          <cell r="B110" t="str">
            <v>Eastern LA Mental System</v>
          </cell>
          <cell r="C110">
            <v>0</v>
          </cell>
          <cell r="D110">
            <v>0</v>
          </cell>
          <cell r="E110">
            <v>0</v>
          </cell>
          <cell r="F110">
            <v>0</v>
          </cell>
          <cell r="G110">
            <v>0</v>
          </cell>
          <cell r="H110">
            <v>11</v>
          </cell>
          <cell r="I110">
            <v>11</v>
          </cell>
        </row>
        <row r="111">
          <cell r="A111">
            <v>101010</v>
          </cell>
          <cell r="B111" t="str">
            <v>Pinecrest Supports &amp; Services Center</v>
          </cell>
          <cell r="C111">
            <v>4</v>
          </cell>
          <cell r="D111">
            <v>7</v>
          </cell>
          <cell r="E111">
            <v>8</v>
          </cell>
          <cell r="F111">
            <v>10</v>
          </cell>
          <cell r="G111">
            <v>7</v>
          </cell>
          <cell r="H111">
            <v>13</v>
          </cell>
          <cell r="I111">
            <v>49</v>
          </cell>
        </row>
        <row r="112">
          <cell r="A112">
            <v>101017</v>
          </cell>
          <cell r="B112" t="str">
            <v>David Wade Correctional Center</v>
          </cell>
          <cell r="C112">
            <v>0</v>
          </cell>
          <cell r="D112">
            <v>0</v>
          </cell>
          <cell r="E112">
            <v>0</v>
          </cell>
          <cell r="F112">
            <v>0</v>
          </cell>
          <cell r="G112">
            <v>0</v>
          </cell>
          <cell r="H112">
            <v>5</v>
          </cell>
          <cell r="I112">
            <v>5</v>
          </cell>
        </row>
        <row r="113">
          <cell r="A113">
            <v>101019</v>
          </cell>
          <cell r="B113" t="str">
            <v>Elayn Hunt Correctional Center</v>
          </cell>
          <cell r="C113">
            <v>0</v>
          </cell>
          <cell r="D113">
            <v>0</v>
          </cell>
          <cell r="E113">
            <v>0</v>
          </cell>
          <cell r="F113">
            <v>0</v>
          </cell>
          <cell r="G113">
            <v>0</v>
          </cell>
          <cell r="H113">
            <v>5</v>
          </cell>
          <cell r="I113">
            <v>5</v>
          </cell>
        </row>
        <row r="114">
          <cell r="A114">
            <v>101020</v>
          </cell>
          <cell r="B114" t="str">
            <v>Louisiana Correctional Institute for Women</v>
          </cell>
          <cell r="C114">
            <v>0</v>
          </cell>
          <cell r="D114">
            <v>0</v>
          </cell>
          <cell r="E114">
            <v>0</v>
          </cell>
          <cell r="F114">
            <v>0</v>
          </cell>
          <cell r="G114">
            <v>0</v>
          </cell>
          <cell r="H114">
            <v>1</v>
          </cell>
          <cell r="I114">
            <v>1</v>
          </cell>
        </row>
        <row r="115">
          <cell r="A115">
            <v>101023</v>
          </cell>
          <cell r="B115" t="str">
            <v>Louisiana State Penitentiary</v>
          </cell>
          <cell r="C115">
            <v>0</v>
          </cell>
          <cell r="D115">
            <v>0</v>
          </cell>
          <cell r="E115">
            <v>0</v>
          </cell>
          <cell r="F115">
            <v>0</v>
          </cell>
          <cell r="G115">
            <v>0</v>
          </cell>
          <cell r="H115">
            <v>2</v>
          </cell>
          <cell r="I115">
            <v>2</v>
          </cell>
        </row>
        <row r="116">
          <cell r="A116">
            <v>101025</v>
          </cell>
          <cell r="B116" t="str">
            <v>Dixon Correctional Institute</v>
          </cell>
          <cell r="C116">
            <v>0</v>
          </cell>
          <cell r="D116">
            <v>0</v>
          </cell>
          <cell r="E116">
            <v>0</v>
          </cell>
          <cell r="F116">
            <v>0</v>
          </cell>
          <cell r="G116">
            <v>0</v>
          </cell>
          <cell r="H116">
            <v>7</v>
          </cell>
          <cell r="I116">
            <v>7</v>
          </cell>
        </row>
        <row r="117">
          <cell r="A117">
            <v>101026</v>
          </cell>
          <cell r="B117" t="str">
            <v>Rayburn Correctional Institute</v>
          </cell>
          <cell r="C117">
            <v>0</v>
          </cell>
          <cell r="D117">
            <v>0</v>
          </cell>
          <cell r="E117">
            <v>0</v>
          </cell>
          <cell r="F117">
            <v>0</v>
          </cell>
          <cell r="G117">
            <v>0</v>
          </cell>
          <cell r="H117">
            <v>7</v>
          </cell>
          <cell r="I117">
            <v>7</v>
          </cell>
        </row>
        <row r="118">
          <cell r="A118">
            <v>101027</v>
          </cell>
          <cell r="B118" t="str">
            <v>Avoyelles Correctional Center</v>
          </cell>
          <cell r="C118">
            <v>0</v>
          </cell>
          <cell r="D118">
            <v>0</v>
          </cell>
          <cell r="E118">
            <v>0</v>
          </cell>
          <cell r="F118">
            <v>0</v>
          </cell>
          <cell r="G118">
            <v>0</v>
          </cell>
          <cell r="H118">
            <v>8</v>
          </cell>
          <cell r="I118">
            <v>8</v>
          </cell>
        </row>
        <row r="119">
          <cell r="A119">
            <v>101031</v>
          </cell>
          <cell r="B119" t="str">
            <v>Renaissance Home for Youth</v>
          </cell>
          <cell r="C119">
            <v>5</v>
          </cell>
          <cell r="D119">
            <v>8</v>
          </cell>
          <cell r="E119">
            <v>15</v>
          </cell>
          <cell r="F119">
            <v>2</v>
          </cell>
          <cell r="G119">
            <v>3</v>
          </cell>
          <cell r="H119">
            <v>0</v>
          </cell>
          <cell r="I119">
            <v>33</v>
          </cell>
        </row>
        <row r="120">
          <cell r="A120">
            <v>101032</v>
          </cell>
          <cell r="B120" t="str">
            <v>Allen Correctional Center</v>
          </cell>
          <cell r="C120">
            <v>0</v>
          </cell>
          <cell r="D120">
            <v>0</v>
          </cell>
          <cell r="E120">
            <v>0</v>
          </cell>
          <cell r="F120">
            <v>0</v>
          </cell>
          <cell r="G120">
            <v>0</v>
          </cell>
          <cell r="H120">
            <v>8</v>
          </cell>
          <cell r="I120">
            <v>8</v>
          </cell>
        </row>
        <row r="121">
          <cell r="A121">
            <v>101033</v>
          </cell>
          <cell r="B121" t="str">
            <v>Winn Correctional Center</v>
          </cell>
          <cell r="C121">
            <v>0</v>
          </cell>
          <cell r="D121">
            <v>0</v>
          </cell>
          <cell r="E121">
            <v>0</v>
          </cell>
          <cell r="F121">
            <v>0</v>
          </cell>
          <cell r="G121">
            <v>0</v>
          </cell>
          <cell r="H121">
            <v>4</v>
          </cell>
          <cell r="I121">
            <v>4</v>
          </cell>
        </row>
        <row r="122">
          <cell r="A122">
            <v>101034</v>
          </cell>
          <cell r="B122" t="str">
            <v>Brentwood Hospital</v>
          </cell>
          <cell r="C122">
            <v>4</v>
          </cell>
          <cell r="D122">
            <v>5</v>
          </cell>
          <cell r="E122">
            <v>7</v>
          </cell>
          <cell r="F122">
            <v>8</v>
          </cell>
          <cell r="G122">
            <v>2</v>
          </cell>
          <cell r="H122">
            <v>0</v>
          </cell>
          <cell r="I122">
            <v>26</v>
          </cell>
        </row>
        <row r="123">
          <cell r="A123">
            <v>101035</v>
          </cell>
          <cell r="B123" t="str">
            <v>Gateways Adolescent Treatment Center</v>
          </cell>
          <cell r="C123">
            <v>1</v>
          </cell>
          <cell r="D123">
            <v>2</v>
          </cell>
          <cell r="E123">
            <v>6</v>
          </cell>
          <cell r="F123">
            <v>4</v>
          </cell>
          <cell r="G123">
            <v>0</v>
          </cell>
          <cell r="H123">
            <v>0</v>
          </cell>
          <cell r="I123">
            <v>13</v>
          </cell>
        </row>
        <row r="124">
          <cell r="A124">
            <v>101036</v>
          </cell>
          <cell r="B124" t="str">
            <v>Methodist Home for Children of Greater New Orleans</v>
          </cell>
          <cell r="C124">
            <v>1</v>
          </cell>
          <cell r="D124">
            <v>2</v>
          </cell>
          <cell r="E124">
            <v>2</v>
          </cell>
          <cell r="F124">
            <v>1</v>
          </cell>
          <cell r="G124">
            <v>0</v>
          </cell>
          <cell r="H124">
            <v>0</v>
          </cell>
          <cell r="I124">
            <v>6</v>
          </cell>
        </row>
        <row r="125">
          <cell r="A125">
            <v>101037</v>
          </cell>
          <cell r="B125" t="str">
            <v>River Oaks Hospital</v>
          </cell>
          <cell r="C125">
            <v>0</v>
          </cell>
          <cell r="D125">
            <v>0</v>
          </cell>
          <cell r="E125">
            <v>0</v>
          </cell>
          <cell r="F125">
            <v>0</v>
          </cell>
          <cell r="G125">
            <v>0</v>
          </cell>
          <cell r="H125">
            <v>0</v>
          </cell>
          <cell r="I125">
            <v>0</v>
          </cell>
        </row>
        <row r="126">
          <cell r="A126">
            <v>101038</v>
          </cell>
          <cell r="B126" t="str">
            <v>Northlake Behavioral Health System</v>
          </cell>
          <cell r="C126">
            <v>5</v>
          </cell>
          <cell r="D126">
            <v>8</v>
          </cell>
          <cell r="E126">
            <v>6</v>
          </cell>
          <cell r="F126">
            <v>3</v>
          </cell>
          <cell r="G126">
            <v>4</v>
          </cell>
          <cell r="H126">
            <v>0</v>
          </cell>
          <cell r="I126">
            <v>26</v>
          </cell>
        </row>
        <row r="127">
          <cell r="A127">
            <v>101039</v>
          </cell>
          <cell r="B127" t="str">
            <v>Pinehill Alternative High School</v>
          </cell>
          <cell r="C127">
            <v>0</v>
          </cell>
          <cell r="D127">
            <v>4</v>
          </cell>
          <cell r="E127">
            <v>7</v>
          </cell>
          <cell r="F127">
            <v>1</v>
          </cell>
          <cell r="G127">
            <v>0</v>
          </cell>
          <cell r="H127">
            <v>0</v>
          </cell>
          <cell r="I127">
            <v>12</v>
          </cell>
        </row>
        <row r="128">
          <cell r="C128">
            <v>20</v>
          </cell>
          <cell r="D128">
            <v>36</v>
          </cell>
          <cell r="E128">
            <v>51</v>
          </cell>
          <cell r="F128">
            <v>29</v>
          </cell>
          <cell r="G128">
            <v>16</v>
          </cell>
          <cell r="H128">
            <v>71</v>
          </cell>
          <cell r="I128">
            <v>223</v>
          </cell>
        </row>
        <row r="129">
          <cell r="I129">
            <v>0</v>
          </cell>
        </row>
        <row r="130">
          <cell r="A130" t="str">
            <v>A02002</v>
          </cell>
          <cell r="B130" t="str">
            <v>Riverside Alternative High School</v>
          </cell>
          <cell r="C130">
            <v>9</v>
          </cell>
          <cell r="D130">
            <v>21</v>
          </cell>
          <cell r="E130">
            <v>39</v>
          </cell>
          <cell r="F130">
            <v>25</v>
          </cell>
          <cell r="G130">
            <v>11</v>
          </cell>
          <cell r="H130">
            <v>2</v>
          </cell>
          <cell r="I130">
            <v>107</v>
          </cell>
        </row>
        <row r="131">
          <cell r="A131" t="str">
            <v>A02003</v>
          </cell>
          <cell r="B131" t="str">
            <v>Southside Alternative High School</v>
          </cell>
          <cell r="C131">
            <v>7</v>
          </cell>
          <cell r="D131">
            <v>52</v>
          </cell>
          <cell r="E131">
            <v>67</v>
          </cell>
          <cell r="F131">
            <v>13</v>
          </cell>
          <cell r="G131">
            <v>5</v>
          </cell>
          <cell r="H131">
            <v>4</v>
          </cell>
          <cell r="I131">
            <v>148</v>
          </cell>
        </row>
        <row r="132">
          <cell r="A132">
            <v>101018</v>
          </cell>
          <cell r="B132" t="str">
            <v>Scenic Alternative High School</v>
          </cell>
          <cell r="C132">
            <v>0</v>
          </cell>
          <cell r="D132">
            <v>1</v>
          </cell>
          <cell r="E132">
            <v>2</v>
          </cell>
          <cell r="F132">
            <v>0</v>
          </cell>
          <cell r="G132">
            <v>0</v>
          </cell>
          <cell r="H132">
            <v>0</v>
          </cell>
          <cell r="I132">
            <v>3</v>
          </cell>
        </row>
        <row r="133">
          <cell r="A133">
            <v>101021</v>
          </cell>
          <cell r="B133" t="str">
            <v>Riverside Alternative High School</v>
          </cell>
          <cell r="C133">
            <v>6</v>
          </cell>
          <cell r="D133">
            <v>10</v>
          </cell>
          <cell r="E133">
            <v>17</v>
          </cell>
          <cell r="F133">
            <v>6</v>
          </cell>
          <cell r="G133">
            <v>1</v>
          </cell>
          <cell r="H133">
            <v>2</v>
          </cell>
          <cell r="I133">
            <v>42</v>
          </cell>
        </row>
        <row r="134">
          <cell r="A134">
            <v>101022</v>
          </cell>
          <cell r="B134" t="str">
            <v>Southside Alternative High School</v>
          </cell>
          <cell r="C134">
            <v>1</v>
          </cell>
          <cell r="D134">
            <v>12</v>
          </cell>
          <cell r="E134">
            <v>22</v>
          </cell>
          <cell r="F134">
            <v>3</v>
          </cell>
          <cell r="G134">
            <v>1</v>
          </cell>
          <cell r="H134">
            <v>2</v>
          </cell>
          <cell r="I134">
            <v>41</v>
          </cell>
        </row>
        <row r="135">
          <cell r="C135">
            <v>23</v>
          </cell>
          <cell r="D135">
            <v>96</v>
          </cell>
          <cell r="E135">
            <v>147</v>
          </cell>
          <cell r="F135">
            <v>47</v>
          </cell>
          <cell r="G135">
            <v>18</v>
          </cell>
          <cell r="H135">
            <v>10</v>
          </cell>
          <cell r="I135">
            <v>341</v>
          </cell>
        </row>
        <row r="136">
          <cell r="I136">
            <v>0</v>
          </cell>
        </row>
        <row r="137">
          <cell r="A137">
            <v>304001</v>
          </cell>
          <cell r="B137" t="str">
            <v>Louisiana School for the Deaf</v>
          </cell>
          <cell r="C137">
            <v>21</v>
          </cell>
          <cell r="D137">
            <v>8</v>
          </cell>
          <cell r="E137">
            <v>8</v>
          </cell>
          <cell r="F137">
            <v>12</v>
          </cell>
          <cell r="G137">
            <v>15</v>
          </cell>
          <cell r="H137">
            <v>19</v>
          </cell>
          <cell r="I137">
            <v>83</v>
          </cell>
        </row>
        <row r="138">
          <cell r="A138">
            <v>304002</v>
          </cell>
          <cell r="B138" t="str">
            <v>Louisiana School for the Visually Impaired</v>
          </cell>
          <cell r="C138">
            <v>3</v>
          </cell>
          <cell r="D138">
            <v>11</v>
          </cell>
          <cell r="E138">
            <v>5</v>
          </cell>
          <cell r="F138">
            <v>7</v>
          </cell>
          <cell r="G138">
            <v>4</v>
          </cell>
          <cell r="H138">
            <v>5</v>
          </cell>
          <cell r="I138">
            <v>35</v>
          </cell>
        </row>
        <row r="139">
          <cell r="C139">
            <v>24</v>
          </cell>
          <cell r="D139">
            <v>19</v>
          </cell>
          <cell r="E139">
            <v>13</v>
          </cell>
          <cell r="F139">
            <v>19</v>
          </cell>
          <cell r="G139">
            <v>19</v>
          </cell>
          <cell r="H139">
            <v>24</v>
          </cell>
          <cell r="I139">
            <v>118</v>
          </cell>
        </row>
        <row r="140">
          <cell r="I140">
            <v>0</v>
          </cell>
        </row>
        <row r="141">
          <cell r="A141">
            <v>396003</v>
          </cell>
          <cell r="B141" t="str">
            <v>Benjamin Banneker Elementary School</v>
          </cell>
          <cell r="C141">
            <v>29</v>
          </cell>
          <cell r="D141">
            <v>35</v>
          </cell>
          <cell r="E141">
            <v>0</v>
          </cell>
          <cell r="F141">
            <v>0</v>
          </cell>
          <cell r="G141">
            <v>0</v>
          </cell>
          <cell r="H141">
            <v>0</v>
          </cell>
          <cell r="I141">
            <v>64</v>
          </cell>
        </row>
        <row r="142">
          <cell r="A142">
            <v>396004</v>
          </cell>
          <cell r="B142" t="str">
            <v>Walter L. Cohen High School</v>
          </cell>
          <cell r="C142">
            <v>0</v>
          </cell>
          <cell r="D142">
            <v>0</v>
          </cell>
          <cell r="E142">
            <v>0</v>
          </cell>
          <cell r="F142">
            <v>0</v>
          </cell>
          <cell r="G142">
            <v>0</v>
          </cell>
          <cell r="H142">
            <v>43</v>
          </cell>
          <cell r="I142">
            <v>43</v>
          </cell>
        </row>
        <row r="143">
          <cell r="A143">
            <v>396017</v>
          </cell>
          <cell r="B143" t="str">
            <v>Sarah Towles Reed Senior High School</v>
          </cell>
          <cell r="C143">
            <v>0</v>
          </cell>
          <cell r="D143">
            <v>0</v>
          </cell>
          <cell r="E143">
            <v>0</v>
          </cell>
          <cell r="F143">
            <v>4</v>
          </cell>
          <cell r="G143">
            <v>47</v>
          </cell>
          <cell r="H143">
            <v>97</v>
          </cell>
          <cell r="I143">
            <v>148</v>
          </cell>
        </row>
        <row r="144">
          <cell r="A144">
            <v>396019</v>
          </cell>
          <cell r="B144" t="str">
            <v>A.P. Tureaud Elementary School</v>
          </cell>
          <cell r="C144">
            <v>0</v>
          </cell>
          <cell r="D144">
            <v>0</v>
          </cell>
          <cell r="E144">
            <v>0</v>
          </cell>
          <cell r="F144">
            <v>0</v>
          </cell>
          <cell r="G144">
            <v>0</v>
          </cell>
          <cell r="H144">
            <v>0</v>
          </cell>
          <cell r="I144">
            <v>0</v>
          </cell>
        </row>
        <row r="145">
          <cell r="A145">
            <v>396026</v>
          </cell>
          <cell r="B145" t="str">
            <v>G.W. Carver High School</v>
          </cell>
          <cell r="C145">
            <v>0</v>
          </cell>
          <cell r="D145">
            <v>0</v>
          </cell>
          <cell r="E145">
            <v>0</v>
          </cell>
          <cell r="F145">
            <v>0</v>
          </cell>
          <cell r="G145">
            <v>36</v>
          </cell>
          <cell r="H145">
            <v>47</v>
          </cell>
          <cell r="I145">
            <v>83</v>
          </cell>
        </row>
        <row r="146">
          <cell r="A146">
            <v>396029</v>
          </cell>
          <cell r="B146" t="str">
            <v>F.W. Gregory Elementary School</v>
          </cell>
          <cell r="C146">
            <v>0</v>
          </cell>
          <cell r="D146">
            <v>0</v>
          </cell>
          <cell r="E146">
            <v>0</v>
          </cell>
          <cell r="F146">
            <v>0</v>
          </cell>
          <cell r="G146">
            <v>0</v>
          </cell>
          <cell r="H146">
            <v>0</v>
          </cell>
          <cell r="I146">
            <v>0</v>
          </cell>
        </row>
        <row r="147">
          <cell r="A147">
            <v>396700</v>
          </cell>
          <cell r="B147" t="str">
            <v>Recovery School District-LDE Central Office</v>
          </cell>
          <cell r="C147">
            <v>0</v>
          </cell>
          <cell r="D147">
            <v>0</v>
          </cell>
          <cell r="E147">
            <v>0</v>
          </cell>
          <cell r="F147">
            <v>0</v>
          </cell>
          <cell r="G147">
            <v>0</v>
          </cell>
          <cell r="H147">
            <v>0</v>
          </cell>
          <cell r="I147">
            <v>0</v>
          </cell>
        </row>
        <row r="148">
          <cell r="C148">
            <v>29</v>
          </cell>
          <cell r="D148">
            <v>35</v>
          </cell>
          <cell r="E148">
            <v>0</v>
          </cell>
          <cell r="F148">
            <v>4</v>
          </cell>
          <cell r="G148">
            <v>83</v>
          </cell>
          <cell r="H148">
            <v>187</v>
          </cell>
          <cell r="I148">
            <v>338</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2014-15 &amp; 13-14 Comparison"/>
      <sheetName val="Procedures"/>
      <sheetName val="FY2014-15 Initial"/>
      <sheetName val="Detail Calculation exclude debt"/>
      <sheetName val="Detail Calculation for debt"/>
      <sheetName val="Detail"/>
      <sheetName val="2.1.14 SIS"/>
      <sheetName val="10.1.13 SIS"/>
      <sheetName val="AFR Revenues"/>
      <sheetName val="AFR Expenditures"/>
    </sheetNames>
    <sheetDataSet>
      <sheetData sheetId="0"/>
      <sheetData sheetId="1"/>
      <sheetData sheetId="2">
        <row r="8">
          <cell r="K8">
            <v>2409</v>
          </cell>
        </row>
        <row r="9">
          <cell r="K9">
            <v>2829</v>
          </cell>
        </row>
        <row r="10">
          <cell r="K10">
            <v>5770</v>
          </cell>
        </row>
        <row r="11">
          <cell r="K11">
            <v>3287</v>
          </cell>
        </row>
        <row r="12">
          <cell r="K12">
            <v>1921</v>
          </cell>
        </row>
        <row r="13">
          <cell r="K13">
            <v>3807</v>
          </cell>
        </row>
        <row r="14">
          <cell r="K14">
            <v>11888</v>
          </cell>
        </row>
        <row r="15">
          <cell r="K15">
            <v>4024</v>
          </cell>
        </row>
        <row r="16">
          <cell r="D16">
            <v>4116</v>
          </cell>
          <cell r="K16">
            <v>4828</v>
          </cell>
        </row>
        <row r="17">
          <cell r="K17">
            <v>4565</v>
          </cell>
        </row>
        <row r="18">
          <cell r="K18">
            <v>3587</v>
          </cell>
        </row>
        <row r="19">
          <cell r="K19">
            <v>8094</v>
          </cell>
        </row>
        <row r="20">
          <cell r="K20">
            <v>2842</v>
          </cell>
        </row>
        <row r="21">
          <cell r="K21">
            <v>4205</v>
          </cell>
        </row>
        <row r="22">
          <cell r="K22">
            <v>2535</v>
          </cell>
        </row>
        <row r="23">
          <cell r="K23">
            <v>12768</v>
          </cell>
        </row>
        <row r="24">
          <cell r="D24">
            <v>6151</v>
          </cell>
          <cell r="K24">
            <v>7050</v>
          </cell>
        </row>
        <row r="25">
          <cell r="K25">
            <v>2526</v>
          </cell>
        </row>
        <row r="26">
          <cell r="K26">
            <v>2908</v>
          </cell>
        </row>
        <row r="27">
          <cell r="K27">
            <v>2432</v>
          </cell>
        </row>
        <row r="28">
          <cell r="K28">
            <v>2460</v>
          </cell>
        </row>
        <row r="29">
          <cell r="K29">
            <v>1613</v>
          </cell>
        </row>
        <row r="30">
          <cell r="K30">
            <v>3473</v>
          </cell>
        </row>
        <row r="31">
          <cell r="K31">
            <v>10053</v>
          </cell>
        </row>
        <row r="32">
          <cell r="K32">
            <v>5073</v>
          </cell>
        </row>
        <row r="33">
          <cell r="K33">
            <v>5260</v>
          </cell>
        </row>
        <row r="34">
          <cell r="K34">
            <v>3169</v>
          </cell>
        </row>
        <row r="35">
          <cell r="K35">
            <v>5790</v>
          </cell>
        </row>
        <row r="36">
          <cell r="K36">
            <v>5069</v>
          </cell>
        </row>
        <row r="37">
          <cell r="K37">
            <v>3609</v>
          </cell>
        </row>
        <row r="38">
          <cell r="K38">
            <v>5043</v>
          </cell>
        </row>
        <row r="39">
          <cell r="K39">
            <v>2121</v>
          </cell>
        </row>
        <row r="40">
          <cell r="K40">
            <v>3616</v>
          </cell>
        </row>
        <row r="41">
          <cell r="K41">
            <v>2721</v>
          </cell>
        </row>
        <row r="42">
          <cell r="K42">
            <v>3255</v>
          </cell>
        </row>
        <row r="43">
          <cell r="D43">
            <v>4670</v>
          </cell>
          <cell r="K43">
            <v>5435</v>
          </cell>
        </row>
        <row r="44">
          <cell r="K44">
            <v>3520</v>
          </cell>
        </row>
        <row r="45">
          <cell r="K45">
            <v>11379</v>
          </cell>
        </row>
        <row r="46">
          <cell r="K46">
            <v>4955</v>
          </cell>
        </row>
        <row r="47">
          <cell r="K47">
            <v>3069</v>
          </cell>
        </row>
        <row r="48">
          <cell r="K48">
            <v>8478</v>
          </cell>
        </row>
        <row r="49">
          <cell r="K49">
            <v>3578</v>
          </cell>
        </row>
        <row r="50">
          <cell r="K50">
            <v>3205</v>
          </cell>
        </row>
        <row r="51">
          <cell r="K51">
            <v>3719</v>
          </cell>
        </row>
        <row r="52">
          <cell r="K52">
            <v>12169</v>
          </cell>
        </row>
        <row r="53">
          <cell r="K53">
            <v>2713</v>
          </cell>
        </row>
        <row r="54">
          <cell r="K54">
            <v>11701</v>
          </cell>
        </row>
        <row r="55">
          <cell r="K55">
            <v>7338</v>
          </cell>
        </row>
        <row r="56">
          <cell r="K56">
            <v>2353</v>
          </cell>
        </row>
        <row r="57">
          <cell r="K57">
            <v>3510</v>
          </cell>
        </row>
        <row r="58">
          <cell r="K58">
            <v>4597</v>
          </cell>
        </row>
        <row r="59">
          <cell r="K59">
            <v>5212</v>
          </cell>
        </row>
        <row r="60">
          <cell r="K60">
            <v>2054</v>
          </cell>
        </row>
        <row r="61">
          <cell r="K61">
            <v>4116</v>
          </cell>
        </row>
        <row r="62">
          <cell r="K62">
            <v>3532</v>
          </cell>
        </row>
        <row r="63">
          <cell r="K63">
            <v>2865</v>
          </cell>
        </row>
        <row r="64">
          <cell r="K64">
            <v>3395</v>
          </cell>
        </row>
        <row r="65">
          <cell r="K65">
            <v>2084</v>
          </cell>
        </row>
        <row r="66">
          <cell r="K66">
            <v>1577</v>
          </cell>
        </row>
        <row r="67">
          <cell r="K67">
            <v>3922</v>
          </cell>
        </row>
        <row r="68">
          <cell r="K68">
            <v>6745</v>
          </cell>
        </row>
        <row r="69">
          <cell r="K69">
            <v>1908</v>
          </cell>
        </row>
        <row r="70">
          <cell r="K70">
            <v>7290</v>
          </cell>
        </row>
        <row r="71">
          <cell r="K71">
            <v>2721</v>
          </cell>
        </row>
        <row r="72">
          <cell r="K72">
            <v>5110</v>
          </cell>
        </row>
        <row r="73">
          <cell r="K73">
            <v>3369</v>
          </cell>
        </row>
        <row r="74">
          <cell r="K74">
            <v>5015</v>
          </cell>
        </row>
        <row r="75">
          <cell r="K75">
            <v>2669</v>
          </cell>
        </row>
        <row r="76">
          <cell r="K76">
            <v>3394</v>
          </cell>
        </row>
        <row r="77">
          <cell r="K77">
            <v>4663</v>
          </cell>
        </row>
      </sheetData>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111"/>
  <sheetViews>
    <sheetView showGridLines="0" view="pageBreakPreview" zoomScale="80" zoomScaleNormal="80" zoomScaleSheetLayoutView="80" workbookViewId="0">
      <pane xSplit="3" ySplit="8" topLeftCell="D9" activePane="bottomRight" state="frozen"/>
      <selection activeCell="B3" sqref="B3:B5"/>
      <selection pane="topRight" activeCell="B3" sqref="B3:B5"/>
      <selection pane="bottomLeft" activeCell="B3" sqref="B3:B5"/>
      <selection pane="bottomRight" activeCell="E21" sqref="E21:E30"/>
    </sheetView>
  </sheetViews>
  <sheetFormatPr defaultColWidth="9.109375" defaultRowHeight="13.2"/>
  <cols>
    <col min="1" max="1" width="4.33203125" style="594" customWidth="1"/>
    <col min="2" max="2" width="4.5546875" style="594" customWidth="1"/>
    <col min="3" max="3" width="66.6640625" style="594" customWidth="1"/>
    <col min="4" max="4" width="10.6640625" style="38" bestFit="1" customWidth="1"/>
    <col min="5" max="5" width="18.88671875" style="594" bestFit="1" customWidth="1"/>
    <col min="6" max="6" width="16.5546875" style="594" bestFit="1" customWidth="1"/>
    <col min="7" max="7" width="17" style="594" bestFit="1" customWidth="1"/>
    <col min="8" max="8" width="9.33203125" style="594" bestFit="1" customWidth="1"/>
    <col min="9" max="9" width="3" style="594" customWidth="1"/>
    <col min="10" max="10" width="15.33203125" style="594" bestFit="1" customWidth="1"/>
    <col min="11" max="11" width="3.33203125" style="594" customWidth="1"/>
    <col min="12" max="12" width="11.33203125" style="594" bestFit="1" customWidth="1"/>
    <col min="13" max="16384" width="9.109375" style="594"/>
  </cols>
  <sheetData>
    <row r="1" spans="1:12" ht="7.5" customHeight="1"/>
    <row r="2" spans="1:12" ht="24" customHeight="1">
      <c r="A2" s="1996" t="s">
        <v>790</v>
      </c>
      <c r="B2" s="1997"/>
      <c r="C2" s="1997"/>
      <c r="D2" s="1997"/>
      <c r="E2" s="1997"/>
      <c r="F2" s="1997"/>
      <c r="G2" s="1997"/>
      <c r="H2" s="1997"/>
    </row>
    <row r="3" spans="1:12" ht="29.25" customHeight="1">
      <c r="A3" s="1998" t="s">
        <v>589</v>
      </c>
      <c r="B3" s="1998"/>
      <c r="C3" s="1998"/>
      <c r="D3" s="1998"/>
      <c r="E3" s="1998"/>
      <c r="F3" s="1998"/>
      <c r="G3" s="1998"/>
      <c r="H3" s="1998"/>
    </row>
    <row r="4" spans="1:12" ht="6.75" customHeight="1" thickBot="1">
      <c r="A4" s="1999"/>
      <c r="B4" s="2000"/>
      <c r="C4" s="2000"/>
      <c r="D4" s="2000"/>
      <c r="E4" s="2000"/>
      <c r="F4" s="2000"/>
      <c r="G4" s="2000"/>
      <c r="H4" s="2000"/>
      <c r="J4" s="379"/>
    </row>
    <row r="5" spans="1:12" s="624" customFormat="1" ht="12" customHeight="1" thickTop="1">
      <c r="A5" s="19"/>
      <c r="B5" s="20"/>
      <c r="C5" s="32"/>
      <c r="D5" s="2012" t="s">
        <v>625</v>
      </c>
      <c r="E5" s="2001" t="s">
        <v>612</v>
      </c>
      <c r="F5" s="2001" t="s">
        <v>791</v>
      </c>
      <c r="G5" s="2006" t="s">
        <v>792</v>
      </c>
      <c r="H5" s="2009" t="s">
        <v>19</v>
      </c>
    </row>
    <row r="6" spans="1:12" ht="24" customHeight="1">
      <c r="A6" s="144"/>
      <c r="B6" s="138"/>
      <c r="C6" s="139"/>
      <c r="D6" s="2013"/>
      <c r="E6" s="2002"/>
      <c r="F6" s="2004"/>
      <c r="G6" s="2007"/>
      <c r="H6" s="2010"/>
    </row>
    <row r="7" spans="1:12" s="624" customFormat="1" ht="20.100000000000001" customHeight="1">
      <c r="A7" s="144"/>
      <c r="B7" s="138"/>
      <c r="C7" s="33"/>
      <c r="D7" s="2013"/>
      <c r="E7" s="2002"/>
      <c r="F7" s="2004"/>
      <c r="G7" s="2007"/>
      <c r="H7" s="2010"/>
    </row>
    <row r="8" spans="1:12" s="624" customFormat="1" ht="27.75" customHeight="1" thickBot="1">
      <c r="A8" s="145"/>
      <c r="B8" s="21"/>
      <c r="C8" s="94" t="s">
        <v>164</v>
      </c>
      <c r="D8" s="2014"/>
      <c r="E8" s="2003"/>
      <c r="F8" s="2005"/>
      <c r="G8" s="2008"/>
      <c r="H8" s="2011"/>
    </row>
    <row r="9" spans="1:12" s="624" customFormat="1" ht="20.25" customHeight="1" thickTop="1" thickBot="1">
      <c r="A9" s="879" t="s">
        <v>156</v>
      </c>
      <c r="B9" s="2015" t="s">
        <v>815</v>
      </c>
      <c r="C9" s="2016"/>
      <c r="D9" s="699" t="s">
        <v>617</v>
      </c>
      <c r="E9" s="722">
        <v>940547.9</v>
      </c>
      <c r="F9" s="722" t="e">
        <f>SUM(F10:F16)</f>
        <v>#REF!</v>
      </c>
      <c r="G9" s="749" t="e">
        <f>F9-E9</f>
        <v>#REF!</v>
      </c>
      <c r="H9" s="759" t="e">
        <f t="shared" ref="H9:H30" si="0">ROUND((F9/E9)-1,4)</f>
        <v>#REF!</v>
      </c>
      <c r="J9" s="722">
        <f>+'[1]Table 1 State Summary  (2)'!F10</f>
        <v>945068.5</v>
      </c>
      <c r="L9" s="722" t="e">
        <f t="shared" ref="L9:L71" si="1">+F9-J9</f>
        <v>#REF!</v>
      </c>
    </row>
    <row r="10" spans="1:12" s="353" customFormat="1" ht="20.25" customHeight="1">
      <c r="A10" s="147"/>
      <c r="B10" s="25" t="s">
        <v>148</v>
      </c>
      <c r="C10" s="836" t="s">
        <v>816</v>
      </c>
      <c r="D10" s="700" t="s">
        <v>624</v>
      </c>
      <c r="E10" s="723">
        <v>673908</v>
      </c>
      <c r="F10" s="723">
        <f>'Table 3 Levels 1&amp;2'!C73</f>
        <v>678570</v>
      </c>
      <c r="G10" s="722">
        <f>F10-E10</f>
        <v>4662</v>
      </c>
      <c r="H10" s="837"/>
      <c r="J10" s="723">
        <f>+'[1]Table 1 State Summary  (2)'!F11</f>
        <v>674822</v>
      </c>
      <c r="L10" s="723">
        <f t="shared" si="1"/>
        <v>3748</v>
      </c>
    </row>
    <row r="11" spans="1:12" s="624" customFormat="1" ht="18.75" customHeight="1">
      <c r="A11" s="147"/>
      <c r="B11" s="168" t="s">
        <v>149</v>
      </c>
      <c r="C11" s="683" t="s">
        <v>817</v>
      </c>
      <c r="D11" s="711" t="s">
        <v>626</v>
      </c>
      <c r="E11" s="724">
        <v>100693</v>
      </c>
      <c r="F11" s="725">
        <f>'Table 3 Levels 1&amp;2'!E73</f>
        <v>101540</v>
      </c>
      <c r="G11" s="750">
        <f t="shared" ref="G11:G30" si="2">F11-E11</f>
        <v>847</v>
      </c>
      <c r="H11" s="761">
        <f t="shared" si="0"/>
        <v>8.3999999999999995E-3</v>
      </c>
      <c r="J11" s="725">
        <f>+'[1]Table 1 State Summary  (2)'!F12</f>
        <v>100820</v>
      </c>
      <c r="L11" s="725">
        <f t="shared" si="1"/>
        <v>720</v>
      </c>
    </row>
    <row r="12" spans="1:12" s="624" customFormat="1" ht="18.75" customHeight="1">
      <c r="A12" s="147"/>
      <c r="B12" s="25" t="s">
        <v>797</v>
      </c>
      <c r="C12" s="683" t="s">
        <v>793</v>
      </c>
      <c r="D12" s="702" t="s">
        <v>628</v>
      </c>
      <c r="E12" s="725"/>
      <c r="F12" s="725" t="e">
        <f>+'Table 3 Levels 1&amp;2'!#REF!</f>
        <v>#REF!</v>
      </c>
      <c r="G12" s="750" t="e">
        <f t="shared" ref="G12" si="3">F12-E12</f>
        <v>#REF!</v>
      </c>
      <c r="H12" s="761"/>
      <c r="J12" s="725">
        <f>+'[1]Table 1 State Summary  (2)'!F12</f>
        <v>100820</v>
      </c>
      <c r="L12" s="725" t="e">
        <f t="shared" ref="L12" si="4">+F12-J12</f>
        <v>#REF!</v>
      </c>
    </row>
    <row r="13" spans="1:12" s="624" customFormat="1" ht="18.75" customHeight="1">
      <c r="A13" s="147"/>
      <c r="B13" s="25" t="s">
        <v>798</v>
      </c>
      <c r="C13" s="683" t="s">
        <v>794</v>
      </c>
      <c r="D13" s="702" t="s">
        <v>627</v>
      </c>
      <c r="E13" s="725">
        <v>13368</v>
      </c>
      <c r="F13" s="725">
        <f>'Table 3 Levels 1&amp;2'!G73</f>
        <v>13240</v>
      </c>
      <c r="G13" s="750">
        <f t="shared" si="2"/>
        <v>-128</v>
      </c>
      <c r="H13" s="760">
        <f t="shared" si="0"/>
        <v>-9.5999999999999992E-3</v>
      </c>
      <c r="J13" s="725">
        <f>+'[1]Table 1 State Summary  (2)'!F13</f>
        <v>10251</v>
      </c>
      <c r="L13" s="725">
        <f t="shared" si="1"/>
        <v>2989</v>
      </c>
    </row>
    <row r="14" spans="1:12" s="624" customFormat="1" ht="18.75" customHeight="1">
      <c r="A14" s="147"/>
      <c r="B14" s="25" t="s">
        <v>151</v>
      </c>
      <c r="C14" s="683" t="s">
        <v>614</v>
      </c>
      <c r="D14" s="702" t="s">
        <v>629</v>
      </c>
      <c r="E14" s="725">
        <v>121906.5</v>
      </c>
      <c r="F14" s="725">
        <f>'Table 3 Levels 1&amp;2'!I73</f>
        <v>123435</v>
      </c>
      <c r="G14" s="750">
        <f t="shared" si="2"/>
        <v>1528.5</v>
      </c>
      <c r="H14" s="760">
        <f t="shared" si="0"/>
        <v>1.2500000000000001E-2</v>
      </c>
      <c r="J14" s="725">
        <f>+'[1]Table 1 State Summary  (2)'!F15</f>
        <v>122437.5</v>
      </c>
      <c r="L14" s="725">
        <f t="shared" si="1"/>
        <v>997.5</v>
      </c>
    </row>
    <row r="15" spans="1:12" s="624" customFormat="1" ht="18.75" customHeight="1">
      <c r="A15" s="147"/>
      <c r="B15" s="25" t="s">
        <v>152</v>
      </c>
      <c r="C15" s="683" t="s">
        <v>795</v>
      </c>
      <c r="D15" s="702" t="s">
        <v>630</v>
      </c>
      <c r="E15" s="725">
        <v>17447.400000000005</v>
      </c>
      <c r="F15" s="725">
        <f>'Table 3 Levels 1&amp;2'!K73</f>
        <v>17713</v>
      </c>
      <c r="G15" s="750">
        <f t="shared" si="2"/>
        <v>265.59999999999491</v>
      </c>
      <c r="H15" s="760">
        <f t="shared" si="0"/>
        <v>1.52E-2</v>
      </c>
      <c r="J15" s="725">
        <f>+'[1]Table 1 State Summary  (2)'!F16</f>
        <v>17448.000000000007</v>
      </c>
      <c r="L15" s="725">
        <f t="shared" si="1"/>
        <v>264.99999999999272</v>
      </c>
    </row>
    <row r="16" spans="1:12" s="624" customFormat="1" ht="16.2" thickBot="1">
      <c r="A16" s="148"/>
      <c r="B16" s="843" t="s">
        <v>153</v>
      </c>
      <c r="C16" s="844" t="s">
        <v>796</v>
      </c>
      <c r="D16" s="845" t="s">
        <v>774</v>
      </c>
      <c r="E16" s="846">
        <v>13225</v>
      </c>
      <c r="F16" s="846">
        <f>'Table 3 Levels 1&amp;2'!N73</f>
        <v>13162</v>
      </c>
      <c r="G16" s="847">
        <f t="shared" si="2"/>
        <v>-63</v>
      </c>
      <c r="H16" s="848">
        <f t="shared" si="0"/>
        <v>-4.7999999999999996E-3</v>
      </c>
      <c r="J16" s="726">
        <f>+'[1]Table 1 State Summary  (2)'!F17</f>
        <v>13215</v>
      </c>
      <c r="L16" s="726">
        <f t="shared" si="1"/>
        <v>-53</v>
      </c>
    </row>
    <row r="17" spans="1:12" s="624" customFormat="1" ht="18.75" customHeight="1" thickTop="1" thickBot="1">
      <c r="A17" s="838" t="s">
        <v>157</v>
      </c>
      <c r="B17" s="839" t="s">
        <v>828</v>
      </c>
      <c r="C17" s="839"/>
      <c r="D17" s="842" t="s">
        <v>616</v>
      </c>
      <c r="E17" s="840">
        <v>3855</v>
      </c>
      <c r="F17" s="840">
        <f>'Table 3 Levels 1&amp;2'!Q1</f>
        <v>3961</v>
      </c>
      <c r="G17" s="840">
        <f>F17-E17</f>
        <v>106</v>
      </c>
      <c r="H17" s="841">
        <f t="shared" ref="H17" si="5">ROUND((F17/E17)-1,4)</f>
        <v>2.75E-2</v>
      </c>
      <c r="J17" s="721">
        <f>+'[1]Table 1 State Summary  (2)'!F18</f>
        <v>3743416333</v>
      </c>
      <c r="L17" s="721">
        <f>+F17-J17</f>
        <v>-3743412372</v>
      </c>
    </row>
    <row r="18" spans="1:12" s="624" customFormat="1" ht="15.6">
      <c r="A18" s="147" t="s">
        <v>158</v>
      </c>
      <c r="B18" s="22" t="s">
        <v>818</v>
      </c>
      <c r="C18" s="27"/>
      <c r="D18" s="702" t="s">
        <v>775</v>
      </c>
      <c r="E18" s="835">
        <v>3625812169</v>
      </c>
      <c r="F18" s="835">
        <f>'Table 3 Levels 1&amp;2'!R73</f>
        <v>3753681260</v>
      </c>
      <c r="G18" s="735">
        <f t="shared" si="2"/>
        <v>127869091</v>
      </c>
      <c r="H18" s="760">
        <f t="shared" si="0"/>
        <v>3.5299999999999998E-2</v>
      </c>
      <c r="J18" s="727">
        <f>+'[1]Table 1 State Summary  (2)'!F18</f>
        <v>3743416333</v>
      </c>
      <c r="L18" s="727">
        <f t="shared" si="1"/>
        <v>10264927</v>
      </c>
    </row>
    <row r="19" spans="1:12" s="624" customFormat="1" ht="21.75" customHeight="1">
      <c r="A19" s="804"/>
      <c r="B19" s="805" t="s">
        <v>148</v>
      </c>
      <c r="C19" s="806" t="s">
        <v>819</v>
      </c>
      <c r="D19" s="807" t="s">
        <v>632</v>
      </c>
      <c r="E19" s="808">
        <v>2356737142.75</v>
      </c>
      <c r="F19" s="808">
        <f>'Table 3 Levels 1&amp;2'!U73</f>
        <v>2439942287</v>
      </c>
      <c r="G19" s="809">
        <f t="shared" si="2"/>
        <v>83205144.25</v>
      </c>
      <c r="H19" s="810">
        <f t="shared" si="0"/>
        <v>3.5299999999999998E-2</v>
      </c>
      <c r="J19" s="808">
        <f>+'[1]Table 1 State Summary  (2)'!F19</f>
        <v>2433401062.5</v>
      </c>
      <c r="L19" s="808">
        <f t="shared" si="1"/>
        <v>6541224.5</v>
      </c>
    </row>
    <row r="20" spans="1:12" s="624" customFormat="1" ht="18.75" customHeight="1" thickBot="1">
      <c r="A20" s="148"/>
      <c r="B20" s="43" t="s">
        <v>149</v>
      </c>
      <c r="C20" s="44" t="s">
        <v>820</v>
      </c>
      <c r="D20" s="712" t="s">
        <v>631</v>
      </c>
      <c r="E20" s="728">
        <v>1269075026.25</v>
      </c>
      <c r="F20" s="728">
        <f>'Table 3 Levels 1&amp;2'!T73</f>
        <v>1313738973</v>
      </c>
      <c r="G20" s="751">
        <f t="shared" si="2"/>
        <v>44663946.75</v>
      </c>
      <c r="H20" s="763">
        <f t="shared" si="0"/>
        <v>3.5200000000000002E-2</v>
      </c>
      <c r="J20" s="728">
        <f>+'[1]Table 1 State Summary  (2)'!F20</f>
        <v>1310015270.5</v>
      </c>
      <c r="L20" s="728">
        <f t="shared" si="1"/>
        <v>3723702.5</v>
      </c>
    </row>
    <row r="21" spans="1:12" s="624" customFormat="1" ht="18.75" customHeight="1">
      <c r="A21" s="149" t="s">
        <v>159</v>
      </c>
      <c r="B21" s="22" t="s">
        <v>166</v>
      </c>
      <c r="C21" s="59"/>
      <c r="D21" s="702" t="s">
        <v>634</v>
      </c>
      <c r="E21" s="727">
        <v>3078646125.5</v>
      </c>
      <c r="F21" s="727">
        <f>'Table 7 Local Revenue'!AQ77</f>
        <v>3227058931.5</v>
      </c>
      <c r="G21" s="735">
        <f t="shared" si="2"/>
        <v>148412806</v>
      </c>
      <c r="H21" s="760">
        <f t="shared" si="0"/>
        <v>4.82E-2</v>
      </c>
      <c r="J21" s="727">
        <f>+'[1]Table 1 State Summary  (2)'!F21</f>
        <v>3227058931.5</v>
      </c>
      <c r="L21" s="727">
        <f t="shared" si="1"/>
        <v>0</v>
      </c>
    </row>
    <row r="22" spans="1:12" s="624" customFormat="1" ht="19.5" customHeight="1">
      <c r="A22" s="147"/>
      <c r="B22" s="28" t="s">
        <v>148</v>
      </c>
      <c r="C22" s="22" t="s">
        <v>824</v>
      </c>
      <c r="D22" s="702" t="s">
        <v>635</v>
      </c>
      <c r="E22" s="729">
        <v>33628503076.299995</v>
      </c>
      <c r="F22" s="729">
        <f>'Table 7 Local Revenue'!H77</f>
        <v>35814070376.900002</v>
      </c>
      <c r="G22" s="735">
        <f t="shared" si="2"/>
        <v>2185567300.6000061</v>
      </c>
      <c r="H22" s="760">
        <f t="shared" si="0"/>
        <v>6.5000000000000002E-2</v>
      </c>
      <c r="J22" s="729">
        <f>+'[1]Table 1 State Summary  (2)'!F22</f>
        <v>35814070376.900002</v>
      </c>
      <c r="L22" s="729">
        <f t="shared" si="1"/>
        <v>0</v>
      </c>
    </row>
    <row r="23" spans="1:12" s="624" customFormat="1" ht="18.75" customHeight="1">
      <c r="A23" s="147"/>
      <c r="B23" s="28" t="s">
        <v>149</v>
      </c>
      <c r="C23" s="22" t="s">
        <v>825</v>
      </c>
      <c r="D23" s="702" t="s">
        <v>636</v>
      </c>
      <c r="E23" s="729">
        <v>83696655339.525009</v>
      </c>
      <c r="F23" s="729">
        <f>'Table 7 Local Revenue'!AM77</f>
        <v>86095616017.25</v>
      </c>
      <c r="G23" s="735">
        <f t="shared" si="2"/>
        <v>2398960677.7249908</v>
      </c>
      <c r="H23" s="760">
        <f t="shared" si="0"/>
        <v>2.87E-2</v>
      </c>
      <c r="J23" s="729">
        <f>+'[1]Table 1 State Summary  (2)'!F23</f>
        <v>86104463778</v>
      </c>
      <c r="L23" s="729">
        <f t="shared" si="1"/>
        <v>-8847760.75</v>
      </c>
    </row>
    <row r="24" spans="1:12" s="624" customFormat="1" ht="19.5" customHeight="1">
      <c r="A24" s="147"/>
      <c r="B24" s="28" t="s">
        <v>150</v>
      </c>
      <c r="C24" s="880" t="s">
        <v>827</v>
      </c>
      <c r="D24" s="702" t="s">
        <v>637</v>
      </c>
      <c r="E24" s="730" t="s">
        <v>516</v>
      </c>
      <c r="F24" s="730" t="s">
        <v>604</v>
      </c>
      <c r="G24" s="752"/>
      <c r="H24" s="760"/>
      <c r="J24" s="730" t="str">
        <f>+'[1]Table 1 State Summary  (2)'!F24</f>
        <v>40.97/16.47</v>
      </c>
      <c r="L24" s="730" t="e">
        <f t="shared" si="1"/>
        <v>#VALUE!</v>
      </c>
    </row>
    <row r="25" spans="1:12" s="624" customFormat="1" ht="19.5" customHeight="1">
      <c r="A25" s="147"/>
      <c r="B25" s="28" t="s">
        <v>151</v>
      </c>
      <c r="C25" s="880" t="s">
        <v>826</v>
      </c>
      <c r="D25" s="702" t="s">
        <v>638</v>
      </c>
      <c r="E25" s="731" t="s">
        <v>517</v>
      </c>
      <c r="F25" s="731" t="s">
        <v>605</v>
      </c>
      <c r="G25" s="753"/>
      <c r="H25" s="760"/>
      <c r="J25" s="731" t="str">
        <f>+'[1]Table 1 State Summary  (2)'!F25</f>
        <v>1.98%/.80%</v>
      </c>
      <c r="L25" s="731" t="e">
        <f t="shared" si="1"/>
        <v>#VALUE!</v>
      </c>
    </row>
    <row r="26" spans="1:12" s="624" customFormat="1" ht="19.5" customHeight="1">
      <c r="A26" s="147"/>
      <c r="B26" s="28" t="s">
        <v>152</v>
      </c>
      <c r="C26" s="22" t="s">
        <v>821</v>
      </c>
      <c r="D26" s="702" t="s">
        <v>639</v>
      </c>
      <c r="E26" s="729">
        <v>1371935890</v>
      </c>
      <c r="F26" s="729">
        <f>'Table 7 Local Revenue'!AE77</f>
        <v>1475705348</v>
      </c>
      <c r="G26" s="735">
        <f t="shared" si="2"/>
        <v>103769458</v>
      </c>
      <c r="H26" s="760">
        <f t="shared" si="0"/>
        <v>7.5600000000000001E-2</v>
      </c>
      <c r="J26" s="729">
        <f>+'[1]Table 1 State Summary  (2)'!F26</f>
        <v>1475705348</v>
      </c>
      <c r="L26" s="729">
        <f t="shared" si="1"/>
        <v>0</v>
      </c>
    </row>
    <row r="27" spans="1:12" s="624" customFormat="1" ht="19.5" customHeight="1">
      <c r="A27" s="147"/>
      <c r="B27" s="28" t="s">
        <v>153</v>
      </c>
      <c r="C27" s="22" t="s">
        <v>822</v>
      </c>
      <c r="D27" s="702" t="s">
        <v>640</v>
      </c>
      <c r="E27" s="729">
        <v>1669272600</v>
      </c>
      <c r="F27" s="729">
        <f>'Table 7 Local Revenue'!AI77</f>
        <v>1714025872</v>
      </c>
      <c r="G27" s="735">
        <f t="shared" si="2"/>
        <v>44753272</v>
      </c>
      <c r="H27" s="760">
        <f t="shared" si="0"/>
        <v>2.6800000000000001E-2</v>
      </c>
      <c r="J27" s="729">
        <f>+'[1]Table 1 State Summary  (2)'!F27</f>
        <v>1714025872</v>
      </c>
      <c r="L27" s="729">
        <f t="shared" si="1"/>
        <v>0</v>
      </c>
    </row>
    <row r="28" spans="1:12" s="624" customFormat="1" ht="19.5" customHeight="1" thickBot="1">
      <c r="A28" s="148"/>
      <c r="B28" s="46" t="s">
        <v>171</v>
      </c>
      <c r="C28" s="691" t="s">
        <v>823</v>
      </c>
      <c r="D28" s="712" t="s">
        <v>641</v>
      </c>
      <c r="E28" s="728">
        <v>37437635.5</v>
      </c>
      <c r="F28" s="728">
        <f>'Table 7 Local Revenue'!AP77</f>
        <v>37327711.5</v>
      </c>
      <c r="G28" s="754">
        <f t="shared" si="2"/>
        <v>-109924</v>
      </c>
      <c r="H28" s="762">
        <f t="shared" si="0"/>
        <v>-2.8999999999999998E-3</v>
      </c>
      <c r="J28" s="728">
        <f>+'[1]Table 1 State Summary  (2)'!F28</f>
        <v>37327711.5</v>
      </c>
      <c r="L28" s="728">
        <f t="shared" si="1"/>
        <v>0</v>
      </c>
    </row>
    <row r="29" spans="1:12" s="624" customFormat="1" ht="18.75" customHeight="1">
      <c r="A29" s="147" t="s">
        <v>160</v>
      </c>
      <c r="B29" s="26" t="s">
        <v>155</v>
      </c>
      <c r="C29" s="22"/>
      <c r="D29" s="702" t="s">
        <v>633</v>
      </c>
      <c r="E29" s="727">
        <v>1119541066.3200002</v>
      </c>
      <c r="F29" s="727">
        <f>'Table 3 Levels 1&amp;2'!AC73</f>
        <v>1175854531.9599998</v>
      </c>
      <c r="G29" s="735">
        <f t="shared" si="2"/>
        <v>56313465.639999628</v>
      </c>
      <c r="H29" s="760">
        <f t="shared" si="0"/>
        <v>5.0299999999999997E-2</v>
      </c>
      <c r="J29" s="727">
        <f>+'[1]Table 1 State Summary  (2)'!F29</f>
        <v>1171023172.4200003</v>
      </c>
      <c r="L29" s="727">
        <f t="shared" si="1"/>
        <v>4831359.539999485</v>
      </c>
    </row>
    <row r="30" spans="1:12" s="624" customFormat="1" ht="23.25" customHeight="1" thickBot="1">
      <c r="A30" s="811"/>
      <c r="B30" s="805" t="s">
        <v>148</v>
      </c>
      <c r="C30" s="812" t="s">
        <v>829</v>
      </c>
      <c r="D30" s="813" t="s">
        <v>648</v>
      </c>
      <c r="E30" s="814">
        <v>430268294.70514941</v>
      </c>
      <c r="F30" s="814">
        <f>'Table 3 Levels 1&amp;2'!AE73</f>
        <v>455353340.86032325</v>
      </c>
      <c r="G30" s="809">
        <f t="shared" si="2"/>
        <v>25085046.155173838</v>
      </c>
      <c r="H30" s="810">
        <f t="shared" si="0"/>
        <v>5.8299999999999998E-2</v>
      </c>
      <c r="J30" s="814">
        <f>+'[1]Table 1 State Summary  (2)'!F30</f>
        <v>452599304.0092876</v>
      </c>
      <c r="L30" s="814">
        <f t="shared" si="1"/>
        <v>2754036.8510356545</v>
      </c>
    </row>
    <row r="31" spans="1:12" s="624" customFormat="1" ht="21.75" customHeight="1" thickBot="1">
      <c r="A31" s="815" t="s">
        <v>180</v>
      </c>
      <c r="B31" s="816" t="s">
        <v>386</v>
      </c>
      <c r="C31" s="817"/>
      <c r="D31" s="813" t="s">
        <v>776</v>
      </c>
      <c r="E31" s="818">
        <v>2787005437.4551497</v>
      </c>
      <c r="F31" s="818">
        <f>F19+F30</f>
        <v>2895295627.8603234</v>
      </c>
      <c r="G31" s="818">
        <f t="shared" ref="G31:G45" si="6">F31-E31</f>
        <v>108290190.40517378</v>
      </c>
      <c r="H31" s="819">
        <f>ROUND((F31/E31)-1,4)</f>
        <v>3.8899999999999997E-2</v>
      </c>
      <c r="J31" s="818">
        <f>+'[1]Table 1 State Summary  (2)'!F31</f>
        <v>2886000366.5092878</v>
      </c>
      <c r="L31" s="818">
        <f t="shared" si="1"/>
        <v>9295261.3510355949</v>
      </c>
    </row>
    <row r="32" spans="1:12" s="624" customFormat="1" ht="30" customHeight="1">
      <c r="A32" s="820" t="s">
        <v>161</v>
      </c>
      <c r="B32" s="1994" t="s">
        <v>615</v>
      </c>
      <c r="C32" s="1995"/>
      <c r="D32" s="821" t="s">
        <v>642</v>
      </c>
      <c r="E32" s="822">
        <v>623185581.67210746</v>
      </c>
      <c r="F32" s="822">
        <f>F33+F38+F34</f>
        <v>622802797.64030647</v>
      </c>
      <c r="G32" s="822">
        <f t="shared" si="6"/>
        <v>-382784.03180098534</v>
      </c>
      <c r="H32" s="823">
        <f>ROUND((F32/E32)-1,4)</f>
        <v>-5.9999999999999995E-4</v>
      </c>
      <c r="J32" s="822">
        <f>+'[1]Table 1 State Summary  (2)'!F32</f>
        <v>619695064.09162688</v>
      </c>
      <c r="L32" s="822">
        <f t="shared" si="1"/>
        <v>3107733.5486795902</v>
      </c>
    </row>
    <row r="33" spans="1:12" s="624" customFormat="1" ht="27" customHeight="1">
      <c r="A33" s="153"/>
      <c r="B33" s="203" t="s">
        <v>148</v>
      </c>
      <c r="C33" s="692" t="s">
        <v>830</v>
      </c>
      <c r="D33" s="702" t="s">
        <v>643</v>
      </c>
      <c r="E33" s="732">
        <v>474761850.67210752</v>
      </c>
      <c r="F33" s="732">
        <f>+'Table 3A Level 3'!D75</f>
        <v>478152864.64030641</v>
      </c>
      <c r="G33" s="732">
        <f t="shared" si="6"/>
        <v>3391013.9681988955</v>
      </c>
      <c r="H33" s="760">
        <f>ROUND((F33/E33)-1,4)</f>
        <v>7.1000000000000004E-3</v>
      </c>
      <c r="J33" s="732">
        <f>+'[1]Table 1 State Summary  (2)'!F33</f>
        <v>475419931.09162682</v>
      </c>
      <c r="L33" s="732">
        <f t="shared" si="1"/>
        <v>2732933.5486795902</v>
      </c>
    </row>
    <row r="34" spans="1:12" s="624" customFormat="1" ht="18" customHeight="1">
      <c r="A34" s="153"/>
      <c r="B34" s="203" t="s">
        <v>149</v>
      </c>
      <c r="C34" s="161" t="s">
        <v>831</v>
      </c>
      <c r="D34" s="702" t="s">
        <v>644</v>
      </c>
      <c r="E34" s="732">
        <f>SUM(E35:E37)</f>
        <v>76792933</v>
      </c>
      <c r="F34" s="732">
        <f>SUM(F35:F37)</f>
        <v>76792933</v>
      </c>
      <c r="G34" s="732">
        <f>F34-E34</f>
        <v>0</v>
      </c>
      <c r="H34" s="760">
        <f>ROUND((F34/E34)-1,4)</f>
        <v>0</v>
      </c>
      <c r="J34" s="732">
        <f>+'[1]Table 1 State Summary  (2)'!F34</f>
        <v>76792933</v>
      </c>
      <c r="L34" s="732">
        <f t="shared" si="1"/>
        <v>0</v>
      </c>
    </row>
    <row r="35" spans="1:12" s="624" customFormat="1" ht="18" customHeight="1">
      <c r="A35" s="153"/>
      <c r="B35" s="266"/>
      <c r="C35" s="693" t="s">
        <v>215</v>
      </c>
      <c r="D35" s="713" t="s">
        <v>645</v>
      </c>
      <c r="E35" s="684">
        <v>38336714</v>
      </c>
      <c r="F35" s="684">
        <f>'Table 3A Level 3'!F75</f>
        <v>38336714</v>
      </c>
      <c r="G35" s="684">
        <f t="shared" si="6"/>
        <v>0</v>
      </c>
      <c r="H35" s="685">
        <f t="shared" ref="H35:H42" si="7">ROUND((F35/E35)-1,4)</f>
        <v>0</v>
      </c>
      <c r="J35" s="684">
        <f>+'[1]Table 1 State Summary  (2)'!F35</f>
        <v>38336714</v>
      </c>
      <c r="L35" s="684">
        <f t="shared" si="1"/>
        <v>0</v>
      </c>
    </row>
    <row r="36" spans="1:12" s="624" customFormat="1" ht="18" customHeight="1">
      <c r="A36" s="153"/>
      <c r="B36" s="266"/>
      <c r="C36" s="694" t="s">
        <v>216</v>
      </c>
      <c r="D36" s="714" t="s">
        <v>646</v>
      </c>
      <c r="E36" s="686">
        <f>38456219-E37</f>
        <v>11159094</v>
      </c>
      <c r="F36" s="686">
        <f>'Table 3A Level 3'!G75-F37</f>
        <v>7439391</v>
      </c>
      <c r="G36" s="686">
        <f t="shared" si="6"/>
        <v>-3719703</v>
      </c>
      <c r="H36" s="687">
        <f t="shared" si="7"/>
        <v>-0.33329999999999999</v>
      </c>
      <c r="J36" s="686">
        <f>+'[1]Table 1 State Summary  (2)'!F36</f>
        <v>7439394</v>
      </c>
      <c r="K36" s="352"/>
      <c r="L36" s="686">
        <f t="shared" si="1"/>
        <v>-3</v>
      </c>
    </row>
    <row r="37" spans="1:12" s="624" customFormat="1" ht="18" customHeight="1">
      <c r="A37" s="153"/>
      <c r="B37" s="265"/>
      <c r="C37" s="695" t="s">
        <v>217</v>
      </c>
      <c r="D37" s="715" t="s">
        <v>644</v>
      </c>
      <c r="E37" s="688">
        <v>27297125</v>
      </c>
      <c r="F37" s="688">
        <f>'Table 3A Level 3'!L75</f>
        <v>31016828</v>
      </c>
      <c r="G37" s="688">
        <f t="shared" si="6"/>
        <v>3719703</v>
      </c>
      <c r="H37" s="689">
        <f t="shared" si="7"/>
        <v>0.1363</v>
      </c>
      <c r="J37" s="688">
        <f>+'[1]Table 1 State Summary  (2)'!F37</f>
        <v>31016825</v>
      </c>
      <c r="L37" s="688">
        <f t="shared" si="1"/>
        <v>3</v>
      </c>
    </row>
    <row r="38" spans="1:12" s="624" customFormat="1" ht="18" customHeight="1" thickBot="1">
      <c r="A38" s="153"/>
      <c r="B38" s="203" t="s">
        <v>150</v>
      </c>
      <c r="C38" s="161" t="s">
        <v>832</v>
      </c>
      <c r="D38" s="702" t="s">
        <v>647</v>
      </c>
      <c r="E38" s="732">
        <v>67390800</v>
      </c>
      <c r="F38" s="732">
        <f>'Table 3A Level 3'!N75</f>
        <v>67857000</v>
      </c>
      <c r="G38" s="732">
        <f>F38-E38</f>
        <v>466200</v>
      </c>
      <c r="H38" s="760">
        <f>ROUND((F38/E38)-1,4)</f>
        <v>6.8999999999999999E-3</v>
      </c>
      <c r="J38" s="732">
        <f>+'[1]Table 1 State Summary  (2)'!F38</f>
        <v>67482200</v>
      </c>
      <c r="L38" s="732">
        <f t="shared" si="1"/>
        <v>374800</v>
      </c>
    </row>
    <row r="39" spans="1:12" s="624" customFormat="1" ht="17.25" customHeight="1">
      <c r="A39" s="360" t="s">
        <v>389</v>
      </c>
      <c r="B39" s="2017" t="s">
        <v>841</v>
      </c>
      <c r="C39" s="2018"/>
      <c r="D39" s="703" t="s">
        <v>777</v>
      </c>
      <c r="E39" s="733">
        <f>E31+E32</f>
        <v>3410191019.1272573</v>
      </c>
      <c r="F39" s="733">
        <f>F31+F32</f>
        <v>3518098425.5006299</v>
      </c>
      <c r="G39" s="755">
        <f t="shared" si="6"/>
        <v>107907406.37337255</v>
      </c>
      <c r="H39" s="764">
        <f t="shared" si="7"/>
        <v>3.1600000000000003E-2</v>
      </c>
      <c r="J39" s="733">
        <f>+'[1]Table 1 State Summary  (2)'!F39</f>
        <v>3505695430.600915</v>
      </c>
      <c r="L39" s="733">
        <f t="shared" si="1"/>
        <v>12402994.899714947</v>
      </c>
    </row>
    <row r="40" spans="1:12" s="624" customFormat="1" ht="16.2" thickBot="1">
      <c r="A40" s="154"/>
      <c r="B40" s="2019"/>
      <c r="C40" s="2020"/>
      <c r="D40" s="716" t="s">
        <v>778</v>
      </c>
      <c r="E40" s="734">
        <v>5060.3213185290233</v>
      </c>
      <c r="F40" s="734">
        <f>'Table 3 Levels 1&amp;2'!AP73</f>
        <v>5184.5770230051867</v>
      </c>
      <c r="G40" s="756">
        <f t="shared" si="6"/>
        <v>124.25570447616337</v>
      </c>
      <c r="H40" s="765">
        <f t="shared" si="7"/>
        <v>2.46E-2</v>
      </c>
      <c r="J40" s="734">
        <f>+'[1]Table 1 State Summary  (2)'!F40</f>
        <v>5194.992801955058</v>
      </c>
      <c r="L40" s="734">
        <f t="shared" si="1"/>
        <v>-10.41577894987131</v>
      </c>
    </row>
    <row r="41" spans="1:12" s="624" customFormat="1" ht="30" customHeight="1">
      <c r="A41" s="820" t="s">
        <v>609</v>
      </c>
      <c r="B41" s="1994" t="s">
        <v>833</v>
      </c>
      <c r="C41" s="1995"/>
      <c r="D41" s="821" t="s">
        <v>779</v>
      </c>
      <c r="E41" s="822">
        <f>E42+E45+E44</f>
        <v>656000</v>
      </c>
      <c r="F41" s="822" t="e">
        <f>F42+F43+F45+F44</f>
        <v>#REF!</v>
      </c>
      <c r="G41" s="822" t="e">
        <f t="shared" si="6"/>
        <v>#REF!</v>
      </c>
      <c r="H41" s="823" t="e">
        <f t="shared" si="7"/>
        <v>#REF!</v>
      </c>
      <c r="J41" s="822">
        <f>+'[1]Table 1 State Summary  (2)'!F41</f>
        <v>19213920.559999999</v>
      </c>
      <c r="L41" s="822" t="e">
        <f t="shared" si="1"/>
        <v>#REF!</v>
      </c>
    </row>
    <row r="42" spans="1:12" s="624" customFormat="1" ht="15.6">
      <c r="A42" s="158"/>
      <c r="B42" s="203" t="s">
        <v>148</v>
      </c>
      <c r="C42" s="696" t="s">
        <v>834</v>
      </c>
      <c r="D42" s="702" t="s">
        <v>649</v>
      </c>
      <c r="E42" s="735">
        <v>656000</v>
      </c>
      <c r="F42" s="735" t="e">
        <f>+#REF!</f>
        <v>#REF!</v>
      </c>
      <c r="G42" s="735" t="e">
        <f t="shared" si="6"/>
        <v>#REF!</v>
      </c>
      <c r="H42" s="760" t="e">
        <f t="shared" si="7"/>
        <v>#REF!</v>
      </c>
      <c r="J42" s="735">
        <f>+'[1]Table 1 State Summary  (2)'!F42</f>
        <v>734000</v>
      </c>
      <c r="L42" s="735" t="e">
        <f t="shared" ref="L42" si="8">+F42-J42</f>
        <v>#REF!</v>
      </c>
    </row>
    <row r="43" spans="1:12" s="624" customFormat="1" ht="15.6">
      <c r="A43" s="158"/>
      <c r="B43" s="677" t="s">
        <v>149</v>
      </c>
      <c r="C43" s="696" t="s">
        <v>835</v>
      </c>
      <c r="D43" s="702" t="s">
        <v>753</v>
      </c>
      <c r="E43" s="729"/>
      <c r="F43" s="729" t="e">
        <f>+#REF!</f>
        <v>#REF!</v>
      </c>
      <c r="G43" s="735" t="e">
        <f t="shared" si="6"/>
        <v>#REF!</v>
      </c>
      <c r="H43" s="760"/>
      <c r="J43" s="729">
        <f>+'[1]Table 1 State Summary  (2)'!F43</f>
        <v>5313000</v>
      </c>
      <c r="L43" s="729" t="e">
        <f t="shared" si="1"/>
        <v>#REF!</v>
      </c>
    </row>
    <row r="44" spans="1:12" s="624" customFormat="1" ht="15.6">
      <c r="A44" s="158"/>
      <c r="B44" s="203" t="s">
        <v>150</v>
      </c>
      <c r="C44" s="696" t="s">
        <v>695</v>
      </c>
      <c r="D44" s="702" t="s">
        <v>694</v>
      </c>
      <c r="E44" s="729"/>
      <c r="F44" s="729" t="e">
        <f>+#REF!</f>
        <v>#REF!</v>
      </c>
      <c r="G44" s="735" t="e">
        <f t="shared" si="6"/>
        <v>#REF!</v>
      </c>
      <c r="H44" s="760"/>
      <c r="J44" s="729">
        <f>+'[1]Table 1 State Summary  (2)'!F44</f>
        <v>4000000</v>
      </c>
      <c r="L44" s="729"/>
    </row>
    <row r="45" spans="1:12" s="624" customFormat="1" ht="16.2" thickBot="1">
      <c r="A45" s="158"/>
      <c r="B45" s="203" t="s">
        <v>151</v>
      </c>
      <c r="C45" s="696" t="s">
        <v>692</v>
      </c>
      <c r="D45" s="702" t="s">
        <v>693</v>
      </c>
      <c r="E45" s="729"/>
      <c r="F45" s="729" t="e">
        <f>+#REF!</f>
        <v>#REF!</v>
      </c>
      <c r="G45" s="735" t="e">
        <f t="shared" si="6"/>
        <v>#REF!</v>
      </c>
      <c r="H45" s="760"/>
      <c r="J45" s="729">
        <f>+'[1]Table 1 State Summary  (2)'!F45</f>
        <v>9166920.5599999987</v>
      </c>
      <c r="L45" s="729" t="e">
        <f t="shared" si="1"/>
        <v>#REF!</v>
      </c>
    </row>
    <row r="46" spans="1:12" s="624" customFormat="1" ht="16.2" customHeight="1">
      <c r="A46" s="824" t="s">
        <v>608</v>
      </c>
      <c r="B46" s="1994" t="s">
        <v>842</v>
      </c>
      <c r="C46" s="1995"/>
      <c r="D46" s="807"/>
      <c r="E46" s="809">
        <f>SUM(E47:E52)</f>
        <v>55856485.747147836</v>
      </c>
      <c r="F46" s="809">
        <f>SUM(F47:F52)</f>
        <v>58393555.46565111</v>
      </c>
      <c r="G46" s="809">
        <f>F46-E46</f>
        <v>2537069.718503274</v>
      </c>
      <c r="H46" s="810">
        <f t="shared" ref="H46:H53" si="9">ROUND((F46/E46)-1,4)</f>
        <v>4.5400000000000003E-2</v>
      </c>
      <c r="J46" s="809">
        <f>+'[1]Table 1 State Summary  (2)'!F46</f>
        <v>80806164.484785199</v>
      </c>
      <c r="L46" s="809">
        <f t="shared" si="1"/>
        <v>-22412609.019134089</v>
      </c>
    </row>
    <row r="47" spans="1:12" s="624" customFormat="1" ht="19.5" customHeight="1">
      <c r="A47" s="156"/>
      <c r="B47" s="775" t="s">
        <v>809</v>
      </c>
      <c r="C47" s="795" t="s">
        <v>308</v>
      </c>
      <c r="D47" s="702" t="s">
        <v>650</v>
      </c>
      <c r="E47" s="737">
        <v>6827673.2776208175</v>
      </c>
      <c r="F47" s="747">
        <f>'Table 5A1_Labs'!H5</f>
        <v>7089844.7710780669</v>
      </c>
      <c r="G47" s="737">
        <f t="shared" ref="G47:G53" si="10">F47-E47</f>
        <v>262171.49345724937</v>
      </c>
      <c r="H47" s="766">
        <f t="shared" si="9"/>
        <v>3.8399999999999997E-2</v>
      </c>
      <c r="J47" s="747">
        <f>+'[1]Table 1 State Summary  (2)'!F47</f>
        <v>7012057.2776208175</v>
      </c>
      <c r="L47" s="747">
        <f t="shared" si="1"/>
        <v>77787.493457249366</v>
      </c>
    </row>
    <row r="48" spans="1:12" s="624" customFormat="1" ht="15.6">
      <c r="A48" s="156"/>
      <c r="B48" s="776" t="s">
        <v>810</v>
      </c>
      <c r="C48" s="134" t="s">
        <v>309</v>
      </c>
      <c r="D48" s="702" t="s">
        <v>650</v>
      </c>
      <c r="E48" s="729">
        <v>1976856.2464872522</v>
      </c>
      <c r="F48" s="729">
        <f>'Table 5A1_Labs'!H6</f>
        <v>3045780.2172237961</v>
      </c>
      <c r="G48" s="735">
        <f t="shared" si="10"/>
        <v>1068923.9707365439</v>
      </c>
      <c r="H48" s="760">
        <f t="shared" si="9"/>
        <v>0.54069999999999996</v>
      </c>
      <c r="J48" s="729">
        <f>+'[1]Table 1 State Summary  (2)'!F48</f>
        <v>2029250.2464872522</v>
      </c>
      <c r="L48" s="729">
        <f t="shared" si="1"/>
        <v>1016529.9707365439</v>
      </c>
    </row>
    <row r="49" spans="1:12" ht="15.6">
      <c r="A49" s="794"/>
      <c r="B49" s="776">
        <v>2</v>
      </c>
      <c r="C49" s="784" t="s">
        <v>610</v>
      </c>
      <c r="D49" s="702" t="s">
        <v>652</v>
      </c>
      <c r="E49" s="738">
        <v>42532078</v>
      </c>
      <c r="F49" s="729">
        <f>'Table 5A2- Legacy Type 2'!H15</f>
        <v>45971989</v>
      </c>
      <c r="G49" s="735">
        <f>F49-E49</f>
        <v>3439911</v>
      </c>
      <c r="H49" s="767">
        <f>ROUND((F49/E49)-1,4)</f>
        <v>8.09E-2</v>
      </c>
      <c r="J49" s="729">
        <f>+'[1]Table 1 State Summary  (2)'!F50</f>
        <v>45789791</v>
      </c>
      <c r="L49" s="729">
        <f>+F49-J49</f>
        <v>182198</v>
      </c>
    </row>
    <row r="50" spans="1:12" s="624" customFormat="1" ht="15.6">
      <c r="A50" s="158"/>
      <c r="B50" s="776">
        <v>3</v>
      </c>
      <c r="C50" s="696" t="s">
        <v>272</v>
      </c>
      <c r="D50" s="702" t="s">
        <v>651</v>
      </c>
      <c r="E50" s="735">
        <v>2551347.2230397677</v>
      </c>
      <c r="F50" s="729">
        <f>'Table 5A3_OJJ'!G75</f>
        <v>2285941.4773492529</v>
      </c>
      <c r="G50" s="735">
        <f t="shared" si="10"/>
        <v>-265405.7456905148</v>
      </c>
      <c r="H50" s="760">
        <f t="shared" si="9"/>
        <v>-0.104</v>
      </c>
      <c r="J50" s="729">
        <f>+'[1]Table 1 State Summary  (2)'!F49</f>
        <v>2604937.8847332816</v>
      </c>
      <c r="L50" s="729">
        <f t="shared" si="1"/>
        <v>-318996.40738402866</v>
      </c>
    </row>
    <row r="51" spans="1:12" ht="15.6">
      <c r="A51" s="624"/>
      <c r="B51" s="541"/>
      <c r="C51" s="885" t="s">
        <v>785</v>
      </c>
      <c r="D51" s="706"/>
      <c r="E51" s="886">
        <v>1391635</v>
      </c>
      <c r="F51" s="887">
        <v>0</v>
      </c>
      <c r="G51" s="742">
        <f t="shared" ref="G51:G52" si="11">F51-E51</f>
        <v>-1391635</v>
      </c>
      <c r="H51" s="888"/>
      <c r="J51" s="833"/>
      <c r="L51" s="833"/>
    </row>
    <row r="52" spans="1:12" ht="16.2" thickBot="1">
      <c r="A52" s="624"/>
      <c r="B52" s="141"/>
      <c r="C52" s="870" t="s">
        <v>786</v>
      </c>
      <c r="D52" s="700"/>
      <c r="E52" s="832">
        <v>576896</v>
      </c>
      <c r="F52" s="884">
        <v>0</v>
      </c>
      <c r="G52" s="735">
        <f t="shared" si="11"/>
        <v>-576896</v>
      </c>
      <c r="H52" s="834"/>
      <c r="J52" s="833"/>
      <c r="L52" s="833"/>
    </row>
    <row r="53" spans="1:12" s="624" customFormat="1" ht="16.2" thickBot="1">
      <c r="A53" s="157" t="s">
        <v>58</v>
      </c>
      <c r="B53" s="83" t="s">
        <v>840</v>
      </c>
      <c r="C53" s="78"/>
      <c r="D53" s="717"/>
      <c r="E53" s="708">
        <f>E39+E41+E46</f>
        <v>3466703504.8744054</v>
      </c>
      <c r="F53" s="708" t="e">
        <f>F39+F41+F46</f>
        <v>#REF!</v>
      </c>
      <c r="G53" s="708" t="e">
        <f t="shared" si="10"/>
        <v>#REF!</v>
      </c>
      <c r="H53" s="768" t="e">
        <f t="shared" si="9"/>
        <v>#REF!</v>
      </c>
      <c r="J53" s="708">
        <f>+'[1]Table 1 State Summary  (2)'!F52</f>
        <v>3605715515.6457</v>
      </c>
      <c r="L53" s="708" t="e">
        <f t="shared" si="1"/>
        <v>#REF!</v>
      </c>
    </row>
    <row r="54" spans="1:12" s="624" customFormat="1" ht="15.6">
      <c r="A54" s="158" t="s">
        <v>271</v>
      </c>
      <c r="B54" s="69" t="s">
        <v>613</v>
      </c>
      <c r="C54" s="69"/>
      <c r="D54" s="702"/>
      <c r="E54" s="739">
        <f>E55+E56+E57+E58+E59</f>
        <v>-3424283.4633850949</v>
      </c>
      <c r="F54" s="736">
        <f>SUM(F55:F59)</f>
        <v>-1423947.6254094611</v>
      </c>
      <c r="G54" s="736">
        <f t="shared" ref="G54:G59" si="12">F54-E54</f>
        <v>2000335.8379756338</v>
      </c>
      <c r="H54" s="769">
        <f>ROUND((F54/E54)-1,4)</f>
        <v>-0.58420000000000005</v>
      </c>
      <c r="J54" s="736">
        <f>+'[1]Table 1 State Summary  (2)'!F53</f>
        <v>-3424283.4633850949</v>
      </c>
      <c r="L54" s="736">
        <f t="shared" si="1"/>
        <v>2000335.8379756338</v>
      </c>
    </row>
    <row r="55" spans="1:12" s="624" customFormat="1" ht="15.6">
      <c r="A55" s="147"/>
      <c r="B55" s="28" t="s">
        <v>148</v>
      </c>
      <c r="C55" s="22" t="s">
        <v>307</v>
      </c>
      <c r="D55" s="702" t="s">
        <v>772</v>
      </c>
      <c r="E55" s="735">
        <v>-2392245.0927018928</v>
      </c>
      <c r="F55" s="735">
        <f>'Table 2_State Distrib and Adjs'!F76</f>
        <v>-1136862.7891616581</v>
      </c>
      <c r="G55" s="735">
        <f t="shared" si="12"/>
        <v>1255382.3035402347</v>
      </c>
      <c r="H55" s="760">
        <f>ROUND((F55/E55)-1,4)</f>
        <v>-0.52480000000000004</v>
      </c>
      <c r="J55" s="735">
        <f>+'[1]Table 1 State Summary  (2)'!F54</f>
        <v>-2392245.0927018928</v>
      </c>
      <c r="L55" s="735">
        <f t="shared" si="1"/>
        <v>1255382.3035402347</v>
      </c>
    </row>
    <row r="56" spans="1:12" s="624" customFormat="1" ht="15.6">
      <c r="A56" s="147"/>
      <c r="B56" s="160" t="s">
        <v>149</v>
      </c>
      <c r="C56" s="220" t="s">
        <v>211</v>
      </c>
      <c r="D56" s="702" t="s">
        <v>771</v>
      </c>
      <c r="E56" s="740">
        <v>2515.1664215795245</v>
      </c>
      <c r="F56" s="735">
        <f>'Table 5A1_Labs'!M7</f>
        <v>0</v>
      </c>
      <c r="G56" s="735">
        <f t="shared" si="12"/>
        <v>-2515.1664215795245</v>
      </c>
      <c r="H56" s="760">
        <f>ROUND((F56/E56)-1,4)</f>
        <v>-1</v>
      </c>
      <c r="J56" s="735">
        <f>+'[1]Table 1 State Summary  (2)'!F55</f>
        <v>2515.1664215795245</v>
      </c>
      <c r="L56" s="735">
        <f t="shared" si="1"/>
        <v>-2515.1664215795245</v>
      </c>
    </row>
    <row r="57" spans="1:12" s="624" customFormat="1" ht="15.6">
      <c r="A57" s="147"/>
      <c r="B57" s="160" t="s">
        <v>150</v>
      </c>
      <c r="C57" s="697" t="s">
        <v>220</v>
      </c>
      <c r="D57" s="702"/>
      <c r="E57" s="741">
        <v>-984537.11062668241</v>
      </c>
      <c r="F57" s="735">
        <f>'Table 5B1_RSD_Orleans'!Q72+'Table 5B2_RSD_LA'!Q17</f>
        <v>-260927.30211523161</v>
      </c>
      <c r="G57" s="735">
        <f t="shared" si="12"/>
        <v>723609.80851145077</v>
      </c>
      <c r="H57" s="760">
        <f>ROUND((F57/E57)-1,4)</f>
        <v>-0.73499999999999999</v>
      </c>
      <c r="J57" s="735">
        <f>+'[1]Table 1 State Summary  (2)'!F56</f>
        <v>-984537.11062668241</v>
      </c>
      <c r="L57" s="735">
        <f t="shared" si="1"/>
        <v>723609.80851145077</v>
      </c>
    </row>
    <row r="58" spans="1:12" s="624" customFormat="1" ht="15.6">
      <c r="A58" s="147"/>
      <c r="B58" s="160" t="s">
        <v>151</v>
      </c>
      <c r="C58" s="697" t="s">
        <v>781</v>
      </c>
      <c r="D58" s="702"/>
      <c r="E58" s="741">
        <v>-45508.371878513033</v>
      </c>
      <c r="F58" s="735">
        <f>'Table 5C1A-Madison Prep'!O76+'Table 5C1B-DArbonne'!O77+'Table 5C1C-Intl_VIBE'!O76+'Table 5C1D-NOMMA'!O76+'Table 5C1E-LFNO'!O76+'Table 5C1F-Lake Charles Charter'!O76+'Table 5C2 - LA Virtual Admy'!P75+'Table 5C3 - LA Connections EBR'!P75+'Table 5C1G-JS Clark Academy'!O76</f>
        <v>-16085.534132571483</v>
      </c>
      <c r="G58" s="735">
        <f t="shared" si="12"/>
        <v>29422.83774594155</v>
      </c>
      <c r="H58" s="760">
        <f>ROUND((F58/E58)-1,4)</f>
        <v>-0.64649999999999996</v>
      </c>
      <c r="J58" s="735">
        <f>+'[1]Table 1 State Summary  (2)'!F57</f>
        <v>-45508.371878513033</v>
      </c>
      <c r="L58" s="735">
        <f t="shared" si="1"/>
        <v>29422.83774594155</v>
      </c>
    </row>
    <row r="59" spans="1:12" s="624" customFormat="1" ht="15.6">
      <c r="A59" s="147"/>
      <c r="B59" s="160" t="s">
        <v>152</v>
      </c>
      <c r="C59" s="697" t="s">
        <v>522</v>
      </c>
      <c r="D59" s="702" t="s">
        <v>773</v>
      </c>
      <c r="E59" s="742">
        <v>-4508.0545995861094</v>
      </c>
      <c r="F59" s="742">
        <f>'Table 5A2- Legacy Type 2'!O15</f>
        <v>-10072</v>
      </c>
      <c r="G59" s="735">
        <f t="shared" si="12"/>
        <v>-5563.9454004138906</v>
      </c>
      <c r="H59" s="760"/>
      <c r="J59" s="742">
        <f>+'[1]Table 1 State Summary  (2)'!F58</f>
        <v>-4508.0545995861094</v>
      </c>
      <c r="L59" s="742">
        <f t="shared" si="1"/>
        <v>-5563.9454004138906</v>
      </c>
    </row>
    <row r="60" spans="1:12" s="624" customFormat="1" ht="16.2" thickBot="1">
      <c r="A60" s="796"/>
      <c r="D60" s="704"/>
      <c r="E60" s="707"/>
      <c r="F60" s="707"/>
      <c r="G60" s="707"/>
      <c r="H60" s="767"/>
      <c r="J60" s="707">
        <f>+'[1]Table 1 State Summary  (2)'!F61</f>
        <v>0</v>
      </c>
      <c r="L60" s="707">
        <f t="shared" si="1"/>
        <v>0</v>
      </c>
    </row>
    <row r="61" spans="1:12" s="624" customFormat="1" ht="21" customHeight="1" thickBot="1">
      <c r="A61" s="157" t="s">
        <v>618</v>
      </c>
      <c r="B61" s="83" t="s">
        <v>839</v>
      </c>
      <c r="C61" s="78"/>
      <c r="D61" s="718"/>
      <c r="E61" s="708">
        <f>E53+E54</f>
        <v>3463279221.4110203</v>
      </c>
      <c r="F61" s="708" t="e">
        <f>F53+F54</f>
        <v>#REF!</v>
      </c>
      <c r="G61" s="708" t="e">
        <f t="shared" ref="G61:G64" si="13">F61-E61</f>
        <v>#REF!</v>
      </c>
      <c r="H61" s="768" t="e">
        <f t="shared" ref="H61" si="14">ROUND((F61/E61)-1,4)</f>
        <v>#REF!</v>
      </c>
      <c r="J61" s="708">
        <f>+'[1]Table 1 State Summary  (2)'!F62</f>
        <v>3602291232.1823149</v>
      </c>
      <c r="L61" s="708" t="e">
        <f t="shared" si="1"/>
        <v>#REF!</v>
      </c>
    </row>
    <row r="62" spans="1:12" s="624" customFormat="1" ht="20.25" customHeight="1">
      <c r="A62" s="147" t="s">
        <v>357</v>
      </c>
      <c r="B62" s="2021" t="s">
        <v>619</v>
      </c>
      <c r="C62" s="2022"/>
      <c r="D62" s="702"/>
      <c r="E62" s="743">
        <f>SUM(E63:E64)</f>
        <v>-21436434</v>
      </c>
      <c r="F62" s="743">
        <f>SUM(F63:F64)</f>
        <v>-1598588.9823751231</v>
      </c>
      <c r="G62" s="757">
        <f t="shared" si="13"/>
        <v>19837845.017624877</v>
      </c>
      <c r="H62" s="760"/>
      <c r="J62" s="743">
        <f>+'[1]Table 1 State Summary  (2)'!F63</f>
        <v>-21436434</v>
      </c>
      <c r="L62" s="743">
        <f t="shared" si="1"/>
        <v>19837845.017624877</v>
      </c>
    </row>
    <row r="63" spans="1:12" s="624" customFormat="1" ht="20.25" customHeight="1">
      <c r="A63" s="147"/>
      <c r="B63" s="776" t="s">
        <v>148</v>
      </c>
      <c r="C63" s="777" t="s">
        <v>620</v>
      </c>
      <c r="D63" s="702"/>
      <c r="E63" s="778">
        <f>25581124-26777558</f>
        <v>-1196434</v>
      </c>
      <c r="F63" s="743">
        <f>-('Table 5C2 - LA Virtual Admy'!I75+'Table 5C3 - LA Connections EBR'!I75)</f>
        <v>-1598588.9823751231</v>
      </c>
      <c r="G63" s="797">
        <f t="shared" si="13"/>
        <v>-402154.98237512307</v>
      </c>
      <c r="H63" s="798"/>
      <c r="J63" s="743">
        <f>+'[1]Table 1 State Summary  (2)'!F64</f>
        <v>-1196434</v>
      </c>
      <c r="L63" s="743">
        <f t="shared" si="1"/>
        <v>-402154.98237512307</v>
      </c>
    </row>
    <row r="64" spans="1:12" s="624" customFormat="1" ht="20.25" customHeight="1" thickBot="1">
      <c r="A64" s="147"/>
      <c r="B64" s="776" t="s">
        <v>149</v>
      </c>
      <c r="C64" s="881" t="s">
        <v>530</v>
      </c>
      <c r="D64" s="882"/>
      <c r="E64" s="883">
        <v>-20240000</v>
      </c>
      <c r="F64" s="883"/>
      <c r="G64" s="741">
        <f t="shared" si="13"/>
        <v>20240000</v>
      </c>
      <c r="H64" s="799"/>
      <c r="J64" s="779">
        <f>+'[1]Table 1 State Summary  (2)'!F65</f>
        <v>-20240000</v>
      </c>
      <c r="L64" s="779">
        <f t="shared" si="1"/>
        <v>20240000</v>
      </c>
    </row>
    <row r="65" spans="1:12" s="624" customFormat="1" ht="32.25" customHeight="1" thickBot="1">
      <c r="A65" s="803" t="s">
        <v>621</v>
      </c>
      <c r="B65" s="2023" t="s">
        <v>837</v>
      </c>
      <c r="C65" s="2024"/>
      <c r="D65" s="718"/>
      <c r="E65" s="802">
        <f>E61+E62</f>
        <v>3441842787.4110203</v>
      </c>
      <c r="F65" s="708" t="e">
        <f>F61+F62</f>
        <v>#REF!</v>
      </c>
      <c r="G65" s="708" t="e">
        <f t="shared" ref="G65" si="15">F65-E65</f>
        <v>#REF!</v>
      </c>
      <c r="H65" s="768" t="e">
        <f t="shared" ref="H65" si="16">ROUND((F65/E65)-1,4)</f>
        <v>#REF!</v>
      </c>
      <c r="J65" s="708">
        <f>+'[1]Table 1 State Summary  (2)'!F67</f>
        <v>3580854798.1823149</v>
      </c>
      <c r="L65" s="708" t="e">
        <f t="shared" si="1"/>
        <v>#REF!</v>
      </c>
    </row>
    <row r="66" spans="1:12" s="624" customFormat="1" ht="15.6">
      <c r="A66" s="147" t="s">
        <v>75</v>
      </c>
      <c r="B66" s="563" t="s">
        <v>843</v>
      </c>
      <c r="D66" s="702"/>
      <c r="E66" s="744">
        <f>SUM(E67:E68)</f>
        <v>32575237</v>
      </c>
      <c r="F66" s="744"/>
      <c r="G66" s="757">
        <f>F66-E66</f>
        <v>-32575237</v>
      </c>
      <c r="H66" s="760">
        <f>ROUND((F66/E66)-1,4)</f>
        <v>-1</v>
      </c>
      <c r="J66" s="744">
        <f>+'[1]Table 1 State Summary  (2)'!F68</f>
        <v>0</v>
      </c>
      <c r="L66" s="744">
        <f t="shared" si="1"/>
        <v>0</v>
      </c>
    </row>
    <row r="67" spans="1:12" s="624" customFormat="1" ht="15.6">
      <c r="A67" s="147"/>
      <c r="B67" s="168" t="s">
        <v>148</v>
      </c>
      <c r="C67" s="698" t="s">
        <v>844</v>
      </c>
      <c r="D67" s="702"/>
      <c r="E67" s="744">
        <v>32575237</v>
      </c>
      <c r="F67" s="744"/>
      <c r="G67" s="757">
        <f t="shared" ref="G67:G68" si="17">F67-E67</f>
        <v>-32575237</v>
      </c>
      <c r="H67" s="760"/>
      <c r="J67" s="744">
        <f>+'[1]Table 1 State Summary  (2)'!F69</f>
        <v>0</v>
      </c>
      <c r="L67" s="744">
        <f t="shared" si="1"/>
        <v>0</v>
      </c>
    </row>
    <row r="68" spans="1:12" s="624" customFormat="1" ht="16.2" thickBot="1">
      <c r="A68" s="147"/>
      <c r="B68" s="168" t="s">
        <v>149</v>
      </c>
      <c r="C68" s="698" t="s">
        <v>845</v>
      </c>
      <c r="D68" s="702"/>
      <c r="E68" s="744"/>
      <c r="F68" s="744"/>
      <c r="G68" s="757">
        <f t="shared" si="17"/>
        <v>0</v>
      </c>
      <c r="H68" s="760"/>
      <c r="J68" s="744">
        <f>+'[1]Table 1 State Summary  (2)'!F70</f>
        <v>0</v>
      </c>
      <c r="L68" s="744">
        <f t="shared" si="1"/>
        <v>0</v>
      </c>
    </row>
    <row r="69" spans="1:12" s="624" customFormat="1" ht="33" customHeight="1" thickBot="1">
      <c r="A69" s="803" t="s">
        <v>218</v>
      </c>
      <c r="B69" s="2029" t="s">
        <v>838</v>
      </c>
      <c r="C69" s="2030"/>
      <c r="D69" s="719"/>
      <c r="E69" s="709">
        <f>E65+E66</f>
        <v>3474418024.4110203</v>
      </c>
      <c r="F69" s="709" t="e">
        <f>F65+F66</f>
        <v>#REF!</v>
      </c>
      <c r="G69" s="709" t="e">
        <f t="shared" ref="G69:G70" si="18">F69-E69</f>
        <v>#REF!</v>
      </c>
      <c r="H69" s="770" t="e">
        <f>ROUND((F69/E69)-1,4)</f>
        <v>#REF!</v>
      </c>
      <c r="J69" s="709">
        <f>+'[1]Table 1 State Summary  (2)'!F71</f>
        <v>3602291232.1823149</v>
      </c>
      <c r="L69" s="709" t="e">
        <f t="shared" si="1"/>
        <v>#REF!</v>
      </c>
    </row>
    <row r="70" spans="1:12" s="252" customFormat="1" ht="24" customHeight="1" thickBot="1">
      <c r="A70" s="310" t="s">
        <v>222</v>
      </c>
      <c r="B70" s="2031" t="s">
        <v>347</v>
      </c>
      <c r="C70" s="2031"/>
      <c r="D70" s="720"/>
      <c r="E70" s="710">
        <v>3441025205</v>
      </c>
      <c r="F70" s="710">
        <v>3540854902</v>
      </c>
      <c r="G70" s="758">
        <f t="shared" si="18"/>
        <v>99829697</v>
      </c>
      <c r="H70" s="771"/>
      <c r="J70" s="710">
        <f>+'[1]Table 1 State Summary  (2)'!F72</f>
        <v>3510142422</v>
      </c>
      <c r="L70" s="710">
        <f t="shared" si="1"/>
        <v>30712480</v>
      </c>
    </row>
    <row r="71" spans="1:12" s="624" customFormat="1" ht="18.75" customHeight="1" thickBot="1">
      <c r="A71" s="381" t="s">
        <v>622</v>
      </c>
      <c r="B71" s="30" t="s">
        <v>662</v>
      </c>
      <c r="C71" s="30"/>
      <c r="D71" s="702"/>
      <c r="E71" s="745">
        <f>E69-E70</f>
        <v>33392819.411020279</v>
      </c>
      <c r="F71" s="748" t="e">
        <f>F69-F70</f>
        <v>#REF!</v>
      </c>
      <c r="G71" s="745" t="e">
        <f>F71-E71</f>
        <v>#REF!</v>
      </c>
      <c r="H71" s="772"/>
      <c r="J71" s="748">
        <f>+'[1]Table 1 State Summary  (2)'!F73</f>
        <v>92148810.182314873</v>
      </c>
      <c r="L71" s="748" t="e">
        <f t="shared" si="1"/>
        <v>#REF!</v>
      </c>
    </row>
    <row r="72" spans="1:12" s="624" customFormat="1" ht="18" customHeight="1" thickTop="1">
      <c r="A72" s="460"/>
      <c r="B72" s="690"/>
      <c r="C72" s="690"/>
      <c r="D72" s="690"/>
      <c r="E72" s="690"/>
      <c r="F72" s="792">
        <f>'Table 3 Levels 1&amp;2'!V73</f>
        <v>0.65</v>
      </c>
      <c r="G72" s="792">
        <f>'Table 3 Levels 1&amp;2'!W73</f>
        <v>0.35</v>
      </c>
      <c r="H72" s="690"/>
    </row>
    <row r="73" spans="1:12" ht="18" customHeight="1">
      <c r="A73" s="382"/>
      <c r="B73" s="382"/>
      <c r="C73" s="790"/>
      <c r="D73" s="789"/>
      <c r="E73" s="788"/>
      <c r="F73" s="791"/>
      <c r="G73" s="624"/>
      <c r="H73" s="624"/>
    </row>
    <row r="74" spans="1:12" ht="18" customHeight="1">
      <c r="A74" s="382"/>
      <c r="B74" s="382"/>
      <c r="C74" s="790"/>
      <c r="D74" s="789"/>
      <c r="E74" s="788"/>
      <c r="F74" s="791"/>
      <c r="G74" s="624"/>
      <c r="H74" s="624"/>
    </row>
    <row r="75" spans="1:12" ht="18" customHeight="1" thickBot="1">
      <c r="A75" s="382"/>
      <c r="B75" s="382"/>
      <c r="C75" s="790"/>
      <c r="D75" s="789"/>
      <c r="E75" s="788"/>
      <c r="F75" s="791"/>
      <c r="G75" s="624"/>
      <c r="H75" s="624"/>
    </row>
    <row r="76" spans="1:12" ht="18" customHeight="1" thickBot="1">
      <c r="A76" s="2025" t="s">
        <v>663</v>
      </c>
      <c r="B76" s="2026"/>
      <c r="C76" s="2026"/>
      <c r="D76" s="2026"/>
      <c r="E76" s="2026"/>
      <c r="F76" s="2026"/>
      <c r="G76" s="2026"/>
      <c r="H76" s="2027"/>
      <c r="J76" s="328"/>
    </row>
    <row r="77" spans="1:12" ht="4.5" customHeight="1">
      <c r="A77" s="825"/>
      <c r="B77" s="825"/>
      <c r="C77" s="825"/>
      <c r="D77" s="825"/>
      <c r="E77" s="825"/>
      <c r="F77" s="825"/>
      <c r="G77" s="825"/>
      <c r="H77" s="825"/>
      <c r="J77" s="352"/>
    </row>
    <row r="78" spans="1:12" s="250" customFormat="1" ht="17.25" customHeight="1">
      <c r="A78" s="676" t="s">
        <v>623</v>
      </c>
      <c r="B78" s="251"/>
      <c r="C78" s="787"/>
      <c r="D78" s="786"/>
      <c r="E78" s="328"/>
      <c r="F78" s="328"/>
      <c r="G78" s="595"/>
      <c r="H78" s="624"/>
      <c r="I78" s="594"/>
    </row>
    <row r="79" spans="1:12" s="624" customFormat="1" ht="15.6">
      <c r="A79" s="678"/>
      <c r="B79" s="785" t="s">
        <v>69</v>
      </c>
      <c r="C79" s="784"/>
      <c r="D79" s="780"/>
      <c r="E79" s="781">
        <v>139045412.87759766</v>
      </c>
      <c r="F79" s="781" t="e">
        <f>SUM(F80:F84)</f>
        <v>#REF!</v>
      </c>
      <c r="G79" s="781" t="e">
        <f t="shared" ref="G79:G90" si="19">F79-E79</f>
        <v>#REF!</v>
      </c>
      <c r="H79" s="782" t="e">
        <f t="shared" ref="H79:H85" si="20">ROUND((F79/E79)-1,4)</f>
        <v>#REF!</v>
      </c>
    </row>
    <row r="80" spans="1:12" s="624" customFormat="1" ht="15.6">
      <c r="A80" s="679"/>
      <c r="B80" s="776" t="s">
        <v>148</v>
      </c>
      <c r="C80" s="784" t="s">
        <v>116</v>
      </c>
      <c r="D80" s="780"/>
      <c r="E80" s="741">
        <v>123394251.94473901</v>
      </c>
      <c r="F80" s="741">
        <f>'Table 5B1_RSD_Orleans'!H72</f>
        <v>126490559.3146013</v>
      </c>
      <c r="G80" s="741">
        <f t="shared" si="19"/>
        <v>3096307.3698622882</v>
      </c>
      <c r="H80" s="783">
        <f t="shared" si="20"/>
        <v>2.5100000000000001E-2</v>
      </c>
    </row>
    <row r="81" spans="1:10" s="624" customFormat="1" ht="15.6">
      <c r="A81" s="679"/>
      <c r="B81" s="776" t="s">
        <v>149</v>
      </c>
      <c r="C81" s="784" t="s">
        <v>97</v>
      </c>
      <c r="D81" s="780"/>
      <c r="E81" s="741">
        <v>9249495.699129818</v>
      </c>
      <c r="F81" s="741">
        <f>'Table 5B2_RSD_LA'!H12</f>
        <v>8842455.9961088095</v>
      </c>
      <c r="G81" s="741">
        <f t="shared" si="19"/>
        <v>-407039.70302100852</v>
      </c>
      <c r="H81" s="783">
        <f t="shared" si="20"/>
        <v>-4.3999999999999997E-2</v>
      </c>
    </row>
    <row r="82" spans="1:10" s="624" customFormat="1" ht="15.6">
      <c r="A82" s="679"/>
      <c r="B82" s="776" t="s">
        <v>150</v>
      </c>
      <c r="C82" s="784" t="s">
        <v>119</v>
      </c>
      <c r="D82" s="780"/>
      <c r="E82" s="741">
        <v>1020939.4737288136</v>
      </c>
      <c r="F82" s="741" t="e">
        <f>'Table 5B2_RSD_LA'!#REF!</f>
        <v>#REF!</v>
      </c>
      <c r="G82" s="741" t="e">
        <f t="shared" si="19"/>
        <v>#REF!</v>
      </c>
      <c r="H82" s="783" t="e">
        <f t="shared" si="20"/>
        <v>#REF!</v>
      </c>
    </row>
    <row r="83" spans="1:10" s="624" customFormat="1" ht="15.6">
      <c r="A83" s="679"/>
      <c r="B83" s="776" t="s">
        <v>151</v>
      </c>
      <c r="C83" s="784" t="s">
        <v>89</v>
      </c>
      <c r="D83" s="780"/>
      <c r="E83" s="741">
        <v>3366945.8</v>
      </c>
      <c r="F83" s="741">
        <f>'Table 5B2_RSD_LA'!H15</f>
        <v>2731628.08</v>
      </c>
      <c r="G83" s="741">
        <f t="shared" si="19"/>
        <v>-635317.71999999974</v>
      </c>
      <c r="H83" s="783">
        <f t="shared" si="20"/>
        <v>-0.18870000000000001</v>
      </c>
    </row>
    <row r="84" spans="1:10" s="624" customFormat="1" ht="15.6">
      <c r="A84" s="679"/>
      <c r="B84" s="776" t="s">
        <v>152</v>
      </c>
      <c r="C84" s="784" t="s">
        <v>126</v>
      </c>
      <c r="D84" s="780"/>
      <c r="E84" s="741">
        <v>2013779.96</v>
      </c>
      <c r="F84" s="741" t="e">
        <f>'Table 5B2_RSD_LA'!#REF!</f>
        <v>#REF!</v>
      </c>
      <c r="G84" s="741" t="e">
        <f t="shared" si="19"/>
        <v>#REF!</v>
      </c>
      <c r="H84" s="783" t="e">
        <f t="shared" si="20"/>
        <v>#REF!</v>
      </c>
    </row>
    <row r="85" spans="1:10" s="624" customFormat="1" ht="15.6">
      <c r="A85" s="793"/>
      <c r="B85" s="785" t="s">
        <v>812</v>
      </c>
      <c r="C85" s="784"/>
      <c r="D85" s="780"/>
      <c r="E85" s="781">
        <v>25581124.437763676</v>
      </c>
      <c r="F85" s="781">
        <f>'Table 5C1A-Madison Prep'!H76+'Table 5C1B-DArbonne'!H77+'Table 5C1C-Intl_VIBE'!H76+'Table 5C1D-NOMMA'!H76+'Table 5C1E-LFNO'!H76+'Table 5C1F-Lake Charles Charter'!H76+'Table 5C2 - LA Virtual Admy'!H75+'Table 5C3 - LA Connections EBR'!H75+'Table 5C1G-JS Clark Academy'!H76+'Table 5C1H-Southwest LA Charter'!H76</f>
        <v>33170669.043608073</v>
      </c>
      <c r="G85" s="781">
        <f t="shared" si="19"/>
        <v>7589544.6058443971</v>
      </c>
      <c r="H85" s="782">
        <f t="shared" si="20"/>
        <v>0.29670000000000002</v>
      </c>
    </row>
    <row r="86" spans="1:10" s="624" customFormat="1" ht="15.6">
      <c r="A86" s="793"/>
      <c r="B86" s="865" t="s">
        <v>811</v>
      </c>
      <c r="C86" s="866"/>
      <c r="D86" s="867"/>
      <c r="E86" s="868">
        <v>8605242</v>
      </c>
      <c r="F86" s="868">
        <f>'Table 5C1I-LA Key Academy'!H76+'Table 5C1J-Jefferson Chamber'!H76+'Table 5C1K-Tallulah Charter'!H76+'Table 5C1L-Northshore Charter'!H76+'Table 5C1M-B.R. Charter'!H76+'Table 5C1N-Delta Charter'!H76+'Table 5C1O-Impact'!H76+'Table 5C1P-Vision'!H76+'Table 5C1Q-Advantage'!H76+'Table 5C1R-Iberville'!H76+'Table 5C1S-L.C. Coll Prep'!H76+'Table 5C1T-Northeast'!H76+'Table 5C1U-Acadiana Ren'!H76+'Table 5C1V-Laf Ren'!H76+'Table 5C1W-Willow'!H76</f>
        <v>22167301.333787628</v>
      </c>
      <c r="G86" s="781">
        <f t="shared" si="19"/>
        <v>13562059.333787628</v>
      </c>
      <c r="H86" s="869"/>
      <c r="J86" s="854" t="s">
        <v>814</v>
      </c>
    </row>
    <row r="87" spans="1:10" s="624" customFormat="1" ht="15.6">
      <c r="A87" s="793"/>
      <c r="B87" s="785" t="s">
        <v>787</v>
      </c>
      <c r="C87" s="784"/>
      <c r="D87" s="780"/>
      <c r="E87" s="781"/>
      <c r="F87" s="781">
        <f>'Table 5A5_LSMSA'!H76</f>
        <v>2438308.9434366622</v>
      </c>
      <c r="G87" s="781">
        <f t="shared" si="19"/>
        <v>2438308.9434366622</v>
      </c>
      <c r="H87" s="782"/>
    </row>
    <row r="88" spans="1:10" s="624" customFormat="1" ht="15.6">
      <c r="A88" s="793"/>
      <c r="B88" s="785" t="s">
        <v>788</v>
      </c>
      <c r="C88" s="784"/>
      <c r="D88" s="780"/>
      <c r="E88" s="781"/>
      <c r="F88" s="781">
        <f>'Table 5A4_NOCCA'!H76</f>
        <v>1565592.8001704959</v>
      </c>
      <c r="G88" s="781">
        <f t="shared" si="19"/>
        <v>1565592.8001704959</v>
      </c>
      <c r="H88" s="782"/>
    </row>
    <row r="89" spans="1:10" s="624" customFormat="1" ht="15.6">
      <c r="A89" s="793"/>
      <c r="B89" s="785" t="s">
        <v>789</v>
      </c>
      <c r="C89" s="784"/>
      <c r="D89" s="780"/>
      <c r="E89" s="781"/>
      <c r="F89" s="781" t="e">
        <f>#REF!</f>
        <v>#REF!</v>
      </c>
      <c r="G89" s="781" t="e">
        <f t="shared" si="19"/>
        <v>#REF!</v>
      </c>
      <c r="H89" s="782"/>
    </row>
    <row r="90" spans="1:10" s="624" customFormat="1" ht="16.2" thickBot="1">
      <c r="A90" s="878"/>
      <c r="B90" s="873" t="s">
        <v>683</v>
      </c>
      <c r="C90" s="874"/>
      <c r="D90" s="875"/>
      <c r="E90" s="876"/>
      <c r="F90" s="876" t="e">
        <f>#REF!</f>
        <v>#REF!</v>
      </c>
      <c r="G90" s="781" t="e">
        <f t="shared" si="19"/>
        <v>#REF!</v>
      </c>
      <c r="H90" s="877"/>
    </row>
    <row r="91" spans="1:10" ht="48.75" customHeight="1" thickBot="1">
      <c r="A91" s="871"/>
      <c r="B91" s="871"/>
      <c r="C91" s="871"/>
      <c r="D91" s="872"/>
      <c r="E91" s="871"/>
      <c r="F91" s="871"/>
      <c r="G91" s="871"/>
      <c r="H91" s="871"/>
    </row>
    <row r="92" spans="1:10" ht="21.75" customHeight="1">
      <c r="A92" s="682" t="s">
        <v>664</v>
      </c>
      <c r="B92" s="134"/>
      <c r="C92" s="595"/>
      <c r="D92" s="555"/>
      <c r="E92" s="595"/>
      <c r="F92" s="595"/>
      <c r="G92" s="595"/>
      <c r="H92" s="624"/>
    </row>
    <row r="93" spans="1:10" s="624" customFormat="1" ht="22.5" customHeight="1">
      <c r="A93" s="680"/>
      <c r="B93" s="2028" t="s">
        <v>801</v>
      </c>
      <c r="C93" s="2028"/>
      <c r="H93" s="773"/>
    </row>
    <row r="94" spans="1:10" s="624" customFormat="1" ht="24" customHeight="1">
      <c r="A94" s="681"/>
      <c r="B94" s="849" t="s">
        <v>148</v>
      </c>
      <c r="C94" s="683" t="s">
        <v>802</v>
      </c>
      <c r="D94" s="701" t="s">
        <v>624</v>
      </c>
      <c r="E94" s="850" t="e">
        <f>F94</f>
        <v>#REF!</v>
      </c>
      <c r="F94" s="850" t="e">
        <f>#REF!+#REF!</f>
        <v>#REF!</v>
      </c>
      <c r="G94" s="850" t="e">
        <f>F94-E94</f>
        <v>#REF!</v>
      </c>
      <c r="H94" s="851"/>
    </row>
    <row r="95" spans="1:10" s="624" customFormat="1" ht="21.75" customHeight="1">
      <c r="A95" s="681"/>
      <c r="B95" s="852" t="s">
        <v>149</v>
      </c>
      <c r="C95" s="683" t="s">
        <v>799</v>
      </c>
      <c r="D95" s="701" t="s">
        <v>624</v>
      </c>
      <c r="E95" s="725" t="e">
        <f>F95</f>
        <v>#REF!</v>
      </c>
      <c r="F95" s="725" t="e">
        <f>#REF!+#REF!+#REF!</f>
        <v>#REF!</v>
      </c>
      <c r="G95" s="850" t="e">
        <f t="shared" ref="G95:G107" si="21">F95-E95</f>
        <v>#REF!</v>
      </c>
      <c r="H95" s="851"/>
    </row>
    <row r="96" spans="1:10" s="624" customFormat="1" ht="21.75" customHeight="1">
      <c r="A96" s="681"/>
      <c r="B96" s="852" t="s">
        <v>150</v>
      </c>
      <c r="C96" s="683" t="s">
        <v>800</v>
      </c>
      <c r="D96" s="701" t="s">
        <v>624</v>
      </c>
      <c r="E96" s="725" t="e">
        <f>F96</f>
        <v>#REF!</v>
      </c>
      <c r="F96" s="725" t="e">
        <f>SUM(#REF!)</f>
        <v>#REF!</v>
      </c>
      <c r="G96" s="850" t="e">
        <f t="shared" si="21"/>
        <v>#REF!</v>
      </c>
      <c r="H96" s="851"/>
    </row>
    <row r="97" spans="1:8" s="624" customFormat="1" ht="21.75" customHeight="1">
      <c r="A97" s="681"/>
      <c r="B97" s="852" t="s">
        <v>151</v>
      </c>
      <c r="C97" s="683" t="s">
        <v>659</v>
      </c>
      <c r="D97" s="702" t="s">
        <v>654</v>
      </c>
      <c r="E97" s="725">
        <v>275</v>
      </c>
      <c r="F97" s="725">
        <f>+'Table 5A5_LSMSA'!C76</f>
        <v>278</v>
      </c>
      <c r="G97" s="850">
        <f t="shared" si="21"/>
        <v>3</v>
      </c>
      <c r="H97" s="851">
        <f>ROUND((F97/E97)-1,4)</f>
        <v>1.09E-2</v>
      </c>
    </row>
    <row r="98" spans="1:8" s="624" customFormat="1" ht="21.75" customHeight="1">
      <c r="A98" s="681"/>
      <c r="B98" s="852" t="s">
        <v>152</v>
      </c>
      <c r="C98" s="683" t="s">
        <v>660</v>
      </c>
      <c r="D98" s="702" t="s">
        <v>654</v>
      </c>
      <c r="E98" s="725">
        <v>114</v>
      </c>
      <c r="F98" s="725">
        <f>+'Table 5A4_NOCCA'!C76</f>
        <v>175</v>
      </c>
      <c r="G98" s="850">
        <f t="shared" si="21"/>
        <v>61</v>
      </c>
      <c r="H98" s="851">
        <f>ROUND((F98/E98)-1,4)</f>
        <v>0.53510000000000002</v>
      </c>
    </row>
    <row r="99" spans="1:8" s="624" customFormat="1" ht="21.75" customHeight="1">
      <c r="A99" s="681"/>
      <c r="B99" s="852" t="s">
        <v>153</v>
      </c>
      <c r="C99" s="683" t="s">
        <v>803</v>
      </c>
      <c r="D99" s="702"/>
      <c r="E99" s="725"/>
      <c r="F99" s="725" t="e">
        <f>#REF!</f>
        <v>#REF!</v>
      </c>
      <c r="G99" s="850" t="e">
        <f t="shared" si="21"/>
        <v>#REF!</v>
      </c>
      <c r="H99" s="851"/>
    </row>
    <row r="100" spans="1:8" s="624" customFormat="1" ht="21.75" customHeight="1" thickBot="1">
      <c r="A100" s="681"/>
      <c r="B100" s="856" t="s">
        <v>171</v>
      </c>
      <c r="C100" s="844" t="s">
        <v>804</v>
      </c>
      <c r="D100" s="845"/>
      <c r="E100" s="846"/>
      <c r="F100" s="846" t="e">
        <f>#REF!</f>
        <v>#REF!</v>
      </c>
      <c r="G100" s="846" t="e">
        <f t="shared" si="21"/>
        <v>#REF!</v>
      </c>
      <c r="H100" s="860"/>
    </row>
    <row r="101" spans="1:8" s="97" customFormat="1" ht="21.75" customHeight="1" thickBot="1">
      <c r="A101" s="681"/>
      <c r="B101" s="857"/>
      <c r="C101" s="44" t="s">
        <v>807</v>
      </c>
      <c r="D101" s="862" t="s">
        <v>611</v>
      </c>
      <c r="E101" s="858" t="e">
        <f>SUM(E94:E100)</f>
        <v>#REF!</v>
      </c>
      <c r="F101" s="858" t="e">
        <f>SUM(F94:F100)</f>
        <v>#REF!</v>
      </c>
      <c r="G101" s="858" t="e">
        <f t="shared" si="21"/>
        <v>#REF!</v>
      </c>
      <c r="H101" s="859"/>
    </row>
    <row r="102" spans="1:8" s="624" customFormat="1" ht="21.75" customHeight="1">
      <c r="A102" s="681"/>
      <c r="B102" s="855" t="s">
        <v>322</v>
      </c>
      <c r="C102" s="22" t="s">
        <v>658</v>
      </c>
      <c r="D102" s="702" t="s">
        <v>657</v>
      </c>
      <c r="E102" s="853">
        <v>1767</v>
      </c>
      <c r="F102" s="853">
        <f>'Table 5A1_Labs'!C7</f>
        <v>1982</v>
      </c>
      <c r="G102" s="853">
        <f t="shared" si="21"/>
        <v>215</v>
      </c>
      <c r="H102" s="851">
        <f>ROUND((F102/E102)-1,4)</f>
        <v>0.1217</v>
      </c>
    </row>
    <row r="103" spans="1:8" s="624" customFormat="1" ht="18" customHeight="1">
      <c r="A103" s="681"/>
      <c r="B103" s="800" t="s">
        <v>322</v>
      </c>
      <c r="C103" s="801" t="s">
        <v>661</v>
      </c>
      <c r="D103" s="706" t="s">
        <v>653</v>
      </c>
      <c r="E103" s="746">
        <v>4306</v>
      </c>
      <c r="F103" s="746">
        <f>'Table 5A2- Legacy Type 2'!C15</f>
        <v>4518</v>
      </c>
      <c r="G103" s="850">
        <f t="shared" si="21"/>
        <v>212</v>
      </c>
      <c r="H103" s="774"/>
    </row>
    <row r="104" spans="1:8" s="624" customFormat="1" ht="18" customHeight="1">
      <c r="A104" s="681"/>
      <c r="B104" s="852" t="s">
        <v>782</v>
      </c>
      <c r="C104" s="683" t="s">
        <v>272</v>
      </c>
      <c r="D104" s="702" t="s">
        <v>656</v>
      </c>
      <c r="E104" s="725">
        <v>319.92208399999993</v>
      </c>
      <c r="F104" s="725">
        <f>'Table 5A3_OJJ'!C75</f>
        <v>278.73464700000005</v>
      </c>
      <c r="G104" s="850">
        <f t="shared" si="21"/>
        <v>-41.187436999999875</v>
      </c>
      <c r="H104" s="851">
        <f>ROUND((F104/E104)-1,4)</f>
        <v>-0.12870000000000001</v>
      </c>
    </row>
    <row r="105" spans="1:8" s="624" customFormat="1" ht="18" customHeight="1">
      <c r="A105" s="681"/>
      <c r="B105" s="852" t="s">
        <v>805</v>
      </c>
      <c r="C105" s="683" t="s">
        <v>783</v>
      </c>
      <c r="D105" s="702" t="s">
        <v>655</v>
      </c>
      <c r="E105" s="725">
        <v>1644</v>
      </c>
      <c r="F105" s="725">
        <f>'Table 5C1I-LA Key Academy'!C76+'Table 5C1J-Jefferson Chamber'!C76+'Table 5C1K-Tallulah Charter'!C76+'Table 5C1L-Northshore Charter'!C76+'Table 5C1M-B.R. Charter'!C76+'Table 5C1N-Delta Charter'!C76</f>
        <v>1453</v>
      </c>
      <c r="G105" s="850">
        <f t="shared" si="21"/>
        <v>-191</v>
      </c>
      <c r="H105" s="851">
        <f>ROUND((F105/E105)-1,4)</f>
        <v>-0.1162</v>
      </c>
    </row>
    <row r="106" spans="1:8" s="624" customFormat="1" ht="18" customHeight="1" thickBot="1">
      <c r="A106" s="681"/>
      <c r="B106" s="856" t="s">
        <v>806</v>
      </c>
      <c r="C106" s="844" t="s">
        <v>784</v>
      </c>
      <c r="D106" s="845" t="s">
        <v>655</v>
      </c>
      <c r="E106" s="846"/>
      <c r="F106" s="846">
        <f>+'Table 5C1O-Impact'!C76+'Table 5C1P-Vision'!C76+'Table 5C1Q-Advantage'!C76+'Table 5C1R-Iberville'!C76+'Table 5C1S-L.C. Coll Prep'!C76+'Table 5C1T-Northeast'!C76+'Table 5C1U-Acadiana Ren'!C76+'Table 5C1V-Laf Ren'!C76+'Table 5C1W-Willow'!C76</f>
        <v>3102</v>
      </c>
      <c r="G106" s="846">
        <f t="shared" si="21"/>
        <v>3102</v>
      </c>
      <c r="H106" s="860"/>
    </row>
    <row r="107" spans="1:8" s="624" customFormat="1" ht="18" customHeight="1" thickBot="1">
      <c r="A107" s="705"/>
      <c r="B107" s="861"/>
      <c r="C107" s="44" t="s">
        <v>808</v>
      </c>
      <c r="D107" s="862" t="s">
        <v>611</v>
      </c>
      <c r="E107" s="858" t="e">
        <f>SUM(E101:E106)</f>
        <v>#REF!</v>
      </c>
      <c r="F107" s="858" t="e">
        <f>SUM(F101:F106)</f>
        <v>#REF!</v>
      </c>
      <c r="G107" s="863" t="e">
        <f t="shared" si="21"/>
        <v>#REF!</v>
      </c>
      <c r="H107" s="864" t="e">
        <f>ROUND((F107/E107)-1,4)</f>
        <v>#REF!</v>
      </c>
    </row>
    <row r="108" spans="1:8">
      <c r="C108" s="624"/>
    </row>
    <row r="109" spans="1:8">
      <c r="C109" s="624"/>
    </row>
    <row r="110" spans="1:8" ht="15.6">
      <c r="C110" s="870" t="s">
        <v>813</v>
      </c>
    </row>
    <row r="111" spans="1:8">
      <c r="C111" s="624"/>
    </row>
  </sheetData>
  <mergeCells count="19">
    <mergeCell ref="B62:C62"/>
    <mergeCell ref="B65:C65"/>
    <mergeCell ref="A76:H76"/>
    <mergeCell ref="B93:C93"/>
    <mergeCell ref="B46:C46"/>
    <mergeCell ref="B69:C69"/>
    <mergeCell ref="B70:C70"/>
    <mergeCell ref="B41:C41"/>
    <mergeCell ref="A2:H2"/>
    <mergeCell ref="A3:H3"/>
    <mergeCell ref="A4:H4"/>
    <mergeCell ref="E5:E8"/>
    <mergeCell ref="F5:F8"/>
    <mergeCell ref="G5:G8"/>
    <mergeCell ref="H5:H8"/>
    <mergeCell ref="D5:D8"/>
    <mergeCell ref="B9:C9"/>
    <mergeCell ref="B32:C32"/>
    <mergeCell ref="B39:C40"/>
  </mergeCells>
  <printOptions horizontalCentered="1"/>
  <pageMargins left="0.25" right="0.25" top="0.19" bottom="0.16" header="0.17" footer="0.16"/>
  <pageSetup paperSize="5" scale="70" orientation="portrait" useFirstPageNumber="1" r:id="rId1"/>
  <headerFooter alignWithMargins="0">
    <oddFooter>&amp;R&amp;12&amp;P</oddFooter>
  </headerFooter>
  <rowBreaks count="1" manualBreakCount="1">
    <brk id="61"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8"/>
  <sheetViews>
    <sheetView view="pageBreakPreview" zoomScale="70" zoomScaleNormal="75" zoomScaleSheetLayoutView="70" workbookViewId="0">
      <pane xSplit="2" ySplit="4" topLeftCell="C5" activePane="bottomRight" state="frozen"/>
      <selection sqref="A1:H1"/>
      <selection pane="topRight" sqref="A1:H1"/>
      <selection pane="bottomLeft" sqref="A1:H1"/>
      <selection pane="bottomRight" sqref="A1:H1"/>
    </sheetView>
  </sheetViews>
  <sheetFormatPr defaultRowHeight="13.2"/>
  <cols>
    <col min="1" max="1" width="7" style="594" bestFit="1" customWidth="1"/>
    <col min="2" max="2" width="23.88671875" bestFit="1" customWidth="1"/>
    <col min="3" max="3" width="14.5546875" customWidth="1"/>
    <col min="4" max="4" width="16.6640625" bestFit="1" customWidth="1"/>
    <col min="5" max="5" width="13.6640625" customWidth="1"/>
    <col min="6" max="7" width="16" customWidth="1"/>
    <col min="8" max="8" width="15.5546875" customWidth="1"/>
    <col min="9" max="11" width="15.6640625" style="594" customWidth="1"/>
    <col min="12" max="12" width="15.109375" style="594" customWidth="1"/>
    <col min="13" max="14" width="15.109375" customWidth="1"/>
    <col min="15" max="15" width="14.88671875" style="594" customWidth="1"/>
    <col min="16" max="16" width="16.109375" style="594" customWidth="1"/>
    <col min="17" max="17" width="17.44140625" style="594" customWidth="1"/>
    <col min="18" max="18" width="15.88671875" style="594" customWidth="1"/>
    <col min="19" max="19" width="14.33203125" style="594" customWidth="1"/>
    <col min="20" max="20" width="13.44140625" bestFit="1" customWidth="1"/>
    <col min="21" max="21" width="14.6640625" customWidth="1"/>
    <col min="22" max="22" width="14.109375" customWidth="1"/>
    <col min="23" max="23" width="13.5546875" customWidth="1"/>
    <col min="24" max="24" width="19.6640625" customWidth="1"/>
  </cols>
  <sheetData>
    <row r="1" spans="1:24" s="594" customFormat="1" ht="23.4" customHeight="1">
      <c r="A1" s="2180" t="s">
        <v>321</v>
      </c>
      <c r="B1" s="2180" t="s">
        <v>175</v>
      </c>
      <c r="C1" s="2182" t="s">
        <v>1089</v>
      </c>
      <c r="D1" s="2183"/>
      <c r="E1" s="2183"/>
      <c r="F1" s="2183"/>
      <c r="G1" s="2183"/>
      <c r="H1" s="2183"/>
      <c r="I1" s="2183"/>
      <c r="J1" s="2183"/>
      <c r="K1" s="2183"/>
      <c r="L1" s="2183"/>
      <c r="M1" s="2183"/>
      <c r="N1" s="2184"/>
      <c r="O1" s="2182" t="s">
        <v>1089</v>
      </c>
      <c r="P1" s="2183"/>
      <c r="Q1" s="2183"/>
      <c r="R1" s="2183"/>
      <c r="S1" s="2183"/>
      <c r="T1" s="2183"/>
      <c r="U1" s="2183"/>
      <c r="V1" s="2183"/>
      <c r="W1" s="2183"/>
      <c r="X1" s="2184"/>
    </row>
    <row r="2" spans="1:24" s="326" customFormat="1" ht="23.4" customHeight="1">
      <c r="A2" s="2181"/>
      <c r="B2" s="2181"/>
      <c r="C2" s="1645"/>
      <c r="D2" s="1646"/>
      <c r="E2" s="1647"/>
      <c r="F2" s="1648"/>
      <c r="G2" s="1648"/>
      <c r="H2" s="1648"/>
      <c r="I2" s="2177" t="s">
        <v>531</v>
      </c>
      <c r="J2" s="2178"/>
      <c r="K2" s="2179"/>
      <c r="L2" s="1648"/>
      <c r="M2" s="1649"/>
      <c r="N2" s="1650"/>
      <c r="O2" s="2174" t="s">
        <v>1061</v>
      </c>
      <c r="P2" s="2176"/>
      <c r="Q2" s="1649"/>
      <c r="R2" s="1649"/>
      <c r="S2" s="1649"/>
      <c r="T2" s="1649"/>
      <c r="U2" s="2174" t="s">
        <v>1068</v>
      </c>
      <c r="V2" s="2175"/>
      <c r="W2" s="2176"/>
      <c r="X2" s="1650"/>
    </row>
    <row r="3" spans="1:24" ht="178.2" customHeight="1">
      <c r="A3" s="2148"/>
      <c r="B3" s="2148"/>
      <c r="C3" s="1644" t="s">
        <v>931</v>
      </c>
      <c r="D3" s="1604" t="s">
        <v>1296</v>
      </c>
      <c r="E3" s="1604" t="s">
        <v>380</v>
      </c>
      <c r="F3" s="1604" t="s">
        <v>299</v>
      </c>
      <c r="G3" s="1604" t="s">
        <v>1062</v>
      </c>
      <c r="H3" s="1605" t="s">
        <v>541</v>
      </c>
      <c r="I3" s="1044" t="s">
        <v>766</v>
      </c>
      <c r="J3" s="1044" t="s">
        <v>767</v>
      </c>
      <c r="K3" s="1044" t="s">
        <v>551</v>
      </c>
      <c r="L3" s="1604" t="s">
        <v>542</v>
      </c>
      <c r="M3" s="1676" t="s">
        <v>1046</v>
      </c>
      <c r="N3" s="1604" t="s">
        <v>543</v>
      </c>
      <c r="O3" s="1490" t="s">
        <v>1023</v>
      </c>
      <c r="P3" s="1490" t="s">
        <v>1060</v>
      </c>
      <c r="Q3" s="1651" t="s">
        <v>1066</v>
      </c>
      <c r="R3" s="1651" t="s">
        <v>760</v>
      </c>
      <c r="S3" s="1651" t="s">
        <v>768</v>
      </c>
      <c r="T3" s="1651" t="s">
        <v>535</v>
      </c>
      <c r="U3" s="1490" t="s">
        <v>1063</v>
      </c>
      <c r="V3" s="1490" t="s">
        <v>1064</v>
      </c>
      <c r="W3" s="1490" t="s">
        <v>1065</v>
      </c>
      <c r="X3" s="1651" t="s">
        <v>1067</v>
      </c>
    </row>
    <row r="4" spans="1:24">
      <c r="A4" s="1609"/>
      <c r="B4" s="95"/>
      <c r="C4" s="177">
        <v>1</v>
      </c>
      <c r="D4" s="177">
        <f t="shared" ref="D4:H4" si="0">C4+1</f>
        <v>2</v>
      </c>
      <c r="E4" s="177">
        <f t="shared" si="0"/>
        <v>3</v>
      </c>
      <c r="F4" s="177">
        <f t="shared" si="0"/>
        <v>4</v>
      </c>
      <c r="G4" s="177">
        <f t="shared" si="0"/>
        <v>5</v>
      </c>
      <c r="H4" s="177">
        <f t="shared" si="0"/>
        <v>6</v>
      </c>
      <c r="I4" s="177">
        <f t="shared" ref="I4" si="1">H4+1</f>
        <v>7</v>
      </c>
      <c r="J4" s="177">
        <f t="shared" ref="J4" si="2">I4+1</f>
        <v>8</v>
      </c>
      <c r="K4" s="177">
        <f t="shared" ref="K4" si="3">J4+1</f>
        <v>9</v>
      </c>
      <c r="L4" s="177">
        <f t="shared" ref="L4" si="4">K4+1</f>
        <v>10</v>
      </c>
      <c r="M4" s="177">
        <f t="shared" ref="M4:N4" si="5">L4+1</f>
        <v>11</v>
      </c>
      <c r="N4" s="177">
        <f t="shared" si="5"/>
        <v>12</v>
      </c>
      <c r="O4" s="177">
        <f t="shared" ref="O4" si="6">N4+1</f>
        <v>13</v>
      </c>
      <c r="P4" s="177">
        <f t="shared" ref="P4" si="7">O4+1</f>
        <v>14</v>
      </c>
      <c r="Q4" s="177">
        <f t="shared" ref="Q4" si="8">P4+1</f>
        <v>15</v>
      </c>
      <c r="R4" s="177">
        <f t="shared" ref="R4" si="9">Q4+1</f>
        <v>16</v>
      </c>
      <c r="S4" s="177">
        <f t="shared" ref="S4" si="10">R4+1</f>
        <v>17</v>
      </c>
      <c r="T4" s="177">
        <f t="shared" ref="T4" si="11">S4+1</f>
        <v>18</v>
      </c>
      <c r="U4" s="177">
        <f t="shared" ref="U4" si="12">T4+1</f>
        <v>19</v>
      </c>
      <c r="V4" s="177">
        <f t="shared" ref="V4" si="13">U4+1</f>
        <v>20</v>
      </c>
      <c r="W4" s="177">
        <f t="shared" ref="W4" si="14">V4+1</f>
        <v>21</v>
      </c>
      <c r="X4" s="177">
        <f t="shared" ref="X4" si="15">W4+1</f>
        <v>22</v>
      </c>
    </row>
    <row r="5" spans="1:24" ht="28.2" customHeight="1">
      <c r="A5" s="1610">
        <v>318001</v>
      </c>
      <c r="B5" s="179" t="s">
        <v>201</v>
      </c>
      <c r="C5" s="178">
        <f>+'Table 8 Membership 2.1.14'!AH74</f>
        <v>1394</v>
      </c>
      <c r="D5" s="49">
        <f>'Table 3 Levels 1&amp;2'!AL73</f>
        <v>4479.9292126977662</v>
      </c>
      <c r="E5" s="49">
        <f>C5*ROUND(D5,0)</f>
        <v>6245120</v>
      </c>
      <c r="F5" s="49">
        <v>605.97185873605952</v>
      </c>
      <c r="G5" s="49">
        <f>F5*C5</f>
        <v>844724.77107806702</v>
      </c>
      <c r="H5" s="1606">
        <f>E5+G5</f>
        <v>7089844.7710780669</v>
      </c>
      <c r="I5" s="665"/>
      <c r="J5" s="665"/>
      <c r="K5" s="668">
        <f>SUM(I5:J5)</f>
        <v>0</v>
      </c>
      <c r="L5" s="1606">
        <f>+H5+K5</f>
        <v>7089844.7710780669</v>
      </c>
      <c r="M5" s="49">
        <v>0</v>
      </c>
      <c r="N5" s="1606">
        <f>SUM(L5:M5)</f>
        <v>7089844.7710780669</v>
      </c>
      <c r="O5" s="1076">
        <f>+'Table 4 Level 4'!E76</f>
        <v>0</v>
      </c>
      <c r="P5" s="1076">
        <f>+'Table 4 Level 4'!N76</f>
        <v>17108</v>
      </c>
      <c r="Q5" s="1606">
        <f>SUM(N5:P5)</f>
        <v>7106952.7710780669</v>
      </c>
      <c r="R5" s="665"/>
      <c r="S5" s="665">
        <f>+Q5-R5</f>
        <v>7106952.7710780669</v>
      </c>
      <c r="T5" s="1606">
        <f>ROUND(S5/12,0)</f>
        <v>592246</v>
      </c>
      <c r="U5" s="49">
        <f>+'Table 4 Level 4'!J76</f>
        <v>0</v>
      </c>
      <c r="V5" s="49">
        <f>+'Table 4 Level 4'!K76</f>
        <v>0</v>
      </c>
      <c r="W5" s="49">
        <f>+'Table 4 Level 4'!L76</f>
        <v>0</v>
      </c>
      <c r="X5" s="1606">
        <f>+Q5+U5+V5+W5</f>
        <v>7106952.7710780669</v>
      </c>
    </row>
    <row r="6" spans="1:24" ht="28.2" customHeight="1">
      <c r="A6" s="1611">
        <v>319001</v>
      </c>
      <c r="B6" s="180" t="s">
        <v>202</v>
      </c>
      <c r="C6" s="178">
        <f>+'Table 8 Membership 2.1.14'!AI74</f>
        <v>588</v>
      </c>
      <c r="D6" s="49">
        <f>'Table 3 Levels 1&amp;2'!AL73</f>
        <v>4479.9292126977662</v>
      </c>
      <c r="E6" s="49">
        <f>C6*ROUND(D6,0)</f>
        <v>2634240</v>
      </c>
      <c r="F6" s="49">
        <v>699.89832861189802</v>
      </c>
      <c r="G6" s="49">
        <f>F6*C6</f>
        <v>411540.21722379606</v>
      </c>
      <c r="H6" s="1606">
        <f>E6+G6</f>
        <v>3045780.2172237961</v>
      </c>
      <c r="I6" s="665"/>
      <c r="J6" s="665"/>
      <c r="K6" s="668">
        <f>SUM(I6:J6)</f>
        <v>0</v>
      </c>
      <c r="L6" s="1606">
        <f>+H6+K6</f>
        <v>3045780.2172237961</v>
      </c>
      <c r="M6" s="49">
        <v>0</v>
      </c>
      <c r="N6" s="1606">
        <f>SUM(L6:M6)</f>
        <v>3045780.2172237961</v>
      </c>
      <c r="O6" s="1076">
        <f>+'Table 4 Level 4'!E77</f>
        <v>0</v>
      </c>
      <c r="P6" s="1076">
        <f>+'Table 4 Level 4'!N77</f>
        <v>8866</v>
      </c>
      <c r="Q6" s="1606">
        <f>SUM(N6:P6)</f>
        <v>3054646.2172237961</v>
      </c>
      <c r="R6" s="665"/>
      <c r="S6" s="665">
        <f>+Q6-R6</f>
        <v>3054646.2172237961</v>
      </c>
      <c r="T6" s="1606">
        <f>ROUND(S6/12,0)</f>
        <v>254554</v>
      </c>
      <c r="U6" s="49">
        <f>+'Table 4 Level 4'!J77</f>
        <v>0</v>
      </c>
      <c r="V6" s="49">
        <f>+'Table 4 Level 4'!K77</f>
        <v>0</v>
      </c>
      <c r="W6" s="49">
        <f>+'Table 4 Level 4'!L77</f>
        <v>0</v>
      </c>
      <c r="X6" s="1606">
        <f>+Q6+U6+V6+W6</f>
        <v>3054646.2172237961</v>
      </c>
    </row>
    <row r="7" spans="1:24" s="8" customFormat="1" ht="28.2" customHeight="1" thickBot="1">
      <c r="A7" s="34"/>
      <c r="B7" s="34" t="s">
        <v>163</v>
      </c>
      <c r="C7" s="61">
        <f>SUM(C5:C6)</f>
        <v>1982</v>
      </c>
      <c r="D7" s="36"/>
      <c r="E7" s="35">
        <f>SUM(E5:E6)</f>
        <v>8879360</v>
      </c>
      <c r="F7" s="35"/>
      <c r="G7" s="35">
        <f t="shared" ref="G7:X7" si="16">SUM(G5:G6)</f>
        <v>1256264.988301863</v>
      </c>
      <c r="H7" s="1607">
        <f t="shared" si="16"/>
        <v>10135624.988301862</v>
      </c>
      <c r="I7" s="666">
        <f t="shared" si="16"/>
        <v>0</v>
      </c>
      <c r="J7" s="666">
        <f t="shared" si="16"/>
        <v>0</v>
      </c>
      <c r="K7" s="669">
        <f t="shared" si="16"/>
        <v>0</v>
      </c>
      <c r="L7" s="1607">
        <f t="shared" si="16"/>
        <v>10135624.988301862</v>
      </c>
      <c r="M7" s="35">
        <f>SUM(M5:M6)</f>
        <v>0</v>
      </c>
      <c r="N7" s="1607">
        <f t="shared" si="16"/>
        <v>10135624.988301862</v>
      </c>
      <c r="O7" s="1077">
        <f t="shared" si="16"/>
        <v>0</v>
      </c>
      <c r="P7" s="1077">
        <f t="shared" si="16"/>
        <v>25974</v>
      </c>
      <c r="Q7" s="1607">
        <f t="shared" si="16"/>
        <v>10161598.988301862</v>
      </c>
      <c r="R7" s="666">
        <f t="shared" si="16"/>
        <v>0</v>
      </c>
      <c r="S7" s="666">
        <f t="shared" si="16"/>
        <v>10161598.988301862</v>
      </c>
      <c r="T7" s="1607">
        <f t="shared" si="16"/>
        <v>846800</v>
      </c>
      <c r="U7" s="35">
        <f t="shared" si="16"/>
        <v>0</v>
      </c>
      <c r="V7" s="35">
        <f t="shared" si="16"/>
        <v>0</v>
      </c>
      <c r="W7" s="35">
        <f t="shared" si="16"/>
        <v>0</v>
      </c>
      <c r="X7" s="1607">
        <f t="shared" si="16"/>
        <v>10161598.988301862</v>
      </c>
    </row>
    <row r="8" spans="1:24" s="8" customFormat="1" ht="13.8" thickTop="1">
      <c r="B8" s="79"/>
      <c r="C8" s="80"/>
      <c r="D8" s="81"/>
      <c r="E8" s="82"/>
    </row>
  </sheetData>
  <mergeCells count="7">
    <mergeCell ref="U2:W2"/>
    <mergeCell ref="O2:P2"/>
    <mergeCell ref="I2:K2"/>
    <mergeCell ref="A1:A3"/>
    <mergeCell ref="B1:B3"/>
    <mergeCell ref="C1:N1"/>
    <mergeCell ref="O1:X1"/>
  </mergeCells>
  <phoneticPr fontId="0" type="noConversion"/>
  <printOptions horizontalCentered="1"/>
  <pageMargins left="0.5" right="0.5" top="0.95" bottom="0.5" header="0.25" footer="0.25"/>
  <pageSetup paperSize="5" scale="70" firstPageNumber="3" orientation="landscape" r:id="rId1"/>
  <headerFooter alignWithMargins="0">
    <oddHeader xml:space="preserve">&amp;L&amp;"Arial,Bold"&amp;20Table 5A1: FY2014-15 MFP Budget Letter
Allocation for Lab Schools&amp;R
</oddHeader>
    <oddFooter>&amp;R&amp;12&amp;P</oddFooter>
  </headerFooter>
  <colBreaks count="1" manualBreakCount="1">
    <brk id="14" max="7"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Z20"/>
  <sheetViews>
    <sheetView view="pageBreakPreview" zoomScale="60" zoomScaleNormal="70" workbookViewId="0">
      <pane xSplit="2" ySplit="4" topLeftCell="C5" activePane="bottomRight" state="frozen"/>
      <selection sqref="A1:H1"/>
      <selection pane="topRight" sqref="A1:H1"/>
      <selection pane="bottomLeft" sqref="A1:H1"/>
      <selection pane="bottomRight" sqref="A1:H1"/>
    </sheetView>
  </sheetViews>
  <sheetFormatPr defaultColWidth="9.109375" defaultRowHeight="13.2"/>
  <cols>
    <col min="1" max="1" width="9" style="520" bestFit="1" customWidth="1"/>
    <col min="2" max="2" width="33" style="520" customWidth="1"/>
    <col min="3" max="4" width="13.6640625" style="520" customWidth="1"/>
    <col min="5" max="5" width="18" style="520" customWidth="1"/>
    <col min="6" max="6" width="16.33203125" style="520" customWidth="1"/>
    <col min="7" max="7" width="15.6640625" style="520" bestFit="1" customWidth="1"/>
    <col min="8" max="8" width="17.109375" style="520" bestFit="1" customWidth="1"/>
    <col min="9" max="9" width="14.33203125" style="607" bestFit="1" customWidth="1"/>
    <col min="10" max="10" width="14" style="607" bestFit="1" customWidth="1"/>
    <col min="11" max="11" width="15.33203125" style="607" customWidth="1"/>
    <col min="12" max="12" width="17.109375" style="607" customWidth="1"/>
    <col min="13" max="13" width="14.33203125" style="520" bestFit="1" customWidth="1"/>
    <col min="14" max="14" width="18" style="520" bestFit="1" customWidth="1"/>
    <col min="15" max="15" width="14.109375" style="520" customWidth="1"/>
    <col min="16" max="16" width="18" style="520" bestFit="1" customWidth="1"/>
    <col min="17" max="18" width="18" style="608" customWidth="1"/>
    <col min="19" max="19" width="20.33203125" style="608" customWidth="1"/>
    <col min="20" max="20" width="14.5546875" style="608" customWidth="1"/>
    <col min="21" max="21" width="17.109375" style="608" customWidth="1"/>
    <col min="22" max="22" width="15.6640625" style="520" bestFit="1" customWidth="1"/>
    <col min="23" max="23" width="14" style="520" bestFit="1" customWidth="1"/>
    <col min="24" max="24" width="15.109375" style="520" bestFit="1" customWidth="1"/>
    <col min="25" max="25" width="13.6640625" style="520" customWidth="1"/>
    <col min="26" max="26" width="17.44140625" style="520" customWidth="1"/>
    <col min="27" max="16384" width="9.109375" style="520"/>
  </cols>
  <sheetData>
    <row r="1" spans="1:26" s="608" customFormat="1" ht="25.95" customHeight="1">
      <c r="A1" s="2186" t="s">
        <v>321</v>
      </c>
      <c r="B1" s="2189" t="s">
        <v>505</v>
      </c>
      <c r="C1" s="2182"/>
      <c r="D1" s="2183"/>
      <c r="E1" s="2183"/>
      <c r="F1" s="2183"/>
      <c r="G1" s="2183"/>
      <c r="H1" s="2183"/>
      <c r="I1" s="2183"/>
      <c r="J1" s="2183"/>
      <c r="K1" s="2183"/>
      <c r="L1" s="2183"/>
      <c r="M1" s="2183"/>
      <c r="N1" s="2183"/>
      <c r="O1" s="2183"/>
      <c r="P1" s="2184"/>
      <c r="Q1" s="2182"/>
      <c r="R1" s="2183"/>
      <c r="S1" s="2183"/>
      <c r="T1" s="2183"/>
      <c r="U1" s="2183"/>
      <c r="V1" s="2183"/>
      <c r="W1" s="2183"/>
      <c r="X1" s="2183"/>
      <c r="Y1" s="2183"/>
      <c r="Z1" s="2184"/>
    </row>
    <row r="2" spans="1:26" ht="25.95" customHeight="1">
      <c r="A2" s="2187"/>
      <c r="B2" s="2187"/>
      <c r="C2" s="1655"/>
      <c r="D2" s="1653"/>
      <c r="E2" s="1653"/>
      <c r="F2" s="1653"/>
      <c r="G2" s="1653"/>
      <c r="H2" s="1653"/>
      <c r="I2" s="2190" t="s">
        <v>531</v>
      </c>
      <c r="J2" s="2190"/>
      <c r="K2" s="2190"/>
      <c r="L2" s="1653"/>
      <c r="M2" s="1653"/>
      <c r="N2" s="1653"/>
      <c r="O2" s="1653"/>
      <c r="P2" s="1654"/>
      <c r="Q2" s="2185" t="s">
        <v>1061</v>
      </c>
      <c r="R2" s="2185"/>
      <c r="S2" s="1653"/>
      <c r="T2" s="1653"/>
      <c r="U2" s="1653"/>
      <c r="V2" s="1653"/>
      <c r="W2" s="2185" t="s">
        <v>1068</v>
      </c>
      <c r="X2" s="2185"/>
      <c r="Y2" s="2185"/>
      <c r="Z2" s="1654"/>
    </row>
    <row r="3" spans="1:26" ht="186" customHeight="1">
      <c r="A3" s="2188"/>
      <c r="B3" s="2188"/>
      <c r="C3" s="1652" t="s">
        <v>932</v>
      </c>
      <c r="D3" s="1652" t="s">
        <v>1236</v>
      </c>
      <c r="E3" s="1813" t="s">
        <v>506</v>
      </c>
      <c r="F3" s="1813" t="s">
        <v>1116</v>
      </c>
      <c r="G3" s="1813" t="s">
        <v>507</v>
      </c>
      <c r="H3" s="1812" t="s">
        <v>1117</v>
      </c>
      <c r="I3" s="1814" t="s">
        <v>770</v>
      </c>
      <c r="J3" s="1814" t="s">
        <v>769</v>
      </c>
      <c r="K3" s="1814" t="s">
        <v>551</v>
      </c>
      <c r="L3" s="1815" t="s">
        <v>553</v>
      </c>
      <c r="M3" s="1812" t="s">
        <v>980</v>
      </c>
      <c r="N3" s="1812" t="s">
        <v>1115</v>
      </c>
      <c r="O3" s="1816" t="s">
        <v>1036</v>
      </c>
      <c r="P3" s="1812" t="s">
        <v>1114</v>
      </c>
      <c r="Q3" s="1817" t="s">
        <v>1023</v>
      </c>
      <c r="R3" s="1817" t="s">
        <v>1060</v>
      </c>
      <c r="S3" s="1818" t="s">
        <v>1118</v>
      </c>
      <c r="T3" s="1815" t="s">
        <v>981</v>
      </c>
      <c r="U3" s="1815" t="s">
        <v>761</v>
      </c>
      <c r="V3" s="1812" t="s">
        <v>511</v>
      </c>
      <c r="W3" s="1817" t="s">
        <v>1063</v>
      </c>
      <c r="X3" s="1817" t="s">
        <v>1064</v>
      </c>
      <c r="Y3" s="1817" t="s">
        <v>1065</v>
      </c>
      <c r="Z3" s="1818" t="s">
        <v>1119</v>
      </c>
    </row>
    <row r="4" spans="1:26">
      <c r="A4" s="1123"/>
      <c r="B4" s="1123"/>
      <c r="C4" s="1124">
        <v>1</v>
      </c>
      <c r="D4" s="1124">
        <f t="shared" ref="D4:I4" si="0">C4+1</f>
        <v>2</v>
      </c>
      <c r="E4" s="1124">
        <f t="shared" si="0"/>
        <v>3</v>
      </c>
      <c r="F4" s="1124">
        <f t="shared" si="0"/>
        <v>4</v>
      </c>
      <c r="G4" s="1124">
        <f t="shared" si="0"/>
        <v>5</v>
      </c>
      <c r="H4" s="1124">
        <f t="shared" si="0"/>
        <v>6</v>
      </c>
      <c r="I4" s="1124">
        <f t="shared" si="0"/>
        <v>7</v>
      </c>
      <c r="J4" s="1124">
        <f t="shared" ref="J4" si="1">I4+1</f>
        <v>8</v>
      </c>
      <c r="K4" s="1124">
        <f t="shared" ref="K4" si="2">J4+1</f>
        <v>9</v>
      </c>
      <c r="L4" s="1124">
        <f t="shared" ref="L4" si="3">K4+1</f>
        <v>10</v>
      </c>
      <c r="M4" s="1124">
        <f t="shared" ref="M4" si="4">L4+1</f>
        <v>11</v>
      </c>
      <c r="N4" s="1124">
        <f t="shared" ref="N4" si="5">M4+1</f>
        <v>12</v>
      </c>
      <c r="O4" s="1124">
        <f t="shared" ref="O4:P4" si="6">N4+1</f>
        <v>13</v>
      </c>
      <c r="P4" s="1124">
        <f t="shared" si="6"/>
        <v>14</v>
      </c>
      <c r="Q4" s="1124">
        <f t="shared" ref="Q4" si="7">P4+1</f>
        <v>15</v>
      </c>
      <c r="R4" s="1124">
        <f t="shared" ref="R4" si="8">Q4+1</f>
        <v>16</v>
      </c>
      <c r="S4" s="1124">
        <f t="shared" ref="S4" si="9">R4+1</f>
        <v>17</v>
      </c>
      <c r="T4" s="1124">
        <f t="shared" ref="T4" si="10">S4+1</f>
        <v>18</v>
      </c>
      <c r="U4" s="1124">
        <f t="shared" ref="U4" si="11">T4+1</f>
        <v>19</v>
      </c>
      <c r="V4" s="1124">
        <f t="shared" ref="V4" si="12">U4+1</f>
        <v>20</v>
      </c>
      <c r="W4" s="1124">
        <f t="shared" ref="W4" si="13">V4+1</f>
        <v>21</v>
      </c>
      <c r="X4" s="1124">
        <f t="shared" ref="X4" si="14">W4+1</f>
        <v>22</v>
      </c>
      <c r="Y4" s="1124">
        <f t="shared" ref="Y4" si="15">X4+1</f>
        <v>23</v>
      </c>
      <c r="Z4" s="1124">
        <f t="shared" ref="Z4" si="16">Y4+1</f>
        <v>24</v>
      </c>
    </row>
    <row r="5" spans="1:26" ht="40.950000000000003" customHeight="1">
      <c r="A5" s="1684">
        <v>321001</v>
      </c>
      <c r="B5" s="1685" t="s">
        <v>1069</v>
      </c>
      <c r="C5" s="1078">
        <f>+'Table 8 Membership 2.1.14'!X74</f>
        <v>325</v>
      </c>
      <c r="D5" s="1079">
        <f>+'Table 3 Levels 1&amp;2'!AL68+'[9]FY2014-15 Initial'!$K$72</f>
        <v>9885.1605543943642</v>
      </c>
      <c r="E5" s="1612">
        <f>C5*D5</f>
        <v>3212677.1801781682</v>
      </c>
      <c r="F5" s="1080">
        <v>716.29552188552179</v>
      </c>
      <c r="G5" s="1080">
        <f>C5*F5</f>
        <v>232796.04461279459</v>
      </c>
      <c r="H5" s="1612">
        <f>ROUND(E5+G5,0)</f>
        <v>3445473</v>
      </c>
      <c r="I5" s="1081"/>
      <c r="J5" s="1081"/>
      <c r="K5" s="1614">
        <f>+I5+J5</f>
        <v>0</v>
      </c>
      <c r="L5" s="1616">
        <f>H5+K5</f>
        <v>3445473</v>
      </c>
      <c r="M5" s="1080">
        <f>-L5*0.25%</f>
        <v>-8613.6825000000008</v>
      </c>
      <c r="N5" s="1612">
        <f>SUM(L5:M5)</f>
        <v>3436859.3174999999</v>
      </c>
      <c r="O5" s="1082">
        <v>0</v>
      </c>
      <c r="P5" s="1612">
        <f t="shared" ref="P5:P14" si="17">SUM(N5:O5)</f>
        <v>3436859.3174999999</v>
      </c>
      <c r="Q5" s="1098">
        <f>VLOOKUP(A5,'Table 4 Level 4'!$B$84:$N$91,4,FALSE)</f>
        <v>0</v>
      </c>
      <c r="R5" s="1098">
        <f>VLOOKUP(A5,'Table 4 Level 4'!$B$84:$N$91,13,FALSE)</f>
        <v>0</v>
      </c>
      <c r="S5" s="1617">
        <f>SUM(P5:R5)</f>
        <v>3436859.3174999999</v>
      </c>
      <c r="T5" s="1084"/>
      <c r="U5" s="1084">
        <f>S5-T5</f>
        <v>3436859.3174999999</v>
      </c>
      <c r="V5" s="1612">
        <f t="shared" ref="V5:V6" si="18">ROUND(U5/12,0)</f>
        <v>286405</v>
      </c>
      <c r="W5" s="1083">
        <f>VLOOKUP($A5,'Table 4 Level 4'!$B$84:$N$91,9,FALSE)</f>
        <v>0</v>
      </c>
      <c r="X5" s="1098">
        <f>VLOOKUP($A5,'Table 4 Level 4'!$B$84:$N$91,10,FALSE)</f>
        <v>0</v>
      </c>
      <c r="Y5" s="1098">
        <f>VLOOKUP($A5,'Table 4 Level 4'!$B$84:$N$91,11,FALSE)</f>
        <v>0</v>
      </c>
      <c r="Z5" s="1617">
        <f>+S5+W5+X5+Y5</f>
        <v>3436859.3174999999</v>
      </c>
    </row>
    <row r="6" spans="1:26" ht="40.950000000000003" customHeight="1">
      <c r="A6" s="1684">
        <v>329001</v>
      </c>
      <c r="B6" s="1686" t="s">
        <v>1070</v>
      </c>
      <c r="C6" s="1078">
        <f>+'Table 8 Membership 2.1.14'!Y74</f>
        <v>363</v>
      </c>
      <c r="D6" s="1079">
        <f>+'Table 3 Levels 1&amp;2'!AL54+'[9]FY2014-15 Initial'!$K$58</f>
        <v>8751.1928602178996</v>
      </c>
      <c r="E6" s="1612">
        <f t="shared" ref="E6:E14" si="19">C6*D6</f>
        <v>3176683.0082590976</v>
      </c>
      <c r="F6" s="1080">
        <v>598.40363440561384</v>
      </c>
      <c r="G6" s="1080">
        <f t="shared" ref="G6:G14" si="20">C6*F6</f>
        <v>217220.51928923783</v>
      </c>
      <c r="H6" s="1612">
        <f t="shared" ref="H6:H14" si="21">ROUND(E6+G6,0)</f>
        <v>3393904</v>
      </c>
      <c r="I6" s="1081"/>
      <c r="J6" s="1081"/>
      <c r="K6" s="1614">
        <f t="shared" ref="K6:K14" si="22">+I6+J6</f>
        <v>0</v>
      </c>
      <c r="L6" s="1616">
        <f>H6+K6</f>
        <v>3393904</v>
      </c>
      <c r="M6" s="1080">
        <f t="shared" ref="M6:M14" si="23">-L6*0.25%</f>
        <v>-8484.76</v>
      </c>
      <c r="N6" s="1612">
        <f t="shared" ref="N6:N14" si="24">SUM(L6:M6)</f>
        <v>3385419.24</v>
      </c>
      <c r="O6" s="1082">
        <v>0</v>
      </c>
      <c r="P6" s="1612">
        <f t="shared" si="17"/>
        <v>3385419.24</v>
      </c>
      <c r="Q6" s="1098">
        <f>VLOOKUP(A6,'Table 4 Level 4'!$B$84:$N$91,4,FALSE)</f>
        <v>0</v>
      </c>
      <c r="R6" s="1098">
        <f>VLOOKUP(A6,'Table 4 Level 4'!$B$84:$N$91,13,FALSE)</f>
        <v>1950</v>
      </c>
      <c r="S6" s="1617">
        <f t="shared" ref="S6:S14" si="25">SUM(P6:R6)</f>
        <v>3387369.24</v>
      </c>
      <c r="T6" s="1084"/>
      <c r="U6" s="1084">
        <f>S6-T6</f>
        <v>3387369.24</v>
      </c>
      <c r="V6" s="1612">
        <f t="shared" si="18"/>
        <v>282281</v>
      </c>
      <c r="W6" s="1083">
        <f>VLOOKUP($A6,'Table 4 Level 4'!$B$84:$N$91,9,FALSE)</f>
        <v>0</v>
      </c>
      <c r="X6" s="1098">
        <f>VLOOKUP($A6,'Table 4 Level 4'!$B$84:$N$91,10,FALSE)</f>
        <v>0</v>
      </c>
      <c r="Y6" s="1098">
        <f>VLOOKUP($A6,'Table 4 Level 4'!$B$84:$N$91,11,FALSE)</f>
        <v>0</v>
      </c>
      <c r="Z6" s="1617">
        <f>+S6+W6+X6+Y6</f>
        <v>3387369.24</v>
      </c>
    </row>
    <row r="7" spans="1:26" ht="40.950000000000003" customHeight="1">
      <c r="A7" s="1689">
        <v>331</v>
      </c>
      <c r="B7" s="1690" t="s">
        <v>1071</v>
      </c>
      <c r="C7" s="1085">
        <f>(+'Table 8 Membership 2.1.14'!Z74)-C8</f>
        <v>626</v>
      </c>
      <c r="D7" s="1086">
        <f>+'Table 3 Levels 1&amp;2'!AL39+'[9]FY2014-15 Initial'!$D$43</f>
        <v>8272.7009974327848</v>
      </c>
      <c r="E7" s="1086">
        <f t="shared" si="19"/>
        <v>5178710.8243929232</v>
      </c>
      <c r="F7" s="1086"/>
      <c r="G7" s="1086"/>
      <c r="H7" s="1086"/>
      <c r="I7" s="1087"/>
      <c r="J7" s="1087"/>
      <c r="K7" s="1087"/>
      <c r="L7" s="1087"/>
      <c r="M7" s="1086"/>
      <c r="N7" s="1086"/>
      <c r="O7" s="1088"/>
      <c r="P7" s="1086"/>
      <c r="Q7" s="1099"/>
      <c r="R7" s="1099"/>
      <c r="S7" s="1099"/>
      <c r="T7" s="1089"/>
      <c r="U7" s="1089"/>
      <c r="V7" s="1086"/>
      <c r="W7" s="1086"/>
      <c r="X7" s="1099"/>
      <c r="Y7" s="1099"/>
      <c r="Z7" s="1099"/>
    </row>
    <row r="8" spans="1:26" s="608" customFormat="1" ht="40.950000000000003" customHeight="1" thickBot="1">
      <c r="A8" s="1790">
        <v>331</v>
      </c>
      <c r="B8" s="1791" t="s">
        <v>1072</v>
      </c>
      <c r="C8" s="1792">
        <v>193</v>
      </c>
      <c r="D8" s="1793">
        <f>+'Table 3 Levels 1&amp;2'!AL39+'[9]FY2014-15 Initial'!$K$43</f>
        <v>9037.7009974327848</v>
      </c>
      <c r="E8" s="1793">
        <f t="shared" ref="E8" si="26">C8*D8</f>
        <v>1744276.2925045274</v>
      </c>
      <c r="F8" s="1793"/>
      <c r="G8" s="1793"/>
      <c r="H8" s="1793"/>
      <c r="I8" s="1793"/>
      <c r="J8" s="1793"/>
      <c r="K8" s="1793"/>
      <c r="L8" s="1793"/>
      <c r="M8" s="1793"/>
      <c r="N8" s="1793"/>
      <c r="O8" s="1794"/>
      <c r="P8" s="1793"/>
      <c r="Q8" s="1793"/>
      <c r="R8" s="1793"/>
      <c r="S8" s="1793"/>
      <c r="T8" s="1793"/>
      <c r="U8" s="1793"/>
      <c r="V8" s="1793"/>
      <c r="W8" s="1793"/>
      <c r="X8" s="1793"/>
      <c r="Y8" s="1793"/>
      <c r="Z8" s="1793"/>
    </row>
    <row r="9" spans="1:26" s="608" customFormat="1" ht="40.950000000000003" customHeight="1" thickBot="1">
      <c r="A9" s="1804">
        <v>331001</v>
      </c>
      <c r="B9" s="1805" t="s">
        <v>1073</v>
      </c>
      <c r="C9" s="1806">
        <f>C8+C7</f>
        <v>819</v>
      </c>
      <c r="D9" s="1807"/>
      <c r="E9" s="1807">
        <f>E8+E7</f>
        <v>6922987.1168974508</v>
      </c>
      <c r="F9" s="1807">
        <v>714.81015756302509</v>
      </c>
      <c r="G9" s="1807">
        <f t="shared" si="20"/>
        <v>585429.51904411754</v>
      </c>
      <c r="H9" s="1807">
        <f t="shared" si="21"/>
        <v>7508417</v>
      </c>
      <c r="I9" s="1807"/>
      <c r="J9" s="1807"/>
      <c r="K9" s="1807">
        <f t="shared" ref="K9" si="27">+I9+J9</f>
        <v>0</v>
      </c>
      <c r="L9" s="1807">
        <f t="shared" ref="L9:L14" si="28">H9+K9</f>
        <v>7508417</v>
      </c>
      <c r="M9" s="1807">
        <f t="shared" ref="M9" si="29">-L9*0.25%</f>
        <v>-18771.0425</v>
      </c>
      <c r="N9" s="1807">
        <f t="shared" ref="N9" si="30">SUM(L9:M9)</f>
        <v>7489645.9574999996</v>
      </c>
      <c r="O9" s="1808">
        <v>-10072</v>
      </c>
      <c r="P9" s="1807">
        <f t="shared" si="17"/>
        <v>7479573.9574999996</v>
      </c>
      <c r="Q9" s="1807">
        <f>VLOOKUP(A9,'Table 4 Level 4'!$B$84:$N$91,4,FALSE)</f>
        <v>420000</v>
      </c>
      <c r="R9" s="1807">
        <f>VLOOKUP(A9,'Table 4 Level 4'!$B$84:$N$91,13,FALSE)</f>
        <v>1924</v>
      </c>
      <c r="S9" s="1807">
        <f t="shared" si="25"/>
        <v>7901497.9574999996</v>
      </c>
      <c r="T9" s="1807"/>
      <c r="U9" s="1807">
        <f t="shared" ref="U9:U14" si="31">S9-T9</f>
        <v>7901497.9574999996</v>
      </c>
      <c r="V9" s="1807">
        <f>ROUND(U9/12,0)</f>
        <v>658458</v>
      </c>
      <c r="W9" s="1807">
        <f>VLOOKUP($A9,'Table 4 Level 4'!$B$84:$N$91,9,FALSE)</f>
        <v>0</v>
      </c>
      <c r="X9" s="1807">
        <f>VLOOKUP($A9,'Table 4 Level 4'!$B$84:$N$91,10,FALSE)</f>
        <v>0</v>
      </c>
      <c r="Y9" s="1807">
        <f>VLOOKUP($A9,'Table 4 Level 4'!$B$84:$N$91,11,FALSE)</f>
        <v>0</v>
      </c>
      <c r="Z9" s="1809">
        <f t="shared" ref="Z9:Z14" si="32">+S9+W9+X9+Y9</f>
        <v>7901497.9574999996</v>
      </c>
    </row>
    <row r="10" spans="1:26" ht="40.950000000000003" customHeight="1">
      <c r="A10" s="1795">
        <v>333001</v>
      </c>
      <c r="B10" s="1796" t="s">
        <v>1074</v>
      </c>
      <c r="C10" s="1797">
        <f>+'Table 8 Membership 2.1.14'!AA74</f>
        <v>716</v>
      </c>
      <c r="D10" s="1798">
        <f>+'Table 3 Levels 1&amp;2'!AL8+'[9]FY2014-15 Initial'!$K$12</f>
        <v>7189.940566009911</v>
      </c>
      <c r="E10" s="1799">
        <f t="shared" si="19"/>
        <v>5147997.4452630961</v>
      </c>
      <c r="F10" s="1800">
        <v>536.12413544332276</v>
      </c>
      <c r="G10" s="1800">
        <f t="shared" si="20"/>
        <v>383864.88097741909</v>
      </c>
      <c r="H10" s="1799">
        <f t="shared" si="21"/>
        <v>5531862</v>
      </c>
      <c r="I10" s="1800"/>
      <c r="J10" s="1800"/>
      <c r="K10" s="1801">
        <f t="shared" si="22"/>
        <v>0</v>
      </c>
      <c r="L10" s="1799">
        <f t="shared" si="28"/>
        <v>5531862</v>
      </c>
      <c r="M10" s="1800">
        <f t="shared" si="23"/>
        <v>-13829.655000000001</v>
      </c>
      <c r="N10" s="1799">
        <f t="shared" si="24"/>
        <v>5518032.3449999997</v>
      </c>
      <c r="O10" s="1802">
        <v>0</v>
      </c>
      <c r="P10" s="1799">
        <f t="shared" si="17"/>
        <v>5518032.3449999997</v>
      </c>
      <c r="Q10" s="1803">
        <f>VLOOKUP(A10,'Table 4 Level 4'!$B$84:$N$91,4,FALSE)</f>
        <v>0</v>
      </c>
      <c r="R10" s="1803">
        <f>VLOOKUP(A10,'Table 4 Level 4'!$B$84:$N$91,13,FALSE)</f>
        <v>8658</v>
      </c>
      <c r="S10" s="1799">
        <f t="shared" si="25"/>
        <v>5526690.3449999997</v>
      </c>
      <c r="T10" s="1803"/>
      <c r="U10" s="1803">
        <f t="shared" si="31"/>
        <v>5526690.3449999997</v>
      </c>
      <c r="V10" s="1799">
        <f t="shared" ref="V10:V13" si="33">ROUND(U10/12,0)</f>
        <v>460558</v>
      </c>
      <c r="W10" s="1803">
        <f>VLOOKUP($A10,'Table 4 Level 4'!$B$84:$N$91,9,FALSE)</f>
        <v>0</v>
      </c>
      <c r="X10" s="1803">
        <f>VLOOKUP($A10,'Table 4 Level 4'!$B$84:$N$91,10,FALSE)</f>
        <v>0</v>
      </c>
      <c r="Y10" s="1803">
        <f>VLOOKUP($A10,'Table 4 Level 4'!$B$84:$N$91,11,FALSE)</f>
        <v>0</v>
      </c>
      <c r="Z10" s="1799">
        <f t="shared" si="32"/>
        <v>5526690.3449999997</v>
      </c>
    </row>
    <row r="11" spans="1:26" ht="40.950000000000003" customHeight="1">
      <c r="A11" s="1684">
        <v>336001</v>
      </c>
      <c r="B11" s="1686" t="s">
        <v>1075</v>
      </c>
      <c r="C11" s="1078">
        <f>+'Table 8 Membership 2.1.14'!AB74</f>
        <v>903</v>
      </c>
      <c r="D11" s="1079">
        <f>+'Table 3 Levels 1&amp;2'!AL45+'[9]FY2014-15 Initial'!$K$49</f>
        <v>8691.6077751368684</v>
      </c>
      <c r="E11" s="1612">
        <f t="shared" si="19"/>
        <v>7848521.8209485924</v>
      </c>
      <c r="F11" s="1080">
        <v>527.02354414153262</v>
      </c>
      <c r="G11" s="1080">
        <f t="shared" si="20"/>
        <v>475902.26035980397</v>
      </c>
      <c r="H11" s="1612">
        <f t="shared" si="21"/>
        <v>8324424</v>
      </c>
      <c r="I11" s="1081"/>
      <c r="J11" s="1081"/>
      <c r="K11" s="1614">
        <f t="shared" si="22"/>
        <v>0</v>
      </c>
      <c r="L11" s="1616">
        <f t="shared" si="28"/>
        <v>8324424</v>
      </c>
      <c r="M11" s="1080">
        <f t="shared" si="23"/>
        <v>-20811.060000000001</v>
      </c>
      <c r="N11" s="1612">
        <f t="shared" si="24"/>
        <v>8303612.9400000004</v>
      </c>
      <c r="O11" s="1082">
        <v>0</v>
      </c>
      <c r="P11" s="1612">
        <f t="shared" si="17"/>
        <v>8303612.9400000004</v>
      </c>
      <c r="Q11" s="1098">
        <f>VLOOKUP(A11,'Table 4 Level 4'!$B$84:$N$91,4,FALSE)</f>
        <v>0</v>
      </c>
      <c r="R11" s="1098">
        <f>VLOOKUP(A11,'Table 4 Level 4'!$B$84:$N$91,13,FALSE)</f>
        <v>10660</v>
      </c>
      <c r="S11" s="1617">
        <f t="shared" si="25"/>
        <v>8314272.9400000004</v>
      </c>
      <c r="T11" s="1084"/>
      <c r="U11" s="1084">
        <f t="shared" si="31"/>
        <v>8314272.9400000004</v>
      </c>
      <c r="V11" s="1612">
        <f t="shared" si="33"/>
        <v>692856</v>
      </c>
      <c r="W11" s="1083">
        <f>VLOOKUP($A11,'Table 4 Level 4'!$B$84:$N$91,9,FALSE)</f>
        <v>0</v>
      </c>
      <c r="X11" s="1098">
        <f>VLOOKUP($A11,'Table 4 Level 4'!$B$84:$N$91,10,FALSE)</f>
        <v>0</v>
      </c>
      <c r="Y11" s="1098">
        <f>VLOOKUP($A11,'Table 4 Level 4'!$B$84:$N$91,11,FALSE)</f>
        <v>0</v>
      </c>
      <c r="Z11" s="1617">
        <f t="shared" si="32"/>
        <v>8314272.9400000004</v>
      </c>
    </row>
    <row r="12" spans="1:26" ht="40.950000000000003" customHeight="1">
      <c r="A12" s="1684">
        <v>337001</v>
      </c>
      <c r="B12" s="1686" t="s">
        <v>1076</v>
      </c>
      <c r="C12" s="1078">
        <f>+'Table 8 Membership 2.1.14'!AC74</f>
        <v>936</v>
      </c>
      <c r="D12" s="1080">
        <f>+'Table 3 Levels 1&amp;2'!AL41+'[9]FY2014-15 Initial'!$K$45</f>
        <v>13467.801755291688</v>
      </c>
      <c r="E12" s="1612">
        <f t="shared" si="19"/>
        <v>12605862.44295302</v>
      </c>
      <c r="F12" s="1080">
        <v>788.90242015830813</v>
      </c>
      <c r="G12" s="1080">
        <f t="shared" si="20"/>
        <v>738412.66526817647</v>
      </c>
      <c r="H12" s="1612">
        <f t="shared" si="21"/>
        <v>13344275</v>
      </c>
      <c r="I12" s="1081"/>
      <c r="J12" s="1081"/>
      <c r="K12" s="1614">
        <f t="shared" si="22"/>
        <v>0</v>
      </c>
      <c r="L12" s="1616">
        <f t="shared" si="28"/>
        <v>13344275</v>
      </c>
      <c r="M12" s="1080">
        <f t="shared" si="23"/>
        <v>-33360.6875</v>
      </c>
      <c r="N12" s="1612">
        <f t="shared" si="24"/>
        <v>13310914.3125</v>
      </c>
      <c r="O12" s="1082">
        <v>0</v>
      </c>
      <c r="P12" s="1612">
        <f t="shared" si="17"/>
        <v>13310914.3125</v>
      </c>
      <c r="Q12" s="1098">
        <f>VLOOKUP(A12,'Table 4 Level 4'!$B$84:$N$91,4,FALSE)</f>
        <v>0</v>
      </c>
      <c r="R12" s="1098">
        <f>VLOOKUP(A12,'Table 4 Level 4'!$B$84:$N$91,13,FALSE)</f>
        <v>5564</v>
      </c>
      <c r="S12" s="1617">
        <f t="shared" si="25"/>
        <v>13316478.3125</v>
      </c>
      <c r="T12" s="1084"/>
      <c r="U12" s="1084">
        <f t="shared" si="31"/>
        <v>13316478.3125</v>
      </c>
      <c r="V12" s="1612">
        <f t="shared" si="33"/>
        <v>1109707</v>
      </c>
      <c r="W12" s="1083">
        <f>VLOOKUP($A12,'Table 4 Level 4'!$B$84:$N$91,9,FALSE)</f>
        <v>0</v>
      </c>
      <c r="X12" s="1098">
        <f>VLOOKUP($A12,'Table 4 Level 4'!$B$84:$N$91,10,FALSE)</f>
        <v>0</v>
      </c>
      <c r="Y12" s="1098">
        <f>VLOOKUP($A12,'Table 4 Level 4'!$B$84:$N$91,11,FALSE)</f>
        <v>0</v>
      </c>
      <c r="Z12" s="1617">
        <f t="shared" si="32"/>
        <v>13316478.3125</v>
      </c>
    </row>
    <row r="13" spans="1:26" ht="40.950000000000003" customHeight="1">
      <c r="A13" s="1684">
        <v>339001</v>
      </c>
      <c r="B13" s="1685" t="s">
        <v>1077</v>
      </c>
      <c r="C13" s="1078">
        <f>+'Table 8 Membership 2.1.14'!AD74</f>
        <v>346</v>
      </c>
      <c r="D13" s="1080">
        <f>+'Table 3 Levels 1&amp;2'!AL39+'[9]FY2014-15 Initial'!$K$43</f>
        <v>9037.7009974327848</v>
      </c>
      <c r="E13" s="1612">
        <f t="shared" si="19"/>
        <v>3127044.5451117437</v>
      </c>
      <c r="F13" s="1080">
        <v>705.7643831168831</v>
      </c>
      <c r="G13" s="1080">
        <f t="shared" si="20"/>
        <v>244194.47655844156</v>
      </c>
      <c r="H13" s="1612">
        <f t="shared" si="21"/>
        <v>3371239</v>
      </c>
      <c r="I13" s="1081"/>
      <c r="J13" s="1081"/>
      <c r="K13" s="1614">
        <f t="shared" si="22"/>
        <v>0</v>
      </c>
      <c r="L13" s="1616">
        <f t="shared" si="28"/>
        <v>3371239</v>
      </c>
      <c r="M13" s="1080">
        <f t="shared" si="23"/>
        <v>-8428.0974999999999</v>
      </c>
      <c r="N13" s="1612">
        <f t="shared" si="24"/>
        <v>3362810.9024999999</v>
      </c>
      <c r="O13" s="1082">
        <v>0</v>
      </c>
      <c r="P13" s="1612">
        <f t="shared" si="17"/>
        <v>3362810.9024999999</v>
      </c>
      <c r="Q13" s="1098">
        <f>VLOOKUP(A13,'Table 4 Level 4'!$B$84:$N$91,4,FALSE)</f>
        <v>0</v>
      </c>
      <c r="R13" s="1098">
        <f>VLOOKUP(A13,'Table 4 Level 4'!$B$84:$N$91,13,FALSE)</f>
        <v>2184</v>
      </c>
      <c r="S13" s="1617">
        <f t="shared" si="25"/>
        <v>3364994.9024999999</v>
      </c>
      <c r="T13" s="1084"/>
      <c r="U13" s="1084">
        <f t="shared" si="31"/>
        <v>3364994.9024999999</v>
      </c>
      <c r="V13" s="1612">
        <f t="shared" si="33"/>
        <v>280416</v>
      </c>
      <c r="W13" s="1083">
        <f>VLOOKUP($A13,'Table 4 Level 4'!$B$84:$N$91,9,FALSE)</f>
        <v>0</v>
      </c>
      <c r="X13" s="1098">
        <f>VLOOKUP($A13,'Table 4 Level 4'!$B$84:$N$91,10,FALSE)</f>
        <v>0</v>
      </c>
      <c r="Y13" s="1098">
        <f>VLOOKUP($A13,'Table 4 Level 4'!$B$84:$N$91,11,FALSE)</f>
        <v>0</v>
      </c>
      <c r="Z13" s="1617">
        <f t="shared" si="32"/>
        <v>3364994.9024999999</v>
      </c>
    </row>
    <row r="14" spans="1:26" ht="40.950000000000003" customHeight="1">
      <c r="A14" s="1684">
        <v>340001</v>
      </c>
      <c r="B14" s="1686" t="s">
        <v>1078</v>
      </c>
      <c r="C14" s="1090">
        <f>+'Table 8 Membership 2.1.14'!AE74</f>
        <v>110</v>
      </c>
      <c r="D14" s="1083">
        <f>+'Table 3 Levels 1&amp;2'!AL32+'[9]FY2014-15 Initial'!$K$36</f>
        <v>8908.0123210173733</v>
      </c>
      <c r="E14" s="1612">
        <f t="shared" si="19"/>
        <v>979881.35531191109</v>
      </c>
      <c r="F14" s="1083">
        <v>659.21180998497243</v>
      </c>
      <c r="G14" s="1083">
        <f t="shared" si="20"/>
        <v>72513.299098346964</v>
      </c>
      <c r="H14" s="1612">
        <f t="shared" si="21"/>
        <v>1052395</v>
      </c>
      <c r="I14" s="1081"/>
      <c r="J14" s="1081"/>
      <c r="K14" s="1614">
        <f t="shared" si="22"/>
        <v>0</v>
      </c>
      <c r="L14" s="1616">
        <f t="shared" si="28"/>
        <v>1052395</v>
      </c>
      <c r="M14" s="1080">
        <f t="shared" si="23"/>
        <v>-2630.9875000000002</v>
      </c>
      <c r="N14" s="1612">
        <f t="shared" si="24"/>
        <v>1049764.0125</v>
      </c>
      <c r="O14" s="1082">
        <v>0</v>
      </c>
      <c r="P14" s="1612">
        <f t="shared" si="17"/>
        <v>1049764.0125</v>
      </c>
      <c r="Q14" s="1098">
        <f>VLOOKUP(A14,'Table 4 Level 4'!$B$84:$N$91,4,FALSE)</f>
        <v>0</v>
      </c>
      <c r="R14" s="1098">
        <f>VLOOKUP(A14,'Table 4 Level 4'!$B$84:$N$91,13,FALSE)</f>
        <v>754</v>
      </c>
      <c r="S14" s="1617">
        <f t="shared" si="25"/>
        <v>1050518.0125</v>
      </c>
      <c r="T14" s="1084"/>
      <c r="U14" s="1084">
        <f t="shared" si="31"/>
        <v>1050518.0125</v>
      </c>
      <c r="V14" s="1612">
        <f>ROUND(U14/12,0)</f>
        <v>87543</v>
      </c>
      <c r="W14" s="1083">
        <f>VLOOKUP($A14,'Table 4 Level 4'!$B$84:$N$91,9,FALSE)</f>
        <v>0</v>
      </c>
      <c r="X14" s="1098">
        <f>VLOOKUP($A14,'Table 4 Level 4'!$B$84:$N$91,10,FALSE)</f>
        <v>0</v>
      </c>
      <c r="Y14" s="1098">
        <f>VLOOKUP($A14,'Table 4 Level 4'!$B$84:$N$91,11,FALSE)</f>
        <v>0</v>
      </c>
      <c r="Z14" s="1617">
        <f t="shared" si="32"/>
        <v>1050518.0125</v>
      </c>
    </row>
    <row r="15" spans="1:26" ht="40.950000000000003" customHeight="1">
      <c r="A15" s="1685"/>
      <c r="B15" s="1685" t="s">
        <v>508</v>
      </c>
      <c r="C15" s="1091">
        <f>C5+C6+C9+C10+C11+C12+C13+C14</f>
        <v>4518</v>
      </c>
      <c r="D15" s="1092"/>
      <c r="E15" s="1613">
        <f>E5+E6+E9+E10+E11+E12+E13+E14</f>
        <v>43021654.914923079</v>
      </c>
      <c r="F15" s="1092"/>
      <c r="G15" s="1092">
        <f t="shared" ref="G15:Z15" si="34">G5+G6+G9+G10+G11+G12+G13+G14</f>
        <v>2950333.6652083378</v>
      </c>
      <c r="H15" s="1613">
        <f t="shared" si="34"/>
        <v>45971989</v>
      </c>
      <c r="I15" s="1092">
        <f t="shared" si="34"/>
        <v>0</v>
      </c>
      <c r="J15" s="1092">
        <f t="shared" si="34"/>
        <v>0</v>
      </c>
      <c r="K15" s="1615">
        <f t="shared" si="34"/>
        <v>0</v>
      </c>
      <c r="L15" s="1613">
        <f t="shared" si="34"/>
        <v>45971989</v>
      </c>
      <c r="M15" s="1092">
        <f t="shared" si="34"/>
        <v>-114929.9725</v>
      </c>
      <c r="N15" s="1613">
        <f t="shared" si="34"/>
        <v>45857059.027500004</v>
      </c>
      <c r="O15" s="1092">
        <f t="shared" si="34"/>
        <v>-10072</v>
      </c>
      <c r="P15" s="1613">
        <f t="shared" si="34"/>
        <v>45846987.027500004</v>
      </c>
      <c r="Q15" s="1100">
        <f t="shared" si="34"/>
        <v>420000</v>
      </c>
      <c r="R15" s="1100">
        <f t="shared" si="34"/>
        <v>31694</v>
      </c>
      <c r="S15" s="1618">
        <f t="shared" si="34"/>
        <v>46298681.027500004</v>
      </c>
      <c r="T15" s="1093">
        <f t="shared" si="34"/>
        <v>0</v>
      </c>
      <c r="U15" s="1093">
        <f t="shared" si="34"/>
        <v>46298681.027500004</v>
      </c>
      <c r="V15" s="1613">
        <f t="shared" si="34"/>
        <v>3858224</v>
      </c>
      <c r="W15" s="1093">
        <f t="shared" si="34"/>
        <v>0</v>
      </c>
      <c r="X15" s="1100">
        <f t="shared" si="34"/>
        <v>0</v>
      </c>
      <c r="Y15" s="1100">
        <f t="shared" si="34"/>
        <v>0</v>
      </c>
      <c r="Z15" s="1618">
        <f t="shared" si="34"/>
        <v>46298681.027500004</v>
      </c>
    </row>
    <row r="16" spans="1:26" ht="22.5" customHeight="1">
      <c r="A16" s="1094"/>
      <c r="B16" s="1094"/>
      <c r="C16" s="550"/>
      <c r="D16" s="551"/>
      <c r="E16" s="550"/>
      <c r="F16" s="550"/>
      <c r="G16" s="550"/>
      <c r="H16" s="550"/>
      <c r="I16" s="550"/>
      <c r="J16" s="550"/>
      <c r="K16" s="550"/>
      <c r="L16" s="550"/>
      <c r="M16" s="550"/>
      <c r="N16" s="550"/>
      <c r="O16" s="550"/>
      <c r="P16" s="606"/>
      <c r="Q16" s="606"/>
      <c r="R16" s="606"/>
      <c r="S16" s="606"/>
      <c r="T16" s="606"/>
      <c r="U16" s="606"/>
      <c r="V16" s="606"/>
      <c r="W16" s="606"/>
      <c r="X16" s="606"/>
      <c r="Y16" s="606"/>
      <c r="Z16" s="606"/>
    </row>
    <row r="17" spans="1:26" ht="34.5" customHeight="1">
      <c r="A17" s="1687"/>
      <c r="B17" s="1687" t="s">
        <v>509</v>
      </c>
      <c r="C17" s="1090"/>
      <c r="D17" s="1080"/>
      <c r="E17" s="1080"/>
      <c r="F17" s="1080"/>
      <c r="G17" s="1080"/>
      <c r="H17" s="1080"/>
      <c r="I17" s="1081"/>
      <c r="J17" s="1081"/>
      <c r="K17" s="1081"/>
      <c r="L17" s="1081"/>
      <c r="M17" s="1080">
        <f>-M15</f>
        <v>114929.9725</v>
      </c>
      <c r="N17" s="1080">
        <f>M17</f>
        <v>114929.9725</v>
      </c>
      <c r="O17" s="1082"/>
      <c r="P17" s="1083">
        <f>N17</f>
        <v>114929.9725</v>
      </c>
      <c r="Q17" s="1098"/>
      <c r="R17" s="1098"/>
      <c r="S17" s="1098">
        <f>+P17</f>
        <v>114929.9725</v>
      </c>
      <c r="T17" s="1084"/>
      <c r="U17" s="1084"/>
      <c r="V17" s="1083"/>
      <c r="W17" s="1083"/>
      <c r="X17" s="1098"/>
      <c r="Y17" s="1098"/>
      <c r="Z17" s="1098">
        <f>+S17</f>
        <v>114929.9725</v>
      </c>
    </row>
    <row r="18" spans="1:26">
      <c r="A18" s="1094"/>
      <c r="B18" s="1094"/>
      <c r="C18" s="550"/>
      <c r="D18" s="551"/>
      <c r="E18" s="550"/>
      <c r="F18" s="550"/>
      <c r="G18" s="550"/>
      <c r="H18" s="550"/>
      <c r="I18" s="550"/>
      <c r="J18" s="550"/>
      <c r="K18" s="550"/>
      <c r="L18" s="550"/>
      <c r="M18" s="550"/>
      <c r="N18" s="550"/>
      <c r="O18" s="550"/>
      <c r="P18" s="606"/>
      <c r="Q18" s="606"/>
      <c r="R18" s="606"/>
      <c r="S18" s="606"/>
      <c r="T18" s="606"/>
      <c r="U18" s="606"/>
      <c r="V18" s="606"/>
      <c r="W18" s="606"/>
      <c r="X18" s="606"/>
      <c r="Y18" s="606"/>
      <c r="Z18" s="606"/>
    </row>
    <row r="19" spans="1:26">
      <c r="A19" s="1688"/>
      <c r="B19" s="1688" t="s">
        <v>510</v>
      </c>
      <c r="C19" s="1091">
        <f>SUM(C15:C17)</f>
        <v>4518</v>
      </c>
      <c r="D19" s="1092"/>
      <c r="E19" s="1092">
        <f t="shared" ref="E19:O19" si="35">SUM(E15:E17)</f>
        <v>43021654.914923079</v>
      </c>
      <c r="F19" s="1092"/>
      <c r="G19" s="1092">
        <f t="shared" si="35"/>
        <v>2950333.6652083378</v>
      </c>
      <c r="H19" s="1092">
        <f t="shared" si="35"/>
        <v>45971989</v>
      </c>
      <c r="I19" s="1095">
        <f t="shared" si="35"/>
        <v>0</v>
      </c>
      <c r="J19" s="1095">
        <f t="shared" si="35"/>
        <v>0</v>
      </c>
      <c r="K19" s="1095">
        <f t="shared" si="35"/>
        <v>0</v>
      </c>
      <c r="L19" s="1095">
        <f t="shared" si="35"/>
        <v>45971989</v>
      </c>
      <c r="M19" s="1092">
        <f t="shared" si="35"/>
        <v>0</v>
      </c>
      <c r="N19" s="1092">
        <f t="shared" si="35"/>
        <v>45971989</v>
      </c>
      <c r="O19" s="1092">
        <f t="shared" si="35"/>
        <v>-10072</v>
      </c>
      <c r="P19" s="1092">
        <f>SUM(P15:P17)</f>
        <v>45961917</v>
      </c>
      <c r="Q19" s="1101">
        <f t="shared" ref="Q19:S19" si="36">SUM(Q15:Q17)</f>
        <v>420000</v>
      </c>
      <c r="R19" s="1101">
        <f t="shared" si="36"/>
        <v>31694</v>
      </c>
      <c r="S19" s="1101">
        <f t="shared" si="36"/>
        <v>46413611</v>
      </c>
      <c r="T19" s="1096">
        <f t="shared" ref="T19:Z19" si="37">SUM(T15:T17)</f>
        <v>0</v>
      </c>
      <c r="U19" s="1096">
        <f t="shared" si="37"/>
        <v>46298681.027500004</v>
      </c>
      <c r="V19" s="1092">
        <f t="shared" si="37"/>
        <v>3858224</v>
      </c>
      <c r="W19" s="1092">
        <f t="shared" si="37"/>
        <v>0</v>
      </c>
      <c r="X19" s="1101">
        <f t="shared" si="37"/>
        <v>0</v>
      </c>
      <c r="Y19" s="1101">
        <f t="shared" si="37"/>
        <v>0</v>
      </c>
      <c r="Z19" s="1101">
        <f t="shared" si="37"/>
        <v>46413611</v>
      </c>
    </row>
    <row r="20" spans="1:26">
      <c r="A20" s="1097"/>
      <c r="B20" s="1094"/>
      <c r="C20" s="550"/>
      <c r="D20" s="551"/>
      <c r="E20" s="550"/>
      <c r="F20" s="550"/>
      <c r="G20" s="550"/>
      <c r="H20" s="550"/>
      <c r="I20" s="550"/>
      <c r="J20" s="550"/>
      <c r="K20" s="550"/>
      <c r="L20" s="550"/>
      <c r="M20" s="550"/>
      <c r="N20" s="550"/>
      <c r="O20" s="550"/>
      <c r="P20" s="552"/>
      <c r="Q20" s="552"/>
      <c r="R20" s="552"/>
      <c r="S20" s="552"/>
      <c r="T20" s="552"/>
      <c r="U20" s="552"/>
      <c r="V20" s="1097"/>
    </row>
  </sheetData>
  <mergeCells count="7">
    <mergeCell ref="W2:Y2"/>
    <mergeCell ref="A1:A3"/>
    <mergeCell ref="B1:B3"/>
    <mergeCell ref="Q1:Z1"/>
    <mergeCell ref="C1:P1"/>
    <mergeCell ref="Q2:R2"/>
    <mergeCell ref="I2:K2"/>
  </mergeCells>
  <printOptions horizontalCentered="1"/>
  <pageMargins left="0.5" right="0.5" top="0.7" bottom="0.5" header="0.25" footer="0.25"/>
  <pageSetup paperSize="5" scale="55" firstPageNumber="31" orientation="landscape" r:id="rId1"/>
  <headerFooter>
    <oddHeader>&amp;L&amp;"Arial,Bold"&amp;20Table 5A2:  FY2014-15 MFP Budget Letter
Allocation for Legacy Type 2 Charter Schools</oddHeader>
    <oddFooter>&amp;R&amp;P</oddFooter>
  </headerFooter>
  <colBreaks count="1" manualBreakCount="1">
    <brk id="16" max="19"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34"/>
  <dimension ref="A1:Z106"/>
  <sheetViews>
    <sheetView view="pageBreakPreview" zoomScale="80" zoomScaleNormal="85" zoomScaleSheetLayoutView="80" workbookViewId="0">
      <pane xSplit="2" ySplit="5" topLeftCell="C6" activePane="bottomRight" state="frozen"/>
      <selection sqref="A1:H1"/>
      <selection pane="topRight" sqref="A1:H1"/>
      <selection pane="bottomLeft" sqref="A1:H1"/>
      <selection pane="bottomRight" sqref="A1:H1"/>
    </sheetView>
  </sheetViews>
  <sheetFormatPr defaultColWidth="12.5546875" defaultRowHeight="13.2"/>
  <cols>
    <col min="1" max="1" width="3.88671875" style="2" customWidth="1"/>
    <col min="2" max="2" width="39.5546875" style="2" customWidth="1"/>
    <col min="3" max="3" width="14.44140625" style="1" bestFit="1" customWidth="1"/>
    <col min="4" max="4" width="14.88671875" style="1" customWidth="1"/>
    <col min="5" max="5" width="14.33203125" style="1" customWidth="1"/>
    <col min="6" max="6" width="17.88671875" style="1" customWidth="1"/>
    <col min="7" max="7" width="13.33203125" style="1" customWidth="1"/>
    <col min="8" max="8" width="11.88671875" style="336" bestFit="1" customWidth="1"/>
    <col min="9" max="9" width="15.109375" style="336" customWidth="1"/>
    <col min="10" max="11" width="17" style="336" customWidth="1"/>
    <col min="12" max="12" width="17" style="1" customWidth="1"/>
    <col min="13" max="13" width="17.109375" style="1038" customWidth="1"/>
    <col min="14" max="14" width="15.33203125" style="269" bestFit="1" customWidth="1"/>
    <col min="15" max="15" width="11.6640625" style="1" bestFit="1" customWidth="1"/>
    <col min="16" max="16" width="12.44140625" style="1" bestFit="1" customWidth="1"/>
    <col min="17" max="17" width="14.88671875" style="1" customWidth="1"/>
    <col min="18" max="18" width="14.44140625" style="1" bestFit="1" customWidth="1"/>
    <col min="19" max="19" width="16.88671875" style="524" customWidth="1"/>
    <col min="20" max="20" width="14.44140625" style="524" customWidth="1"/>
    <col min="21" max="21" width="14.44140625" style="628" customWidth="1"/>
    <col min="22" max="22" width="14.44140625" style="618" customWidth="1"/>
    <col min="23" max="23" width="14.5546875" style="1" customWidth="1"/>
    <col min="24" max="25" width="14.44140625" style="2" bestFit="1" customWidth="1"/>
    <col min="26" max="16384" width="12.5546875" style="2"/>
  </cols>
  <sheetData>
    <row r="1" spans="1:26" s="333" customFormat="1" ht="45.6" customHeight="1">
      <c r="A1" s="2203" t="s">
        <v>836</v>
      </c>
      <c r="B1" s="2204"/>
      <c r="C1" s="2196" t="s">
        <v>1090</v>
      </c>
      <c r="D1" s="2196"/>
      <c r="E1" s="2196"/>
      <c r="F1" s="2196"/>
      <c r="G1" s="2196"/>
      <c r="H1" s="2196"/>
      <c r="I1" s="2196"/>
      <c r="J1" s="2196" t="s">
        <v>1090</v>
      </c>
      <c r="K1" s="2196"/>
      <c r="L1" s="2196"/>
      <c r="M1" s="2196"/>
      <c r="N1" s="2210" t="s">
        <v>1237</v>
      </c>
      <c r="O1" s="2211"/>
      <c r="P1" s="2211"/>
      <c r="Q1" s="2211"/>
      <c r="R1" s="2211"/>
      <c r="S1" s="2212"/>
      <c r="T1" s="2210" t="s">
        <v>1237</v>
      </c>
      <c r="U1" s="2211"/>
      <c r="V1" s="2211"/>
      <c r="W1" s="2212"/>
      <c r="X1" s="2209" t="s">
        <v>1243</v>
      </c>
      <c r="Y1" s="2209" t="s">
        <v>1244</v>
      </c>
    </row>
    <row r="2" spans="1:26" ht="115.2" customHeight="1">
      <c r="A2" s="2205"/>
      <c r="B2" s="2206"/>
      <c r="C2" s="2195" t="s">
        <v>565</v>
      </c>
      <c r="D2" s="2195" t="s">
        <v>1108</v>
      </c>
      <c r="E2" s="1492" t="s">
        <v>273</v>
      </c>
      <c r="F2" s="1492" t="s">
        <v>274</v>
      </c>
      <c r="G2" s="2195" t="s">
        <v>385</v>
      </c>
      <c r="H2" s="2207" t="s">
        <v>1036</v>
      </c>
      <c r="I2" s="2195" t="s">
        <v>1054</v>
      </c>
      <c r="J2" s="2195" t="s">
        <v>760</v>
      </c>
      <c r="K2" s="2195" t="s">
        <v>761</v>
      </c>
      <c r="L2" s="2195" t="s">
        <v>381</v>
      </c>
      <c r="M2" s="2195" t="s">
        <v>1055</v>
      </c>
      <c r="N2" s="2208" t="s">
        <v>1238</v>
      </c>
      <c r="O2" s="2208" t="s">
        <v>948</v>
      </c>
      <c r="P2" s="2208" t="s">
        <v>949</v>
      </c>
      <c r="Q2" s="2208" t="s">
        <v>1239</v>
      </c>
      <c r="R2" s="2208" t="s">
        <v>1240</v>
      </c>
      <c r="S2" s="2207" t="s">
        <v>1036</v>
      </c>
      <c r="T2" s="2208" t="s">
        <v>1241</v>
      </c>
      <c r="U2" s="2208" t="s">
        <v>981</v>
      </c>
      <c r="V2" s="2208" t="s">
        <v>761</v>
      </c>
      <c r="W2" s="2208" t="s">
        <v>1242</v>
      </c>
      <c r="X2" s="2209"/>
      <c r="Y2" s="2209"/>
    </row>
    <row r="3" spans="1:26" ht="13.2" customHeight="1">
      <c r="A3" s="1108"/>
      <c r="B3" s="1109"/>
      <c r="C3" s="2195"/>
      <c r="D3" s="2195"/>
      <c r="E3" s="1619">
        <f>$E$87</f>
        <v>0.31638418079096048</v>
      </c>
      <c r="F3" s="1620">
        <f>$C$106</f>
        <v>1470.3473918621949</v>
      </c>
      <c r="G3" s="2195"/>
      <c r="H3" s="2207"/>
      <c r="I3" s="2195"/>
      <c r="J3" s="2195"/>
      <c r="K3" s="2195"/>
      <c r="L3" s="2195"/>
      <c r="M3" s="2195"/>
      <c r="N3" s="2208"/>
      <c r="O3" s="2208"/>
      <c r="P3" s="2208"/>
      <c r="Q3" s="2208"/>
      <c r="R3" s="2208"/>
      <c r="S3" s="2207"/>
      <c r="T3" s="2208"/>
      <c r="U3" s="2208"/>
      <c r="V3" s="2208"/>
      <c r="W3" s="2208"/>
      <c r="X3" s="2209"/>
      <c r="Y3" s="2209"/>
    </row>
    <row r="4" spans="1:26" s="334" customFormat="1" ht="14.25" customHeight="1">
      <c r="A4" s="1125"/>
      <c r="B4" s="1126"/>
      <c r="C4" s="1127">
        <v>1</v>
      </c>
      <c r="D4" s="1127">
        <f t="shared" ref="D4:I4" si="0">C4+1</f>
        <v>2</v>
      </c>
      <c r="E4" s="1127">
        <f t="shared" si="0"/>
        <v>3</v>
      </c>
      <c r="F4" s="1127">
        <f t="shared" si="0"/>
        <v>4</v>
      </c>
      <c r="G4" s="1127">
        <f t="shared" si="0"/>
        <v>5</v>
      </c>
      <c r="H4" s="1127">
        <f t="shared" si="0"/>
        <v>6</v>
      </c>
      <c r="I4" s="1127">
        <f t="shared" si="0"/>
        <v>7</v>
      </c>
      <c r="J4" s="1127">
        <f t="shared" ref="J4" si="1">I4+1</f>
        <v>8</v>
      </c>
      <c r="K4" s="1127">
        <f t="shared" ref="K4" si="2">J4+1</f>
        <v>9</v>
      </c>
      <c r="L4" s="1127">
        <f t="shared" ref="L4" si="3">K4+1</f>
        <v>10</v>
      </c>
      <c r="M4" s="1127">
        <f t="shared" ref="M4" si="4">L4+1</f>
        <v>11</v>
      </c>
      <c r="N4" s="1127">
        <f t="shared" ref="N4" si="5">M4+1</f>
        <v>12</v>
      </c>
      <c r="O4" s="1127">
        <f t="shared" ref="O4" si="6">N4+1</f>
        <v>13</v>
      </c>
      <c r="P4" s="1127">
        <f t="shared" ref="P4" si="7">O4+1</f>
        <v>14</v>
      </c>
      <c r="Q4" s="1127">
        <f t="shared" ref="Q4" si="8">P4+1</f>
        <v>15</v>
      </c>
      <c r="R4" s="1127">
        <f t="shared" ref="R4:S4" si="9">Q4+1</f>
        <v>16</v>
      </c>
      <c r="S4" s="1127">
        <f t="shared" si="9"/>
        <v>17</v>
      </c>
      <c r="T4" s="1127">
        <f t="shared" ref="T4" si="10">S4+1</f>
        <v>18</v>
      </c>
      <c r="U4" s="1127">
        <f t="shared" ref="U4" si="11">T4+1</f>
        <v>19</v>
      </c>
      <c r="V4" s="1127">
        <f t="shared" ref="V4" si="12">U4+1</f>
        <v>20</v>
      </c>
      <c r="W4" s="1127">
        <f t="shared" ref="W4" si="13">V4+1</f>
        <v>21</v>
      </c>
      <c r="X4" s="1127">
        <f t="shared" ref="X4:Y4" si="14">W4+1</f>
        <v>22</v>
      </c>
      <c r="Y4" s="1127">
        <f t="shared" si="14"/>
        <v>23</v>
      </c>
    </row>
    <row r="5" spans="1:26" s="335" customFormat="1" ht="27" hidden="1" customHeight="1">
      <c r="A5" s="1128"/>
      <c r="B5" s="1129"/>
      <c r="C5" s="1130" t="s">
        <v>317</v>
      </c>
      <c r="D5" s="1131" t="s">
        <v>275</v>
      </c>
      <c r="E5" s="1130" t="s">
        <v>276</v>
      </c>
      <c r="F5" s="1130" t="s">
        <v>277</v>
      </c>
      <c r="G5" s="1130" t="s">
        <v>278</v>
      </c>
      <c r="H5" s="1130"/>
      <c r="I5" s="1130" t="s">
        <v>554</v>
      </c>
      <c r="J5" s="1130"/>
      <c r="K5" s="1130" t="s">
        <v>555</v>
      </c>
      <c r="L5" s="1130" t="s">
        <v>556</v>
      </c>
      <c r="M5" s="1132"/>
      <c r="N5" s="1133" t="s">
        <v>275</v>
      </c>
      <c r="O5" s="1131" t="s">
        <v>279</v>
      </c>
      <c r="P5" s="1131" t="s">
        <v>557</v>
      </c>
      <c r="Q5" s="1131" t="s">
        <v>558</v>
      </c>
      <c r="R5" s="1131" t="s">
        <v>559</v>
      </c>
      <c r="S5" s="1131"/>
      <c r="T5" s="1131" t="s">
        <v>560</v>
      </c>
      <c r="U5" s="1131"/>
      <c r="V5" s="1131" t="s">
        <v>561</v>
      </c>
      <c r="W5" s="1131" t="s">
        <v>562</v>
      </c>
      <c r="X5" s="1131" t="s">
        <v>563</v>
      </c>
      <c r="Y5" s="1131" t="s">
        <v>564</v>
      </c>
      <c r="Z5" s="1160"/>
    </row>
    <row r="6" spans="1:26" ht="16.2" customHeight="1">
      <c r="A6" s="1161">
        <v>1</v>
      </c>
      <c r="B6" s="1143" t="s">
        <v>81</v>
      </c>
      <c r="C6" s="1144">
        <v>0.79679100000000003</v>
      </c>
      <c r="D6" s="1145">
        <f>'Table 3 Levels 1&amp;2'!AP4</f>
        <v>5543.3384413349831</v>
      </c>
      <c r="E6" s="1145">
        <f>D6*(1+$E$3)</f>
        <v>7297.1630329437912</v>
      </c>
      <c r="F6" s="1145">
        <f>E6+$F$3</f>
        <v>8767.510424805987</v>
      </c>
      <c r="G6" s="1621">
        <f>C6*F6</f>
        <v>6985.8733988915874</v>
      </c>
      <c r="H6" s="1146">
        <v>0</v>
      </c>
      <c r="I6" s="1625">
        <f t="shared" ref="I6:I37" si="15">SUM(G6:H6)</f>
        <v>6985.8733988915874</v>
      </c>
      <c r="J6" s="1147"/>
      <c r="K6" s="1147">
        <f>I6-J6</f>
        <v>6985.8733988915874</v>
      </c>
      <c r="L6" s="1621">
        <f>ROUND(K6/12,0)</f>
        <v>582</v>
      </c>
      <c r="M6" s="1625">
        <f>I6</f>
        <v>6985.8733988915874</v>
      </c>
      <c r="N6" s="1148">
        <f>'Table 3 Levels 1&amp;2'!AS4</f>
        <v>21497220.5</v>
      </c>
      <c r="O6" s="1149">
        <f>'Table 3 Levels 1&amp;2'!C4</f>
        <v>9696</v>
      </c>
      <c r="P6" s="1149">
        <f t="shared" ref="P6:P37" si="16">C6+O6</f>
        <v>9696.7967910000007</v>
      </c>
      <c r="Q6" s="1150">
        <f>N6/P6</f>
        <v>2216.9403941673258</v>
      </c>
      <c r="R6" s="1628">
        <f t="shared" ref="R6:R37" si="17">C6*Q6</f>
        <v>1766.4381536089777</v>
      </c>
      <c r="S6" s="1151">
        <v>0</v>
      </c>
      <c r="T6" s="1628">
        <f>R6+S6</f>
        <v>1766.4381536089777</v>
      </c>
      <c r="U6" s="1150"/>
      <c r="V6" s="1150">
        <f>T6-U6</f>
        <v>1766.4381536089777</v>
      </c>
      <c r="W6" s="1628">
        <f t="shared" ref="W6:W69" si="18">ROUND(V6/12,0)</f>
        <v>147</v>
      </c>
      <c r="X6" s="1638">
        <f t="shared" ref="X6:X69" si="19">M6+T6</f>
        <v>8752.3115525005651</v>
      </c>
      <c r="Y6" s="1639">
        <f t="shared" ref="Y6:Y37" si="20">L6+W6</f>
        <v>729</v>
      </c>
    </row>
    <row r="7" spans="1:26" ht="16.2" customHeight="1">
      <c r="A7" s="1162">
        <v>2</v>
      </c>
      <c r="B7" s="1152" t="s">
        <v>82</v>
      </c>
      <c r="C7" s="1153">
        <v>0</v>
      </c>
      <c r="D7" s="1154">
        <f>'Table 3 Levels 1&amp;2'!AP5</f>
        <v>7158.9466417386639</v>
      </c>
      <c r="E7" s="1154">
        <f t="shared" ref="E7:E70" si="21">D7*(1+$E$3)</f>
        <v>9423.9241103113491</v>
      </c>
      <c r="F7" s="1154">
        <f t="shared" ref="F7:F70" si="22">E7+$F$3</f>
        <v>10894.271502173544</v>
      </c>
      <c r="G7" s="1622">
        <f t="shared" ref="G7:G70" si="23">C7*F7</f>
        <v>0</v>
      </c>
      <c r="H7" s="1155">
        <v>0</v>
      </c>
      <c r="I7" s="1622">
        <f t="shared" si="15"/>
        <v>0</v>
      </c>
      <c r="J7" s="1154"/>
      <c r="K7" s="1154">
        <f t="shared" ref="K7:K70" si="24">I7-J7</f>
        <v>0</v>
      </c>
      <c r="L7" s="1622">
        <f t="shared" ref="L7:L70" si="25">ROUND(K7/12,0)</f>
        <v>0</v>
      </c>
      <c r="M7" s="1622">
        <f t="shared" ref="M7:M70" si="26">I7</f>
        <v>0</v>
      </c>
      <c r="N7" s="1156">
        <f>'Table 3 Levels 1&amp;2'!AS5</f>
        <v>11234991.24</v>
      </c>
      <c r="O7" s="1157">
        <f>'Table 3 Levels 1&amp;2'!C5</f>
        <v>4087</v>
      </c>
      <c r="P7" s="1157">
        <f t="shared" si="16"/>
        <v>4087</v>
      </c>
      <c r="Q7" s="1158">
        <f t="shared" ref="Q7:Q70" si="27">N7/P7</f>
        <v>2748.9579740641057</v>
      </c>
      <c r="R7" s="1629">
        <f t="shared" si="17"/>
        <v>0</v>
      </c>
      <c r="S7" s="1159">
        <v>0</v>
      </c>
      <c r="T7" s="1629">
        <f t="shared" ref="T7:T70" si="28">R7+S7</f>
        <v>0</v>
      </c>
      <c r="U7" s="1158"/>
      <c r="V7" s="1158">
        <f t="shared" ref="V7:V70" si="29">T7-U7</f>
        <v>0</v>
      </c>
      <c r="W7" s="1629">
        <f t="shared" si="18"/>
        <v>0</v>
      </c>
      <c r="X7" s="1640">
        <f t="shared" si="19"/>
        <v>0</v>
      </c>
      <c r="Y7" s="1641">
        <f t="shared" si="20"/>
        <v>0</v>
      </c>
    </row>
    <row r="8" spans="1:26" ht="16.2" customHeight="1">
      <c r="A8" s="1162">
        <v>3</v>
      </c>
      <c r="B8" s="1152" t="s">
        <v>83</v>
      </c>
      <c r="C8" s="1153">
        <v>1</v>
      </c>
      <c r="D8" s="1154">
        <f>'Table 3 Levels 1&amp;2'!AP6</f>
        <v>4752.0262027396811</v>
      </c>
      <c r="E8" s="1154">
        <f t="shared" si="21"/>
        <v>6255.4921199906539</v>
      </c>
      <c r="F8" s="1154">
        <f t="shared" si="22"/>
        <v>7725.8395118528488</v>
      </c>
      <c r="G8" s="1622">
        <f t="shared" si="23"/>
        <v>7725.8395118528488</v>
      </c>
      <c r="H8" s="1155">
        <v>0</v>
      </c>
      <c r="I8" s="1622">
        <f t="shared" si="15"/>
        <v>7725.8395118528488</v>
      </c>
      <c r="J8" s="1154"/>
      <c r="K8" s="1154">
        <f t="shared" si="24"/>
        <v>7725.8395118528488</v>
      </c>
      <c r="L8" s="1622">
        <f t="shared" si="25"/>
        <v>644</v>
      </c>
      <c r="M8" s="1622">
        <f t="shared" si="26"/>
        <v>7725.8395118528488</v>
      </c>
      <c r="N8" s="1156">
        <f>'Table 3 Levels 1&amp;2'!AS6</f>
        <v>75937097.159999996</v>
      </c>
      <c r="O8" s="1157">
        <f>'Table 3 Levels 1&amp;2'!C6</f>
        <v>20958</v>
      </c>
      <c r="P8" s="1157">
        <f t="shared" si="16"/>
        <v>20959</v>
      </c>
      <c r="Q8" s="1158">
        <f t="shared" si="27"/>
        <v>3623.1259678419769</v>
      </c>
      <c r="R8" s="1629">
        <f t="shared" si="17"/>
        <v>3623.1259678419769</v>
      </c>
      <c r="S8" s="1159">
        <v>0</v>
      </c>
      <c r="T8" s="1629">
        <f t="shared" si="28"/>
        <v>3623.1259678419769</v>
      </c>
      <c r="U8" s="1158"/>
      <c r="V8" s="1158">
        <f t="shared" si="29"/>
        <v>3623.1259678419769</v>
      </c>
      <c r="W8" s="1629">
        <f t="shared" si="18"/>
        <v>302</v>
      </c>
      <c r="X8" s="1640">
        <f t="shared" si="19"/>
        <v>11348.965479694825</v>
      </c>
      <c r="Y8" s="1641">
        <f t="shared" si="20"/>
        <v>946</v>
      </c>
    </row>
    <row r="9" spans="1:26" ht="16.2" customHeight="1">
      <c r="A9" s="1162">
        <v>4</v>
      </c>
      <c r="B9" s="1152" t="s">
        <v>84</v>
      </c>
      <c r="C9" s="1153">
        <v>0.82887699999999997</v>
      </c>
      <c r="D9" s="1154">
        <f>'Table 3 Levels 1&amp;2'!AP7</f>
        <v>6704.8181446878571</v>
      </c>
      <c r="E9" s="1154">
        <f t="shared" si="21"/>
        <v>8826.1165407472927</v>
      </c>
      <c r="F9" s="1154">
        <f t="shared" si="22"/>
        <v>10296.463932609488</v>
      </c>
      <c r="G9" s="1622">
        <f t="shared" si="23"/>
        <v>8534.5021350695533</v>
      </c>
      <c r="H9" s="1155">
        <v>0</v>
      </c>
      <c r="I9" s="1622">
        <f t="shared" si="15"/>
        <v>8534.5021350695533</v>
      </c>
      <c r="J9" s="1154"/>
      <c r="K9" s="1154">
        <f t="shared" si="24"/>
        <v>8534.5021350695533</v>
      </c>
      <c r="L9" s="1622">
        <f t="shared" si="25"/>
        <v>711</v>
      </c>
      <c r="M9" s="1622">
        <f t="shared" si="26"/>
        <v>8534.5021350695533</v>
      </c>
      <c r="N9" s="1156">
        <f>'Table 3 Levels 1&amp;2'!AS7</f>
        <v>11538149.08</v>
      </c>
      <c r="O9" s="1157">
        <f>'Table 3 Levels 1&amp;2'!C7</f>
        <v>3569</v>
      </c>
      <c r="P9" s="1157">
        <f t="shared" si="16"/>
        <v>3569.8288769999999</v>
      </c>
      <c r="Q9" s="1158">
        <f t="shared" si="27"/>
        <v>3232.1294598570194</v>
      </c>
      <c r="R9" s="1629">
        <f t="shared" si="17"/>
        <v>2679.0377702979067</v>
      </c>
      <c r="S9" s="1159">
        <v>0</v>
      </c>
      <c r="T9" s="1629">
        <f t="shared" si="28"/>
        <v>2679.0377702979067</v>
      </c>
      <c r="U9" s="1158"/>
      <c r="V9" s="1158">
        <f t="shared" si="29"/>
        <v>2679.0377702979067</v>
      </c>
      <c r="W9" s="1629">
        <f t="shared" si="18"/>
        <v>223</v>
      </c>
      <c r="X9" s="1640">
        <f t="shared" si="19"/>
        <v>11213.539905367459</v>
      </c>
      <c r="Y9" s="1641">
        <f t="shared" si="20"/>
        <v>934</v>
      </c>
    </row>
    <row r="10" spans="1:26" ht="16.2" customHeight="1">
      <c r="A10" s="1134">
        <v>5</v>
      </c>
      <c r="B10" s="1135" t="s">
        <v>85</v>
      </c>
      <c r="C10" s="1136">
        <v>1.0850660000000001</v>
      </c>
      <c r="D10" s="1137">
        <f>'Table 3 Levels 1&amp;2'!AP8</f>
        <v>5824.8505660099117</v>
      </c>
      <c r="E10" s="1137">
        <f t="shared" si="21"/>
        <v>7667.7411405667199</v>
      </c>
      <c r="F10" s="1137">
        <f t="shared" si="22"/>
        <v>9138.0885324289156</v>
      </c>
      <c r="G10" s="1623">
        <f t="shared" si="23"/>
        <v>9915.4291715285144</v>
      </c>
      <c r="H10" s="1138">
        <v>0</v>
      </c>
      <c r="I10" s="1623">
        <f t="shared" si="15"/>
        <v>9915.4291715285144</v>
      </c>
      <c r="J10" s="1137"/>
      <c r="K10" s="1137">
        <f t="shared" si="24"/>
        <v>9915.4291715285144</v>
      </c>
      <c r="L10" s="1623">
        <f t="shared" si="25"/>
        <v>826</v>
      </c>
      <c r="M10" s="1623">
        <f t="shared" si="26"/>
        <v>9915.4291715285144</v>
      </c>
      <c r="N10" s="1139">
        <f>'Table 3 Levels 1&amp;2'!AS8</f>
        <v>11635193</v>
      </c>
      <c r="O10" s="1140">
        <f>'Table 3 Levels 1&amp;2'!C8</f>
        <v>5650</v>
      </c>
      <c r="P10" s="1140">
        <f t="shared" si="16"/>
        <v>5651.0850659999996</v>
      </c>
      <c r="Q10" s="1141">
        <f t="shared" si="27"/>
        <v>2058.9307830461885</v>
      </c>
      <c r="R10" s="1630">
        <f t="shared" si="17"/>
        <v>2234.0757890367959</v>
      </c>
      <c r="S10" s="1142">
        <v>0</v>
      </c>
      <c r="T10" s="1630">
        <f t="shared" si="28"/>
        <v>2234.0757890367959</v>
      </c>
      <c r="U10" s="1141"/>
      <c r="V10" s="1141">
        <f t="shared" si="29"/>
        <v>2234.0757890367959</v>
      </c>
      <c r="W10" s="1630">
        <f t="shared" si="18"/>
        <v>186</v>
      </c>
      <c r="X10" s="1642">
        <f t="shared" si="19"/>
        <v>12149.504960565311</v>
      </c>
      <c r="Y10" s="1643">
        <f t="shared" si="20"/>
        <v>1012</v>
      </c>
    </row>
    <row r="11" spans="1:26" ht="16.2" customHeight="1">
      <c r="A11" s="1161">
        <v>6</v>
      </c>
      <c r="B11" s="1143" t="s">
        <v>86</v>
      </c>
      <c r="C11" s="1144">
        <v>2.2406419999999998</v>
      </c>
      <c r="D11" s="1145">
        <f>'Table 3 Levels 1&amp;2'!AP9</f>
        <v>5923.9886124955865</v>
      </c>
      <c r="E11" s="1145">
        <f t="shared" si="21"/>
        <v>7798.2448966749807</v>
      </c>
      <c r="F11" s="1145">
        <f t="shared" si="22"/>
        <v>9268.5922885371765</v>
      </c>
      <c r="G11" s="1621">
        <f t="shared" si="23"/>
        <v>20767.597162572514</v>
      </c>
      <c r="H11" s="1146">
        <v>0</v>
      </c>
      <c r="I11" s="1625">
        <f t="shared" si="15"/>
        <v>20767.597162572514</v>
      </c>
      <c r="J11" s="1147"/>
      <c r="K11" s="1147">
        <f t="shared" si="24"/>
        <v>20767.597162572514</v>
      </c>
      <c r="L11" s="1621">
        <f t="shared" si="25"/>
        <v>1731</v>
      </c>
      <c r="M11" s="1625">
        <f t="shared" si="26"/>
        <v>20767.597162572514</v>
      </c>
      <c r="N11" s="1148">
        <f>'Table 3 Levels 1&amp;2'!AS9</f>
        <v>19558762.5</v>
      </c>
      <c r="O11" s="1149">
        <f>'Table 3 Levels 1&amp;2'!C9</f>
        <v>5892</v>
      </c>
      <c r="P11" s="1149">
        <f t="shared" si="16"/>
        <v>5894.2406419999998</v>
      </c>
      <c r="Q11" s="1150">
        <f t="shared" si="27"/>
        <v>3318.2836751916925</v>
      </c>
      <c r="R11" s="1628">
        <f t="shared" si="17"/>
        <v>7435.0857705488634</v>
      </c>
      <c r="S11" s="1151">
        <v>0</v>
      </c>
      <c r="T11" s="1628">
        <f t="shared" si="28"/>
        <v>7435.0857705488634</v>
      </c>
      <c r="U11" s="1150"/>
      <c r="V11" s="1150">
        <f t="shared" si="29"/>
        <v>7435.0857705488634</v>
      </c>
      <c r="W11" s="1628">
        <f t="shared" si="18"/>
        <v>620</v>
      </c>
      <c r="X11" s="1638">
        <f t="shared" si="19"/>
        <v>28202.682933121378</v>
      </c>
      <c r="Y11" s="1639">
        <f t="shared" si="20"/>
        <v>2351</v>
      </c>
    </row>
    <row r="12" spans="1:26" ht="16.2" customHeight="1">
      <c r="A12" s="1162">
        <v>7</v>
      </c>
      <c r="B12" s="1152" t="s">
        <v>87</v>
      </c>
      <c r="C12" s="1153">
        <v>0.459893</v>
      </c>
      <c r="D12" s="1154">
        <f>'Table 3 Levels 1&amp;2'!AP10</f>
        <v>2999.923196347032</v>
      </c>
      <c r="E12" s="1154">
        <f t="shared" si="21"/>
        <v>3949.0514392590871</v>
      </c>
      <c r="F12" s="1154">
        <f t="shared" si="22"/>
        <v>5419.3988311212815</v>
      </c>
      <c r="G12" s="1622">
        <f t="shared" si="23"/>
        <v>2492.3435866408595</v>
      </c>
      <c r="H12" s="1155">
        <v>0</v>
      </c>
      <c r="I12" s="1622">
        <f t="shared" si="15"/>
        <v>2492.3435866408595</v>
      </c>
      <c r="J12" s="1154"/>
      <c r="K12" s="1154">
        <f t="shared" si="24"/>
        <v>2492.3435866408595</v>
      </c>
      <c r="L12" s="1622">
        <f t="shared" si="25"/>
        <v>208</v>
      </c>
      <c r="M12" s="1622">
        <f t="shared" si="26"/>
        <v>2492.3435866408595</v>
      </c>
      <c r="N12" s="1156">
        <f>'Table 3 Levels 1&amp;2'!AS10</f>
        <v>12572839.199999999</v>
      </c>
      <c r="O12" s="1157">
        <f>'Table 3 Levels 1&amp;2'!C10</f>
        <v>2190</v>
      </c>
      <c r="P12" s="1157">
        <f t="shared" si="16"/>
        <v>2190.4598930000002</v>
      </c>
      <c r="Q12" s="1158">
        <f t="shared" si="27"/>
        <v>5739.8171225041451</v>
      </c>
      <c r="R12" s="1629">
        <f t="shared" si="17"/>
        <v>2639.701715919799</v>
      </c>
      <c r="S12" s="1159">
        <v>0</v>
      </c>
      <c r="T12" s="1629">
        <f t="shared" si="28"/>
        <v>2639.701715919799</v>
      </c>
      <c r="U12" s="1158"/>
      <c r="V12" s="1158">
        <f t="shared" si="29"/>
        <v>2639.701715919799</v>
      </c>
      <c r="W12" s="1629">
        <f t="shared" si="18"/>
        <v>220</v>
      </c>
      <c r="X12" s="1640">
        <f t="shared" si="19"/>
        <v>5132.0453025606585</v>
      </c>
      <c r="Y12" s="1641">
        <f t="shared" si="20"/>
        <v>428</v>
      </c>
    </row>
    <row r="13" spans="1:26" ht="16.2" customHeight="1">
      <c r="A13" s="1162">
        <v>8</v>
      </c>
      <c r="B13" s="1152" t="s">
        <v>88</v>
      </c>
      <c r="C13" s="1153">
        <v>7.6569560000000001</v>
      </c>
      <c r="D13" s="1154">
        <f>'Table 3 Levels 1&amp;2'!AP11</f>
        <v>5395.5624595588542</v>
      </c>
      <c r="E13" s="1154">
        <f t="shared" si="21"/>
        <v>7102.6330682328417</v>
      </c>
      <c r="F13" s="1154">
        <f t="shared" si="22"/>
        <v>8572.9804600950374</v>
      </c>
      <c r="G13" s="1622">
        <f t="shared" si="23"/>
        <v>65642.934171807457</v>
      </c>
      <c r="H13" s="1155">
        <v>0</v>
      </c>
      <c r="I13" s="1622">
        <f t="shared" si="15"/>
        <v>65642.934171807457</v>
      </c>
      <c r="J13" s="1154"/>
      <c r="K13" s="1154">
        <f t="shared" si="24"/>
        <v>65642.934171807457</v>
      </c>
      <c r="L13" s="1622">
        <f t="shared" si="25"/>
        <v>5470</v>
      </c>
      <c r="M13" s="1622">
        <f t="shared" si="26"/>
        <v>65642.934171807457</v>
      </c>
      <c r="N13" s="1156">
        <f>'Table 3 Levels 1&amp;2'!AS11</f>
        <v>73238867</v>
      </c>
      <c r="O13" s="1157">
        <f>'Table 3 Levels 1&amp;2'!C11</f>
        <v>21562</v>
      </c>
      <c r="P13" s="1157">
        <f t="shared" si="16"/>
        <v>21569.656955999999</v>
      </c>
      <c r="Q13" s="1158">
        <f t="shared" si="27"/>
        <v>3395.4581266359573</v>
      </c>
      <c r="R13" s="1629">
        <f t="shared" si="17"/>
        <v>25998.873475493954</v>
      </c>
      <c r="S13" s="1159">
        <v>0</v>
      </c>
      <c r="T13" s="1629">
        <f t="shared" si="28"/>
        <v>25998.873475493954</v>
      </c>
      <c r="U13" s="1158"/>
      <c r="V13" s="1158">
        <f t="shared" si="29"/>
        <v>25998.873475493954</v>
      </c>
      <c r="W13" s="1629">
        <f t="shared" si="18"/>
        <v>2167</v>
      </c>
      <c r="X13" s="1640">
        <f t="shared" si="19"/>
        <v>91641.807647301408</v>
      </c>
      <c r="Y13" s="1641">
        <f t="shared" si="20"/>
        <v>7637</v>
      </c>
    </row>
    <row r="14" spans="1:26" ht="16.2" customHeight="1">
      <c r="A14" s="1162">
        <v>9</v>
      </c>
      <c r="B14" s="1152" t="s">
        <v>89</v>
      </c>
      <c r="C14" s="1153">
        <v>39.653354</v>
      </c>
      <c r="D14" s="1154">
        <f>'Table 3 Levels 1&amp;2'!AP12</f>
        <v>5377.221507204501</v>
      </c>
      <c r="E14" s="1154">
        <f t="shared" si="21"/>
        <v>7078.4893286929309</v>
      </c>
      <c r="F14" s="1154">
        <f t="shared" si="22"/>
        <v>8548.8367205551258</v>
      </c>
      <c r="G14" s="1622">
        <f t="shared" si="23"/>
        <v>338990.04876837146</v>
      </c>
      <c r="H14" s="1155">
        <v>0</v>
      </c>
      <c r="I14" s="1622">
        <f t="shared" si="15"/>
        <v>338990.04876837146</v>
      </c>
      <c r="J14" s="1154"/>
      <c r="K14" s="1154">
        <f t="shared" si="24"/>
        <v>338990.04876837146</v>
      </c>
      <c r="L14" s="1622">
        <f t="shared" si="25"/>
        <v>28249</v>
      </c>
      <c r="M14" s="1622">
        <f t="shared" si="26"/>
        <v>338990.04876837146</v>
      </c>
      <c r="N14" s="1156">
        <f>'Table 3 Levels 1&amp;2'!AS12</f>
        <v>140907174.86000001</v>
      </c>
      <c r="O14" s="1157">
        <f>'Table 3 Levels 1&amp;2'!C12</f>
        <v>40615</v>
      </c>
      <c r="P14" s="1157">
        <f t="shared" si="16"/>
        <v>40654.653354000002</v>
      </c>
      <c r="Q14" s="1158">
        <f t="shared" si="27"/>
        <v>3465.9544046053511</v>
      </c>
      <c r="R14" s="1629">
        <f t="shared" si="17"/>
        <v>137436.7169536752</v>
      </c>
      <c r="S14" s="1159">
        <v>0</v>
      </c>
      <c r="T14" s="1629">
        <f t="shared" si="28"/>
        <v>137436.7169536752</v>
      </c>
      <c r="U14" s="1158"/>
      <c r="V14" s="1158">
        <f t="shared" si="29"/>
        <v>137436.7169536752</v>
      </c>
      <c r="W14" s="1629">
        <f t="shared" si="18"/>
        <v>11453</v>
      </c>
      <c r="X14" s="1640">
        <f t="shared" si="19"/>
        <v>476426.76572204666</v>
      </c>
      <c r="Y14" s="1641">
        <f t="shared" si="20"/>
        <v>39702</v>
      </c>
    </row>
    <row r="15" spans="1:26" ht="16.2" customHeight="1">
      <c r="A15" s="1134">
        <v>10</v>
      </c>
      <c r="B15" s="1135" t="s">
        <v>90</v>
      </c>
      <c r="C15" s="1136">
        <v>9.2349940000000004</v>
      </c>
      <c r="D15" s="1137">
        <f>'Table 3 Levels 1&amp;2'!AP13</f>
        <v>4992.4147339184719</v>
      </c>
      <c r="E15" s="1137">
        <f t="shared" si="21"/>
        <v>6571.9357796779886</v>
      </c>
      <c r="F15" s="1137">
        <f t="shared" si="22"/>
        <v>8042.2831715401835</v>
      </c>
      <c r="G15" s="1623">
        <f t="shared" si="23"/>
        <v>74270.436835474567</v>
      </c>
      <c r="H15" s="1138">
        <v>0</v>
      </c>
      <c r="I15" s="1623">
        <f t="shared" si="15"/>
        <v>74270.436835474567</v>
      </c>
      <c r="J15" s="1137"/>
      <c r="K15" s="1137">
        <f t="shared" si="24"/>
        <v>74270.436835474567</v>
      </c>
      <c r="L15" s="1623">
        <f t="shared" si="25"/>
        <v>6189</v>
      </c>
      <c r="M15" s="1623">
        <f t="shared" si="26"/>
        <v>74270.436835474567</v>
      </c>
      <c r="N15" s="1139">
        <f>'Table 3 Levels 1&amp;2'!AS13</f>
        <v>127324516.5</v>
      </c>
      <c r="O15" s="1140">
        <f>'Table 3 Levels 1&amp;2'!C13</f>
        <v>32357</v>
      </c>
      <c r="P15" s="1140">
        <f t="shared" si="16"/>
        <v>32366.234993999999</v>
      </c>
      <c r="Q15" s="1141">
        <f t="shared" si="27"/>
        <v>3933.8686295642115</v>
      </c>
      <c r="R15" s="1630">
        <f t="shared" si="17"/>
        <v>36329.253190813717</v>
      </c>
      <c r="S15" s="1142">
        <v>0</v>
      </c>
      <c r="T15" s="1630">
        <f t="shared" si="28"/>
        <v>36329.253190813717</v>
      </c>
      <c r="U15" s="1141"/>
      <c r="V15" s="1141">
        <f t="shared" si="29"/>
        <v>36329.253190813717</v>
      </c>
      <c r="W15" s="1630">
        <f t="shared" si="18"/>
        <v>3027</v>
      </c>
      <c r="X15" s="1642">
        <f t="shared" si="19"/>
        <v>110599.69002628828</v>
      </c>
      <c r="Y15" s="1643">
        <f t="shared" si="20"/>
        <v>9216</v>
      </c>
    </row>
    <row r="16" spans="1:26" ht="16.2" customHeight="1">
      <c r="A16" s="1161">
        <v>11</v>
      </c>
      <c r="B16" s="1143" t="s">
        <v>91</v>
      </c>
      <c r="C16" s="1144">
        <v>0</v>
      </c>
      <c r="D16" s="1145">
        <f>'Table 3 Levels 1&amp;2'!AP14</f>
        <v>7805.0872236353343</v>
      </c>
      <c r="E16" s="1145">
        <f t="shared" si="21"/>
        <v>10274.493350887191</v>
      </c>
      <c r="F16" s="1145">
        <f t="shared" si="22"/>
        <v>11744.840742749386</v>
      </c>
      <c r="G16" s="1621">
        <f t="shared" si="23"/>
        <v>0</v>
      </c>
      <c r="H16" s="1146">
        <v>0</v>
      </c>
      <c r="I16" s="1625">
        <f t="shared" si="15"/>
        <v>0</v>
      </c>
      <c r="J16" s="1147"/>
      <c r="K16" s="1147">
        <f t="shared" si="24"/>
        <v>0</v>
      </c>
      <c r="L16" s="1621">
        <f t="shared" si="25"/>
        <v>0</v>
      </c>
      <c r="M16" s="1625">
        <f t="shared" si="26"/>
        <v>0</v>
      </c>
      <c r="N16" s="1148">
        <f>'Table 3 Levels 1&amp;2'!AS14</f>
        <v>5345201.4800000004</v>
      </c>
      <c r="O16" s="1149">
        <f>'Table 3 Levels 1&amp;2'!C14</f>
        <v>1569</v>
      </c>
      <c r="P16" s="1149">
        <f t="shared" si="16"/>
        <v>1569</v>
      </c>
      <c r="Q16" s="1150">
        <f t="shared" si="27"/>
        <v>3406.7568387507968</v>
      </c>
      <c r="R16" s="1628">
        <f t="shared" si="17"/>
        <v>0</v>
      </c>
      <c r="S16" s="1151">
        <v>0</v>
      </c>
      <c r="T16" s="1628">
        <f t="shared" si="28"/>
        <v>0</v>
      </c>
      <c r="U16" s="1150"/>
      <c r="V16" s="1150">
        <f t="shared" si="29"/>
        <v>0</v>
      </c>
      <c r="W16" s="1628">
        <f t="shared" si="18"/>
        <v>0</v>
      </c>
      <c r="X16" s="1638">
        <f t="shared" si="19"/>
        <v>0</v>
      </c>
      <c r="Y16" s="1639">
        <f t="shared" si="20"/>
        <v>0</v>
      </c>
    </row>
    <row r="17" spans="1:25" ht="16.2" customHeight="1">
      <c r="A17" s="1162">
        <v>12</v>
      </c>
      <c r="B17" s="1152" t="s">
        <v>92</v>
      </c>
      <c r="C17" s="1153">
        <v>0</v>
      </c>
      <c r="D17" s="1154">
        <f>'Table 3 Levels 1&amp;2'!AP15</f>
        <v>2729.9140983606558</v>
      </c>
      <c r="E17" s="1154">
        <f t="shared" si="21"/>
        <v>3593.6157340001851</v>
      </c>
      <c r="F17" s="1154">
        <f t="shared" si="22"/>
        <v>5063.9631258623795</v>
      </c>
      <c r="G17" s="1622">
        <f t="shared" si="23"/>
        <v>0</v>
      </c>
      <c r="H17" s="1155">
        <v>0</v>
      </c>
      <c r="I17" s="1622">
        <f t="shared" si="15"/>
        <v>0</v>
      </c>
      <c r="J17" s="1154"/>
      <c r="K17" s="1154">
        <f t="shared" si="24"/>
        <v>0</v>
      </c>
      <c r="L17" s="1622">
        <f t="shared" si="25"/>
        <v>0</v>
      </c>
      <c r="M17" s="1622">
        <f t="shared" si="26"/>
        <v>0</v>
      </c>
      <c r="N17" s="1156">
        <f>'Table 3 Levels 1&amp;2'!AS15</f>
        <v>7907034.3799999999</v>
      </c>
      <c r="O17" s="1157">
        <f>'Table 3 Levels 1&amp;2'!C15</f>
        <v>1220</v>
      </c>
      <c r="P17" s="1157">
        <f t="shared" si="16"/>
        <v>1220</v>
      </c>
      <c r="Q17" s="1158">
        <f t="shared" si="27"/>
        <v>6481.1757213114752</v>
      </c>
      <c r="R17" s="1629">
        <f t="shared" si="17"/>
        <v>0</v>
      </c>
      <c r="S17" s="1159">
        <v>0</v>
      </c>
      <c r="T17" s="1629">
        <f t="shared" si="28"/>
        <v>0</v>
      </c>
      <c r="U17" s="1158"/>
      <c r="V17" s="1158">
        <f t="shared" si="29"/>
        <v>0</v>
      </c>
      <c r="W17" s="1629">
        <f t="shared" si="18"/>
        <v>0</v>
      </c>
      <c r="X17" s="1640">
        <f t="shared" si="19"/>
        <v>0</v>
      </c>
      <c r="Y17" s="1641">
        <f t="shared" si="20"/>
        <v>0</v>
      </c>
    </row>
    <row r="18" spans="1:25" ht="16.2" customHeight="1">
      <c r="A18" s="1162">
        <v>13</v>
      </c>
      <c r="B18" s="1152" t="s">
        <v>93</v>
      </c>
      <c r="C18" s="1153">
        <v>0</v>
      </c>
      <c r="D18" s="1154">
        <f>'Table 3 Levels 1&amp;2'!AP16</f>
        <v>7183.0597758332206</v>
      </c>
      <c r="E18" s="1154">
        <f t="shared" si="21"/>
        <v>9455.6662585827144</v>
      </c>
      <c r="F18" s="1154">
        <f t="shared" si="22"/>
        <v>10926.013650444909</v>
      </c>
      <c r="G18" s="1622">
        <f t="shared" si="23"/>
        <v>0</v>
      </c>
      <c r="H18" s="1155">
        <v>0</v>
      </c>
      <c r="I18" s="1622">
        <f t="shared" si="15"/>
        <v>0</v>
      </c>
      <c r="J18" s="1154"/>
      <c r="K18" s="1154">
        <f t="shared" si="24"/>
        <v>0</v>
      </c>
      <c r="L18" s="1622">
        <f t="shared" si="25"/>
        <v>0</v>
      </c>
      <c r="M18" s="1622">
        <f t="shared" si="26"/>
        <v>0</v>
      </c>
      <c r="N18" s="1156">
        <f>'Table 3 Levels 1&amp;2'!AS16</f>
        <v>4070775</v>
      </c>
      <c r="O18" s="1157">
        <f>'Table 3 Levels 1&amp;2'!C16</f>
        <v>1487</v>
      </c>
      <c r="P18" s="1157">
        <f t="shared" si="16"/>
        <v>1487</v>
      </c>
      <c r="Q18" s="1158">
        <f t="shared" si="27"/>
        <v>2737.5756556825822</v>
      </c>
      <c r="R18" s="1629">
        <f t="shared" si="17"/>
        <v>0</v>
      </c>
      <c r="S18" s="1159">
        <v>0</v>
      </c>
      <c r="T18" s="1629">
        <f t="shared" si="28"/>
        <v>0</v>
      </c>
      <c r="U18" s="1158"/>
      <c r="V18" s="1158">
        <f t="shared" si="29"/>
        <v>0</v>
      </c>
      <c r="W18" s="1629">
        <f t="shared" si="18"/>
        <v>0</v>
      </c>
      <c r="X18" s="1640">
        <f t="shared" si="19"/>
        <v>0</v>
      </c>
      <c r="Y18" s="1641">
        <f t="shared" si="20"/>
        <v>0</v>
      </c>
    </row>
    <row r="19" spans="1:25" ht="16.2" customHeight="1">
      <c r="A19" s="1162">
        <v>14</v>
      </c>
      <c r="B19" s="1152" t="s">
        <v>94</v>
      </c>
      <c r="C19" s="1153">
        <v>1</v>
      </c>
      <c r="D19" s="1154">
        <f>'Table 3 Levels 1&amp;2'!AP17</f>
        <v>6144.9309412499997</v>
      </c>
      <c r="E19" s="1154">
        <f t="shared" si="21"/>
        <v>8089.0898831144059</v>
      </c>
      <c r="F19" s="1154">
        <f t="shared" si="22"/>
        <v>9559.4372749766007</v>
      </c>
      <c r="G19" s="1622">
        <f t="shared" si="23"/>
        <v>9559.4372749766007</v>
      </c>
      <c r="H19" s="1155">
        <v>0</v>
      </c>
      <c r="I19" s="1622">
        <f t="shared" si="15"/>
        <v>9559.4372749766007</v>
      </c>
      <c r="J19" s="1154"/>
      <c r="K19" s="1154">
        <f t="shared" si="24"/>
        <v>9559.4372749766007</v>
      </c>
      <c r="L19" s="1622">
        <f t="shared" si="25"/>
        <v>797</v>
      </c>
      <c r="M19" s="1622">
        <f t="shared" si="26"/>
        <v>9559.4372749766007</v>
      </c>
      <c r="N19" s="1156">
        <f>'Table 3 Levels 1&amp;2'!AS17</f>
        <v>7672850.5</v>
      </c>
      <c r="O19" s="1157">
        <f>'Table 3 Levels 1&amp;2'!C17</f>
        <v>1680</v>
      </c>
      <c r="P19" s="1157">
        <f t="shared" si="16"/>
        <v>1681</v>
      </c>
      <c r="Q19" s="1158">
        <f t="shared" si="27"/>
        <v>4564.4559785841757</v>
      </c>
      <c r="R19" s="1629">
        <f t="shared" si="17"/>
        <v>4564.4559785841757</v>
      </c>
      <c r="S19" s="1159">
        <v>0</v>
      </c>
      <c r="T19" s="1629">
        <f t="shared" si="28"/>
        <v>4564.4559785841757</v>
      </c>
      <c r="U19" s="1158"/>
      <c r="V19" s="1158">
        <f t="shared" si="29"/>
        <v>4564.4559785841757</v>
      </c>
      <c r="W19" s="1629">
        <f t="shared" si="18"/>
        <v>380</v>
      </c>
      <c r="X19" s="1640">
        <f t="shared" si="19"/>
        <v>14123.893253560776</v>
      </c>
      <c r="Y19" s="1641">
        <f t="shared" si="20"/>
        <v>1177</v>
      </c>
    </row>
    <row r="20" spans="1:25" ht="16.2" customHeight="1">
      <c r="A20" s="1134">
        <v>15</v>
      </c>
      <c r="B20" s="1135" t="s">
        <v>95</v>
      </c>
      <c r="C20" s="1136">
        <v>0</v>
      </c>
      <c r="D20" s="1137">
        <f>'Table 3 Levels 1&amp;2'!AP18</f>
        <v>6303.6285214059944</v>
      </c>
      <c r="E20" s="1137">
        <f t="shared" si="21"/>
        <v>8297.9968671615625</v>
      </c>
      <c r="F20" s="1137">
        <f t="shared" si="22"/>
        <v>9768.3442590237573</v>
      </c>
      <c r="G20" s="1623">
        <f t="shared" si="23"/>
        <v>0</v>
      </c>
      <c r="H20" s="1138">
        <v>0</v>
      </c>
      <c r="I20" s="1623">
        <f t="shared" si="15"/>
        <v>0</v>
      </c>
      <c r="J20" s="1137"/>
      <c r="K20" s="1137">
        <f t="shared" si="24"/>
        <v>0</v>
      </c>
      <c r="L20" s="1623">
        <f t="shared" si="25"/>
        <v>0</v>
      </c>
      <c r="M20" s="1623">
        <f t="shared" si="26"/>
        <v>0</v>
      </c>
      <c r="N20" s="1139">
        <f>'Table 3 Levels 1&amp;2'!AS18</f>
        <v>10557172</v>
      </c>
      <c r="O20" s="1140">
        <f>'Table 3 Levels 1&amp;2'!C18</f>
        <v>3670</v>
      </c>
      <c r="P20" s="1140">
        <f t="shared" si="16"/>
        <v>3670</v>
      </c>
      <c r="Q20" s="1141">
        <f t="shared" si="27"/>
        <v>2876.6136239782018</v>
      </c>
      <c r="R20" s="1630">
        <f t="shared" si="17"/>
        <v>0</v>
      </c>
      <c r="S20" s="1142">
        <v>0</v>
      </c>
      <c r="T20" s="1630">
        <f t="shared" si="28"/>
        <v>0</v>
      </c>
      <c r="U20" s="1141"/>
      <c r="V20" s="1141">
        <f t="shared" si="29"/>
        <v>0</v>
      </c>
      <c r="W20" s="1630">
        <f t="shared" si="18"/>
        <v>0</v>
      </c>
      <c r="X20" s="1642">
        <f t="shared" si="19"/>
        <v>0</v>
      </c>
      <c r="Y20" s="1643">
        <f t="shared" si="20"/>
        <v>0</v>
      </c>
    </row>
    <row r="21" spans="1:25" ht="16.2" customHeight="1">
      <c r="A21" s="1161">
        <v>16</v>
      </c>
      <c r="B21" s="1143" t="s">
        <v>96</v>
      </c>
      <c r="C21" s="1144">
        <v>1.7860959999999999</v>
      </c>
      <c r="D21" s="1145">
        <f>'Table 3 Levels 1&amp;2'!AP19</f>
        <v>2666.9794354342025</v>
      </c>
      <c r="E21" s="1145">
        <f t="shared" si="21"/>
        <v>3510.769539300391</v>
      </c>
      <c r="F21" s="1145">
        <f t="shared" si="22"/>
        <v>4981.1169311625854</v>
      </c>
      <c r="G21" s="1621">
        <f t="shared" si="23"/>
        <v>8896.7530262817691</v>
      </c>
      <c r="H21" s="1146">
        <v>0</v>
      </c>
      <c r="I21" s="1625">
        <f t="shared" si="15"/>
        <v>8896.7530262817691</v>
      </c>
      <c r="J21" s="1147"/>
      <c r="K21" s="1147">
        <f t="shared" si="24"/>
        <v>8896.7530262817691</v>
      </c>
      <c r="L21" s="1621">
        <f t="shared" si="25"/>
        <v>741</v>
      </c>
      <c r="M21" s="1625">
        <f t="shared" si="26"/>
        <v>8896.7530262817691</v>
      </c>
      <c r="N21" s="1148">
        <f>'Table 3 Levels 1&amp;2'!AS19</f>
        <v>27826331.579999998</v>
      </c>
      <c r="O21" s="1149">
        <f>'Table 3 Levels 1&amp;2'!C19</f>
        <v>4871</v>
      </c>
      <c r="P21" s="1149">
        <f t="shared" si="16"/>
        <v>4872.7860959999998</v>
      </c>
      <c r="Q21" s="1150">
        <f t="shared" si="27"/>
        <v>5710.5588121018145</v>
      </c>
      <c r="R21" s="1628">
        <f t="shared" si="17"/>
        <v>10199.606252059803</v>
      </c>
      <c r="S21" s="1151">
        <v>0</v>
      </c>
      <c r="T21" s="1628">
        <f t="shared" si="28"/>
        <v>10199.606252059803</v>
      </c>
      <c r="U21" s="1150"/>
      <c r="V21" s="1150">
        <f t="shared" si="29"/>
        <v>10199.606252059803</v>
      </c>
      <c r="W21" s="1628">
        <f t="shared" si="18"/>
        <v>850</v>
      </c>
      <c r="X21" s="1638">
        <f t="shared" si="19"/>
        <v>19096.359278341573</v>
      </c>
      <c r="Y21" s="1639">
        <f t="shared" si="20"/>
        <v>1591</v>
      </c>
    </row>
    <row r="22" spans="1:25" ht="16.2" customHeight="1">
      <c r="A22" s="1162">
        <v>17</v>
      </c>
      <c r="B22" s="1152" t="s">
        <v>97</v>
      </c>
      <c r="C22" s="1153">
        <v>26.048496</v>
      </c>
      <c r="D22" s="1154">
        <f>'Table 3 Levels 1&amp;2'!AP20</f>
        <v>4165.0756609935179</v>
      </c>
      <c r="E22" s="1154">
        <f t="shared" si="21"/>
        <v>5482.8397119293204</v>
      </c>
      <c r="F22" s="1154">
        <f t="shared" si="22"/>
        <v>6953.1871037915153</v>
      </c>
      <c r="G22" s="1622">
        <f t="shared" si="23"/>
        <v>181120.06646036488</v>
      </c>
      <c r="H22" s="1155">
        <v>0</v>
      </c>
      <c r="I22" s="1622">
        <f t="shared" si="15"/>
        <v>181120.06646036488</v>
      </c>
      <c r="J22" s="1154"/>
      <c r="K22" s="1154">
        <f t="shared" si="24"/>
        <v>181120.06646036488</v>
      </c>
      <c r="L22" s="1622">
        <f t="shared" si="25"/>
        <v>15093</v>
      </c>
      <c r="M22" s="1622">
        <f t="shared" si="26"/>
        <v>181120.06646036488</v>
      </c>
      <c r="N22" s="1156">
        <f>'Table 3 Levels 1&amp;2'!AS20</f>
        <v>204625642.80000001</v>
      </c>
      <c r="O22" s="1157">
        <f>'Table 3 Levels 1&amp;2'!C20</f>
        <v>43364</v>
      </c>
      <c r="P22" s="1157">
        <f t="shared" si="16"/>
        <v>43390.048496000003</v>
      </c>
      <c r="Q22" s="1158">
        <f t="shared" si="27"/>
        <v>4715.9579187578884</v>
      </c>
      <c r="R22" s="1629">
        <f t="shared" si="17"/>
        <v>122843.61098293318</v>
      </c>
      <c r="S22" s="1159">
        <v>0</v>
      </c>
      <c r="T22" s="1629">
        <f t="shared" si="28"/>
        <v>122843.61098293318</v>
      </c>
      <c r="U22" s="1158"/>
      <c r="V22" s="1158">
        <f t="shared" si="29"/>
        <v>122843.61098293318</v>
      </c>
      <c r="W22" s="1629">
        <f t="shared" si="18"/>
        <v>10237</v>
      </c>
      <c r="X22" s="1640">
        <f t="shared" si="19"/>
        <v>303963.67744329805</v>
      </c>
      <c r="Y22" s="1641">
        <f t="shared" si="20"/>
        <v>25330</v>
      </c>
    </row>
    <row r="23" spans="1:25" ht="16.2" customHeight="1">
      <c r="A23" s="1162">
        <v>18</v>
      </c>
      <c r="B23" s="1152" t="s">
        <v>98</v>
      </c>
      <c r="C23" s="1153">
        <v>0.64705900000000005</v>
      </c>
      <c r="D23" s="1154">
        <f>'Table 3 Levels 1&amp;2'!AP21</f>
        <v>7200.5033500475738</v>
      </c>
      <c r="E23" s="1154">
        <f t="shared" si="21"/>
        <v>9478.6287037349412</v>
      </c>
      <c r="F23" s="1154">
        <f t="shared" si="22"/>
        <v>10948.976095597136</v>
      </c>
      <c r="G23" s="1622">
        <f t="shared" si="23"/>
        <v>7084.633523440988</v>
      </c>
      <c r="H23" s="1155">
        <v>0</v>
      </c>
      <c r="I23" s="1622">
        <f t="shared" si="15"/>
        <v>7084.633523440988</v>
      </c>
      <c r="J23" s="1154"/>
      <c r="K23" s="1154">
        <f t="shared" si="24"/>
        <v>7084.633523440988</v>
      </c>
      <c r="L23" s="1622">
        <f t="shared" si="25"/>
        <v>590</v>
      </c>
      <c r="M23" s="1622">
        <f t="shared" si="26"/>
        <v>7084.633523440988</v>
      </c>
      <c r="N23" s="1156">
        <f>'Table 3 Levels 1&amp;2'!AS21</f>
        <v>3458507.5</v>
      </c>
      <c r="O23" s="1157">
        <f>'Table 3 Levels 1&amp;2'!C21</f>
        <v>1051</v>
      </c>
      <c r="P23" s="1157">
        <f t="shared" si="16"/>
        <v>1051.6470589999999</v>
      </c>
      <c r="Q23" s="1158">
        <f t="shared" si="27"/>
        <v>3288.6579869187844</v>
      </c>
      <c r="R23" s="1629">
        <f t="shared" si="17"/>
        <v>2127.9557483576818</v>
      </c>
      <c r="S23" s="1159">
        <v>0</v>
      </c>
      <c r="T23" s="1629">
        <f t="shared" si="28"/>
        <v>2127.9557483576818</v>
      </c>
      <c r="U23" s="1158"/>
      <c r="V23" s="1158">
        <f t="shared" si="29"/>
        <v>2127.9557483576818</v>
      </c>
      <c r="W23" s="1629">
        <f t="shared" si="18"/>
        <v>177</v>
      </c>
      <c r="X23" s="1640">
        <f t="shared" si="19"/>
        <v>9212.5892717986699</v>
      </c>
      <c r="Y23" s="1641">
        <f t="shared" si="20"/>
        <v>767</v>
      </c>
    </row>
    <row r="24" spans="1:25" ht="16.2" customHeight="1">
      <c r="A24" s="1162">
        <v>19</v>
      </c>
      <c r="B24" s="1152" t="s">
        <v>99</v>
      </c>
      <c r="C24" s="1153">
        <v>1</v>
      </c>
      <c r="D24" s="1154">
        <f>'Table 3 Levels 1&amp;2'!AP22</f>
        <v>6219.822186946044</v>
      </c>
      <c r="E24" s="1154">
        <f t="shared" si="21"/>
        <v>8187.6755342284077</v>
      </c>
      <c r="F24" s="1154">
        <f t="shared" si="22"/>
        <v>9658.0229260906017</v>
      </c>
      <c r="G24" s="1622">
        <f t="shared" si="23"/>
        <v>9658.0229260906017</v>
      </c>
      <c r="H24" s="1155">
        <v>0</v>
      </c>
      <c r="I24" s="1622">
        <f t="shared" si="15"/>
        <v>9658.0229260906017</v>
      </c>
      <c r="J24" s="1154"/>
      <c r="K24" s="1154">
        <f t="shared" si="24"/>
        <v>9658.0229260906017</v>
      </c>
      <c r="L24" s="1622">
        <f t="shared" si="25"/>
        <v>805</v>
      </c>
      <c r="M24" s="1622">
        <f t="shared" si="26"/>
        <v>9658.0229260906017</v>
      </c>
      <c r="N24" s="1156">
        <f>'Table 3 Levels 1&amp;2'!AS22</f>
        <v>4966129.5</v>
      </c>
      <c r="O24" s="1157">
        <f>'Table 3 Levels 1&amp;2'!C22</f>
        <v>1909</v>
      </c>
      <c r="P24" s="1157">
        <f t="shared" si="16"/>
        <v>1910</v>
      </c>
      <c r="Q24" s="1158">
        <f t="shared" si="27"/>
        <v>2600.0678010471206</v>
      </c>
      <c r="R24" s="1629">
        <f t="shared" si="17"/>
        <v>2600.0678010471206</v>
      </c>
      <c r="S24" s="1159">
        <v>0</v>
      </c>
      <c r="T24" s="1629">
        <f t="shared" si="28"/>
        <v>2600.0678010471206</v>
      </c>
      <c r="U24" s="1158"/>
      <c r="V24" s="1158">
        <f t="shared" si="29"/>
        <v>2600.0678010471206</v>
      </c>
      <c r="W24" s="1629">
        <f t="shared" si="18"/>
        <v>217</v>
      </c>
      <c r="X24" s="1640">
        <f t="shared" si="19"/>
        <v>12258.090727137722</v>
      </c>
      <c r="Y24" s="1641">
        <f t="shared" si="20"/>
        <v>1022</v>
      </c>
    </row>
    <row r="25" spans="1:25" ht="16.2" customHeight="1">
      <c r="A25" s="1134">
        <v>20</v>
      </c>
      <c r="B25" s="1135" t="s">
        <v>100</v>
      </c>
      <c r="C25" s="1136">
        <v>3.8051590000000002</v>
      </c>
      <c r="D25" s="1137">
        <f>'Table 3 Levels 1&amp;2'!AP23</f>
        <v>5864.6901565562002</v>
      </c>
      <c r="E25" s="1137">
        <f t="shared" si="21"/>
        <v>7720.185347331043</v>
      </c>
      <c r="F25" s="1137">
        <f t="shared" si="22"/>
        <v>9190.5327391932369</v>
      </c>
      <c r="G25" s="1623">
        <f t="shared" si="23"/>
        <v>34971.438367335802</v>
      </c>
      <c r="H25" s="1138">
        <v>0</v>
      </c>
      <c r="I25" s="1623">
        <f t="shared" si="15"/>
        <v>34971.438367335802</v>
      </c>
      <c r="J25" s="1137"/>
      <c r="K25" s="1137">
        <f t="shared" si="24"/>
        <v>34971.438367335802</v>
      </c>
      <c r="L25" s="1623">
        <f t="shared" si="25"/>
        <v>2914</v>
      </c>
      <c r="M25" s="1623">
        <f t="shared" si="26"/>
        <v>34971.438367335802</v>
      </c>
      <c r="N25" s="1139">
        <f>'Table 3 Levels 1&amp;2'!AS23</f>
        <v>15834074.5</v>
      </c>
      <c r="O25" s="1140">
        <f>'Table 3 Levels 1&amp;2'!C23</f>
        <v>5854</v>
      </c>
      <c r="P25" s="1140">
        <f t="shared" si="16"/>
        <v>5857.8051589999995</v>
      </c>
      <c r="Q25" s="1141">
        <f t="shared" si="27"/>
        <v>2703.0729206949372</v>
      </c>
      <c r="R25" s="1630">
        <f t="shared" si="17"/>
        <v>10285.622251838628</v>
      </c>
      <c r="S25" s="1142">
        <v>0</v>
      </c>
      <c r="T25" s="1630">
        <f t="shared" si="28"/>
        <v>10285.622251838628</v>
      </c>
      <c r="U25" s="1141"/>
      <c r="V25" s="1141">
        <f t="shared" si="29"/>
        <v>10285.622251838628</v>
      </c>
      <c r="W25" s="1630">
        <f t="shared" si="18"/>
        <v>857</v>
      </c>
      <c r="X25" s="1642">
        <f t="shared" si="19"/>
        <v>45257.06061917443</v>
      </c>
      <c r="Y25" s="1643">
        <f t="shared" si="20"/>
        <v>3771</v>
      </c>
    </row>
    <row r="26" spans="1:25" ht="16.2" customHeight="1">
      <c r="A26" s="1161">
        <v>21</v>
      </c>
      <c r="B26" s="1143" t="s">
        <v>101</v>
      </c>
      <c r="C26" s="1144">
        <v>2.0256599999999998</v>
      </c>
      <c r="D26" s="1145">
        <f>'Table 3 Levels 1&amp;2'!AP24</f>
        <v>6692.6542295867775</v>
      </c>
      <c r="E26" s="1145">
        <f t="shared" si="21"/>
        <v>8810.1041553317464</v>
      </c>
      <c r="F26" s="1145">
        <f t="shared" si="22"/>
        <v>10280.451547193941</v>
      </c>
      <c r="G26" s="1621">
        <f t="shared" si="23"/>
        <v>20824.699481088875</v>
      </c>
      <c r="H26" s="1146">
        <v>0</v>
      </c>
      <c r="I26" s="1625">
        <f t="shared" si="15"/>
        <v>20824.699481088875</v>
      </c>
      <c r="J26" s="1147"/>
      <c r="K26" s="1147">
        <f t="shared" si="24"/>
        <v>20824.699481088875</v>
      </c>
      <c r="L26" s="1621">
        <f t="shared" si="25"/>
        <v>1735</v>
      </c>
      <c r="M26" s="1625">
        <f t="shared" si="26"/>
        <v>20824.699481088875</v>
      </c>
      <c r="N26" s="1148">
        <f>'Table 3 Levels 1&amp;2'!AS24</f>
        <v>7260887</v>
      </c>
      <c r="O26" s="1149">
        <f>'Table 3 Levels 1&amp;2'!C24</f>
        <v>2904</v>
      </c>
      <c r="P26" s="1149">
        <f t="shared" si="16"/>
        <v>2906.0256599999998</v>
      </c>
      <c r="Q26" s="1150">
        <f t="shared" si="27"/>
        <v>2498.5625901183544</v>
      </c>
      <c r="R26" s="1628">
        <f t="shared" si="17"/>
        <v>5061.2382962991451</v>
      </c>
      <c r="S26" s="1151">
        <v>0</v>
      </c>
      <c r="T26" s="1628">
        <f t="shared" si="28"/>
        <v>5061.2382962991451</v>
      </c>
      <c r="U26" s="1150"/>
      <c r="V26" s="1150">
        <f t="shared" si="29"/>
        <v>5061.2382962991451</v>
      </c>
      <c r="W26" s="1628">
        <f t="shared" si="18"/>
        <v>422</v>
      </c>
      <c r="X26" s="1638">
        <f t="shared" si="19"/>
        <v>25885.937777388019</v>
      </c>
      <c r="Y26" s="1639">
        <f t="shared" si="20"/>
        <v>2157</v>
      </c>
    </row>
    <row r="27" spans="1:25" ht="16.2" customHeight="1">
      <c r="A27" s="1162">
        <v>22</v>
      </c>
      <c r="B27" s="1152" t="s">
        <v>102</v>
      </c>
      <c r="C27" s="1153">
        <v>0.75401099999999999</v>
      </c>
      <c r="D27" s="1154">
        <f>'Table 3 Levels 1&amp;2'!AP25</f>
        <v>6912.4699808195992</v>
      </c>
      <c r="E27" s="1154">
        <f t="shared" si="21"/>
        <v>9099.4661329433147</v>
      </c>
      <c r="F27" s="1154">
        <f t="shared" si="22"/>
        <v>10569.81352480551</v>
      </c>
      <c r="G27" s="1622">
        <f t="shared" si="23"/>
        <v>7969.7556656521274</v>
      </c>
      <c r="H27" s="1155">
        <v>0</v>
      </c>
      <c r="I27" s="1622">
        <f t="shared" si="15"/>
        <v>7969.7556656521274</v>
      </c>
      <c r="J27" s="1154"/>
      <c r="K27" s="1154">
        <f t="shared" si="24"/>
        <v>7969.7556656521274</v>
      </c>
      <c r="L27" s="1622">
        <f t="shared" si="25"/>
        <v>664</v>
      </c>
      <c r="M27" s="1622">
        <f t="shared" si="26"/>
        <v>7969.7556656521274</v>
      </c>
      <c r="N27" s="1156">
        <f>'Table 3 Levels 1&amp;2'!AS25</f>
        <v>5504018</v>
      </c>
      <c r="O27" s="1157">
        <f>'Table 3 Levels 1&amp;2'!C25</f>
        <v>3143</v>
      </c>
      <c r="P27" s="1157">
        <f t="shared" si="16"/>
        <v>3143.754011</v>
      </c>
      <c r="Q27" s="1158">
        <f t="shared" si="27"/>
        <v>1750.7788398015343</v>
      </c>
      <c r="R27" s="1629">
        <f t="shared" si="17"/>
        <v>1320.1065037775948</v>
      </c>
      <c r="S27" s="1159">
        <v>0</v>
      </c>
      <c r="T27" s="1629">
        <f t="shared" si="28"/>
        <v>1320.1065037775948</v>
      </c>
      <c r="U27" s="1158"/>
      <c r="V27" s="1158">
        <f t="shared" si="29"/>
        <v>1320.1065037775948</v>
      </c>
      <c r="W27" s="1629">
        <f t="shared" si="18"/>
        <v>110</v>
      </c>
      <c r="X27" s="1640">
        <f t="shared" si="19"/>
        <v>9289.8621694297217</v>
      </c>
      <c r="Y27" s="1641">
        <f t="shared" si="20"/>
        <v>774</v>
      </c>
    </row>
    <row r="28" spans="1:25" ht="16.2" customHeight="1">
      <c r="A28" s="1162">
        <v>23</v>
      </c>
      <c r="B28" s="1152" t="s">
        <v>103</v>
      </c>
      <c r="C28" s="1153">
        <v>6.3753650000000004</v>
      </c>
      <c r="D28" s="1154">
        <f>'Table 3 Levels 1&amp;2'!AP26</f>
        <v>5699.6015265979167</v>
      </c>
      <c r="E28" s="1154">
        <f t="shared" si="21"/>
        <v>7502.8652864255064</v>
      </c>
      <c r="F28" s="1154">
        <f t="shared" si="22"/>
        <v>8973.2126782877021</v>
      </c>
      <c r="G28" s="1622">
        <f t="shared" si="23"/>
        <v>57207.506046711678</v>
      </c>
      <c r="H28" s="1155">
        <v>0</v>
      </c>
      <c r="I28" s="1622">
        <f t="shared" si="15"/>
        <v>57207.506046711678</v>
      </c>
      <c r="J28" s="1154"/>
      <c r="K28" s="1154">
        <f t="shared" si="24"/>
        <v>57207.506046711678</v>
      </c>
      <c r="L28" s="1622">
        <f t="shared" si="25"/>
        <v>4767</v>
      </c>
      <c r="M28" s="1622">
        <f t="shared" si="26"/>
        <v>57207.506046711678</v>
      </c>
      <c r="N28" s="1156">
        <f>'Table 3 Levels 1&amp;2'!AS26</f>
        <v>46012409.200000003</v>
      </c>
      <c r="O28" s="1157">
        <f>'Table 3 Levels 1&amp;2'!C26</f>
        <v>13537</v>
      </c>
      <c r="P28" s="1157">
        <f t="shared" si="16"/>
        <v>13543.375365</v>
      </c>
      <c r="Q28" s="1158">
        <f t="shared" si="27"/>
        <v>3397.4107606076827</v>
      </c>
      <c r="R28" s="1629">
        <f t="shared" si="17"/>
        <v>21659.733653801599</v>
      </c>
      <c r="S28" s="1159">
        <v>0</v>
      </c>
      <c r="T28" s="1629">
        <f t="shared" si="28"/>
        <v>21659.733653801599</v>
      </c>
      <c r="U28" s="1158"/>
      <c r="V28" s="1158">
        <f t="shared" si="29"/>
        <v>21659.733653801599</v>
      </c>
      <c r="W28" s="1629">
        <f t="shared" si="18"/>
        <v>1805</v>
      </c>
      <c r="X28" s="1640">
        <f t="shared" si="19"/>
        <v>78867.239700513281</v>
      </c>
      <c r="Y28" s="1641">
        <f t="shared" si="20"/>
        <v>6572</v>
      </c>
    </row>
    <row r="29" spans="1:25" ht="16.2" customHeight="1">
      <c r="A29" s="1162">
        <v>24</v>
      </c>
      <c r="B29" s="1152" t="s">
        <v>104</v>
      </c>
      <c r="C29" s="1153">
        <v>1.6684490000000001</v>
      </c>
      <c r="D29" s="1154">
        <f>'Table 3 Levels 1&amp;2'!AP27</f>
        <v>3465.9240361576999</v>
      </c>
      <c r="E29" s="1154">
        <f t="shared" si="21"/>
        <v>4562.4875730211525</v>
      </c>
      <c r="F29" s="1154">
        <f t="shared" si="22"/>
        <v>6032.8349648833473</v>
      </c>
      <c r="G29" s="1622">
        <f t="shared" si="23"/>
        <v>10065.477464324656</v>
      </c>
      <c r="H29" s="1155">
        <v>0</v>
      </c>
      <c r="I29" s="1622">
        <f t="shared" si="15"/>
        <v>10065.477464324656</v>
      </c>
      <c r="J29" s="1154"/>
      <c r="K29" s="1154">
        <f t="shared" si="24"/>
        <v>10065.477464324656</v>
      </c>
      <c r="L29" s="1622">
        <f t="shared" si="25"/>
        <v>839</v>
      </c>
      <c r="M29" s="1622">
        <f t="shared" si="26"/>
        <v>10065.477464324656</v>
      </c>
      <c r="N29" s="1156">
        <f>'Table 3 Levels 1&amp;2'!AS27</f>
        <v>25186085.48</v>
      </c>
      <c r="O29" s="1157">
        <f>'Table 3 Levels 1&amp;2'!C27</f>
        <v>4591</v>
      </c>
      <c r="P29" s="1157">
        <f t="shared" si="16"/>
        <v>4592.6684489999998</v>
      </c>
      <c r="Q29" s="1158">
        <f t="shared" si="27"/>
        <v>5483.9764201755033</v>
      </c>
      <c r="R29" s="1629">
        <f t="shared" si="17"/>
        <v>9149.7349742653987</v>
      </c>
      <c r="S29" s="1159">
        <v>0</v>
      </c>
      <c r="T29" s="1629">
        <f t="shared" si="28"/>
        <v>9149.7349742653987</v>
      </c>
      <c r="U29" s="1158"/>
      <c r="V29" s="1158">
        <f t="shared" si="29"/>
        <v>9149.7349742653987</v>
      </c>
      <c r="W29" s="1629">
        <f t="shared" si="18"/>
        <v>762</v>
      </c>
      <c r="X29" s="1640">
        <f t="shared" si="19"/>
        <v>19215.212438590053</v>
      </c>
      <c r="Y29" s="1641">
        <f t="shared" si="20"/>
        <v>1601</v>
      </c>
    </row>
    <row r="30" spans="1:25" ht="16.2" customHeight="1">
      <c r="A30" s="1134">
        <v>25</v>
      </c>
      <c r="B30" s="1135" t="s">
        <v>105</v>
      </c>
      <c r="C30" s="1136">
        <v>6.8547999999999998E-2</v>
      </c>
      <c r="D30" s="1137">
        <f>'Table 3 Levels 1&amp;2'!AP28</f>
        <v>4826.8020274945693</v>
      </c>
      <c r="E30" s="1137">
        <f t="shared" si="21"/>
        <v>6353.9258328035858</v>
      </c>
      <c r="F30" s="1137">
        <f t="shared" si="22"/>
        <v>7824.2732246657806</v>
      </c>
      <c r="G30" s="1623">
        <f t="shared" si="23"/>
        <v>536.33828100438996</v>
      </c>
      <c r="H30" s="1138">
        <v>0</v>
      </c>
      <c r="I30" s="1623">
        <f t="shared" si="15"/>
        <v>536.33828100438996</v>
      </c>
      <c r="J30" s="1137"/>
      <c r="K30" s="1137">
        <f t="shared" si="24"/>
        <v>536.33828100438996</v>
      </c>
      <c r="L30" s="1623">
        <f t="shared" si="25"/>
        <v>45</v>
      </c>
      <c r="M30" s="1623">
        <f t="shared" si="26"/>
        <v>536.33828100438996</v>
      </c>
      <c r="N30" s="1139">
        <f>'Table 3 Levels 1&amp;2'!AS28</f>
        <v>9995072.6199999992</v>
      </c>
      <c r="O30" s="1140">
        <f>'Table 3 Levels 1&amp;2'!C28</f>
        <v>2287</v>
      </c>
      <c r="P30" s="1140">
        <f t="shared" si="16"/>
        <v>2287.0685480000002</v>
      </c>
      <c r="Q30" s="1141">
        <f t="shared" si="27"/>
        <v>4370.2549399931668</v>
      </c>
      <c r="R30" s="1630">
        <f t="shared" si="17"/>
        <v>299.5722356266516</v>
      </c>
      <c r="S30" s="1142">
        <v>0</v>
      </c>
      <c r="T30" s="1630">
        <f t="shared" si="28"/>
        <v>299.5722356266516</v>
      </c>
      <c r="U30" s="1141"/>
      <c r="V30" s="1141">
        <f t="shared" si="29"/>
        <v>299.5722356266516</v>
      </c>
      <c r="W30" s="1630">
        <f t="shared" si="18"/>
        <v>25</v>
      </c>
      <c r="X30" s="1642">
        <f t="shared" si="19"/>
        <v>835.91051663104156</v>
      </c>
      <c r="Y30" s="1643">
        <f t="shared" si="20"/>
        <v>70</v>
      </c>
    </row>
    <row r="31" spans="1:25" ht="16.2" customHeight="1">
      <c r="A31" s="1161">
        <v>26</v>
      </c>
      <c r="B31" s="1143" t="s">
        <v>106</v>
      </c>
      <c r="C31" s="1144">
        <v>16.419357999999999</v>
      </c>
      <c r="D31" s="1145">
        <f>'Table 3 Levels 1&amp;2'!AP29</f>
        <v>4261.3949970570829</v>
      </c>
      <c r="E31" s="1145">
        <f t="shared" si="21"/>
        <v>5609.6329622276853</v>
      </c>
      <c r="F31" s="1145">
        <f t="shared" si="22"/>
        <v>7079.9803540898802</v>
      </c>
      <c r="G31" s="1621">
        <f t="shared" si="23"/>
        <v>116248.7320667685</v>
      </c>
      <c r="H31" s="1146">
        <v>0</v>
      </c>
      <c r="I31" s="1625">
        <f t="shared" si="15"/>
        <v>116248.7320667685</v>
      </c>
      <c r="J31" s="1147"/>
      <c r="K31" s="1147">
        <f t="shared" si="24"/>
        <v>116248.7320667685</v>
      </c>
      <c r="L31" s="1621">
        <f t="shared" si="25"/>
        <v>9687</v>
      </c>
      <c r="M31" s="1625">
        <f t="shared" si="26"/>
        <v>116248.7320667685</v>
      </c>
      <c r="N31" s="1148">
        <f>'Table 3 Levels 1&amp;2'!AS29</f>
        <v>217418348.86000001</v>
      </c>
      <c r="O31" s="1149">
        <f>'Table 3 Levels 1&amp;2'!C29</f>
        <v>45429</v>
      </c>
      <c r="P31" s="1149">
        <f t="shared" si="16"/>
        <v>45445.419357999999</v>
      </c>
      <c r="Q31" s="1150">
        <f t="shared" si="27"/>
        <v>4784.1642112985965</v>
      </c>
      <c r="R31" s="1628">
        <f t="shared" si="17"/>
        <v>78552.904916099302</v>
      </c>
      <c r="S31" s="1151">
        <v>0</v>
      </c>
      <c r="T31" s="1628">
        <f t="shared" si="28"/>
        <v>78552.904916099302</v>
      </c>
      <c r="U31" s="1150"/>
      <c r="V31" s="1150">
        <f t="shared" si="29"/>
        <v>78552.904916099302</v>
      </c>
      <c r="W31" s="1628">
        <f t="shared" si="18"/>
        <v>6546</v>
      </c>
      <c r="X31" s="1638">
        <f t="shared" si="19"/>
        <v>194801.63698286779</v>
      </c>
      <c r="Y31" s="1639">
        <f t="shared" si="20"/>
        <v>16233</v>
      </c>
    </row>
    <row r="32" spans="1:25" ht="16.2" customHeight="1">
      <c r="A32" s="1162">
        <v>27</v>
      </c>
      <c r="B32" s="1152" t="s">
        <v>107</v>
      </c>
      <c r="C32" s="1153">
        <v>2.572193</v>
      </c>
      <c r="D32" s="1154">
        <f>'Table 3 Levels 1&amp;2'!AP30</f>
        <v>6497.961383997701</v>
      </c>
      <c r="E32" s="1154">
        <f t="shared" si="21"/>
        <v>8553.8135732851097</v>
      </c>
      <c r="F32" s="1154">
        <f t="shared" si="22"/>
        <v>10024.160965147305</v>
      </c>
      <c r="G32" s="1622">
        <f t="shared" si="23"/>
        <v>25784.076665425142</v>
      </c>
      <c r="H32" s="1155">
        <v>0</v>
      </c>
      <c r="I32" s="1622">
        <f t="shared" si="15"/>
        <v>25784.076665425142</v>
      </c>
      <c r="J32" s="1154"/>
      <c r="K32" s="1154">
        <f t="shared" si="24"/>
        <v>25784.076665425142</v>
      </c>
      <c r="L32" s="1622">
        <f t="shared" si="25"/>
        <v>2149</v>
      </c>
      <c r="M32" s="1622">
        <f t="shared" si="26"/>
        <v>25784.076665425142</v>
      </c>
      <c r="N32" s="1156">
        <f>'Table 3 Levels 1&amp;2'!AS30</f>
        <v>17760319.140000001</v>
      </c>
      <c r="O32" s="1157">
        <f>'Table 3 Levels 1&amp;2'!C30</f>
        <v>5637</v>
      </c>
      <c r="P32" s="1157">
        <f t="shared" si="16"/>
        <v>5639.572193</v>
      </c>
      <c r="Q32" s="1158">
        <f t="shared" si="27"/>
        <v>3149.2316317972882</v>
      </c>
      <c r="R32" s="1629">
        <f t="shared" si="17"/>
        <v>8100.4315586875618</v>
      </c>
      <c r="S32" s="1159">
        <v>0</v>
      </c>
      <c r="T32" s="1629">
        <f t="shared" si="28"/>
        <v>8100.4315586875618</v>
      </c>
      <c r="U32" s="1158"/>
      <c r="V32" s="1158">
        <f t="shared" si="29"/>
        <v>8100.4315586875618</v>
      </c>
      <c r="W32" s="1629">
        <f t="shared" si="18"/>
        <v>675</v>
      </c>
      <c r="X32" s="1640">
        <f t="shared" si="19"/>
        <v>33884.508224112702</v>
      </c>
      <c r="Y32" s="1641">
        <f t="shared" si="20"/>
        <v>2824</v>
      </c>
    </row>
    <row r="33" spans="1:25" ht="16.2" customHeight="1">
      <c r="A33" s="1162">
        <v>28</v>
      </c>
      <c r="B33" s="1152" t="s">
        <v>108</v>
      </c>
      <c r="C33" s="1153">
        <v>4.9349230000000004</v>
      </c>
      <c r="D33" s="1154">
        <f>'Table 3 Levels 1&amp;2'!AP31</f>
        <v>3831.8158846568822</v>
      </c>
      <c r="E33" s="1154">
        <f t="shared" si="21"/>
        <v>5044.1418142658395</v>
      </c>
      <c r="F33" s="1154">
        <f t="shared" si="22"/>
        <v>6514.4892061280343</v>
      </c>
      <c r="G33" s="1622">
        <f t="shared" si="23"/>
        <v>32148.50261657298</v>
      </c>
      <c r="H33" s="1155">
        <v>0</v>
      </c>
      <c r="I33" s="1622">
        <f t="shared" si="15"/>
        <v>32148.50261657298</v>
      </c>
      <c r="J33" s="1154"/>
      <c r="K33" s="1154">
        <f t="shared" si="24"/>
        <v>32148.50261657298</v>
      </c>
      <c r="L33" s="1622">
        <f t="shared" si="25"/>
        <v>2679</v>
      </c>
      <c r="M33" s="1622">
        <f t="shared" si="26"/>
        <v>32148.50261657298</v>
      </c>
      <c r="N33" s="1156">
        <f>'Table 3 Levels 1&amp;2'!AS31</f>
        <v>130453036.36</v>
      </c>
      <c r="O33" s="1157">
        <f>'Table 3 Levels 1&amp;2'!C31</f>
        <v>30205</v>
      </c>
      <c r="P33" s="1157">
        <f t="shared" si="16"/>
        <v>30209.934923000001</v>
      </c>
      <c r="Q33" s="1158">
        <f t="shared" si="27"/>
        <v>4318.2163977679083</v>
      </c>
      <c r="R33" s="1629">
        <f t="shared" si="17"/>
        <v>21310.065420322</v>
      </c>
      <c r="S33" s="1159">
        <v>0</v>
      </c>
      <c r="T33" s="1629">
        <f t="shared" si="28"/>
        <v>21310.065420322</v>
      </c>
      <c r="U33" s="1158"/>
      <c r="V33" s="1158">
        <f t="shared" si="29"/>
        <v>21310.065420322</v>
      </c>
      <c r="W33" s="1629">
        <f t="shared" si="18"/>
        <v>1776</v>
      </c>
      <c r="X33" s="1640">
        <f t="shared" si="19"/>
        <v>53458.568036894983</v>
      </c>
      <c r="Y33" s="1641">
        <f t="shared" si="20"/>
        <v>4455</v>
      </c>
    </row>
    <row r="34" spans="1:25" ht="16.2" customHeight="1">
      <c r="A34" s="1162">
        <v>29</v>
      </c>
      <c r="B34" s="1152" t="s">
        <v>109</v>
      </c>
      <c r="C34" s="1153">
        <v>7.8813199999999997</v>
      </c>
      <c r="D34" s="1154">
        <f>'Table 3 Levels 1&amp;2'!AP32</f>
        <v>4593.9623210173722</v>
      </c>
      <c r="E34" s="1154">
        <f t="shared" si="21"/>
        <v>6047.4193265369931</v>
      </c>
      <c r="F34" s="1154">
        <f t="shared" si="22"/>
        <v>7517.766718399188</v>
      </c>
      <c r="G34" s="1622">
        <f t="shared" si="23"/>
        <v>59249.925193053889</v>
      </c>
      <c r="H34" s="1155">
        <v>0</v>
      </c>
      <c r="I34" s="1622">
        <f t="shared" si="15"/>
        <v>59249.925193053889</v>
      </c>
      <c r="J34" s="1154"/>
      <c r="K34" s="1154">
        <f t="shared" si="24"/>
        <v>59249.925193053889</v>
      </c>
      <c r="L34" s="1622">
        <f t="shared" si="25"/>
        <v>4937</v>
      </c>
      <c r="M34" s="1622">
        <f t="shared" si="26"/>
        <v>59249.925193053889</v>
      </c>
      <c r="N34" s="1156">
        <f>'Table 3 Levels 1&amp;2'!AS32</f>
        <v>51284974.299999997</v>
      </c>
      <c r="O34" s="1157">
        <f>'Table 3 Levels 1&amp;2'!C32</f>
        <v>13838</v>
      </c>
      <c r="P34" s="1157">
        <f t="shared" si="16"/>
        <v>13845.88132</v>
      </c>
      <c r="Q34" s="1158">
        <f t="shared" si="27"/>
        <v>3703.9877140879607</v>
      </c>
      <c r="R34" s="1629">
        <f t="shared" si="17"/>
        <v>29192.312450795725</v>
      </c>
      <c r="S34" s="1159">
        <v>0</v>
      </c>
      <c r="T34" s="1629">
        <f t="shared" si="28"/>
        <v>29192.312450795725</v>
      </c>
      <c r="U34" s="1158"/>
      <c r="V34" s="1158">
        <f t="shared" si="29"/>
        <v>29192.312450795725</v>
      </c>
      <c r="W34" s="1629">
        <f t="shared" si="18"/>
        <v>2433</v>
      </c>
      <c r="X34" s="1640">
        <f t="shared" si="19"/>
        <v>88442.237643849614</v>
      </c>
      <c r="Y34" s="1641">
        <f t="shared" si="20"/>
        <v>7370</v>
      </c>
    </row>
    <row r="35" spans="1:25" ht="16.2" customHeight="1">
      <c r="A35" s="1134">
        <v>30</v>
      </c>
      <c r="B35" s="1135" t="s">
        <v>110</v>
      </c>
      <c r="C35" s="1136">
        <v>0.540107</v>
      </c>
      <c r="D35" s="1137">
        <f>'Table 3 Levels 1&amp;2'!AP33</f>
        <v>6531.7027273996755</v>
      </c>
      <c r="E35" s="1137">
        <f t="shared" si="21"/>
        <v>8598.230143978104</v>
      </c>
      <c r="F35" s="1137">
        <f t="shared" si="22"/>
        <v>10068.577535840299</v>
      </c>
      <c r="G35" s="1623">
        <f t="shared" si="23"/>
        <v>5438.1092071500962</v>
      </c>
      <c r="H35" s="1138">
        <v>0</v>
      </c>
      <c r="I35" s="1623">
        <f t="shared" si="15"/>
        <v>5438.1092071500962</v>
      </c>
      <c r="J35" s="1137"/>
      <c r="K35" s="1137">
        <f t="shared" si="24"/>
        <v>5438.1092071500962</v>
      </c>
      <c r="L35" s="1623">
        <f t="shared" si="25"/>
        <v>453</v>
      </c>
      <c r="M35" s="1623">
        <f t="shared" si="26"/>
        <v>5438.1092071500962</v>
      </c>
      <c r="N35" s="1139">
        <f>'Table 3 Levels 1&amp;2'!AS33</f>
        <v>7779558.7000000002</v>
      </c>
      <c r="O35" s="1140">
        <f>'Table 3 Levels 1&amp;2'!C33</f>
        <v>2468</v>
      </c>
      <c r="P35" s="1140">
        <f t="shared" si="16"/>
        <v>2468.5401069999998</v>
      </c>
      <c r="Q35" s="1141">
        <f t="shared" si="27"/>
        <v>3151.4815894380772</v>
      </c>
      <c r="R35" s="1630">
        <f t="shared" si="17"/>
        <v>1702.1372668266315</v>
      </c>
      <c r="S35" s="1142">
        <v>0</v>
      </c>
      <c r="T35" s="1630">
        <f t="shared" si="28"/>
        <v>1702.1372668266315</v>
      </c>
      <c r="U35" s="1141"/>
      <c r="V35" s="1141">
        <f t="shared" si="29"/>
        <v>1702.1372668266315</v>
      </c>
      <c r="W35" s="1630">
        <f t="shared" si="18"/>
        <v>142</v>
      </c>
      <c r="X35" s="1642">
        <f t="shared" si="19"/>
        <v>7140.2464739767274</v>
      </c>
      <c r="Y35" s="1643">
        <f t="shared" si="20"/>
        <v>595</v>
      </c>
    </row>
    <row r="36" spans="1:25" ht="16.2" customHeight="1">
      <c r="A36" s="1161">
        <v>31</v>
      </c>
      <c r="B36" s="1143" t="s">
        <v>111</v>
      </c>
      <c r="C36" s="1144">
        <v>1.4171119999999999</v>
      </c>
      <c r="D36" s="1145">
        <f>'Table 3 Levels 1&amp;2'!AP34</f>
        <v>5141.4476716868539</v>
      </c>
      <c r="E36" s="1145">
        <f t="shared" si="21"/>
        <v>6768.1203813730899</v>
      </c>
      <c r="F36" s="1145">
        <f t="shared" si="22"/>
        <v>8238.4677732352848</v>
      </c>
      <c r="G36" s="1621">
        <f t="shared" si="23"/>
        <v>11674.831543065</v>
      </c>
      <c r="H36" s="1146">
        <v>0</v>
      </c>
      <c r="I36" s="1625">
        <f t="shared" si="15"/>
        <v>11674.831543065</v>
      </c>
      <c r="J36" s="1147"/>
      <c r="K36" s="1147">
        <f t="shared" si="24"/>
        <v>11674.831543065</v>
      </c>
      <c r="L36" s="1621">
        <f t="shared" si="25"/>
        <v>973</v>
      </c>
      <c r="M36" s="1625">
        <f t="shared" si="26"/>
        <v>11674.831543065</v>
      </c>
      <c r="N36" s="1148">
        <f>'Table 3 Levels 1&amp;2'!AS34</f>
        <v>24473388</v>
      </c>
      <c r="O36" s="1149">
        <f>'Table 3 Levels 1&amp;2'!C34</f>
        <v>6374</v>
      </c>
      <c r="P36" s="1149">
        <f t="shared" si="16"/>
        <v>6375.4171120000001</v>
      </c>
      <c r="Q36" s="1150">
        <f t="shared" si="27"/>
        <v>3838.7116591846925</v>
      </c>
      <c r="R36" s="1628">
        <f t="shared" si="17"/>
        <v>5439.884356770538</v>
      </c>
      <c r="S36" s="1151">
        <v>0</v>
      </c>
      <c r="T36" s="1628">
        <f t="shared" si="28"/>
        <v>5439.884356770538</v>
      </c>
      <c r="U36" s="1150"/>
      <c r="V36" s="1150">
        <f t="shared" si="29"/>
        <v>5439.884356770538</v>
      </c>
      <c r="W36" s="1628">
        <f t="shared" si="18"/>
        <v>453</v>
      </c>
      <c r="X36" s="1638">
        <f t="shared" si="19"/>
        <v>17114.715899835537</v>
      </c>
      <c r="Y36" s="1639">
        <f t="shared" si="20"/>
        <v>1426</v>
      </c>
    </row>
    <row r="37" spans="1:25" ht="16.2" customHeight="1">
      <c r="A37" s="1162">
        <v>32</v>
      </c>
      <c r="B37" s="1152" t="s">
        <v>112</v>
      </c>
      <c r="C37" s="1153">
        <v>3.9170259999999999</v>
      </c>
      <c r="D37" s="1154">
        <f>'Table 3 Levels 1&amp;2'!AP35</f>
        <v>6212.5891890611274</v>
      </c>
      <c r="E37" s="1154">
        <f t="shared" si="21"/>
        <v>8178.1541302330097</v>
      </c>
      <c r="F37" s="1154">
        <f t="shared" si="22"/>
        <v>9648.5015220952046</v>
      </c>
      <c r="G37" s="1622">
        <f t="shared" si="23"/>
        <v>37793.431323086486</v>
      </c>
      <c r="H37" s="1155">
        <v>0</v>
      </c>
      <c r="I37" s="1622">
        <f t="shared" si="15"/>
        <v>37793.431323086486</v>
      </c>
      <c r="J37" s="1154"/>
      <c r="K37" s="1154">
        <f t="shared" si="24"/>
        <v>37793.431323086486</v>
      </c>
      <c r="L37" s="1622">
        <f t="shared" si="25"/>
        <v>3149</v>
      </c>
      <c r="M37" s="1622">
        <f t="shared" si="26"/>
        <v>37793.431323086486</v>
      </c>
      <c r="N37" s="1156">
        <f>'Table 3 Levels 1&amp;2'!AS35</f>
        <v>52190877.5</v>
      </c>
      <c r="O37" s="1157">
        <f>'Table 3 Levels 1&amp;2'!C35</f>
        <v>25177</v>
      </c>
      <c r="P37" s="1157">
        <f t="shared" si="16"/>
        <v>25180.917025999999</v>
      </c>
      <c r="Q37" s="1158">
        <f t="shared" si="27"/>
        <v>2072.6360936780602</v>
      </c>
      <c r="R37" s="1629">
        <f t="shared" si="17"/>
        <v>8118.5694674753977</v>
      </c>
      <c r="S37" s="1159">
        <v>0</v>
      </c>
      <c r="T37" s="1629">
        <f t="shared" si="28"/>
        <v>8118.5694674753977</v>
      </c>
      <c r="U37" s="1158"/>
      <c r="V37" s="1158">
        <f t="shared" si="29"/>
        <v>8118.5694674753977</v>
      </c>
      <c r="W37" s="1629">
        <f t="shared" si="18"/>
        <v>677</v>
      </c>
      <c r="X37" s="1640">
        <f t="shared" si="19"/>
        <v>45912.000790561884</v>
      </c>
      <c r="Y37" s="1641">
        <f t="shared" si="20"/>
        <v>3826</v>
      </c>
    </row>
    <row r="38" spans="1:25" ht="16.2" customHeight="1">
      <c r="A38" s="1162">
        <v>33</v>
      </c>
      <c r="B38" s="1152" t="s">
        <v>113</v>
      </c>
      <c r="C38" s="1153">
        <v>0.101604</v>
      </c>
      <c r="D38" s="1154">
        <f>'Table 3 Levels 1&amp;2'!AP36</f>
        <v>6111.5354558085228</v>
      </c>
      <c r="E38" s="1154">
        <f t="shared" si="21"/>
        <v>8045.1285943694111</v>
      </c>
      <c r="F38" s="1154">
        <f t="shared" si="22"/>
        <v>9515.4759862316059</v>
      </c>
      <c r="G38" s="1622">
        <f t="shared" si="23"/>
        <v>966.8104221050761</v>
      </c>
      <c r="H38" s="1155">
        <v>0</v>
      </c>
      <c r="I38" s="1622">
        <f t="shared" ref="I38:I69" si="30">SUM(G38:H38)</f>
        <v>966.8104221050761</v>
      </c>
      <c r="J38" s="1154"/>
      <c r="K38" s="1154">
        <f t="shared" si="24"/>
        <v>966.8104221050761</v>
      </c>
      <c r="L38" s="1622">
        <f t="shared" si="25"/>
        <v>81</v>
      </c>
      <c r="M38" s="1622">
        <f t="shared" si="26"/>
        <v>966.8104221050761</v>
      </c>
      <c r="N38" s="1156">
        <f>'Table 3 Levels 1&amp;2'!AS36</f>
        <v>5978340</v>
      </c>
      <c r="O38" s="1157">
        <f>'Table 3 Levels 1&amp;2'!C36</f>
        <v>1713</v>
      </c>
      <c r="P38" s="1157">
        <f t="shared" ref="P38:P69" si="31">C38+O38</f>
        <v>1713.101604</v>
      </c>
      <c r="Q38" s="1158">
        <f t="shared" si="27"/>
        <v>3489.7754961182095</v>
      </c>
      <c r="R38" s="1629">
        <f t="shared" ref="R38:R69" si="32">C38*Q38</f>
        <v>354.57514950759457</v>
      </c>
      <c r="S38" s="1159">
        <v>0</v>
      </c>
      <c r="T38" s="1629">
        <f t="shared" si="28"/>
        <v>354.57514950759457</v>
      </c>
      <c r="U38" s="1158"/>
      <c r="V38" s="1158">
        <f t="shared" si="29"/>
        <v>354.57514950759457</v>
      </c>
      <c r="W38" s="1629">
        <f t="shared" si="18"/>
        <v>30</v>
      </c>
      <c r="X38" s="1640">
        <f t="shared" si="19"/>
        <v>1321.3855716126707</v>
      </c>
      <c r="Y38" s="1641">
        <f t="shared" ref="Y38:Y74" si="33">L38+W38</f>
        <v>111</v>
      </c>
    </row>
    <row r="39" spans="1:25" ht="16.2" customHeight="1">
      <c r="A39" s="1162">
        <v>34</v>
      </c>
      <c r="B39" s="1152" t="s">
        <v>114</v>
      </c>
      <c r="C39" s="1153">
        <v>0.90374399999999999</v>
      </c>
      <c r="D39" s="1154">
        <f>'Table 3 Levels 1&amp;2'!AP37</f>
        <v>6936.2076842789011</v>
      </c>
      <c r="E39" s="1154">
        <f t="shared" si="21"/>
        <v>9130.7140702654451</v>
      </c>
      <c r="F39" s="1154">
        <f t="shared" si="22"/>
        <v>10601.06146212764</v>
      </c>
      <c r="G39" s="1622">
        <f t="shared" si="23"/>
        <v>9580.6456900290814</v>
      </c>
      <c r="H39" s="1155">
        <v>0</v>
      </c>
      <c r="I39" s="1622">
        <f t="shared" si="30"/>
        <v>9580.6456900290814</v>
      </c>
      <c r="J39" s="1154"/>
      <c r="K39" s="1154">
        <f t="shared" si="24"/>
        <v>9580.6456900290814</v>
      </c>
      <c r="L39" s="1622">
        <f t="shared" si="25"/>
        <v>798</v>
      </c>
      <c r="M39" s="1622">
        <f t="shared" si="26"/>
        <v>9580.6456900290814</v>
      </c>
      <c r="N39" s="1156">
        <f>'Table 3 Levels 1&amp;2'!AS37</f>
        <v>12696175</v>
      </c>
      <c r="O39" s="1157">
        <f>'Table 3 Levels 1&amp;2'!C37</f>
        <v>4403</v>
      </c>
      <c r="P39" s="1157">
        <f t="shared" si="31"/>
        <v>4403.9037440000002</v>
      </c>
      <c r="Q39" s="1158">
        <f t="shared" si="27"/>
        <v>2882.9365349543841</v>
      </c>
      <c r="R39" s="1629">
        <f t="shared" si="32"/>
        <v>2605.4365958458147</v>
      </c>
      <c r="S39" s="1159">
        <v>0</v>
      </c>
      <c r="T39" s="1629">
        <f t="shared" si="28"/>
        <v>2605.4365958458147</v>
      </c>
      <c r="U39" s="1158"/>
      <c r="V39" s="1158">
        <f t="shared" si="29"/>
        <v>2605.4365958458147</v>
      </c>
      <c r="W39" s="1629">
        <f t="shared" si="18"/>
        <v>217</v>
      </c>
      <c r="X39" s="1640">
        <f t="shared" si="19"/>
        <v>12186.082285874896</v>
      </c>
      <c r="Y39" s="1641">
        <f t="shared" si="33"/>
        <v>1015</v>
      </c>
    </row>
    <row r="40" spans="1:25" ht="16.2" customHeight="1">
      <c r="A40" s="1134">
        <v>35</v>
      </c>
      <c r="B40" s="1135" t="s">
        <v>115</v>
      </c>
      <c r="C40" s="1136">
        <v>3.030662</v>
      </c>
      <c r="D40" s="1137">
        <f>'Table 3 Levels 1&amp;2'!AP38</f>
        <v>5704.2082060477605</v>
      </c>
      <c r="E40" s="1137">
        <f t="shared" si="21"/>
        <v>7508.9294463792548</v>
      </c>
      <c r="F40" s="1137">
        <f t="shared" si="22"/>
        <v>8979.2768382414506</v>
      </c>
      <c r="G40" s="1623">
        <f t="shared" si="23"/>
        <v>27213.153101138512</v>
      </c>
      <c r="H40" s="1138">
        <v>0</v>
      </c>
      <c r="I40" s="1623">
        <f t="shared" si="30"/>
        <v>27213.153101138512</v>
      </c>
      <c r="J40" s="1137"/>
      <c r="K40" s="1137">
        <f t="shared" si="24"/>
        <v>27213.153101138512</v>
      </c>
      <c r="L40" s="1623">
        <f t="shared" si="25"/>
        <v>2268</v>
      </c>
      <c r="M40" s="1623">
        <f t="shared" si="26"/>
        <v>27213.153101138512</v>
      </c>
      <c r="N40" s="1139">
        <f>'Table 3 Levels 1&amp;2'!AS38</f>
        <v>21122279</v>
      </c>
      <c r="O40" s="1140">
        <f>'Table 3 Levels 1&amp;2'!C38</f>
        <v>6407</v>
      </c>
      <c r="P40" s="1140">
        <f t="shared" si="31"/>
        <v>6410.0306620000001</v>
      </c>
      <c r="Q40" s="1141">
        <f t="shared" si="27"/>
        <v>3295.1915698652238</v>
      </c>
      <c r="R40" s="1630">
        <f t="shared" si="32"/>
        <v>9986.6118735108794</v>
      </c>
      <c r="S40" s="1142">
        <v>0</v>
      </c>
      <c r="T40" s="1630">
        <f t="shared" si="28"/>
        <v>9986.6118735108794</v>
      </c>
      <c r="U40" s="1141"/>
      <c r="V40" s="1141">
        <f t="shared" si="29"/>
        <v>9986.6118735108794</v>
      </c>
      <c r="W40" s="1630">
        <f t="shared" si="18"/>
        <v>832</v>
      </c>
      <c r="X40" s="1642">
        <f t="shared" si="19"/>
        <v>37199.764974649392</v>
      </c>
      <c r="Y40" s="1643">
        <f t="shared" si="33"/>
        <v>3100</v>
      </c>
    </row>
    <row r="41" spans="1:25" ht="16.2" customHeight="1">
      <c r="A41" s="1161">
        <v>36</v>
      </c>
      <c r="B41" s="1143" t="s">
        <v>116</v>
      </c>
      <c r="C41" s="1144">
        <v>33.183045</v>
      </c>
      <c r="D41" s="1145">
        <f>'Table 3 Levels 1&amp;2'!AP39</f>
        <v>4335.3686873887582</v>
      </c>
      <c r="E41" s="1145">
        <f t="shared" si="21"/>
        <v>5707.010757975032</v>
      </c>
      <c r="F41" s="1145">
        <f t="shared" si="22"/>
        <v>7177.3581498372268</v>
      </c>
      <c r="G41" s="1621">
        <f t="shared" si="23"/>
        <v>238166.59846716543</v>
      </c>
      <c r="H41" s="1146">
        <v>0</v>
      </c>
      <c r="I41" s="1625">
        <f t="shared" si="30"/>
        <v>238166.59846716543</v>
      </c>
      <c r="J41" s="1147"/>
      <c r="K41" s="1147">
        <f t="shared" si="24"/>
        <v>238166.59846716543</v>
      </c>
      <c r="L41" s="1621">
        <f t="shared" si="25"/>
        <v>19847</v>
      </c>
      <c r="M41" s="1625">
        <f t="shared" si="26"/>
        <v>238166.59846716543</v>
      </c>
      <c r="N41" s="1148">
        <f>'Table 3 Levels 1&amp;2'!AS39</f>
        <v>190506508.97999999</v>
      </c>
      <c r="O41" s="1149">
        <f>'Table 3 Levels 1&amp;2'!C39</f>
        <v>42117</v>
      </c>
      <c r="P41" s="1149">
        <f t="shared" si="31"/>
        <v>42150.183044999998</v>
      </c>
      <c r="Q41" s="1150">
        <f t="shared" si="27"/>
        <v>4519.7077501801868</v>
      </c>
      <c r="R41" s="1628">
        <f t="shared" si="32"/>
        <v>149977.66566107789</v>
      </c>
      <c r="S41" s="1151">
        <v>0</v>
      </c>
      <c r="T41" s="1628">
        <f t="shared" si="28"/>
        <v>149977.66566107789</v>
      </c>
      <c r="U41" s="1150"/>
      <c r="V41" s="1150">
        <f t="shared" si="29"/>
        <v>149977.66566107789</v>
      </c>
      <c r="W41" s="1628">
        <f t="shared" si="18"/>
        <v>12498</v>
      </c>
      <c r="X41" s="1638">
        <f t="shared" si="19"/>
        <v>388144.26412824332</v>
      </c>
      <c r="Y41" s="1639">
        <f t="shared" si="33"/>
        <v>32345</v>
      </c>
    </row>
    <row r="42" spans="1:25" ht="16.2" customHeight="1">
      <c r="A42" s="1162">
        <v>37</v>
      </c>
      <c r="B42" s="1152" t="s">
        <v>117</v>
      </c>
      <c r="C42" s="1153">
        <v>6.4545459999999997</v>
      </c>
      <c r="D42" s="1154">
        <f>'Table 3 Levels 1&amp;2'!AP40</f>
        <v>6318.9939260317688</v>
      </c>
      <c r="E42" s="1154">
        <f t="shared" si="21"/>
        <v>8318.223642742385</v>
      </c>
      <c r="F42" s="1154">
        <f t="shared" si="22"/>
        <v>9788.5710346045798</v>
      </c>
      <c r="G42" s="1622">
        <f t="shared" si="23"/>
        <v>63180.782017122852</v>
      </c>
      <c r="H42" s="1155">
        <v>0</v>
      </c>
      <c r="I42" s="1622">
        <f t="shared" si="30"/>
        <v>63180.782017122852</v>
      </c>
      <c r="J42" s="1154"/>
      <c r="K42" s="1154">
        <f t="shared" si="24"/>
        <v>63180.782017122852</v>
      </c>
      <c r="L42" s="1622">
        <f t="shared" si="25"/>
        <v>5265</v>
      </c>
      <c r="M42" s="1622">
        <f t="shared" si="26"/>
        <v>63180.782017122852</v>
      </c>
      <c r="N42" s="1156">
        <f>'Table 3 Levels 1&amp;2'!AS40</f>
        <v>57591999.899999999</v>
      </c>
      <c r="O42" s="1157">
        <f>'Table 3 Levels 1&amp;2'!C40</f>
        <v>19478</v>
      </c>
      <c r="P42" s="1157">
        <f t="shared" si="31"/>
        <v>19484.454546000001</v>
      </c>
      <c r="Q42" s="1158">
        <f t="shared" si="27"/>
        <v>2955.792258081105</v>
      </c>
      <c r="R42" s="1629">
        <f t="shared" si="32"/>
        <v>19078.297096228362</v>
      </c>
      <c r="S42" s="1159">
        <v>0</v>
      </c>
      <c r="T42" s="1629">
        <f t="shared" si="28"/>
        <v>19078.297096228362</v>
      </c>
      <c r="U42" s="1158"/>
      <c r="V42" s="1158">
        <f t="shared" si="29"/>
        <v>19078.297096228362</v>
      </c>
      <c r="W42" s="1629">
        <f t="shared" si="18"/>
        <v>1590</v>
      </c>
      <c r="X42" s="1640">
        <f t="shared" si="19"/>
        <v>82259.07911335121</v>
      </c>
      <c r="Y42" s="1641">
        <f t="shared" si="33"/>
        <v>6855</v>
      </c>
    </row>
    <row r="43" spans="1:25" ht="16.2" customHeight="1">
      <c r="A43" s="1162">
        <v>38</v>
      </c>
      <c r="B43" s="1152" t="s">
        <v>118</v>
      </c>
      <c r="C43" s="1153">
        <v>0.86693500000000001</v>
      </c>
      <c r="D43" s="1154">
        <f>'Table 3 Levels 1&amp;2'!AP41</f>
        <v>2918.7217552916882</v>
      </c>
      <c r="E43" s="1154">
        <f t="shared" si="21"/>
        <v>3842.1591467964031</v>
      </c>
      <c r="F43" s="1154">
        <f t="shared" si="22"/>
        <v>5312.5065386585975</v>
      </c>
      <c r="G43" s="1622">
        <f t="shared" si="23"/>
        <v>4605.5978560919912</v>
      </c>
      <c r="H43" s="1155">
        <v>0</v>
      </c>
      <c r="I43" s="1622">
        <f t="shared" si="30"/>
        <v>4605.5978560919912</v>
      </c>
      <c r="J43" s="1154"/>
      <c r="K43" s="1154">
        <f t="shared" si="24"/>
        <v>4605.5978560919912</v>
      </c>
      <c r="L43" s="1622">
        <f t="shared" si="25"/>
        <v>384</v>
      </c>
      <c r="M43" s="1622">
        <f t="shared" si="26"/>
        <v>4605.5978560919912</v>
      </c>
      <c r="N43" s="1156">
        <f>'Table 3 Levels 1&amp;2'!AS41</f>
        <v>24506073.239999998</v>
      </c>
      <c r="O43" s="1157">
        <f>'Table 3 Levels 1&amp;2'!C41</f>
        <v>3874</v>
      </c>
      <c r="P43" s="1157">
        <f t="shared" si="31"/>
        <v>3874.866935</v>
      </c>
      <c r="Q43" s="1158">
        <f t="shared" si="27"/>
        <v>6324.3651075207817</v>
      </c>
      <c r="R43" s="1629">
        <f t="shared" si="32"/>
        <v>5482.8134644885286</v>
      </c>
      <c r="S43" s="1159">
        <v>0</v>
      </c>
      <c r="T43" s="1629">
        <f t="shared" si="28"/>
        <v>5482.8134644885286</v>
      </c>
      <c r="U43" s="1158"/>
      <c r="V43" s="1158">
        <f t="shared" si="29"/>
        <v>5482.8134644885286</v>
      </c>
      <c r="W43" s="1629">
        <f t="shared" si="18"/>
        <v>457</v>
      </c>
      <c r="X43" s="1640">
        <f t="shared" si="19"/>
        <v>10088.411320580519</v>
      </c>
      <c r="Y43" s="1641">
        <f t="shared" si="33"/>
        <v>841</v>
      </c>
    </row>
    <row r="44" spans="1:25" ht="16.2" customHeight="1">
      <c r="A44" s="1162">
        <v>39</v>
      </c>
      <c r="B44" s="1152" t="s">
        <v>119</v>
      </c>
      <c r="C44" s="1153">
        <v>0.68026500000000001</v>
      </c>
      <c r="D44" s="1154">
        <f>'Table 3 Levels 1&amp;2'!AP42</f>
        <v>4436.5614113573311</v>
      </c>
      <c r="E44" s="1154">
        <f t="shared" si="21"/>
        <v>5840.2192590184077</v>
      </c>
      <c r="F44" s="1154">
        <f t="shared" si="22"/>
        <v>7310.5666508806025</v>
      </c>
      <c r="G44" s="1622">
        <f t="shared" si="23"/>
        <v>4973.1226227612933</v>
      </c>
      <c r="H44" s="1155">
        <v>0</v>
      </c>
      <c r="I44" s="1622">
        <f t="shared" si="30"/>
        <v>4973.1226227612933</v>
      </c>
      <c r="J44" s="1154"/>
      <c r="K44" s="1154">
        <f t="shared" si="24"/>
        <v>4973.1226227612933</v>
      </c>
      <c r="L44" s="1622">
        <f t="shared" si="25"/>
        <v>414</v>
      </c>
      <c r="M44" s="1622">
        <f t="shared" si="26"/>
        <v>4973.1226227612933</v>
      </c>
      <c r="N44" s="1156">
        <f>'Table 3 Levels 1&amp;2'!AS42</f>
        <v>12816968.5</v>
      </c>
      <c r="O44" s="1157">
        <f>'Table 3 Levels 1&amp;2'!C42</f>
        <v>2797</v>
      </c>
      <c r="P44" s="1157">
        <f t="shared" si="31"/>
        <v>2797.680265</v>
      </c>
      <c r="Q44" s="1158">
        <f t="shared" si="27"/>
        <v>4581.2842376396429</v>
      </c>
      <c r="R44" s="1629">
        <f t="shared" si="32"/>
        <v>3116.4873219179317</v>
      </c>
      <c r="S44" s="1159">
        <v>0</v>
      </c>
      <c r="T44" s="1629">
        <f t="shared" si="28"/>
        <v>3116.4873219179317</v>
      </c>
      <c r="U44" s="1158"/>
      <c r="V44" s="1158">
        <f t="shared" si="29"/>
        <v>3116.4873219179317</v>
      </c>
      <c r="W44" s="1629">
        <f t="shared" si="18"/>
        <v>260</v>
      </c>
      <c r="X44" s="1640">
        <f t="shared" si="19"/>
        <v>8089.609944679225</v>
      </c>
      <c r="Y44" s="1641">
        <f t="shared" si="33"/>
        <v>674</v>
      </c>
    </row>
    <row r="45" spans="1:25" ht="16.2" customHeight="1">
      <c r="A45" s="1134">
        <v>40</v>
      </c>
      <c r="B45" s="1135" t="s">
        <v>120</v>
      </c>
      <c r="C45" s="1136">
        <v>12.879527</v>
      </c>
      <c r="D45" s="1137">
        <f>'Table 3 Levels 1&amp;2'!AP43</f>
        <v>5822.0810285698408</v>
      </c>
      <c r="E45" s="1137">
        <f t="shared" si="21"/>
        <v>7664.0953652925018</v>
      </c>
      <c r="F45" s="1137">
        <f t="shared" si="22"/>
        <v>9134.4427571546967</v>
      </c>
      <c r="G45" s="1623">
        <f t="shared" si="23"/>
        <v>117647.30212072836</v>
      </c>
      <c r="H45" s="1138">
        <v>0</v>
      </c>
      <c r="I45" s="1623">
        <f t="shared" si="30"/>
        <v>117647.30212072836</v>
      </c>
      <c r="J45" s="1137"/>
      <c r="K45" s="1137">
        <f t="shared" si="24"/>
        <v>117647.30212072836</v>
      </c>
      <c r="L45" s="1623">
        <f t="shared" si="25"/>
        <v>9804</v>
      </c>
      <c r="M45" s="1623">
        <f t="shared" si="26"/>
        <v>117647.30212072836</v>
      </c>
      <c r="N45" s="1139">
        <f>'Table 3 Levels 1&amp;2'!AS43</f>
        <v>71285794</v>
      </c>
      <c r="O45" s="1140">
        <f>'Table 3 Levels 1&amp;2'!C43</f>
        <v>23024</v>
      </c>
      <c r="P45" s="1140">
        <f t="shared" si="31"/>
        <v>23036.879527000001</v>
      </c>
      <c r="Q45" s="1141">
        <f t="shared" si="27"/>
        <v>3094.4205753409719</v>
      </c>
      <c r="R45" s="1630">
        <f t="shared" si="32"/>
        <v>39854.673349459583</v>
      </c>
      <c r="S45" s="1142">
        <v>0</v>
      </c>
      <c r="T45" s="1630">
        <f t="shared" si="28"/>
        <v>39854.673349459583</v>
      </c>
      <c r="U45" s="1141"/>
      <c r="V45" s="1141">
        <f t="shared" si="29"/>
        <v>39854.673349459583</v>
      </c>
      <c r="W45" s="1630">
        <f t="shared" si="18"/>
        <v>3321</v>
      </c>
      <c r="X45" s="1642">
        <f t="shared" si="19"/>
        <v>157501.97547018796</v>
      </c>
      <c r="Y45" s="1643">
        <f t="shared" si="33"/>
        <v>13125</v>
      </c>
    </row>
    <row r="46" spans="1:25" ht="16.2" customHeight="1">
      <c r="A46" s="1161">
        <v>41</v>
      </c>
      <c r="B46" s="1143" t="s">
        <v>121</v>
      </c>
      <c r="C46" s="1144">
        <v>1</v>
      </c>
      <c r="D46" s="1145">
        <f>'Table 3 Levels 1&amp;2'!AP44</f>
        <v>4177.4148574716473</v>
      </c>
      <c r="E46" s="1145">
        <f t="shared" si="21"/>
        <v>5499.0828349768008</v>
      </c>
      <c r="F46" s="1145">
        <f t="shared" si="22"/>
        <v>6969.4302268389956</v>
      </c>
      <c r="G46" s="1621">
        <f t="shared" si="23"/>
        <v>6969.4302268389956</v>
      </c>
      <c r="H46" s="1146">
        <v>0</v>
      </c>
      <c r="I46" s="1625">
        <f t="shared" si="30"/>
        <v>6969.4302268389956</v>
      </c>
      <c r="J46" s="1147"/>
      <c r="K46" s="1147">
        <f t="shared" si="24"/>
        <v>6969.4302268389956</v>
      </c>
      <c r="L46" s="1621">
        <f t="shared" si="25"/>
        <v>581</v>
      </c>
      <c r="M46" s="1625">
        <f t="shared" si="26"/>
        <v>6969.4302268389956</v>
      </c>
      <c r="N46" s="1148">
        <f>'Table 3 Levels 1&amp;2'!AS44</f>
        <v>7432016.5599999996</v>
      </c>
      <c r="O46" s="1149">
        <f>'Table 3 Levels 1&amp;2'!C44</f>
        <v>1451</v>
      </c>
      <c r="P46" s="1149">
        <f t="shared" si="31"/>
        <v>1452</v>
      </c>
      <c r="Q46" s="1150">
        <f t="shared" si="27"/>
        <v>5118.4687052341596</v>
      </c>
      <c r="R46" s="1628">
        <f t="shared" si="32"/>
        <v>5118.4687052341596</v>
      </c>
      <c r="S46" s="1151">
        <v>0</v>
      </c>
      <c r="T46" s="1628">
        <f t="shared" si="28"/>
        <v>5118.4687052341596</v>
      </c>
      <c r="U46" s="1150"/>
      <c r="V46" s="1150">
        <f t="shared" si="29"/>
        <v>5118.4687052341596</v>
      </c>
      <c r="W46" s="1628">
        <f t="shared" si="18"/>
        <v>427</v>
      </c>
      <c r="X46" s="1638">
        <f t="shared" si="19"/>
        <v>12087.898932073156</v>
      </c>
      <c r="Y46" s="1639">
        <f t="shared" si="33"/>
        <v>1008</v>
      </c>
    </row>
    <row r="47" spans="1:25" ht="16.2" customHeight="1">
      <c r="A47" s="1162">
        <v>42</v>
      </c>
      <c r="B47" s="1152" t="s">
        <v>122</v>
      </c>
      <c r="C47" s="1153">
        <v>3.0481280000000002</v>
      </c>
      <c r="D47" s="1154">
        <f>'Table 3 Levels 1&amp;2'!AP45</f>
        <v>5647.8877751368673</v>
      </c>
      <c r="E47" s="1154">
        <f t="shared" si="21"/>
        <v>7434.7901220728254</v>
      </c>
      <c r="F47" s="1154">
        <f t="shared" si="22"/>
        <v>8905.1375139350203</v>
      </c>
      <c r="G47" s="1622">
        <f t="shared" si="23"/>
        <v>27143.999000075728</v>
      </c>
      <c r="H47" s="1155">
        <v>0</v>
      </c>
      <c r="I47" s="1622">
        <f t="shared" si="30"/>
        <v>27143.999000075728</v>
      </c>
      <c r="J47" s="1154"/>
      <c r="K47" s="1154">
        <f t="shared" si="24"/>
        <v>27143.999000075728</v>
      </c>
      <c r="L47" s="1622">
        <f t="shared" si="25"/>
        <v>2262</v>
      </c>
      <c r="M47" s="1622">
        <f t="shared" si="26"/>
        <v>27143.999000075728</v>
      </c>
      <c r="N47" s="1156">
        <f>'Table 3 Levels 1&amp;2'!AS45</f>
        <v>11910886</v>
      </c>
      <c r="O47" s="1157">
        <f>'Table 3 Levels 1&amp;2'!C45</f>
        <v>3244</v>
      </c>
      <c r="P47" s="1157">
        <f t="shared" si="31"/>
        <v>3247.0481279999999</v>
      </c>
      <c r="Q47" s="1158">
        <f t="shared" si="27"/>
        <v>3668.219727724344</v>
      </c>
      <c r="R47" s="1629">
        <f t="shared" si="32"/>
        <v>11181.20326222895</v>
      </c>
      <c r="S47" s="1159">
        <v>0</v>
      </c>
      <c r="T47" s="1629">
        <f t="shared" si="28"/>
        <v>11181.20326222895</v>
      </c>
      <c r="U47" s="1158"/>
      <c r="V47" s="1158">
        <f t="shared" si="29"/>
        <v>11181.20326222895</v>
      </c>
      <c r="W47" s="1629">
        <f t="shared" si="18"/>
        <v>932</v>
      </c>
      <c r="X47" s="1640">
        <f t="shared" si="19"/>
        <v>38325.20226230468</v>
      </c>
      <c r="Y47" s="1641">
        <f t="shared" si="33"/>
        <v>3194</v>
      </c>
    </row>
    <row r="48" spans="1:25" ht="16.2" customHeight="1">
      <c r="A48" s="1162">
        <v>43</v>
      </c>
      <c r="B48" s="1152" t="s">
        <v>123</v>
      </c>
      <c r="C48" s="1153">
        <v>1.8990849999999999</v>
      </c>
      <c r="D48" s="1154">
        <f>'Table 3 Levels 1&amp;2'!AP46</f>
        <v>6363.3538720594697</v>
      </c>
      <c r="E48" s="1154">
        <f t="shared" si="21"/>
        <v>8376.6183739539902</v>
      </c>
      <c r="F48" s="1154">
        <f t="shared" si="22"/>
        <v>9846.965765816185</v>
      </c>
      <c r="G48" s="1622">
        <f t="shared" si="23"/>
        <v>18700.224981375028</v>
      </c>
      <c r="H48" s="1155">
        <v>0</v>
      </c>
      <c r="I48" s="1622">
        <f t="shared" si="30"/>
        <v>18700.224981375028</v>
      </c>
      <c r="J48" s="1154"/>
      <c r="K48" s="1154">
        <f t="shared" si="24"/>
        <v>18700.224981375028</v>
      </c>
      <c r="L48" s="1622">
        <f t="shared" si="25"/>
        <v>1558</v>
      </c>
      <c r="M48" s="1622">
        <f t="shared" si="26"/>
        <v>18700.224981375028</v>
      </c>
      <c r="N48" s="1156">
        <f>'Table 3 Levels 1&amp;2'!AS46</f>
        <v>13825912.939999999</v>
      </c>
      <c r="O48" s="1157">
        <f>'Table 3 Levels 1&amp;2'!C46</f>
        <v>4111</v>
      </c>
      <c r="P48" s="1157">
        <f t="shared" si="31"/>
        <v>4112.899085</v>
      </c>
      <c r="Q48" s="1158">
        <f t="shared" si="27"/>
        <v>3361.5979031491356</v>
      </c>
      <c r="R48" s="1629">
        <f t="shared" si="32"/>
        <v>6383.9601539019759</v>
      </c>
      <c r="S48" s="1159">
        <v>0</v>
      </c>
      <c r="T48" s="1629">
        <f t="shared" si="28"/>
        <v>6383.9601539019759</v>
      </c>
      <c r="U48" s="1158"/>
      <c r="V48" s="1158">
        <f t="shared" si="29"/>
        <v>6383.9601539019759</v>
      </c>
      <c r="W48" s="1629">
        <f t="shared" si="18"/>
        <v>532</v>
      </c>
      <c r="X48" s="1640">
        <f t="shared" si="19"/>
        <v>25084.185135277003</v>
      </c>
      <c r="Y48" s="1641">
        <f t="shared" si="33"/>
        <v>2090</v>
      </c>
    </row>
    <row r="49" spans="1:25" ht="16.2" customHeight="1">
      <c r="A49" s="1162">
        <v>44</v>
      </c>
      <c r="B49" s="1152" t="s">
        <v>124</v>
      </c>
      <c r="C49" s="1153">
        <v>0.47142899999999999</v>
      </c>
      <c r="D49" s="1154">
        <f>'Table 3 Levels 1&amp;2'!AP47</f>
        <v>5560.7558151820349</v>
      </c>
      <c r="E49" s="1154">
        <f t="shared" si="21"/>
        <v>7320.0909883469722</v>
      </c>
      <c r="F49" s="1154">
        <f t="shared" si="22"/>
        <v>8790.438380209167</v>
      </c>
      <c r="G49" s="1622">
        <f t="shared" si="23"/>
        <v>4144.0675751436274</v>
      </c>
      <c r="H49" s="1155">
        <v>0</v>
      </c>
      <c r="I49" s="1622">
        <f t="shared" si="30"/>
        <v>4144.0675751436274</v>
      </c>
      <c r="J49" s="1154"/>
      <c r="K49" s="1154">
        <f t="shared" si="24"/>
        <v>4144.0675751436274</v>
      </c>
      <c r="L49" s="1622">
        <f t="shared" si="25"/>
        <v>345</v>
      </c>
      <c r="M49" s="1622">
        <f t="shared" si="26"/>
        <v>4144.0675751436274</v>
      </c>
      <c r="N49" s="1156">
        <f>'Table 3 Levels 1&amp;2'!AS47</f>
        <v>23802113.5</v>
      </c>
      <c r="O49" s="1157">
        <f>'Table 3 Levels 1&amp;2'!C47</f>
        <v>6680</v>
      </c>
      <c r="P49" s="1157">
        <f t="shared" si="31"/>
        <v>6680.4714290000002</v>
      </c>
      <c r="Q49" s="1158">
        <f t="shared" si="27"/>
        <v>3562.9391956793293</v>
      </c>
      <c r="R49" s="1629">
        <f t="shared" si="32"/>
        <v>1679.6728620799104</v>
      </c>
      <c r="S49" s="1159">
        <v>0</v>
      </c>
      <c r="T49" s="1629">
        <f t="shared" si="28"/>
        <v>1679.6728620799104</v>
      </c>
      <c r="U49" s="1158"/>
      <c r="V49" s="1158">
        <f t="shared" si="29"/>
        <v>1679.6728620799104</v>
      </c>
      <c r="W49" s="1629">
        <f t="shared" si="18"/>
        <v>140</v>
      </c>
      <c r="X49" s="1640">
        <f t="shared" si="19"/>
        <v>5823.7404372235378</v>
      </c>
      <c r="Y49" s="1641">
        <f t="shared" si="33"/>
        <v>485</v>
      </c>
    </row>
    <row r="50" spans="1:25" ht="16.2" customHeight="1">
      <c r="A50" s="1134">
        <v>45</v>
      </c>
      <c r="B50" s="1135" t="s">
        <v>125</v>
      </c>
      <c r="C50" s="1136">
        <v>1.2148950000000001</v>
      </c>
      <c r="D50" s="1137">
        <f>'Table 3 Levels 1&amp;2'!AP48</f>
        <v>2808.0072499469102</v>
      </c>
      <c r="E50" s="1137">
        <f t="shared" si="21"/>
        <v>3696.4163233764411</v>
      </c>
      <c r="F50" s="1137">
        <f t="shared" si="22"/>
        <v>5166.763715238636</v>
      </c>
      <c r="G50" s="1623">
        <f t="shared" si="23"/>
        <v>6277.0754038248433</v>
      </c>
      <c r="H50" s="1138">
        <v>0</v>
      </c>
      <c r="I50" s="1623">
        <f t="shared" si="30"/>
        <v>6277.0754038248433</v>
      </c>
      <c r="J50" s="1137"/>
      <c r="K50" s="1137">
        <f t="shared" si="24"/>
        <v>6277.0754038248433</v>
      </c>
      <c r="L50" s="1623">
        <f t="shared" si="25"/>
        <v>523</v>
      </c>
      <c r="M50" s="1623">
        <f t="shared" si="26"/>
        <v>6277.0754038248433</v>
      </c>
      <c r="N50" s="1139">
        <f>'Table 3 Levels 1&amp;2'!AS48</f>
        <v>51637295</v>
      </c>
      <c r="O50" s="1140">
        <f>'Table 3 Levels 1&amp;2'!C48</f>
        <v>9418</v>
      </c>
      <c r="P50" s="1140">
        <f t="shared" si="31"/>
        <v>9419.2148949999992</v>
      </c>
      <c r="Q50" s="1141">
        <f t="shared" si="27"/>
        <v>5482.1230405742863</v>
      </c>
      <c r="R50" s="1630">
        <f t="shared" si="32"/>
        <v>6660.2038713784978</v>
      </c>
      <c r="S50" s="1142">
        <v>0</v>
      </c>
      <c r="T50" s="1630">
        <f t="shared" si="28"/>
        <v>6660.2038713784978</v>
      </c>
      <c r="U50" s="1141"/>
      <c r="V50" s="1141">
        <f t="shared" si="29"/>
        <v>6660.2038713784978</v>
      </c>
      <c r="W50" s="1630">
        <f t="shared" si="18"/>
        <v>555</v>
      </c>
      <c r="X50" s="1642">
        <f t="shared" si="19"/>
        <v>12937.279275203342</v>
      </c>
      <c r="Y50" s="1643">
        <f t="shared" si="33"/>
        <v>1078</v>
      </c>
    </row>
    <row r="51" spans="1:25" ht="16.2" customHeight="1">
      <c r="A51" s="1161">
        <v>46</v>
      </c>
      <c r="B51" s="1143" t="s">
        <v>126</v>
      </c>
      <c r="C51" s="1144">
        <v>0</v>
      </c>
      <c r="D51" s="1145">
        <f>'Table 3 Levels 1&amp;2'!AP49</f>
        <v>6779.2744468088376</v>
      </c>
      <c r="E51" s="1145">
        <f t="shared" si="21"/>
        <v>8924.1296390195439</v>
      </c>
      <c r="F51" s="1145">
        <f t="shared" si="22"/>
        <v>10394.477030881739</v>
      </c>
      <c r="G51" s="1621">
        <f t="shared" si="23"/>
        <v>0</v>
      </c>
      <c r="H51" s="1146">
        <v>0</v>
      </c>
      <c r="I51" s="1625">
        <f t="shared" si="30"/>
        <v>0</v>
      </c>
      <c r="J51" s="1147"/>
      <c r="K51" s="1147">
        <f t="shared" si="24"/>
        <v>0</v>
      </c>
      <c r="L51" s="1621">
        <f t="shared" si="25"/>
        <v>0</v>
      </c>
      <c r="M51" s="1625">
        <f t="shared" si="26"/>
        <v>0</v>
      </c>
      <c r="N51" s="1148">
        <f>'Table 3 Levels 1&amp;2'!AS49</f>
        <v>2594961.5</v>
      </c>
      <c r="O51" s="1149">
        <f>'Table 3 Levels 1&amp;2'!C49</f>
        <v>1041</v>
      </c>
      <c r="P51" s="1149">
        <f t="shared" si="31"/>
        <v>1041</v>
      </c>
      <c r="Q51" s="1150">
        <f t="shared" si="27"/>
        <v>2492.758405379443</v>
      </c>
      <c r="R51" s="1628">
        <f t="shared" si="32"/>
        <v>0</v>
      </c>
      <c r="S51" s="1151">
        <v>0</v>
      </c>
      <c r="T51" s="1628">
        <f t="shared" si="28"/>
        <v>0</v>
      </c>
      <c r="U51" s="1150"/>
      <c r="V51" s="1150">
        <f t="shared" si="29"/>
        <v>0</v>
      </c>
      <c r="W51" s="1628">
        <f t="shared" si="18"/>
        <v>0</v>
      </c>
      <c r="X51" s="1638">
        <f t="shared" si="19"/>
        <v>0</v>
      </c>
      <c r="Y51" s="1639">
        <f t="shared" si="33"/>
        <v>0</v>
      </c>
    </row>
    <row r="52" spans="1:25" ht="16.2" customHeight="1">
      <c r="A52" s="1162">
        <v>47</v>
      </c>
      <c r="B52" s="1152" t="s">
        <v>127</v>
      </c>
      <c r="C52" s="1153">
        <v>0.137097</v>
      </c>
      <c r="D52" s="1154">
        <f>'Table 3 Levels 1&amp;2'!AP50</f>
        <v>3434.9085257646734</v>
      </c>
      <c r="E52" s="1154">
        <f t="shared" si="21"/>
        <v>4521.6592457806155</v>
      </c>
      <c r="F52" s="1154">
        <f t="shared" si="22"/>
        <v>5992.0066376428103</v>
      </c>
      <c r="G52" s="1622">
        <f t="shared" si="23"/>
        <v>821.48613400091631</v>
      </c>
      <c r="H52" s="1155">
        <v>0</v>
      </c>
      <c r="I52" s="1622">
        <f t="shared" si="30"/>
        <v>821.48613400091631</v>
      </c>
      <c r="J52" s="1154"/>
      <c r="K52" s="1154">
        <f t="shared" si="24"/>
        <v>821.48613400091631</v>
      </c>
      <c r="L52" s="1622">
        <f t="shared" si="25"/>
        <v>68</v>
      </c>
      <c r="M52" s="1622">
        <f t="shared" si="26"/>
        <v>821.48613400091631</v>
      </c>
      <c r="N52" s="1156">
        <f>'Table 3 Levels 1&amp;2'!AS50</f>
        <v>21672425.140000001</v>
      </c>
      <c r="O52" s="1157">
        <f>'Table 3 Levels 1&amp;2'!C50</f>
        <v>3629</v>
      </c>
      <c r="P52" s="1157">
        <f t="shared" si="31"/>
        <v>3629.1370969999998</v>
      </c>
      <c r="Q52" s="1158">
        <f t="shared" si="27"/>
        <v>5971.7846310946352</v>
      </c>
      <c r="R52" s="1629">
        <f t="shared" si="32"/>
        <v>818.71375756918121</v>
      </c>
      <c r="S52" s="1159">
        <v>0</v>
      </c>
      <c r="T52" s="1629">
        <f t="shared" si="28"/>
        <v>818.71375756918121</v>
      </c>
      <c r="U52" s="1158"/>
      <c r="V52" s="1158">
        <f t="shared" si="29"/>
        <v>818.71375756918121</v>
      </c>
      <c r="W52" s="1629">
        <f t="shared" si="18"/>
        <v>68</v>
      </c>
      <c r="X52" s="1640">
        <f t="shared" si="19"/>
        <v>1640.1998915700974</v>
      </c>
      <c r="Y52" s="1641">
        <f t="shared" si="33"/>
        <v>136</v>
      </c>
    </row>
    <row r="53" spans="1:25" ht="16.2" customHeight="1">
      <c r="A53" s="1162">
        <v>48</v>
      </c>
      <c r="B53" s="1152" t="s">
        <v>178</v>
      </c>
      <c r="C53" s="1153">
        <v>1.994653</v>
      </c>
      <c r="D53" s="1154">
        <f>'Table 3 Levels 1&amp;2'!AP51</f>
        <v>4854.4282529800721</v>
      </c>
      <c r="E53" s="1154">
        <f t="shared" si="21"/>
        <v>6390.2925590076657</v>
      </c>
      <c r="F53" s="1154">
        <f t="shared" si="22"/>
        <v>7860.6399508698605</v>
      </c>
      <c r="G53" s="1622">
        <f t="shared" si="23"/>
        <v>15679.24905992242</v>
      </c>
      <c r="H53" s="1155">
        <v>0</v>
      </c>
      <c r="I53" s="1622">
        <f t="shared" si="30"/>
        <v>15679.24905992242</v>
      </c>
      <c r="J53" s="1154"/>
      <c r="K53" s="1154">
        <f t="shared" si="24"/>
        <v>15679.24905992242</v>
      </c>
      <c r="L53" s="1622">
        <f t="shared" si="25"/>
        <v>1307</v>
      </c>
      <c r="M53" s="1622">
        <f t="shared" si="26"/>
        <v>15679.24905992242</v>
      </c>
      <c r="N53" s="1156">
        <f>'Table 3 Levels 1&amp;2'!AS51</f>
        <v>26636898.219999999</v>
      </c>
      <c r="O53" s="1157">
        <f>'Table 3 Levels 1&amp;2'!C51</f>
        <v>5795</v>
      </c>
      <c r="P53" s="1157">
        <f t="shared" si="31"/>
        <v>5796.9946529999997</v>
      </c>
      <c r="Q53" s="1158">
        <f t="shared" si="27"/>
        <v>4594.949592754092</v>
      </c>
      <c r="R53" s="1629">
        <f t="shared" si="32"/>
        <v>9165.3299900357288</v>
      </c>
      <c r="S53" s="1159">
        <v>0</v>
      </c>
      <c r="T53" s="1629">
        <f t="shared" si="28"/>
        <v>9165.3299900357288</v>
      </c>
      <c r="U53" s="1158"/>
      <c r="V53" s="1158">
        <f t="shared" si="29"/>
        <v>9165.3299900357288</v>
      </c>
      <c r="W53" s="1629">
        <f t="shared" si="18"/>
        <v>764</v>
      </c>
      <c r="X53" s="1640">
        <f t="shared" si="19"/>
        <v>24844.579049958149</v>
      </c>
      <c r="Y53" s="1641">
        <f t="shared" si="33"/>
        <v>2071</v>
      </c>
    </row>
    <row r="54" spans="1:25" ht="16.2" customHeight="1">
      <c r="A54" s="1162">
        <v>49</v>
      </c>
      <c r="B54" s="1152" t="s">
        <v>128</v>
      </c>
      <c r="C54" s="1153">
        <v>7.7729629999999998</v>
      </c>
      <c r="D54" s="1154">
        <f>'Table 3 Levels 1&amp;2'!AP52</f>
        <v>5570.3155315659187</v>
      </c>
      <c r="E54" s="1154">
        <f t="shared" si="21"/>
        <v>7332.6752477675655</v>
      </c>
      <c r="F54" s="1154">
        <f t="shared" si="22"/>
        <v>8803.0226396297603</v>
      </c>
      <c r="G54" s="1622">
        <f t="shared" si="23"/>
        <v>68425.569266004459</v>
      </c>
      <c r="H54" s="1155">
        <v>0</v>
      </c>
      <c r="I54" s="1622">
        <f t="shared" si="30"/>
        <v>68425.569266004459</v>
      </c>
      <c r="J54" s="1154"/>
      <c r="K54" s="1154">
        <f t="shared" si="24"/>
        <v>68425.569266004459</v>
      </c>
      <c r="L54" s="1622">
        <f t="shared" si="25"/>
        <v>5702</v>
      </c>
      <c r="M54" s="1622">
        <f t="shared" si="26"/>
        <v>68425.569266004459</v>
      </c>
      <c r="N54" s="1156">
        <f>'Table 3 Levels 1&amp;2'!AS52</f>
        <v>35651054</v>
      </c>
      <c r="O54" s="1157">
        <f>'Table 3 Levels 1&amp;2'!C52</f>
        <v>14495</v>
      </c>
      <c r="P54" s="1157">
        <f t="shared" si="31"/>
        <v>14502.772962999999</v>
      </c>
      <c r="Q54" s="1158">
        <f t="shared" si="27"/>
        <v>2458.2232715739442</v>
      </c>
      <c r="R54" s="1629">
        <f t="shared" si="32"/>
        <v>19107.678535683219</v>
      </c>
      <c r="S54" s="1159">
        <v>0</v>
      </c>
      <c r="T54" s="1629">
        <f t="shared" si="28"/>
        <v>19107.678535683219</v>
      </c>
      <c r="U54" s="1158"/>
      <c r="V54" s="1158">
        <f t="shared" si="29"/>
        <v>19107.678535683219</v>
      </c>
      <c r="W54" s="1629">
        <f t="shared" si="18"/>
        <v>1592</v>
      </c>
      <c r="X54" s="1640">
        <f t="shared" si="19"/>
        <v>87533.247801687685</v>
      </c>
      <c r="Y54" s="1641">
        <f t="shared" si="33"/>
        <v>7294</v>
      </c>
    </row>
    <row r="55" spans="1:25" ht="16.2" customHeight="1">
      <c r="A55" s="1134">
        <v>50</v>
      </c>
      <c r="B55" s="1135" t="s">
        <v>129</v>
      </c>
      <c r="C55" s="1136">
        <v>2.1009570000000002</v>
      </c>
      <c r="D55" s="1137">
        <f>'Table 3 Levels 1&amp;2'!AP53</f>
        <v>5812.1492722701687</v>
      </c>
      <c r="E55" s="1137">
        <f t="shared" si="21"/>
        <v>7651.0213584121429</v>
      </c>
      <c r="F55" s="1137">
        <f t="shared" si="22"/>
        <v>9121.3687502743378</v>
      </c>
      <c r="G55" s="1623">
        <f t="shared" si="23"/>
        <v>19163.603525470124</v>
      </c>
      <c r="H55" s="1138">
        <v>0</v>
      </c>
      <c r="I55" s="1623">
        <f t="shared" si="30"/>
        <v>19163.603525470124</v>
      </c>
      <c r="J55" s="1137"/>
      <c r="K55" s="1137">
        <f t="shared" si="24"/>
        <v>19163.603525470124</v>
      </c>
      <c r="L55" s="1623">
        <f t="shared" si="25"/>
        <v>1597</v>
      </c>
      <c r="M55" s="1623">
        <f t="shared" si="26"/>
        <v>19163.603525470124</v>
      </c>
      <c r="N55" s="1139">
        <f>'Table 3 Levels 1&amp;2'!AS53</f>
        <v>25445779.5</v>
      </c>
      <c r="O55" s="1140">
        <f>'Table 3 Levels 1&amp;2'!C53</f>
        <v>7921</v>
      </c>
      <c r="P55" s="1140">
        <f t="shared" si="31"/>
        <v>7923.1009569999997</v>
      </c>
      <c r="Q55" s="1141">
        <f t="shared" si="27"/>
        <v>3211.5934957914233</v>
      </c>
      <c r="R55" s="1630">
        <f t="shared" si="32"/>
        <v>6747.419836137462</v>
      </c>
      <c r="S55" s="1142">
        <v>0</v>
      </c>
      <c r="T55" s="1630">
        <f t="shared" si="28"/>
        <v>6747.419836137462</v>
      </c>
      <c r="U55" s="1141"/>
      <c r="V55" s="1141">
        <f t="shared" si="29"/>
        <v>6747.419836137462</v>
      </c>
      <c r="W55" s="1630">
        <f t="shared" si="18"/>
        <v>562</v>
      </c>
      <c r="X55" s="1642">
        <f t="shared" si="19"/>
        <v>25911.023361607586</v>
      </c>
      <c r="Y55" s="1643">
        <f t="shared" si="33"/>
        <v>2159</v>
      </c>
    </row>
    <row r="56" spans="1:25" ht="16.2" customHeight="1">
      <c r="A56" s="1161">
        <v>51</v>
      </c>
      <c r="B56" s="1143" t="s">
        <v>130</v>
      </c>
      <c r="C56" s="1144">
        <v>2.6975169999999999</v>
      </c>
      <c r="D56" s="1145">
        <f>'Table 3 Levels 1&amp;2'!AP54</f>
        <v>4860.8528602178994</v>
      </c>
      <c r="E56" s="1145">
        <f t="shared" si="21"/>
        <v>6398.7498103433363</v>
      </c>
      <c r="F56" s="1145">
        <f t="shared" si="22"/>
        <v>7869.0972022055312</v>
      </c>
      <c r="G56" s="1621">
        <f t="shared" si="23"/>
        <v>21227.023477601859</v>
      </c>
      <c r="H56" s="1146">
        <v>0</v>
      </c>
      <c r="I56" s="1625">
        <f t="shared" si="30"/>
        <v>21227.023477601859</v>
      </c>
      <c r="J56" s="1147"/>
      <c r="K56" s="1147">
        <f t="shared" si="24"/>
        <v>21227.023477601859</v>
      </c>
      <c r="L56" s="1621">
        <f t="shared" si="25"/>
        <v>1769</v>
      </c>
      <c r="M56" s="1625">
        <f t="shared" si="26"/>
        <v>21227.023477601859</v>
      </c>
      <c r="N56" s="1148">
        <f>'Table 3 Levels 1&amp;2'!AS54</f>
        <v>37878815.799999997</v>
      </c>
      <c r="O56" s="1149">
        <f>'Table 3 Levels 1&amp;2'!C54</f>
        <v>8894</v>
      </c>
      <c r="P56" s="1149">
        <f t="shared" si="31"/>
        <v>8896.6975170000005</v>
      </c>
      <c r="Q56" s="1150">
        <f t="shared" si="27"/>
        <v>4257.6265774598205</v>
      </c>
      <c r="R56" s="1628">
        <f t="shared" si="32"/>
        <v>11485.020072349682</v>
      </c>
      <c r="S56" s="1151">
        <v>0</v>
      </c>
      <c r="T56" s="1628">
        <f t="shared" si="28"/>
        <v>11485.020072349682</v>
      </c>
      <c r="U56" s="1150"/>
      <c r="V56" s="1150">
        <f t="shared" si="29"/>
        <v>11485.020072349682</v>
      </c>
      <c r="W56" s="1628">
        <f t="shared" si="18"/>
        <v>957</v>
      </c>
      <c r="X56" s="1638">
        <f t="shared" si="19"/>
        <v>32712.043549951541</v>
      </c>
      <c r="Y56" s="1639">
        <f t="shared" si="33"/>
        <v>2726</v>
      </c>
    </row>
    <row r="57" spans="1:25" ht="16.2" customHeight="1">
      <c r="A57" s="1162">
        <v>52</v>
      </c>
      <c r="B57" s="1152" t="s">
        <v>131</v>
      </c>
      <c r="C57" s="1153">
        <v>12.650613</v>
      </c>
      <c r="D57" s="1154">
        <f>'Table 3 Levels 1&amp;2'!AP55</f>
        <v>5720.6445845228181</v>
      </c>
      <c r="E57" s="1154">
        <f t="shared" si="21"/>
        <v>7530.5660349933141</v>
      </c>
      <c r="F57" s="1154">
        <f t="shared" si="22"/>
        <v>9000.9134268555099</v>
      </c>
      <c r="G57" s="1622">
        <f t="shared" si="23"/>
        <v>113867.07240965286</v>
      </c>
      <c r="H57" s="1155">
        <v>0</v>
      </c>
      <c r="I57" s="1622">
        <f t="shared" si="30"/>
        <v>113867.07240965286</v>
      </c>
      <c r="J57" s="1154"/>
      <c r="K57" s="1154">
        <f t="shared" si="24"/>
        <v>113867.07240965286</v>
      </c>
      <c r="L57" s="1622">
        <f t="shared" si="25"/>
        <v>9489</v>
      </c>
      <c r="M57" s="1622">
        <f t="shared" si="26"/>
        <v>113867.07240965286</v>
      </c>
      <c r="N57" s="1156">
        <f>'Table 3 Levels 1&amp;2'!AS55</f>
        <v>134534271.08000001</v>
      </c>
      <c r="O57" s="1157">
        <f>'Table 3 Levels 1&amp;2'!C55</f>
        <v>37226</v>
      </c>
      <c r="P57" s="1157">
        <f t="shared" si="31"/>
        <v>37238.650612999998</v>
      </c>
      <c r="Q57" s="1158">
        <f>N57/P57</f>
        <v>3612.7590249748241</v>
      </c>
      <c r="R57" s="1629">
        <f t="shared" si="32"/>
        <v>45703.616287213837</v>
      </c>
      <c r="S57" s="1159">
        <v>0</v>
      </c>
      <c r="T57" s="1629">
        <f t="shared" si="28"/>
        <v>45703.616287213837</v>
      </c>
      <c r="U57" s="1158"/>
      <c r="V57" s="1158">
        <f t="shared" si="29"/>
        <v>45703.616287213837</v>
      </c>
      <c r="W57" s="1629">
        <f t="shared" si="18"/>
        <v>3809</v>
      </c>
      <c r="X57" s="1640">
        <f t="shared" si="19"/>
        <v>159570.68869686668</v>
      </c>
      <c r="Y57" s="1641">
        <f t="shared" si="33"/>
        <v>13298</v>
      </c>
    </row>
    <row r="58" spans="1:25" ht="16.2" customHeight="1">
      <c r="A58" s="1162">
        <v>53</v>
      </c>
      <c r="B58" s="1152" t="s">
        <v>132</v>
      </c>
      <c r="C58" s="1153">
        <v>10.065575000000001</v>
      </c>
      <c r="D58" s="1154">
        <f>'Table 3 Levels 1&amp;2'!AP56</f>
        <v>5749.890819404548</v>
      </c>
      <c r="E58" s="1154">
        <f t="shared" si="21"/>
        <v>7569.0653159393205</v>
      </c>
      <c r="F58" s="1154">
        <f t="shared" si="22"/>
        <v>9039.4127078015154</v>
      </c>
      <c r="G58" s="1622">
        <f t="shared" si="23"/>
        <v>90986.886566329238</v>
      </c>
      <c r="H58" s="1155">
        <v>0</v>
      </c>
      <c r="I58" s="1622">
        <f t="shared" si="30"/>
        <v>90986.886566329238</v>
      </c>
      <c r="J58" s="1154"/>
      <c r="K58" s="1154">
        <f t="shared" si="24"/>
        <v>90986.886566329238</v>
      </c>
      <c r="L58" s="1622">
        <f t="shared" si="25"/>
        <v>7582</v>
      </c>
      <c r="M58" s="1622">
        <f t="shared" si="26"/>
        <v>90986.886566329238</v>
      </c>
      <c r="N58" s="1156">
        <f>'Table 3 Levels 1&amp;2'!AS56</f>
        <v>41420128</v>
      </c>
      <c r="O58" s="1157">
        <f>'Table 3 Levels 1&amp;2'!C56</f>
        <v>19434</v>
      </c>
      <c r="P58" s="1157">
        <f t="shared" si="31"/>
        <v>19444.065575000001</v>
      </c>
      <c r="Q58" s="1158">
        <f t="shared" si="27"/>
        <v>2130.2195181472484</v>
      </c>
      <c r="R58" s="1629">
        <f t="shared" si="32"/>
        <v>21441.884326374991</v>
      </c>
      <c r="S58" s="1159">
        <v>0</v>
      </c>
      <c r="T58" s="1629">
        <f t="shared" si="28"/>
        <v>21441.884326374991</v>
      </c>
      <c r="U58" s="1158"/>
      <c r="V58" s="1158">
        <f t="shared" si="29"/>
        <v>21441.884326374991</v>
      </c>
      <c r="W58" s="1629">
        <f t="shared" si="18"/>
        <v>1787</v>
      </c>
      <c r="X58" s="1640">
        <f t="shared" si="19"/>
        <v>112428.77089270423</v>
      </c>
      <c r="Y58" s="1641">
        <f t="shared" si="33"/>
        <v>9369</v>
      </c>
    </row>
    <row r="59" spans="1:25" ht="16.2" customHeight="1">
      <c r="A59" s="1162">
        <v>54</v>
      </c>
      <c r="B59" s="1152" t="s">
        <v>133</v>
      </c>
      <c r="C59" s="1153">
        <v>1</v>
      </c>
      <c r="D59" s="1154">
        <f>'Table 3 Levels 1&amp;2'!AP57</f>
        <v>6818.5298370516712</v>
      </c>
      <c r="E59" s="1154">
        <f t="shared" si="21"/>
        <v>8975.8048137459846</v>
      </c>
      <c r="F59" s="1154">
        <f t="shared" si="22"/>
        <v>10446.152205608179</v>
      </c>
      <c r="G59" s="1622">
        <f t="shared" si="23"/>
        <v>10446.152205608179</v>
      </c>
      <c r="H59" s="1155">
        <v>0</v>
      </c>
      <c r="I59" s="1622">
        <f t="shared" si="30"/>
        <v>10446.152205608179</v>
      </c>
      <c r="J59" s="1154"/>
      <c r="K59" s="1154">
        <f t="shared" si="24"/>
        <v>10446.152205608179</v>
      </c>
      <c r="L59" s="1622">
        <f t="shared" si="25"/>
        <v>871</v>
      </c>
      <c r="M59" s="1622">
        <f t="shared" si="26"/>
        <v>10446.152205608179</v>
      </c>
      <c r="N59" s="1156">
        <f>'Table 3 Levels 1&amp;2'!AS57</f>
        <v>2597837.5</v>
      </c>
      <c r="O59" s="1157">
        <f>'Table 3 Levels 1&amp;2'!C57</f>
        <v>658</v>
      </c>
      <c r="P59" s="1157">
        <f t="shared" si="31"/>
        <v>659</v>
      </c>
      <c r="Q59" s="1158">
        <f t="shared" si="27"/>
        <v>3942.0902883156296</v>
      </c>
      <c r="R59" s="1629">
        <f t="shared" si="32"/>
        <v>3942.0902883156296</v>
      </c>
      <c r="S59" s="1159">
        <v>0</v>
      </c>
      <c r="T59" s="1629">
        <f t="shared" si="28"/>
        <v>3942.0902883156296</v>
      </c>
      <c r="U59" s="1158"/>
      <c r="V59" s="1158">
        <f t="shared" si="29"/>
        <v>3942.0902883156296</v>
      </c>
      <c r="W59" s="1629">
        <f t="shared" si="18"/>
        <v>329</v>
      </c>
      <c r="X59" s="1640">
        <f t="shared" si="19"/>
        <v>14388.242493923808</v>
      </c>
      <c r="Y59" s="1641">
        <f t="shared" si="33"/>
        <v>1200</v>
      </c>
    </row>
    <row r="60" spans="1:25" ht="16.2" customHeight="1">
      <c r="A60" s="1134">
        <v>55</v>
      </c>
      <c r="B60" s="1135" t="s">
        <v>134</v>
      </c>
      <c r="C60" s="1136">
        <v>18.575686000000001</v>
      </c>
      <c r="D60" s="1137">
        <f>'Table 3 Levels 1&amp;2'!AP58</f>
        <v>5061.9625491298484</v>
      </c>
      <c r="E60" s="1137">
        <f t="shared" si="21"/>
        <v>6663.4874234308172</v>
      </c>
      <c r="F60" s="1137">
        <f t="shared" si="22"/>
        <v>8133.8348152930121</v>
      </c>
      <c r="G60" s="1623">
        <f t="shared" si="23"/>
        <v>151091.56150475101</v>
      </c>
      <c r="H60" s="1138">
        <v>0</v>
      </c>
      <c r="I60" s="1623">
        <f t="shared" si="30"/>
        <v>151091.56150475101</v>
      </c>
      <c r="J60" s="1137"/>
      <c r="K60" s="1137">
        <f t="shared" si="24"/>
        <v>151091.56150475101</v>
      </c>
      <c r="L60" s="1623">
        <f t="shared" si="25"/>
        <v>12591</v>
      </c>
      <c r="M60" s="1623">
        <f t="shared" si="26"/>
        <v>151091.56150475101</v>
      </c>
      <c r="N60" s="1139">
        <f>'Table 3 Levels 1&amp;2'!AS58</f>
        <v>60175861</v>
      </c>
      <c r="O60" s="1140">
        <f>'Table 3 Levels 1&amp;2'!C58</f>
        <v>17790</v>
      </c>
      <c r="P60" s="1140">
        <f t="shared" si="31"/>
        <v>17808.575686</v>
      </c>
      <c r="Q60" s="1141">
        <f t="shared" si="27"/>
        <v>3379.0383948170843</v>
      </c>
      <c r="R60" s="1630">
        <f t="shared" si="32"/>
        <v>62767.956204066191</v>
      </c>
      <c r="S60" s="1142">
        <v>0</v>
      </c>
      <c r="T60" s="1630">
        <f t="shared" si="28"/>
        <v>62767.956204066191</v>
      </c>
      <c r="U60" s="1141"/>
      <c r="V60" s="1141">
        <f t="shared" si="29"/>
        <v>62767.956204066191</v>
      </c>
      <c r="W60" s="1630">
        <f t="shared" si="18"/>
        <v>5231</v>
      </c>
      <c r="X60" s="1642">
        <f t="shared" si="19"/>
        <v>213859.51770881721</v>
      </c>
      <c r="Y60" s="1643">
        <f t="shared" si="33"/>
        <v>17822</v>
      </c>
    </row>
    <row r="61" spans="1:25" ht="16.2" customHeight="1">
      <c r="A61" s="1161">
        <v>56</v>
      </c>
      <c r="B61" s="1143" t="s">
        <v>135</v>
      </c>
      <c r="C61" s="1144">
        <v>0</v>
      </c>
      <c r="D61" s="1145">
        <f>'Table 3 Levels 1&amp;2'!AP59</f>
        <v>5643.1509408288284</v>
      </c>
      <c r="E61" s="1145">
        <f t="shared" si="21"/>
        <v>7428.554628322695</v>
      </c>
      <c r="F61" s="1145">
        <f t="shared" si="22"/>
        <v>8898.9020201848907</v>
      </c>
      <c r="G61" s="1621">
        <f t="shared" si="23"/>
        <v>0</v>
      </c>
      <c r="H61" s="1146">
        <v>0</v>
      </c>
      <c r="I61" s="1625">
        <f t="shared" si="30"/>
        <v>0</v>
      </c>
      <c r="J61" s="1147"/>
      <c r="K61" s="1147">
        <f t="shared" si="24"/>
        <v>0</v>
      </c>
      <c r="L61" s="1621">
        <f t="shared" si="25"/>
        <v>0</v>
      </c>
      <c r="M61" s="1625">
        <f t="shared" si="26"/>
        <v>0</v>
      </c>
      <c r="N61" s="1148">
        <f>'Table 3 Levels 1&amp;2'!AS59</f>
        <v>8582781.5</v>
      </c>
      <c r="O61" s="1149">
        <f>'Table 3 Levels 1&amp;2'!C59</f>
        <v>2886</v>
      </c>
      <c r="P61" s="1149">
        <f t="shared" si="31"/>
        <v>2886</v>
      </c>
      <c r="Q61" s="1150">
        <f t="shared" si="27"/>
        <v>2973.9367636867637</v>
      </c>
      <c r="R61" s="1628">
        <f t="shared" si="32"/>
        <v>0</v>
      </c>
      <c r="S61" s="1151">
        <v>0</v>
      </c>
      <c r="T61" s="1628">
        <f t="shared" si="28"/>
        <v>0</v>
      </c>
      <c r="U61" s="1150"/>
      <c r="V61" s="1150">
        <f t="shared" si="29"/>
        <v>0</v>
      </c>
      <c r="W61" s="1628">
        <f t="shared" si="18"/>
        <v>0</v>
      </c>
      <c r="X61" s="1638">
        <f t="shared" si="19"/>
        <v>0</v>
      </c>
      <c r="Y61" s="1639">
        <f t="shared" si="33"/>
        <v>0</v>
      </c>
    </row>
    <row r="62" spans="1:25" ht="16.2" customHeight="1">
      <c r="A62" s="1162">
        <v>57</v>
      </c>
      <c r="B62" s="1152" t="s">
        <v>136</v>
      </c>
      <c r="C62" s="1153">
        <v>2.381189</v>
      </c>
      <c r="D62" s="1154">
        <f>'Table 3 Levels 1&amp;2'!AP60</f>
        <v>5390.5022979230689</v>
      </c>
      <c r="E62" s="1154">
        <f t="shared" si="21"/>
        <v>7095.9719515032484</v>
      </c>
      <c r="F62" s="1154">
        <f t="shared" si="22"/>
        <v>8566.3193433654433</v>
      </c>
      <c r="G62" s="1622">
        <f t="shared" si="23"/>
        <v>20398.025390909017</v>
      </c>
      <c r="H62" s="1155">
        <v>0</v>
      </c>
      <c r="I62" s="1622">
        <f t="shared" si="30"/>
        <v>20398.025390909017</v>
      </c>
      <c r="J62" s="1154"/>
      <c r="K62" s="1154">
        <f t="shared" si="24"/>
        <v>20398.025390909017</v>
      </c>
      <c r="L62" s="1622">
        <f t="shared" si="25"/>
        <v>1700</v>
      </c>
      <c r="M62" s="1622">
        <f t="shared" si="26"/>
        <v>20398.025390909017</v>
      </c>
      <c r="N62" s="1156">
        <f>'Table 3 Levels 1&amp;2'!AS60</f>
        <v>27831859.5</v>
      </c>
      <c r="O62" s="1157">
        <f>'Table 3 Levels 1&amp;2'!C60</f>
        <v>9125</v>
      </c>
      <c r="P62" s="1157">
        <f t="shared" si="31"/>
        <v>9127.3811889999997</v>
      </c>
      <c r="Q62" s="1158">
        <f t="shared" si="27"/>
        <v>3049.2710804652252</v>
      </c>
      <c r="R62" s="1629">
        <f t="shared" si="32"/>
        <v>7260.8907548219095</v>
      </c>
      <c r="S62" s="1159">
        <v>0</v>
      </c>
      <c r="T62" s="1629">
        <f t="shared" si="28"/>
        <v>7260.8907548219095</v>
      </c>
      <c r="U62" s="1158"/>
      <c r="V62" s="1158">
        <f t="shared" si="29"/>
        <v>7260.8907548219095</v>
      </c>
      <c r="W62" s="1629">
        <f t="shared" si="18"/>
        <v>605</v>
      </c>
      <c r="X62" s="1640">
        <f t="shared" si="19"/>
        <v>27658.916145730927</v>
      </c>
      <c r="Y62" s="1641">
        <f t="shared" si="33"/>
        <v>2305</v>
      </c>
    </row>
    <row r="63" spans="1:25" ht="16.2" customHeight="1">
      <c r="A63" s="1162">
        <v>58</v>
      </c>
      <c r="B63" s="1152" t="s">
        <v>137</v>
      </c>
      <c r="C63" s="1153">
        <v>0</v>
      </c>
      <c r="D63" s="1154">
        <f>'Table 3 Levels 1&amp;2'!AP61</f>
        <v>6370.1529637882122</v>
      </c>
      <c r="E63" s="1154">
        <f t="shared" si="21"/>
        <v>8385.5685907494535</v>
      </c>
      <c r="F63" s="1154">
        <f t="shared" si="22"/>
        <v>9855.9159826116484</v>
      </c>
      <c r="G63" s="1622">
        <f t="shared" si="23"/>
        <v>0</v>
      </c>
      <c r="H63" s="1155">
        <v>0</v>
      </c>
      <c r="I63" s="1622">
        <f t="shared" si="30"/>
        <v>0</v>
      </c>
      <c r="J63" s="1154"/>
      <c r="K63" s="1154">
        <f t="shared" si="24"/>
        <v>0</v>
      </c>
      <c r="L63" s="1622">
        <f t="shared" si="25"/>
        <v>0</v>
      </c>
      <c r="M63" s="1622">
        <f t="shared" si="26"/>
        <v>0</v>
      </c>
      <c r="N63" s="1156">
        <f>'Table 3 Levels 1&amp;2'!AS61</f>
        <v>20217963</v>
      </c>
      <c r="O63" s="1157">
        <f>'Table 3 Levels 1&amp;2'!C61</f>
        <v>9009</v>
      </c>
      <c r="P63" s="1157">
        <f t="shared" si="31"/>
        <v>9009</v>
      </c>
      <c r="Q63" s="1158">
        <f t="shared" si="27"/>
        <v>2244.196137196137</v>
      </c>
      <c r="R63" s="1629">
        <f t="shared" si="32"/>
        <v>0</v>
      </c>
      <c r="S63" s="1159">
        <v>0</v>
      </c>
      <c r="T63" s="1629">
        <f t="shared" si="28"/>
        <v>0</v>
      </c>
      <c r="U63" s="1158"/>
      <c r="V63" s="1158">
        <f t="shared" si="29"/>
        <v>0</v>
      </c>
      <c r="W63" s="1629">
        <f t="shared" si="18"/>
        <v>0</v>
      </c>
      <c r="X63" s="1640">
        <f t="shared" si="19"/>
        <v>0</v>
      </c>
      <c r="Y63" s="1641">
        <f t="shared" si="33"/>
        <v>0</v>
      </c>
    </row>
    <row r="64" spans="1:25" ht="16.2" customHeight="1">
      <c r="A64" s="1162">
        <v>59</v>
      </c>
      <c r="B64" s="1152" t="s">
        <v>138</v>
      </c>
      <c r="C64" s="1153">
        <v>1.0362910000000001</v>
      </c>
      <c r="D64" s="1154">
        <f>'Table 3 Levels 1&amp;2'!AP62</f>
        <v>7311.4662935218494</v>
      </c>
      <c r="E64" s="1154">
        <f t="shared" si="21"/>
        <v>9624.6985671784787</v>
      </c>
      <c r="F64" s="1154">
        <f t="shared" si="22"/>
        <v>11095.045959040674</v>
      </c>
      <c r="G64" s="1622">
        <f t="shared" si="23"/>
        <v>11497.69627194022</v>
      </c>
      <c r="H64" s="1155">
        <v>0</v>
      </c>
      <c r="I64" s="1622">
        <f t="shared" si="30"/>
        <v>11497.69627194022</v>
      </c>
      <c r="J64" s="1154"/>
      <c r="K64" s="1154">
        <f t="shared" si="24"/>
        <v>11497.69627194022</v>
      </c>
      <c r="L64" s="1622">
        <f t="shared" si="25"/>
        <v>958</v>
      </c>
      <c r="M64" s="1622">
        <f t="shared" si="26"/>
        <v>11497.69627194022</v>
      </c>
      <c r="N64" s="1156">
        <f>'Table 3 Levels 1&amp;2'!AS62</f>
        <v>9202657</v>
      </c>
      <c r="O64" s="1157">
        <f>'Table 3 Levels 1&amp;2'!C62</f>
        <v>5149</v>
      </c>
      <c r="P64" s="1157">
        <f t="shared" si="31"/>
        <v>5150.0362910000003</v>
      </c>
      <c r="Q64" s="1158">
        <f t="shared" si="27"/>
        <v>1786.9110973222071</v>
      </c>
      <c r="R64" s="1629">
        <f t="shared" si="32"/>
        <v>1851.7598879551274</v>
      </c>
      <c r="S64" s="1159">
        <v>0</v>
      </c>
      <c r="T64" s="1629">
        <f t="shared" si="28"/>
        <v>1851.7598879551274</v>
      </c>
      <c r="U64" s="1158"/>
      <c r="V64" s="1158">
        <f t="shared" si="29"/>
        <v>1851.7598879551274</v>
      </c>
      <c r="W64" s="1629">
        <f t="shared" si="18"/>
        <v>154</v>
      </c>
      <c r="X64" s="1640">
        <f t="shared" si="19"/>
        <v>13349.456159895348</v>
      </c>
      <c r="Y64" s="1641">
        <f t="shared" si="33"/>
        <v>1112</v>
      </c>
    </row>
    <row r="65" spans="1:25" ht="16.2" customHeight="1">
      <c r="A65" s="1134">
        <v>60</v>
      </c>
      <c r="B65" s="1135" t="s">
        <v>139</v>
      </c>
      <c r="C65" s="1136">
        <v>3.6110069999999999</v>
      </c>
      <c r="D65" s="1137">
        <f>'Table 3 Levels 1&amp;2'!AP63</f>
        <v>5895.2640900638289</v>
      </c>
      <c r="E65" s="1137">
        <f t="shared" si="21"/>
        <v>7760.4323897450404</v>
      </c>
      <c r="F65" s="1137">
        <f t="shared" si="22"/>
        <v>9230.7797816072343</v>
      </c>
      <c r="G65" s="1623">
        <f t="shared" si="23"/>
        <v>33332.410406842195</v>
      </c>
      <c r="H65" s="1138">
        <v>0</v>
      </c>
      <c r="I65" s="1623">
        <f t="shared" si="30"/>
        <v>33332.410406842195</v>
      </c>
      <c r="J65" s="1137"/>
      <c r="K65" s="1137">
        <f t="shared" si="24"/>
        <v>33332.410406842195</v>
      </c>
      <c r="L65" s="1623">
        <f t="shared" si="25"/>
        <v>2778</v>
      </c>
      <c r="M65" s="1623">
        <f t="shared" si="26"/>
        <v>33332.410406842195</v>
      </c>
      <c r="N65" s="1139">
        <f>'Table 3 Levels 1&amp;2'!AS63</f>
        <v>21604223.960000001</v>
      </c>
      <c r="O65" s="1140">
        <f>'Table 3 Levels 1&amp;2'!C63</f>
        <v>6441</v>
      </c>
      <c r="P65" s="1140">
        <f t="shared" si="31"/>
        <v>6444.6110070000004</v>
      </c>
      <c r="Q65" s="1141">
        <f t="shared" si="27"/>
        <v>3352.2929369257431</v>
      </c>
      <c r="R65" s="1630">
        <f t="shared" si="32"/>
        <v>12105.153261289417</v>
      </c>
      <c r="S65" s="1142">
        <v>0</v>
      </c>
      <c r="T65" s="1630">
        <f t="shared" si="28"/>
        <v>12105.153261289417</v>
      </c>
      <c r="U65" s="1141"/>
      <c r="V65" s="1141">
        <f t="shared" si="29"/>
        <v>12105.153261289417</v>
      </c>
      <c r="W65" s="1630">
        <f t="shared" si="18"/>
        <v>1009</v>
      </c>
      <c r="X65" s="1642">
        <f t="shared" si="19"/>
        <v>45437.56366813161</v>
      </c>
      <c r="Y65" s="1643">
        <f t="shared" si="33"/>
        <v>3787</v>
      </c>
    </row>
    <row r="66" spans="1:25" ht="16.2" customHeight="1">
      <c r="A66" s="1161">
        <v>61</v>
      </c>
      <c r="B66" s="1143" t="s">
        <v>140</v>
      </c>
      <c r="C66" s="1144">
        <v>0.83892500000000003</v>
      </c>
      <c r="D66" s="1145">
        <f>'Table 3 Levels 1&amp;2'!AP64</f>
        <v>3687.8675356369185</v>
      </c>
      <c r="E66" s="1145">
        <f t="shared" si="21"/>
        <v>4854.650484764983</v>
      </c>
      <c r="F66" s="1145">
        <f t="shared" si="22"/>
        <v>6324.9978766271779</v>
      </c>
      <c r="G66" s="1621">
        <f t="shared" si="23"/>
        <v>5306.1988436494557</v>
      </c>
      <c r="H66" s="1146">
        <v>0</v>
      </c>
      <c r="I66" s="1625">
        <f t="shared" si="30"/>
        <v>5306.1988436494557</v>
      </c>
      <c r="J66" s="1147"/>
      <c r="K66" s="1147">
        <f t="shared" si="24"/>
        <v>5306.1988436494557</v>
      </c>
      <c r="L66" s="1621">
        <f t="shared" si="25"/>
        <v>442</v>
      </c>
      <c r="M66" s="1625">
        <f t="shared" si="26"/>
        <v>5306.1988436494557</v>
      </c>
      <c r="N66" s="1148">
        <f>'Table 3 Levels 1&amp;2'!AS64</f>
        <v>18548760.620000001</v>
      </c>
      <c r="O66" s="1149">
        <f>'Table 3 Levels 1&amp;2'!C64</f>
        <v>3621</v>
      </c>
      <c r="P66" s="1149">
        <f t="shared" si="31"/>
        <v>3621.838925</v>
      </c>
      <c r="Q66" s="1150">
        <f t="shared" si="27"/>
        <v>5121.3654179830764</v>
      </c>
      <c r="R66" s="1628">
        <f t="shared" si="32"/>
        <v>4296.4414832814527</v>
      </c>
      <c r="S66" s="1151">
        <v>0</v>
      </c>
      <c r="T66" s="1628">
        <f t="shared" si="28"/>
        <v>4296.4414832814527</v>
      </c>
      <c r="U66" s="1150"/>
      <c r="V66" s="1150">
        <f t="shared" si="29"/>
        <v>4296.4414832814527</v>
      </c>
      <c r="W66" s="1628">
        <f t="shared" si="18"/>
        <v>358</v>
      </c>
      <c r="X66" s="1638">
        <f t="shared" si="19"/>
        <v>9602.6403269309085</v>
      </c>
      <c r="Y66" s="1639">
        <f t="shared" si="33"/>
        <v>800</v>
      </c>
    </row>
    <row r="67" spans="1:25" ht="16.2" customHeight="1">
      <c r="A67" s="1162">
        <v>62</v>
      </c>
      <c r="B67" s="1152" t="s">
        <v>141</v>
      </c>
      <c r="C67" s="1153">
        <v>0.97860899999999995</v>
      </c>
      <c r="D67" s="1154">
        <f>'Table 3 Levels 1&amp;2'!AP65</f>
        <v>6417.154538516008</v>
      </c>
      <c r="E67" s="1154">
        <f t="shared" si="21"/>
        <v>8447.4407201933882</v>
      </c>
      <c r="F67" s="1154">
        <f t="shared" si="22"/>
        <v>9917.788112055583</v>
      </c>
      <c r="G67" s="1622">
        <f t="shared" si="23"/>
        <v>9705.636706550602</v>
      </c>
      <c r="H67" s="1155">
        <v>0</v>
      </c>
      <c r="I67" s="1622">
        <f t="shared" si="30"/>
        <v>9705.636706550602</v>
      </c>
      <c r="J67" s="1154"/>
      <c r="K67" s="1154">
        <f t="shared" si="24"/>
        <v>9705.636706550602</v>
      </c>
      <c r="L67" s="1622">
        <f t="shared" si="25"/>
        <v>809</v>
      </c>
      <c r="M67" s="1622">
        <f t="shared" si="26"/>
        <v>9705.636706550602</v>
      </c>
      <c r="N67" s="1156">
        <f>'Table 3 Levels 1&amp;2'!AS65</f>
        <v>4324948</v>
      </c>
      <c r="O67" s="1157">
        <f>'Table 3 Levels 1&amp;2'!C65</f>
        <v>2124</v>
      </c>
      <c r="P67" s="1157">
        <f t="shared" si="31"/>
        <v>2124.9786089999998</v>
      </c>
      <c r="Q67" s="1158">
        <f t="shared" si="27"/>
        <v>2035.2901350076604</v>
      </c>
      <c r="R67" s="1629">
        <f t="shared" si="32"/>
        <v>1991.7532437297114</v>
      </c>
      <c r="S67" s="1159">
        <v>0</v>
      </c>
      <c r="T67" s="1629">
        <f t="shared" si="28"/>
        <v>1991.7532437297114</v>
      </c>
      <c r="U67" s="1158"/>
      <c r="V67" s="1158">
        <f t="shared" si="29"/>
        <v>1991.7532437297114</v>
      </c>
      <c r="W67" s="1629">
        <f t="shared" si="18"/>
        <v>166</v>
      </c>
      <c r="X67" s="1640">
        <f t="shared" si="19"/>
        <v>11697.389950280314</v>
      </c>
      <c r="Y67" s="1641">
        <f t="shared" si="33"/>
        <v>975</v>
      </c>
    </row>
    <row r="68" spans="1:25" ht="16.2" customHeight="1">
      <c r="A68" s="1162">
        <v>63</v>
      </c>
      <c r="B68" s="1152" t="s">
        <v>142</v>
      </c>
      <c r="C68" s="1153">
        <v>0.51336899999999996</v>
      </c>
      <c r="D68" s="1154">
        <f>'Table 3 Levels 1&amp;2'!AP66</f>
        <v>4881.1713481848083</v>
      </c>
      <c r="E68" s="1154">
        <f t="shared" si="21"/>
        <v>6425.4967464805668</v>
      </c>
      <c r="F68" s="1154">
        <f t="shared" si="22"/>
        <v>7895.8441383427617</v>
      </c>
      <c r="G68" s="1622">
        <f t="shared" si="23"/>
        <v>4053.4816094568851</v>
      </c>
      <c r="H68" s="1155">
        <v>0</v>
      </c>
      <c r="I68" s="1622">
        <f t="shared" si="30"/>
        <v>4053.4816094568851</v>
      </c>
      <c r="J68" s="1154"/>
      <c r="K68" s="1154">
        <f t="shared" si="24"/>
        <v>4053.4816094568851</v>
      </c>
      <c r="L68" s="1622">
        <f t="shared" si="25"/>
        <v>338</v>
      </c>
      <c r="M68" s="1622">
        <f t="shared" si="26"/>
        <v>4053.4816094568851</v>
      </c>
      <c r="N68" s="1156">
        <f>'Table 3 Levels 1&amp;2'!AS66</f>
        <v>10367518.220000001</v>
      </c>
      <c r="O68" s="1157">
        <f>'Table 3 Levels 1&amp;2'!C66</f>
        <v>2038</v>
      </c>
      <c r="P68" s="1157">
        <f t="shared" si="31"/>
        <v>2038.513369</v>
      </c>
      <c r="Q68" s="1158">
        <f t="shared" si="27"/>
        <v>5085.8230206681565</v>
      </c>
      <c r="R68" s="1629">
        <f t="shared" si="32"/>
        <v>2610.9038782973907</v>
      </c>
      <c r="S68" s="1159">
        <v>0</v>
      </c>
      <c r="T68" s="1629">
        <f t="shared" si="28"/>
        <v>2610.9038782973907</v>
      </c>
      <c r="U68" s="1158"/>
      <c r="V68" s="1158">
        <f t="shared" si="29"/>
        <v>2610.9038782973907</v>
      </c>
      <c r="W68" s="1629">
        <f t="shared" si="18"/>
        <v>218</v>
      </c>
      <c r="X68" s="1640">
        <f t="shared" si="19"/>
        <v>6664.3854877542763</v>
      </c>
      <c r="Y68" s="1641">
        <f t="shared" si="33"/>
        <v>556</v>
      </c>
    </row>
    <row r="69" spans="1:25" ht="16.2" customHeight="1">
      <c r="A69" s="1162">
        <v>64</v>
      </c>
      <c r="B69" s="1152" t="s">
        <v>143</v>
      </c>
      <c r="C69" s="1153">
        <v>0.59358200000000005</v>
      </c>
      <c r="D69" s="1154">
        <f>'Table 3 Levels 1&amp;2'!AP67</f>
        <v>6870.4907532778252</v>
      </c>
      <c r="E69" s="1154">
        <f t="shared" si="21"/>
        <v>9044.2053418854994</v>
      </c>
      <c r="F69" s="1154">
        <f t="shared" si="22"/>
        <v>10514.552733747694</v>
      </c>
      <c r="G69" s="1622">
        <f t="shared" si="23"/>
        <v>6241.2492408034241</v>
      </c>
      <c r="H69" s="1155">
        <v>0</v>
      </c>
      <c r="I69" s="1622">
        <f t="shared" si="30"/>
        <v>6241.2492408034241</v>
      </c>
      <c r="J69" s="1154"/>
      <c r="K69" s="1154">
        <f t="shared" si="24"/>
        <v>6241.2492408034241</v>
      </c>
      <c r="L69" s="1622">
        <f t="shared" si="25"/>
        <v>520</v>
      </c>
      <c r="M69" s="1622">
        <f t="shared" si="26"/>
        <v>6241.2492408034241</v>
      </c>
      <c r="N69" s="1156">
        <f>'Table 3 Levels 1&amp;2'!AS67</f>
        <v>7398667</v>
      </c>
      <c r="O69" s="1157">
        <f>'Table 3 Levels 1&amp;2'!C67</f>
        <v>2354</v>
      </c>
      <c r="P69" s="1157">
        <f t="shared" si="31"/>
        <v>2354.593582</v>
      </c>
      <c r="Q69" s="1158">
        <f t="shared" si="27"/>
        <v>3142.2267760177733</v>
      </c>
      <c r="R69" s="1629">
        <f t="shared" si="32"/>
        <v>1865.1692541621821</v>
      </c>
      <c r="S69" s="1159">
        <v>0</v>
      </c>
      <c r="T69" s="1629">
        <f t="shared" si="28"/>
        <v>1865.1692541621821</v>
      </c>
      <c r="U69" s="1158"/>
      <c r="V69" s="1158">
        <f t="shared" si="29"/>
        <v>1865.1692541621821</v>
      </c>
      <c r="W69" s="1629">
        <f t="shared" si="18"/>
        <v>155</v>
      </c>
      <c r="X69" s="1640">
        <f t="shared" si="19"/>
        <v>8106.4184949656064</v>
      </c>
      <c r="Y69" s="1641">
        <f t="shared" si="33"/>
        <v>675</v>
      </c>
    </row>
    <row r="70" spans="1:25" ht="16.2" customHeight="1">
      <c r="A70" s="1134">
        <v>65</v>
      </c>
      <c r="B70" s="1135" t="s">
        <v>144</v>
      </c>
      <c r="C70" s="1136">
        <v>0</v>
      </c>
      <c r="D70" s="1137">
        <f>'Table 3 Levels 1&amp;2'!AP68</f>
        <v>5604.2805543943632</v>
      </c>
      <c r="E70" s="1137">
        <f t="shared" si="21"/>
        <v>7377.3862665191336</v>
      </c>
      <c r="F70" s="1137">
        <f t="shared" si="22"/>
        <v>8847.7336583813285</v>
      </c>
      <c r="G70" s="1623">
        <f t="shared" si="23"/>
        <v>0</v>
      </c>
      <c r="H70" s="1138">
        <v>0</v>
      </c>
      <c r="I70" s="1623">
        <f t="shared" ref="I70:I74" si="34">SUM(G70:H70)</f>
        <v>0</v>
      </c>
      <c r="J70" s="1137"/>
      <c r="K70" s="1137">
        <f t="shared" si="24"/>
        <v>0</v>
      </c>
      <c r="L70" s="1623">
        <f t="shared" si="25"/>
        <v>0</v>
      </c>
      <c r="M70" s="1623">
        <f t="shared" si="26"/>
        <v>0</v>
      </c>
      <c r="N70" s="1139">
        <f>'Table 3 Levels 1&amp;2'!AS68</f>
        <v>32861223.02</v>
      </c>
      <c r="O70" s="1140">
        <f>'Table 3 Levels 1&amp;2'!C68</f>
        <v>8176</v>
      </c>
      <c r="P70" s="1140">
        <f t="shared" ref="P70:P74" si="35">C70+O70</f>
        <v>8176</v>
      </c>
      <c r="Q70" s="1141">
        <f t="shared" si="27"/>
        <v>4019.2298214285715</v>
      </c>
      <c r="R70" s="1630">
        <f t="shared" ref="R70:R74" si="36">C70*Q70</f>
        <v>0</v>
      </c>
      <c r="S70" s="1142">
        <v>0</v>
      </c>
      <c r="T70" s="1630">
        <f t="shared" si="28"/>
        <v>0</v>
      </c>
      <c r="U70" s="1141"/>
      <c r="V70" s="1141">
        <f t="shared" si="29"/>
        <v>0</v>
      </c>
      <c r="W70" s="1630">
        <f t="shared" ref="W70:W73" si="37">ROUND(V70/12,0)</f>
        <v>0</v>
      </c>
      <c r="X70" s="1642">
        <f t="shared" ref="X70:X73" si="38">M70+T70</f>
        <v>0</v>
      </c>
      <c r="Y70" s="1643">
        <f t="shared" si="33"/>
        <v>0</v>
      </c>
    </row>
    <row r="71" spans="1:25" ht="16.2" customHeight="1">
      <c r="A71" s="1161">
        <v>66</v>
      </c>
      <c r="B71" s="1143" t="s">
        <v>145</v>
      </c>
      <c r="C71" s="1144">
        <v>0</v>
      </c>
      <c r="D71" s="1145">
        <f>'Table 3 Levels 1&amp;2'!AP69</f>
        <v>7294.068543391003</v>
      </c>
      <c r="E71" s="1145">
        <f t="shared" ref="E71:E75" si="39">D71*(1+$E$3)</f>
        <v>9601.7964441248787</v>
      </c>
      <c r="F71" s="1145">
        <f t="shared" ref="F71:F75" si="40">E71+$F$3</f>
        <v>11072.143835987074</v>
      </c>
      <c r="G71" s="1621">
        <f>C71*F71</f>
        <v>0</v>
      </c>
      <c r="H71" s="1146">
        <v>0</v>
      </c>
      <c r="I71" s="1625">
        <f t="shared" si="34"/>
        <v>0</v>
      </c>
      <c r="J71" s="1147"/>
      <c r="K71" s="1147">
        <f t="shared" ref="K71:K74" si="41">I71-J71</f>
        <v>0</v>
      </c>
      <c r="L71" s="1621">
        <f t="shared" ref="L71:L74" si="42">ROUND(K71/12,0)</f>
        <v>0</v>
      </c>
      <c r="M71" s="1625">
        <f t="shared" ref="M71:M74" si="43">I71</f>
        <v>0</v>
      </c>
      <c r="N71" s="1148">
        <f>'Table 3 Levels 1&amp;2'!AS69</f>
        <v>7392583</v>
      </c>
      <c r="O71" s="1149">
        <f>'Table 3 Levels 1&amp;2'!C69</f>
        <v>2023</v>
      </c>
      <c r="P71" s="1149">
        <f t="shared" si="35"/>
        <v>2023</v>
      </c>
      <c r="Q71" s="1150">
        <f t="shared" ref="Q71:Q75" si="44">N71/P71</f>
        <v>3654.2674246169054</v>
      </c>
      <c r="R71" s="1628">
        <f t="shared" si="36"/>
        <v>0</v>
      </c>
      <c r="S71" s="1151">
        <v>0</v>
      </c>
      <c r="T71" s="1628">
        <f t="shared" ref="T71:T74" si="45">R71+S71</f>
        <v>0</v>
      </c>
      <c r="U71" s="1150"/>
      <c r="V71" s="1150">
        <f t="shared" ref="V71:V74" si="46">T71-U71</f>
        <v>0</v>
      </c>
      <c r="W71" s="1628">
        <f t="shared" si="37"/>
        <v>0</v>
      </c>
      <c r="X71" s="1638">
        <f t="shared" si="38"/>
        <v>0</v>
      </c>
      <c r="Y71" s="1639">
        <f t="shared" si="33"/>
        <v>0</v>
      </c>
    </row>
    <row r="72" spans="1:25" ht="16.2" customHeight="1">
      <c r="A72" s="1162">
        <v>67</v>
      </c>
      <c r="B72" s="1152" t="s">
        <v>30</v>
      </c>
      <c r="C72" s="1153">
        <v>0</v>
      </c>
      <c r="D72" s="1154">
        <f>'Table 3 Levels 1&amp;2'!AP70</f>
        <v>5744.7567736134115</v>
      </c>
      <c r="E72" s="1154">
        <f t="shared" si="39"/>
        <v>7562.3069392764119</v>
      </c>
      <c r="F72" s="1154">
        <f t="shared" si="40"/>
        <v>9032.6543311386067</v>
      </c>
      <c r="G72" s="1622">
        <f>C72*F72</f>
        <v>0</v>
      </c>
      <c r="H72" s="1155">
        <v>0</v>
      </c>
      <c r="I72" s="1622">
        <f t="shared" si="34"/>
        <v>0</v>
      </c>
      <c r="J72" s="1154"/>
      <c r="K72" s="1154">
        <f t="shared" si="41"/>
        <v>0</v>
      </c>
      <c r="L72" s="1622">
        <f t="shared" si="42"/>
        <v>0</v>
      </c>
      <c r="M72" s="1622">
        <f t="shared" si="43"/>
        <v>0</v>
      </c>
      <c r="N72" s="1156">
        <f>'Table 3 Levels 1&amp;2'!AS70</f>
        <v>17275552.760000002</v>
      </c>
      <c r="O72" s="1157">
        <f>'Table 3 Levels 1&amp;2'!C70</f>
        <v>5261</v>
      </c>
      <c r="P72" s="1157">
        <f t="shared" si="35"/>
        <v>5261</v>
      </c>
      <c r="Q72" s="1158">
        <f t="shared" si="44"/>
        <v>3283.7013419502</v>
      </c>
      <c r="R72" s="1629">
        <f t="shared" si="36"/>
        <v>0</v>
      </c>
      <c r="S72" s="1159">
        <v>0</v>
      </c>
      <c r="T72" s="1629">
        <f t="shared" si="45"/>
        <v>0</v>
      </c>
      <c r="U72" s="1158"/>
      <c r="V72" s="1158">
        <f t="shared" si="46"/>
        <v>0</v>
      </c>
      <c r="W72" s="1629">
        <f t="shared" si="37"/>
        <v>0</v>
      </c>
      <c r="X72" s="1640">
        <f t="shared" si="38"/>
        <v>0</v>
      </c>
      <c r="Y72" s="1641">
        <f t="shared" si="33"/>
        <v>0</v>
      </c>
    </row>
    <row r="73" spans="1:25" ht="16.2" customHeight="1">
      <c r="A73" s="1162">
        <v>68</v>
      </c>
      <c r="B73" s="1164" t="s">
        <v>28</v>
      </c>
      <c r="C73" s="1153">
        <v>0.235294</v>
      </c>
      <c r="D73" s="1154">
        <f>'Table 3 Levels 1&amp;2'!AP71</f>
        <v>7188.8644202560608</v>
      </c>
      <c r="E73" s="1154">
        <f t="shared" si="39"/>
        <v>9463.307400676058</v>
      </c>
      <c r="F73" s="1154">
        <f t="shared" si="40"/>
        <v>10933.654792538253</v>
      </c>
      <c r="G73" s="1622">
        <f>C73*F73</f>
        <v>2572.6233707554957</v>
      </c>
      <c r="H73" s="1155">
        <v>0</v>
      </c>
      <c r="I73" s="1622">
        <f t="shared" si="34"/>
        <v>2572.6233707554957</v>
      </c>
      <c r="J73" s="1154"/>
      <c r="K73" s="1154">
        <f t="shared" si="41"/>
        <v>2572.6233707554957</v>
      </c>
      <c r="L73" s="1622">
        <f t="shared" si="42"/>
        <v>214</v>
      </c>
      <c r="M73" s="1622">
        <f t="shared" si="43"/>
        <v>2572.6233707554957</v>
      </c>
      <c r="N73" s="1156">
        <f>'Table 3 Levels 1&amp;2'!AS71</f>
        <v>4835631</v>
      </c>
      <c r="O73" s="1157">
        <f>'Table 3 Levels 1&amp;2'!C71</f>
        <v>1609</v>
      </c>
      <c r="P73" s="1157">
        <f t="shared" si="35"/>
        <v>1609.2352940000001</v>
      </c>
      <c r="Q73" s="1158">
        <f t="shared" si="44"/>
        <v>3004.9247726728022</v>
      </c>
      <c r="R73" s="1629">
        <f t="shared" si="36"/>
        <v>707.04076946127429</v>
      </c>
      <c r="S73" s="1159">
        <v>0</v>
      </c>
      <c r="T73" s="1629">
        <f t="shared" si="45"/>
        <v>707.04076946127429</v>
      </c>
      <c r="U73" s="1158"/>
      <c r="V73" s="1158">
        <f t="shared" si="46"/>
        <v>707.04076946127429</v>
      </c>
      <c r="W73" s="1629">
        <f t="shared" si="37"/>
        <v>59</v>
      </c>
      <c r="X73" s="1640">
        <f t="shared" si="38"/>
        <v>3279.6641402167697</v>
      </c>
      <c r="Y73" s="1641">
        <f t="shared" si="33"/>
        <v>273</v>
      </c>
    </row>
    <row r="74" spans="1:25" ht="16.2" customHeight="1">
      <c r="A74" s="1162">
        <v>69</v>
      </c>
      <c r="B74" s="1152" t="s">
        <v>183</v>
      </c>
      <c r="C74" s="1153">
        <v>0</v>
      </c>
      <c r="D74" s="1154">
        <f>'Table 3 Levels 1&amp;2'!AP72</f>
        <v>6428.1647921281337</v>
      </c>
      <c r="E74" s="1154">
        <f t="shared" si="39"/>
        <v>8461.9344438748885</v>
      </c>
      <c r="F74" s="1154">
        <f t="shared" si="40"/>
        <v>9932.2818357370834</v>
      </c>
      <c r="G74" s="1622">
        <f>C74*F74</f>
        <v>0</v>
      </c>
      <c r="H74" s="1155">
        <v>0</v>
      </c>
      <c r="I74" s="1622">
        <f t="shared" si="34"/>
        <v>0</v>
      </c>
      <c r="J74" s="1154"/>
      <c r="K74" s="1154">
        <f t="shared" si="41"/>
        <v>0</v>
      </c>
      <c r="L74" s="1622">
        <f t="shared" si="42"/>
        <v>0</v>
      </c>
      <c r="M74" s="1622">
        <f t="shared" si="43"/>
        <v>0</v>
      </c>
      <c r="N74" s="1156">
        <f>'Table 3 Levels 1&amp;2'!AS72</f>
        <v>12401236.58</v>
      </c>
      <c r="O74" s="1157">
        <f>'Table 3 Levels 1&amp;2'!C72</f>
        <v>4313</v>
      </c>
      <c r="P74" s="1157">
        <f t="shared" si="35"/>
        <v>4313</v>
      </c>
      <c r="Q74" s="1158">
        <f t="shared" si="44"/>
        <v>2875.3156920936704</v>
      </c>
      <c r="R74" s="1629">
        <f t="shared" si="36"/>
        <v>0</v>
      </c>
      <c r="S74" s="1159">
        <v>0</v>
      </c>
      <c r="T74" s="1629">
        <f t="shared" si="45"/>
        <v>0</v>
      </c>
      <c r="U74" s="1158"/>
      <c r="V74" s="1158">
        <f t="shared" si="46"/>
        <v>0</v>
      </c>
      <c r="W74" s="1629">
        <f>ROUND(V74/12,0)</f>
        <v>0</v>
      </c>
      <c r="X74" s="1640">
        <f>M74+T74</f>
        <v>0</v>
      </c>
      <c r="Y74" s="1641">
        <f t="shared" si="33"/>
        <v>0</v>
      </c>
    </row>
    <row r="75" spans="1:25" s="8" customFormat="1" ht="16.2" customHeight="1" thickBot="1">
      <c r="A75" s="2193" t="s">
        <v>1045</v>
      </c>
      <c r="B75" s="2194"/>
      <c r="C75" s="470">
        <f>SUM(C6:C74)</f>
        <v>278.73464700000005</v>
      </c>
      <c r="D75" s="471">
        <f>'Table 3 Levels 1&amp;2'!AP73</f>
        <v>5184.5770230051867</v>
      </c>
      <c r="E75" s="480">
        <f t="shared" si="39"/>
        <v>6824.8951771763186</v>
      </c>
      <c r="F75" s="480">
        <f t="shared" si="40"/>
        <v>8295.2425690385135</v>
      </c>
      <c r="G75" s="1564">
        <f>SUM(G6:G74)</f>
        <v>2285941.4773492529</v>
      </c>
      <c r="H75" s="471">
        <f t="shared" ref="H75:P75" si="47">SUM(H6:H74)</f>
        <v>0</v>
      </c>
      <c r="I75" s="1564">
        <f t="shared" si="47"/>
        <v>2285941.4773492529</v>
      </c>
      <c r="J75" s="639">
        <f t="shared" si="47"/>
        <v>0</v>
      </c>
      <c r="K75" s="639">
        <f t="shared" si="47"/>
        <v>2285941.4773492529</v>
      </c>
      <c r="L75" s="1564">
        <f t="shared" si="47"/>
        <v>190492</v>
      </c>
      <c r="M75" s="1560">
        <f t="shared" si="47"/>
        <v>2285941.4773492529</v>
      </c>
      <c r="N75" s="1036">
        <f t="shared" si="47"/>
        <v>2489593504.9600005</v>
      </c>
      <c r="O75" s="471">
        <f t="shared" si="47"/>
        <v>678570</v>
      </c>
      <c r="P75" s="636">
        <f t="shared" si="47"/>
        <v>678848.73464700009</v>
      </c>
      <c r="Q75" s="636">
        <f t="shared" si="44"/>
        <v>3667.3759232306502</v>
      </c>
      <c r="R75" s="1518">
        <f>SUM(R6:R74)</f>
        <v>1038019.2101004099</v>
      </c>
      <c r="S75" s="657">
        <f>SUM(S6:S74)</f>
        <v>0</v>
      </c>
      <c r="T75" s="1518">
        <f>SUM(T6:T74)</f>
        <v>1038019.2101004099</v>
      </c>
      <c r="U75" s="1482">
        <f>SUM(U6:U74)</f>
        <v>0</v>
      </c>
      <c r="V75" s="1481">
        <f t="shared" ref="V75" si="48">SUM(V6:V74)</f>
        <v>1038019.2101004099</v>
      </c>
      <c r="W75" s="1518">
        <f>SUM(W6:W74)</f>
        <v>86503</v>
      </c>
      <c r="X75" s="1634">
        <f>SUM(X6:X74)</f>
        <v>3323960.687449662</v>
      </c>
      <c r="Y75" s="1635">
        <f>SUM(Y6:Y74)</f>
        <v>276995</v>
      </c>
    </row>
    <row r="76" spans="1:25" s="8" customFormat="1" ht="16.2" customHeight="1" thickTop="1">
      <c r="A76" s="2197" t="s">
        <v>1039</v>
      </c>
      <c r="B76" s="2198"/>
      <c r="C76" s="523"/>
      <c r="D76" s="469"/>
      <c r="E76" s="479"/>
      <c r="F76" s="479"/>
      <c r="G76" s="479"/>
      <c r="H76" s="479"/>
      <c r="I76" s="1040">
        <f>'Table 4 Level 4'!E191</f>
        <v>0</v>
      </c>
      <c r="J76" s="635"/>
      <c r="K76" s="635">
        <f t="shared" ref="K76:K80" si="49">I76-J76</f>
        <v>0</v>
      </c>
      <c r="L76" s="1040">
        <f t="shared" ref="L76:L80" si="50">ROUND(K76/12,0)</f>
        <v>0</v>
      </c>
      <c r="M76" s="1040">
        <f>'Table 4 Level 4'!E191</f>
        <v>0</v>
      </c>
      <c r="N76" s="1033"/>
      <c r="O76" s="635"/>
      <c r="P76" s="635"/>
      <c r="Q76" s="634"/>
      <c r="R76" s="635"/>
      <c r="S76" s="635"/>
      <c r="T76" s="634"/>
      <c r="U76" s="634"/>
      <c r="V76" s="635"/>
      <c r="W76" s="635"/>
      <c r="X76" s="1636">
        <f t="shared" ref="X76:X80" si="51">M76+T76</f>
        <v>0</v>
      </c>
      <c r="Y76" s="1636">
        <f>L76+W76</f>
        <v>0</v>
      </c>
    </row>
    <row r="77" spans="1:25" s="8" customFormat="1" ht="16.2" customHeight="1">
      <c r="A77" s="2199" t="s">
        <v>1040</v>
      </c>
      <c r="B77" s="2200"/>
      <c r="C77" s="1163"/>
      <c r="D77" s="467"/>
      <c r="E77" s="477"/>
      <c r="F77" s="477"/>
      <c r="G77" s="477"/>
      <c r="H77" s="477"/>
      <c r="I77" s="637">
        <v>0</v>
      </c>
      <c r="J77" s="637"/>
      <c r="K77" s="637"/>
      <c r="L77" s="637">
        <v>0</v>
      </c>
      <c r="M77" s="1626">
        <f>'Table 4 Level 4'!J191</f>
        <v>0</v>
      </c>
      <c r="N77" s="1034"/>
      <c r="O77" s="637"/>
      <c r="P77" s="637"/>
      <c r="Q77" s="634"/>
      <c r="R77" s="655"/>
      <c r="S77" s="655"/>
      <c r="T77" s="634"/>
      <c r="U77" s="634"/>
      <c r="V77" s="637"/>
      <c r="W77" s="637"/>
      <c r="X77" s="1637">
        <f t="shared" si="51"/>
        <v>0</v>
      </c>
      <c r="Y77" s="1631">
        <f>L77+W77</f>
        <v>0</v>
      </c>
    </row>
    <row r="78" spans="1:25" s="8" customFormat="1" ht="16.2" customHeight="1">
      <c r="A78" s="2201" t="s">
        <v>1041</v>
      </c>
      <c r="B78" s="2202"/>
      <c r="C78" s="521"/>
      <c r="D78" s="467"/>
      <c r="E78" s="477"/>
      <c r="F78" s="477"/>
      <c r="G78" s="477"/>
      <c r="H78" s="477"/>
      <c r="I78" s="637">
        <v>0</v>
      </c>
      <c r="J78" s="637"/>
      <c r="K78" s="637"/>
      <c r="L78" s="637">
        <v>0</v>
      </c>
      <c r="M78" s="1626">
        <f>'Table 4 Level 4'!K191</f>
        <v>0</v>
      </c>
      <c r="N78" s="1034"/>
      <c r="O78" s="637"/>
      <c r="P78" s="637"/>
      <c r="Q78" s="634"/>
      <c r="R78" s="655"/>
      <c r="S78" s="655"/>
      <c r="T78" s="634"/>
      <c r="U78" s="634"/>
      <c r="V78" s="637"/>
      <c r="W78" s="637"/>
      <c r="X78" s="1637">
        <f t="shared" si="51"/>
        <v>0</v>
      </c>
      <c r="Y78" s="1631">
        <f>L78+W78</f>
        <v>0</v>
      </c>
    </row>
    <row r="79" spans="1:25" s="8" customFormat="1" ht="16.2" customHeight="1">
      <c r="A79" s="2201" t="s">
        <v>1042</v>
      </c>
      <c r="B79" s="2202"/>
      <c r="C79" s="521"/>
      <c r="D79" s="467"/>
      <c r="E79" s="477"/>
      <c r="F79" s="477"/>
      <c r="G79" s="477"/>
      <c r="H79" s="477"/>
      <c r="I79" s="637">
        <v>0</v>
      </c>
      <c r="J79" s="637"/>
      <c r="K79" s="637"/>
      <c r="L79" s="637">
        <v>0</v>
      </c>
      <c r="M79" s="1626">
        <f>'Table 4 Level 4'!L191</f>
        <v>0</v>
      </c>
      <c r="N79" s="1034"/>
      <c r="O79" s="637"/>
      <c r="P79" s="637"/>
      <c r="Q79" s="634"/>
      <c r="R79" s="655"/>
      <c r="S79" s="655"/>
      <c r="T79" s="634"/>
      <c r="U79" s="634"/>
      <c r="V79" s="637"/>
      <c r="W79" s="637"/>
      <c r="X79" s="1637">
        <f t="shared" si="51"/>
        <v>0</v>
      </c>
      <c r="Y79" s="1631">
        <f>L79+W79</f>
        <v>0</v>
      </c>
    </row>
    <row r="80" spans="1:25" s="8" customFormat="1" ht="16.2" customHeight="1">
      <c r="A80" s="2191" t="s">
        <v>1043</v>
      </c>
      <c r="B80" s="2192"/>
      <c r="C80" s="522"/>
      <c r="D80" s="468"/>
      <c r="E80" s="478"/>
      <c r="F80" s="478"/>
      <c r="G80" s="478"/>
      <c r="H80" s="478"/>
      <c r="I80" s="1042">
        <f>'Table 4 Level 4'!N191</f>
        <v>7254</v>
      </c>
      <c r="J80" s="638"/>
      <c r="K80" s="638">
        <f t="shared" si="49"/>
        <v>7254</v>
      </c>
      <c r="L80" s="1042">
        <f t="shared" si="50"/>
        <v>605</v>
      </c>
      <c r="M80" s="1627">
        <f>'Table 4 Level 4'!N191</f>
        <v>7254</v>
      </c>
      <c r="N80" s="1035"/>
      <c r="O80" s="638"/>
      <c r="P80" s="638"/>
      <c r="Q80" s="654"/>
      <c r="R80" s="656"/>
      <c r="S80" s="656"/>
      <c r="T80" s="654"/>
      <c r="U80" s="654"/>
      <c r="V80" s="638"/>
      <c r="W80" s="638"/>
      <c r="X80" s="1632">
        <f t="shared" si="51"/>
        <v>7254</v>
      </c>
      <c r="Y80" s="1633">
        <f>L80+W80</f>
        <v>605</v>
      </c>
    </row>
    <row r="81" spans="1:25" s="8" customFormat="1" ht="16.2" customHeight="1" thickBot="1">
      <c r="A81" s="2193" t="s">
        <v>1044</v>
      </c>
      <c r="B81" s="2194"/>
      <c r="C81" s="470">
        <f>SUM(C75:C80)</f>
        <v>278.73464700000005</v>
      </c>
      <c r="D81" s="471">
        <f t="shared" ref="D81:Y81" si="52">SUM(D75:D80)</f>
        <v>5184.5770230051867</v>
      </c>
      <c r="E81" s="480">
        <f t="shared" si="52"/>
        <v>6824.8951771763186</v>
      </c>
      <c r="F81" s="480">
        <f t="shared" si="52"/>
        <v>8295.2425690385135</v>
      </c>
      <c r="G81" s="480">
        <f t="shared" si="52"/>
        <v>2285941.4773492529</v>
      </c>
      <c r="H81" s="471">
        <f t="shared" si="52"/>
        <v>0</v>
      </c>
      <c r="I81" s="1624">
        <f t="shared" si="52"/>
        <v>2293195.4773492529</v>
      </c>
      <c r="J81" s="639">
        <f t="shared" si="52"/>
        <v>0</v>
      </c>
      <c r="K81" s="639">
        <f t="shared" si="52"/>
        <v>2293195.4773492529</v>
      </c>
      <c r="L81" s="1564">
        <f t="shared" si="52"/>
        <v>191097</v>
      </c>
      <c r="M81" s="1560">
        <f t="shared" si="52"/>
        <v>2293195.4773492529</v>
      </c>
      <c r="N81" s="1037">
        <f t="shared" si="52"/>
        <v>2489593504.9600005</v>
      </c>
      <c r="O81" s="471">
        <f t="shared" si="52"/>
        <v>678570</v>
      </c>
      <c r="P81" s="636">
        <f t="shared" si="52"/>
        <v>678848.73464700009</v>
      </c>
      <c r="Q81" s="636">
        <f t="shared" si="52"/>
        <v>3667.3759232306502</v>
      </c>
      <c r="R81" s="657">
        <f t="shared" si="52"/>
        <v>1038019.2101004099</v>
      </c>
      <c r="S81" s="657">
        <f t="shared" si="52"/>
        <v>0</v>
      </c>
      <c r="T81" s="636">
        <f t="shared" si="52"/>
        <v>1038019.2101004099</v>
      </c>
      <c r="U81" s="1030">
        <f t="shared" si="52"/>
        <v>0</v>
      </c>
      <c r="V81" s="1031">
        <f t="shared" si="52"/>
        <v>1038019.2101004099</v>
      </c>
      <c r="W81" s="660">
        <f t="shared" si="52"/>
        <v>86503</v>
      </c>
      <c r="X81" s="1634">
        <f t="shared" si="52"/>
        <v>3331214.687449662</v>
      </c>
      <c r="Y81" s="1635">
        <f t="shared" si="52"/>
        <v>277600</v>
      </c>
    </row>
    <row r="82" spans="1:25" ht="16.5" customHeight="1" thickTop="1">
      <c r="A82" s="337"/>
      <c r="C82" s="338"/>
      <c r="O82" s="338"/>
    </row>
    <row r="83" spans="1:25" ht="12.75" hidden="1" customHeight="1">
      <c r="E83" s="2">
        <v>177</v>
      </c>
      <c r="F83" s="2"/>
    </row>
    <row r="84" spans="1:25" hidden="1">
      <c r="E84" s="212">
        <v>233</v>
      </c>
      <c r="F84" s="53"/>
    </row>
    <row r="85" spans="1:25" hidden="1">
      <c r="E85" s="2">
        <f>E84-E83</f>
        <v>56</v>
      </c>
      <c r="F85" s="2"/>
    </row>
    <row r="86" spans="1:25" hidden="1">
      <c r="E86" s="2"/>
      <c r="F86" s="2"/>
    </row>
    <row r="87" spans="1:25" hidden="1">
      <c r="E87" s="2">
        <f>E85/E83</f>
        <v>0.31638418079096048</v>
      </c>
      <c r="F87" s="2"/>
      <c r="G87" s="339" t="s">
        <v>280</v>
      </c>
      <c r="H87" s="340"/>
      <c r="I87" s="340"/>
      <c r="J87" s="340"/>
      <c r="K87" s="340"/>
      <c r="L87" s="339"/>
      <c r="M87" s="1039"/>
    </row>
    <row r="88" spans="1:25" ht="10.5" hidden="1" customHeight="1"/>
    <row r="89" spans="1:25" hidden="1"/>
    <row r="90" spans="1:25" hidden="1">
      <c r="C90" s="341">
        <v>85661</v>
      </c>
      <c r="D90" s="342" t="s">
        <v>281</v>
      </c>
    </row>
    <row r="91" spans="1:25" hidden="1">
      <c r="C91" s="341">
        <v>650290</v>
      </c>
      <c r="D91" s="342" t="s">
        <v>282</v>
      </c>
    </row>
    <row r="92" spans="1:25" hidden="1">
      <c r="C92" s="343">
        <f>C90/C91</f>
        <v>0.13172738316750987</v>
      </c>
      <c r="D92" s="342" t="s">
        <v>283</v>
      </c>
    </row>
    <row r="93" spans="1:25" hidden="1">
      <c r="C93" s="341"/>
      <c r="D93" s="342"/>
    </row>
    <row r="94" spans="1:25" hidden="1">
      <c r="C94" s="341">
        <v>128510</v>
      </c>
      <c r="D94" s="1974" t="s">
        <v>1277</v>
      </c>
    </row>
    <row r="95" spans="1:25" hidden="1">
      <c r="C95" s="341">
        <v>911320</v>
      </c>
      <c r="D95" s="342" t="s">
        <v>284</v>
      </c>
    </row>
    <row r="96" spans="1:25" hidden="1">
      <c r="C96" s="343">
        <f>C94/C95</f>
        <v>0.14101523065443533</v>
      </c>
      <c r="D96" s="342" t="s">
        <v>285</v>
      </c>
    </row>
    <row r="97" spans="3:4" hidden="1">
      <c r="C97" s="341"/>
      <c r="D97" s="342"/>
    </row>
    <row r="98" spans="3:4" hidden="1">
      <c r="C98" s="344">
        <v>2663489616</v>
      </c>
      <c r="D98" s="327" t="s">
        <v>286</v>
      </c>
    </row>
    <row r="99" spans="3:4" hidden="1">
      <c r="C99" s="345">
        <f>C96</f>
        <v>0.14101523065443533</v>
      </c>
      <c r="D99" s="327"/>
    </row>
    <row r="100" spans="3:4" hidden="1">
      <c r="C100" s="346">
        <f>C98*C99</f>
        <v>375592602.54593337</v>
      </c>
      <c r="D100" s="342" t="s">
        <v>287</v>
      </c>
    </row>
    <row r="101" spans="3:4" hidden="1">
      <c r="C101" s="347">
        <f>50%/C96</f>
        <v>3.5457162866702978</v>
      </c>
      <c r="D101" s="327" t="s">
        <v>288</v>
      </c>
    </row>
    <row r="102" spans="3:4" hidden="1">
      <c r="C102" s="346">
        <f>C100*C101</f>
        <v>1331744808</v>
      </c>
      <c r="D102" s="1976" t="s">
        <v>1278</v>
      </c>
    </row>
    <row r="103" spans="3:4" hidden="1">
      <c r="C103" s="348">
        <f>C91</f>
        <v>650290</v>
      </c>
      <c r="D103" s="327" t="s">
        <v>289</v>
      </c>
    </row>
    <row r="104" spans="3:4" hidden="1">
      <c r="C104" s="346">
        <f>C102/C103</f>
        <v>2047.9244767719017</v>
      </c>
      <c r="D104" s="327" t="s">
        <v>290</v>
      </c>
    </row>
    <row r="105" spans="3:4" hidden="1">
      <c r="C105" s="349">
        <f>(C100/C103)*-1</f>
        <v>-577.57708490970697</v>
      </c>
      <c r="D105" s="327" t="s">
        <v>291</v>
      </c>
    </row>
    <row r="106" spans="3:4" hidden="1">
      <c r="C106" s="350">
        <f>SUM(C104:C105)</f>
        <v>1470.3473918621949</v>
      </c>
      <c r="D106" s="327" t="s">
        <v>292</v>
      </c>
    </row>
  </sheetData>
  <mergeCells count="33">
    <mergeCell ref="X1:X3"/>
    <mergeCell ref="Y1:Y3"/>
    <mergeCell ref="Q2:Q3"/>
    <mergeCell ref="R2:R3"/>
    <mergeCell ref="S2:S3"/>
    <mergeCell ref="T2:T3"/>
    <mergeCell ref="U2:U3"/>
    <mergeCell ref="T1:W1"/>
    <mergeCell ref="N1:S1"/>
    <mergeCell ref="H2:H3"/>
    <mergeCell ref="I2:I3"/>
    <mergeCell ref="J2:J3"/>
    <mergeCell ref="V2:V3"/>
    <mergeCell ref="W2:W3"/>
    <mergeCell ref="N2:N3"/>
    <mergeCell ref="O2:O3"/>
    <mergeCell ref="P2:P3"/>
    <mergeCell ref="A80:B80"/>
    <mergeCell ref="A81:B81"/>
    <mergeCell ref="M2:M3"/>
    <mergeCell ref="C1:I1"/>
    <mergeCell ref="J1:M1"/>
    <mergeCell ref="A75:B75"/>
    <mergeCell ref="A76:B76"/>
    <mergeCell ref="A77:B77"/>
    <mergeCell ref="A78:B78"/>
    <mergeCell ref="A79:B79"/>
    <mergeCell ref="K2:K3"/>
    <mergeCell ref="L2:L3"/>
    <mergeCell ref="A1:B2"/>
    <mergeCell ref="C2:C3"/>
    <mergeCell ref="D2:D3"/>
    <mergeCell ref="G2:G3"/>
  </mergeCells>
  <printOptions horizontalCentered="1"/>
  <pageMargins left="0.27" right="0.25" top="0.87" bottom="0.2" header="0.25" footer="0.2"/>
  <pageSetup paperSize="5" scale="65" firstPageNumber="90" fitToWidth="3" orientation="portrait" r:id="rId1"/>
  <headerFooter alignWithMargins="0">
    <oddHeader xml:space="preserve">&amp;L&amp;"Arial,Bold"&amp;16&amp;K000000Table 5A3:  FY2014-15 MFP Budget Letter &amp;"Arial,Regular"&amp;10
&amp;"Arial,Bold"&amp;14Office of Juvenile Justice (Based on Preliminary Data) &amp;R&amp;"Arial,Bold"&amp;12&amp;KFF0000
</oddHeader>
    <oddFooter>&amp;R&amp;9&amp;P</oddFooter>
  </headerFooter>
  <colBreaks count="3" manualBreakCount="3">
    <brk id="9" max="81" man="1"/>
    <brk id="13" max="81" man="1"/>
    <brk id="19" max="8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R83"/>
  <sheetViews>
    <sheetView view="pageBreakPreview" zoomScale="80" zoomScaleNormal="100" zoomScaleSheetLayoutView="80" workbookViewId="0">
      <pane xSplit="2" ySplit="6" topLeftCell="C7" activePane="bottomRight" state="frozen"/>
      <selection sqref="A1:H1"/>
      <selection pane="topRight" sqref="A1:H1"/>
      <selection pane="bottomLeft" sqref="A1:H1"/>
      <selection pane="bottomRight" sqref="A1:H1"/>
    </sheetView>
  </sheetViews>
  <sheetFormatPr defaultColWidth="8.88671875" defaultRowHeight="13.2"/>
  <cols>
    <col min="1" max="1" width="6.5546875" style="594" customWidth="1"/>
    <col min="2" max="2" width="37.5546875" style="594" customWidth="1"/>
    <col min="3" max="3" width="12.109375" style="594" bestFit="1" customWidth="1"/>
    <col min="4" max="5" width="10.33203125" style="594" bestFit="1" customWidth="1"/>
    <col min="6" max="7" width="12.33203125" style="594" bestFit="1" customWidth="1"/>
    <col min="8" max="8" width="11.5546875" style="594" bestFit="1" customWidth="1"/>
    <col min="9" max="9" width="12.33203125" style="594" bestFit="1" customWidth="1"/>
    <col min="10" max="10" width="13.44140625" style="594" bestFit="1" customWidth="1"/>
    <col min="11" max="12" width="11.88671875" style="594" bestFit="1" customWidth="1"/>
    <col min="13" max="13" width="13.44140625" style="594" bestFit="1" customWidth="1"/>
    <col min="14" max="14" width="14.6640625" style="594" customWidth="1"/>
    <col min="15" max="16" width="14" style="594" customWidth="1"/>
    <col min="17" max="17" width="10.6640625" style="594" customWidth="1"/>
    <col min="18" max="18" width="13.6640625" style="594" customWidth="1"/>
    <col min="19" max="16384" width="8.88671875" style="594"/>
  </cols>
  <sheetData>
    <row r="1" spans="1:18" ht="19.95" customHeight="1">
      <c r="A1" s="2226" t="s">
        <v>880</v>
      </c>
      <c r="B1" s="2226"/>
      <c r="C1" s="2213" t="s">
        <v>1089</v>
      </c>
      <c r="D1" s="2214"/>
      <c r="E1" s="2214"/>
      <c r="F1" s="2214"/>
      <c r="G1" s="2214"/>
      <c r="H1" s="2214"/>
      <c r="I1" s="2214"/>
      <c r="J1" s="2214"/>
      <c r="K1" s="2215"/>
      <c r="L1" s="2213" t="s">
        <v>1089</v>
      </c>
      <c r="M1" s="2214"/>
      <c r="N1" s="2214"/>
      <c r="O1" s="2214"/>
      <c r="P1" s="2214"/>
      <c r="Q1" s="2214"/>
      <c r="R1" s="2215"/>
    </row>
    <row r="2" spans="1:18" s="140" customFormat="1" ht="22.95" customHeight="1">
      <c r="A2" s="2226"/>
      <c r="B2" s="2226"/>
      <c r="C2" s="1565"/>
      <c r="D2" s="1566"/>
      <c r="E2" s="1566"/>
      <c r="F2" s="1566"/>
      <c r="G2" s="1566"/>
      <c r="H2" s="1566"/>
      <c r="I2" s="2227" t="s">
        <v>531</v>
      </c>
      <c r="J2" s="2228"/>
      <c r="K2" s="2229"/>
      <c r="L2" s="1565"/>
      <c r="M2" s="1566"/>
      <c r="N2" s="1566"/>
      <c r="O2" s="1566"/>
      <c r="P2" s="1566"/>
      <c r="Q2" s="1566"/>
      <c r="R2" s="1567"/>
    </row>
    <row r="3" spans="1:18" ht="135" customHeight="1">
      <c r="A3" s="2226"/>
      <c r="B3" s="2226"/>
      <c r="C3" s="2230" t="s">
        <v>933</v>
      </c>
      <c r="D3" s="2220" t="s">
        <v>1245</v>
      </c>
      <c r="E3" s="2220" t="s">
        <v>1246</v>
      </c>
      <c r="F3" s="2220" t="s">
        <v>1037</v>
      </c>
      <c r="G3" s="2220" t="s">
        <v>1038</v>
      </c>
      <c r="H3" s="2220" t="s">
        <v>982</v>
      </c>
      <c r="I3" s="2219" t="s">
        <v>758</v>
      </c>
      <c r="J3" s="2219" t="s">
        <v>759</v>
      </c>
      <c r="K3" s="2219" t="s">
        <v>538</v>
      </c>
      <c r="L3" s="2220" t="s">
        <v>983</v>
      </c>
      <c r="M3" s="2219" t="s">
        <v>1036</v>
      </c>
      <c r="N3" s="2220" t="s">
        <v>1052</v>
      </c>
      <c r="O3" s="2224" t="s">
        <v>981</v>
      </c>
      <c r="P3" s="2224" t="s">
        <v>761</v>
      </c>
      <c r="Q3" s="2220" t="s">
        <v>984</v>
      </c>
      <c r="R3" s="2220" t="s">
        <v>1053</v>
      </c>
    </row>
    <row r="4" spans="1:18" ht="22.2" customHeight="1">
      <c r="A4" s="2226"/>
      <c r="B4" s="2226"/>
      <c r="C4" s="2230"/>
      <c r="D4" s="2220"/>
      <c r="E4" s="2220"/>
      <c r="F4" s="2220"/>
      <c r="G4" s="2220"/>
      <c r="H4" s="2220"/>
      <c r="I4" s="2219"/>
      <c r="J4" s="2219"/>
      <c r="K4" s="2219"/>
      <c r="L4" s="2220"/>
      <c r="M4" s="2219"/>
      <c r="N4" s="2220"/>
      <c r="O4" s="2225"/>
      <c r="P4" s="2225"/>
      <c r="Q4" s="2220"/>
      <c r="R4" s="2220"/>
    </row>
    <row r="5" spans="1:18" ht="14.25" customHeight="1">
      <c r="A5" s="1165"/>
      <c r="B5" s="1166"/>
      <c r="C5" s="1167">
        <v>1</v>
      </c>
      <c r="D5" s="1167">
        <f t="shared" ref="D5" si="0">C5+1</f>
        <v>2</v>
      </c>
      <c r="E5" s="1167">
        <f>D5+1</f>
        <v>3</v>
      </c>
      <c r="F5" s="1167">
        <f t="shared" ref="F5:R5" si="1">E5+1</f>
        <v>4</v>
      </c>
      <c r="G5" s="1167">
        <f t="shared" si="1"/>
        <v>5</v>
      </c>
      <c r="H5" s="1167">
        <f t="shared" si="1"/>
        <v>6</v>
      </c>
      <c r="I5" s="1167">
        <f t="shared" si="1"/>
        <v>7</v>
      </c>
      <c r="J5" s="1167">
        <f t="shared" si="1"/>
        <v>8</v>
      </c>
      <c r="K5" s="1167">
        <f t="shared" si="1"/>
        <v>9</v>
      </c>
      <c r="L5" s="1167">
        <f t="shared" si="1"/>
        <v>10</v>
      </c>
      <c r="M5" s="1167">
        <f t="shared" si="1"/>
        <v>11</v>
      </c>
      <c r="N5" s="1167">
        <f t="shared" si="1"/>
        <v>12</v>
      </c>
      <c r="O5" s="1167">
        <f t="shared" si="1"/>
        <v>13</v>
      </c>
      <c r="P5" s="1167">
        <f t="shared" si="1"/>
        <v>14</v>
      </c>
      <c r="Q5" s="1167">
        <f t="shared" si="1"/>
        <v>15</v>
      </c>
      <c r="R5" s="1167">
        <f t="shared" si="1"/>
        <v>16</v>
      </c>
    </row>
    <row r="6" spans="1:18" ht="27" hidden="1" customHeight="1">
      <c r="A6" s="472"/>
      <c r="B6" s="473"/>
      <c r="C6" s="473"/>
      <c r="D6" s="473"/>
      <c r="E6" s="473"/>
      <c r="F6" s="473"/>
      <c r="G6" s="473"/>
      <c r="H6" s="473"/>
      <c r="I6" s="578"/>
      <c r="J6" s="578"/>
      <c r="K6" s="578"/>
      <c r="L6" s="578"/>
      <c r="M6" s="473"/>
      <c r="N6" s="473"/>
      <c r="O6" s="581"/>
      <c r="P6" s="581"/>
      <c r="Q6" s="473"/>
      <c r="R6" s="473"/>
    </row>
    <row r="7" spans="1:18" ht="16.2" customHeight="1">
      <c r="A7" s="1183">
        <v>1</v>
      </c>
      <c r="B7" s="1184" t="s">
        <v>81</v>
      </c>
      <c r="C7" s="1185">
        <f>+'[10]Table 8 Membership 2.1.14'!X3</f>
        <v>0</v>
      </c>
      <c r="D7" s="1186">
        <f>'Table 3 Levels 1&amp;2'!AL4+'Table 3 Levels 1&amp;2'!AT4</f>
        <v>6982.9784413349835</v>
      </c>
      <c r="E7" s="1187">
        <f>C7*D7</f>
        <v>0</v>
      </c>
      <c r="F7" s="1187">
        <f>'Table 3A Level 3'!C6</f>
        <v>777.48</v>
      </c>
      <c r="G7" s="1187">
        <f>C7*F7</f>
        <v>0</v>
      </c>
      <c r="H7" s="1538">
        <f>E7+G7</f>
        <v>0</v>
      </c>
      <c r="I7" s="1188"/>
      <c r="J7" s="1188"/>
      <c r="K7" s="1189">
        <f>+I7+J7</f>
        <v>0</v>
      </c>
      <c r="L7" s="1538">
        <f t="shared" ref="L7:L70" si="2">K7+H7</f>
        <v>0</v>
      </c>
      <c r="M7" s="1186">
        <v>0</v>
      </c>
      <c r="N7" s="1544">
        <f t="shared" ref="N7:N38" si="3">SUM(L7:M7)</f>
        <v>0</v>
      </c>
      <c r="O7" s="1188"/>
      <c r="P7" s="1188">
        <f>N7-O7</f>
        <v>0</v>
      </c>
      <c r="Q7" s="1544">
        <f>ROUND(P7/12,0)</f>
        <v>0</v>
      </c>
      <c r="R7" s="1556">
        <f>+N7</f>
        <v>0</v>
      </c>
    </row>
    <row r="8" spans="1:18" ht="16.2" customHeight="1">
      <c r="A8" s="1176">
        <v>2</v>
      </c>
      <c r="B8" s="1177" t="s">
        <v>82</v>
      </c>
      <c r="C8" s="1178">
        <f>+'[10]Table 8 Membership 2.1.14'!X4</f>
        <v>0</v>
      </c>
      <c r="D8" s="1179">
        <f>'Table 3 Levels 1&amp;2'!AL5+'Table 3 Levels 1&amp;2'!AT5</f>
        <v>9065.5866417386642</v>
      </c>
      <c r="E8" s="1180">
        <f t="shared" ref="E8:E71" si="4">C8*D8</f>
        <v>0</v>
      </c>
      <c r="F8" s="1180">
        <f>'Table 3A Level 3'!C7</f>
        <v>842.32</v>
      </c>
      <c r="G8" s="1180">
        <f t="shared" ref="G8:G71" si="5">C8*F8</f>
        <v>0</v>
      </c>
      <c r="H8" s="1539">
        <f t="shared" ref="H8:H71" si="6">E8+G8</f>
        <v>0</v>
      </c>
      <c r="I8" s="1181"/>
      <c r="J8" s="1181"/>
      <c r="K8" s="1182">
        <f t="shared" ref="K8:K71" si="7">+I8+J8</f>
        <v>0</v>
      </c>
      <c r="L8" s="1539">
        <f t="shared" si="2"/>
        <v>0</v>
      </c>
      <c r="M8" s="1179">
        <v>0</v>
      </c>
      <c r="N8" s="1545">
        <f t="shared" si="3"/>
        <v>0</v>
      </c>
      <c r="O8" s="1181"/>
      <c r="P8" s="1181">
        <f t="shared" ref="P8:P71" si="8">N8-O8</f>
        <v>0</v>
      </c>
      <c r="Q8" s="1545">
        <f t="shared" ref="Q8:Q71" si="9">ROUND(P8/12,0)</f>
        <v>0</v>
      </c>
      <c r="R8" s="1545">
        <f t="shared" ref="R8:R71" si="10">+N8</f>
        <v>0</v>
      </c>
    </row>
    <row r="9" spans="1:18" ht="16.2" customHeight="1">
      <c r="A9" s="1176">
        <v>3</v>
      </c>
      <c r="B9" s="1177" t="s">
        <v>83</v>
      </c>
      <c r="C9" s="1178">
        <f>+'[10]Table 8 Membership 2.1.14'!X5</f>
        <v>1</v>
      </c>
      <c r="D9" s="1179">
        <f>'Table 3 Levels 1&amp;2'!AL6+'Table 3 Levels 1&amp;2'!AT6</f>
        <v>7778.4862027396821</v>
      </c>
      <c r="E9" s="1180">
        <f t="shared" si="4"/>
        <v>7778.4862027396821</v>
      </c>
      <c r="F9" s="1180">
        <f>'Table 3A Level 3'!C8</f>
        <v>596.84</v>
      </c>
      <c r="G9" s="1180">
        <f t="shared" si="5"/>
        <v>596.84</v>
      </c>
      <c r="H9" s="1539">
        <f t="shared" si="6"/>
        <v>8375.3262027396813</v>
      </c>
      <c r="I9" s="1181"/>
      <c r="J9" s="1181"/>
      <c r="K9" s="1182">
        <f t="shared" si="7"/>
        <v>0</v>
      </c>
      <c r="L9" s="1539">
        <f t="shared" si="2"/>
        <v>8375.3262027396813</v>
      </c>
      <c r="M9" s="1179">
        <v>0</v>
      </c>
      <c r="N9" s="1545">
        <f t="shared" si="3"/>
        <v>8375.3262027396813</v>
      </c>
      <c r="O9" s="1181"/>
      <c r="P9" s="1181">
        <f t="shared" si="8"/>
        <v>8375.3262027396813</v>
      </c>
      <c r="Q9" s="1545">
        <f t="shared" si="9"/>
        <v>698</v>
      </c>
      <c r="R9" s="1545">
        <f t="shared" si="10"/>
        <v>8375.3262027396813</v>
      </c>
    </row>
    <row r="10" spans="1:18" ht="16.2" customHeight="1">
      <c r="A10" s="1176">
        <v>4</v>
      </c>
      <c r="B10" s="1177" t="s">
        <v>84</v>
      </c>
      <c r="C10" s="1178">
        <f>+'[10]Table 8 Membership 2.1.14'!X6</f>
        <v>0</v>
      </c>
      <c r="D10" s="1179">
        <f>'Table 3 Levels 1&amp;2'!AL7+'Table 3 Levels 1&amp;2'!AT7</f>
        <v>9351.9381446878579</v>
      </c>
      <c r="E10" s="1180">
        <f t="shared" si="4"/>
        <v>0</v>
      </c>
      <c r="F10" s="1180">
        <f>'Table 3A Level 3'!C9</f>
        <v>585.76</v>
      </c>
      <c r="G10" s="1180">
        <f t="shared" si="5"/>
        <v>0</v>
      </c>
      <c r="H10" s="1539">
        <f t="shared" si="6"/>
        <v>0</v>
      </c>
      <c r="I10" s="1181"/>
      <c r="J10" s="1181"/>
      <c r="K10" s="1182">
        <f t="shared" si="7"/>
        <v>0</v>
      </c>
      <c r="L10" s="1539">
        <f t="shared" si="2"/>
        <v>0</v>
      </c>
      <c r="M10" s="1179">
        <v>0</v>
      </c>
      <c r="N10" s="1545">
        <f t="shared" si="3"/>
        <v>0</v>
      </c>
      <c r="O10" s="1181"/>
      <c r="P10" s="1181">
        <f t="shared" si="8"/>
        <v>0</v>
      </c>
      <c r="Q10" s="1545">
        <f t="shared" si="9"/>
        <v>0</v>
      </c>
      <c r="R10" s="1545">
        <f t="shared" si="10"/>
        <v>0</v>
      </c>
    </row>
    <row r="11" spans="1:18" ht="16.2" customHeight="1">
      <c r="A11" s="1168">
        <v>5</v>
      </c>
      <c r="B11" s="1169" t="s">
        <v>85</v>
      </c>
      <c r="C11" s="1170">
        <f>+'[10]Table 8 Membership 2.1.14'!X7</f>
        <v>0</v>
      </c>
      <c r="D11" s="1171">
        <f>'Table 3 Levels 1&amp;2'!AL8+'Table 3 Levels 1&amp;2'!AT8</f>
        <v>7328.2705660099109</v>
      </c>
      <c r="E11" s="1172">
        <f t="shared" si="4"/>
        <v>0</v>
      </c>
      <c r="F11" s="1172">
        <f>'Table 3A Level 3'!C10</f>
        <v>555.91</v>
      </c>
      <c r="G11" s="1172">
        <f t="shared" si="5"/>
        <v>0</v>
      </c>
      <c r="H11" s="1540">
        <f t="shared" si="6"/>
        <v>0</v>
      </c>
      <c r="I11" s="1173"/>
      <c r="J11" s="1173"/>
      <c r="K11" s="1174">
        <f t="shared" si="7"/>
        <v>0</v>
      </c>
      <c r="L11" s="1540">
        <f t="shared" si="2"/>
        <v>0</v>
      </c>
      <c r="M11" s="1171">
        <v>0</v>
      </c>
      <c r="N11" s="1546">
        <f t="shared" si="3"/>
        <v>0</v>
      </c>
      <c r="O11" s="1175"/>
      <c r="P11" s="1173">
        <f t="shared" si="8"/>
        <v>0</v>
      </c>
      <c r="Q11" s="1550">
        <f t="shared" si="9"/>
        <v>0</v>
      </c>
      <c r="R11" s="1550">
        <f t="shared" si="10"/>
        <v>0</v>
      </c>
    </row>
    <row r="12" spans="1:18" ht="16.2" customHeight="1">
      <c r="A12" s="1183">
        <v>6</v>
      </c>
      <c r="B12" s="1184" t="s">
        <v>86</v>
      </c>
      <c r="C12" s="1185">
        <f>+'[10]Table 8 Membership 2.1.14'!X8</f>
        <v>0</v>
      </c>
      <c r="D12" s="1186">
        <f>'Table 3 Levels 1&amp;2'!AL9+'Table 3 Levels 1&amp;2'!AT9</f>
        <v>8698.058612495588</v>
      </c>
      <c r="E12" s="1187">
        <f t="shared" si="4"/>
        <v>0</v>
      </c>
      <c r="F12" s="1187">
        <f>'Table 3A Level 3'!C11</f>
        <v>545.4799999999999</v>
      </c>
      <c r="G12" s="1187">
        <f t="shared" si="5"/>
        <v>0</v>
      </c>
      <c r="H12" s="1538">
        <f t="shared" si="6"/>
        <v>0</v>
      </c>
      <c r="I12" s="1188"/>
      <c r="J12" s="1188"/>
      <c r="K12" s="1189">
        <f t="shared" si="7"/>
        <v>0</v>
      </c>
      <c r="L12" s="1538">
        <f t="shared" si="2"/>
        <v>0</v>
      </c>
      <c r="M12" s="1186">
        <v>0</v>
      </c>
      <c r="N12" s="1544">
        <f t="shared" si="3"/>
        <v>0</v>
      </c>
      <c r="O12" s="1188"/>
      <c r="P12" s="1188">
        <f t="shared" si="8"/>
        <v>0</v>
      </c>
      <c r="Q12" s="1544">
        <f t="shared" si="9"/>
        <v>0</v>
      </c>
      <c r="R12" s="1556">
        <f t="shared" si="10"/>
        <v>0</v>
      </c>
    </row>
    <row r="13" spans="1:18" ht="16.2" customHeight="1">
      <c r="A13" s="1176">
        <v>7</v>
      </c>
      <c r="B13" s="1177" t="s">
        <v>87</v>
      </c>
      <c r="C13" s="1178">
        <f>+'[10]Table 8 Membership 2.1.14'!X9</f>
        <v>0</v>
      </c>
      <c r="D13" s="1179">
        <f>'Table 3 Levels 1&amp;2'!AL10+'Table 3 Levels 1&amp;2'!AT10</f>
        <v>7984.0231963470324</v>
      </c>
      <c r="E13" s="1180">
        <f t="shared" si="4"/>
        <v>0</v>
      </c>
      <c r="F13" s="1180">
        <f>'Table 3A Level 3'!C12</f>
        <v>756.91999999999985</v>
      </c>
      <c r="G13" s="1180">
        <f t="shared" si="5"/>
        <v>0</v>
      </c>
      <c r="H13" s="1539">
        <f t="shared" si="6"/>
        <v>0</v>
      </c>
      <c r="I13" s="1181"/>
      <c r="J13" s="1181"/>
      <c r="K13" s="1182">
        <f t="shared" si="7"/>
        <v>0</v>
      </c>
      <c r="L13" s="1539">
        <f t="shared" si="2"/>
        <v>0</v>
      </c>
      <c r="M13" s="1179">
        <v>0</v>
      </c>
      <c r="N13" s="1545">
        <f t="shared" si="3"/>
        <v>0</v>
      </c>
      <c r="O13" s="1181"/>
      <c r="P13" s="1181">
        <f t="shared" si="8"/>
        <v>0</v>
      </c>
      <c r="Q13" s="1545">
        <f t="shared" si="9"/>
        <v>0</v>
      </c>
      <c r="R13" s="1545">
        <f t="shared" si="10"/>
        <v>0</v>
      </c>
    </row>
    <row r="14" spans="1:18" ht="16.2" customHeight="1">
      <c r="A14" s="1176">
        <v>8</v>
      </c>
      <c r="B14" s="1177" t="s">
        <v>88</v>
      </c>
      <c r="C14" s="1178">
        <f>+'[10]Table 8 Membership 2.1.14'!X10</f>
        <v>0</v>
      </c>
      <c r="D14" s="1179">
        <f>'Table 3 Levels 1&amp;2'!AL11+'Table 3 Levels 1&amp;2'!AT11</f>
        <v>8066.4624595588539</v>
      </c>
      <c r="E14" s="1180">
        <f t="shared" si="4"/>
        <v>0</v>
      </c>
      <c r="F14" s="1180">
        <f>'Table 3A Level 3'!C13</f>
        <v>725.76</v>
      </c>
      <c r="G14" s="1180">
        <f t="shared" si="5"/>
        <v>0</v>
      </c>
      <c r="H14" s="1539">
        <f t="shared" si="6"/>
        <v>0</v>
      </c>
      <c r="I14" s="1181"/>
      <c r="J14" s="1181"/>
      <c r="K14" s="1182">
        <f t="shared" si="7"/>
        <v>0</v>
      </c>
      <c r="L14" s="1539">
        <f t="shared" si="2"/>
        <v>0</v>
      </c>
      <c r="M14" s="1179">
        <v>0</v>
      </c>
      <c r="N14" s="1545">
        <f t="shared" si="3"/>
        <v>0</v>
      </c>
      <c r="O14" s="1181"/>
      <c r="P14" s="1181">
        <f t="shared" si="8"/>
        <v>0</v>
      </c>
      <c r="Q14" s="1545">
        <f t="shared" si="9"/>
        <v>0</v>
      </c>
      <c r="R14" s="1545">
        <f t="shared" si="10"/>
        <v>0</v>
      </c>
    </row>
    <row r="15" spans="1:18" ht="16.2" customHeight="1">
      <c r="A15" s="1176">
        <v>9</v>
      </c>
      <c r="B15" s="1177" t="s">
        <v>89</v>
      </c>
      <c r="C15" s="1178">
        <f>+'[10]Table 8 Membership 2.1.14'!X11</f>
        <v>0</v>
      </c>
      <c r="D15" s="1179">
        <f>'Table 3 Levels 1&amp;2'!AL12+'Table 3 Levels 1&amp;2'!AT12</f>
        <v>8101.8015072045009</v>
      </c>
      <c r="E15" s="1180">
        <f t="shared" si="4"/>
        <v>0</v>
      </c>
      <c r="F15" s="1180">
        <f>'Table 3A Level 3'!C14</f>
        <v>744.76</v>
      </c>
      <c r="G15" s="1180">
        <f t="shared" si="5"/>
        <v>0</v>
      </c>
      <c r="H15" s="1539">
        <f t="shared" si="6"/>
        <v>0</v>
      </c>
      <c r="I15" s="1181"/>
      <c r="J15" s="1181"/>
      <c r="K15" s="1182">
        <f t="shared" si="7"/>
        <v>0</v>
      </c>
      <c r="L15" s="1539">
        <f t="shared" si="2"/>
        <v>0</v>
      </c>
      <c r="M15" s="1179">
        <v>0</v>
      </c>
      <c r="N15" s="1545">
        <f t="shared" si="3"/>
        <v>0</v>
      </c>
      <c r="O15" s="1181"/>
      <c r="P15" s="1181">
        <f t="shared" si="8"/>
        <v>0</v>
      </c>
      <c r="Q15" s="1545">
        <f t="shared" si="9"/>
        <v>0</v>
      </c>
      <c r="R15" s="1545">
        <f t="shared" si="10"/>
        <v>0</v>
      </c>
    </row>
    <row r="16" spans="1:18" ht="16.2" customHeight="1">
      <c r="A16" s="1168">
        <v>10</v>
      </c>
      <c r="B16" s="1169" t="s">
        <v>90</v>
      </c>
      <c r="C16" s="1170">
        <f>+'[10]Table 8 Membership 2.1.14'!X12</f>
        <v>0</v>
      </c>
      <c r="D16" s="1171">
        <f>'Table 3 Levels 1&amp;2'!AL13+'Table 3 Levels 1&amp;2'!AT13</f>
        <v>8319.3647339184718</v>
      </c>
      <c r="E16" s="1172">
        <f t="shared" si="4"/>
        <v>0</v>
      </c>
      <c r="F16" s="1172">
        <f>'Table 3A Level 3'!C15</f>
        <v>608.04000000000008</v>
      </c>
      <c r="G16" s="1172">
        <f t="shared" si="5"/>
        <v>0</v>
      </c>
      <c r="H16" s="1540">
        <f t="shared" si="6"/>
        <v>0</v>
      </c>
      <c r="I16" s="1173"/>
      <c r="J16" s="1173"/>
      <c r="K16" s="1174">
        <f t="shared" si="7"/>
        <v>0</v>
      </c>
      <c r="L16" s="1540">
        <f t="shared" si="2"/>
        <v>0</v>
      </c>
      <c r="M16" s="1171">
        <v>0</v>
      </c>
      <c r="N16" s="1546">
        <f t="shared" si="3"/>
        <v>0</v>
      </c>
      <c r="O16" s="1175"/>
      <c r="P16" s="1173">
        <f t="shared" si="8"/>
        <v>0</v>
      </c>
      <c r="Q16" s="1550">
        <f t="shared" si="9"/>
        <v>0</v>
      </c>
      <c r="R16" s="1550">
        <f t="shared" si="10"/>
        <v>0</v>
      </c>
    </row>
    <row r="17" spans="1:18" ht="16.2" customHeight="1">
      <c r="A17" s="1183">
        <v>11</v>
      </c>
      <c r="B17" s="1184" t="s">
        <v>91</v>
      </c>
      <c r="C17" s="1185">
        <f>+'[10]Table 8 Membership 2.1.14'!X13</f>
        <v>0</v>
      </c>
      <c r="D17" s="1186">
        <f>'Table 3 Levels 1&amp;2'!AL14+'Table 3 Levels 1&amp;2'!AT14</f>
        <v>10505.297223635334</v>
      </c>
      <c r="E17" s="1187">
        <f t="shared" si="4"/>
        <v>0</v>
      </c>
      <c r="F17" s="1187">
        <f>'Table 3A Level 3'!C16</f>
        <v>706.55</v>
      </c>
      <c r="G17" s="1187">
        <f t="shared" si="5"/>
        <v>0</v>
      </c>
      <c r="H17" s="1538">
        <f t="shared" si="6"/>
        <v>0</v>
      </c>
      <c r="I17" s="1188"/>
      <c r="J17" s="1188"/>
      <c r="K17" s="1189">
        <f t="shared" si="7"/>
        <v>0</v>
      </c>
      <c r="L17" s="1538">
        <f t="shared" si="2"/>
        <v>0</v>
      </c>
      <c r="M17" s="1186">
        <v>0</v>
      </c>
      <c r="N17" s="1544">
        <f t="shared" si="3"/>
        <v>0</v>
      </c>
      <c r="O17" s="1188"/>
      <c r="P17" s="1188">
        <f t="shared" si="8"/>
        <v>0</v>
      </c>
      <c r="Q17" s="1544">
        <f t="shared" si="9"/>
        <v>0</v>
      </c>
      <c r="R17" s="1556">
        <f t="shared" si="10"/>
        <v>0</v>
      </c>
    </row>
    <row r="18" spans="1:18" ht="16.2" customHeight="1">
      <c r="A18" s="1176">
        <v>12</v>
      </c>
      <c r="B18" s="1177" t="s">
        <v>92</v>
      </c>
      <c r="C18" s="1178">
        <f>+'[10]Table 8 Membership 2.1.14'!X14</f>
        <v>0</v>
      </c>
      <c r="D18" s="1179">
        <f>'Table 3 Levels 1&amp;2'!AL15+'Table 3 Levels 1&amp;2'!AT15</f>
        <v>8147.7840983606566</v>
      </c>
      <c r="E18" s="1180">
        <f t="shared" si="4"/>
        <v>0</v>
      </c>
      <c r="F18" s="1180">
        <f>'Table 3A Level 3'!C17</f>
        <v>1063.31</v>
      </c>
      <c r="G18" s="1180">
        <f t="shared" si="5"/>
        <v>0</v>
      </c>
      <c r="H18" s="1539">
        <f t="shared" si="6"/>
        <v>0</v>
      </c>
      <c r="I18" s="1181"/>
      <c r="J18" s="1181"/>
      <c r="K18" s="1182">
        <f t="shared" si="7"/>
        <v>0</v>
      </c>
      <c r="L18" s="1539">
        <f t="shared" si="2"/>
        <v>0</v>
      </c>
      <c r="M18" s="1179">
        <v>0</v>
      </c>
      <c r="N18" s="1545">
        <f t="shared" si="3"/>
        <v>0</v>
      </c>
      <c r="O18" s="1181"/>
      <c r="P18" s="1181">
        <f t="shared" si="8"/>
        <v>0</v>
      </c>
      <c r="Q18" s="1545">
        <f t="shared" si="9"/>
        <v>0</v>
      </c>
      <c r="R18" s="1545">
        <f t="shared" si="10"/>
        <v>0</v>
      </c>
    </row>
    <row r="19" spans="1:18" ht="16.2" customHeight="1">
      <c r="A19" s="1176">
        <v>13</v>
      </c>
      <c r="B19" s="1177" t="s">
        <v>93</v>
      </c>
      <c r="C19" s="1178">
        <f>+'[10]Table 8 Membership 2.1.14'!X15</f>
        <v>0</v>
      </c>
      <c r="D19" s="1179">
        <f>'Table 3 Levels 1&amp;2'!AL16+'Table 3 Levels 1&amp;2'!AT16</f>
        <v>9171.2097758332202</v>
      </c>
      <c r="E19" s="1180">
        <f t="shared" si="4"/>
        <v>0</v>
      </c>
      <c r="F19" s="1180">
        <f>'Table 3A Level 3'!C18</f>
        <v>749.43000000000006</v>
      </c>
      <c r="G19" s="1180">
        <f t="shared" si="5"/>
        <v>0</v>
      </c>
      <c r="H19" s="1539">
        <f t="shared" si="6"/>
        <v>0</v>
      </c>
      <c r="I19" s="1181"/>
      <c r="J19" s="1181"/>
      <c r="K19" s="1182">
        <f t="shared" si="7"/>
        <v>0</v>
      </c>
      <c r="L19" s="1539">
        <f t="shared" si="2"/>
        <v>0</v>
      </c>
      <c r="M19" s="1179">
        <v>0</v>
      </c>
      <c r="N19" s="1545">
        <f t="shared" si="3"/>
        <v>0</v>
      </c>
      <c r="O19" s="1181"/>
      <c r="P19" s="1181">
        <f t="shared" si="8"/>
        <v>0</v>
      </c>
      <c r="Q19" s="1545">
        <f t="shared" si="9"/>
        <v>0</v>
      </c>
      <c r="R19" s="1545">
        <f t="shared" si="10"/>
        <v>0</v>
      </c>
    </row>
    <row r="20" spans="1:18" ht="16.2" customHeight="1">
      <c r="A20" s="1176">
        <v>14</v>
      </c>
      <c r="B20" s="1177" t="s">
        <v>94</v>
      </c>
      <c r="C20" s="1178">
        <f>+'[10]Table 8 Membership 2.1.14'!X16</f>
        <v>0</v>
      </c>
      <c r="D20" s="1179">
        <f>'Table 3 Levels 1&amp;2'!AL17+'Table 3 Levels 1&amp;2'!AT17</f>
        <v>9902.1209412499993</v>
      </c>
      <c r="E20" s="1180">
        <f t="shared" si="4"/>
        <v>0</v>
      </c>
      <c r="F20" s="1180">
        <f>'Table 3A Level 3'!C19</f>
        <v>809.9799999999999</v>
      </c>
      <c r="G20" s="1180">
        <f t="shared" si="5"/>
        <v>0</v>
      </c>
      <c r="H20" s="1539">
        <f t="shared" si="6"/>
        <v>0</v>
      </c>
      <c r="I20" s="1181"/>
      <c r="J20" s="1181"/>
      <c r="K20" s="1182">
        <f t="shared" si="7"/>
        <v>0</v>
      </c>
      <c r="L20" s="1539">
        <f t="shared" si="2"/>
        <v>0</v>
      </c>
      <c r="M20" s="1179">
        <v>0</v>
      </c>
      <c r="N20" s="1545">
        <f t="shared" si="3"/>
        <v>0</v>
      </c>
      <c r="O20" s="1181"/>
      <c r="P20" s="1181">
        <f t="shared" si="8"/>
        <v>0</v>
      </c>
      <c r="Q20" s="1545">
        <f t="shared" si="9"/>
        <v>0</v>
      </c>
      <c r="R20" s="1545">
        <f t="shared" si="10"/>
        <v>0</v>
      </c>
    </row>
    <row r="21" spans="1:18" ht="16.2" customHeight="1">
      <c r="A21" s="1168">
        <v>15</v>
      </c>
      <c r="B21" s="1169" t="s">
        <v>95</v>
      </c>
      <c r="C21" s="1170">
        <f>+'[10]Table 8 Membership 2.1.14'!X17</f>
        <v>0</v>
      </c>
      <c r="D21" s="1171">
        <f>'Table 3 Levels 1&amp;2'!AL18+'Table 3 Levels 1&amp;2'!AT18</f>
        <v>8626.4385214059948</v>
      </c>
      <c r="E21" s="1172">
        <f t="shared" si="4"/>
        <v>0</v>
      </c>
      <c r="F21" s="1172">
        <f>'Table 3A Level 3'!C20</f>
        <v>553.79999999999995</v>
      </c>
      <c r="G21" s="1172">
        <f t="shared" si="5"/>
        <v>0</v>
      </c>
      <c r="H21" s="1540">
        <f t="shared" si="6"/>
        <v>0</v>
      </c>
      <c r="I21" s="1173"/>
      <c r="J21" s="1173"/>
      <c r="K21" s="1174">
        <f t="shared" si="7"/>
        <v>0</v>
      </c>
      <c r="L21" s="1540">
        <f t="shared" si="2"/>
        <v>0</v>
      </c>
      <c r="M21" s="1171">
        <v>0</v>
      </c>
      <c r="N21" s="1546">
        <f t="shared" si="3"/>
        <v>0</v>
      </c>
      <c r="O21" s="1175"/>
      <c r="P21" s="1173">
        <f t="shared" si="8"/>
        <v>0</v>
      </c>
      <c r="Q21" s="1550">
        <f t="shared" si="9"/>
        <v>0</v>
      </c>
      <c r="R21" s="1550">
        <f t="shared" si="10"/>
        <v>0</v>
      </c>
    </row>
    <row r="22" spans="1:18" ht="16.2" customHeight="1">
      <c r="A22" s="1183">
        <v>16</v>
      </c>
      <c r="B22" s="1184" t="s">
        <v>96</v>
      </c>
      <c r="C22" s="1185">
        <f>+'[10]Table 8 Membership 2.1.14'!X18</f>
        <v>0</v>
      </c>
      <c r="D22" s="1186">
        <f>'Table 3 Levels 1&amp;2'!AL19+'Table 3 Levels 1&amp;2'!AT19</f>
        <v>7692.8994354342021</v>
      </c>
      <c r="E22" s="1187">
        <f t="shared" si="4"/>
        <v>0</v>
      </c>
      <c r="F22" s="1187">
        <f>'Table 3A Level 3'!C21</f>
        <v>686.73</v>
      </c>
      <c r="G22" s="1187">
        <f t="shared" si="5"/>
        <v>0</v>
      </c>
      <c r="H22" s="1538">
        <f t="shared" si="6"/>
        <v>0</v>
      </c>
      <c r="I22" s="1188"/>
      <c r="J22" s="1188"/>
      <c r="K22" s="1189">
        <f t="shared" si="7"/>
        <v>0</v>
      </c>
      <c r="L22" s="1538">
        <f t="shared" si="2"/>
        <v>0</v>
      </c>
      <c r="M22" s="1186">
        <v>0</v>
      </c>
      <c r="N22" s="1544">
        <f t="shared" si="3"/>
        <v>0</v>
      </c>
      <c r="O22" s="1188"/>
      <c r="P22" s="1188">
        <f t="shared" si="8"/>
        <v>0</v>
      </c>
      <c r="Q22" s="1544">
        <f t="shared" si="9"/>
        <v>0</v>
      </c>
      <c r="R22" s="1556">
        <f t="shared" si="10"/>
        <v>0</v>
      </c>
    </row>
    <row r="23" spans="1:18" ht="16.2" customHeight="1">
      <c r="A23" s="1176">
        <v>17</v>
      </c>
      <c r="B23" s="1177" t="s">
        <v>97</v>
      </c>
      <c r="C23" s="1178">
        <f>+'[10]Table 8 Membership 2.1.14'!X19</f>
        <v>0</v>
      </c>
      <c r="D23" s="1179">
        <f>'Table 3 Levels 1&amp;2'!AL20+'Table 3 Levels 1&amp;2'!AT20</f>
        <v>8082.3880368254495</v>
      </c>
      <c r="E23" s="1180">
        <f t="shared" si="4"/>
        <v>0</v>
      </c>
      <c r="F23" s="1180">
        <f>'Table 3A Level 3'!C22</f>
        <v>801.47762416806802</v>
      </c>
      <c r="G23" s="1180">
        <f t="shared" si="5"/>
        <v>0</v>
      </c>
      <c r="H23" s="1539">
        <f t="shared" si="6"/>
        <v>0</v>
      </c>
      <c r="I23" s="1181"/>
      <c r="J23" s="1181"/>
      <c r="K23" s="1182">
        <f t="shared" si="7"/>
        <v>0</v>
      </c>
      <c r="L23" s="1539">
        <f t="shared" si="2"/>
        <v>0</v>
      </c>
      <c r="M23" s="1179">
        <v>0</v>
      </c>
      <c r="N23" s="1545">
        <f t="shared" si="3"/>
        <v>0</v>
      </c>
      <c r="O23" s="1181"/>
      <c r="P23" s="1181">
        <f t="shared" si="8"/>
        <v>0</v>
      </c>
      <c r="Q23" s="1545">
        <f t="shared" si="9"/>
        <v>0</v>
      </c>
      <c r="R23" s="1545">
        <f t="shared" si="10"/>
        <v>0</v>
      </c>
    </row>
    <row r="24" spans="1:18" ht="16.2" customHeight="1">
      <c r="A24" s="1176">
        <v>18</v>
      </c>
      <c r="B24" s="1177" t="s">
        <v>98</v>
      </c>
      <c r="C24" s="1178">
        <f>+'[10]Table 8 Membership 2.1.14'!X20</f>
        <v>0</v>
      </c>
      <c r="D24" s="1179">
        <f>'Table 3 Levels 1&amp;2'!AL21+'Table 3 Levels 1&amp;2'!AT21</f>
        <v>9645.2333500475725</v>
      </c>
      <c r="E24" s="1180">
        <f t="shared" si="4"/>
        <v>0</v>
      </c>
      <c r="F24" s="1180">
        <f>'Table 3A Level 3'!C23</f>
        <v>845.94999999999993</v>
      </c>
      <c r="G24" s="1180">
        <f t="shared" si="5"/>
        <v>0</v>
      </c>
      <c r="H24" s="1539">
        <f t="shared" si="6"/>
        <v>0</v>
      </c>
      <c r="I24" s="1181"/>
      <c r="J24" s="1181"/>
      <c r="K24" s="1182">
        <f t="shared" si="7"/>
        <v>0</v>
      </c>
      <c r="L24" s="1539">
        <f t="shared" si="2"/>
        <v>0</v>
      </c>
      <c r="M24" s="1179">
        <v>0</v>
      </c>
      <c r="N24" s="1545">
        <f t="shared" si="3"/>
        <v>0</v>
      </c>
      <c r="O24" s="1181"/>
      <c r="P24" s="1181">
        <f t="shared" si="8"/>
        <v>0</v>
      </c>
      <c r="Q24" s="1545">
        <f t="shared" si="9"/>
        <v>0</v>
      </c>
      <c r="R24" s="1545">
        <f t="shared" si="10"/>
        <v>0</v>
      </c>
    </row>
    <row r="25" spans="1:18" ht="16.2" customHeight="1">
      <c r="A25" s="1176">
        <v>19</v>
      </c>
      <c r="B25" s="1177" t="s">
        <v>99</v>
      </c>
      <c r="C25" s="1178">
        <f>+'[10]Table 8 Membership 2.1.14'!X21</f>
        <v>0</v>
      </c>
      <c r="D25" s="1179">
        <f>'Table 3 Levels 1&amp;2'!AL22+'Table 3 Levels 1&amp;2'!AT22</f>
        <v>7915.8221869460449</v>
      </c>
      <c r="E25" s="1180">
        <f t="shared" si="4"/>
        <v>0</v>
      </c>
      <c r="F25" s="1180">
        <f>'Table 3A Level 3'!C24</f>
        <v>905.43</v>
      </c>
      <c r="G25" s="1180">
        <f t="shared" si="5"/>
        <v>0</v>
      </c>
      <c r="H25" s="1539">
        <f t="shared" si="6"/>
        <v>0</v>
      </c>
      <c r="I25" s="1181"/>
      <c r="J25" s="1181"/>
      <c r="K25" s="1182">
        <f t="shared" si="7"/>
        <v>0</v>
      </c>
      <c r="L25" s="1539">
        <f t="shared" si="2"/>
        <v>0</v>
      </c>
      <c r="M25" s="1179">
        <v>0</v>
      </c>
      <c r="N25" s="1545">
        <f t="shared" si="3"/>
        <v>0</v>
      </c>
      <c r="O25" s="1181"/>
      <c r="P25" s="1181">
        <f t="shared" si="8"/>
        <v>0</v>
      </c>
      <c r="Q25" s="1545">
        <f t="shared" si="9"/>
        <v>0</v>
      </c>
      <c r="R25" s="1545">
        <f t="shared" si="10"/>
        <v>0</v>
      </c>
    </row>
    <row r="26" spans="1:18" ht="16.2" customHeight="1">
      <c r="A26" s="1168">
        <v>20</v>
      </c>
      <c r="B26" s="1169" t="s">
        <v>100</v>
      </c>
      <c r="C26" s="1170">
        <f>+'[10]Table 8 Membership 2.1.14'!X22</f>
        <v>0</v>
      </c>
      <c r="D26" s="1171">
        <f>'Table 3 Levels 1&amp;2'!AL23+'Table 3 Levels 1&amp;2'!AT23</f>
        <v>7983.350156556201</v>
      </c>
      <c r="E26" s="1172">
        <f t="shared" si="4"/>
        <v>0</v>
      </c>
      <c r="F26" s="1172">
        <f>'Table 3A Level 3'!C25</f>
        <v>586.16999999999996</v>
      </c>
      <c r="G26" s="1172">
        <f t="shared" si="5"/>
        <v>0</v>
      </c>
      <c r="H26" s="1540">
        <f t="shared" si="6"/>
        <v>0</v>
      </c>
      <c r="I26" s="1173"/>
      <c r="J26" s="1173"/>
      <c r="K26" s="1174">
        <f t="shared" si="7"/>
        <v>0</v>
      </c>
      <c r="L26" s="1540">
        <f t="shared" si="2"/>
        <v>0</v>
      </c>
      <c r="M26" s="1171">
        <v>0</v>
      </c>
      <c r="N26" s="1546">
        <f t="shared" si="3"/>
        <v>0</v>
      </c>
      <c r="O26" s="1175"/>
      <c r="P26" s="1173">
        <f t="shared" si="8"/>
        <v>0</v>
      </c>
      <c r="Q26" s="1550">
        <f t="shared" si="9"/>
        <v>0</v>
      </c>
      <c r="R26" s="1550">
        <f t="shared" si="10"/>
        <v>0</v>
      </c>
    </row>
    <row r="27" spans="1:18" ht="16.2" customHeight="1">
      <c r="A27" s="1183">
        <v>21</v>
      </c>
      <c r="B27" s="1184" t="s">
        <v>101</v>
      </c>
      <c r="C27" s="1185">
        <f>+'[10]Table 8 Membership 2.1.14'!X23</f>
        <v>0</v>
      </c>
      <c r="D27" s="1186">
        <f>'Table 3 Levels 1&amp;2'!AL24+'Table 3 Levels 1&amp;2'!AT24</f>
        <v>8582.6142295867758</v>
      </c>
      <c r="E27" s="1187">
        <f t="shared" si="4"/>
        <v>0</v>
      </c>
      <c r="F27" s="1187">
        <f>'Table 3A Level 3'!C26</f>
        <v>610.35</v>
      </c>
      <c r="G27" s="1187">
        <f t="shared" si="5"/>
        <v>0</v>
      </c>
      <c r="H27" s="1538">
        <f t="shared" si="6"/>
        <v>0</v>
      </c>
      <c r="I27" s="1188"/>
      <c r="J27" s="1188"/>
      <c r="K27" s="1189">
        <f t="shared" si="7"/>
        <v>0</v>
      </c>
      <c r="L27" s="1538">
        <f t="shared" si="2"/>
        <v>0</v>
      </c>
      <c r="M27" s="1186">
        <v>0</v>
      </c>
      <c r="N27" s="1544">
        <f t="shared" si="3"/>
        <v>0</v>
      </c>
      <c r="O27" s="1188"/>
      <c r="P27" s="1188">
        <f t="shared" si="8"/>
        <v>0</v>
      </c>
      <c r="Q27" s="1544">
        <f t="shared" si="9"/>
        <v>0</v>
      </c>
      <c r="R27" s="1556">
        <f t="shared" si="10"/>
        <v>0</v>
      </c>
    </row>
    <row r="28" spans="1:18" ht="16.2" customHeight="1">
      <c r="A28" s="1176">
        <v>22</v>
      </c>
      <c r="B28" s="1177" t="s">
        <v>102</v>
      </c>
      <c r="C28" s="1178">
        <f>+'[10]Table 8 Membership 2.1.14'!X24</f>
        <v>0</v>
      </c>
      <c r="D28" s="1179">
        <f>'Table 3 Levels 1&amp;2'!AL25+'Table 3 Levels 1&amp;2'!AT25</f>
        <v>8167.3099808195993</v>
      </c>
      <c r="E28" s="1180">
        <f t="shared" si="4"/>
        <v>0</v>
      </c>
      <c r="F28" s="1180">
        <f>'Table 3A Level 3'!C27</f>
        <v>496.36</v>
      </c>
      <c r="G28" s="1180">
        <f t="shared" si="5"/>
        <v>0</v>
      </c>
      <c r="H28" s="1539">
        <f t="shared" si="6"/>
        <v>0</v>
      </c>
      <c r="I28" s="1181"/>
      <c r="J28" s="1181"/>
      <c r="K28" s="1182">
        <f t="shared" si="7"/>
        <v>0</v>
      </c>
      <c r="L28" s="1539">
        <f t="shared" si="2"/>
        <v>0</v>
      </c>
      <c r="M28" s="1179">
        <v>0</v>
      </c>
      <c r="N28" s="1545">
        <f t="shared" si="3"/>
        <v>0</v>
      </c>
      <c r="O28" s="1181"/>
      <c r="P28" s="1181">
        <f t="shared" si="8"/>
        <v>0</v>
      </c>
      <c r="Q28" s="1545">
        <f t="shared" si="9"/>
        <v>0</v>
      </c>
      <c r="R28" s="1545">
        <f t="shared" si="10"/>
        <v>0</v>
      </c>
    </row>
    <row r="29" spans="1:18" ht="16.2" customHeight="1">
      <c r="A29" s="1176">
        <v>23</v>
      </c>
      <c r="B29" s="1177" t="s">
        <v>103</v>
      </c>
      <c r="C29" s="1178">
        <f>+'[10]Table 8 Membership 2.1.14'!X25</f>
        <v>0</v>
      </c>
      <c r="D29" s="1179">
        <f>'Table 3 Levels 1&amp;2'!AL26+'Table 3 Levels 1&amp;2'!AT26</f>
        <v>8410.0315265979152</v>
      </c>
      <c r="E29" s="1180">
        <f t="shared" si="4"/>
        <v>0</v>
      </c>
      <c r="F29" s="1180">
        <f>'Table 3A Level 3'!C28</f>
        <v>688.58</v>
      </c>
      <c r="G29" s="1180">
        <f t="shared" si="5"/>
        <v>0</v>
      </c>
      <c r="H29" s="1539">
        <f t="shared" si="6"/>
        <v>0</v>
      </c>
      <c r="I29" s="1181"/>
      <c r="J29" s="1181"/>
      <c r="K29" s="1182">
        <f t="shared" si="7"/>
        <v>0</v>
      </c>
      <c r="L29" s="1539">
        <f t="shared" si="2"/>
        <v>0</v>
      </c>
      <c r="M29" s="1179">
        <v>0</v>
      </c>
      <c r="N29" s="1545">
        <f t="shared" si="3"/>
        <v>0</v>
      </c>
      <c r="O29" s="1181"/>
      <c r="P29" s="1181">
        <f t="shared" si="8"/>
        <v>0</v>
      </c>
      <c r="Q29" s="1545">
        <f t="shared" si="9"/>
        <v>0</v>
      </c>
      <c r="R29" s="1545">
        <f t="shared" si="10"/>
        <v>0</v>
      </c>
    </row>
    <row r="30" spans="1:18" ht="16.2" customHeight="1">
      <c r="A30" s="1176">
        <v>24</v>
      </c>
      <c r="B30" s="1177" t="s">
        <v>104</v>
      </c>
      <c r="C30" s="1178">
        <f>+'[10]Table 8 Membership 2.1.14'!X26</f>
        <v>0</v>
      </c>
      <c r="D30" s="1179">
        <f>'Table 3 Levels 1&amp;2'!AL27+'Table 3 Levels 1&amp;2'!AT27</f>
        <v>8097.6440361577006</v>
      </c>
      <c r="E30" s="1180">
        <f t="shared" si="4"/>
        <v>0</v>
      </c>
      <c r="F30" s="1180">
        <f>'Table 3A Level 3'!C29</f>
        <v>854.24999999999989</v>
      </c>
      <c r="G30" s="1180">
        <f t="shared" si="5"/>
        <v>0</v>
      </c>
      <c r="H30" s="1539">
        <f t="shared" si="6"/>
        <v>0</v>
      </c>
      <c r="I30" s="1181"/>
      <c r="J30" s="1181"/>
      <c r="K30" s="1182">
        <f t="shared" si="7"/>
        <v>0</v>
      </c>
      <c r="L30" s="1539">
        <f t="shared" si="2"/>
        <v>0</v>
      </c>
      <c r="M30" s="1179">
        <v>0</v>
      </c>
      <c r="N30" s="1545">
        <f t="shared" si="3"/>
        <v>0</v>
      </c>
      <c r="O30" s="1181"/>
      <c r="P30" s="1181">
        <f t="shared" si="8"/>
        <v>0</v>
      </c>
      <c r="Q30" s="1545">
        <f t="shared" si="9"/>
        <v>0</v>
      </c>
      <c r="R30" s="1545">
        <f t="shared" si="10"/>
        <v>0</v>
      </c>
    </row>
    <row r="31" spans="1:18" ht="16.2" customHeight="1">
      <c r="A31" s="1168">
        <v>25</v>
      </c>
      <c r="B31" s="1169" t="s">
        <v>105</v>
      </c>
      <c r="C31" s="1170">
        <f>+'[10]Table 8 Membership 2.1.14'!X27</f>
        <v>0</v>
      </c>
      <c r="D31" s="1171">
        <f>'Table 3 Levels 1&amp;2'!AL28+'Table 3 Levels 1&amp;2'!AT28</f>
        <v>8543.4620274945701</v>
      </c>
      <c r="E31" s="1172">
        <f t="shared" si="4"/>
        <v>0</v>
      </c>
      <c r="F31" s="1172">
        <f>'Table 3A Level 3'!C30</f>
        <v>653.73</v>
      </c>
      <c r="G31" s="1172">
        <f t="shared" si="5"/>
        <v>0</v>
      </c>
      <c r="H31" s="1540">
        <f t="shared" si="6"/>
        <v>0</v>
      </c>
      <c r="I31" s="1173"/>
      <c r="J31" s="1173"/>
      <c r="K31" s="1174">
        <f t="shared" si="7"/>
        <v>0</v>
      </c>
      <c r="L31" s="1540">
        <f t="shared" si="2"/>
        <v>0</v>
      </c>
      <c r="M31" s="1171">
        <v>0</v>
      </c>
      <c r="N31" s="1546">
        <f t="shared" si="3"/>
        <v>0</v>
      </c>
      <c r="O31" s="1175"/>
      <c r="P31" s="1173">
        <f t="shared" si="8"/>
        <v>0</v>
      </c>
      <c r="Q31" s="1550">
        <f t="shared" si="9"/>
        <v>0</v>
      </c>
      <c r="R31" s="1550">
        <f t="shared" si="10"/>
        <v>0</v>
      </c>
    </row>
    <row r="32" spans="1:18" ht="16.2" customHeight="1">
      <c r="A32" s="1183">
        <v>26</v>
      </c>
      <c r="B32" s="1184" t="s">
        <v>106</v>
      </c>
      <c r="C32" s="1185">
        <f>+'[10]Table 8 Membership 2.1.14'!X28</f>
        <v>48</v>
      </c>
      <c r="D32" s="1186">
        <f>'Table 3 Levels 1&amp;2'!AL29+'Table 3 Levels 1&amp;2'!AT29</f>
        <v>8210.4549970570843</v>
      </c>
      <c r="E32" s="1187">
        <f t="shared" si="4"/>
        <v>394101.83985874004</v>
      </c>
      <c r="F32" s="1187">
        <f>'Table 3A Level 3'!C31</f>
        <v>836.83</v>
      </c>
      <c r="G32" s="1187">
        <f t="shared" si="5"/>
        <v>40167.840000000004</v>
      </c>
      <c r="H32" s="1538">
        <f t="shared" si="6"/>
        <v>434269.67985874007</v>
      </c>
      <c r="I32" s="1188"/>
      <c r="J32" s="1188"/>
      <c r="K32" s="1189">
        <f t="shared" si="7"/>
        <v>0</v>
      </c>
      <c r="L32" s="1538">
        <f t="shared" si="2"/>
        <v>434269.67985874007</v>
      </c>
      <c r="M32" s="1186">
        <v>0</v>
      </c>
      <c r="N32" s="1544">
        <f t="shared" si="3"/>
        <v>434269.67985874007</v>
      </c>
      <c r="O32" s="1188"/>
      <c r="P32" s="1188">
        <f t="shared" si="8"/>
        <v>434269.67985874007</v>
      </c>
      <c r="Q32" s="1544">
        <f t="shared" si="9"/>
        <v>36189</v>
      </c>
      <c r="R32" s="1556">
        <f t="shared" si="10"/>
        <v>434269.67985874007</v>
      </c>
    </row>
    <row r="33" spans="1:18" ht="16.2" customHeight="1">
      <c r="A33" s="1176">
        <v>27</v>
      </c>
      <c r="B33" s="1177" t="s">
        <v>107</v>
      </c>
      <c r="C33" s="1178">
        <f>+'[10]Table 8 Membership 2.1.14'!X29</f>
        <v>0</v>
      </c>
      <c r="D33" s="1179">
        <f>'Table 3 Levels 1&amp;2'!AL30+'Table 3 Levels 1&amp;2'!AT30</f>
        <v>8955.5713839976997</v>
      </c>
      <c r="E33" s="1180">
        <f t="shared" si="4"/>
        <v>0</v>
      </c>
      <c r="F33" s="1180">
        <f>'Table 3A Level 3'!C32</f>
        <v>693.06</v>
      </c>
      <c r="G33" s="1180">
        <f t="shared" si="5"/>
        <v>0</v>
      </c>
      <c r="H33" s="1539">
        <f t="shared" si="6"/>
        <v>0</v>
      </c>
      <c r="I33" s="1181"/>
      <c r="J33" s="1181"/>
      <c r="K33" s="1182">
        <f t="shared" si="7"/>
        <v>0</v>
      </c>
      <c r="L33" s="1539">
        <f t="shared" si="2"/>
        <v>0</v>
      </c>
      <c r="M33" s="1179">
        <v>0</v>
      </c>
      <c r="N33" s="1545">
        <f t="shared" si="3"/>
        <v>0</v>
      </c>
      <c r="O33" s="1181"/>
      <c r="P33" s="1181">
        <f t="shared" si="8"/>
        <v>0</v>
      </c>
      <c r="Q33" s="1545">
        <f t="shared" si="9"/>
        <v>0</v>
      </c>
      <c r="R33" s="1545">
        <f t="shared" si="10"/>
        <v>0</v>
      </c>
    </row>
    <row r="34" spans="1:18" ht="16.2" customHeight="1">
      <c r="A34" s="1176">
        <v>28</v>
      </c>
      <c r="B34" s="1177" t="s">
        <v>108</v>
      </c>
      <c r="C34" s="1178">
        <f>+'[10]Table 8 Membership 2.1.14'!X30</f>
        <v>0</v>
      </c>
      <c r="D34" s="1179">
        <f>'Table 3 Levels 1&amp;2'!AL31+'Table 3 Levels 1&amp;2'!AT31</f>
        <v>7456.3358846568826</v>
      </c>
      <c r="E34" s="1180">
        <f t="shared" si="4"/>
        <v>0</v>
      </c>
      <c r="F34" s="1180">
        <f>'Table 3A Level 3'!C33</f>
        <v>694.4</v>
      </c>
      <c r="G34" s="1180">
        <f t="shared" si="5"/>
        <v>0</v>
      </c>
      <c r="H34" s="1539">
        <f t="shared" si="6"/>
        <v>0</v>
      </c>
      <c r="I34" s="1181"/>
      <c r="J34" s="1181"/>
      <c r="K34" s="1182">
        <f t="shared" si="7"/>
        <v>0</v>
      </c>
      <c r="L34" s="1539">
        <f t="shared" si="2"/>
        <v>0</v>
      </c>
      <c r="M34" s="1179">
        <v>0</v>
      </c>
      <c r="N34" s="1545">
        <f t="shared" si="3"/>
        <v>0</v>
      </c>
      <c r="O34" s="1181"/>
      <c r="P34" s="1181">
        <f t="shared" si="8"/>
        <v>0</v>
      </c>
      <c r="Q34" s="1545">
        <f t="shared" si="9"/>
        <v>0</v>
      </c>
      <c r="R34" s="1545">
        <f t="shared" si="10"/>
        <v>0</v>
      </c>
    </row>
    <row r="35" spans="1:18" ht="16.2" customHeight="1">
      <c r="A35" s="1176">
        <v>29</v>
      </c>
      <c r="B35" s="1177" t="s">
        <v>109</v>
      </c>
      <c r="C35" s="1178">
        <f>+'[10]Table 8 Membership 2.1.14'!X31</f>
        <v>1</v>
      </c>
      <c r="D35" s="1179">
        <f>'Table 3 Levels 1&amp;2'!AL32+'Table 3 Levels 1&amp;2'!AT32</f>
        <v>7545.1123210173719</v>
      </c>
      <c r="E35" s="1180">
        <f t="shared" si="4"/>
        <v>7545.1123210173719</v>
      </c>
      <c r="F35" s="1180">
        <f>'Table 3A Level 3'!C34</f>
        <v>754.94999999999993</v>
      </c>
      <c r="G35" s="1180">
        <f t="shared" si="5"/>
        <v>754.94999999999993</v>
      </c>
      <c r="H35" s="1539">
        <f t="shared" si="6"/>
        <v>8300.0623210173726</v>
      </c>
      <c r="I35" s="1181"/>
      <c r="J35" s="1181"/>
      <c r="K35" s="1182">
        <f t="shared" si="7"/>
        <v>0</v>
      </c>
      <c r="L35" s="1539">
        <f t="shared" si="2"/>
        <v>8300.0623210173726</v>
      </c>
      <c r="M35" s="1179">
        <v>0</v>
      </c>
      <c r="N35" s="1545">
        <f t="shared" si="3"/>
        <v>8300.0623210173726</v>
      </c>
      <c r="O35" s="1181"/>
      <c r="P35" s="1181">
        <f t="shared" si="8"/>
        <v>8300.0623210173726</v>
      </c>
      <c r="Q35" s="1545">
        <f t="shared" si="9"/>
        <v>692</v>
      </c>
      <c r="R35" s="1545">
        <f t="shared" si="10"/>
        <v>8300.0623210173726</v>
      </c>
    </row>
    <row r="36" spans="1:18" ht="16.2" customHeight="1">
      <c r="A36" s="1168">
        <v>30</v>
      </c>
      <c r="B36" s="1169" t="s">
        <v>110</v>
      </c>
      <c r="C36" s="1170">
        <f>+'[10]Table 8 Membership 2.1.14'!X32</f>
        <v>0</v>
      </c>
      <c r="D36" s="1171">
        <f>'Table 3 Levels 1&amp;2'!AL33+'Table 3 Levels 1&amp;2'!AT33</f>
        <v>8956.7027273996755</v>
      </c>
      <c r="E36" s="1172">
        <f t="shared" si="4"/>
        <v>0</v>
      </c>
      <c r="F36" s="1172">
        <f>'Table 3A Level 3'!C35</f>
        <v>727.17</v>
      </c>
      <c r="G36" s="1172">
        <f t="shared" si="5"/>
        <v>0</v>
      </c>
      <c r="H36" s="1540">
        <f t="shared" si="6"/>
        <v>0</v>
      </c>
      <c r="I36" s="1173"/>
      <c r="J36" s="1173"/>
      <c r="K36" s="1174">
        <f t="shared" si="7"/>
        <v>0</v>
      </c>
      <c r="L36" s="1540">
        <f t="shared" si="2"/>
        <v>0</v>
      </c>
      <c r="M36" s="1171">
        <v>0</v>
      </c>
      <c r="N36" s="1546">
        <f t="shared" si="3"/>
        <v>0</v>
      </c>
      <c r="O36" s="1175"/>
      <c r="P36" s="1173">
        <f t="shared" si="8"/>
        <v>0</v>
      </c>
      <c r="Q36" s="1550">
        <f t="shared" si="9"/>
        <v>0</v>
      </c>
      <c r="R36" s="1550">
        <f t="shared" si="10"/>
        <v>0</v>
      </c>
    </row>
    <row r="37" spans="1:18" ht="16.2" customHeight="1">
      <c r="A37" s="1183">
        <v>31</v>
      </c>
      <c r="B37" s="1184" t="s">
        <v>111</v>
      </c>
      <c r="C37" s="1185">
        <f>+'[10]Table 8 Membership 2.1.14'!X33</f>
        <v>0</v>
      </c>
      <c r="D37" s="1186">
        <f>'Table 3 Levels 1&amp;2'!AL34+'Table 3 Levels 1&amp;2'!AT34</f>
        <v>8360.1876716868537</v>
      </c>
      <c r="E37" s="1187">
        <f t="shared" si="4"/>
        <v>0</v>
      </c>
      <c r="F37" s="1187">
        <f>'Table 3A Level 3'!C36</f>
        <v>620.83000000000004</v>
      </c>
      <c r="G37" s="1187">
        <f t="shared" si="5"/>
        <v>0</v>
      </c>
      <c r="H37" s="1538">
        <f t="shared" si="6"/>
        <v>0</v>
      </c>
      <c r="I37" s="1188"/>
      <c r="J37" s="1188"/>
      <c r="K37" s="1189">
        <f t="shared" si="7"/>
        <v>0</v>
      </c>
      <c r="L37" s="1538">
        <f t="shared" si="2"/>
        <v>0</v>
      </c>
      <c r="M37" s="1186">
        <v>0</v>
      </c>
      <c r="N37" s="1544">
        <f t="shared" si="3"/>
        <v>0</v>
      </c>
      <c r="O37" s="1188"/>
      <c r="P37" s="1188">
        <f t="shared" si="8"/>
        <v>0</v>
      </c>
      <c r="Q37" s="1544">
        <f t="shared" si="9"/>
        <v>0</v>
      </c>
      <c r="R37" s="1556">
        <f t="shared" si="10"/>
        <v>0</v>
      </c>
    </row>
    <row r="38" spans="1:18" ht="16.2" customHeight="1">
      <c r="A38" s="1176">
        <v>32</v>
      </c>
      <c r="B38" s="1177" t="s">
        <v>112</v>
      </c>
      <c r="C38" s="1178">
        <f>+'[10]Table 8 Membership 2.1.14'!X34</f>
        <v>1</v>
      </c>
      <c r="D38" s="1179">
        <f>'Table 3 Levels 1&amp;2'!AL35+'Table 3 Levels 1&amp;2'!AT35</f>
        <v>7725.779189061127</v>
      </c>
      <c r="E38" s="1180">
        <f t="shared" si="4"/>
        <v>7725.779189061127</v>
      </c>
      <c r="F38" s="1180">
        <f>'Table 3A Level 3'!C37</f>
        <v>559.77</v>
      </c>
      <c r="G38" s="1180">
        <f t="shared" si="5"/>
        <v>559.77</v>
      </c>
      <c r="H38" s="1539">
        <f t="shared" si="6"/>
        <v>8285.5491890611265</v>
      </c>
      <c r="I38" s="1181"/>
      <c r="J38" s="1181"/>
      <c r="K38" s="1182">
        <f t="shared" si="7"/>
        <v>0</v>
      </c>
      <c r="L38" s="1539">
        <f t="shared" si="2"/>
        <v>8285.5491890611265</v>
      </c>
      <c r="M38" s="1179">
        <v>0</v>
      </c>
      <c r="N38" s="1545">
        <f t="shared" si="3"/>
        <v>8285.5491890611265</v>
      </c>
      <c r="O38" s="1181"/>
      <c r="P38" s="1181">
        <f t="shared" si="8"/>
        <v>8285.5491890611265</v>
      </c>
      <c r="Q38" s="1545">
        <f t="shared" si="9"/>
        <v>690</v>
      </c>
      <c r="R38" s="1545">
        <f t="shared" si="10"/>
        <v>8285.5491890611265</v>
      </c>
    </row>
    <row r="39" spans="1:18" ht="16.2" customHeight="1">
      <c r="A39" s="1176">
        <v>33</v>
      </c>
      <c r="B39" s="1177" t="s">
        <v>113</v>
      </c>
      <c r="C39" s="1178">
        <f>+'[10]Table 8 Membership 2.1.14'!X35</f>
        <v>0</v>
      </c>
      <c r="D39" s="1179">
        <f>'Table 3 Levels 1&amp;2'!AL36+'Table 3 Levels 1&amp;2'!AT36</f>
        <v>8946.2054558085238</v>
      </c>
      <c r="E39" s="1180">
        <f t="shared" si="4"/>
        <v>0</v>
      </c>
      <c r="F39" s="1180">
        <f>'Table 3A Level 3'!C38</f>
        <v>655.31000000000006</v>
      </c>
      <c r="G39" s="1180">
        <f t="shared" si="5"/>
        <v>0</v>
      </c>
      <c r="H39" s="1539">
        <f t="shared" si="6"/>
        <v>0</v>
      </c>
      <c r="I39" s="1181"/>
      <c r="J39" s="1181"/>
      <c r="K39" s="1182">
        <f t="shared" si="7"/>
        <v>0</v>
      </c>
      <c r="L39" s="1539">
        <f t="shared" si="2"/>
        <v>0</v>
      </c>
      <c r="M39" s="1179">
        <v>0</v>
      </c>
      <c r="N39" s="1545">
        <f t="shared" ref="N39:N70" si="11">SUM(L39:M39)</f>
        <v>0</v>
      </c>
      <c r="O39" s="1181"/>
      <c r="P39" s="1181">
        <f t="shared" si="8"/>
        <v>0</v>
      </c>
      <c r="Q39" s="1545">
        <f t="shared" si="9"/>
        <v>0</v>
      </c>
      <c r="R39" s="1545">
        <f t="shared" si="10"/>
        <v>0</v>
      </c>
    </row>
    <row r="40" spans="1:18" ht="16.2" customHeight="1">
      <c r="A40" s="1176">
        <v>34</v>
      </c>
      <c r="B40" s="1177" t="s">
        <v>114</v>
      </c>
      <c r="C40" s="1178">
        <f>+'[10]Table 8 Membership 2.1.14'!X36</f>
        <v>0</v>
      </c>
      <c r="D40" s="1179">
        <f>'Table 3 Levels 1&amp;2'!AL37+'Table 3 Levels 1&amp;2'!AT37</f>
        <v>9175.6276842789011</v>
      </c>
      <c r="E40" s="1180">
        <f t="shared" si="4"/>
        <v>0</v>
      </c>
      <c r="F40" s="1180">
        <f>'Table 3A Level 3'!C39</f>
        <v>644.11000000000013</v>
      </c>
      <c r="G40" s="1180">
        <f t="shared" si="5"/>
        <v>0</v>
      </c>
      <c r="H40" s="1539">
        <f t="shared" si="6"/>
        <v>0</v>
      </c>
      <c r="I40" s="1181"/>
      <c r="J40" s="1181"/>
      <c r="K40" s="1182">
        <f t="shared" si="7"/>
        <v>0</v>
      </c>
      <c r="L40" s="1539">
        <f t="shared" si="2"/>
        <v>0</v>
      </c>
      <c r="M40" s="1179">
        <v>0</v>
      </c>
      <c r="N40" s="1545">
        <f t="shared" si="11"/>
        <v>0</v>
      </c>
      <c r="O40" s="1181"/>
      <c r="P40" s="1181">
        <f t="shared" si="8"/>
        <v>0</v>
      </c>
      <c r="Q40" s="1545">
        <f t="shared" si="9"/>
        <v>0</v>
      </c>
      <c r="R40" s="1545">
        <f t="shared" si="10"/>
        <v>0</v>
      </c>
    </row>
    <row r="41" spans="1:18" ht="16.2" customHeight="1">
      <c r="A41" s="1168">
        <v>35</v>
      </c>
      <c r="B41" s="1169" t="s">
        <v>115</v>
      </c>
      <c r="C41" s="1170">
        <f>+'[10]Table 8 Membership 2.1.14'!X37</f>
        <v>0</v>
      </c>
      <c r="D41" s="1171">
        <f>'Table 3 Levels 1&amp;2'!AL38+'Table 3 Levels 1&amp;2'!AT38</f>
        <v>8462.9982060477596</v>
      </c>
      <c r="E41" s="1172">
        <f t="shared" si="4"/>
        <v>0</v>
      </c>
      <c r="F41" s="1172">
        <f>'Table 3A Level 3'!C40</f>
        <v>537.96</v>
      </c>
      <c r="G41" s="1172">
        <f t="shared" si="5"/>
        <v>0</v>
      </c>
      <c r="H41" s="1540">
        <f t="shared" si="6"/>
        <v>0</v>
      </c>
      <c r="I41" s="1173"/>
      <c r="J41" s="1173"/>
      <c r="K41" s="1174">
        <f t="shared" si="7"/>
        <v>0</v>
      </c>
      <c r="L41" s="1540">
        <f t="shared" si="2"/>
        <v>0</v>
      </c>
      <c r="M41" s="1171">
        <v>0</v>
      </c>
      <c r="N41" s="1546">
        <f t="shared" si="11"/>
        <v>0</v>
      </c>
      <c r="O41" s="1175"/>
      <c r="P41" s="1173">
        <f t="shared" si="8"/>
        <v>0</v>
      </c>
      <c r="Q41" s="1550">
        <f t="shared" si="9"/>
        <v>0</v>
      </c>
      <c r="R41" s="1550">
        <f t="shared" si="10"/>
        <v>0</v>
      </c>
    </row>
    <row r="42" spans="1:18" ht="16.2" customHeight="1">
      <c r="A42" s="1183">
        <v>36</v>
      </c>
      <c r="B42" s="1184" t="s">
        <v>116</v>
      </c>
      <c r="C42" s="1185">
        <f>+'[10]Table 8 Membership 2.1.14'!X38</f>
        <v>76</v>
      </c>
      <c r="D42" s="1186">
        <f>'Table 3 Levels 1&amp;2'!AL39+'Table 3 Levels 1&amp;2'!AT39</f>
        <v>8125.9709974327861</v>
      </c>
      <c r="E42" s="1187">
        <f t="shared" si="4"/>
        <v>617573.79580489174</v>
      </c>
      <c r="F42" s="1187">
        <f>'Table 5B1_RSD_Orleans'!F80</f>
        <v>746.0335616438357</v>
      </c>
      <c r="G42" s="1187">
        <f t="shared" si="5"/>
        <v>56698.550684931513</v>
      </c>
      <c r="H42" s="1538">
        <f t="shared" si="6"/>
        <v>674272.34648982319</v>
      </c>
      <c r="I42" s="1188"/>
      <c r="J42" s="1188"/>
      <c r="K42" s="1189">
        <f t="shared" si="7"/>
        <v>0</v>
      </c>
      <c r="L42" s="1538">
        <f t="shared" si="2"/>
        <v>674272.34648982319</v>
      </c>
      <c r="M42" s="1186">
        <v>0</v>
      </c>
      <c r="N42" s="1544">
        <f t="shared" si="11"/>
        <v>674272.34648982319</v>
      </c>
      <c r="O42" s="1188"/>
      <c r="P42" s="1188">
        <f t="shared" si="8"/>
        <v>674272.34648982319</v>
      </c>
      <c r="Q42" s="1544">
        <f t="shared" si="9"/>
        <v>56189</v>
      </c>
      <c r="R42" s="1556">
        <f t="shared" si="10"/>
        <v>674272.34648982319</v>
      </c>
    </row>
    <row r="43" spans="1:18" ht="16.2" customHeight="1">
      <c r="A43" s="1176">
        <v>37</v>
      </c>
      <c r="B43" s="1177" t="s">
        <v>117</v>
      </c>
      <c r="C43" s="1178">
        <f>+'[10]Table 8 Membership 2.1.14'!X39</f>
        <v>0</v>
      </c>
      <c r="D43" s="1179">
        <f>'Table 3 Levels 1&amp;2'!AL40+'Table 3 Levels 1&amp;2'!AT40</f>
        <v>8622.1539260317695</v>
      </c>
      <c r="E43" s="1180">
        <f t="shared" si="4"/>
        <v>0</v>
      </c>
      <c r="F43" s="1180">
        <f>'Table 3A Level 3'!C42</f>
        <v>653.61</v>
      </c>
      <c r="G43" s="1180">
        <f t="shared" si="5"/>
        <v>0</v>
      </c>
      <c r="H43" s="1539">
        <f t="shared" si="6"/>
        <v>0</v>
      </c>
      <c r="I43" s="1181"/>
      <c r="J43" s="1181"/>
      <c r="K43" s="1182">
        <f t="shared" si="7"/>
        <v>0</v>
      </c>
      <c r="L43" s="1539">
        <f t="shared" si="2"/>
        <v>0</v>
      </c>
      <c r="M43" s="1179">
        <v>0</v>
      </c>
      <c r="N43" s="1545">
        <f t="shared" si="11"/>
        <v>0</v>
      </c>
      <c r="O43" s="1181"/>
      <c r="P43" s="1181">
        <f t="shared" si="8"/>
        <v>0</v>
      </c>
      <c r="Q43" s="1545">
        <f t="shared" si="9"/>
        <v>0</v>
      </c>
      <c r="R43" s="1545">
        <f t="shared" si="10"/>
        <v>0</v>
      </c>
    </row>
    <row r="44" spans="1:18" ht="16.2" customHeight="1">
      <c r="A44" s="1176">
        <v>38</v>
      </c>
      <c r="B44" s="1177" t="s">
        <v>118</v>
      </c>
      <c r="C44" s="1178">
        <f>+'[10]Table 8 Membership 2.1.14'!X40</f>
        <v>2</v>
      </c>
      <c r="D44" s="1179">
        <f>'Table 3 Levels 1&amp;2'!AL41+'Table 3 Levels 1&amp;2'!AT41</f>
        <v>8414.5817552916888</v>
      </c>
      <c r="E44" s="1180">
        <f t="shared" si="4"/>
        <v>16829.163510583378</v>
      </c>
      <c r="F44" s="1180">
        <f>'Table 3A Level 3'!C43</f>
        <v>829.92000000000007</v>
      </c>
      <c r="G44" s="1180">
        <f t="shared" si="5"/>
        <v>1659.8400000000001</v>
      </c>
      <c r="H44" s="1539">
        <f t="shared" si="6"/>
        <v>18489.003510583378</v>
      </c>
      <c r="I44" s="1181"/>
      <c r="J44" s="1181"/>
      <c r="K44" s="1182">
        <f t="shared" si="7"/>
        <v>0</v>
      </c>
      <c r="L44" s="1539">
        <f t="shared" si="2"/>
        <v>18489.003510583378</v>
      </c>
      <c r="M44" s="1179">
        <v>0</v>
      </c>
      <c r="N44" s="1545">
        <f t="shared" si="11"/>
        <v>18489.003510583378</v>
      </c>
      <c r="O44" s="1181"/>
      <c r="P44" s="1181">
        <f t="shared" si="8"/>
        <v>18489.003510583378</v>
      </c>
      <c r="Q44" s="1545">
        <f t="shared" si="9"/>
        <v>1541</v>
      </c>
      <c r="R44" s="1545">
        <f t="shared" si="10"/>
        <v>18489.003510583378</v>
      </c>
    </row>
    <row r="45" spans="1:18" ht="16.2" customHeight="1">
      <c r="A45" s="1176">
        <v>39</v>
      </c>
      <c r="B45" s="1177" t="s">
        <v>119</v>
      </c>
      <c r="C45" s="1178">
        <f>+'[10]Table 8 Membership 2.1.14'!X41</f>
        <v>0</v>
      </c>
      <c r="D45" s="1179">
        <f>'Table 3 Levels 1&amp;2'!AL42+'Table 3 Levels 1&amp;2'!AT42</f>
        <v>8239.3056809295667</v>
      </c>
      <c r="E45" s="1180">
        <f t="shared" si="4"/>
        <v>0</v>
      </c>
      <c r="F45" s="1180">
        <f>'Table 3A Level 3'!C44</f>
        <v>779.65573042776396</v>
      </c>
      <c r="G45" s="1180">
        <f t="shared" si="5"/>
        <v>0</v>
      </c>
      <c r="H45" s="1539">
        <f t="shared" si="6"/>
        <v>0</v>
      </c>
      <c r="I45" s="1181"/>
      <c r="J45" s="1181"/>
      <c r="K45" s="1182">
        <f t="shared" si="7"/>
        <v>0</v>
      </c>
      <c r="L45" s="1539">
        <f t="shared" si="2"/>
        <v>0</v>
      </c>
      <c r="M45" s="1179">
        <v>0</v>
      </c>
      <c r="N45" s="1545">
        <f t="shared" si="11"/>
        <v>0</v>
      </c>
      <c r="O45" s="1181"/>
      <c r="P45" s="1181">
        <f t="shared" si="8"/>
        <v>0</v>
      </c>
      <c r="Q45" s="1545">
        <f t="shared" si="9"/>
        <v>0</v>
      </c>
      <c r="R45" s="1545">
        <f t="shared" si="10"/>
        <v>0</v>
      </c>
    </row>
    <row r="46" spans="1:18" ht="16.2" customHeight="1">
      <c r="A46" s="1168">
        <v>40</v>
      </c>
      <c r="B46" s="1169" t="s">
        <v>120</v>
      </c>
      <c r="C46" s="1170">
        <f>+'[10]Table 8 Membership 2.1.14'!X42</f>
        <v>0</v>
      </c>
      <c r="D46" s="1171">
        <f>'Table 3 Levels 1&amp;2'!AL43+'Table 3 Levels 1&amp;2'!AT43</f>
        <v>8217.96102856984</v>
      </c>
      <c r="E46" s="1172">
        <f t="shared" si="4"/>
        <v>0</v>
      </c>
      <c r="F46" s="1172">
        <f>'Table 3A Level 3'!C45</f>
        <v>700.2700000000001</v>
      </c>
      <c r="G46" s="1172">
        <f t="shared" si="5"/>
        <v>0</v>
      </c>
      <c r="H46" s="1540">
        <f t="shared" si="6"/>
        <v>0</v>
      </c>
      <c r="I46" s="1173"/>
      <c r="J46" s="1173"/>
      <c r="K46" s="1174">
        <f t="shared" si="7"/>
        <v>0</v>
      </c>
      <c r="L46" s="1540">
        <f t="shared" si="2"/>
        <v>0</v>
      </c>
      <c r="M46" s="1171">
        <v>0</v>
      </c>
      <c r="N46" s="1546">
        <f t="shared" si="11"/>
        <v>0</v>
      </c>
      <c r="O46" s="1175"/>
      <c r="P46" s="1173">
        <f t="shared" si="8"/>
        <v>0</v>
      </c>
      <c r="Q46" s="1550">
        <f t="shared" si="9"/>
        <v>0</v>
      </c>
      <c r="R46" s="1550">
        <f t="shared" si="10"/>
        <v>0</v>
      </c>
    </row>
    <row r="47" spans="1:18" ht="16.2" customHeight="1">
      <c r="A47" s="1183">
        <v>41</v>
      </c>
      <c r="B47" s="1184" t="s">
        <v>121</v>
      </c>
      <c r="C47" s="1185">
        <f>+'[10]Table 8 Membership 2.1.14'!X43</f>
        <v>0</v>
      </c>
      <c r="D47" s="1186">
        <f>'Table 3 Levels 1&amp;2'!AL44+'Table 3 Levels 1&amp;2'!AT44</f>
        <v>8413.194857471648</v>
      </c>
      <c r="E47" s="1187">
        <f t="shared" si="4"/>
        <v>0</v>
      </c>
      <c r="F47" s="1187">
        <f>'Table 3A Level 3'!C46</f>
        <v>886.22</v>
      </c>
      <c r="G47" s="1187">
        <f t="shared" si="5"/>
        <v>0</v>
      </c>
      <c r="H47" s="1538">
        <f t="shared" si="6"/>
        <v>0</v>
      </c>
      <c r="I47" s="1188"/>
      <c r="J47" s="1188"/>
      <c r="K47" s="1189">
        <f t="shared" si="7"/>
        <v>0</v>
      </c>
      <c r="L47" s="1538">
        <f t="shared" si="2"/>
        <v>0</v>
      </c>
      <c r="M47" s="1186">
        <v>0</v>
      </c>
      <c r="N47" s="1544">
        <f t="shared" si="11"/>
        <v>0</v>
      </c>
      <c r="O47" s="1188"/>
      <c r="P47" s="1188">
        <f t="shared" si="8"/>
        <v>0</v>
      </c>
      <c r="Q47" s="1544">
        <f t="shared" si="9"/>
        <v>0</v>
      </c>
      <c r="R47" s="1556">
        <f t="shared" si="10"/>
        <v>0</v>
      </c>
    </row>
    <row r="48" spans="1:18" ht="16.2" customHeight="1">
      <c r="A48" s="1176">
        <v>42</v>
      </c>
      <c r="B48" s="1177" t="s">
        <v>122</v>
      </c>
      <c r="C48" s="1178">
        <f>+'[10]Table 8 Membership 2.1.14'!X44</f>
        <v>0</v>
      </c>
      <c r="D48" s="1179">
        <f>'Table 3 Levels 1&amp;2'!AL45+'Table 3 Levels 1&amp;2'!AT45</f>
        <v>8785.2777751368685</v>
      </c>
      <c r="E48" s="1180">
        <f t="shared" si="4"/>
        <v>0</v>
      </c>
      <c r="F48" s="1180">
        <f>'Table 3A Level 3'!C47</f>
        <v>534.28</v>
      </c>
      <c r="G48" s="1180">
        <f t="shared" si="5"/>
        <v>0</v>
      </c>
      <c r="H48" s="1539">
        <f t="shared" si="6"/>
        <v>0</v>
      </c>
      <c r="I48" s="1181"/>
      <c r="J48" s="1181"/>
      <c r="K48" s="1182">
        <f t="shared" si="7"/>
        <v>0</v>
      </c>
      <c r="L48" s="1539">
        <f t="shared" si="2"/>
        <v>0</v>
      </c>
      <c r="M48" s="1179">
        <v>0</v>
      </c>
      <c r="N48" s="1545">
        <f t="shared" si="11"/>
        <v>0</v>
      </c>
      <c r="O48" s="1181"/>
      <c r="P48" s="1181">
        <f t="shared" si="8"/>
        <v>0</v>
      </c>
      <c r="Q48" s="1545">
        <f t="shared" si="9"/>
        <v>0</v>
      </c>
      <c r="R48" s="1545">
        <f t="shared" si="10"/>
        <v>0</v>
      </c>
    </row>
    <row r="49" spans="1:18" ht="16.2" customHeight="1">
      <c r="A49" s="1176">
        <v>43</v>
      </c>
      <c r="B49" s="1177" t="s">
        <v>123</v>
      </c>
      <c r="C49" s="1178">
        <f>+'[10]Table 8 Membership 2.1.14'!X45</f>
        <v>0</v>
      </c>
      <c r="D49" s="1179">
        <f>'Table 3 Levels 1&amp;2'!AL46+'Table 3 Levels 1&amp;2'!AT46</f>
        <v>9151.8938720594706</v>
      </c>
      <c r="E49" s="1180">
        <f t="shared" si="4"/>
        <v>0</v>
      </c>
      <c r="F49" s="1180">
        <f>'Table 3A Level 3'!C48</f>
        <v>574.6099999999999</v>
      </c>
      <c r="G49" s="1180">
        <f t="shared" si="5"/>
        <v>0</v>
      </c>
      <c r="H49" s="1539">
        <f t="shared" si="6"/>
        <v>0</v>
      </c>
      <c r="I49" s="1181"/>
      <c r="J49" s="1181"/>
      <c r="K49" s="1182">
        <f t="shared" si="7"/>
        <v>0</v>
      </c>
      <c r="L49" s="1539">
        <f t="shared" si="2"/>
        <v>0</v>
      </c>
      <c r="M49" s="1179">
        <v>0</v>
      </c>
      <c r="N49" s="1545">
        <f t="shared" si="11"/>
        <v>0</v>
      </c>
      <c r="O49" s="1181"/>
      <c r="P49" s="1181">
        <f t="shared" si="8"/>
        <v>0</v>
      </c>
      <c r="Q49" s="1545">
        <f t="shared" si="9"/>
        <v>0</v>
      </c>
      <c r="R49" s="1545">
        <f t="shared" si="10"/>
        <v>0</v>
      </c>
    </row>
    <row r="50" spans="1:18" ht="16.2" customHeight="1">
      <c r="A50" s="1176">
        <v>44</v>
      </c>
      <c r="B50" s="1177" t="s">
        <v>124</v>
      </c>
      <c r="C50" s="1178">
        <f>+'[10]Table 8 Membership 2.1.14'!X46</f>
        <v>6</v>
      </c>
      <c r="D50" s="1179">
        <f>'Table 3 Levels 1&amp;2'!AL47+'Table 3 Levels 1&amp;2'!AT47</f>
        <v>8460.7858151820365</v>
      </c>
      <c r="E50" s="1180">
        <f t="shared" si="4"/>
        <v>50764.714891092219</v>
      </c>
      <c r="F50" s="1180">
        <f>'Table 3A Level 3'!C49</f>
        <v>663.16000000000008</v>
      </c>
      <c r="G50" s="1180">
        <f t="shared" si="5"/>
        <v>3978.9600000000005</v>
      </c>
      <c r="H50" s="1539">
        <f t="shared" si="6"/>
        <v>54743.674891092218</v>
      </c>
      <c r="I50" s="1181"/>
      <c r="J50" s="1181"/>
      <c r="K50" s="1182">
        <f t="shared" si="7"/>
        <v>0</v>
      </c>
      <c r="L50" s="1539">
        <f t="shared" si="2"/>
        <v>54743.674891092218</v>
      </c>
      <c r="M50" s="1179">
        <v>0</v>
      </c>
      <c r="N50" s="1545">
        <f t="shared" si="11"/>
        <v>54743.674891092218</v>
      </c>
      <c r="O50" s="1181"/>
      <c r="P50" s="1181">
        <f t="shared" si="8"/>
        <v>54743.674891092218</v>
      </c>
      <c r="Q50" s="1545">
        <f t="shared" si="9"/>
        <v>4562</v>
      </c>
      <c r="R50" s="1545">
        <f t="shared" si="10"/>
        <v>54743.674891092218</v>
      </c>
    </row>
    <row r="51" spans="1:18" ht="16.2" customHeight="1">
      <c r="A51" s="1168">
        <v>45</v>
      </c>
      <c r="B51" s="1169" t="s">
        <v>125</v>
      </c>
      <c r="C51" s="1170">
        <f>+'[10]Table 8 Membership 2.1.14'!X47</f>
        <v>9</v>
      </c>
      <c r="D51" s="1171">
        <f>'Table 3 Levels 1&amp;2'!AL48+'Table 3 Levels 1&amp;2'!AT48</f>
        <v>7536.8772499469105</v>
      </c>
      <c r="E51" s="1172">
        <f t="shared" si="4"/>
        <v>67831.895249522189</v>
      </c>
      <c r="F51" s="1172">
        <f>'Table 3A Level 3'!C50</f>
        <v>753.96000000000015</v>
      </c>
      <c r="G51" s="1172">
        <f t="shared" si="5"/>
        <v>6785.6400000000012</v>
      </c>
      <c r="H51" s="1540">
        <f t="shared" si="6"/>
        <v>74617.535249522189</v>
      </c>
      <c r="I51" s="1173"/>
      <c r="J51" s="1173"/>
      <c r="K51" s="1174">
        <f t="shared" si="7"/>
        <v>0</v>
      </c>
      <c r="L51" s="1540">
        <f t="shared" si="2"/>
        <v>74617.535249522189</v>
      </c>
      <c r="M51" s="1171">
        <v>0</v>
      </c>
      <c r="N51" s="1546">
        <f t="shared" si="11"/>
        <v>74617.535249522189</v>
      </c>
      <c r="O51" s="1175"/>
      <c r="P51" s="1173">
        <f t="shared" si="8"/>
        <v>74617.535249522189</v>
      </c>
      <c r="Q51" s="1550">
        <f t="shared" si="9"/>
        <v>6218</v>
      </c>
      <c r="R51" s="1550">
        <f t="shared" si="10"/>
        <v>74617.535249522189</v>
      </c>
    </row>
    <row r="52" spans="1:18" ht="16.2" customHeight="1">
      <c r="A52" s="1183">
        <v>46</v>
      </c>
      <c r="B52" s="1184" t="s">
        <v>126</v>
      </c>
      <c r="C52" s="1185">
        <f>+'[10]Table 8 Membership 2.1.14'!X48</f>
        <v>0</v>
      </c>
      <c r="D52" s="1186">
        <f>'Table 3 Levels 1&amp;2'!AL49+'Table 3 Levels 1&amp;2'!AT49</f>
        <v>8543.9744468088393</v>
      </c>
      <c r="E52" s="1187">
        <f t="shared" si="4"/>
        <v>0</v>
      </c>
      <c r="F52" s="1187">
        <f>'Table 3A Level 3'!C51</f>
        <v>728.06</v>
      </c>
      <c r="G52" s="1187">
        <f t="shared" si="5"/>
        <v>0</v>
      </c>
      <c r="H52" s="1538">
        <f t="shared" si="6"/>
        <v>0</v>
      </c>
      <c r="I52" s="1188"/>
      <c r="J52" s="1188"/>
      <c r="K52" s="1189">
        <f t="shared" si="7"/>
        <v>0</v>
      </c>
      <c r="L52" s="1538">
        <f t="shared" si="2"/>
        <v>0</v>
      </c>
      <c r="M52" s="1186">
        <v>0</v>
      </c>
      <c r="N52" s="1544">
        <f t="shared" si="11"/>
        <v>0</v>
      </c>
      <c r="O52" s="1188"/>
      <c r="P52" s="1188">
        <f t="shared" si="8"/>
        <v>0</v>
      </c>
      <c r="Q52" s="1544">
        <f t="shared" si="9"/>
        <v>0</v>
      </c>
      <c r="R52" s="1556">
        <f t="shared" si="10"/>
        <v>0</v>
      </c>
    </row>
    <row r="53" spans="1:18" ht="16.2" customHeight="1">
      <c r="A53" s="1176">
        <v>47</v>
      </c>
      <c r="B53" s="1177" t="s">
        <v>127</v>
      </c>
      <c r="C53" s="1178">
        <f>+'[10]Table 8 Membership 2.1.14'!X49</f>
        <v>0</v>
      </c>
      <c r="D53" s="1179">
        <f>'Table 3 Levels 1&amp;2'!AL50+'Table 3 Levels 1&amp;2'!AT50</f>
        <v>8496.158525764673</v>
      </c>
      <c r="E53" s="1180">
        <f t="shared" si="4"/>
        <v>0</v>
      </c>
      <c r="F53" s="1180">
        <f>'Table 3A Level 3'!C52</f>
        <v>910.76</v>
      </c>
      <c r="G53" s="1180">
        <f t="shared" si="5"/>
        <v>0</v>
      </c>
      <c r="H53" s="1539">
        <f t="shared" si="6"/>
        <v>0</v>
      </c>
      <c r="I53" s="1181"/>
      <c r="J53" s="1181"/>
      <c r="K53" s="1182">
        <f t="shared" si="7"/>
        <v>0</v>
      </c>
      <c r="L53" s="1539">
        <f t="shared" si="2"/>
        <v>0</v>
      </c>
      <c r="M53" s="1179">
        <v>0</v>
      </c>
      <c r="N53" s="1545">
        <f t="shared" si="11"/>
        <v>0</v>
      </c>
      <c r="O53" s="1181"/>
      <c r="P53" s="1181">
        <f t="shared" si="8"/>
        <v>0</v>
      </c>
      <c r="Q53" s="1545">
        <f t="shared" si="9"/>
        <v>0</v>
      </c>
      <c r="R53" s="1545">
        <f t="shared" si="10"/>
        <v>0</v>
      </c>
    </row>
    <row r="54" spans="1:18" ht="16.2" customHeight="1">
      <c r="A54" s="1176">
        <v>48</v>
      </c>
      <c r="B54" s="1177" t="s">
        <v>178</v>
      </c>
      <c r="C54" s="1178">
        <f>+'[10]Table 8 Membership 2.1.14'!X50</f>
        <v>1</v>
      </c>
      <c r="D54" s="1179">
        <f>'Table 3 Levels 1&amp;2'!AL51+'Table 3 Levels 1&amp;2'!AT51</f>
        <v>8579.8882529800721</v>
      </c>
      <c r="E54" s="1180">
        <f t="shared" si="4"/>
        <v>8579.8882529800721</v>
      </c>
      <c r="F54" s="1180">
        <f>'Table 3A Level 3'!C53</f>
        <v>871.07</v>
      </c>
      <c r="G54" s="1180">
        <f t="shared" si="5"/>
        <v>871.07</v>
      </c>
      <c r="H54" s="1539">
        <f t="shared" si="6"/>
        <v>9450.9582529800718</v>
      </c>
      <c r="I54" s="1181"/>
      <c r="J54" s="1181"/>
      <c r="K54" s="1182">
        <f t="shared" si="7"/>
        <v>0</v>
      </c>
      <c r="L54" s="1539">
        <f t="shared" si="2"/>
        <v>9450.9582529800718</v>
      </c>
      <c r="M54" s="1179">
        <v>0</v>
      </c>
      <c r="N54" s="1545">
        <f t="shared" si="11"/>
        <v>9450.9582529800718</v>
      </c>
      <c r="O54" s="1181"/>
      <c r="P54" s="1181">
        <f t="shared" si="8"/>
        <v>9450.9582529800718</v>
      </c>
      <c r="Q54" s="1545">
        <f t="shared" si="9"/>
        <v>788</v>
      </c>
      <c r="R54" s="1545">
        <f t="shared" si="10"/>
        <v>9450.9582529800718</v>
      </c>
    </row>
    <row r="55" spans="1:18" ht="16.2" customHeight="1">
      <c r="A55" s="1176">
        <v>49</v>
      </c>
      <c r="B55" s="1177" t="s">
        <v>128</v>
      </c>
      <c r="C55" s="1178">
        <f>+'[10]Table 8 Membership 2.1.14'!X51</f>
        <v>0</v>
      </c>
      <c r="D55" s="1179">
        <f>'Table 3 Levels 1&amp;2'!AL52+'Table 3 Levels 1&amp;2'!AT52</f>
        <v>7455.4155315659191</v>
      </c>
      <c r="E55" s="1180">
        <f t="shared" si="4"/>
        <v>0</v>
      </c>
      <c r="F55" s="1180">
        <f>'Table 3A Level 3'!C54</f>
        <v>574.43999999999994</v>
      </c>
      <c r="G55" s="1180">
        <f t="shared" si="5"/>
        <v>0</v>
      </c>
      <c r="H55" s="1539">
        <f t="shared" si="6"/>
        <v>0</v>
      </c>
      <c r="I55" s="1181"/>
      <c r="J55" s="1181"/>
      <c r="K55" s="1182">
        <f t="shared" si="7"/>
        <v>0</v>
      </c>
      <c r="L55" s="1539">
        <f t="shared" si="2"/>
        <v>0</v>
      </c>
      <c r="M55" s="1179">
        <v>0</v>
      </c>
      <c r="N55" s="1545">
        <f t="shared" si="11"/>
        <v>0</v>
      </c>
      <c r="O55" s="1181"/>
      <c r="P55" s="1181">
        <f t="shared" si="8"/>
        <v>0</v>
      </c>
      <c r="Q55" s="1545">
        <f t="shared" si="9"/>
        <v>0</v>
      </c>
      <c r="R55" s="1545">
        <f t="shared" si="10"/>
        <v>0</v>
      </c>
    </row>
    <row r="56" spans="1:18" ht="16.2" customHeight="1">
      <c r="A56" s="1168">
        <v>50</v>
      </c>
      <c r="B56" s="1169" t="s">
        <v>129</v>
      </c>
      <c r="C56" s="1170">
        <f>+'[10]Table 8 Membership 2.1.14'!X52</f>
        <v>0</v>
      </c>
      <c r="D56" s="1171">
        <f>'Table 3 Levels 1&amp;2'!AL53+'Table 3 Levels 1&amp;2'!AT53</f>
        <v>8390.1392722701676</v>
      </c>
      <c r="E56" s="1172">
        <f t="shared" si="4"/>
        <v>0</v>
      </c>
      <c r="F56" s="1172">
        <f>'Table 3A Level 3'!C55</f>
        <v>634.46</v>
      </c>
      <c r="G56" s="1172">
        <f t="shared" si="5"/>
        <v>0</v>
      </c>
      <c r="H56" s="1540">
        <f t="shared" si="6"/>
        <v>0</v>
      </c>
      <c r="I56" s="1173"/>
      <c r="J56" s="1173"/>
      <c r="K56" s="1174">
        <f t="shared" si="7"/>
        <v>0</v>
      </c>
      <c r="L56" s="1540">
        <f t="shared" si="2"/>
        <v>0</v>
      </c>
      <c r="M56" s="1171">
        <v>0</v>
      </c>
      <c r="N56" s="1546">
        <f t="shared" si="11"/>
        <v>0</v>
      </c>
      <c r="O56" s="1175"/>
      <c r="P56" s="1173">
        <f t="shared" si="8"/>
        <v>0</v>
      </c>
      <c r="Q56" s="1550">
        <f t="shared" si="9"/>
        <v>0</v>
      </c>
      <c r="R56" s="1550">
        <f t="shared" si="10"/>
        <v>0</v>
      </c>
    </row>
    <row r="57" spans="1:18" ht="16.2" customHeight="1">
      <c r="A57" s="1183">
        <v>51</v>
      </c>
      <c r="B57" s="1184" t="s">
        <v>130</v>
      </c>
      <c r="C57" s="1185">
        <f>+'[10]Table 8 Membership 2.1.14'!X53</f>
        <v>0</v>
      </c>
      <c r="D57" s="1186">
        <f>'Table 3 Levels 1&amp;2'!AL54+'Table 3 Levels 1&amp;2'!AT54</f>
        <v>8413.1128602178997</v>
      </c>
      <c r="E57" s="1187">
        <f t="shared" si="4"/>
        <v>0</v>
      </c>
      <c r="F57" s="1187">
        <f>'Table 3A Level 3'!C56</f>
        <v>706.66</v>
      </c>
      <c r="G57" s="1187">
        <f t="shared" si="5"/>
        <v>0</v>
      </c>
      <c r="H57" s="1538">
        <f t="shared" si="6"/>
        <v>0</v>
      </c>
      <c r="I57" s="1188"/>
      <c r="J57" s="1188"/>
      <c r="K57" s="1189">
        <f t="shared" si="7"/>
        <v>0</v>
      </c>
      <c r="L57" s="1538">
        <f t="shared" si="2"/>
        <v>0</v>
      </c>
      <c r="M57" s="1186">
        <v>0</v>
      </c>
      <c r="N57" s="1544">
        <f t="shared" si="11"/>
        <v>0</v>
      </c>
      <c r="O57" s="1188"/>
      <c r="P57" s="1188">
        <f t="shared" si="8"/>
        <v>0</v>
      </c>
      <c r="Q57" s="1544">
        <f t="shared" si="9"/>
        <v>0</v>
      </c>
      <c r="R57" s="1556">
        <f t="shared" si="10"/>
        <v>0</v>
      </c>
    </row>
    <row r="58" spans="1:18" ht="16.2" customHeight="1">
      <c r="A58" s="1176">
        <v>52</v>
      </c>
      <c r="B58" s="1177" t="s">
        <v>131</v>
      </c>
      <c r="C58" s="1178">
        <f>+'[10]Table 8 Membership 2.1.14'!X54</f>
        <v>26</v>
      </c>
      <c r="D58" s="1179">
        <f>'Table 3 Levels 1&amp;2'!AL55+'Table 3 Levels 1&amp;2'!AT55</f>
        <v>8676.264584522818</v>
      </c>
      <c r="E58" s="1180">
        <f t="shared" si="4"/>
        <v>225582.87919759325</v>
      </c>
      <c r="F58" s="1180">
        <f>'Table 3A Level 3'!C57</f>
        <v>658.37</v>
      </c>
      <c r="G58" s="1180">
        <f t="shared" si="5"/>
        <v>17117.62</v>
      </c>
      <c r="H58" s="1539">
        <f t="shared" si="6"/>
        <v>242700.49919759325</v>
      </c>
      <c r="I58" s="1181"/>
      <c r="J58" s="1181"/>
      <c r="K58" s="1182">
        <f t="shared" si="7"/>
        <v>0</v>
      </c>
      <c r="L58" s="1539">
        <f t="shared" si="2"/>
        <v>242700.49919759325</v>
      </c>
      <c r="M58" s="1179">
        <v>0</v>
      </c>
      <c r="N58" s="1545">
        <f t="shared" si="11"/>
        <v>242700.49919759325</v>
      </c>
      <c r="O58" s="1181"/>
      <c r="P58" s="1181">
        <f t="shared" si="8"/>
        <v>242700.49919759325</v>
      </c>
      <c r="Q58" s="1545">
        <f t="shared" si="9"/>
        <v>20225</v>
      </c>
      <c r="R58" s="1545">
        <f t="shared" si="10"/>
        <v>242700.49919759325</v>
      </c>
    </row>
    <row r="59" spans="1:18" ht="16.2" customHeight="1">
      <c r="A59" s="1176">
        <v>53</v>
      </c>
      <c r="B59" s="1177" t="s">
        <v>132</v>
      </c>
      <c r="C59" s="1178">
        <f>+'[10]Table 8 Membership 2.1.14'!X55</f>
        <v>3</v>
      </c>
      <c r="D59" s="1179">
        <f>'Table 3 Levels 1&amp;2'!AL56+'Table 3 Levels 1&amp;2'!AT56</f>
        <v>7191.4708194045488</v>
      </c>
      <c r="E59" s="1180">
        <f t="shared" si="4"/>
        <v>21574.412458213646</v>
      </c>
      <c r="F59" s="1180">
        <f>'Table 3A Level 3'!C58</f>
        <v>689.74</v>
      </c>
      <c r="G59" s="1180">
        <f t="shared" si="5"/>
        <v>2069.2200000000003</v>
      </c>
      <c r="H59" s="1539">
        <f t="shared" si="6"/>
        <v>23643.632458213648</v>
      </c>
      <c r="I59" s="1181"/>
      <c r="J59" s="1181"/>
      <c r="K59" s="1182">
        <f t="shared" si="7"/>
        <v>0</v>
      </c>
      <c r="L59" s="1539">
        <f t="shared" si="2"/>
        <v>23643.632458213648</v>
      </c>
      <c r="M59" s="1179">
        <v>0</v>
      </c>
      <c r="N59" s="1545">
        <f t="shared" si="11"/>
        <v>23643.632458213648</v>
      </c>
      <c r="O59" s="1181"/>
      <c r="P59" s="1181">
        <f t="shared" si="8"/>
        <v>23643.632458213648</v>
      </c>
      <c r="Q59" s="1545">
        <f t="shared" si="9"/>
        <v>1970</v>
      </c>
      <c r="R59" s="1545">
        <f t="shared" si="10"/>
        <v>23643.632458213648</v>
      </c>
    </row>
    <row r="60" spans="1:18" ht="16.2" customHeight="1">
      <c r="A60" s="1176">
        <v>54</v>
      </c>
      <c r="B60" s="1177" t="s">
        <v>133</v>
      </c>
      <c r="C60" s="1178">
        <f>+'[10]Table 8 Membership 2.1.14'!X56</f>
        <v>0</v>
      </c>
      <c r="D60" s="1179">
        <f>'Table 3 Levels 1&amp;2'!AL57+'Table 3 Levels 1&amp;2'!AT57</f>
        <v>9815.1598370516713</v>
      </c>
      <c r="E60" s="1180">
        <f t="shared" si="4"/>
        <v>0</v>
      </c>
      <c r="F60" s="1180">
        <f>'Table 3A Level 3'!C59</f>
        <v>951.45</v>
      </c>
      <c r="G60" s="1180">
        <f t="shared" si="5"/>
        <v>0</v>
      </c>
      <c r="H60" s="1539">
        <f t="shared" si="6"/>
        <v>0</v>
      </c>
      <c r="I60" s="1181"/>
      <c r="J60" s="1181"/>
      <c r="K60" s="1182">
        <f t="shared" si="7"/>
        <v>0</v>
      </c>
      <c r="L60" s="1539">
        <f t="shared" si="2"/>
        <v>0</v>
      </c>
      <c r="M60" s="1179">
        <v>0</v>
      </c>
      <c r="N60" s="1545">
        <f t="shared" si="11"/>
        <v>0</v>
      </c>
      <c r="O60" s="1181"/>
      <c r="P60" s="1181">
        <f t="shared" si="8"/>
        <v>0</v>
      </c>
      <c r="Q60" s="1545">
        <f t="shared" si="9"/>
        <v>0</v>
      </c>
      <c r="R60" s="1545">
        <f t="shared" si="10"/>
        <v>0</v>
      </c>
    </row>
    <row r="61" spans="1:18" ht="16.2" customHeight="1">
      <c r="A61" s="1168">
        <v>55</v>
      </c>
      <c r="B61" s="1169" t="s">
        <v>134</v>
      </c>
      <c r="C61" s="1170">
        <f>+'[10]Table 8 Membership 2.1.14'!X57</f>
        <v>1</v>
      </c>
      <c r="D61" s="1171">
        <f>'Table 3 Levels 1&amp;2'!AL58+'Table 3 Levels 1&amp;2'!AT58</f>
        <v>7649.3925491298487</v>
      </c>
      <c r="E61" s="1172">
        <f t="shared" si="4"/>
        <v>7649.3925491298487</v>
      </c>
      <c r="F61" s="1172">
        <f>'Table 3A Level 3'!C60</f>
        <v>795.14</v>
      </c>
      <c r="G61" s="1172">
        <f t="shared" si="5"/>
        <v>795.14</v>
      </c>
      <c r="H61" s="1540">
        <f t="shared" si="6"/>
        <v>8444.5325491298481</v>
      </c>
      <c r="I61" s="1173"/>
      <c r="J61" s="1173"/>
      <c r="K61" s="1174">
        <f t="shared" si="7"/>
        <v>0</v>
      </c>
      <c r="L61" s="1540">
        <f t="shared" si="2"/>
        <v>8444.5325491298481</v>
      </c>
      <c r="M61" s="1171">
        <v>0</v>
      </c>
      <c r="N61" s="1546">
        <f t="shared" si="11"/>
        <v>8444.5325491298481</v>
      </c>
      <c r="O61" s="1175"/>
      <c r="P61" s="1173">
        <f t="shared" si="8"/>
        <v>8444.5325491298481</v>
      </c>
      <c r="Q61" s="1550">
        <f t="shared" si="9"/>
        <v>704</v>
      </c>
      <c r="R61" s="1550">
        <f t="shared" si="10"/>
        <v>8444.5325491298481</v>
      </c>
    </row>
    <row r="62" spans="1:18" ht="16.2" customHeight="1">
      <c r="A62" s="1183">
        <v>56</v>
      </c>
      <c r="B62" s="1184" t="s">
        <v>135</v>
      </c>
      <c r="C62" s="1185">
        <f>+'[10]Table 8 Membership 2.1.14'!X58</f>
        <v>0</v>
      </c>
      <c r="D62" s="1186">
        <f>'Table 3 Levels 1&amp;2'!AL59+'Table 3 Levels 1&amp;2'!AT59</f>
        <v>8002.4309408288282</v>
      </c>
      <c r="E62" s="1187">
        <f t="shared" si="4"/>
        <v>0</v>
      </c>
      <c r="F62" s="1187">
        <f>'Table 3A Level 3'!C61</f>
        <v>614.66000000000008</v>
      </c>
      <c r="G62" s="1187">
        <f t="shared" si="5"/>
        <v>0</v>
      </c>
      <c r="H62" s="1538">
        <f t="shared" si="6"/>
        <v>0</v>
      </c>
      <c r="I62" s="1188"/>
      <c r="J62" s="1188"/>
      <c r="K62" s="1189">
        <f t="shared" si="7"/>
        <v>0</v>
      </c>
      <c r="L62" s="1538">
        <f t="shared" si="2"/>
        <v>0</v>
      </c>
      <c r="M62" s="1186">
        <v>0</v>
      </c>
      <c r="N62" s="1544">
        <f t="shared" si="11"/>
        <v>0</v>
      </c>
      <c r="O62" s="1188"/>
      <c r="P62" s="1188">
        <f t="shared" si="8"/>
        <v>0</v>
      </c>
      <c r="Q62" s="1544">
        <f t="shared" si="9"/>
        <v>0</v>
      </c>
      <c r="R62" s="1556">
        <f t="shared" si="10"/>
        <v>0</v>
      </c>
    </row>
    <row r="63" spans="1:18" ht="16.2" customHeight="1">
      <c r="A63" s="1176">
        <v>57</v>
      </c>
      <c r="B63" s="1177" t="s">
        <v>136</v>
      </c>
      <c r="C63" s="1178">
        <f>+'[10]Table 8 Membership 2.1.14'!X59</f>
        <v>0</v>
      </c>
      <c r="D63" s="1179">
        <f>'Table 3 Levels 1&amp;2'!AL60+'Table 3 Levels 1&amp;2'!AT60</f>
        <v>7676.0622979230684</v>
      </c>
      <c r="E63" s="1180">
        <f t="shared" si="4"/>
        <v>0</v>
      </c>
      <c r="F63" s="1180">
        <f>'Table 3A Level 3'!C62</f>
        <v>764.51</v>
      </c>
      <c r="G63" s="1180">
        <f t="shared" si="5"/>
        <v>0</v>
      </c>
      <c r="H63" s="1539">
        <f t="shared" si="6"/>
        <v>0</v>
      </c>
      <c r="I63" s="1181"/>
      <c r="J63" s="1181"/>
      <c r="K63" s="1182">
        <f t="shared" si="7"/>
        <v>0</v>
      </c>
      <c r="L63" s="1539">
        <f t="shared" si="2"/>
        <v>0</v>
      </c>
      <c r="M63" s="1179">
        <v>0</v>
      </c>
      <c r="N63" s="1545">
        <f t="shared" si="11"/>
        <v>0</v>
      </c>
      <c r="O63" s="1181"/>
      <c r="P63" s="1181">
        <f t="shared" si="8"/>
        <v>0</v>
      </c>
      <c r="Q63" s="1545">
        <f t="shared" si="9"/>
        <v>0</v>
      </c>
      <c r="R63" s="1545">
        <f t="shared" si="10"/>
        <v>0</v>
      </c>
    </row>
    <row r="64" spans="1:18" ht="16.2" customHeight="1">
      <c r="A64" s="1176">
        <v>58</v>
      </c>
      <c r="B64" s="1177" t="s">
        <v>137</v>
      </c>
      <c r="C64" s="1178">
        <f>+'[10]Table 8 Membership 2.1.14'!X60</f>
        <v>0</v>
      </c>
      <c r="D64" s="1179">
        <f>'Table 3 Levels 1&amp;2'!AL61+'Table 3 Levels 1&amp;2'!AT61</f>
        <v>7917.3129637882121</v>
      </c>
      <c r="E64" s="1180">
        <f t="shared" si="4"/>
        <v>0</v>
      </c>
      <c r="F64" s="1180">
        <f>'Table 3A Level 3'!C63</f>
        <v>697.04</v>
      </c>
      <c r="G64" s="1180">
        <f t="shared" si="5"/>
        <v>0</v>
      </c>
      <c r="H64" s="1539">
        <f t="shared" si="6"/>
        <v>0</v>
      </c>
      <c r="I64" s="1181"/>
      <c r="J64" s="1181"/>
      <c r="K64" s="1182">
        <f t="shared" si="7"/>
        <v>0</v>
      </c>
      <c r="L64" s="1539">
        <f t="shared" si="2"/>
        <v>0</v>
      </c>
      <c r="M64" s="1179">
        <v>0</v>
      </c>
      <c r="N64" s="1545">
        <f t="shared" si="11"/>
        <v>0</v>
      </c>
      <c r="O64" s="1181"/>
      <c r="P64" s="1181">
        <f t="shared" si="8"/>
        <v>0</v>
      </c>
      <c r="Q64" s="1545">
        <f t="shared" si="9"/>
        <v>0</v>
      </c>
      <c r="R64" s="1545">
        <f t="shared" si="10"/>
        <v>0</v>
      </c>
    </row>
    <row r="65" spans="1:18" ht="16.2" customHeight="1">
      <c r="A65" s="1176">
        <v>59</v>
      </c>
      <c r="B65" s="1177" t="s">
        <v>138</v>
      </c>
      <c r="C65" s="1178">
        <f>+'[10]Table 8 Membership 2.1.14'!X61</f>
        <v>0</v>
      </c>
      <c r="D65" s="1179">
        <f>'Table 3 Levels 1&amp;2'!AL62+'Table 3 Levels 1&amp;2'!AT62</f>
        <v>8409.2162935218475</v>
      </c>
      <c r="E65" s="1180">
        <f t="shared" si="4"/>
        <v>0</v>
      </c>
      <c r="F65" s="1180">
        <f>'Table 3A Level 3'!C64</f>
        <v>689.52</v>
      </c>
      <c r="G65" s="1180">
        <f t="shared" si="5"/>
        <v>0</v>
      </c>
      <c r="H65" s="1539">
        <f t="shared" si="6"/>
        <v>0</v>
      </c>
      <c r="I65" s="1181"/>
      <c r="J65" s="1181"/>
      <c r="K65" s="1182">
        <f t="shared" si="7"/>
        <v>0</v>
      </c>
      <c r="L65" s="1539">
        <f t="shared" si="2"/>
        <v>0</v>
      </c>
      <c r="M65" s="1179">
        <v>0</v>
      </c>
      <c r="N65" s="1545">
        <f t="shared" si="11"/>
        <v>0</v>
      </c>
      <c r="O65" s="1181"/>
      <c r="P65" s="1181">
        <f t="shared" si="8"/>
        <v>0</v>
      </c>
      <c r="Q65" s="1545">
        <f t="shared" si="9"/>
        <v>0</v>
      </c>
      <c r="R65" s="1545">
        <f t="shared" si="10"/>
        <v>0</v>
      </c>
    </row>
    <row r="66" spans="1:18" ht="16.2" customHeight="1">
      <c r="A66" s="1168">
        <v>60</v>
      </c>
      <c r="B66" s="1169" t="s">
        <v>139</v>
      </c>
      <c r="C66" s="1170">
        <f>+'[10]Table 8 Membership 2.1.14'!X62</f>
        <v>0</v>
      </c>
      <c r="D66" s="1171">
        <f>'Table 3 Levels 1&amp;2'!AL63+'Table 3 Levels 1&amp;2'!AT63</f>
        <v>8655.3940900638281</v>
      </c>
      <c r="E66" s="1172">
        <f t="shared" si="4"/>
        <v>0</v>
      </c>
      <c r="F66" s="1172">
        <f>'Table 3A Level 3'!C65</f>
        <v>594.04</v>
      </c>
      <c r="G66" s="1172">
        <f t="shared" si="5"/>
        <v>0</v>
      </c>
      <c r="H66" s="1540">
        <f t="shared" si="6"/>
        <v>0</v>
      </c>
      <c r="I66" s="1173"/>
      <c r="J66" s="1173"/>
      <c r="K66" s="1174">
        <f t="shared" si="7"/>
        <v>0</v>
      </c>
      <c r="L66" s="1540">
        <f t="shared" si="2"/>
        <v>0</v>
      </c>
      <c r="M66" s="1171">
        <v>0</v>
      </c>
      <c r="N66" s="1546">
        <f t="shared" si="11"/>
        <v>0</v>
      </c>
      <c r="O66" s="1175"/>
      <c r="P66" s="1173">
        <f t="shared" si="8"/>
        <v>0</v>
      </c>
      <c r="Q66" s="1550">
        <f t="shared" si="9"/>
        <v>0</v>
      </c>
      <c r="R66" s="1550">
        <f t="shared" si="10"/>
        <v>0</v>
      </c>
    </row>
    <row r="67" spans="1:18" ht="16.2" customHeight="1">
      <c r="A67" s="1183">
        <v>61</v>
      </c>
      <c r="B67" s="1184" t="s">
        <v>140</v>
      </c>
      <c r="C67" s="1185">
        <f>+'[10]Table 8 Membership 2.1.14'!X63</f>
        <v>0</v>
      </c>
      <c r="D67" s="1186">
        <f>'Table 3 Levels 1&amp;2'!AL64+'Table 3 Levels 1&amp;2'!AT64</f>
        <v>7976.7075356369187</v>
      </c>
      <c r="E67" s="1187">
        <f t="shared" si="4"/>
        <v>0</v>
      </c>
      <c r="F67" s="1187">
        <f>'Table 3A Level 3'!C66</f>
        <v>833.70999999999992</v>
      </c>
      <c r="G67" s="1187">
        <f t="shared" si="5"/>
        <v>0</v>
      </c>
      <c r="H67" s="1538">
        <f t="shared" si="6"/>
        <v>0</v>
      </c>
      <c r="I67" s="1188"/>
      <c r="J67" s="1188"/>
      <c r="K67" s="1189">
        <f t="shared" si="7"/>
        <v>0</v>
      </c>
      <c r="L67" s="1538">
        <f t="shared" si="2"/>
        <v>0</v>
      </c>
      <c r="M67" s="1186">
        <v>0</v>
      </c>
      <c r="N67" s="1544">
        <f t="shared" si="11"/>
        <v>0</v>
      </c>
      <c r="O67" s="1188"/>
      <c r="P67" s="1188">
        <f t="shared" si="8"/>
        <v>0</v>
      </c>
      <c r="Q67" s="1544">
        <f t="shared" si="9"/>
        <v>0</v>
      </c>
      <c r="R67" s="1556">
        <f t="shared" si="10"/>
        <v>0</v>
      </c>
    </row>
    <row r="68" spans="1:18" ht="16.2" customHeight="1">
      <c r="A68" s="1176">
        <v>62</v>
      </c>
      <c r="B68" s="1177" t="s">
        <v>141</v>
      </c>
      <c r="C68" s="1178">
        <f>+'[10]Table 8 Membership 2.1.14'!X64</f>
        <v>0</v>
      </c>
      <c r="D68" s="1179">
        <f>'Table 3 Levels 1&amp;2'!AL65+'Table 3 Levels 1&amp;2'!AT65</f>
        <v>7937.3045385160076</v>
      </c>
      <c r="E68" s="1180">
        <f t="shared" si="4"/>
        <v>0</v>
      </c>
      <c r="F68" s="1180">
        <f>'Table 3A Level 3'!C67</f>
        <v>516.08000000000004</v>
      </c>
      <c r="G68" s="1180">
        <f t="shared" si="5"/>
        <v>0</v>
      </c>
      <c r="H68" s="1539">
        <f t="shared" si="6"/>
        <v>0</v>
      </c>
      <c r="I68" s="1181"/>
      <c r="J68" s="1181"/>
      <c r="K68" s="1182">
        <f t="shared" si="7"/>
        <v>0</v>
      </c>
      <c r="L68" s="1539">
        <f t="shared" si="2"/>
        <v>0</v>
      </c>
      <c r="M68" s="1179">
        <v>0</v>
      </c>
      <c r="N68" s="1545">
        <f t="shared" si="11"/>
        <v>0</v>
      </c>
      <c r="O68" s="1181"/>
      <c r="P68" s="1181">
        <f t="shared" si="8"/>
        <v>0</v>
      </c>
      <c r="Q68" s="1545">
        <f t="shared" si="9"/>
        <v>0</v>
      </c>
      <c r="R68" s="1545">
        <f t="shared" si="10"/>
        <v>0</v>
      </c>
    </row>
    <row r="69" spans="1:18" ht="16.2" customHeight="1">
      <c r="A69" s="1176">
        <v>63</v>
      </c>
      <c r="B69" s="1177" t="s">
        <v>142</v>
      </c>
      <c r="C69" s="1178">
        <f>+'[10]Table 8 Membership 2.1.14'!X65</f>
        <v>0</v>
      </c>
      <c r="D69" s="1179">
        <f>'Table 3 Levels 1&amp;2'!AL66+'Table 3 Levels 1&amp;2'!AT66</f>
        <v>9211.4813481848105</v>
      </c>
      <c r="E69" s="1180">
        <f t="shared" si="4"/>
        <v>0</v>
      </c>
      <c r="F69" s="1180">
        <f>'Table 3A Level 3'!C68</f>
        <v>756.79</v>
      </c>
      <c r="G69" s="1180">
        <f t="shared" si="5"/>
        <v>0</v>
      </c>
      <c r="H69" s="1539">
        <f t="shared" si="6"/>
        <v>0</v>
      </c>
      <c r="I69" s="1181"/>
      <c r="J69" s="1181"/>
      <c r="K69" s="1182">
        <f t="shared" si="7"/>
        <v>0</v>
      </c>
      <c r="L69" s="1539">
        <f t="shared" si="2"/>
        <v>0</v>
      </c>
      <c r="M69" s="1179">
        <v>0</v>
      </c>
      <c r="N69" s="1545">
        <f t="shared" si="11"/>
        <v>0</v>
      </c>
      <c r="O69" s="1181"/>
      <c r="P69" s="1181">
        <f t="shared" si="8"/>
        <v>0</v>
      </c>
      <c r="Q69" s="1545">
        <f t="shared" si="9"/>
        <v>0</v>
      </c>
      <c r="R69" s="1545">
        <f t="shared" si="10"/>
        <v>0</v>
      </c>
    </row>
    <row r="70" spans="1:18" ht="16.2" customHeight="1">
      <c r="A70" s="1176">
        <v>64</v>
      </c>
      <c r="B70" s="1177" t="s">
        <v>143</v>
      </c>
      <c r="C70" s="1178">
        <f>+'[10]Table 8 Membership 2.1.14'!X66</f>
        <v>0</v>
      </c>
      <c r="D70" s="1179">
        <f>'Table 3 Levels 1&amp;2'!AL67+'Table 3 Levels 1&amp;2'!AT67</f>
        <v>9420.8507532778258</v>
      </c>
      <c r="E70" s="1180">
        <f t="shared" si="4"/>
        <v>0</v>
      </c>
      <c r="F70" s="1180">
        <f>'Table 3A Level 3'!C69</f>
        <v>592.66</v>
      </c>
      <c r="G70" s="1180">
        <f t="shared" si="5"/>
        <v>0</v>
      </c>
      <c r="H70" s="1539">
        <f t="shared" si="6"/>
        <v>0</v>
      </c>
      <c r="I70" s="1181"/>
      <c r="J70" s="1181"/>
      <c r="K70" s="1182">
        <f t="shared" si="7"/>
        <v>0</v>
      </c>
      <c r="L70" s="1539">
        <f t="shared" si="2"/>
        <v>0</v>
      </c>
      <c r="M70" s="1179">
        <v>0</v>
      </c>
      <c r="N70" s="1545">
        <f t="shared" si="11"/>
        <v>0</v>
      </c>
      <c r="O70" s="1181"/>
      <c r="P70" s="1181">
        <f t="shared" si="8"/>
        <v>0</v>
      </c>
      <c r="Q70" s="1545">
        <f t="shared" si="9"/>
        <v>0</v>
      </c>
      <c r="R70" s="1545">
        <f t="shared" si="10"/>
        <v>0</v>
      </c>
    </row>
    <row r="71" spans="1:18" ht="16.2" customHeight="1">
      <c r="A71" s="1168">
        <v>65</v>
      </c>
      <c r="B71" s="1169" t="s">
        <v>144</v>
      </c>
      <c r="C71" s="1170">
        <f>+'[10]Table 8 Membership 2.1.14'!X67</f>
        <v>0</v>
      </c>
      <c r="D71" s="1171">
        <f>'Table 3 Levels 1&amp;2'!AL68+'Table 3 Levels 1&amp;2'!AT68</f>
        <v>8794.3905543943638</v>
      </c>
      <c r="E71" s="1172">
        <f t="shared" si="4"/>
        <v>0</v>
      </c>
      <c r="F71" s="1172">
        <f>'Table 3A Level 3'!C70</f>
        <v>829.12</v>
      </c>
      <c r="G71" s="1172">
        <f t="shared" si="5"/>
        <v>0</v>
      </c>
      <c r="H71" s="1540">
        <f t="shared" si="6"/>
        <v>0</v>
      </c>
      <c r="I71" s="1173"/>
      <c r="J71" s="1173"/>
      <c r="K71" s="1174">
        <f t="shared" si="7"/>
        <v>0</v>
      </c>
      <c r="L71" s="1540">
        <f t="shared" ref="L71:L75" si="12">K71+H71</f>
        <v>0</v>
      </c>
      <c r="M71" s="1171">
        <v>0</v>
      </c>
      <c r="N71" s="1546">
        <f t="shared" ref="N71:N75" si="13">SUM(L71:M71)</f>
        <v>0</v>
      </c>
      <c r="O71" s="1175"/>
      <c r="P71" s="1173">
        <f t="shared" si="8"/>
        <v>0</v>
      </c>
      <c r="Q71" s="1550">
        <f t="shared" si="9"/>
        <v>0</v>
      </c>
      <c r="R71" s="1550">
        <f t="shared" si="10"/>
        <v>0</v>
      </c>
    </row>
    <row r="72" spans="1:18" ht="16.2" customHeight="1">
      <c r="A72" s="1176">
        <v>66</v>
      </c>
      <c r="B72" s="1177" t="s">
        <v>145</v>
      </c>
      <c r="C72" s="1197">
        <f>+'[10]Table 8 Membership 2.1.14'!X68</f>
        <v>0</v>
      </c>
      <c r="D72" s="1198">
        <f>'Table 3 Levels 1&amp;2'!AL69+'Table 3 Levels 1&amp;2'!AT69</f>
        <v>10218.278543391003</v>
      </c>
      <c r="E72" s="1199">
        <f t="shared" ref="E72:E75" si="14">C72*D72</f>
        <v>0</v>
      </c>
      <c r="F72" s="1199">
        <f>'Table 3A Level 3'!C71</f>
        <v>730.06</v>
      </c>
      <c r="G72" s="1199">
        <f t="shared" ref="G72:G75" si="15">C72*F72</f>
        <v>0</v>
      </c>
      <c r="H72" s="1403">
        <f t="shared" ref="H72:H75" si="16">E72+G72</f>
        <v>0</v>
      </c>
      <c r="I72" s="1200"/>
      <c r="J72" s="1200"/>
      <c r="K72" s="1201">
        <f t="shared" ref="K72:K75" si="17">+I72+J72</f>
        <v>0</v>
      </c>
      <c r="L72" s="1403">
        <f t="shared" si="12"/>
        <v>0</v>
      </c>
      <c r="M72" s="1198">
        <v>0</v>
      </c>
      <c r="N72" s="1398">
        <f t="shared" si="13"/>
        <v>0</v>
      </c>
      <c r="O72" s="1181"/>
      <c r="P72" s="1200">
        <f t="shared" ref="P72:P75" si="18">N72-O72</f>
        <v>0</v>
      </c>
      <c r="Q72" s="1545">
        <f t="shared" ref="Q72:Q75" si="19">ROUND(P72/12,0)</f>
        <v>0</v>
      </c>
      <c r="R72" s="1545">
        <f t="shared" ref="R72:R75" si="20">+N72</f>
        <v>0</v>
      </c>
    </row>
    <row r="73" spans="1:18" ht="16.2" customHeight="1">
      <c r="A73" s="1176">
        <v>67</v>
      </c>
      <c r="B73" s="1177" t="s">
        <v>30</v>
      </c>
      <c r="C73" s="1197">
        <f>+'[10]Table 8 Membership 2.1.14'!X69</f>
        <v>0</v>
      </c>
      <c r="D73" s="1198">
        <f>'Table 3 Levels 1&amp;2'!AL70+'Table 3 Levels 1&amp;2'!AT70</f>
        <v>8312.8467736134116</v>
      </c>
      <c r="E73" s="1199">
        <f t="shared" si="14"/>
        <v>0</v>
      </c>
      <c r="F73" s="1199">
        <f>'Table 3A Level 3'!C72</f>
        <v>715.61</v>
      </c>
      <c r="G73" s="1199">
        <f t="shared" si="15"/>
        <v>0</v>
      </c>
      <c r="H73" s="1403">
        <f t="shared" si="16"/>
        <v>0</v>
      </c>
      <c r="I73" s="1200"/>
      <c r="J73" s="1200"/>
      <c r="K73" s="1201">
        <f t="shared" si="17"/>
        <v>0</v>
      </c>
      <c r="L73" s="1403">
        <f t="shared" si="12"/>
        <v>0</v>
      </c>
      <c r="M73" s="1198">
        <v>0</v>
      </c>
      <c r="N73" s="1398">
        <f t="shared" si="13"/>
        <v>0</v>
      </c>
      <c r="O73" s="1181"/>
      <c r="P73" s="1200">
        <f t="shared" si="18"/>
        <v>0</v>
      </c>
      <c r="Q73" s="1545">
        <f t="shared" si="19"/>
        <v>0</v>
      </c>
      <c r="R73" s="1545">
        <f t="shared" si="20"/>
        <v>0</v>
      </c>
    </row>
    <row r="74" spans="1:18" ht="16.2" customHeight="1">
      <c r="A74" s="1176">
        <v>68</v>
      </c>
      <c r="B74" s="1177" t="s">
        <v>28</v>
      </c>
      <c r="C74" s="1197">
        <f>+'[10]Table 8 Membership 2.1.14'!X70</f>
        <v>0</v>
      </c>
      <c r="D74" s="1198">
        <f>'Table 3 Levels 1&amp;2'!AL71+'Table 3 Levels 1&amp;2'!AT71</f>
        <v>9395.5244202560607</v>
      </c>
      <c r="E74" s="1199">
        <f t="shared" si="14"/>
        <v>0</v>
      </c>
      <c r="F74" s="1199">
        <f>'Table 3A Level 3'!C73</f>
        <v>798.7</v>
      </c>
      <c r="G74" s="1199">
        <f t="shared" si="15"/>
        <v>0</v>
      </c>
      <c r="H74" s="1403">
        <f t="shared" si="16"/>
        <v>0</v>
      </c>
      <c r="I74" s="1200"/>
      <c r="J74" s="1200"/>
      <c r="K74" s="1201">
        <f t="shared" si="17"/>
        <v>0</v>
      </c>
      <c r="L74" s="1403">
        <f t="shared" si="12"/>
        <v>0</v>
      </c>
      <c r="M74" s="1198">
        <v>0</v>
      </c>
      <c r="N74" s="1398">
        <f t="shared" si="13"/>
        <v>0</v>
      </c>
      <c r="O74" s="1181"/>
      <c r="P74" s="1200">
        <f t="shared" si="18"/>
        <v>0</v>
      </c>
      <c r="Q74" s="1545">
        <f t="shared" si="19"/>
        <v>0</v>
      </c>
      <c r="R74" s="1545">
        <f t="shared" si="20"/>
        <v>0</v>
      </c>
    </row>
    <row r="75" spans="1:18" ht="16.2" customHeight="1">
      <c r="A75" s="1190">
        <v>69</v>
      </c>
      <c r="B75" s="1191" t="s">
        <v>183</v>
      </c>
      <c r="C75" s="1192">
        <f>+'[10]Table 8 Membership 2.1.14'!X71</f>
        <v>0</v>
      </c>
      <c r="D75" s="1193">
        <f>'Table 3 Levels 1&amp;2'!AL72+'Table 3 Levels 1&amp;2'!AT72</f>
        <v>8597.8147921281343</v>
      </c>
      <c r="E75" s="1194">
        <f t="shared" si="14"/>
        <v>0</v>
      </c>
      <c r="F75" s="1194">
        <f>'Table 3A Level 3'!C74</f>
        <v>705.67</v>
      </c>
      <c r="G75" s="1194">
        <f t="shared" si="15"/>
        <v>0</v>
      </c>
      <c r="H75" s="1541">
        <f t="shared" si="16"/>
        <v>0</v>
      </c>
      <c r="I75" s="1195"/>
      <c r="J75" s="1195"/>
      <c r="K75" s="1196">
        <f t="shared" si="17"/>
        <v>0</v>
      </c>
      <c r="L75" s="1541">
        <f t="shared" si="12"/>
        <v>0</v>
      </c>
      <c r="M75" s="1193">
        <v>0</v>
      </c>
      <c r="N75" s="1547">
        <f t="shared" si="13"/>
        <v>0</v>
      </c>
      <c r="O75" s="634"/>
      <c r="P75" s="1195">
        <f t="shared" si="18"/>
        <v>0</v>
      </c>
      <c r="Q75" s="1551">
        <f t="shared" si="19"/>
        <v>0</v>
      </c>
      <c r="R75" s="1551">
        <f t="shared" si="20"/>
        <v>0</v>
      </c>
    </row>
    <row r="76" spans="1:18" ht="16.2" customHeight="1" thickBot="1">
      <c r="A76" s="2221" t="s">
        <v>1045</v>
      </c>
      <c r="B76" s="2194"/>
      <c r="C76" s="470">
        <f>SUM(C7:C75)</f>
        <v>175</v>
      </c>
      <c r="D76" s="471"/>
      <c r="E76" s="480">
        <f>SUM(E7:E75)</f>
        <v>1433537.3594855648</v>
      </c>
      <c r="F76" s="480">
        <f>'Table 3A Level 3'!C75</f>
        <v>704.64781030742063</v>
      </c>
      <c r="G76" s="480">
        <f t="shared" ref="G76:N76" si="21">SUM(G7:G75)</f>
        <v>132055.44068493153</v>
      </c>
      <c r="H76" s="1542">
        <f t="shared" si="21"/>
        <v>1565592.8001704959</v>
      </c>
      <c r="I76" s="639">
        <f t="shared" si="21"/>
        <v>0</v>
      </c>
      <c r="J76" s="639">
        <f t="shared" si="21"/>
        <v>0</v>
      </c>
      <c r="K76" s="632">
        <f t="shared" si="21"/>
        <v>0</v>
      </c>
      <c r="L76" s="1564">
        <f>SUM(L7:L75)</f>
        <v>1565592.8001704959</v>
      </c>
      <c r="M76" s="481">
        <f t="shared" si="21"/>
        <v>0</v>
      </c>
      <c r="N76" s="1542">
        <f t="shared" si="21"/>
        <v>1565592.8001704959</v>
      </c>
      <c r="O76" s="481"/>
      <c r="P76" s="481">
        <f>SUM(P7:P75)</f>
        <v>1565592.8001704959</v>
      </c>
      <c r="Q76" s="1548">
        <f>SUM(Q7:Q75)</f>
        <v>130466</v>
      </c>
      <c r="R76" s="1548">
        <f>SUM(R7:R75)</f>
        <v>1565592.8001704959</v>
      </c>
    </row>
    <row r="77" spans="1:18" ht="16.2" customHeight="1" thickTop="1">
      <c r="A77" s="2222" t="s">
        <v>1039</v>
      </c>
      <c r="B77" s="2223"/>
      <c r="C77" s="523"/>
      <c r="D77" s="469"/>
      <c r="E77" s="479"/>
      <c r="F77" s="479"/>
      <c r="G77" s="479"/>
      <c r="H77" s="479"/>
      <c r="I77" s="635"/>
      <c r="J77" s="635"/>
      <c r="K77" s="635"/>
      <c r="L77" s="635"/>
      <c r="M77" s="635"/>
      <c r="N77" s="1551">
        <f>+'Table 4 Level 4'!$E$81</f>
        <v>0</v>
      </c>
      <c r="O77" s="635"/>
      <c r="P77" s="635">
        <f t="shared" ref="P77:P81" si="22">N77-O77</f>
        <v>0</v>
      </c>
      <c r="Q77" s="1551">
        <f t="shared" ref="Q77:Q81" si="23">ROUND(P77/12,0)</f>
        <v>0</v>
      </c>
      <c r="R77" s="1551">
        <f>'Table 4 Level 4'!$E81</f>
        <v>0</v>
      </c>
    </row>
    <row r="78" spans="1:18" ht="16.2" customHeight="1">
      <c r="A78" s="2199" t="s">
        <v>1040</v>
      </c>
      <c r="B78" s="2216"/>
      <c r="C78" s="521"/>
      <c r="D78" s="467"/>
      <c r="E78" s="477"/>
      <c r="F78" s="477"/>
      <c r="G78" s="477"/>
      <c r="H78" s="477"/>
      <c r="I78" s="637"/>
      <c r="J78" s="637"/>
      <c r="K78" s="637"/>
      <c r="L78" s="637"/>
      <c r="M78" s="637"/>
      <c r="N78" s="634">
        <v>0</v>
      </c>
      <c r="O78" s="637"/>
      <c r="P78" s="637"/>
      <c r="Q78" s="634">
        <v>0</v>
      </c>
      <c r="R78" s="1551">
        <f>'Table 4 Level 4'!$J81</f>
        <v>0</v>
      </c>
    </row>
    <row r="79" spans="1:18" ht="16.2" customHeight="1">
      <c r="A79" s="2199" t="s">
        <v>1041</v>
      </c>
      <c r="B79" s="2216"/>
      <c r="C79" s="521"/>
      <c r="D79" s="467"/>
      <c r="E79" s="477"/>
      <c r="F79" s="477"/>
      <c r="G79" s="477"/>
      <c r="H79" s="477"/>
      <c r="I79" s="637"/>
      <c r="J79" s="637"/>
      <c r="K79" s="637"/>
      <c r="L79" s="637"/>
      <c r="M79" s="637"/>
      <c r="N79" s="634">
        <v>0</v>
      </c>
      <c r="O79" s="637"/>
      <c r="P79" s="637"/>
      <c r="Q79" s="634">
        <v>0</v>
      </c>
      <c r="R79" s="1551">
        <f>'Table 4 Level 4'!$K81</f>
        <v>0</v>
      </c>
    </row>
    <row r="80" spans="1:18" ht="16.2" customHeight="1">
      <c r="A80" s="2199" t="s">
        <v>1042</v>
      </c>
      <c r="B80" s="2216"/>
      <c r="C80" s="521"/>
      <c r="D80" s="467"/>
      <c r="E80" s="477"/>
      <c r="F80" s="477"/>
      <c r="G80" s="477"/>
      <c r="H80" s="477"/>
      <c r="I80" s="637"/>
      <c r="J80" s="637"/>
      <c r="K80" s="637"/>
      <c r="L80" s="637"/>
      <c r="M80" s="637"/>
      <c r="N80" s="634">
        <v>0</v>
      </c>
      <c r="O80" s="637"/>
      <c r="P80" s="637"/>
      <c r="Q80" s="634">
        <v>0</v>
      </c>
      <c r="R80" s="1551">
        <f>'Table 4 Level 4'!$L81</f>
        <v>0</v>
      </c>
    </row>
    <row r="81" spans="1:18" ht="16.2" customHeight="1">
      <c r="A81" s="2217" t="s">
        <v>1043</v>
      </c>
      <c r="B81" s="2218"/>
      <c r="C81" s="522"/>
      <c r="D81" s="468"/>
      <c r="E81" s="478"/>
      <c r="F81" s="478"/>
      <c r="G81" s="478"/>
      <c r="H81" s="478"/>
      <c r="I81" s="638"/>
      <c r="J81" s="638"/>
      <c r="K81" s="638"/>
      <c r="L81" s="638"/>
      <c r="M81" s="638"/>
      <c r="N81" s="1691">
        <f>+'Table 4 Level 4'!$N$81</f>
        <v>4550</v>
      </c>
      <c r="O81" s="638"/>
      <c r="P81" s="638">
        <f t="shared" si="22"/>
        <v>4550</v>
      </c>
      <c r="Q81" s="1691">
        <f t="shared" si="23"/>
        <v>379</v>
      </c>
      <c r="R81" s="1691">
        <f>'Table 4 Level 4'!$N81</f>
        <v>4550</v>
      </c>
    </row>
    <row r="82" spans="1:18" ht="16.2" customHeight="1" thickBot="1">
      <c r="A82" s="2221" t="s">
        <v>1044</v>
      </c>
      <c r="B82" s="2194"/>
      <c r="C82" s="470">
        <f>SUM(C76)</f>
        <v>175</v>
      </c>
      <c r="D82" s="471"/>
      <c r="E82" s="480">
        <f>SUM(E76:E81)</f>
        <v>1433537.3594855648</v>
      </c>
      <c r="F82" s="480">
        <f t="shared" ref="F82:R82" si="24">SUM(F76:F81)</f>
        <v>704.64781030742063</v>
      </c>
      <c r="G82" s="480">
        <f t="shared" si="24"/>
        <v>132055.44068493153</v>
      </c>
      <c r="H82" s="471">
        <f t="shared" si="24"/>
        <v>1565592.8001704959</v>
      </c>
      <c r="I82" s="639">
        <f t="shared" si="24"/>
        <v>0</v>
      </c>
      <c r="J82" s="639">
        <f t="shared" si="24"/>
        <v>0</v>
      </c>
      <c r="K82" s="639">
        <f t="shared" si="24"/>
        <v>0</v>
      </c>
      <c r="L82" s="1029">
        <f t="shared" si="24"/>
        <v>1565592.8001704959</v>
      </c>
      <c r="M82" s="636">
        <f t="shared" si="24"/>
        <v>0</v>
      </c>
      <c r="N82" s="1548">
        <f t="shared" si="24"/>
        <v>1570142.8001704959</v>
      </c>
      <c r="O82" s="481">
        <f t="shared" si="24"/>
        <v>0</v>
      </c>
      <c r="P82" s="481">
        <f t="shared" si="24"/>
        <v>1570142.8001704959</v>
      </c>
      <c r="Q82" s="1548">
        <f t="shared" si="24"/>
        <v>130845</v>
      </c>
      <c r="R82" s="1548">
        <f t="shared" si="24"/>
        <v>1570142.8001704959</v>
      </c>
    </row>
    <row r="83" spans="1:18" ht="13.8" thickTop="1"/>
  </sheetData>
  <mergeCells count="27">
    <mergeCell ref="A82:B82"/>
    <mergeCell ref="R3:R4"/>
    <mergeCell ref="L3:L4"/>
    <mergeCell ref="M3:M4"/>
    <mergeCell ref="A76:B76"/>
    <mergeCell ref="A77:B77"/>
    <mergeCell ref="A78:B78"/>
    <mergeCell ref="N3:N4"/>
    <mergeCell ref="Q3:Q4"/>
    <mergeCell ref="O3:O4"/>
    <mergeCell ref="P3:P4"/>
    <mergeCell ref="A1:B4"/>
    <mergeCell ref="I2:K2"/>
    <mergeCell ref="C3:C4"/>
    <mergeCell ref="D3:D4"/>
    <mergeCell ref="E3:E4"/>
    <mergeCell ref="C1:K1"/>
    <mergeCell ref="L1:R1"/>
    <mergeCell ref="A79:B79"/>
    <mergeCell ref="A80:B80"/>
    <mergeCell ref="A81:B81"/>
    <mergeCell ref="K3:K4"/>
    <mergeCell ref="J3:J4"/>
    <mergeCell ref="F3:F4"/>
    <mergeCell ref="G3:G4"/>
    <mergeCell ref="H3:H4"/>
    <mergeCell ref="I3:I4"/>
  </mergeCells>
  <printOptions horizontalCentered="1"/>
  <pageMargins left="0.32" right="0.32" top="0.75" bottom="0.75" header="0.3" footer="0.3"/>
  <pageSetup paperSize="5" scale="60" firstPageNumber="50" orientation="portrait" r:id="rId1"/>
  <headerFooter>
    <oddHeader>&amp;L&amp;"Arial,Bold"&amp;20&amp;K000000Table 5A4: FY2014-15 MFP Budget Letter 
New Orleans Center for Creative Arts (NOCCA)</oddHeader>
    <oddFooter>&amp;R&amp;P</oddFooter>
  </headerFooter>
  <colBreaks count="1" manualBreakCount="1">
    <brk id="11" max="81"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R83"/>
  <sheetViews>
    <sheetView view="pageBreakPreview" zoomScale="80" zoomScaleNormal="100" zoomScaleSheetLayoutView="80" workbookViewId="0">
      <pane xSplit="2" ySplit="6" topLeftCell="C7" activePane="bottomRight" state="frozen"/>
      <selection sqref="A1:H1"/>
      <selection pane="topRight" sqref="A1:H1"/>
      <selection pane="bottomLeft" sqref="A1:H1"/>
      <selection pane="bottomRight" sqref="A1:H1"/>
    </sheetView>
  </sheetViews>
  <sheetFormatPr defaultColWidth="8.88671875" defaultRowHeight="13.2"/>
  <cols>
    <col min="1" max="1" width="6.33203125" style="594" customWidth="1"/>
    <col min="2" max="2" width="37.5546875" style="594" customWidth="1"/>
    <col min="3" max="3" width="13.6640625" style="594" customWidth="1"/>
    <col min="4" max="4" width="14" style="594" customWidth="1"/>
    <col min="5" max="5" width="10.6640625" style="594" customWidth="1"/>
    <col min="6" max="6" width="13" style="594" customWidth="1"/>
    <col min="7" max="7" width="13.44140625" style="594" customWidth="1"/>
    <col min="8" max="8" width="12.88671875" style="594" customWidth="1"/>
    <col min="9" max="9" width="12.5546875" style="594" customWidth="1"/>
    <col min="10" max="10" width="13.44140625" style="594" bestFit="1" customWidth="1"/>
    <col min="11" max="11" width="12.5546875" style="594" customWidth="1"/>
    <col min="12" max="12" width="15.109375" style="594" customWidth="1"/>
    <col min="13" max="13" width="13.44140625" style="594" bestFit="1" customWidth="1"/>
    <col min="14" max="14" width="14.6640625" style="594" customWidth="1"/>
    <col min="15" max="16" width="14" style="594" customWidth="1"/>
    <col min="17" max="17" width="10.6640625" style="594" customWidth="1"/>
    <col min="18" max="18" width="14.6640625" style="594" customWidth="1"/>
    <col min="19" max="16384" width="8.88671875" style="594"/>
  </cols>
  <sheetData>
    <row r="1" spans="1:18" ht="19.95" customHeight="1">
      <c r="A1" s="2231" t="s">
        <v>881</v>
      </c>
      <c r="B1" s="2232"/>
      <c r="C1" s="2213" t="s">
        <v>1089</v>
      </c>
      <c r="D1" s="2214"/>
      <c r="E1" s="2214"/>
      <c r="F1" s="2214"/>
      <c r="G1" s="2214"/>
      <c r="H1" s="2214"/>
      <c r="I1" s="2214"/>
      <c r="J1" s="2214"/>
      <c r="K1" s="2215"/>
      <c r="L1" s="2213" t="s">
        <v>1089</v>
      </c>
      <c r="M1" s="2214"/>
      <c r="N1" s="2214"/>
      <c r="O1" s="2214"/>
      <c r="P1" s="2214"/>
      <c r="Q1" s="2214"/>
      <c r="R1" s="2215"/>
    </row>
    <row r="2" spans="1:18" s="140" customFormat="1" ht="22.95" customHeight="1">
      <c r="A2" s="2233"/>
      <c r="B2" s="2234"/>
      <c r="C2" s="1565"/>
      <c r="D2" s="1566"/>
      <c r="E2" s="1566"/>
      <c r="F2" s="1566"/>
      <c r="G2" s="1566"/>
      <c r="H2" s="1566"/>
      <c r="I2" s="2227" t="s">
        <v>531</v>
      </c>
      <c r="J2" s="2228"/>
      <c r="K2" s="2229"/>
      <c r="L2" s="1565"/>
      <c r="M2" s="1566"/>
      <c r="N2" s="1566"/>
      <c r="O2" s="1566"/>
      <c r="P2" s="1566"/>
      <c r="Q2" s="1566"/>
      <c r="R2" s="1567"/>
    </row>
    <row r="3" spans="1:18" ht="135" customHeight="1">
      <c r="A3" s="2233"/>
      <c r="B3" s="2234"/>
      <c r="C3" s="2220" t="s">
        <v>933</v>
      </c>
      <c r="D3" s="2220" t="s">
        <v>1245</v>
      </c>
      <c r="E3" s="2220" t="s">
        <v>1246</v>
      </c>
      <c r="F3" s="2220" t="s">
        <v>1037</v>
      </c>
      <c r="G3" s="2220" t="s">
        <v>1038</v>
      </c>
      <c r="H3" s="2220" t="s">
        <v>982</v>
      </c>
      <c r="I3" s="2219" t="s">
        <v>758</v>
      </c>
      <c r="J3" s="2219" t="s">
        <v>759</v>
      </c>
      <c r="K3" s="2219" t="s">
        <v>538</v>
      </c>
      <c r="L3" s="2220" t="s">
        <v>983</v>
      </c>
      <c r="M3" s="2219" t="s">
        <v>1036</v>
      </c>
      <c r="N3" s="2220" t="s">
        <v>1052</v>
      </c>
      <c r="O3" s="2224" t="s">
        <v>981</v>
      </c>
      <c r="P3" s="2224" t="s">
        <v>761</v>
      </c>
      <c r="Q3" s="2220" t="s">
        <v>984</v>
      </c>
      <c r="R3" s="2220" t="s">
        <v>1053</v>
      </c>
    </row>
    <row r="4" spans="1:18" ht="22.2" customHeight="1">
      <c r="A4" s="2235"/>
      <c r="B4" s="2236"/>
      <c r="C4" s="2220"/>
      <c r="D4" s="2220"/>
      <c r="E4" s="2220"/>
      <c r="F4" s="2220"/>
      <c r="G4" s="2220"/>
      <c r="H4" s="2220"/>
      <c r="I4" s="2219"/>
      <c r="J4" s="2219"/>
      <c r="K4" s="2219"/>
      <c r="L4" s="2220"/>
      <c r="M4" s="2219"/>
      <c r="N4" s="2220"/>
      <c r="O4" s="2225"/>
      <c r="P4" s="2225"/>
      <c r="Q4" s="2220"/>
      <c r="R4" s="2220"/>
    </row>
    <row r="5" spans="1:18" ht="14.25" customHeight="1">
      <c r="A5" s="1165"/>
      <c r="B5" s="1166"/>
      <c r="C5" s="1167">
        <v>1</v>
      </c>
      <c r="D5" s="1167">
        <f t="shared" ref="D5" si="0">C5+1</f>
        <v>2</v>
      </c>
      <c r="E5" s="1167">
        <f>D5+1</f>
        <v>3</v>
      </c>
      <c r="F5" s="1167">
        <f t="shared" ref="F5:M5" si="1">E5+1</f>
        <v>4</v>
      </c>
      <c r="G5" s="1167">
        <f t="shared" si="1"/>
        <v>5</v>
      </c>
      <c r="H5" s="1167">
        <f t="shared" si="1"/>
        <v>6</v>
      </c>
      <c r="I5" s="1167">
        <f t="shared" si="1"/>
        <v>7</v>
      </c>
      <c r="J5" s="1167">
        <f t="shared" si="1"/>
        <v>8</v>
      </c>
      <c r="K5" s="1167">
        <f t="shared" si="1"/>
        <v>9</v>
      </c>
      <c r="L5" s="1167">
        <f t="shared" si="1"/>
        <v>10</v>
      </c>
      <c r="M5" s="1167">
        <f t="shared" si="1"/>
        <v>11</v>
      </c>
      <c r="N5" s="1167">
        <f t="shared" ref="N5" si="2">M5+1</f>
        <v>12</v>
      </c>
      <c r="O5" s="1167">
        <f t="shared" ref="O5" si="3">N5+1</f>
        <v>13</v>
      </c>
      <c r="P5" s="1167">
        <f t="shared" ref="P5" si="4">O5+1</f>
        <v>14</v>
      </c>
      <c r="Q5" s="1167">
        <f t="shared" ref="Q5:R5" si="5">P5+1</f>
        <v>15</v>
      </c>
      <c r="R5" s="1167">
        <f t="shared" si="5"/>
        <v>16</v>
      </c>
    </row>
    <row r="6" spans="1:18" ht="27" hidden="1" customHeight="1">
      <c r="A6" s="472"/>
      <c r="B6" s="473"/>
      <c r="C6" s="473"/>
      <c r="D6" s="473"/>
      <c r="E6" s="473"/>
      <c r="F6" s="473"/>
      <c r="G6" s="473"/>
      <c r="H6" s="473"/>
      <c r="I6" s="578"/>
      <c r="J6" s="578"/>
      <c r="K6" s="578"/>
      <c r="L6" s="578"/>
      <c r="M6" s="473"/>
      <c r="N6" s="473"/>
      <c r="O6" s="581"/>
      <c r="P6" s="581"/>
      <c r="Q6" s="473"/>
      <c r="R6" s="473"/>
    </row>
    <row r="7" spans="1:18" ht="16.2" customHeight="1">
      <c r="A7" s="1183">
        <v>1</v>
      </c>
      <c r="B7" s="1184" t="s">
        <v>81</v>
      </c>
      <c r="C7" s="1185">
        <f>+'[10]Table 8 Membership 2.1.14'!W3</f>
        <v>7</v>
      </c>
      <c r="D7" s="1186">
        <f>'Table 3 Levels 1&amp;2'!AL4+'Table 3 Levels 1&amp;2'!AT4</f>
        <v>6982.9784413349835</v>
      </c>
      <c r="E7" s="1187">
        <f>C7*D7</f>
        <v>48880.849089344883</v>
      </c>
      <c r="F7" s="1187">
        <f>'Table 3A Level 3'!C6</f>
        <v>777.48</v>
      </c>
      <c r="G7" s="1187">
        <f>C7*F7</f>
        <v>5442.3600000000006</v>
      </c>
      <c r="H7" s="1538">
        <f>E7+G7</f>
        <v>54323.209089344884</v>
      </c>
      <c r="I7" s="1188"/>
      <c r="J7" s="1188"/>
      <c r="K7" s="1189">
        <f>+I7+J7</f>
        <v>0</v>
      </c>
      <c r="L7" s="1538">
        <f t="shared" ref="L7:L70" si="6">K7+H7</f>
        <v>54323.209089344884</v>
      </c>
      <c r="M7" s="1186">
        <v>0</v>
      </c>
      <c r="N7" s="1544">
        <f t="shared" ref="N7:N38" si="7">SUM(L7:M7)</f>
        <v>54323.209089344884</v>
      </c>
      <c r="O7" s="1188"/>
      <c r="P7" s="1188">
        <f>N7-O7</f>
        <v>54323.209089344884</v>
      </c>
      <c r="Q7" s="1544">
        <f>ROUND(P7/12,0)</f>
        <v>4527</v>
      </c>
      <c r="R7" s="1556">
        <f>+N7</f>
        <v>54323.209089344884</v>
      </c>
    </row>
    <row r="8" spans="1:18" ht="16.2" customHeight="1">
      <c r="A8" s="1176">
        <v>2</v>
      </c>
      <c r="B8" s="1177" t="s">
        <v>82</v>
      </c>
      <c r="C8" s="1178">
        <f>+'[10]Table 8 Membership 2.1.14'!W4</f>
        <v>1</v>
      </c>
      <c r="D8" s="1179">
        <f>'Table 3 Levels 1&amp;2'!AL5+'Table 3 Levels 1&amp;2'!AT5</f>
        <v>9065.5866417386642</v>
      </c>
      <c r="E8" s="1180">
        <f t="shared" ref="E8:E71" si="8">C8*D8</f>
        <v>9065.5866417386642</v>
      </c>
      <c r="F8" s="1180">
        <f>'Table 3A Level 3'!C7</f>
        <v>842.32</v>
      </c>
      <c r="G8" s="1180">
        <f t="shared" ref="G8:G71" si="9">C8*F8</f>
        <v>842.32</v>
      </c>
      <c r="H8" s="1539">
        <f t="shared" ref="H8:H71" si="10">E8+G8</f>
        <v>9907.9066417386639</v>
      </c>
      <c r="I8" s="1181"/>
      <c r="J8" s="1181"/>
      <c r="K8" s="1182">
        <f t="shared" ref="K8:K71" si="11">+I8+J8</f>
        <v>0</v>
      </c>
      <c r="L8" s="1539">
        <f t="shared" si="6"/>
        <v>9907.9066417386639</v>
      </c>
      <c r="M8" s="1179">
        <v>0</v>
      </c>
      <c r="N8" s="1545">
        <f t="shared" si="7"/>
        <v>9907.9066417386639</v>
      </c>
      <c r="O8" s="1181"/>
      <c r="P8" s="1181">
        <f t="shared" ref="P8:P71" si="12">N8-O8</f>
        <v>9907.9066417386639</v>
      </c>
      <c r="Q8" s="1545">
        <f t="shared" ref="Q8:Q71" si="13">ROUND(P8/12,0)</f>
        <v>826</v>
      </c>
      <c r="R8" s="1545">
        <f t="shared" ref="R8:R71" si="14">+N8</f>
        <v>9907.9066417386639</v>
      </c>
    </row>
    <row r="9" spans="1:18" ht="16.2" customHeight="1">
      <c r="A9" s="1176">
        <v>3</v>
      </c>
      <c r="B9" s="1177" t="s">
        <v>83</v>
      </c>
      <c r="C9" s="1178">
        <f>+'[10]Table 8 Membership 2.1.14'!W5</f>
        <v>14</v>
      </c>
      <c r="D9" s="1179">
        <f>'Table 3 Levels 1&amp;2'!AL6+'Table 3 Levels 1&amp;2'!AT6</f>
        <v>7778.4862027396821</v>
      </c>
      <c r="E9" s="1180">
        <f t="shared" si="8"/>
        <v>108898.80683835555</v>
      </c>
      <c r="F9" s="1180">
        <f>'Table 3A Level 3'!C8</f>
        <v>596.84</v>
      </c>
      <c r="G9" s="1180">
        <f t="shared" si="9"/>
        <v>8355.76</v>
      </c>
      <c r="H9" s="1539">
        <f t="shared" si="10"/>
        <v>117254.56683835555</v>
      </c>
      <c r="I9" s="1181"/>
      <c r="J9" s="1181"/>
      <c r="K9" s="1182">
        <f t="shared" si="11"/>
        <v>0</v>
      </c>
      <c r="L9" s="1539">
        <f t="shared" si="6"/>
        <v>117254.56683835555</v>
      </c>
      <c r="M9" s="1179">
        <v>0</v>
      </c>
      <c r="N9" s="1545">
        <f t="shared" si="7"/>
        <v>117254.56683835555</v>
      </c>
      <c r="O9" s="1181"/>
      <c r="P9" s="1181">
        <f t="shared" si="12"/>
        <v>117254.56683835555</v>
      </c>
      <c r="Q9" s="1545">
        <f t="shared" si="13"/>
        <v>9771</v>
      </c>
      <c r="R9" s="1545">
        <f t="shared" si="14"/>
        <v>117254.56683835555</v>
      </c>
    </row>
    <row r="10" spans="1:18" ht="16.2" customHeight="1">
      <c r="A10" s="1176">
        <v>4</v>
      </c>
      <c r="B10" s="1177" t="s">
        <v>84</v>
      </c>
      <c r="C10" s="1178">
        <f>+'[10]Table 8 Membership 2.1.14'!W6</f>
        <v>0</v>
      </c>
      <c r="D10" s="1179">
        <f>'Table 3 Levels 1&amp;2'!AL7+'Table 3 Levels 1&amp;2'!AT7</f>
        <v>9351.9381446878579</v>
      </c>
      <c r="E10" s="1180">
        <f t="shared" si="8"/>
        <v>0</v>
      </c>
      <c r="F10" s="1180">
        <f>'Table 3A Level 3'!C9</f>
        <v>585.76</v>
      </c>
      <c r="G10" s="1180">
        <f t="shared" si="9"/>
        <v>0</v>
      </c>
      <c r="H10" s="1539">
        <f t="shared" si="10"/>
        <v>0</v>
      </c>
      <c r="I10" s="1181"/>
      <c r="J10" s="1181"/>
      <c r="K10" s="1182">
        <f t="shared" si="11"/>
        <v>0</v>
      </c>
      <c r="L10" s="1539">
        <f t="shared" si="6"/>
        <v>0</v>
      </c>
      <c r="M10" s="1179">
        <v>0</v>
      </c>
      <c r="N10" s="1545">
        <f t="shared" si="7"/>
        <v>0</v>
      </c>
      <c r="O10" s="1181"/>
      <c r="P10" s="1181">
        <f t="shared" si="12"/>
        <v>0</v>
      </c>
      <c r="Q10" s="1545">
        <f t="shared" si="13"/>
        <v>0</v>
      </c>
      <c r="R10" s="1545">
        <f t="shared" si="14"/>
        <v>0</v>
      </c>
    </row>
    <row r="11" spans="1:18" ht="16.2" customHeight="1">
      <c r="A11" s="1168">
        <v>5</v>
      </c>
      <c r="B11" s="1169" t="s">
        <v>85</v>
      </c>
      <c r="C11" s="1170">
        <f>+'[10]Table 8 Membership 2.1.14'!W7</f>
        <v>3</v>
      </c>
      <c r="D11" s="1171">
        <f>'Table 3 Levels 1&amp;2'!AL8+'Table 3 Levels 1&amp;2'!AT8</f>
        <v>7328.2705660099109</v>
      </c>
      <c r="E11" s="1172">
        <f t="shared" si="8"/>
        <v>21984.811698029735</v>
      </c>
      <c r="F11" s="1172">
        <f>'Table 3A Level 3'!C10</f>
        <v>555.91</v>
      </c>
      <c r="G11" s="1172">
        <f t="shared" si="9"/>
        <v>1667.73</v>
      </c>
      <c r="H11" s="1540">
        <f t="shared" si="10"/>
        <v>23652.541698029734</v>
      </c>
      <c r="I11" s="1173"/>
      <c r="J11" s="1173"/>
      <c r="K11" s="1174">
        <f t="shared" si="11"/>
        <v>0</v>
      </c>
      <c r="L11" s="1540">
        <f t="shared" si="6"/>
        <v>23652.541698029734</v>
      </c>
      <c r="M11" s="1171">
        <v>0</v>
      </c>
      <c r="N11" s="1546">
        <f t="shared" si="7"/>
        <v>23652.541698029734</v>
      </c>
      <c r="O11" s="1175"/>
      <c r="P11" s="1173">
        <f t="shared" si="12"/>
        <v>23652.541698029734</v>
      </c>
      <c r="Q11" s="1550">
        <f t="shared" si="13"/>
        <v>1971</v>
      </c>
      <c r="R11" s="1546">
        <f t="shared" si="14"/>
        <v>23652.541698029734</v>
      </c>
    </row>
    <row r="12" spans="1:18" ht="16.2" customHeight="1">
      <c r="A12" s="1183">
        <v>6</v>
      </c>
      <c r="B12" s="1184" t="s">
        <v>86</v>
      </c>
      <c r="C12" s="1185">
        <f>+'[10]Table 8 Membership 2.1.14'!W8</f>
        <v>4</v>
      </c>
      <c r="D12" s="1186">
        <f>'Table 3 Levels 1&amp;2'!AL9+'Table 3 Levels 1&amp;2'!AT9</f>
        <v>8698.058612495588</v>
      </c>
      <c r="E12" s="1187">
        <f t="shared" si="8"/>
        <v>34792.234449982352</v>
      </c>
      <c r="F12" s="1187">
        <f>'Table 3A Level 3'!C11</f>
        <v>545.4799999999999</v>
      </c>
      <c r="G12" s="1187">
        <f t="shared" si="9"/>
        <v>2181.9199999999996</v>
      </c>
      <c r="H12" s="1538">
        <f t="shared" si="10"/>
        <v>36974.15444998235</v>
      </c>
      <c r="I12" s="1188"/>
      <c r="J12" s="1188"/>
      <c r="K12" s="1189">
        <f t="shared" si="11"/>
        <v>0</v>
      </c>
      <c r="L12" s="1538">
        <f t="shared" si="6"/>
        <v>36974.15444998235</v>
      </c>
      <c r="M12" s="1186">
        <v>0</v>
      </c>
      <c r="N12" s="1544">
        <f t="shared" si="7"/>
        <v>36974.15444998235</v>
      </c>
      <c r="O12" s="1188"/>
      <c r="P12" s="1188">
        <f t="shared" si="12"/>
        <v>36974.15444998235</v>
      </c>
      <c r="Q12" s="1544">
        <f t="shared" si="13"/>
        <v>3081</v>
      </c>
      <c r="R12" s="1556">
        <f t="shared" si="14"/>
        <v>36974.15444998235</v>
      </c>
    </row>
    <row r="13" spans="1:18" ht="16.2" customHeight="1">
      <c r="A13" s="1176">
        <v>7</v>
      </c>
      <c r="B13" s="1177" t="s">
        <v>87</v>
      </c>
      <c r="C13" s="1178">
        <f>+'[10]Table 8 Membership 2.1.14'!W9</f>
        <v>0</v>
      </c>
      <c r="D13" s="1179">
        <f>'Table 3 Levels 1&amp;2'!AL10+'Table 3 Levels 1&amp;2'!AT10</f>
        <v>7984.0231963470324</v>
      </c>
      <c r="E13" s="1180">
        <f t="shared" si="8"/>
        <v>0</v>
      </c>
      <c r="F13" s="1180">
        <f>'Table 3A Level 3'!C12</f>
        <v>756.91999999999985</v>
      </c>
      <c r="G13" s="1180">
        <f t="shared" si="9"/>
        <v>0</v>
      </c>
      <c r="H13" s="1539">
        <f t="shared" si="10"/>
        <v>0</v>
      </c>
      <c r="I13" s="1181"/>
      <c r="J13" s="1181"/>
      <c r="K13" s="1182">
        <f t="shared" si="11"/>
        <v>0</v>
      </c>
      <c r="L13" s="1539">
        <f t="shared" si="6"/>
        <v>0</v>
      </c>
      <c r="M13" s="1179">
        <v>0</v>
      </c>
      <c r="N13" s="1545">
        <f t="shared" si="7"/>
        <v>0</v>
      </c>
      <c r="O13" s="1181"/>
      <c r="P13" s="1181">
        <f t="shared" si="12"/>
        <v>0</v>
      </c>
      <c r="Q13" s="1545">
        <f t="shared" si="13"/>
        <v>0</v>
      </c>
      <c r="R13" s="1545">
        <f t="shared" si="14"/>
        <v>0</v>
      </c>
    </row>
    <row r="14" spans="1:18" ht="16.2" customHeight="1">
      <c r="A14" s="1176">
        <v>8</v>
      </c>
      <c r="B14" s="1177" t="s">
        <v>88</v>
      </c>
      <c r="C14" s="1178">
        <f>+'[10]Table 8 Membership 2.1.14'!W10</f>
        <v>12</v>
      </c>
      <c r="D14" s="1179">
        <f>'Table 3 Levels 1&amp;2'!AL11+'Table 3 Levels 1&amp;2'!AT11</f>
        <v>8066.4624595588539</v>
      </c>
      <c r="E14" s="1180">
        <f t="shared" si="8"/>
        <v>96797.549514706247</v>
      </c>
      <c r="F14" s="1180">
        <f>'Table 3A Level 3'!C13</f>
        <v>725.76</v>
      </c>
      <c r="G14" s="1180">
        <f t="shared" si="9"/>
        <v>8709.119999999999</v>
      </c>
      <c r="H14" s="1539">
        <f t="shared" si="10"/>
        <v>105506.66951470624</v>
      </c>
      <c r="I14" s="1181"/>
      <c r="J14" s="1181"/>
      <c r="K14" s="1182">
        <f t="shared" si="11"/>
        <v>0</v>
      </c>
      <c r="L14" s="1539">
        <f t="shared" si="6"/>
        <v>105506.66951470624</v>
      </c>
      <c r="M14" s="1179">
        <v>0</v>
      </c>
      <c r="N14" s="1545">
        <f t="shared" si="7"/>
        <v>105506.66951470624</v>
      </c>
      <c r="O14" s="1181"/>
      <c r="P14" s="1181">
        <f t="shared" si="12"/>
        <v>105506.66951470624</v>
      </c>
      <c r="Q14" s="1545">
        <f t="shared" si="13"/>
        <v>8792</v>
      </c>
      <c r="R14" s="1545">
        <f t="shared" si="14"/>
        <v>105506.66951470624</v>
      </c>
    </row>
    <row r="15" spans="1:18" ht="16.2" customHeight="1">
      <c r="A15" s="1176">
        <v>9</v>
      </c>
      <c r="B15" s="1177" t="s">
        <v>89</v>
      </c>
      <c r="C15" s="1178">
        <f>+'[10]Table 8 Membership 2.1.14'!W11</f>
        <v>2</v>
      </c>
      <c r="D15" s="1179">
        <f>'Table 3 Levels 1&amp;2'!AL12+'Table 3 Levels 1&amp;2'!AT12</f>
        <v>8101.8015072045009</v>
      </c>
      <c r="E15" s="1180">
        <f t="shared" si="8"/>
        <v>16203.603014409002</v>
      </c>
      <c r="F15" s="1180">
        <f>'Table 3A Level 3'!C14</f>
        <v>744.76</v>
      </c>
      <c r="G15" s="1180">
        <f t="shared" si="9"/>
        <v>1489.52</v>
      </c>
      <c r="H15" s="1539">
        <f t="shared" si="10"/>
        <v>17693.123014409</v>
      </c>
      <c r="I15" s="1181"/>
      <c r="J15" s="1181"/>
      <c r="K15" s="1182">
        <f t="shared" si="11"/>
        <v>0</v>
      </c>
      <c r="L15" s="1539">
        <f t="shared" si="6"/>
        <v>17693.123014409</v>
      </c>
      <c r="M15" s="1179">
        <v>0</v>
      </c>
      <c r="N15" s="1545">
        <f t="shared" si="7"/>
        <v>17693.123014409</v>
      </c>
      <c r="O15" s="1181"/>
      <c r="P15" s="1181">
        <f t="shared" si="12"/>
        <v>17693.123014409</v>
      </c>
      <c r="Q15" s="1545">
        <f t="shared" si="13"/>
        <v>1474</v>
      </c>
      <c r="R15" s="1545">
        <f t="shared" si="14"/>
        <v>17693.123014409</v>
      </c>
    </row>
    <row r="16" spans="1:18" ht="16.2" customHeight="1">
      <c r="A16" s="1168">
        <v>10</v>
      </c>
      <c r="B16" s="1169" t="s">
        <v>90</v>
      </c>
      <c r="C16" s="1170">
        <f>+'[10]Table 8 Membership 2.1.14'!W12</f>
        <v>9</v>
      </c>
      <c r="D16" s="1171">
        <f>'Table 3 Levels 1&amp;2'!AL13+'Table 3 Levels 1&amp;2'!AT13</f>
        <v>8319.3647339184718</v>
      </c>
      <c r="E16" s="1172">
        <f t="shared" si="8"/>
        <v>74874.282605266242</v>
      </c>
      <c r="F16" s="1172">
        <f>'Table 3A Level 3'!C15</f>
        <v>608.04000000000008</v>
      </c>
      <c r="G16" s="1172">
        <f t="shared" si="9"/>
        <v>5472.3600000000006</v>
      </c>
      <c r="H16" s="1540">
        <f t="shared" si="10"/>
        <v>80346.642605266243</v>
      </c>
      <c r="I16" s="1173"/>
      <c r="J16" s="1173"/>
      <c r="K16" s="1174">
        <f t="shared" si="11"/>
        <v>0</v>
      </c>
      <c r="L16" s="1540">
        <f t="shared" si="6"/>
        <v>80346.642605266243</v>
      </c>
      <c r="M16" s="1171">
        <v>0</v>
      </c>
      <c r="N16" s="1546">
        <f t="shared" si="7"/>
        <v>80346.642605266243</v>
      </c>
      <c r="O16" s="1175"/>
      <c r="P16" s="1173">
        <f t="shared" si="12"/>
        <v>80346.642605266243</v>
      </c>
      <c r="Q16" s="1550">
        <f t="shared" si="13"/>
        <v>6696</v>
      </c>
      <c r="R16" s="1546">
        <f t="shared" si="14"/>
        <v>80346.642605266243</v>
      </c>
    </row>
    <row r="17" spans="1:18" ht="16.2" customHeight="1">
      <c r="A17" s="1183">
        <v>11</v>
      </c>
      <c r="B17" s="1184" t="s">
        <v>91</v>
      </c>
      <c r="C17" s="1185">
        <f>+'[10]Table 8 Membership 2.1.14'!W13</f>
        <v>1</v>
      </c>
      <c r="D17" s="1186">
        <f>'Table 3 Levels 1&amp;2'!AL14+'Table 3 Levels 1&amp;2'!AT14</f>
        <v>10505.297223635334</v>
      </c>
      <c r="E17" s="1187">
        <f t="shared" si="8"/>
        <v>10505.297223635334</v>
      </c>
      <c r="F17" s="1187">
        <f>'Table 3A Level 3'!C16</f>
        <v>706.55</v>
      </c>
      <c r="G17" s="1187">
        <f t="shared" si="9"/>
        <v>706.55</v>
      </c>
      <c r="H17" s="1538">
        <f t="shared" si="10"/>
        <v>11211.847223635334</v>
      </c>
      <c r="I17" s="1188"/>
      <c r="J17" s="1188"/>
      <c r="K17" s="1189">
        <f t="shared" si="11"/>
        <v>0</v>
      </c>
      <c r="L17" s="1538">
        <f t="shared" si="6"/>
        <v>11211.847223635334</v>
      </c>
      <c r="M17" s="1186">
        <v>0</v>
      </c>
      <c r="N17" s="1544">
        <f t="shared" si="7"/>
        <v>11211.847223635334</v>
      </c>
      <c r="O17" s="1188"/>
      <c r="P17" s="1188">
        <f t="shared" si="12"/>
        <v>11211.847223635334</v>
      </c>
      <c r="Q17" s="1544">
        <f t="shared" si="13"/>
        <v>934</v>
      </c>
      <c r="R17" s="1556">
        <f t="shared" si="14"/>
        <v>11211.847223635334</v>
      </c>
    </row>
    <row r="18" spans="1:18" ht="16.2" customHeight="1">
      <c r="A18" s="1176">
        <v>12</v>
      </c>
      <c r="B18" s="1177" t="s">
        <v>92</v>
      </c>
      <c r="C18" s="1178">
        <f>+'[10]Table 8 Membership 2.1.14'!W14</f>
        <v>0</v>
      </c>
      <c r="D18" s="1179">
        <f>'Table 3 Levels 1&amp;2'!AL15+'Table 3 Levels 1&amp;2'!AT15</f>
        <v>8147.7840983606566</v>
      </c>
      <c r="E18" s="1180">
        <f t="shared" si="8"/>
        <v>0</v>
      </c>
      <c r="F18" s="1180">
        <f>'Table 3A Level 3'!C17</f>
        <v>1063.31</v>
      </c>
      <c r="G18" s="1180">
        <f t="shared" si="9"/>
        <v>0</v>
      </c>
      <c r="H18" s="1539">
        <f t="shared" si="10"/>
        <v>0</v>
      </c>
      <c r="I18" s="1181"/>
      <c r="J18" s="1181"/>
      <c r="K18" s="1182">
        <f t="shared" si="11"/>
        <v>0</v>
      </c>
      <c r="L18" s="1539">
        <f t="shared" si="6"/>
        <v>0</v>
      </c>
      <c r="M18" s="1179">
        <v>0</v>
      </c>
      <c r="N18" s="1545">
        <f t="shared" si="7"/>
        <v>0</v>
      </c>
      <c r="O18" s="1181"/>
      <c r="P18" s="1181">
        <f t="shared" si="12"/>
        <v>0</v>
      </c>
      <c r="Q18" s="1545">
        <f t="shared" si="13"/>
        <v>0</v>
      </c>
      <c r="R18" s="1545">
        <f t="shared" si="14"/>
        <v>0</v>
      </c>
    </row>
    <row r="19" spans="1:18" ht="16.2" customHeight="1">
      <c r="A19" s="1176">
        <v>13</v>
      </c>
      <c r="B19" s="1177" t="s">
        <v>93</v>
      </c>
      <c r="C19" s="1178">
        <f>+'[10]Table 8 Membership 2.1.14'!W15</f>
        <v>0</v>
      </c>
      <c r="D19" s="1179">
        <f>'Table 3 Levels 1&amp;2'!AL16+'Table 3 Levels 1&amp;2'!AT16</f>
        <v>9171.2097758332202</v>
      </c>
      <c r="E19" s="1180">
        <f t="shared" si="8"/>
        <v>0</v>
      </c>
      <c r="F19" s="1180">
        <f>'Table 3A Level 3'!C18</f>
        <v>749.43000000000006</v>
      </c>
      <c r="G19" s="1180">
        <f t="shared" si="9"/>
        <v>0</v>
      </c>
      <c r="H19" s="1539">
        <f t="shared" si="10"/>
        <v>0</v>
      </c>
      <c r="I19" s="1181"/>
      <c r="J19" s="1181"/>
      <c r="K19" s="1182">
        <f t="shared" si="11"/>
        <v>0</v>
      </c>
      <c r="L19" s="1539">
        <f t="shared" si="6"/>
        <v>0</v>
      </c>
      <c r="M19" s="1179">
        <v>0</v>
      </c>
      <c r="N19" s="1545">
        <f t="shared" si="7"/>
        <v>0</v>
      </c>
      <c r="O19" s="1181"/>
      <c r="P19" s="1181">
        <f t="shared" si="12"/>
        <v>0</v>
      </c>
      <c r="Q19" s="1545">
        <f t="shared" si="13"/>
        <v>0</v>
      </c>
      <c r="R19" s="1545">
        <f t="shared" si="14"/>
        <v>0</v>
      </c>
    </row>
    <row r="20" spans="1:18" ht="16.2" customHeight="1">
      <c r="A20" s="1176">
        <v>14</v>
      </c>
      <c r="B20" s="1177" t="s">
        <v>94</v>
      </c>
      <c r="C20" s="1178">
        <f>+'[10]Table 8 Membership 2.1.14'!W16</f>
        <v>0</v>
      </c>
      <c r="D20" s="1179">
        <f>'Table 3 Levels 1&amp;2'!AL17+'Table 3 Levels 1&amp;2'!AT17</f>
        <v>9902.1209412499993</v>
      </c>
      <c r="E20" s="1180">
        <f t="shared" si="8"/>
        <v>0</v>
      </c>
      <c r="F20" s="1180">
        <f>'Table 3A Level 3'!C19</f>
        <v>809.9799999999999</v>
      </c>
      <c r="G20" s="1180">
        <f t="shared" si="9"/>
        <v>0</v>
      </c>
      <c r="H20" s="1539">
        <f t="shared" si="10"/>
        <v>0</v>
      </c>
      <c r="I20" s="1181"/>
      <c r="J20" s="1181"/>
      <c r="K20" s="1182">
        <f t="shared" si="11"/>
        <v>0</v>
      </c>
      <c r="L20" s="1539">
        <f t="shared" si="6"/>
        <v>0</v>
      </c>
      <c r="M20" s="1179">
        <v>0</v>
      </c>
      <c r="N20" s="1545">
        <f t="shared" si="7"/>
        <v>0</v>
      </c>
      <c r="O20" s="1181"/>
      <c r="P20" s="1181">
        <f t="shared" si="12"/>
        <v>0</v>
      </c>
      <c r="Q20" s="1545">
        <f t="shared" si="13"/>
        <v>0</v>
      </c>
      <c r="R20" s="1545">
        <f t="shared" si="14"/>
        <v>0</v>
      </c>
    </row>
    <row r="21" spans="1:18" ht="16.2" customHeight="1">
      <c r="A21" s="1168">
        <v>15</v>
      </c>
      <c r="B21" s="1169" t="s">
        <v>95</v>
      </c>
      <c r="C21" s="1170">
        <f>+'[10]Table 8 Membership 2.1.14'!W17</f>
        <v>1</v>
      </c>
      <c r="D21" s="1171">
        <f>'Table 3 Levels 1&amp;2'!AL18+'Table 3 Levels 1&amp;2'!AT18</f>
        <v>8626.4385214059948</v>
      </c>
      <c r="E21" s="1172">
        <f t="shared" si="8"/>
        <v>8626.4385214059948</v>
      </c>
      <c r="F21" s="1172">
        <f>'Table 3A Level 3'!C20</f>
        <v>553.79999999999995</v>
      </c>
      <c r="G21" s="1172">
        <f t="shared" si="9"/>
        <v>553.79999999999995</v>
      </c>
      <c r="H21" s="1540">
        <f t="shared" si="10"/>
        <v>9180.2385214059941</v>
      </c>
      <c r="I21" s="1173"/>
      <c r="J21" s="1173"/>
      <c r="K21" s="1174">
        <f t="shared" si="11"/>
        <v>0</v>
      </c>
      <c r="L21" s="1540">
        <f t="shared" si="6"/>
        <v>9180.2385214059941</v>
      </c>
      <c r="M21" s="1171">
        <v>0</v>
      </c>
      <c r="N21" s="1546">
        <f t="shared" si="7"/>
        <v>9180.2385214059941</v>
      </c>
      <c r="O21" s="1175"/>
      <c r="P21" s="1173">
        <f t="shared" si="12"/>
        <v>9180.2385214059941</v>
      </c>
      <c r="Q21" s="1550">
        <f t="shared" si="13"/>
        <v>765</v>
      </c>
      <c r="R21" s="1546">
        <f t="shared" si="14"/>
        <v>9180.2385214059941</v>
      </c>
    </row>
    <row r="22" spans="1:18" ht="16.2" customHeight="1">
      <c r="A22" s="1183">
        <v>16</v>
      </c>
      <c r="B22" s="1184" t="s">
        <v>96</v>
      </c>
      <c r="C22" s="1185">
        <f>+'[10]Table 8 Membership 2.1.14'!W18</f>
        <v>2</v>
      </c>
      <c r="D22" s="1186">
        <f>'Table 3 Levels 1&amp;2'!AL19+'Table 3 Levels 1&amp;2'!AT19</f>
        <v>7692.8994354342021</v>
      </c>
      <c r="E22" s="1187">
        <f t="shared" si="8"/>
        <v>15385.798870868404</v>
      </c>
      <c r="F22" s="1187">
        <f>'Table 3A Level 3'!C21</f>
        <v>686.73</v>
      </c>
      <c r="G22" s="1187">
        <f t="shared" si="9"/>
        <v>1373.46</v>
      </c>
      <c r="H22" s="1538">
        <f t="shared" si="10"/>
        <v>16759.258870868405</v>
      </c>
      <c r="I22" s="1188"/>
      <c r="J22" s="1188"/>
      <c r="K22" s="1189">
        <f t="shared" si="11"/>
        <v>0</v>
      </c>
      <c r="L22" s="1538">
        <f t="shared" si="6"/>
        <v>16759.258870868405</v>
      </c>
      <c r="M22" s="1186">
        <v>0</v>
      </c>
      <c r="N22" s="1544">
        <f t="shared" si="7"/>
        <v>16759.258870868405</v>
      </c>
      <c r="O22" s="1188"/>
      <c r="P22" s="1188">
        <f t="shared" si="12"/>
        <v>16759.258870868405</v>
      </c>
      <c r="Q22" s="1544">
        <f t="shared" si="13"/>
        <v>1397</v>
      </c>
      <c r="R22" s="1556">
        <f t="shared" si="14"/>
        <v>16759.258870868405</v>
      </c>
    </row>
    <row r="23" spans="1:18" ht="16.2" customHeight="1">
      <c r="A23" s="1176">
        <v>17</v>
      </c>
      <c r="B23" s="1177" t="s">
        <v>97</v>
      </c>
      <c r="C23" s="1178">
        <f>+'[10]Table 8 Membership 2.1.14'!W19</f>
        <v>25</v>
      </c>
      <c r="D23" s="1179">
        <f>'Table 3 Levels 1&amp;2'!AL20+'Table 3 Levels 1&amp;2'!AT20</f>
        <v>8082.3880368254495</v>
      </c>
      <c r="E23" s="1180">
        <f t="shared" si="8"/>
        <v>202059.70092063624</v>
      </c>
      <c r="F23" s="1180">
        <f>'Table 3A Level 3'!C22</f>
        <v>801.47762416806802</v>
      </c>
      <c r="G23" s="1180">
        <f t="shared" si="9"/>
        <v>20036.9406042017</v>
      </c>
      <c r="H23" s="1539">
        <f t="shared" si="10"/>
        <v>222096.64152483793</v>
      </c>
      <c r="I23" s="1181"/>
      <c r="J23" s="1181"/>
      <c r="K23" s="1182">
        <f t="shared" si="11"/>
        <v>0</v>
      </c>
      <c r="L23" s="1539">
        <f t="shared" si="6"/>
        <v>222096.64152483793</v>
      </c>
      <c r="M23" s="1179">
        <v>0</v>
      </c>
      <c r="N23" s="1545">
        <f t="shared" si="7"/>
        <v>222096.64152483793</v>
      </c>
      <c r="O23" s="1181"/>
      <c r="P23" s="1181">
        <f t="shared" si="12"/>
        <v>222096.64152483793</v>
      </c>
      <c r="Q23" s="1545">
        <f t="shared" si="13"/>
        <v>18508</v>
      </c>
      <c r="R23" s="1545">
        <f t="shared" si="14"/>
        <v>222096.64152483793</v>
      </c>
    </row>
    <row r="24" spans="1:18" ht="16.2" customHeight="1">
      <c r="A24" s="1176">
        <v>18</v>
      </c>
      <c r="B24" s="1177" t="s">
        <v>98</v>
      </c>
      <c r="C24" s="1178">
        <f>+'[10]Table 8 Membership 2.1.14'!W20</f>
        <v>0</v>
      </c>
      <c r="D24" s="1179">
        <f>'Table 3 Levels 1&amp;2'!AL21+'Table 3 Levels 1&amp;2'!AT21</f>
        <v>9645.2333500475725</v>
      </c>
      <c r="E24" s="1180">
        <f t="shared" si="8"/>
        <v>0</v>
      </c>
      <c r="F24" s="1180">
        <f>'Table 3A Level 3'!C23</f>
        <v>845.94999999999993</v>
      </c>
      <c r="G24" s="1180">
        <f t="shared" si="9"/>
        <v>0</v>
      </c>
      <c r="H24" s="1539">
        <f t="shared" si="10"/>
        <v>0</v>
      </c>
      <c r="I24" s="1181"/>
      <c r="J24" s="1181"/>
      <c r="K24" s="1182">
        <f t="shared" si="11"/>
        <v>0</v>
      </c>
      <c r="L24" s="1539">
        <f t="shared" si="6"/>
        <v>0</v>
      </c>
      <c r="M24" s="1179">
        <v>0</v>
      </c>
      <c r="N24" s="1545">
        <f t="shared" si="7"/>
        <v>0</v>
      </c>
      <c r="O24" s="1181"/>
      <c r="P24" s="1181">
        <f t="shared" si="12"/>
        <v>0</v>
      </c>
      <c r="Q24" s="1545">
        <f t="shared" si="13"/>
        <v>0</v>
      </c>
      <c r="R24" s="1545">
        <f t="shared" si="14"/>
        <v>0</v>
      </c>
    </row>
    <row r="25" spans="1:18" ht="16.2" customHeight="1">
      <c r="A25" s="1176">
        <v>19</v>
      </c>
      <c r="B25" s="1177" t="s">
        <v>99</v>
      </c>
      <c r="C25" s="1178">
        <f>+'[10]Table 8 Membership 2.1.14'!W21</f>
        <v>0</v>
      </c>
      <c r="D25" s="1179">
        <f>'Table 3 Levels 1&amp;2'!AL22+'Table 3 Levels 1&amp;2'!AT22</f>
        <v>7915.8221869460449</v>
      </c>
      <c r="E25" s="1180">
        <f t="shared" si="8"/>
        <v>0</v>
      </c>
      <c r="F25" s="1180">
        <f>'Table 3A Level 3'!C24</f>
        <v>905.43</v>
      </c>
      <c r="G25" s="1180">
        <f t="shared" si="9"/>
        <v>0</v>
      </c>
      <c r="H25" s="1539">
        <f t="shared" si="10"/>
        <v>0</v>
      </c>
      <c r="I25" s="1181"/>
      <c r="J25" s="1181"/>
      <c r="K25" s="1182">
        <f t="shared" si="11"/>
        <v>0</v>
      </c>
      <c r="L25" s="1539">
        <f t="shared" si="6"/>
        <v>0</v>
      </c>
      <c r="M25" s="1179">
        <v>0</v>
      </c>
      <c r="N25" s="1545">
        <f t="shared" si="7"/>
        <v>0</v>
      </c>
      <c r="O25" s="1181"/>
      <c r="P25" s="1181">
        <f t="shared" si="12"/>
        <v>0</v>
      </c>
      <c r="Q25" s="1545">
        <f t="shared" si="13"/>
        <v>0</v>
      </c>
      <c r="R25" s="1545">
        <f t="shared" si="14"/>
        <v>0</v>
      </c>
    </row>
    <row r="26" spans="1:18" ht="16.2" customHeight="1">
      <c r="A26" s="1168">
        <v>20</v>
      </c>
      <c r="B26" s="1169" t="s">
        <v>100</v>
      </c>
      <c r="C26" s="1170">
        <f>+'[10]Table 8 Membership 2.1.14'!W22</f>
        <v>2</v>
      </c>
      <c r="D26" s="1171">
        <f>'Table 3 Levels 1&amp;2'!AL23+'Table 3 Levels 1&amp;2'!AT23</f>
        <v>7983.350156556201</v>
      </c>
      <c r="E26" s="1172">
        <f t="shared" si="8"/>
        <v>15966.700313112402</v>
      </c>
      <c r="F26" s="1172">
        <f>'Table 3A Level 3'!C25</f>
        <v>586.16999999999996</v>
      </c>
      <c r="G26" s="1172">
        <f t="shared" si="9"/>
        <v>1172.3399999999999</v>
      </c>
      <c r="H26" s="1540">
        <f t="shared" si="10"/>
        <v>17139.0403131124</v>
      </c>
      <c r="I26" s="1173"/>
      <c r="J26" s="1173"/>
      <c r="K26" s="1174">
        <f t="shared" si="11"/>
        <v>0</v>
      </c>
      <c r="L26" s="1540">
        <f t="shared" si="6"/>
        <v>17139.0403131124</v>
      </c>
      <c r="M26" s="1171">
        <v>0</v>
      </c>
      <c r="N26" s="1546">
        <f t="shared" si="7"/>
        <v>17139.0403131124</v>
      </c>
      <c r="O26" s="1175"/>
      <c r="P26" s="1173">
        <f t="shared" si="12"/>
        <v>17139.0403131124</v>
      </c>
      <c r="Q26" s="1550">
        <f t="shared" si="13"/>
        <v>1428</v>
      </c>
      <c r="R26" s="1546">
        <f t="shared" si="14"/>
        <v>17139.0403131124</v>
      </c>
    </row>
    <row r="27" spans="1:18" ht="16.2" customHeight="1">
      <c r="A27" s="1183">
        <v>21</v>
      </c>
      <c r="B27" s="1184" t="s">
        <v>101</v>
      </c>
      <c r="C27" s="1185">
        <f>+'[10]Table 8 Membership 2.1.14'!W23</f>
        <v>2</v>
      </c>
      <c r="D27" s="1186">
        <f>'Table 3 Levels 1&amp;2'!AL24+'Table 3 Levels 1&amp;2'!AT24</f>
        <v>8582.6142295867758</v>
      </c>
      <c r="E27" s="1187">
        <f t="shared" si="8"/>
        <v>17165.228459173552</v>
      </c>
      <c r="F27" s="1187">
        <f>'Table 3A Level 3'!C26</f>
        <v>610.35</v>
      </c>
      <c r="G27" s="1187">
        <f t="shared" si="9"/>
        <v>1220.7</v>
      </c>
      <c r="H27" s="1538">
        <f t="shared" si="10"/>
        <v>18385.928459173552</v>
      </c>
      <c r="I27" s="1188"/>
      <c r="J27" s="1188"/>
      <c r="K27" s="1189">
        <f t="shared" si="11"/>
        <v>0</v>
      </c>
      <c r="L27" s="1538">
        <f t="shared" si="6"/>
        <v>18385.928459173552</v>
      </c>
      <c r="M27" s="1186">
        <v>0</v>
      </c>
      <c r="N27" s="1544">
        <f t="shared" si="7"/>
        <v>18385.928459173552</v>
      </c>
      <c r="O27" s="1188"/>
      <c r="P27" s="1188">
        <f t="shared" si="12"/>
        <v>18385.928459173552</v>
      </c>
      <c r="Q27" s="1544">
        <f t="shared" si="13"/>
        <v>1532</v>
      </c>
      <c r="R27" s="1556">
        <f t="shared" si="14"/>
        <v>18385.928459173552</v>
      </c>
    </row>
    <row r="28" spans="1:18" ht="16.2" customHeight="1">
      <c r="A28" s="1176">
        <v>22</v>
      </c>
      <c r="B28" s="1177" t="s">
        <v>102</v>
      </c>
      <c r="C28" s="1178">
        <f>+'[10]Table 8 Membership 2.1.14'!W24</f>
        <v>0</v>
      </c>
      <c r="D28" s="1179">
        <f>'Table 3 Levels 1&amp;2'!AL25+'Table 3 Levels 1&amp;2'!AT25</f>
        <v>8167.3099808195993</v>
      </c>
      <c r="E28" s="1180">
        <f t="shared" si="8"/>
        <v>0</v>
      </c>
      <c r="F28" s="1180">
        <f>'Table 3A Level 3'!C27</f>
        <v>496.36</v>
      </c>
      <c r="G28" s="1180">
        <f t="shared" si="9"/>
        <v>0</v>
      </c>
      <c r="H28" s="1539">
        <f t="shared" si="10"/>
        <v>0</v>
      </c>
      <c r="I28" s="1181"/>
      <c r="J28" s="1181"/>
      <c r="K28" s="1182">
        <f t="shared" si="11"/>
        <v>0</v>
      </c>
      <c r="L28" s="1539">
        <f t="shared" si="6"/>
        <v>0</v>
      </c>
      <c r="M28" s="1179">
        <v>0</v>
      </c>
      <c r="N28" s="1545">
        <f t="shared" si="7"/>
        <v>0</v>
      </c>
      <c r="O28" s="1181"/>
      <c r="P28" s="1181">
        <f t="shared" si="12"/>
        <v>0</v>
      </c>
      <c r="Q28" s="1545">
        <f t="shared" si="13"/>
        <v>0</v>
      </c>
      <c r="R28" s="1545">
        <f t="shared" si="14"/>
        <v>0</v>
      </c>
    </row>
    <row r="29" spans="1:18" ht="16.2" customHeight="1">
      <c r="A29" s="1176">
        <v>23</v>
      </c>
      <c r="B29" s="1177" t="s">
        <v>103</v>
      </c>
      <c r="C29" s="1178">
        <f>+'[10]Table 8 Membership 2.1.14'!W25</f>
        <v>6</v>
      </c>
      <c r="D29" s="1179">
        <f>'Table 3 Levels 1&amp;2'!AL26+'Table 3 Levels 1&amp;2'!AT26</f>
        <v>8410.0315265979152</v>
      </c>
      <c r="E29" s="1180">
        <f t="shared" si="8"/>
        <v>50460.189159587491</v>
      </c>
      <c r="F29" s="1180">
        <f>'Table 3A Level 3'!C28</f>
        <v>688.58</v>
      </c>
      <c r="G29" s="1180">
        <f t="shared" si="9"/>
        <v>4131.4800000000005</v>
      </c>
      <c r="H29" s="1539">
        <f t="shared" si="10"/>
        <v>54591.669159587495</v>
      </c>
      <c r="I29" s="1181"/>
      <c r="J29" s="1181"/>
      <c r="K29" s="1182">
        <f t="shared" si="11"/>
        <v>0</v>
      </c>
      <c r="L29" s="1539">
        <f t="shared" si="6"/>
        <v>54591.669159587495</v>
      </c>
      <c r="M29" s="1179">
        <v>0</v>
      </c>
      <c r="N29" s="1545">
        <f t="shared" si="7"/>
        <v>54591.669159587495</v>
      </c>
      <c r="O29" s="1181"/>
      <c r="P29" s="1181">
        <f t="shared" si="12"/>
        <v>54591.669159587495</v>
      </c>
      <c r="Q29" s="1545">
        <f t="shared" si="13"/>
        <v>4549</v>
      </c>
      <c r="R29" s="1545">
        <f t="shared" si="14"/>
        <v>54591.669159587495</v>
      </c>
    </row>
    <row r="30" spans="1:18" ht="16.2" customHeight="1">
      <c r="A30" s="1176">
        <v>24</v>
      </c>
      <c r="B30" s="1177" t="s">
        <v>104</v>
      </c>
      <c r="C30" s="1178">
        <f>+'[10]Table 8 Membership 2.1.14'!W26</f>
        <v>3</v>
      </c>
      <c r="D30" s="1179">
        <f>'Table 3 Levels 1&amp;2'!AL27+'Table 3 Levels 1&amp;2'!AT27</f>
        <v>8097.6440361577006</v>
      </c>
      <c r="E30" s="1180">
        <f t="shared" si="8"/>
        <v>24292.932108473102</v>
      </c>
      <c r="F30" s="1180">
        <f>'Table 3A Level 3'!C29</f>
        <v>854.24999999999989</v>
      </c>
      <c r="G30" s="1180">
        <f t="shared" si="9"/>
        <v>2562.7499999999995</v>
      </c>
      <c r="H30" s="1539">
        <f t="shared" si="10"/>
        <v>26855.682108473102</v>
      </c>
      <c r="I30" s="1181"/>
      <c r="J30" s="1181"/>
      <c r="K30" s="1182">
        <f t="shared" si="11"/>
        <v>0</v>
      </c>
      <c r="L30" s="1539">
        <f t="shared" si="6"/>
        <v>26855.682108473102</v>
      </c>
      <c r="M30" s="1179">
        <v>0</v>
      </c>
      <c r="N30" s="1545">
        <f t="shared" si="7"/>
        <v>26855.682108473102</v>
      </c>
      <c r="O30" s="1181"/>
      <c r="P30" s="1181">
        <f t="shared" si="12"/>
        <v>26855.682108473102</v>
      </c>
      <c r="Q30" s="1545">
        <f t="shared" si="13"/>
        <v>2238</v>
      </c>
      <c r="R30" s="1545">
        <f t="shared" si="14"/>
        <v>26855.682108473102</v>
      </c>
    </row>
    <row r="31" spans="1:18" ht="16.2" customHeight="1">
      <c r="A31" s="1168">
        <v>25</v>
      </c>
      <c r="B31" s="1169" t="s">
        <v>105</v>
      </c>
      <c r="C31" s="1170">
        <f>+'[10]Table 8 Membership 2.1.14'!W27</f>
        <v>0</v>
      </c>
      <c r="D31" s="1171">
        <f>'Table 3 Levels 1&amp;2'!AL28+'Table 3 Levels 1&amp;2'!AT28</f>
        <v>8543.4620274945701</v>
      </c>
      <c r="E31" s="1172">
        <f t="shared" si="8"/>
        <v>0</v>
      </c>
      <c r="F31" s="1172">
        <f>'Table 3A Level 3'!C30</f>
        <v>653.73</v>
      </c>
      <c r="G31" s="1172">
        <f t="shared" si="9"/>
        <v>0</v>
      </c>
      <c r="H31" s="1540">
        <f t="shared" si="10"/>
        <v>0</v>
      </c>
      <c r="I31" s="1173"/>
      <c r="J31" s="1173"/>
      <c r="K31" s="1174">
        <f t="shared" si="11"/>
        <v>0</v>
      </c>
      <c r="L31" s="1540">
        <f t="shared" si="6"/>
        <v>0</v>
      </c>
      <c r="M31" s="1171">
        <v>0</v>
      </c>
      <c r="N31" s="1546">
        <f t="shared" si="7"/>
        <v>0</v>
      </c>
      <c r="O31" s="1175"/>
      <c r="P31" s="1173">
        <f t="shared" si="12"/>
        <v>0</v>
      </c>
      <c r="Q31" s="1550">
        <f t="shared" si="13"/>
        <v>0</v>
      </c>
      <c r="R31" s="1546">
        <f t="shared" si="14"/>
        <v>0</v>
      </c>
    </row>
    <row r="32" spans="1:18" ht="16.2" customHeight="1">
      <c r="A32" s="1183">
        <v>26</v>
      </c>
      <c r="B32" s="1184" t="s">
        <v>106</v>
      </c>
      <c r="C32" s="1185">
        <f>+'[10]Table 8 Membership 2.1.14'!W28</f>
        <v>6</v>
      </c>
      <c r="D32" s="1186">
        <f>'Table 3 Levels 1&amp;2'!AL29+'Table 3 Levels 1&amp;2'!AT29</f>
        <v>8210.4549970570843</v>
      </c>
      <c r="E32" s="1187">
        <f t="shared" si="8"/>
        <v>49262.729982342506</v>
      </c>
      <c r="F32" s="1187">
        <f>'Table 3A Level 3'!C31</f>
        <v>836.83</v>
      </c>
      <c r="G32" s="1187">
        <f t="shared" si="9"/>
        <v>5020.9800000000005</v>
      </c>
      <c r="H32" s="1538">
        <f t="shared" si="10"/>
        <v>54283.709982342509</v>
      </c>
      <c r="I32" s="1188"/>
      <c r="J32" s="1188"/>
      <c r="K32" s="1189">
        <f t="shared" si="11"/>
        <v>0</v>
      </c>
      <c r="L32" s="1538">
        <f t="shared" si="6"/>
        <v>54283.709982342509</v>
      </c>
      <c r="M32" s="1186">
        <v>0</v>
      </c>
      <c r="N32" s="1544">
        <f t="shared" si="7"/>
        <v>54283.709982342509</v>
      </c>
      <c r="O32" s="1188"/>
      <c r="P32" s="1188">
        <f t="shared" si="12"/>
        <v>54283.709982342509</v>
      </c>
      <c r="Q32" s="1544">
        <f t="shared" si="13"/>
        <v>4524</v>
      </c>
      <c r="R32" s="1556">
        <f t="shared" si="14"/>
        <v>54283.709982342509</v>
      </c>
    </row>
    <row r="33" spans="1:18" ht="16.2" customHeight="1">
      <c r="A33" s="1176">
        <v>27</v>
      </c>
      <c r="B33" s="1177" t="s">
        <v>107</v>
      </c>
      <c r="C33" s="1178">
        <f>+'[10]Table 8 Membership 2.1.14'!W29</f>
        <v>0</v>
      </c>
      <c r="D33" s="1179">
        <f>'Table 3 Levels 1&amp;2'!AL30+'Table 3 Levels 1&amp;2'!AT30</f>
        <v>8955.5713839976997</v>
      </c>
      <c r="E33" s="1180">
        <f t="shared" si="8"/>
        <v>0</v>
      </c>
      <c r="F33" s="1180">
        <f>'Table 3A Level 3'!C32</f>
        <v>693.06</v>
      </c>
      <c r="G33" s="1180">
        <f t="shared" si="9"/>
        <v>0</v>
      </c>
      <c r="H33" s="1539">
        <f t="shared" si="10"/>
        <v>0</v>
      </c>
      <c r="I33" s="1181"/>
      <c r="J33" s="1181"/>
      <c r="K33" s="1182">
        <f t="shared" si="11"/>
        <v>0</v>
      </c>
      <c r="L33" s="1539">
        <f t="shared" si="6"/>
        <v>0</v>
      </c>
      <c r="M33" s="1179">
        <v>0</v>
      </c>
      <c r="N33" s="1545">
        <f t="shared" si="7"/>
        <v>0</v>
      </c>
      <c r="O33" s="1181"/>
      <c r="P33" s="1181">
        <f t="shared" si="12"/>
        <v>0</v>
      </c>
      <c r="Q33" s="1545">
        <f t="shared" si="13"/>
        <v>0</v>
      </c>
      <c r="R33" s="1545">
        <f t="shared" si="14"/>
        <v>0</v>
      </c>
    </row>
    <row r="34" spans="1:18" ht="16.2" customHeight="1">
      <c r="A34" s="1176">
        <v>28</v>
      </c>
      <c r="B34" s="1177" t="s">
        <v>108</v>
      </c>
      <c r="C34" s="1178">
        <f>+'[10]Table 8 Membership 2.1.14'!W30</f>
        <v>12</v>
      </c>
      <c r="D34" s="1179">
        <f>'Table 3 Levels 1&amp;2'!AL31+'Table 3 Levels 1&amp;2'!AT31</f>
        <v>7456.3358846568826</v>
      </c>
      <c r="E34" s="1180">
        <f t="shared" si="8"/>
        <v>89476.030615882599</v>
      </c>
      <c r="F34" s="1180">
        <f>'Table 3A Level 3'!C33</f>
        <v>694.4</v>
      </c>
      <c r="G34" s="1180">
        <f t="shared" si="9"/>
        <v>8332.7999999999993</v>
      </c>
      <c r="H34" s="1539">
        <f t="shared" si="10"/>
        <v>97808.830615882602</v>
      </c>
      <c r="I34" s="1181"/>
      <c r="J34" s="1181"/>
      <c r="K34" s="1182">
        <f t="shared" si="11"/>
        <v>0</v>
      </c>
      <c r="L34" s="1539">
        <f t="shared" si="6"/>
        <v>97808.830615882602</v>
      </c>
      <c r="M34" s="1179">
        <v>0</v>
      </c>
      <c r="N34" s="1545">
        <f t="shared" si="7"/>
        <v>97808.830615882602</v>
      </c>
      <c r="O34" s="1181"/>
      <c r="P34" s="1181">
        <f t="shared" si="12"/>
        <v>97808.830615882602</v>
      </c>
      <c r="Q34" s="1545">
        <f t="shared" si="13"/>
        <v>8151</v>
      </c>
      <c r="R34" s="1545">
        <f t="shared" si="14"/>
        <v>97808.830615882602</v>
      </c>
    </row>
    <row r="35" spans="1:18" ht="16.2" customHeight="1">
      <c r="A35" s="1176">
        <v>29</v>
      </c>
      <c r="B35" s="1177" t="s">
        <v>109</v>
      </c>
      <c r="C35" s="1178">
        <f>+'[10]Table 8 Membership 2.1.14'!W31</f>
        <v>3</v>
      </c>
      <c r="D35" s="1179">
        <f>'Table 3 Levels 1&amp;2'!AL32+'Table 3 Levels 1&amp;2'!AT32</f>
        <v>7545.1123210173719</v>
      </c>
      <c r="E35" s="1180">
        <f t="shared" si="8"/>
        <v>22635.336963052116</v>
      </c>
      <c r="F35" s="1180">
        <f>'Table 3A Level 3'!C34</f>
        <v>754.94999999999993</v>
      </c>
      <c r="G35" s="1180">
        <f t="shared" si="9"/>
        <v>2264.85</v>
      </c>
      <c r="H35" s="1539">
        <f t="shared" si="10"/>
        <v>24900.186963052114</v>
      </c>
      <c r="I35" s="1181"/>
      <c r="J35" s="1181"/>
      <c r="K35" s="1182">
        <f t="shared" si="11"/>
        <v>0</v>
      </c>
      <c r="L35" s="1539">
        <f t="shared" si="6"/>
        <v>24900.186963052114</v>
      </c>
      <c r="M35" s="1179">
        <v>0</v>
      </c>
      <c r="N35" s="1545">
        <f t="shared" si="7"/>
        <v>24900.186963052114</v>
      </c>
      <c r="O35" s="1181"/>
      <c r="P35" s="1181">
        <f t="shared" si="12"/>
        <v>24900.186963052114</v>
      </c>
      <c r="Q35" s="1545">
        <f t="shared" si="13"/>
        <v>2075</v>
      </c>
      <c r="R35" s="1545">
        <f t="shared" si="14"/>
        <v>24900.186963052114</v>
      </c>
    </row>
    <row r="36" spans="1:18" ht="16.2" customHeight="1">
      <c r="A36" s="1168">
        <v>30</v>
      </c>
      <c r="B36" s="1169" t="s">
        <v>110</v>
      </c>
      <c r="C36" s="1170">
        <f>+'[10]Table 8 Membership 2.1.14'!W32</f>
        <v>0</v>
      </c>
      <c r="D36" s="1171">
        <f>'Table 3 Levels 1&amp;2'!AL33+'Table 3 Levels 1&amp;2'!AT33</f>
        <v>8956.7027273996755</v>
      </c>
      <c r="E36" s="1172">
        <f t="shared" si="8"/>
        <v>0</v>
      </c>
      <c r="F36" s="1172">
        <f>'Table 3A Level 3'!C35</f>
        <v>727.17</v>
      </c>
      <c r="G36" s="1172">
        <f t="shared" si="9"/>
        <v>0</v>
      </c>
      <c r="H36" s="1540">
        <f t="shared" si="10"/>
        <v>0</v>
      </c>
      <c r="I36" s="1173"/>
      <c r="J36" s="1173"/>
      <c r="K36" s="1174">
        <f t="shared" si="11"/>
        <v>0</v>
      </c>
      <c r="L36" s="1540">
        <f t="shared" si="6"/>
        <v>0</v>
      </c>
      <c r="M36" s="1171">
        <v>0</v>
      </c>
      <c r="N36" s="1546">
        <f t="shared" si="7"/>
        <v>0</v>
      </c>
      <c r="O36" s="1175"/>
      <c r="P36" s="1173">
        <f t="shared" si="12"/>
        <v>0</v>
      </c>
      <c r="Q36" s="1550">
        <f t="shared" si="13"/>
        <v>0</v>
      </c>
      <c r="R36" s="1546">
        <f t="shared" si="14"/>
        <v>0</v>
      </c>
    </row>
    <row r="37" spans="1:18" ht="16.2" customHeight="1">
      <c r="A37" s="1183">
        <v>31</v>
      </c>
      <c r="B37" s="1184" t="s">
        <v>111</v>
      </c>
      <c r="C37" s="1185">
        <f>+'[10]Table 8 Membership 2.1.14'!W33</f>
        <v>3</v>
      </c>
      <c r="D37" s="1186">
        <f>'Table 3 Levels 1&amp;2'!AL34+'Table 3 Levels 1&amp;2'!AT34</f>
        <v>8360.1876716868537</v>
      </c>
      <c r="E37" s="1187">
        <f t="shared" si="8"/>
        <v>25080.563015060561</v>
      </c>
      <c r="F37" s="1187">
        <f>'Table 3A Level 3'!C36</f>
        <v>620.83000000000004</v>
      </c>
      <c r="G37" s="1187">
        <f t="shared" si="9"/>
        <v>1862.4900000000002</v>
      </c>
      <c r="H37" s="1538">
        <f t="shared" si="10"/>
        <v>26943.053015060563</v>
      </c>
      <c r="I37" s="1188"/>
      <c r="J37" s="1188"/>
      <c r="K37" s="1189">
        <f t="shared" si="11"/>
        <v>0</v>
      </c>
      <c r="L37" s="1538">
        <f t="shared" si="6"/>
        <v>26943.053015060563</v>
      </c>
      <c r="M37" s="1186">
        <v>0</v>
      </c>
      <c r="N37" s="1544">
        <f t="shared" si="7"/>
        <v>26943.053015060563</v>
      </c>
      <c r="O37" s="1188"/>
      <c r="P37" s="1188">
        <f t="shared" si="12"/>
        <v>26943.053015060563</v>
      </c>
      <c r="Q37" s="1544">
        <f t="shared" si="13"/>
        <v>2245</v>
      </c>
      <c r="R37" s="1556">
        <f t="shared" si="14"/>
        <v>26943.053015060563</v>
      </c>
    </row>
    <row r="38" spans="1:18" ht="16.2" customHeight="1">
      <c r="A38" s="1176">
        <v>32</v>
      </c>
      <c r="B38" s="1177" t="s">
        <v>112</v>
      </c>
      <c r="C38" s="1178">
        <f>+'[10]Table 8 Membership 2.1.14'!W34</f>
        <v>17</v>
      </c>
      <c r="D38" s="1179">
        <f>'Table 3 Levels 1&amp;2'!AL35+'Table 3 Levels 1&amp;2'!AT35</f>
        <v>7725.779189061127</v>
      </c>
      <c r="E38" s="1180">
        <f t="shared" si="8"/>
        <v>131338.24621403916</v>
      </c>
      <c r="F38" s="1180">
        <f>'Table 3A Level 3'!C37</f>
        <v>559.77</v>
      </c>
      <c r="G38" s="1180">
        <f t="shared" si="9"/>
        <v>9516.09</v>
      </c>
      <c r="H38" s="1539">
        <f t="shared" si="10"/>
        <v>140854.33621403915</v>
      </c>
      <c r="I38" s="1181"/>
      <c r="J38" s="1181"/>
      <c r="K38" s="1182">
        <f t="shared" si="11"/>
        <v>0</v>
      </c>
      <c r="L38" s="1539">
        <f t="shared" si="6"/>
        <v>140854.33621403915</v>
      </c>
      <c r="M38" s="1179">
        <v>0</v>
      </c>
      <c r="N38" s="1545">
        <f t="shared" si="7"/>
        <v>140854.33621403915</v>
      </c>
      <c r="O38" s="1181"/>
      <c r="P38" s="1181">
        <f t="shared" si="12"/>
        <v>140854.33621403915</v>
      </c>
      <c r="Q38" s="1545">
        <f t="shared" si="13"/>
        <v>11738</v>
      </c>
      <c r="R38" s="1545">
        <f t="shared" si="14"/>
        <v>140854.33621403915</v>
      </c>
    </row>
    <row r="39" spans="1:18" ht="16.2" customHeight="1">
      <c r="A39" s="1176">
        <v>33</v>
      </c>
      <c r="B39" s="1177" t="s">
        <v>113</v>
      </c>
      <c r="C39" s="1178">
        <f>+'[10]Table 8 Membership 2.1.14'!W35</f>
        <v>0</v>
      </c>
      <c r="D39" s="1179">
        <f>'Table 3 Levels 1&amp;2'!AL36+'Table 3 Levels 1&amp;2'!AT36</f>
        <v>8946.2054558085238</v>
      </c>
      <c r="E39" s="1180">
        <f t="shared" si="8"/>
        <v>0</v>
      </c>
      <c r="F39" s="1180">
        <f>'Table 3A Level 3'!C38</f>
        <v>655.31000000000006</v>
      </c>
      <c r="G39" s="1180">
        <f t="shared" si="9"/>
        <v>0</v>
      </c>
      <c r="H39" s="1539">
        <f t="shared" si="10"/>
        <v>0</v>
      </c>
      <c r="I39" s="1181"/>
      <c r="J39" s="1181"/>
      <c r="K39" s="1182">
        <f t="shared" si="11"/>
        <v>0</v>
      </c>
      <c r="L39" s="1539">
        <f t="shared" si="6"/>
        <v>0</v>
      </c>
      <c r="M39" s="1179">
        <v>0</v>
      </c>
      <c r="N39" s="1545">
        <f t="shared" ref="N39:N70" si="15">SUM(L39:M39)</f>
        <v>0</v>
      </c>
      <c r="O39" s="1181"/>
      <c r="P39" s="1181">
        <f t="shared" si="12"/>
        <v>0</v>
      </c>
      <c r="Q39" s="1545">
        <f t="shared" si="13"/>
        <v>0</v>
      </c>
      <c r="R39" s="1545">
        <f t="shared" si="14"/>
        <v>0</v>
      </c>
    </row>
    <row r="40" spans="1:18" ht="16.2" customHeight="1">
      <c r="A40" s="1176">
        <v>34</v>
      </c>
      <c r="B40" s="1177" t="s">
        <v>114</v>
      </c>
      <c r="C40" s="1178">
        <f>+'[10]Table 8 Membership 2.1.14'!W36</f>
        <v>1</v>
      </c>
      <c r="D40" s="1179">
        <f>'Table 3 Levels 1&amp;2'!AL37+'Table 3 Levels 1&amp;2'!AT37</f>
        <v>9175.6276842789011</v>
      </c>
      <c r="E40" s="1180">
        <f t="shared" si="8"/>
        <v>9175.6276842789011</v>
      </c>
      <c r="F40" s="1180">
        <f>'Table 3A Level 3'!C39</f>
        <v>644.11000000000013</v>
      </c>
      <c r="G40" s="1180">
        <f t="shared" si="9"/>
        <v>644.11000000000013</v>
      </c>
      <c r="H40" s="1539">
        <f t="shared" si="10"/>
        <v>9819.7376842789017</v>
      </c>
      <c r="I40" s="1181"/>
      <c r="J40" s="1181"/>
      <c r="K40" s="1182">
        <f t="shared" si="11"/>
        <v>0</v>
      </c>
      <c r="L40" s="1539">
        <f t="shared" si="6"/>
        <v>9819.7376842789017</v>
      </c>
      <c r="M40" s="1179">
        <v>0</v>
      </c>
      <c r="N40" s="1545">
        <f t="shared" si="15"/>
        <v>9819.7376842789017</v>
      </c>
      <c r="O40" s="1181"/>
      <c r="P40" s="1181">
        <f t="shared" si="12"/>
        <v>9819.7376842789017</v>
      </c>
      <c r="Q40" s="1545">
        <f t="shared" si="13"/>
        <v>818</v>
      </c>
      <c r="R40" s="1545">
        <f t="shared" si="14"/>
        <v>9819.7376842789017</v>
      </c>
    </row>
    <row r="41" spans="1:18" ht="16.2" customHeight="1">
      <c r="A41" s="1168">
        <v>35</v>
      </c>
      <c r="B41" s="1169" t="s">
        <v>115</v>
      </c>
      <c r="C41" s="1170">
        <f>+'[10]Table 8 Membership 2.1.14'!W37</f>
        <v>17</v>
      </c>
      <c r="D41" s="1171">
        <f>'Table 3 Levels 1&amp;2'!AL38+'Table 3 Levels 1&amp;2'!AT38</f>
        <v>8462.9982060477596</v>
      </c>
      <c r="E41" s="1172">
        <f t="shared" si="8"/>
        <v>143870.9695028119</v>
      </c>
      <c r="F41" s="1172">
        <f>'Table 3A Level 3'!C40</f>
        <v>537.96</v>
      </c>
      <c r="G41" s="1172">
        <f t="shared" si="9"/>
        <v>9145.32</v>
      </c>
      <c r="H41" s="1540">
        <f t="shared" si="10"/>
        <v>153016.28950281191</v>
      </c>
      <c r="I41" s="1173"/>
      <c r="J41" s="1173"/>
      <c r="K41" s="1174">
        <f t="shared" si="11"/>
        <v>0</v>
      </c>
      <c r="L41" s="1540">
        <f t="shared" si="6"/>
        <v>153016.28950281191</v>
      </c>
      <c r="M41" s="1171">
        <v>0</v>
      </c>
      <c r="N41" s="1546">
        <f t="shared" si="15"/>
        <v>153016.28950281191</v>
      </c>
      <c r="O41" s="1175"/>
      <c r="P41" s="1173">
        <f t="shared" si="12"/>
        <v>153016.28950281191</v>
      </c>
      <c r="Q41" s="1550">
        <f t="shared" si="13"/>
        <v>12751</v>
      </c>
      <c r="R41" s="1546">
        <f t="shared" si="14"/>
        <v>153016.28950281191</v>
      </c>
    </row>
    <row r="42" spans="1:18" ht="16.2" customHeight="1">
      <c r="A42" s="1183">
        <v>36</v>
      </c>
      <c r="B42" s="1184" t="s">
        <v>116</v>
      </c>
      <c r="C42" s="1185">
        <f>+'[10]Table 8 Membership 2.1.14'!W38</f>
        <v>2</v>
      </c>
      <c r="D42" s="1186">
        <f>'Table 3 Levels 1&amp;2'!AL39+'Table 3 Levels 1&amp;2'!AT39</f>
        <v>8125.9709974327861</v>
      </c>
      <c r="E42" s="1187">
        <f t="shared" si="8"/>
        <v>16251.941994865572</v>
      </c>
      <c r="F42" s="1187">
        <f>'Table 5B1_RSD_Orleans'!F80</f>
        <v>746.0335616438357</v>
      </c>
      <c r="G42" s="1187">
        <f t="shared" si="9"/>
        <v>1492.0671232876714</v>
      </c>
      <c r="H42" s="1538">
        <f t="shared" si="10"/>
        <v>17744.009118153244</v>
      </c>
      <c r="I42" s="1188"/>
      <c r="J42" s="1188"/>
      <c r="K42" s="1189">
        <f t="shared" si="11"/>
        <v>0</v>
      </c>
      <c r="L42" s="1538">
        <f t="shared" si="6"/>
        <v>17744.009118153244</v>
      </c>
      <c r="M42" s="1186">
        <v>0</v>
      </c>
      <c r="N42" s="1544">
        <f t="shared" si="15"/>
        <v>17744.009118153244</v>
      </c>
      <c r="O42" s="1188"/>
      <c r="P42" s="1188">
        <f t="shared" si="12"/>
        <v>17744.009118153244</v>
      </c>
      <c r="Q42" s="1544">
        <f t="shared" si="13"/>
        <v>1479</v>
      </c>
      <c r="R42" s="1556">
        <f t="shared" si="14"/>
        <v>17744.009118153244</v>
      </c>
    </row>
    <row r="43" spans="1:18" ht="16.2" customHeight="1">
      <c r="A43" s="1176">
        <v>37</v>
      </c>
      <c r="B43" s="1177" t="s">
        <v>117</v>
      </c>
      <c r="C43" s="1178">
        <f>+'[10]Table 8 Membership 2.1.14'!W39</f>
        <v>7</v>
      </c>
      <c r="D43" s="1179">
        <f>'Table 3 Levels 1&amp;2'!AL40+'Table 3 Levels 1&amp;2'!AT40</f>
        <v>8622.1539260317695</v>
      </c>
      <c r="E43" s="1180">
        <f t="shared" si="8"/>
        <v>60355.07748222239</v>
      </c>
      <c r="F43" s="1180">
        <f>'Table 3A Level 3'!C42</f>
        <v>653.61</v>
      </c>
      <c r="G43" s="1180">
        <f t="shared" si="9"/>
        <v>4575.2700000000004</v>
      </c>
      <c r="H43" s="1539">
        <f t="shared" si="10"/>
        <v>64930.347482222394</v>
      </c>
      <c r="I43" s="1181"/>
      <c r="J43" s="1181"/>
      <c r="K43" s="1182">
        <f t="shared" si="11"/>
        <v>0</v>
      </c>
      <c r="L43" s="1539">
        <f t="shared" si="6"/>
        <v>64930.347482222394</v>
      </c>
      <c r="M43" s="1179">
        <v>0</v>
      </c>
      <c r="N43" s="1545">
        <f t="shared" si="15"/>
        <v>64930.347482222394</v>
      </c>
      <c r="O43" s="1181"/>
      <c r="P43" s="1181">
        <f t="shared" si="12"/>
        <v>64930.347482222394</v>
      </c>
      <c r="Q43" s="1545">
        <f t="shared" si="13"/>
        <v>5411</v>
      </c>
      <c r="R43" s="1545">
        <f t="shared" si="14"/>
        <v>64930.347482222394</v>
      </c>
    </row>
    <row r="44" spans="1:18" ht="16.2" customHeight="1">
      <c r="A44" s="1176">
        <v>38</v>
      </c>
      <c r="B44" s="1177" t="s">
        <v>118</v>
      </c>
      <c r="C44" s="1178">
        <f>+'[10]Table 8 Membership 2.1.14'!W40</f>
        <v>1</v>
      </c>
      <c r="D44" s="1179">
        <f>'Table 3 Levels 1&amp;2'!AL41+'Table 3 Levels 1&amp;2'!AT41</f>
        <v>8414.5817552916888</v>
      </c>
      <c r="E44" s="1180">
        <f t="shared" si="8"/>
        <v>8414.5817552916888</v>
      </c>
      <c r="F44" s="1180">
        <f>'Table 3A Level 3'!C43</f>
        <v>829.92000000000007</v>
      </c>
      <c r="G44" s="1180">
        <f t="shared" si="9"/>
        <v>829.92000000000007</v>
      </c>
      <c r="H44" s="1539">
        <f t="shared" si="10"/>
        <v>9244.5017552916888</v>
      </c>
      <c r="I44" s="1181"/>
      <c r="J44" s="1181"/>
      <c r="K44" s="1182">
        <f t="shared" si="11"/>
        <v>0</v>
      </c>
      <c r="L44" s="1539">
        <f t="shared" si="6"/>
        <v>9244.5017552916888</v>
      </c>
      <c r="M44" s="1179">
        <v>0</v>
      </c>
      <c r="N44" s="1545">
        <f t="shared" si="15"/>
        <v>9244.5017552916888</v>
      </c>
      <c r="O44" s="1181"/>
      <c r="P44" s="1181">
        <f t="shared" si="12"/>
        <v>9244.5017552916888</v>
      </c>
      <c r="Q44" s="1545">
        <f t="shared" si="13"/>
        <v>770</v>
      </c>
      <c r="R44" s="1545">
        <f t="shared" si="14"/>
        <v>9244.5017552916888</v>
      </c>
    </row>
    <row r="45" spans="1:18" ht="16.2" customHeight="1">
      <c r="A45" s="1176">
        <v>39</v>
      </c>
      <c r="B45" s="1177" t="s">
        <v>119</v>
      </c>
      <c r="C45" s="1178">
        <f>+'[10]Table 8 Membership 2.1.14'!W41</f>
        <v>6</v>
      </c>
      <c r="D45" s="1179">
        <f>'Table 3 Levels 1&amp;2'!AL42+'Table 3 Levels 1&amp;2'!AT42</f>
        <v>8239.3056809295667</v>
      </c>
      <c r="E45" s="1180">
        <f t="shared" si="8"/>
        <v>49435.8340855774</v>
      </c>
      <c r="F45" s="1180">
        <f>'Table 3A Level 3'!C44</f>
        <v>779.65573042776396</v>
      </c>
      <c r="G45" s="1180">
        <f t="shared" si="9"/>
        <v>4677.9343825665837</v>
      </c>
      <c r="H45" s="1539">
        <f t="shared" si="10"/>
        <v>54113.768468143986</v>
      </c>
      <c r="I45" s="1181"/>
      <c r="J45" s="1181"/>
      <c r="K45" s="1182">
        <f t="shared" si="11"/>
        <v>0</v>
      </c>
      <c r="L45" s="1539">
        <f t="shared" si="6"/>
        <v>54113.768468143986</v>
      </c>
      <c r="M45" s="1179">
        <v>0</v>
      </c>
      <c r="N45" s="1545">
        <f t="shared" si="15"/>
        <v>54113.768468143986</v>
      </c>
      <c r="O45" s="1181"/>
      <c r="P45" s="1181">
        <f t="shared" si="12"/>
        <v>54113.768468143986</v>
      </c>
      <c r="Q45" s="1545">
        <f t="shared" si="13"/>
        <v>4509</v>
      </c>
      <c r="R45" s="1545">
        <f t="shared" si="14"/>
        <v>54113.768468143986</v>
      </c>
    </row>
    <row r="46" spans="1:18" ht="16.2" customHeight="1">
      <c r="A46" s="1168">
        <v>40</v>
      </c>
      <c r="B46" s="1169" t="s">
        <v>120</v>
      </c>
      <c r="C46" s="1170">
        <f>+'[10]Table 8 Membership 2.1.14'!W42</f>
        <v>16</v>
      </c>
      <c r="D46" s="1171">
        <f>'Table 3 Levels 1&amp;2'!AL43+'Table 3 Levels 1&amp;2'!AT43</f>
        <v>8217.96102856984</v>
      </c>
      <c r="E46" s="1172">
        <f t="shared" si="8"/>
        <v>131487.37645711744</v>
      </c>
      <c r="F46" s="1172">
        <f>'Table 3A Level 3'!C45</f>
        <v>700.2700000000001</v>
      </c>
      <c r="G46" s="1172">
        <f t="shared" si="9"/>
        <v>11204.320000000002</v>
      </c>
      <c r="H46" s="1540">
        <f t="shared" si="10"/>
        <v>142691.69645711745</v>
      </c>
      <c r="I46" s="1173"/>
      <c r="J46" s="1173"/>
      <c r="K46" s="1174">
        <f t="shared" si="11"/>
        <v>0</v>
      </c>
      <c r="L46" s="1540">
        <f t="shared" si="6"/>
        <v>142691.69645711745</v>
      </c>
      <c r="M46" s="1171">
        <v>0</v>
      </c>
      <c r="N46" s="1546">
        <f t="shared" si="15"/>
        <v>142691.69645711745</v>
      </c>
      <c r="O46" s="1175"/>
      <c r="P46" s="1173">
        <f t="shared" si="12"/>
        <v>142691.69645711745</v>
      </c>
      <c r="Q46" s="1550">
        <f t="shared" si="13"/>
        <v>11891</v>
      </c>
      <c r="R46" s="1546">
        <f t="shared" si="14"/>
        <v>142691.69645711745</v>
      </c>
    </row>
    <row r="47" spans="1:18" ht="16.2" customHeight="1">
      <c r="A47" s="1183">
        <v>41</v>
      </c>
      <c r="B47" s="1184" t="s">
        <v>121</v>
      </c>
      <c r="C47" s="1185">
        <f>+'[10]Table 8 Membership 2.1.14'!W43</f>
        <v>1</v>
      </c>
      <c r="D47" s="1186">
        <f>'Table 3 Levels 1&amp;2'!AL44+'Table 3 Levels 1&amp;2'!AT44</f>
        <v>8413.194857471648</v>
      </c>
      <c r="E47" s="1187">
        <f t="shared" si="8"/>
        <v>8413.194857471648</v>
      </c>
      <c r="F47" s="1187">
        <f>'Table 3A Level 3'!C46</f>
        <v>886.22</v>
      </c>
      <c r="G47" s="1187">
        <f t="shared" si="9"/>
        <v>886.22</v>
      </c>
      <c r="H47" s="1538">
        <f t="shared" si="10"/>
        <v>9299.4148574716473</v>
      </c>
      <c r="I47" s="1188"/>
      <c r="J47" s="1188"/>
      <c r="K47" s="1189">
        <f t="shared" si="11"/>
        <v>0</v>
      </c>
      <c r="L47" s="1538">
        <f t="shared" si="6"/>
        <v>9299.4148574716473</v>
      </c>
      <c r="M47" s="1186">
        <v>0</v>
      </c>
      <c r="N47" s="1544">
        <f t="shared" si="15"/>
        <v>9299.4148574716473</v>
      </c>
      <c r="O47" s="1188"/>
      <c r="P47" s="1188">
        <f t="shared" si="12"/>
        <v>9299.4148574716473</v>
      </c>
      <c r="Q47" s="1544">
        <f t="shared" si="13"/>
        <v>775</v>
      </c>
      <c r="R47" s="1556">
        <f t="shared" si="14"/>
        <v>9299.4148574716473</v>
      </c>
    </row>
    <row r="48" spans="1:18" ht="16.2" customHeight="1">
      <c r="A48" s="1176">
        <v>42</v>
      </c>
      <c r="B48" s="1177" t="s">
        <v>122</v>
      </c>
      <c r="C48" s="1178">
        <f>+'[10]Table 8 Membership 2.1.14'!W44</f>
        <v>0</v>
      </c>
      <c r="D48" s="1179">
        <f>'Table 3 Levels 1&amp;2'!AL45+'Table 3 Levels 1&amp;2'!AT45</f>
        <v>8785.2777751368685</v>
      </c>
      <c r="E48" s="1180">
        <f t="shared" si="8"/>
        <v>0</v>
      </c>
      <c r="F48" s="1180">
        <f>'Table 3A Level 3'!C47</f>
        <v>534.28</v>
      </c>
      <c r="G48" s="1180">
        <f t="shared" si="9"/>
        <v>0</v>
      </c>
      <c r="H48" s="1539">
        <f t="shared" si="10"/>
        <v>0</v>
      </c>
      <c r="I48" s="1181"/>
      <c r="J48" s="1181"/>
      <c r="K48" s="1182">
        <f t="shared" si="11"/>
        <v>0</v>
      </c>
      <c r="L48" s="1539">
        <f t="shared" si="6"/>
        <v>0</v>
      </c>
      <c r="M48" s="1179">
        <v>0</v>
      </c>
      <c r="N48" s="1545">
        <f t="shared" si="15"/>
        <v>0</v>
      </c>
      <c r="O48" s="1181"/>
      <c r="P48" s="1181">
        <f t="shared" si="12"/>
        <v>0</v>
      </c>
      <c r="Q48" s="1545">
        <f t="shared" si="13"/>
        <v>0</v>
      </c>
      <c r="R48" s="1545">
        <f t="shared" si="14"/>
        <v>0</v>
      </c>
    </row>
    <row r="49" spans="1:18" ht="16.2" customHeight="1">
      <c r="A49" s="1176">
        <v>43</v>
      </c>
      <c r="B49" s="1177" t="s">
        <v>123</v>
      </c>
      <c r="C49" s="1178">
        <f>+'[10]Table 8 Membership 2.1.14'!W45</f>
        <v>3</v>
      </c>
      <c r="D49" s="1179">
        <f>'Table 3 Levels 1&amp;2'!AL46+'Table 3 Levels 1&amp;2'!AT46</f>
        <v>9151.8938720594706</v>
      </c>
      <c r="E49" s="1180">
        <f t="shared" si="8"/>
        <v>27455.681616178412</v>
      </c>
      <c r="F49" s="1180">
        <f>'Table 3A Level 3'!C48</f>
        <v>574.6099999999999</v>
      </c>
      <c r="G49" s="1180">
        <f t="shared" si="9"/>
        <v>1723.8299999999997</v>
      </c>
      <c r="H49" s="1539">
        <f t="shared" si="10"/>
        <v>29179.51161617841</v>
      </c>
      <c r="I49" s="1181"/>
      <c r="J49" s="1181"/>
      <c r="K49" s="1182">
        <f t="shared" si="11"/>
        <v>0</v>
      </c>
      <c r="L49" s="1539">
        <f t="shared" si="6"/>
        <v>29179.51161617841</v>
      </c>
      <c r="M49" s="1179">
        <v>0</v>
      </c>
      <c r="N49" s="1545">
        <f t="shared" si="15"/>
        <v>29179.51161617841</v>
      </c>
      <c r="O49" s="1181"/>
      <c r="P49" s="1181">
        <f t="shared" si="12"/>
        <v>29179.51161617841</v>
      </c>
      <c r="Q49" s="1545">
        <f t="shared" si="13"/>
        <v>2432</v>
      </c>
      <c r="R49" s="1545">
        <f t="shared" si="14"/>
        <v>29179.51161617841</v>
      </c>
    </row>
    <row r="50" spans="1:18" ht="16.2" customHeight="1">
      <c r="A50" s="1176">
        <v>44</v>
      </c>
      <c r="B50" s="1177" t="s">
        <v>124</v>
      </c>
      <c r="C50" s="1178">
        <f>+'[10]Table 8 Membership 2.1.14'!W46</f>
        <v>2</v>
      </c>
      <c r="D50" s="1179">
        <f>'Table 3 Levels 1&amp;2'!AL47+'Table 3 Levels 1&amp;2'!AT47</f>
        <v>8460.7858151820365</v>
      </c>
      <c r="E50" s="1180">
        <f t="shared" si="8"/>
        <v>16921.571630364073</v>
      </c>
      <c r="F50" s="1180">
        <f>'Table 3A Level 3'!C49</f>
        <v>663.16000000000008</v>
      </c>
      <c r="G50" s="1180">
        <f t="shared" si="9"/>
        <v>1326.3200000000002</v>
      </c>
      <c r="H50" s="1539">
        <f t="shared" si="10"/>
        <v>18247.891630364073</v>
      </c>
      <c r="I50" s="1181"/>
      <c r="J50" s="1181"/>
      <c r="K50" s="1182">
        <f t="shared" si="11"/>
        <v>0</v>
      </c>
      <c r="L50" s="1539">
        <f t="shared" si="6"/>
        <v>18247.891630364073</v>
      </c>
      <c r="M50" s="1179">
        <v>0</v>
      </c>
      <c r="N50" s="1545">
        <f t="shared" si="15"/>
        <v>18247.891630364073</v>
      </c>
      <c r="O50" s="1181"/>
      <c r="P50" s="1181">
        <f t="shared" si="12"/>
        <v>18247.891630364073</v>
      </c>
      <c r="Q50" s="1545">
        <f t="shared" si="13"/>
        <v>1521</v>
      </c>
      <c r="R50" s="1545">
        <f t="shared" si="14"/>
        <v>18247.891630364073</v>
      </c>
    </row>
    <row r="51" spans="1:18" ht="16.2" customHeight="1">
      <c r="A51" s="1168">
        <v>45</v>
      </c>
      <c r="B51" s="1169" t="s">
        <v>125</v>
      </c>
      <c r="C51" s="1170">
        <f>+'[10]Table 8 Membership 2.1.14'!W47</f>
        <v>3</v>
      </c>
      <c r="D51" s="1171">
        <f>'Table 3 Levels 1&amp;2'!AL48+'Table 3 Levels 1&amp;2'!AT48</f>
        <v>7536.8772499469105</v>
      </c>
      <c r="E51" s="1172">
        <f t="shared" si="8"/>
        <v>22610.63174984073</v>
      </c>
      <c r="F51" s="1172">
        <f>'Table 3A Level 3'!C50</f>
        <v>753.96000000000015</v>
      </c>
      <c r="G51" s="1172">
        <f t="shared" si="9"/>
        <v>2261.8800000000006</v>
      </c>
      <c r="H51" s="1540">
        <f t="shared" si="10"/>
        <v>24872.511749840731</v>
      </c>
      <c r="I51" s="1173"/>
      <c r="J51" s="1173"/>
      <c r="K51" s="1174">
        <f t="shared" si="11"/>
        <v>0</v>
      </c>
      <c r="L51" s="1540">
        <f t="shared" si="6"/>
        <v>24872.511749840731</v>
      </c>
      <c r="M51" s="1171">
        <v>0</v>
      </c>
      <c r="N51" s="1546">
        <f t="shared" si="15"/>
        <v>24872.511749840731</v>
      </c>
      <c r="O51" s="1175"/>
      <c r="P51" s="1173">
        <f t="shared" si="12"/>
        <v>24872.511749840731</v>
      </c>
      <c r="Q51" s="1550">
        <f t="shared" si="13"/>
        <v>2073</v>
      </c>
      <c r="R51" s="1546">
        <f t="shared" si="14"/>
        <v>24872.511749840731</v>
      </c>
    </row>
    <row r="52" spans="1:18" ht="16.2" customHeight="1">
      <c r="A52" s="1183">
        <v>46</v>
      </c>
      <c r="B52" s="1184" t="s">
        <v>126</v>
      </c>
      <c r="C52" s="1185">
        <f>+'[10]Table 8 Membership 2.1.14'!W48</f>
        <v>0</v>
      </c>
      <c r="D52" s="1186">
        <f>'Table 3 Levels 1&amp;2'!AL49+'Table 3 Levels 1&amp;2'!AT49</f>
        <v>8543.9744468088393</v>
      </c>
      <c r="E52" s="1187">
        <f t="shared" si="8"/>
        <v>0</v>
      </c>
      <c r="F52" s="1187">
        <f>'Table 3A Level 3'!C51</f>
        <v>728.06</v>
      </c>
      <c r="G52" s="1187">
        <f t="shared" si="9"/>
        <v>0</v>
      </c>
      <c r="H52" s="1538">
        <f t="shared" si="10"/>
        <v>0</v>
      </c>
      <c r="I52" s="1188"/>
      <c r="J52" s="1188"/>
      <c r="K52" s="1189">
        <f t="shared" si="11"/>
        <v>0</v>
      </c>
      <c r="L52" s="1538">
        <f t="shared" si="6"/>
        <v>0</v>
      </c>
      <c r="M52" s="1186">
        <v>0</v>
      </c>
      <c r="N52" s="1544">
        <f t="shared" si="15"/>
        <v>0</v>
      </c>
      <c r="O52" s="1188"/>
      <c r="P52" s="1188">
        <f t="shared" si="12"/>
        <v>0</v>
      </c>
      <c r="Q52" s="1544">
        <f t="shared" si="13"/>
        <v>0</v>
      </c>
      <c r="R52" s="1556">
        <f t="shared" si="14"/>
        <v>0</v>
      </c>
    </row>
    <row r="53" spans="1:18" ht="16.2" customHeight="1">
      <c r="A53" s="1176">
        <v>47</v>
      </c>
      <c r="B53" s="1177" t="s">
        <v>127</v>
      </c>
      <c r="C53" s="1178">
        <f>+'[10]Table 8 Membership 2.1.14'!W49</f>
        <v>5</v>
      </c>
      <c r="D53" s="1179">
        <f>'Table 3 Levels 1&amp;2'!AL50+'Table 3 Levels 1&amp;2'!AT50</f>
        <v>8496.158525764673</v>
      </c>
      <c r="E53" s="1180">
        <f t="shared" si="8"/>
        <v>42480.792628823365</v>
      </c>
      <c r="F53" s="1180">
        <f>'Table 3A Level 3'!C52</f>
        <v>910.76</v>
      </c>
      <c r="G53" s="1180">
        <f t="shared" si="9"/>
        <v>4553.8</v>
      </c>
      <c r="H53" s="1539">
        <f t="shared" si="10"/>
        <v>47034.592628823368</v>
      </c>
      <c r="I53" s="1181"/>
      <c r="J53" s="1181"/>
      <c r="K53" s="1182">
        <f t="shared" si="11"/>
        <v>0</v>
      </c>
      <c r="L53" s="1539">
        <f t="shared" si="6"/>
        <v>47034.592628823368</v>
      </c>
      <c r="M53" s="1179">
        <v>0</v>
      </c>
      <c r="N53" s="1545">
        <f t="shared" si="15"/>
        <v>47034.592628823368</v>
      </c>
      <c r="O53" s="1181"/>
      <c r="P53" s="1181">
        <f t="shared" si="12"/>
        <v>47034.592628823368</v>
      </c>
      <c r="Q53" s="1545">
        <f t="shared" si="13"/>
        <v>3920</v>
      </c>
      <c r="R53" s="1545">
        <f t="shared" si="14"/>
        <v>47034.592628823368</v>
      </c>
    </row>
    <row r="54" spans="1:18" ht="16.2" customHeight="1">
      <c r="A54" s="1176">
        <v>48</v>
      </c>
      <c r="B54" s="1177" t="s">
        <v>178</v>
      </c>
      <c r="C54" s="1178">
        <f>+'[10]Table 8 Membership 2.1.14'!W50</f>
        <v>1</v>
      </c>
      <c r="D54" s="1179">
        <f>'Table 3 Levels 1&amp;2'!AL51+'Table 3 Levels 1&amp;2'!AT51</f>
        <v>8579.8882529800721</v>
      </c>
      <c r="E54" s="1180">
        <f t="shared" si="8"/>
        <v>8579.8882529800721</v>
      </c>
      <c r="F54" s="1180">
        <f>'Table 3A Level 3'!C53</f>
        <v>871.07</v>
      </c>
      <c r="G54" s="1180">
        <f t="shared" si="9"/>
        <v>871.07</v>
      </c>
      <c r="H54" s="1539">
        <f t="shared" si="10"/>
        <v>9450.9582529800718</v>
      </c>
      <c r="I54" s="1181"/>
      <c r="J54" s="1181"/>
      <c r="K54" s="1182">
        <f t="shared" si="11"/>
        <v>0</v>
      </c>
      <c r="L54" s="1539">
        <f t="shared" si="6"/>
        <v>9450.9582529800718</v>
      </c>
      <c r="M54" s="1179">
        <v>0</v>
      </c>
      <c r="N54" s="1545">
        <f t="shared" si="15"/>
        <v>9450.9582529800718</v>
      </c>
      <c r="O54" s="1181"/>
      <c r="P54" s="1181">
        <f t="shared" si="12"/>
        <v>9450.9582529800718</v>
      </c>
      <c r="Q54" s="1545">
        <f t="shared" si="13"/>
        <v>788</v>
      </c>
      <c r="R54" s="1545">
        <f t="shared" si="14"/>
        <v>9450.9582529800718</v>
      </c>
    </row>
    <row r="55" spans="1:18" ht="16.2" customHeight="1">
      <c r="A55" s="1176">
        <v>49</v>
      </c>
      <c r="B55" s="1177" t="s">
        <v>128</v>
      </c>
      <c r="C55" s="1178">
        <f>+'[10]Table 8 Membership 2.1.14'!W51</f>
        <v>7</v>
      </c>
      <c r="D55" s="1179">
        <f>'Table 3 Levels 1&amp;2'!AL52+'Table 3 Levels 1&amp;2'!AT52</f>
        <v>7455.4155315659191</v>
      </c>
      <c r="E55" s="1180">
        <f t="shared" si="8"/>
        <v>52187.908720961437</v>
      </c>
      <c r="F55" s="1180">
        <f>'Table 3A Level 3'!C54</f>
        <v>574.43999999999994</v>
      </c>
      <c r="G55" s="1180">
        <f t="shared" si="9"/>
        <v>4021.0799999999995</v>
      </c>
      <c r="H55" s="1539">
        <f t="shared" si="10"/>
        <v>56208.988720961439</v>
      </c>
      <c r="I55" s="1181"/>
      <c r="J55" s="1181"/>
      <c r="K55" s="1182">
        <f t="shared" si="11"/>
        <v>0</v>
      </c>
      <c r="L55" s="1539">
        <f t="shared" si="6"/>
        <v>56208.988720961439</v>
      </c>
      <c r="M55" s="1179">
        <v>0</v>
      </c>
      <c r="N55" s="1545">
        <f t="shared" si="15"/>
        <v>56208.988720961439</v>
      </c>
      <c r="O55" s="1181"/>
      <c r="P55" s="1181">
        <f t="shared" si="12"/>
        <v>56208.988720961439</v>
      </c>
      <c r="Q55" s="1545">
        <f t="shared" si="13"/>
        <v>4684</v>
      </c>
      <c r="R55" s="1545">
        <f t="shared" si="14"/>
        <v>56208.988720961439</v>
      </c>
    </row>
    <row r="56" spans="1:18" ht="16.2" customHeight="1">
      <c r="A56" s="1168">
        <v>50</v>
      </c>
      <c r="B56" s="1169" t="s">
        <v>129</v>
      </c>
      <c r="C56" s="1170">
        <f>+'[10]Table 8 Membership 2.1.14'!W52</f>
        <v>7</v>
      </c>
      <c r="D56" s="1171">
        <f>'Table 3 Levels 1&amp;2'!AL53+'Table 3 Levels 1&amp;2'!AT53</f>
        <v>8390.1392722701676</v>
      </c>
      <c r="E56" s="1172">
        <f t="shared" si="8"/>
        <v>58730.974905891169</v>
      </c>
      <c r="F56" s="1172">
        <f>'Table 3A Level 3'!C55</f>
        <v>634.46</v>
      </c>
      <c r="G56" s="1172">
        <f t="shared" si="9"/>
        <v>4441.22</v>
      </c>
      <c r="H56" s="1540">
        <f t="shared" si="10"/>
        <v>63172.19490589117</v>
      </c>
      <c r="I56" s="1173"/>
      <c r="J56" s="1173"/>
      <c r="K56" s="1174">
        <f t="shared" si="11"/>
        <v>0</v>
      </c>
      <c r="L56" s="1540">
        <f t="shared" si="6"/>
        <v>63172.19490589117</v>
      </c>
      <c r="M56" s="1171">
        <v>0</v>
      </c>
      <c r="N56" s="1546">
        <f t="shared" si="15"/>
        <v>63172.19490589117</v>
      </c>
      <c r="O56" s="1175"/>
      <c r="P56" s="1173">
        <f t="shared" si="12"/>
        <v>63172.19490589117</v>
      </c>
      <c r="Q56" s="1550">
        <f t="shared" si="13"/>
        <v>5264</v>
      </c>
      <c r="R56" s="1546">
        <f t="shared" si="14"/>
        <v>63172.19490589117</v>
      </c>
    </row>
    <row r="57" spans="1:18" ht="16.2" customHeight="1">
      <c r="A57" s="1183">
        <v>51</v>
      </c>
      <c r="B57" s="1184" t="s">
        <v>130</v>
      </c>
      <c r="C57" s="1185">
        <f>+'[10]Table 8 Membership 2.1.14'!W53</f>
        <v>5</v>
      </c>
      <c r="D57" s="1186">
        <f>'Table 3 Levels 1&amp;2'!AL54+'Table 3 Levels 1&amp;2'!AT54</f>
        <v>8413.1128602178997</v>
      </c>
      <c r="E57" s="1187">
        <f t="shared" si="8"/>
        <v>42065.5643010895</v>
      </c>
      <c r="F57" s="1187">
        <f>'Table 3A Level 3'!C56</f>
        <v>706.66</v>
      </c>
      <c r="G57" s="1187">
        <f t="shared" si="9"/>
        <v>3533.2999999999997</v>
      </c>
      <c r="H57" s="1538">
        <f t="shared" si="10"/>
        <v>45598.864301089503</v>
      </c>
      <c r="I57" s="1188"/>
      <c r="J57" s="1188"/>
      <c r="K57" s="1189">
        <f t="shared" si="11"/>
        <v>0</v>
      </c>
      <c r="L57" s="1538">
        <f t="shared" si="6"/>
        <v>45598.864301089503</v>
      </c>
      <c r="M57" s="1186">
        <v>0</v>
      </c>
      <c r="N57" s="1544">
        <f t="shared" si="15"/>
        <v>45598.864301089503</v>
      </c>
      <c r="O57" s="1188"/>
      <c r="P57" s="1188">
        <f t="shared" si="12"/>
        <v>45598.864301089503</v>
      </c>
      <c r="Q57" s="1544">
        <f t="shared" si="13"/>
        <v>3800</v>
      </c>
      <c r="R57" s="1556">
        <f t="shared" si="14"/>
        <v>45598.864301089503</v>
      </c>
    </row>
    <row r="58" spans="1:18" ht="16.2" customHeight="1">
      <c r="A58" s="1176">
        <v>52</v>
      </c>
      <c r="B58" s="1177" t="s">
        <v>131</v>
      </c>
      <c r="C58" s="1178">
        <f>+'[10]Table 8 Membership 2.1.14'!W54</f>
        <v>10</v>
      </c>
      <c r="D58" s="1179">
        <f>'Table 3 Levels 1&amp;2'!AL55+'Table 3 Levels 1&amp;2'!AT55</f>
        <v>8676.264584522818</v>
      </c>
      <c r="E58" s="1180">
        <f t="shared" si="8"/>
        <v>86762.64584522818</v>
      </c>
      <c r="F58" s="1180">
        <f>'Table 3A Level 3'!C57</f>
        <v>658.37</v>
      </c>
      <c r="G58" s="1180">
        <f t="shared" si="9"/>
        <v>6583.7</v>
      </c>
      <c r="H58" s="1539">
        <f t="shared" si="10"/>
        <v>93346.345845228177</v>
      </c>
      <c r="I58" s="1181"/>
      <c r="J58" s="1181"/>
      <c r="K58" s="1182">
        <f t="shared" si="11"/>
        <v>0</v>
      </c>
      <c r="L58" s="1539">
        <f t="shared" si="6"/>
        <v>93346.345845228177</v>
      </c>
      <c r="M58" s="1179">
        <v>0</v>
      </c>
      <c r="N58" s="1545">
        <f t="shared" si="15"/>
        <v>93346.345845228177</v>
      </c>
      <c r="O58" s="1181"/>
      <c r="P58" s="1181">
        <f t="shared" si="12"/>
        <v>93346.345845228177</v>
      </c>
      <c r="Q58" s="1545">
        <f t="shared" si="13"/>
        <v>7779</v>
      </c>
      <c r="R58" s="1545">
        <f t="shared" si="14"/>
        <v>93346.345845228177</v>
      </c>
    </row>
    <row r="59" spans="1:18" ht="16.2" customHeight="1">
      <c r="A59" s="1176">
        <v>53</v>
      </c>
      <c r="B59" s="1177" t="s">
        <v>132</v>
      </c>
      <c r="C59" s="1178">
        <f>+'[10]Table 8 Membership 2.1.14'!W55</f>
        <v>6</v>
      </c>
      <c r="D59" s="1179">
        <f>'Table 3 Levels 1&amp;2'!AL56+'Table 3 Levels 1&amp;2'!AT56</f>
        <v>7191.4708194045488</v>
      </c>
      <c r="E59" s="1180">
        <f t="shared" si="8"/>
        <v>43148.824916427293</v>
      </c>
      <c r="F59" s="1180">
        <f>'Table 3A Level 3'!C58</f>
        <v>689.74</v>
      </c>
      <c r="G59" s="1180">
        <f t="shared" si="9"/>
        <v>4138.4400000000005</v>
      </c>
      <c r="H59" s="1539">
        <f t="shared" si="10"/>
        <v>47287.264916427295</v>
      </c>
      <c r="I59" s="1181"/>
      <c r="J59" s="1181"/>
      <c r="K59" s="1182">
        <f t="shared" si="11"/>
        <v>0</v>
      </c>
      <c r="L59" s="1539">
        <f t="shared" si="6"/>
        <v>47287.264916427295</v>
      </c>
      <c r="M59" s="1179">
        <v>0</v>
      </c>
      <c r="N59" s="1545">
        <f t="shared" si="15"/>
        <v>47287.264916427295</v>
      </c>
      <c r="O59" s="1181"/>
      <c r="P59" s="1181">
        <f t="shared" si="12"/>
        <v>47287.264916427295</v>
      </c>
      <c r="Q59" s="1545">
        <f t="shared" si="13"/>
        <v>3941</v>
      </c>
      <c r="R59" s="1545">
        <f t="shared" si="14"/>
        <v>47287.264916427295</v>
      </c>
    </row>
    <row r="60" spans="1:18" ht="16.2" customHeight="1">
      <c r="A60" s="1176">
        <v>54</v>
      </c>
      <c r="B60" s="1177" t="s">
        <v>133</v>
      </c>
      <c r="C60" s="1178">
        <f>+'[10]Table 8 Membership 2.1.14'!W56</f>
        <v>0</v>
      </c>
      <c r="D60" s="1179">
        <f>'Table 3 Levels 1&amp;2'!AL57+'Table 3 Levels 1&amp;2'!AT57</f>
        <v>9815.1598370516713</v>
      </c>
      <c r="E60" s="1180">
        <f t="shared" si="8"/>
        <v>0</v>
      </c>
      <c r="F60" s="1180">
        <f>'Table 3A Level 3'!C59</f>
        <v>951.45</v>
      </c>
      <c r="G60" s="1180">
        <f t="shared" si="9"/>
        <v>0</v>
      </c>
      <c r="H60" s="1539">
        <f t="shared" si="10"/>
        <v>0</v>
      </c>
      <c r="I60" s="1181"/>
      <c r="J60" s="1181"/>
      <c r="K60" s="1182">
        <f t="shared" si="11"/>
        <v>0</v>
      </c>
      <c r="L60" s="1539">
        <f t="shared" si="6"/>
        <v>0</v>
      </c>
      <c r="M60" s="1179">
        <v>0</v>
      </c>
      <c r="N60" s="1545">
        <f t="shared" si="15"/>
        <v>0</v>
      </c>
      <c r="O60" s="1181"/>
      <c r="P60" s="1181">
        <f t="shared" si="12"/>
        <v>0</v>
      </c>
      <c r="Q60" s="1545">
        <f t="shared" si="13"/>
        <v>0</v>
      </c>
      <c r="R60" s="1545">
        <f t="shared" si="14"/>
        <v>0</v>
      </c>
    </row>
    <row r="61" spans="1:18" ht="16.2" customHeight="1">
      <c r="A61" s="1168">
        <v>55</v>
      </c>
      <c r="B61" s="1169" t="s">
        <v>134</v>
      </c>
      <c r="C61" s="1170">
        <f>+'[10]Table 8 Membership 2.1.14'!W57</f>
        <v>18</v>
      </c>
      <c r="D61" s="1171">
        <f>'Table 3 Levels 1&amp;2'!AL58+'Table 3 Levels 1&amp;2'!AT58</f>
        <v>7649.3925491298487</v>
      </c>
      <c r="E61" s="1172">
        <f t="shared" si="8"/>
        <v>137689.06588433727</v>
      </c>
      <c r="F61" s="1172">
        <f>'Table 3A Level 3'!C60</f>
        <v>795.14</v>
      </c>
      <c r="G61" s="1172">
        <f t="shared" si="9"/>
        <v>14312.52</v>
      </c>
      <c r="H61" s="1540">
        <f t="shared" si="10"/>
        <v>152001.58588433726</v>
      </c>
      <c r="I61" s="1173"/>
      <c r="J61" s="1173"/>
      <c r="K61" s="1174">
        <f t="shared" si="11"/>
        <v>0</v>
      </c>
      <c r="L61" s="1540">
        <f t="shared" si="6"/>
        <v>152001.58588433726</v>
      </c>
      <c r="M61" s="1171">
        <v>0</v>
      </c>
      <c r="N61" s="1546">
        <f t="shared" si="15"/>
        <v>152001.58588433726</v>
      </c>
      <c r="O61" s="1175"/>
      <c r="P61" s="1173">
        <f t="shared" si="12"/>
        <v>152001.58588433726</v>
      </c>
      <c r="Q61" s="1550">
        <f t="shared" si="13"/>
        <v>12667</v>
      </c>
      <c r="R61" s="1546">
        <f t="shared" si="14"/>
        <v>152001.58588433726</v>
      </c>
    </row>
    <row r="62" spans="1:18" ht="16.2" customHeight="1">
      <c r="A62" s="1183">
        <v>56</v>
      </c>
      <c r="B62" s="1184" t="s">
        <v>135</v>
      </c>
      <c r="C62" s="1185">
        <f>+'[10]Table 8 Membership 2.1.14'!W58</f>
        <v>0</v>
      </c>
      <c r="D62" s="1186">
        <f>'Table 3 Levels 1&amp;2'!AL59+'Table 3 Levels 1&amp;2'!AT59</f>
        <v>8002.4309408288282</v>
      </c>
      <c r="E62" s="1187">
        <f t="shared" si="8"/>
        <v>0</v>
      </c>
      <c r="F62" s="1187">
        <f>'Table 3A Level 3'!C61</f>
        <v>614.66000000000008</v>
      </c>
      <c r="G62" s="1187">
        <f t="shared" si="9"/>
        <v>0</v>
      </c>
      <c r="H62" s="1538">
        <f t="shared" si="10"/>
        <v>0</v>
      </c>
      <c r="I62" s="1188"/>
      <c r="J62" s="1188"/>
      <c r="K62" s="1189">
        <f t="shared" si="11"/>
        <v>0</v>
      </c>
      <c r="L62" s="1538">
        <f t="shared" si="6"/>
        <v>0</v>
      </c>
      <c r="M62" s="1186">
        <v>0</v>
      </c>
      <c r="N62" s="1544">
        <f t="shared" si="15"/>
        <v>0</v>
      </c>
      <c r="O62" s="1188"/>
      <c r="P62" s="1188">
        <f t="shared" si="12"/>
        <v>0</v>
      </c>
      <c r="Q62" s="1544">
        <f t="shared" si="13"/>
        <v>0</v>
      </c>
      <c r="R62" s="1556">
        <f t="shared" si="14"/>
        <v>0</v>
      </c>
    </row>
    <row r="63" spans="1:18" ht="16.2" customHeight="1">
      <c r="A63" s="1176">
        <v>57</v>
      </c>
      <c r="B63" s="1177" t="s">
        <v>136</v>
      </c>
      <c r="C63" s="1178">
        <f>+'[10]Table 8 Membership 2.1.14'!W59</f>
        <v>1</v>
      </c>
      <c r="D63" s="1179">
        <f>'Table 3 Levels 1&amp;2'!AL60+'Table 3 Levels 1&amp;2'!AT60</f>
        <v>7676.0622979230684</v>
      </c>
      <c r="E63" s="1180">
        <f t="shared" si="8"/>
        <v>7676.0622979230684</v>
      </c>
      <c r="F63" s="1180">
        <f>'Table 3A Level 3'!C62</f>
        <v>764.51</v>
      </c>
      <c r="G63" s="1180">
        <f t="shared" si="9"/>
        <v>764.51</v>
      </c>
      <c r="H63" s="1539">
        <f t="shared" si="10"/>
        <v>8440.5722979230686</v>
      </c>
      <c r="I63" s="1181"/>
      <c r="J63" s="1181"/>
      <c r="K63" s="1182">
        <f t="shared" si="11"/>
        <v>0</v>
      </c>
      <c r="L63" s="1539">
        <f t="shared" si="6"/>
        <v>8440.5722979230686</v>
      </c>
      <c r="M63" s="1179">
        <v>0</v>
      </c>
      <c r="N63" s="1545">
        <f t="shared" si="15"/>
        <v>8440.5722979230686</v>
      </c>
      <c r="O63" s="1181"/>
      <c r="P63" s="1181">
        <f t="shared" si="12"/>
        <v>8440.5722979230686</v>
      </c>
      <c r="Q63" s="1545">
        <f t="shared" si="13"/>
        <v>703</v>
      </c>
      <c r="R63" s="1545">
        <f t="shared" si="14"/>
        <v>8440.5722979230686</v>
      </c>
    </row>
    <row r="64" spans="1:18" ht="16.2" customHeight="1">
      <c r="A64" s="1176">
        <v>58</v>
      </c>
      <c r="B64" s="1177" t="s">
        <v>137</v>
      </c>
      <c r="C64" s="1178">
        <f>+'[10]Table 8 Membership 2.1.14'!W60</f>
        <v>14</v>
      </c>
      <c r="D64" s="1179">
        <f>'Table 3 Levels 1&amp;2'!AL61+'Table 3 Levels 1&amp;2'!AT61</f>
        <v>7917.3129637882121</v>
      </c>
      <c r="E64" s="1180">
        <f t="shared" si="8"/>
        <v>110842.38149303498</v>
      </c>
      <c r="F64" s="1180">
        <f>'Table 3A Level 3'!C63</f>
        <v>697.04</v>
      </c>
      <c r="G64" s="1180">
        <f t="shared" si="9"/>
        <v>9758.56</v>
      </c>
      <c r="H64" s="1539">
        <f t="shared" si="10"/>
        <v>120600.94149303497</v>
      </c>
      <c r="I64" s="1181"/>
      <c r="J64" s="1181"/>
      <c r="K64" s="1182">
        <f t="shared" si="11"/>
        <v>0</v>
      </c>
      <c r="L64" s="1539">
        <f t="shared" si="6"/>
        <v>120600.94149303497</v>
      </c>
      <c r="M64" s="1179">
        <v>0</v>
      </c>
      <c r="N64" s="1545">
        <f t="shared" si="15"/>
        <v>120600.94149303497</v>
      </c>
      <c r="O64" s="1181"/>
      <c r="P64" s="1181">
        <f t="shared" si="12"/>
        <v>120600.94149303497</v>
      </c>
      <c r="Q64" s="1545">
        <f t="shared" si="13"/>
        <v>10050</v>
      </c>
      <c r="R64" s="1545">
        <f t="shared" si="14"/>
        <v>120600.94149303497</v>
      </c>
    </row>
    <row r="65" spans="1:18" ht="16.2" customHeight="1">
      <c r="A65" s="1176">
        <v>59</v>
      </c>
      <c r="B65" s="1177" t="s">
        <v>138</v>
      </c>
      <c r="C65" s="1178">
        <f>+'[10]Table 8 Membership 2.1.14'!W61</f>
        <v>0</v>
      </c>
      <c r="D65" s="1179">
        <f>'Table 3 Levels 1&amp;2'!AL62+'Table 3 Levels 1&amp;2'!AT62</f>
        <v>8409.2162935218475</v>
      </c>
      <c r="E65" s="1180">
        <f t="shared" si="8"/>
        <v>0</v>
      </c>
      <c r="F65" s="1180">
        <f>'Table 3A Level 3'!C64</f>
        <v>689.52</v>
      </c>
      <c r="G65" s="1180">
        <f t="shared" si="9"/>
        <v>0</v>
      </c>
      <c r="H65" s="1539">
        <f t="shared" si="10"/>
        <v>0</v>
      </c>
      <c r="I65" s="1181"/>
      <c r="J65" s="1181"/>
      <c r="K65" s="1182">
        <f t="shared" si="11"/>
        <v>0</v>
      </c>
      <c r="L65" s="1539">
        <f t="shared" si="6"/>
        <v>0</v>
      </c>
      <c r="M65" s="1179">
        <v>0</v>
      </c>
      <c r="N65" s="1545">
        <f t="shared" si="15"/>
        <v>0</v>
      </c>
      <c r="O65" s="1181"/>
      <c r="P65" s="1181">
        <f t="shared" si="12"/>
        <v>0</v>
      </c>
      <c r="Q65" s="1545">
        <f t="shared" si="13"/>
        <v>0</v>
      </c>
      <c r="R65" s="1545">
        <f t="shared" si="14"/>
        <v>0</v>
      </c>
    </row>
    <row r="66" spans="1:18" ht="16.2" customHeight="1">
      <c r="A66" s="1168">
        <v>60</v>
      </c>
      <c r="B66" s="1169" t="s">
        <v>139</v>
      </c>
      <c r="C66" s="1170">
        <f>+'[10]Table 8 Membership 2.1.14'!W62</f>
        <v>4</v>
      </c>
      <c r="D66" s="1171">
        <f>'Table 3 Levels 1&amp;2'!AL63+'Table 3 Levels 1&amp;2'!AT63</f>
        <v>8655.3940900638281</v>
      </c>
      <c r="E66" s="1172">
        <f t="shared" si="8"/>
        <v>34621.576360255312</v>
      </c>
      <c r="F66" s="1172">
        <f>'Table 3A Level 3'!C65</f>
        <v>594.04</v>
      </c>
      <c r="G66" s="1172">
        <f t="shared" si="9"/>
        <v>2376.16</v>
      </c>
      <c r="H66" s="1540">
        <f t="shared" si="10"/>
        <v>36997.736360255309</v>
      </c>
      <c r="I66" s="1173"/>
      <c r="J66" s="1173"/>
      <c r="K66" s="1174">
        <f t="shared" si="11"/>
        <v>0</v>
      </c>
      <c r="L66" s="1540">
        <f t="shared" si="6"/>
        <v>36997.736360255309</v>
      </c>
      <c r="M66" s="1171">
        <v>0</v>
      </c>
      <c r="N66" s="1546">
        <f t="shared" si="15"/>
        <v>36997.736360255309</v>
      </c>
      <c r="O66" s="1175"/>
      <c r="P66" s="1173">
        <f t="shared" si="12"/>
        <v>36997.736360255309</v>
      </c>
      <c r="Q66" s="1550">
        <f t="shared" si="13"/>
        <v>3083</v>
      </c>
      <c r="R66" s="1546">
        <f t="shared" si="14"/>
        <v>36997.736360255309</v>
      </c>
    </row>
    <row r="67" spans="1:18" ht="16.2" customHeight="1">
      <c r="A67" s="1183">
        <v>61</v>
      </c>
      <c r="B67" s="1184" t="s">
        <v>140</v>
      </c>
      <c r="C67" s="1185">
        <f>+'[10]Table 8 Membership 2.1.14'!W63</f>
        <v>0</v>
      </c>
      <c r="D67" s="1186">
        <f>'Table 3 Levels 1&amp;2'!AL64+'Table 3 Levels 1&amp;2'!AT64</f>
        <v>7976.7075356369187</v>
      </c>
      <c r="E67" s="1187">
        <f t="shared" si="8"/>
        <v>0</v>
      </c>
      <c r="F67" s="1187">
        <f>'Table 3A Level 3'!C66</f>
        <v>833.70999999999992</v>
      </c>
      <c r="G67" s="1187">
        <f t="shared" si="9"/>
        <v>0</v>
      </c>
      <c r="H67" s="1538">
        <f t="shared" si="10"/>
        <v>0</v>
      </c>
      <c r="I67" s="1188"/>
      <c r="J67" s="1188"/>
      <c r="K67" s="1189">
        <f t="shared" si="11"/>
        <v>0</v>
      </c>
      <c r="L67" s="1538">
        <f t="shared" si="6"/>
        <v>0</v>
      </c>
      <c r="M67" s="1186">
        <v>0</v>
      </c>
      <c r="N67" s="1544">
        <f t="shared" si="15"/>
        <v>0</v>
      </c>
      <c r="O67" s="1188"/>
      <c r="P67" s="1188">
        <f t="shared" si="12"/>
        <v>0</v>
      </c>
      <c r="Q67" s="1544">
        <f t="shared" si="13"/>
        <v>0</v>
      </c>
      <c r="R67" s="1556">
        <f t="shared" si="14"/>
        <v>0</v>
      </c>
    </row>
    <row r="68" spans="1:18" ht="16.2" customHeight="1">
      <c r="A68" s="1176">
        <v>62</v>
      </c>
      <c r="B68" s="1177" t="s">
        <v>141</v>
      </c>
      <c r="C68" s="1178">
        <f>+'[10]Table 8 Membership 2.1.14'!W64</f>
        <v>1</v>
      </c>
      <c r="D68" s="1179">
        <f>'Table 3 Levels 1&amp;2'!AL65+'Table 3 Levels 1&amp;2'!AT65</f>
        <v>7937.3045385160076</v>
      </c>
      <c r="E68" s="1180">
        <f t="shared" si="8"/>
        <v>7937.3045385160076</v>
      </c>
      <c r="F68" s="1180">
        <f>'Table 3A Level 3'!C67</f>
        <v>516.08000000000004</v>
      </c>
      <c r="G68" s="1180">
        <f t="shared" si="9"/>
        <v>516.08000000000004</v>
      </c>
      <c r="H68" s="1539">
        <f t="shared" si="10"/>
        <v>8453.3845385160075</v>
      </c>
      <c r="I68" s="1181"/>
      <c r="J68" s="1181"/>
      <c r="K68" s="1182">
        <f t="shared" si="11"/>
        <v>0</v>
      </c>
      <c r="L68" s="1539">
        <f t="shared" si="6"/>
        <v>8453.3845385160075</v>
      </c>
      <c r="M68" s="1179">
        <v>0</v>
      </c>
      <c r="N68" s="1545">
        <f t="shared" si="15"/>
        <v>8453.3845385160075</v>
      </c>
      <c r="O68" s="1181"/>
      <c r="P68" s="1181">
        <f t="shared" si="12"/>
        <v>8453.3845385160075</v>
      </c>
      <c r="Q68" s="1545">
        <f t="shared" si="13"/>
        <v>704</v>
      </c>
      <c r="R68" s="1545">
        <f t="shared" si="14"/>
        <v>8453.3845385160075</v>
      </c>
    </row>
    <row r="69" spans="1:18" ht="16.2" customHeight="1">
      <c r="A69" s="1176">
        <v>63</v>
      </c>
      <c r="B69" s="1177" t="s">
        <v>142</v>
      </c>
      <c r="C69" s="1178">
        <f>+'[10]Table 8 Membership 2.1.14'!W65</f>
        <v>4</v>
      </c>
      <c r="D69" s="1179">
        <f>'Table 3 Levels 1&amp;2'!AL66+'Table 3 Levels 1&amp;2'!AT66</f>
        <v>9211.4813481848105</v>
      </c>
      <c r="E69" s="1180">
        <f t="shared" si="8"/>
        <v>36845.925392739242</v>
      </c>
      <c r="F69" s="1180">
        <f>'Table 3A Level 3'!C68</f>
        <v>756.79</v>
      </c>
      <c r="G69" s="1180">
        <f t="shared" si="9"/>
        <v>3027.16</v>
      </c>
      <c r="H69" s="1539">
        <f t="shared" si="10"/>
        <v>39873.085392739245</v>
      </c>
      <c r="I69" s="1181"/>
      <c r="J69" s="1181"/>
      <c r="K69" s="1182">
        <f t="shared" si="11"/>
        <v>0</v>
      </c>
      <c r="L69" s="1539">
        <f t="shared" si="6"/>
        <v>39873.085392739245</v>
      </c>
      <c r="M69" s="1179">
        <v>0</v>
      </c>
      <c r="N69" s="1545">
        <f t="shared" si="15"/>
        <v>39873.085392739245</v>
      </c>
      <c r="O69" s="1181"/>
      <c r="P69" s="1181">
        <f t="shared" si="12"/>
        <v>39873.085392739245</v>
      </c>
      <c r="Q69" s="1545">
        <f t="shared" si="13"/>
        <v>3323</v>
      </c>
      <c r="R69" s="1545">
        <f t="shared" si="14"/>
        <v>39873.085392739245</v>
      </c>
    </row>
    <row r="70" spans="1:18" ht="16.2" customHeight="1">
      <c r="A70" s="1176">
        <v>64</v>
      </c>
      <c r="B70" s="1177" t="s">
        <v>143</v>
      </c>
      <c r="C70" s="1178">
        <f>+'[10]Table 8 Membership 2.1.14'!W66</f>
        <v>1</v>
      </c>
      <c r="D70" s="1179">
        <f>'Table 3 Levels 1&amp;2'!AL67+'Table 3 Levels 1&amp;2'!AT67</f>
        <v>9420.8507532778258</v>
      </c>
      <c r="E70" s="1180">
        <f t="shared" si="8"/>
        <v>9420.8507532778258</v>
      </c>
      <c r="F70" s="1180">
        <f>'Table 3A Level 3'!C69</f>
        <v>592.66</v>
      </c>
      <c r="G70" s="1180">
        <f t="shared" si="9"/>
        <v>592.66</v>
      </c>
      <c r="H70" s="1539">
        <f t="shared" si="10"/>
        <v>10013.510753277826</v>
      </c>
      <c r="I70" s="1181"/>
      <c r="J70" s="1181"/>
      <c r="K70" s="1182">
        <f t="shared" si="11"/>
        <v>0</v>
      </c>
      <c r="L70" s="1539">
        <f t="shared" si="6"/>
        <v>10013.510753277826</v>
      </c>
      <c r="M70" s="1179">
        <v>0</v>
      </c>
      <c r="N70" s="1545">
        <f t="shared" si="15"/>
        <v>10013.510753277826</v>
      </c>
      <c r="O70" s="1181"/>
      <c r="P70" s="1181">
        <f t="shared" si="12"/>
        <v>10013.510753277826</v>
      </c>
      <c r="Q70" s="1545">
        <f t="shared" si="13"/>
        <v>834</v>
      </c>
      <c r="R70" s="1545">
        <f t="shared" si="14"/>
        <v>10013.510753277826</v>
      </c>
    </row>
    <row r="71" spans="1:18" ht="16.2" customHeight="1">
      <c r="A71" s="1168">
        <v>65</v>
      </c>
      <c r="B71" s="1169" t="s">
        <v>144</v>
      </c>
      <c r="C71" s="1170">
        <f>+'[10]Table 8 Membership 2.1.14'!W67</f>
        <v>0</v>
      </c>
      <c r="D71" s="1171">
        <f>'Table 3 Levels 1&amp;2'!AL68+'Table 3 Levels 1&amp;2'!AT68</f>
        <v>8794.3905543943638</v>
      </c>
      <c r="E71" s="1172">
        <f t="shared" si="8"/>
        <v>0</v>
      </c>
      <c r="F71" s="1172">
        <f>'Table 3A Level 3'!C70</f>
        <v>829.12</v>
      </c>
      <c r="G71" s="1172">
        <f t="shared" si="9"/>
        <v>0</v>
      </c>
      <c r="H71" s="1540">
        <f t="shared" si="10"/>
        <v>0</v>
      </c>
      <c r="I71" s="1173"/>
      <c r="J71" s="1173"/>
      <c r="K71" s="1174">
        <f t="shared" si="11"/>
        <v>0</v>
      </c>
      <c r="L71" s="1540">
        <f t="shared" ref="L71:L75" si="16">K71+H71</f>
        <v>0</v>
      </c>
      <c r="M71" s="1171">
        <v>0</v>
      </c>
      <c r="N71" s="1546">
        <f t="shared" ref="N71:N75" si="17">SUM(L71:M71)</f>
        <v>0</v>
      </c>
      <c r="O71" s="1175"/>
      <c r="P71" s="1173">
        <f t="shared" si="12"/>
        <v>0</v>
      </c>
      <c r="Q71" s="1550">
        <f t="shared" si="13"/>
        <v>0</v>
      </c>
      <c r="R71" s="1546">
        <f t="shared" si="14"/>
        <v>0</v>
      </c>
    </row>
    <row r="72" spans="1:18" ht="16.2" customHeight="1">
      <c r="A72" s="1176">
        <v>66</v>
      </c>
      <c r="B72" s="1177" t="s">
        <v>145</v>
      </c>
      <c r="C72" s="1197">
        <f>+'[10]Table 8 Membership 2.1.14'!W68</f>
        <v>0</v>
      </c>
      <c r="D72" s="1198">
        <f>'Table 3 Levels 1&amp;2'!AL69+'Table 3 Levels 1&amp;2'!AT69</f>
        <v>10218.278543391003</v>
      </c>
      <c r="E72" s="1199">
        <f t="shared" ref="E72:E75" si="18">C72*D72</f>
        <v>0</v>
      </c>
      <c r="F72" s="1199">
        <f>'Table 3A Level 3'!C71</f>
        <v>730.06</v>
      </c>
      <c r="G72" s="1199">
        <f t="shared" ref="G72:G75" si="19">C72*F72</f>
        <v>0</v>
      </c>
      <c r="H72" s="1403">
        <f t="shared" ref="H72:H75" si="20">E72+G72</f>
        <v>0</v>
      </c>
      <c r="I72" s="1200"/>
      <c r="J72" s="1200"/>
      <c r="K72" s="1201">
        <f t="shared" ref="K72:K75" si="21">+I72+J72</f>
        <v>0</v>
      </c>
      <c r="L72" s="1403">
        <f t="shared" si="16"/>
        <v>0</v>
      </c>
      <c r="M72" s="1198">
        <v>0</v>
      </c>
      <c r="N72" s="1398">
        <f t="shared" si="17"/>
        <v>0</v>
      </c>
      <c r="O72" s="1181"/>
      <c r="P72" s="1200">
        <f t="shared" ref="P72:P75" si="22">N72-O72</f>
        <v>0</v>
      </c>
      <c r="Q72" s="1545">
        <f t="shared" ref="Q72:Q75" si="23">ROUND(P72/12,0)</f>
        <v>0</v>
      </c>
      <c r="R72" s="1398">
        <f t="shared" ref="R72:R75" si="24">+N72</f>
        <v>0</v>
      </c>
    </row>
    <row r="73" spans="1:18" ht="16.2" customHeight="1">
      <c r="A73" s="1176">
        <v>67</v>
      </c>
      <c r="B73" s="1177" t="s">
        <v>30</v>
      </c>
      <c r="C73" s="1197">
        <f>+'[10]Table 8 Membership 2.1.14'!W69</f>
        <v>0</v>
      </c>
      <c r="D73" s="1198">
        <f>'Table 3 Levels 1&amp;2'!AL70+'Table 3 Levels 1&amp;2'!AT70</f>
        <v>8312.8467736134116</v>
      </c>
      <c r="E73" s="1199">
        <f t="shared" si="18"/>
        <v>0</v>
      </c>
      <c r="F73" s="1199">
        <f>'Table 3A Level 3'!C72</f>
        <v>715.61</v>
      </c>
      <c r="G73" s="1199">
        <f t="shared" si="19"/>
        <v>0</v>
      </c>
      <c r="H73" s="1403">
        <f t="shared" si="20"/>
        <v>0</v>
      </c>
      <c r="I73" s="1200"/>
      <c r="J73" s="1200"/>
      <c r="K73" s="1201">
        <f t="shared" si="21"/>
        <v>0</v>
      </c>
      <c r="L73" s="1403">
        <f t="shared" si="16"/>
        <v>0</v>
      </c>
      <c r="M73" s="1198">
        <v>0</v>
      </c>
      <c r="N73" s="1398">
        <f t="shared" si="17"/>
        <v>0</v>
      </c>
      <c r="O73" s="1181"/>
      <c r="P73" s="1200">
        <f t="shared" si="22"/>
        <v>0</v>
      </c>
      <c r="Q73" s="1545">
        <f t="shared" si="23"/>
        <v>0</v>
      </c>
      <c r="R73" s="1398">
        <f t="shared" si="24"/>
        <v>0</v>
      </c>
    </row>
    <row r="74" spans="1:18" ht="16.2" customHeight="1">
      <c r="A74" s="1176">
        <v>68</v>
      </c>
      <c r="B74" s="1177" t="s">
        <v>28</v>
      </c>
      <c r="C74" s="1197">
        <f>+'[10]Table 8 Membership 2.1.14'!W70</f>
        <v>0</v>
      </c>
      <c r="D74" s="1198">
        <f>'Table 3 Levels 1&amp;2'!AL71+'Table 3 Levels 1&amp;2'!AT71</f>
        <v>9395.5244202560607</v>
      </c>
      <c r="E74" s="1199">
        <f t="shared" si="18"/>
        <v>0</v>
      </c>
      <c r="F74" s="1199">
        <f>'Table 3A Level 3'!C73</f>
        <v>798.7</v>
      </c>
      <c r="G74" s="1199">
        <f t="shared" si="19"/>
        <v>0</v>
      </c>
      <c r="H74" s="1403">
        <f t="shared" si="20"/>
        <v>0</v>
      </c>
      <c r="I74" s="1200"/>
      <c r="J74" s="1200"/>
      <c r="K74" s="1201">
        <f t="shared" si="21"/>
        <v>0</v>
      </c>
      <c r="L74" s="1403">
        <f t="shared" si="16"/>
        <v>0</v>
      </c>
      <c r="M74" s="1198">
        <v>0</v>
      </c>
      <c r="N74" s="1398">
        <f t="shared" si="17"/>
        <v>0</v>
      </c>
      <c r="O74" s="1181"/>
      <c r="P74" s="1200">
        <f t="shared" si="22"/>
        <v>0</v>
      </c>
      <c r="Q74" s="1545">
        <f t="shared" si="23"/>
        <v>0</v>
      </c>
      <c r="R74" s="1398">
        <f t="shared" si="24"/>
        <v>0</v>
      </c>
    </row>
    <row r="75" spans="1:18" ht="16.2" customHeight="1">
      <c r="A75" s="1190">
        <v>69</v>
      </c>
      <c r="B75" s="1191" t="s">
        <v>183</v>
      </c>
      <c r="C75" s="1192">
        <f>+'[10]Table 8 Membership 2.1.14'!W71</f>
        <v>0</v>
      </c>
      <c r="D75" s="1193">
        <f>'Table 3 Levels 1&amp;2'!AL72+'Table 3 Levels 1&amp;2'!AT72</f>
        <v>8597.8147921281343</v>
      </c>
      <c r="E75" s="1194">
        <f t="shared" si="18"/>
        <v>0</v>
      </c>
      <c r="F75" s="1194">
        <f>'Table 3A Level 3'!C74</f>
        <v>705.67</v>
      </c>
      <c r="G75" s="1194">
        <f t="shared" si="19"/>
        <v>0</v>
      </c>
      <c r="H75" s="1541">
        <f t="shared" si="20"/>
        <v>0</v>
      </c>
      <c r="I75" s="1195"/>
      <c r="J75" s="1195"/>
      <c r="K75" s="1196">
        <f t="shared" si="21"/>
        <v>0</v>
      </c>
      <c r="L75" s="1541">
        <f t="shared" si="16"/>
        <v>0</v>
      </c>
      <c r="M75" s="1193">
        <v>0</v>
      </c>
      <c r="N75" s="1547">
        <f t="shared" si="17"/>
        <v>0</v>
      </c>
      <c r="O75" s="634"/>
      <c r="P75" s="1195">
        <f t="shared" si="22"/>
        <v>0</v>
      </c>
      <c r="Q75" s="1551">
        <f t="shared" si="23"/>
        <v>0</v>
      </c>
      <c r="R75" s="1547">
        <f t="shared" si="24"/>
        <v>0</v>
      </c>
    </row>
    <row r="76" spans="1:18" ht="16.2" customHeight="1" thickBot="1">
      <c r="A76" s="2221" t="s">
        <v>1045</v>
      </c>
      <c r="B76" s="2194"/>
      <c r="C76" s="470">
        <f>SUM(C7:C75)</f>
        <v>278</v>
      </c>
      <c r="D76" s="471"/>
      <c r="E76" s="480">
        <f>SUM(E7:E75)</f>
        <v>2247135.171326607</v>
      </c>
      <c r="F76" s="480">
        <f>'Table 3A Level 3'!C75</f>
        <v>704.64781030742063</v>
      </c>
      <c r="G76" s="480">
        <f t="shared" ref="G76:N76" si="25">SUM(G7:G75)</f>
        <v>191173.77211005596</v>
      </c>
      <c r="H76" s="1542">
        <f t="shared" si="25"/>
        <v>2438308.9434366622</v>
      </c>
      <c r="I76" s="639">
        <f t="shared" si="25"/>
        <v>0</v>
      </c>
      <c r="J76" s="639">
        <f t="shared" si="25"/>
        <v>0</v>
      </c>
      <c r="K76" s="632">
        <f t="shared" si="25"/>
        <v>0</v>
      </c>
      <c r="L76" s="1564">
        <f>SUM(L7:L75)</f>
        <v>2438308.9434366622</v>
      </c>
      <c r="M76" s="481">
        <f t="shared" si="25"/>
        <v>0</v>
      </c>
      <c r="N76" s="1542">
        <f t="shared" si="25"/>
        <v>2438308.9434366622</v>
      </c>
      <c r="O76" s="481"/>
      <c r="P76" s="481">
        <f>SUM(P7:P75)</f>
        <v>2438308.9434366622</v>
      </c>
      <c r="Q76" s="1548">
        <f>SUM(Q7:Q75)</f>
        <v>203192</v>
      </c>
      <c r="R76" s="1542">
        <f>SUM(R7:R75)</f>
        <v>2438308.9434366622</v>
      </c>
    </row>
    <row r="77" spans="1:18" ht="16.2" customHeight="1" thickTop="1">
      <c r="A77" s="2222" t="s">
        <v>1039</v>
      </c>
      <c r="B77" s="2223"/>
      <c r="C77" s="523"/>
      <c r="D77" s="469"/>
      <c r="E77" s="479"/>
      <c r="F77" s="479"/>
      <c r="G77" s="479"/>
      <c r="H77" s="479"/>
      <c r="I77" s="635"/>
      <c r="J77" s="635"/>
      <c r="K77" s="635"/>
      <c r="L77" s="635"/>
      <c r="M77" s="635"/>
      <c r="N77" s="1040">
        <f>+'Table 4 Level 4'!$E$80</f>
        <v>0</v>
      </c>
      <c r="O77" s="635"/>
      <c r="P77" s="635">
        <f t="shared" ref="P77:P81" si="26">N77-O77</f>
        <v>0</v>
      </c>
      <c r="Q77" s="1551">
        <f t="shared" ref="Q77:Q81" si="27">ROUND(P77/12,0)</f>
        <v>0</v>
      </c>
      <c r="R77" s="1040">
        <f>'Table 4 Level 4'!$E80</f>
        <v>0</v>
      </c>
    </row>
    <row r="78" spans="1:18" ht="16.2" customHeight="1">
      <c r="A78" s="2199" t="s">
        <v>1040</v>
      </c>
      <c r="B78" s="2216"/>
      <c r="C78" s="521"/>
      <c r="D78" s="467"/>
      <c r="E78" s="477"/>
      <c r="F78" s="477"/>
      <c r="G78" s="477"/>
      <c r="H78" s="477"/>
      <c r="I78" s="637"/>
      <c r="J78" s="637"/>
      <c r="K78" s="637"/>
      <c r="L78" s="637"/>
      <c r="M78" s="637"/>
      <c r="N78" s="637">
        <v>0</v>
      </c>
      <c r="O78" s="637"/>
      <c r="P78" s="637"/>
      <c r="Q78" s="634">
        <v>0</v>
      </c>
      <c r="R78" s="1041">
        <f>'Table 4 Level 4'!$J80</f>
        <v>0</v>
      </c>
    </row>
    <row r="79" spans="1:18" ht="16.2" customHeight="1">
      <c r="A79" s="2199" t="s">
        <v>1041</v>
      </c>
      <c r="B79" s="2216"/>
      <c r="C79" s="521"/>
      <c r="D79" s="467"/>
      <c r="E79" s="477"/>
      <c r="F79" s="477"/>
      <c r="G79" s="477"/>
      <c r="H79" s="477"/>
      <c r="I79" s="637"/>
      <c r="J79" s="637"/>
      <c r="K79" s="637"/>
      <c r="L79" s="637"/>
      <c r="M79" s="637"/>
      <c r="N79" s="637">
        <v>0</v>
      </c>
      <c r="O79" s="637"/>
      <c r="P79" s="637"/>
      <c r="Q79" s="634">
        <v>0</v>
      </c>
      <c r="R79" s="1041">
        <f>'Table 4 Level 4'!$K80</f>
        <v>0</v>
      </c>
    </row>
    <row r="80" spans="1:18" ht="16.2" customHeight="1">
      <c r="A80" s="2199" t="s">
        <v>1042</v>
      </c>
      <c r="B80" s="2216"/>
      <c r="C80" s="521"/>
      <c r="D80" s="467"/>
      <c r="E80" s="477"/>
      <c r="F80" s="477"/>
      <c r="G80" s="477"/>
      <c r="H80" s="477"/>
      <c r="I80" s="637"/>
      <c r="J80" s="637"/>
      <c r="K80" s="637"/>
      <c r="L80" s="637"/>
      <c r="M80" s="637"/>
      <c r="N80" s="637">
        <v>0</v>
      </c>
      <c r="O80" s="637"/>
      <c r="P80" s="637"/>
      <c r="Q80" s="634">
        <v>0</v>
      </c>
      <c r="R80" s="1041">
        <f>'Table 4 Level 4'!$L80</f>
        <v>0</v>
      </c>
    </row>
    <row r="81" spans="1:18" ht="16.2" customHeight="1">
      <c r="A81" s="2217" t="s">
        <v>1043</v>
      </c>
      <c r="B81" s="2218"/>
      <c r="C81" s="522"/>
      <c r="D81" s="468"/>
      <c r="E81" s="478"/>
      <c r="F81" s="478"/>
      <c r="G81" s="478"/>
      <c r="H81" s="478"/>
      <c r="I81" s="638"/>
      <c r="J81" s="638"/>
      <c r="K81" s="638"/>
      <c r="L81" s="638"/>
      <c r="M81" s="638"/>
      <c r="N81" s="1042">
        <f>+'Table 4 Level 4'!$N$80</f>
        <v>7228</v>
      </c>
      <c r="O81" s="638"/>
      <c r="P81" s="638">
        <f t="shared" si="26"/>
        <v>7228</v>
      </c>
      <c r="Q81" s="1691">
        <f t="shared" si="27"/>
        <v>602</v>
      </c>
      <c r="R81" s="1042">
        <f>'Table 4 Level 4'!$N80</f>
        <v>7228</v>
      </c>
    </row>
    <row r="82" spans="1:18" ht="16.2" customHeight="1" thickBot="1">
      <c r="A82" s="2221" t="s">
        <v>1044</v>
      </c>
      <c r="B82" s="2194"/>
      <c r="C82" s="470">
        <f>SUM(C76:C81)</f>
        <v>278</v>
      </c>
      <c r="D82" s="471"/>
      <c r="E82" s="480">
        <f t="shared" ref="E82:R82" si="28">SUM(E76:E81)</f>
        <v>2247135.171326607</v>
      </c>
      <c r="F82" s="480">
        <f t="shared" si="28"/>
        <v>704.64781030742063</v>
      </c>
      <c r="G82" s="480">
        <f t="shared" si="28"/>
        <v>191173.77211005596</v>
      </c>
      <c r="H82" s="471">
        <f t="shared" si="28"/>
        <v>2438308.9434366622</v>
      </c>
      <c r="I82" s="639">
        <f t="shared" si="28"/>
        <v>0</v>
      </c>
      <c r="J82" s="639">
        <f t="shared" si="28"/>
        <v>0</v>
      </c>
      <c r="K82" s="639">
        <f t="shared" si="28"/>
        <v>0</v>
      </c>
      <c r="L82" s="1029">
        <f t="shared" si="28"/>
        <v>2438308.9434366622</v>
      </c>
      <c r="M82" s="636">
        <f t="shared" si="28"/>
        <v>0</v>
      </c>
      <c r="N82" s="1542">
        <f t="shared" si="28"/>
        <v>2445536.9434366622</v>
      </c>
      <c r="O82" s="481">
        <f t="shared" si="28"/>
        <v>0</v>
      </c>
      <c r="P82" s="481">
        <f t="shared" si="28"/>
        <v>2445536.9434366622</v>
      </c>
      <c r="Q82" s="1548">
        <f t="shared" si="28"/>
        <v>203794</v>
      </c>
      <c r="R82" s="1542">
        <f t="shared" si="28"/>
        <v>2445536.9434366622</v>
      </c>
    </row>
    <row r="83" spans="1:18" ht="13.8" thickTop="1"/>
  </sheetData>
  <mergeCells count="27">
    <mergeCell ref="A82:B82"/>
    <mergeCell ref="R3:R4"/>
    <mergeCell ref="L3:L4"/>
    <mergeCell ref="M3:M4"/>
    <mergeCell ref="A76:B76"/>
    <mergeCell ref="A77:B77"/>
    <mergeCell ref="A78:B78"/>
    <mergeCell ref="N3:N4"/>
    <mergeCell ref="Q3:Q4"/>
    <mergeCell ref="O3:O4"/>
    <mergeCell ref="P3:P4"/>
    <mergeCell ref="A1:B4"/>
    <mergeCell ref="I2:K2"/>
    <mergeCell ref="C3:C4"/>
    <mergeCell ref="D3:D4"/>
    <mergeCell ref="E3:E4"/>
    <mergeCell ref="C1:K1"/>
    <mergeCell ref="L1:R1"/>
    <mergeCell ref="A79:B79"/>
    <mergeCell ref="A80:B80"/>
    <mergeCell ref="A81:B81"/>
    <mergeCell ref="K3:K4"/>
    <mergeCell ref="J3:J4"/>
    <mergeCell ref="F3:F4"/>
    <mergeCell ref="G3:G4"/>
    <mergeCell ref="H3:H4"/>
    <mergeCell ref="I3:I4"/>
  </mergeCells>
  <printOptions horizontalCentered="1"/>
  <pageMargins left="0.32" right="0.32" top="0.75" bottom="0.75" header="0.3" footer="0.3"/>
  <pageSetup paperSize="5" scale="60" firstPageNumber="50" orientation="portrait" r:id="rId1"/>
  <headerFooter>
    <oddHeader>&amp;L&amp;"Arial,Bold"&amp;20&amp;K000000Table 5A5: FY2014-15 MFP Budget Letter 
LA School for Math, Science and the Arts (LSMSA)</oddHeader>
    <oddFooter>&amp;R&amp;P</oddFooter>
  </headerFooter>
  <colBreaks count="1" manualBreakCount="1">
    <brk id="11" max="81"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R80"/>
  <sheetViews>
    <sheetView view="pageBreakPreview" zoomScale="70" zoomScaleNormal="75" zoomScaleSheetLayoutView="70" workbookViewId="0">
      <pane xSplit="2" ySplit="5" topLeftCell="C6" activePane="bottomRight" state="frozen"/>
      <selection sqref="A1:H1"/>
      <selection pane="topRight" sqref="A1:H1"/>
      <selection pane="bottomLeft" sqref="A1:H1"/>
      <selection pane="bottomRight" sqref="A1:H1"/>
    </sheetView>
  </sheetViews>
  <sheetFormatPr defaultColWidth="9.109375" defaultRowHeight="13.2"/>
  <cols>
    <col min="1" max="1" width="9.6640625" style="993" bestFit="1" customWidth="1"/>
    <col min="2" max="2" width="53" style="379" bestFit="1" customWidth="1"/>
    <col min="3" max="5" width="20.88671875" style="379" customWidth="1"/>
    <col min="6" max="6" width="20.88671875" style="972" customWidth="1"/>
    <col min="7" max="8" width="20.88671875" style="379" customWidth="1"/>
    <col min="9" max="10" width="13.5546875" style="379" bestFit="1" customWidth="1"/>
    <col min="11" max="11" width="13.6640625" style="379" bestFit="1" customWidth="1"/>
    <col min="12" max="12" width="14.33203125" style="379" bestFit="1" customWidth="1"/>
    <col min="13" max="13" width="13" style="379" bestFit="1" customWidth="1"/>
    <col min="14" max="14" width="11.109375" style="379" bestFit="1" customWidth="1"/>
    <col min="15" max="15" width="12.44140625" style="379" bestFit="1" customWidth="1"/>
    <col min="16" max="16" width="14.44140625" style="379" bestFit="1" customWidth="1"/>
    <col min="17" max="17" width="13.6640625" style="379" bestFit="1" customWidth="1"/>
    <col min="18" max="18" width="14.44140625" style="379" bestFit="1" customWidth="1"/>
    <col min="19" max="19" width="18.44140625" style="379" customWidth="1"/>
    <col min="20" max="20" width="16.33203125" style="379" customWidth="1"/>
    <col min="21" max="21" width="18.6640625" style="379" customWidth="1"/>
    <col min="22" max="24" width="16.6640625" style="379" customWidth="1"/>
    <col min="25" max="25" width="19.5546875" style="379" customWidth="1"/>
    <col min="26" max="28" width="16.109375" style="379" bestFit="1" customWidth="1"/>
    <col min="29" max="33" width="12.44140625" style="379" bestFit="1" customWidth="1"/>
    <col min="34" max="34" width="16" style="379" customWidth="1"/>
    <col min="35" max="35" width="14.33203125" style="379" bestFit="1" customWidth="1"/>
    <col min="36" max="36" width="11.33203125" style="379" bestFit="1" customWidth="1"/>
    <col min="37" max="37" width="13.33203125" style="379" bestFit="1" customWidth="1"/>
    <col min="38" max="38" width="16.109375" style="379" bestFit="1" customWidth="1"/>
    <col min="39" max="39" width="12.44140625" style="379" bestFit="1" customWidth="1"/>
    <col min="40" max="40" width="13.6640625" style="379" bestFit="1" customWidth="1"/>
    <col min="41" max="41" width="16" style="379" bestFit="1" customWidth="1"/>
    <col min="42" max="42" width="10.88671875" style="379" bestFit="1" customWidth="1"/>
    <col min="43" max="43" width="14.44140625" style="379" bestFit="1" customWidth="1"/>
    <col min="44" max="44" width="16.109375" style="379" bestFit="1" customWidth="1"/>
    <col min="45" max="16384" width="9.109375" style="379"/>
  </cols>
  <sheetData>
    <row r="1" spans="1:44" ht="43.2" customHeight="1">
      <c r="A1" s="2180" t="s">
        <v>321</v>
      </c>
      <c r="B1" s="2180" t="s">
        <v>173</v>
      </c>
      <c r="C1" s="2239" t="s">
        <v>927</v>
      </c>
      <c r="D1" s="2240"/>
      <c r="E1" s="2240"/>
      <c r="F1" s="2240"/>
      <c r="G1" s="2240"/>
      <c r="H1" s="2241"/>
      <c r="I1" s="2239" t="s">
        <v>927</v>
      </c>
      <c r="J1" s="2240"/>
      <c r="K1" s="2240"/>
      <c r="L1" s="2240"/>
      <c r="M1" s="2240"/>
      <c r="N1" s="2240"/>
      <c r="O1" s="2240"/>
      <c r="P1" s="2240"/>
      <c r="Q1" s="2240"/>
      <c r="R1" s="2241"/>
      <c r="S1" s="2239" t="s">
        <v>927</v>
      </c>
      <c r="T1" s="2240"/>
      <c r="U1" s="2240"/>
      <c r="V1" s="2240"/>
      <c r="W1" s="2240"/>
      <c r="X1" s="2240"/>
      <c r="Y1" s="2241"/>
      <c r="Z1" s="2266" t="s">
        <v>1247</v>
      </c>
      <c r="AA1" s="2266"/>
      <c r="AB1" s="2266"/>
      <c r="AC1" s="2266"/>
      <c r="AD1" s="2266"/>
      <c r="AE1" s="2266"/>
      <c r="AF1" s="2266"/>
      <c r="AG1" s="2266"/>
      <c r="AH1" s="2267"/>
      <c r="AI1" s="2268" t="s">
        <v>1247</v>
      </c>
      <c r="AJ1" s="2266"/>
      <c r="AK1" s="2266"/>
      <c r="AL1" s="2266"/>
      <c r="AM1" s="2266"/>
      <c r="AN1" s="2266"/>
      <c r="AO1" s="2266"/>
      <c r="AP1" s="2266"/>
      <c r="AQ1" s="2266"/>
      <c r="AR1" s="2267"/>
    </row>
    <row r="2" spans="1:44" ht="20.399999999999999" customHeight="1">
      <c r="A2" s="2181"/>
      <c r="B2" s="2181"/>
      <c r="C2" s="1700"/>
      <c r="D2" s="1696"/>
      <c r="E2" s="1696"/>
      <c r="F2" s="1697"/>
      <c r="G2" s="1698"/>
      <c r="H2" s="1699"/>
      <c r="I2" s="2269" t="s">
        <v>531</v>
      </c>
      <c r="J2" s="2270"/>
      <c r="K2" s="2271"/>
      <c r="L2" s="1696"/>
      <c r="M2" s="1701"/>
      <c r="N2" s="1701"/>
      <c r="O2" s="1701"/>
      <c r="P2" s="1702"/>
      <c r="Q2" s="1703"/>
      <c r="R2" s="1704"/>
      <c r="S2" s="2245" t="s">
        <v>1061</v>
      </c>
      <c r="T2" s="2246"/>
      <c r="U2" s="1703"/>
      <c r="V2" s="2245" t="s">
        <v>1068</v>
      </c>
      <c r="W2" s="2249"/>
      <c r="X2" s="2246"/>
      <c r="Y2" s="1705"/>
      <c r="Z2" s="1692"/>
      <c r="AA2" s="1692"/>
      <c r="AB2" s="1693"/>
      <c r="AC2" s="2269" t="s">
        <v>531</v>
      </c>
      <c r="AD2" s="2270"/>
      <c r="AE2" s="2270"/>
      <c r="AF2" s="2270"/>
      <c r="AG2" s="2271"/>
      <c r="AH2" s="1695"/>
      <c r="AI2" s="1694"/>
      <c r="AJ2" s="1692"/>
      <c r="AK2" s="1692"/>
      <c r="AL2" s="1692"/>
      <c r="AM2" s="1692"/>
      <c r="AN2" s="1692"/>
      <c r="AO2" s="1692"/>
      <c r="AP2" s="1692"/>
      <c r="AQ2" s="1692"/>
      <c r="AR2" s="1693"/>
    </row>
    <row r="3" spans="1:44" ht="157.19999999999999" customHeight="1">
      <c r="A3" s="2181"/>
      <c r="B3" s="2181"/>
      <c r="C3" s="2258" t="s">
        <v>934</v>
      </c>
      <c r="D3" s="1608" t="s">
        <v>1109</v>
      </c>
      <c r="E3" s="2243" t="s">
        <v>382</v>
      </c>
      <c r="F3" s="2263" t="s">
        <v>298</v>
      </c>
      <c r="G3" s="2243" t="s">
        <v>296</v>
      </c>
      <c r="H3" s="2243" t="s">
        <v>547</v>
      </c>
      <c r="I3" s="2272" t="s">
        <v>770</v>
      </c>
      <c r="J3" s="2272" t="s">
        <v>769</v>
      </c>
      <c r="K3" s="2274" t="s">
        <v>585</v>
      </c>
      <c r="L3" s="2265" t="s">
        <v>584</v>
      </c>
      <c r="M3" s="1604" t="s">
        <v>318</v>
      </c>
      <c r="N3" s="1604" t="s">
        <v>582</v>
      </c>
      <c r="O3" s="2256" t="s">
        <v>579</v>
      </c>
      <c r="P3" s="2256" t="s">
        <v>583</v>
      </c>
      <c r="Q3" s="2261" t="s">
        <v>1036</v>
      </c>
      <c r="R3" s="2256" t="s">
        <v>1079</v>
      </c>
      <c r="S3" s="2247" t="s">
        <v>1023</v>
      </c>
      <c r="T3" s="2247" t="s">
        <v>1060</v>
      </c>
      <c r="U3" s="2243" t="s">
        <v>1056</v>
      </c>
      <c r="V3" s="2247" t="s">
        <v>1063</v>
      </c>
      <c r="W3" s="2247" t="s">
        <v>1064</v>
      </c>
      <c r="X3" s="2247" t="s">
        <v>1065</v>
      </c>
      <c r="Y3" s="2243" t="s">
        <v>1057</v>
      </c>
      <c r="Z3" s="890" t="s">
        <v>1248</v>
      </c>
      <c r="AA3" s="890" t="s">
        <v>1249</v>
      </c>
      <c r="AB3" s="2237" t="s">
        <v>1250</v>
      </c>
      <c r="AC3" s="2250" t="s">
        <v>1253</v>
      </c>
      <c r="AD3" s="2250" t="s">
        <v>1251</v>
      </c>
      <c r="AE3" s="2250" t="s">
        <v>1254</v>
      </c>
      <c r="AF3" s="2250" t="s">
        <v>1259</v>
      </c>
      <c r="AG3" s="1493" t="s">
        <v>551</v>
      </c>
      <c r="AH3" s="2279" t="s">
        <v>1255</v>
      </c>
      <c r="AI3" s="1681" t="s">
        <v>1091</v>
      </c>
      <c r="AJ3" s="1681" t="s">
        <v>1092</v>
      </c>
      <c r="AK3" s="2237" t="s">
        <v>1093</v>
      </c>
      <c r="AL3" s="2237" t="s">
        <v>1256</v>
      </c>
      <c r="AM3" s="2277" t="s">
        <v>1087</v>
      </c>
      <c r="AN3" s="2261" t="s">
        <v>1036</v>
      </c>
      <c r="AO3" s="2252" t="s">
        <v>1257</v>
      </c>
      <c r="AP3" s="2276" t="s">
        <v>981</v>
      </c>
      <c r="AQ3" s="2276" t="s">
        <v>761</v>
      </c>
      <c r="AR3" s="2237" t="s">
        <v>1258</v>
      </c>
    </row>
    <row r="4" spans="1:44" ht="23.4" customHeight="1">
      <c r="A4" s="2148"/>
      <c r="B4" s="2148"/>
      <c r="C4" s="2259"/>
      <c r="D4" s="1664">
        <f>'Table 3 Levels 1&amp;2'!AL39</f>
        <v>3602.7009974327857</v>
      </c>
      <c r="E4" s="2260"/>
      <c r="F4" s="2264"/>
      <c r="G4" s="2244"/>
      <c r="H4" s="2244"/>
      <c r="I4" s="2273"/>
      <c r="J4" s="2273"/>
      <c r="K4" s="2275"/>
      <c r="L4" s="2257"/>
      <c r="M4" s="1666">
        <v>1.7500000000000002E-2</v>
      </c>
      <c r="N4" s="1666">
        <v>2.5000000000000001E-3</v>
      </c>
      <c r="O4" s="2257"/>
      <c r="P4" s="2257"/>
      <c r="Q4" s="2262"/>
      <c r="R4" s="2257"/>
      <c r="S4" s="2248"/>
      <c r="T4" s="2248"/>
      <c r="U4" s="2244"/>
      <c r="V4" s="2248"/>
      <c r="W4" s="2248"/>
      <c r="X4" s="2248"/>
      <c r="Y4" s="2244"/>
      <c r="Z4" s="1105">
        <f>'[9]FY2014-15 Initial'!$D$43</f>
        <v>4670</v>
      </c>
      <c r="AA4" s="1105">
        <f>'[9]FY2014-15 Initial'!$K$43</f>
        <v>5435</v>
      </c>
      <c r="AB4" s="2238"/>
      <c r="AC4" s="2251"/>
      <c r="AD4" s="2251"/>
      <c r="AE4" s="2251"/>
      <c r="AF4" s="2251"/>
      <c r="AG4" s="1494"/>
      <c r="AH4" s="2280" t="s">
        <v>537</v>
      </c>
      <c r="AI4" s="1682">
        <v>1.7500000000000002E-2</v>
      </c>
      <c r="AJ4" s="1682">
        <v>2.5000000000000001E-3</v>
      </c>
      <c r="AK4" s="2238"/>
      <c r="AL4" s="2238"/>
      <c r="AM4" s="2278"/>
      <c r="AN4" s="2262"/>
      <c r="AO4" s="2253"/>
      <c r="AP4" s="2253"/>
      <c r="AQ4" s="2253"/>
      <c r="AR4" s="2238"/>
    </row>
    <row r="5" spans="1:44">
      <c r="A5" s="994"/>
      <c r="B5" s="1484"/>
      <c r="C5" s="177">
        <v>1</v>
      </c>
      <c r="D5" s="1663">
        <f t="shared" ref="D5:H5" si="0">C5+1</f>
        <v>2</v>
      </c>
      <c r="E5" s="177">
        <f t="shared" si="0"/>
        <v>3</v>
      </c>
      <c r="F5" s="177">
        <f t="shared" si="0"/>
        <v>4</v>
      </c>
      <c r="G5" s="177">
        <f t="shared" si="0"/>
        <v>5</v>
      </c>
      <c r="H5" s="177">
        <f t="shared" si="0"/>
        <v>6</v>
      </c>
      <c r="I5" s="177">
        <f t="shared" ref="I5" si="1">H5+1</f>
        <v>7</v>
      </c>
      <c r="J5" s="177">
        <f t="shared" ref="J5" si="2">I5+1</f>
        <v>8</v>
      </c>
      <c r="K5" s="177">
        <f t="shared" ref="K5" si="3">J5+1</f>
        <v>9</v>
      </c>
      <c r="L5" s="177">
        <f t="shared" ref="L5" si="4">K5+1</f>
        <v>10</v>
      </c>
      <c r="M5" s="177">
        <f t="shared" ref="M5" si="5">L5+1</f>
        <v>11</v>
      </c>
      <c r="N5" s="177">
        <f t="shared" ref="N5" si="6">M5+1</f>
        <v>12</v>
      </c>
      <c r="O5" s="177">
        <f t="shared" ref="O5" si="7">N5+1</f>
        <v>13</v>
      </c>
      <c r="P5" s="177">
        <f t="shared" ref="P5" si="8">O5+1</f>
        <v>14</v>
      </c>
      <c r="Q5" s="177">
        <f t="shared" ref="Q5" si="9">P5+1</f>
        <v>15</v>
      </c>
      <c r="R5" s="177">
        <f>Q5+1</f>
        <v>16</v>
      </c>
      <c r="S5" s="1486">
        <f t="shared" ref="S5:AB5" si="10">R5+1</f>
        <v>17</v>
      </c>
      <c r="T5" s="177">
        <f t="shared" si="10"/>
        <v>18</v>
      </c>
      <c r="U5" s="177">
        <f t="shared" si="10"/>
        <v>19</v>
      </c>
      <c r="V5" s="177">
        <f t="shared" si="10"/>
        <v>20</v>
      </c>
      <c r="W5" s="177">
        <f t="shared" si="10"/>
        <v>21</v>
      </c>
      <c r="X5" s="177">
        <f t="shared" si="10"/>
        <v>22</v>
      </c>
      <c r="Y5" s="177">
        <f t="shared" si="10"/>
        <v>23</v>
      </c>
      <c r="Z5" s="177">
        <f t="shared" si="10"/>
        <v>24</v>
      </c>
      <c r="AA5" s="177">
        <f t="shared" si="10"/>
        <v>25</v>
      </c>
      <c r="AB5" s="177">
        <f t="shared" si="10"/>
        <v>26</v>
      </c>
      <c r="AC5" s="177">
        <f t="shared" ref="AC5" si="11">AB5+1</f>
        <v>27</v>
      </c>
      <c r="AD5" s="177">
        <f t="shared" ref="AD5" si="12">AC5+1</f>
        <v>28</v>
      </c>
      <c r="AE5" s="177">
        <f t="shared" ref="AE5" si="13">AD5+1</f>
        <v>29</v>
      </c>
      <c r="AF5" s="177">
        <f t="shared" ref="AF5" si="14">AE5+1</f>
        <v>30</v>
      </c>
      <c r="AG5" s="177">
        <f t="shared" ref="AG5" si="15">AF5+1</f>
        <v>31</v>
      </c>
      <c r="AH5" s="177">
        <f t="shared" ref="AH5" si="16">AG5+1</f>
        <v>32</v>
      </c>
      <c r="AI5" s="177">
        <f t="shared" ref="AI5" si="17">AH5+1</f>
        <v>33</v>
      </c>
      <c r="AJ5" s="177">
        <f t="shared" ref="AJ5" si="18">AI5+1</f>
        <v>34</v>
      </c>
      <c r="AK5" s="177">
        <f t="shared" ref="AK5" si="19">AJ5+1</f>
        <v>35</v>
      </c>
      <c r="AL5" s="177">
        <f t="shared" ref="AL5" si="20">AK5+1</f>
        <v>36</v>
      </c>
      <c r="AM5" s="177">
        <f t="shared" ref="AM5" si="21">AL5+1</f>
        <v>37</v>
      </c>
      <c r="AN5" s="177">
        <f t="shared" ref="AN5" si="22">AM5+1</f>
        <v>38</v>
      </c>
      <c r="AO5" s="177">
        <f t="shared" ref="AO5" si="23">AN5+1</f>
        <v>39</v>
      </c>
      <c r="AP5" s="177">
        <f t="shared" ref="AP5" si="24">AO5+1</f>
        <v>40</v>
      </c>
      <c r="AQ5" s="177">
        <f t="shared" ref="AQ5:AR5" si="25">AP5+1</f>
        <v>41</v>
      </c>
      <c r="AR5" s="177">
        <f t="shared" si="25"/>
        <v>42</v>
      </c>
    </row>
    <row r="6" spans="1:44" s="993" customFormat="1" ht="28.2" customHeight="1">
      <c r="A6" s="1210" t="s">
        <v>316</v>
      </c>
      <c r="B6" s="1211" t="s">
        <v>928</v>
      </c>
      <c r="C6" s="1003">
        <f>+'Table 8 Membership 2.1.14'!C38</f>
        <v>12073</v>
      </c>
      <c r="D6" s="1001">
        <f>$D$4</f>
        <v>3602.7009974327857</v>
      </c>
      <c r="E6" s="1001">
        <f>ROUND(C6*D6,0)</f>
        <v>43495409</v>
      </c>
      <c r="F6" s="1001">
        <v>727.23177743956114</v>
      </c>
      <c r="G6" s="1001">
        <f>F6*C6</f>
        <v>8779869.2490278222</v>
      </c>
      <c r="H6" s="1656">
        <f>E6+G6</f>
        <v>52275278.249027818</v>
      </c>
      <c r="I6" s="1000"/>
      <c r="J6" s="1000"/>
      <c r="K6" s="1004">
        <f>+I6+J6</f>
        <v>0</v>
      </c>
      <c r="L6" s="1656">
        <f>+H6+K6</f>
        <v>52275278.249027818</v>
      </c>
      <c r="M6" s="1212"/>
      <c r="N6" s="1212"/>
      <c r="O6" s="1212"/>
      <c r="P6" s="1212"/>
      <c r="Q6" s="1213" t="s">
        <v>60</v>
      </c>
      <c r="R6" s="999" t="s">
        <v>76</v>
      </c>
      <c r="S6" s="1213"/>
      <c r="T6" s="1213"/>
      <c r="U6" s="999"/>
      <c r="V6" s="1213"/>
      <c r="W6" s="1213"/>
      <c r="X6" s="1213"/>
      <c r="Y6" s="999"/>
      <c r="Z6" s="999"/>
      <c r="AA6" s="1214"/>
      <c r="AB6" s="999"/>
      <c r="AC6" s="999"/>
      <c r="AD6" s="999"/>
      <c r="AE6" s="999"/>
      <c r="AF6" s="999"/>
      <c r="AG6" s="999"/>
      <c r="AH6" s="999"/>
      <c r="AI6" s="999"/>
      <c r="AJ6" s="999"/>
      <c r="AK6" s="999"/>
      <c r="AL6" s="999"/>
      <c r="AM6" s="999"/>
      <c r="AN6" s="999"/>
      <c r="AO6" s="999"/>
      <c r="AP6" s="999"/>
      <c r="AQ6" s="999"/>
      <c r="AR6" s="999"/>
    </row>
    <row r="7" spans="1:44" s="993" customFormat="1" ht="16.95" customHeight="1">
      <c r="A7" s="1215"/>
      <c r="B7" s="1209"/>
      <c r="C7" s="1209"/>
      <c r="D7" s="1209"/>
      <c r="E7" s="1209"/>
      <c r="F7" s="1824"/>
      <c r="G7" s="1209"/>
      <c r="H7" s="1209"/>
      <c r="I7" s="1209"/>
      <c r="J7" s="1209"/>
      <c r="K7" s="1209"/>
      <c r="L7" s="1209"/>
      <c r="M7" s="1209"/>
      <c r="N7" s="1209"/>
      <c r="O7" s="1209"/>
      <c r="P7" s="1209"/>
      <c r="Q7" s="1209"/>
      <c r="R7" s="1209"/>
      <c r="S7" s="1209"/>
      <c r="T7" s="1209"/>
      <c r="U7" s="1209"/>
      <c r="V7" s="1209"/>
      <c r="W7" s="1209"/>
      <c r="X7" s="1209"/>
      <c r="Y7" s="1209"/>
      <c r="Z7" s="1216"/>
      <c r="AA7" s="1216"/>
      <c r="AB7" s="1209"/>
      <c r="AC7" s="1209"/>
      <c r="AD7" s="1209"/>
      <c r="AE7" s="1209"/>
      <c r="AF7" s="1209"/>
      <c r="AG7" s="1209"/>
      <c r="AH7" s="1209"/>
      <c r="AI7" s="1209"/>
      <c r="AJ7" s="1209"/>
      <c r="AK7" s="1209"/>
      <c r="AL7" s="1209"/>
      <c r="AM7" s="1209"/>
      <c r="AN7" s="1209"/>
      <c r="AO7" s="1209"/>
      <c r="AP7" s="1209"/>
      <c r="AQ7" s="1209"/>
      <c r="AR7" s="1209"/>
    </row>
    <row r="8" spans="1:44" s="993" customFormat="1" ht="16.95" customHeight="1">
      <c r="A8" s="1202"/>
      <c r="B8" s="1202" t="s">
        <v>1049</v>
      </c>
      <c r="C8" s="1203">
        <f>+'[11]RSD by Site MER'!$D$11+302-C64-C9</f>
        <v>1000</v>
      </c>
      <c r="D8" s="1204">
        <f>$D$4</f>
        <v>3602.7009974327857</v>
      </c>
      <c r="E8" s="1204">
        <f>ROUND(C8*D8,0)</f>
        <v>3602701</v>
      </c>
      <c r="F8" s="1204">
        <v>797.0524448632965</v>
      </c>
      <c r="G8" s="1204">
        <f>F8*C8</f>
        <v>797052.44486329646</v>
      </c>
      <c r="H8" s="1657">
        <f>E8+G8</f>
        <v>4399753.4448632961</v>
      </c>
      <c r="I8" s="1205"/>
      <c r="J8" s="1205"/>
      <c r="K8" s="1206">
        <f>+I8+J8</f>
        <v>0</v>
      </c>
      <c r="L8" s="1657">
        <f>+H8+K8</f>
        <v>4399753.4448632961</v>
      </c>
      <c r="M8" s="1205"/>
      <c r="N8" s="1205"/>
      <c r="O8" s="1205"/>
      <c r="P8" s="1657">
        <f>+L8+O8</f>
        <v>4399753.4448632961</v>
      </c>
      <c r="Q8" s="1204">
        <v>0</v>
      </c>
      <c r="R8" s="1657">
        <f>P8+Q8</f>
        <v>4399753.4448632961</v>
      </c>
      <c r="S8" s="1204"/>
      <c r="T8" s="1204"/>
      <c r="U8" s="1657">
        <f>SUM(R8:T8)</f>
        <v>4399753.4448632961</v>
      </c>
      <c r="V8" s="1204"/>
      <c r="W8" s="1204"/>
      <c r="X8" s="1204"/>
      <c r="Y8" s="1657">
        <f>SUM(U8:X8)</f>
        <v>4399753.4448632961</v>
      </c>
      <c r="Z8" s="1204">
        <f>+$Z$4</f>
        <v>4670</v>
      </c>
      <c r="AA8" s="1204"/>
      <c r="AB8" s="1669">
        <f>IF(Z8=0,AA8*C8,Z8*C8)</f>
        <v>4670000</v>
      </c>
      <c r="AC8" s="1207"/>
      <c r="AD8" s="1205">
        <f>IF(Z8=0,AA8*AC8,Z8*AC8)</f>
        <v>0</v>
      </c>
      <c r="AE8" s="1207"/>
      <c r="AF8" s="1205">
        <f>IF(Z8=0,AA8*AE8*0.5,Z8*AE8*0.5)</f>
        <v>0</v>
      </c>
      <c r="AG8" s="1206">
        <f>+AD8+AF8</f>
        <v>0</v>
      </c>
      <c r="AH8" s="1669">
        <f>+AB8+AG8</f>
        <v>4670000</v>
      </c>
      <c r="AI8" s="1208"/>
      <c r="AJ8" s="1208"/>
      <c r="AK8" s="1208"/>
      <c r="AL8" s="1669">
        <f>AH8+AK8</f>
        <v>4670000</v>
      </c>
      <c r="AM8" s="1205"/>
      <c r="AN8" s="1204">
        <v>0</v>
      </c>
      <c r="AO8" s="1669">
        <f>SUM(AL8:AN8)</f>
        <v>4670000</v>
      </c>
      <c r="AP8" s="1205"/>
      <c r="AQ8" s="1205">
        <f>+AO8-AP8</f>
        <v>4670000</v>
      </c>
      <c r="AR8" s="1669">
        <f>ROUND(AQ8/12,0)</f>
        <v>389167</v>
      </c>
    </row>
    <row r="9" spans="1:44" s="993" customFormat="1" ht="16.95" customHeight="1">
      <c r="A9" s="1202">
        <v>396</v>
      </c>
      <c r="B9" s="1202" t="s">
        <v>1048</v>
      </c>
      <c r="C9" s="1203">
        <v>201</v>
      </c>
      <c r="D9" s="1204">
        <f>$D$4</f>
        <v>3602.7009974327857</v>
      </c>
      <c r="E9" s="1204">
        <f>ROUND(C9*D9,0)</f>
        <v>724143</v>
      </c>
      <c r="F9" s="1204">
        <v>797.0524448632965</v>
      </c>
      <c r="G9" s="1204">
        <f>F9*C9</f>
        <v>160207.54141752259</v>
      </c>
      <c r="H9" s="1657">
        <f>E9+G9</f>
        <v>884350.54141752259</v>
      </c>
      <c r="I9" s="1205"/>
      <c r="J9" s="1205"/>
      <c r="K9" s="1206">
        <f>+I9+J9</f>
        <v>0</v>
      </c>
      <c r="L9" s="1657">
        <f>+H9+K9</f>
        <v>884350.54141752259</v>
      </c>
      <c r="M9" s="1205">
        <f>-$M$71</f>
        <v>2121112.9682456083</v>
      </c>
      <c r="N9" s="1205"/>
      <c r="O9" s="1205">
        <f>+M9+N9</f>
        <v>2121112.9682456083</v>
      </c>
      <c r="P9" s="1657">
        <f>+L9+O9</f>
        <v>3005463.5096631311</v>
      </c>
      <c r="Q9" s="1204">
        <v>0</v>
      </c>
      <c r="R9" s="1657">
        <f>P9+Q9</f>
        <v>3005463.5096631311</v>
      </c>
      <c r="S9" s="1204"/>
      <c r="T9" s="1204"/>
      <c r="U9" s="1657">
        <f>SUM(R9:T9)</f>
        <v>3005463.5096631311</v>
      </c>
      <c r="V9" s="1204"/>
      <c r="W9" s="1204"/>
      <c r="X9" s="1204"/>
      <c r="Y9" s="1657">
        <f>SUM(U9:X9)</f>
        <v>3005463.5096631311</v>
      </c>
      <c r="Z9" s="1204">
        <f>+$Z$4</f>
        <v>4670</v>
      </c>
      <c r="AA9" s="1204"/>
      <c r="AB9" s="1669">
        <f>IF(Z9=0,AA9*C9,Z9*C9)</f>
        <v>938670</v>
      </c>
      <c r="AC9" s="1207"/>
      <c r="AD9" s="1205">
        <f>IF(Z9=0,AA9*AC9,Z9*AC9)</f>
        <v>0</v>
      </c>
      <c r="AE9" s="1207"/>
      <c r="AF9" s="1205">
        <f>IF(Z9=0,AA9*AE9*0.5,Z9*AE9*0.5)</f>
        <v>0</v>
      </c>
      <c r="AG9" s="1206">
        <f>+AD9+AF9</f>
        <v>0</v>
      </c>
      <c r="AH9" s="1669">
        <f>+AB9+AG9</f>
        <v>938670</v>
      </c>
      <c r="AI9" s="1208">
        <f>-$AI$71</f>
        <v>2309547.7124999994</v>
      </c>
      <c r="AJ9" s="1208"/>
      <c r="AK9" s="1208">
        <f>AI9+AJ9</f>
        <v>2309547.7124999994</v>
      </c>
      <c r="AL9" s="1669">
        <f>AH9+AK9</f>
        <v>3248217.7124999994</v>
      </c>
      <c r="AM9" s="1205"/>
      <c r="AN9" s="1204">
        <v>0</v>
      </c>
      <c r="AO9" s="1669">
        <f>SUM(AL9:AN9)</f>
        <v>3248217.7124999994</v>
      </c>
      <c r="AP9" s="1205"/>
      <c r="AQ9" s="1205">
        <f>+AO9-AP9</f>
        <v>3248217.7124999994</v>
      </c>
      <c r="AR9" s="1669">
        <f>ROUND(AQ9/12,0)</f>
        <v>270685</v>
      </c>
    </row>
    <row r="10" spans="1:44" s="993" customFormat="1" ht="16.95" customHeight="1">
      <c r="A10" s="1217"/>
      <c r="B10" s="1218"/>
      <c r="C10" s="1218"/>
      <c r="D10" s="1218"/>
      <c r="E10" s="1218"/>
      <c r="F10" s="1825"/>
      <c r="G10" s="1218"/>
      <c r="H10" s="1218"/>
      <c r="I10" s="1218"/>
      <c r="J10" s="1218"/>
      <c r="K10" s="1218"/>
      <c r="L10" s="1218"/>
      <c r="M10" s="1218"/>
      <c r="N10" s="1218"/>
      <c r="O10" s="1218"/>
      <c r="P10" s="1218"/>
      <c r="Q10" s="1218"/>
      <c r="R10" s="1218"/>
      <c r="S10" s="1218"/>
      <c r="T10" s="1218"/>
      <c r="U10" s="1218"/>
      <c r="V10" s="1218"/>
      <c r="W10" s="1218"/>
      <c r="X10" s="1218"/>
      <c r="Y10" s="1218"/>
      <c r="Z10" s="1218"/>
      <c r="AA10" s="1218"/>
      <c r="AB10" s="1218"/>
      <c r="AC10" s="1218"/>
      <c r="AD10" s="1218"/>
      <c r="AE10" s="1218"/>
      <c r="AF10" s="1218"/>
      <c r="AG10" s="1218"/>
      <c r="AH10" s="1218"/>
      <c r="AI10" s="1218"/>
      <c r="AJ10" s="1218"/>
      <c r="AK10" s="1218"/>
      <c r="AL10" s="1218"/>
      <c r="AM10" s="1218"/>
      <c r="AN10" s="1218"/>
      <c r="AO10" s="1218"/>
      <c r="AP10" s="1218"/>
      <c r="AQ10" s="1218"/>
      <c r="AR10" s="1218"/>
    </row>
    <row r="11" spans="1:44" s="993" customFormat="1" ht="16.95" customHeight="1">
      <c r="A11" s="1219"/>
      <c r="B11" s="1219" t="s">
        <v>70</v>
      </c>
      <c r="C11" s="1220"/>
      <c r="D11" s="1204"/>
      <c r="E11" s="1204"/>
      <c r="F11" s="1204"/>
      <c r="G11" s="1204"/>
      <c r="H11" s="1657"/>
      <c r="I11" s="1205"/>
      <c r="J11" s="1205"/>
      <c r="K11" s="1206"/>
      <c r="L11" s="1657"/>
      <c r="M11" s="1205"/>
      <c r="N11" s="1205"/>
      <c r="O11" s="1205"/>
      <c r="P11" s="1657"/>
      <c r="Q11" s="1208"/>
      <c r="R11" s="1657"/>
      <c r="S11" s="1208"/>
      <c r="T11" s="1208"/>
      <c r="U11" s="1657"/>
      <c r="V11" s="1208"/>
      <c r="W11" s="1208"/>
      <c r="X11" s="1208"/>
      <c r="Y11" s="1657"/>
      <c r="Z11" s="1208"/>
      <c r="AA11" s="1208"/>
      <c r="AB11" s="1669"/>
      <c r="AC11" s="1207"/>
      <c r="AD11" s="1205"/>
      <c r="AE11" s="1207"/>
      <c r="AF11" s="1205"/>
      <c r="AG11" s="1206"/>
      <c r="AH11" s="1669"/>
      <c r="AI11" s="1208"/>
      <c r="AJ11" s="1208"/>
      <c r="AK11" s="1208"/>
      <c r="AL11" s="1669"/>
      <c r="AM11" s="1205"/>
      <c r="AN11" s="1208"/>
      <c r="AO11" s="1669"/>
      <c r="AP11" s="1205"/>
      <c r="AQ11" s="1205"/>
      <c r="AR11" s="1669"/>
    </row>
    <row r="12" spans="1:44" s="993" customFormat="1" ht="16.95" customHeight="1">
      <c r="A12" s="1222">
        <v>300001</v>
      </c>
      <c r="B12" s="1223" t="s">
        <v>719</v>
      </c>
      <c r="C12" s="1224">
        <f>IFERROR(VLOOKUP(A12,'[12]RSD-NO by Site'!$B$5:$D$62,3,FALSE),"na")</f>
        <v>376</v>
      </c>
      <c r="D12" s="1225">
        <f t="shared" ref="D12:D45" si="26">$D$4</f>
        <v>3602.7009974327857</v>
      </c>
      <c r="E12" s="1225">
        <f t="shared" ref="E12:E62" si="27">ROUND(C12*D12,0)</f>
        <v>1354616</v>
      </c>
      <c r="F12" s="1225">
        <v>767.72184717013943</v>
      </c>
      <c r="G12" s="1225">
        <f t="shared" ref="G12:G62" si="28">F12*C12</f>
        <v>288663.41453597241</v>
      </c>
      <c r="H12" s="1658">
        <f>E12+G12</f>
        <v>1643279.4145359723</v>
      </c>
      <c r="I12" s="1226"/>
      <c r="J12" s="1227"/>
      <c r="K12" s="1228">
        <f t="shared" ref="K12:K70" si="29">+I12+J12</f>
        <v>0</v>
      </c>
      <c r="L12" s="1658">
        <f t="shared" ref="L12:L70" si="30">+H12+K12</f>
        <v>1643279.4145359723</v>
      </c>
      <c r="M12" s="1227">
        <f>-L12*$M$4</f>
        <v>-28757.389754379517</v>
      </c>
      <c r="N12" s="1227">
        <f>-L12*$N$4</f>
        <v>-4108.1985363399308</v>
      </c>
      <c r="O12" s="1227">
        <f t="shared" ref="O12:O70" si="31">+M12+N12</f>
        <v>-32865.588290719446</v>
      </c>
      <c r="P12" s="1658">
        <f t="shared" ref="P12:P70" si="32">+L12+O12</f>
        <v>1610413.8262452527</v>
      </c>
      <c r="Q12" s="1229">
        <v>-1656.6922124065732</v>
      </c>
      <c r="R12" s="1658">
        <f t="shared" ref="R12:R45" si="33">P12+Q12</f>
        <v>1608757.1340328462</v>
      </c>
      <c r="S12" s="1229">
        <f>VLOOKUP($A12,'Table 4 Level 4'!$B$121:$N$177,4,FALSE)</f>
        <v>0</v>
      </c>
      <c r="T12" s="1229">
        <f>VLOOKUP($A12,'Table 4 Level 4'!$B$121:$N$177,13,FALSE)</f>
        <v>2496</v>
      </c>
      <c r="U12" s="1658">
        <f t="shared" ref="U12" si="34">SUM(R12:T12)</f>
        <v>1611253.1340328462</v>
      </c>
      <c r="V12" s="1229">
        <f>VLOOKUP($A12,'Table 4 Level 4'!$B$121:$N$177,9,FALSE)</f>
        <v>0</v>
      </c>
      <c r="W12" s="1229">
        <f>VLOOKUP($A12,'Table 4 Level 4'!$B$121:$N$177,10,FALSE)</f>
        <v>0</v>
      </c>
      <c r="X12" s="1229">
        <f>VLOOKUP($A12,'Table 4 Level 4'!$B$121:$N$177,11,FALSE)</f>
        <v>0</v>
      </c>
      <c r="Y12" s="1658">
        <f t="shared" ref="Y12" si="35">SUM(U12:X12)</f>
        <v>1611253.1340328462</v>
      </c>
      <c r="Z12" s="1229">
        <f t="shared" ref="Z12:Z18" si="36">+$Z$4</f>
        <v>4670</v>
      </c>
      <c r="AA12" s="1229"/>
      <c r="AB12" s="1670">
        <f t="shared" ref="AB12:AB45" si="37">IF(Z12=0,AA12*C12,Z12*C12)</f>
        <v>1755920</v>
      </c>
      <c r="AC12" s="1230"/>
      <c r="AD12" s="1227">
        <f t="shared" ref="AD12:AD45" si="38">IF(Z12=0,AA12*AC12,Z12*AC12)</f>
        <v>0</v>
      </c>
      <c r="AE12" s="1230"/>
      <c r="AF12" s="1227">
        <f t="shared" ref="AF12:AF45" si="39">IF(Z12=0,AA12*AE12*0.5,Z12*AE12*0.5)</f>
        <v>0</v>
      </c>
      <c r="AG12" s="1228">
        <f t="shared" ref="AG12:AG70" si="40">+AD12+AF12</f>
        <v>0</v>
      </c>
      <c r="AH12" s="1677">
        <f t="shared" ref="AH12:AH70" si="41">+AB12+AG12</f>
        <v>1755920</v>
      </c>
      <c r="AI12" s="1229">
        <f>-$AI$4*AH12</f>
        <v>-30728.600000000002</v>
      </c>
      <c r="AJ12" s="1229">
        <f>-$AJ$4*AH12</f>
        <v>-4389.8</v>
      </c>
      <c r="AK12" s="1229">
        <f>AI12+AJ12</f>
        <v>-35118.400000000001</v>
      </c>
      <c r="AL12" s="1670">
        <f t="shared" ref="AL12:AL70" si="42">AH12+AK12</f>
        <v>1720801.6</v>
      </c>
      <c r="AM12" s="1227"/>
      <c r="AN12" s="1229">
        <v>-2098</v>
      </c>
      <c r="AO12" s="1677">
        <f t="shared" ref="AO12:AO65" si="43">SUM(AL12:AN12)</f>
        <v>1718703.6</v>
      </c>
      <c r="AP12" s="1227"/>
      <c r="AQ12" s="1227">
        <f t="shared" ref="AQ12:AQ70" si="44">+AO12-AP12</f>
        <v>1718703.6</v>
      </c>
      <c r="AR12" s="1677">
        <f t="shared" ref="AR12:AR70" si="45">ROUND(AQ12/12,0)</f>
        <v>143225</v>
      </c>
    </row>
    <row r="13" spans="1:44" s="993" customFormat="1" ht="16.95" customHeight="1">
      <c r="A13" s="1231">
        <v>300002</v>
      </c>
      <c r="B13" s="1232" t="s">
        <v>720</v>
      </c>
      <c r="C13" s="1233">
        <f>IFERROR(VLOOKUP(A13,'[12]RSD-NO by Site'!$B$5:$D$62,3,FALSE),"na")</f>
        <v>492</v>
      </c>
      <c r="D13" s="1234">
        <f t="shared" si="26"/>
        <v>3602.7009974327857</v>
      </c>
      <c r="E13" s="1234">
        <f t="shared" si="27"/>
        <v>1772529</v>
      </c>
      <c r="F13" s="1234">
        <v>730.66950653120466</v>
      </c>
      <c r="G13" s="1234">
        <f t="shared" si="28"/>
        <v>359489.39721335267</v>
      </c>
      <c r="H13" s="1659">
        <f t="shared" ref="H13:H62" si="46">E13+G13</f>
        <v>2132018.3972133528</v>
      </c>
      <c r="I13" s="1235"/>
      <c r="J13" s="1236"/>
      <c r="K13" s="1237">
        <f t="shared" si="29"/>
        <v>0</v>
      </c>
      <c r="L13" s="1659">
        <f t="shared" si="30"/>
        <v>2132018.3972133528</v>
      </c>
      <c r="M13" s="1236">
        <f t="shared" ref="M13:M70" si="47">-L13*$M$4</f>
        <v>-37310.32195123368</v>
      </c>
      <c r="N13" s="1236">
        <f t="shared" ref="N13:N70" si="48">-L13*$N$4</f>
        <v>-5330.0459930333818</v>
      </c>
      <c r="O13" s="1236">
        <f t="shared" si="31"/>
        <v>-42640.367944267062</v>
      </c>
      <c r="P13" s="1659">
        <f t="shared" si="32"/>
        <v>2089378.0292690857</v>
      </c>
      <c r="Q13" s="1238">
        <v>-21411.940310500675</v>
      </c>
      <c r="R13" s="1659">
        <f t="shared" si="33"/>
        <v>2067966.0889585852</v>
      </c>
      <c r="S13" s="1238">
        <f>VLOOKUP($A13,'Table 4 Level 4'!$B$121:$N$177,4,FALSE)</f>
        <v>0</v>
      </c>
      <c r="T13" s="1238">
        <f>VLOOKUP($A13,'Table 4 Level 4'!$B$121:$N$177,13,FALSE)</f>
        <v>2808</v>
      </c>
      <c r="U13" s="1659">
        <f t="shared" ref="U13:U70" si="49">SUM(R13:T13)</f>
        <v>2070774.0889585852</v>
      </c>
      <c r="V13" s="1238">
        <f>VLOOKUP($A13,'Table 4 Level 4'!$B$121:$N$177,9,FALSE)</f>
        <v>0</v>
      </c>
      <c r="W13" s="1238">
        <f>VLOOKUP($A13,'Table 4 Level 4'!$B$121:$N$177,10,FALSE)</f>
        <v>0</v>
      </c>
      <c r="X13" s="1238">
        <f>VLOOKUP($A13,'Table 4 Level 4'!$B$121:$N$177,11,FALSE)</f>
        <v>0</v>
      </c>
      <c r="Y13" s="1659">
        <f t="shared" ref="Y13:Y70" si="50">SUM(U13:X13)</f>
        <v>2070774.0889585852</v>
      </c>
      <c r="Z13" s="1238">
        <f t="shared" si="36"/>
        <v>4670</v>
      </c>
      <c r="AA13" s="1238"/>
      <c r="AB13" s="1671">
        <f t="shared" si="37"/>
        <v>2297640</v>
      </c>
      <c r="AC13" s="1239"/>
      <c r="AD13" s="1236">
        <f t="shared" si="38"/>
        <v>0</v>
      </c>
      <c r="AE13" s="1239"/>
      <c r="AF13" s="1236">
        <f t="shared" si="39"/>
        <v>0</v>
      </c>
      <c r="AG13" s="1237">
        <f t="shared" si="40"/>
        <v>0</v>
      </c>
      <c r="AH13" s="1678">
        <f t="shared" si="41"/>
        <v>2297640</v>
      </c>
      <c r="AI13" s="1238">
        <f t="shared" ref="AI13:AI70" si="51">-$AI$4*AH13</f>
        <v>-40208.700000000004</v>
      </c>
      <c r="AJ13" s="1238">
        <f t="shared" ref="AJ13:AJ70" si="52">-$AJ$4*AH13</f>
        <v>-5744.1</v>
      </c>
      <c r="AK13" s="1238">
        <f t="shared" ref="AK13:AK65" si="53">AI13+AJ13</f>
        <v>-45952.800000000003</v>
      </c>
      <c r="AL13" s="1671">
        <f t="shared" si="42"/>
        <v>2251687.2000000002</v>
      </c>
      <c r="AM13" s="1236"/>
      <c r="AN13" s="1238">
        <v>0</v>
      </c>
      <c r="AO13" s="1678">
        <f t="shared" si="43"/>
        <v>2251687.2000000002</v>
      </c>
      <c r="AP13" s="1236"/>
      <c r="AQ13" s="1236">
        <f t="shared" si="44"/>
        <v>2251687.2000000002</v>
      </c>
      <c r="AR13" s="1678">
        <f t="shared" si="45"/>
        <v>187641</v>
      </c>
    </row>
    <row r="14" spans="1:44" s="993" customFormat="1" ht="16.95" customHeight="1">
      <c r="A14" s="1231">
        <v>300003</v>
      </c>
      <c r="B14" s="1232" t="s">
        <v>721</v>
      </c>
      <c r="C14" s="1233">
        <f>IFERROR(VLOOKUP(A14,'[12]RSD-NO by Site'!$B$5:$D$62,3,FALSE),"na")</f>
        <v>660</v>
      </c>
      <c r="D14" s="1234">
        <f t="shared" si="26"/>
        <v>3602.7009974327857</v>
      </c>
      <c r="E14" s="1234">
        <f t="shared" si="27"/>
        <v>2377783</v>
      </c>
      <c r="F14" s="1234">
        <v>767.72184717013943</v>
      </c>
      <c r="G14" s="1234">
        <f t="shared" si="28"/>
        <v>506696.41913229204</v>
      </c>
      <c r="H14" s="1659">
        <f t="shared" si="46"/>
        <v>2884479.4191322923</v>
      </c>
      <c r="I14" s="1235"/>
      <c r="J14" s="1236"/>
      <c r="K14" s="1237">
        <f t="shared" si="29"/>
        <v>0</v>
      </c>
      <c r="L14" s="1659">
        <f t="shared" si="30"/>
        <v>2884479.4191322923</v>
      </c>
      <c r="M14" s="1236">
        <f t="shared" si="47"/>
        <v>-50478.38983481512</v>
      </c>
      <c r="N14" s="1236">
        <f t="shared" si="48"/>
        <v>-7211.1985478307306</v>
      </c>
      <c r="O14" s="1236">
        <f t="shared" si="31"/>
        <v>-57689.588382645852</v>
      </c>
      <c r="P14" s="1659">
        <f t="shared" si="32"/>
        <v>2826789.8307496463</v>
      </c>
      <c r="Q14" s="1238">
        <v>-2890.8811407531866</v>
      </c>
      <c r="R14" s="1659">
        <f t="shared" si="33"/>
        <v>2823898.9496088931</v>
      </c>
      <c r="S14" s="1238">
        <f>VLOOKUP($A14,'Table 4 Level 4'!$B$121:$N$177,4,FALSE)</f>
        <v>0</v>
      </c>
      <c r="T14" s="1238">
        <f>VLOOKUP($A14,'Table 4 Level 4'!$B$121:$N$177,13,FALSE)</f>
        <v>17160</v>
      </c>
      <c r="U14" s="1659">
        <f t="shared" si="49"/>
        <v>2841058.9496088931</v>
      </c>
      <c r="V14" s="1238">
        <f>VLOOKUP($A14,'Table 4 Level 4'!$B$121:$N$177,9,FALSE)</f>
        <v>0</v>
      </c>
      <c r="W14" s="1238">
        <f>VLOOKUP($A14,'Table 4 Level 4'!$B$121:$N$177,10,FALSE)</f>
        <v>0</v>
      </c>
      <c r="X14" s="1238">
        <f>VLOOKUP($A14,'Table 4 Level 4'!$B$121:$N$177,11,FALSE)</f>
        <v>0</v>
      </c>
      <c r="Y14" s="1659">
        <f t="shared" si="50"/>
        <v>2841058.9496088931</v>
      </c>
      <c r="Z14" s="1238">
        <f t="shared" si="36"/>
        <v>4670</v>
      </c>
      <c r="AA14" s="1238"/>
      <c r="AB14" s="1671">
        <f t="shared" si="37"/>
        <v>3082200</v>
      </c>
      <c r="AC14" s="1239"/>
      <c r="AD14" s="1236">
        <f t="shared" si="38"/>
        <v>0</v>
      </c>
      <c r="AE14" s="1239"/>
      <c r="AF14" s="1236">
        <f t="shared" si="39"/>
        <v>0</v>
      </c>
      <c r="AG14" s="1237">
        <f t="shared" si="40"/>
        <v>0</v>
      </c>
      <c r="AH14" s="1678">
        <f t="shared" si="41"/>
        <v>3082200</v>
      </c>
      <c r="AI14" s="1238">
        <f t="shared" si="51"/>
        <v>-53938.500000000007</v>
      </c>
      <c r="AJ14" s="1238">
        <f t="shared" si="52"/>
        <v>-7705.5</v>
      </c>
      <c r="AK14" s="1238">
        <f t="shared" si="53"/>
        <v>-61644.000000000007</v>
      </c>
      <c r="AL14" s="1671">
        <f t="shared" si="42"/>
        <v>3020556</v>
      </c>
      <c r="AM14" s="1236"/>
      <c r="AN14" s="1238">
        <v>2098</v>
      </c>
      <c r="AO14" s="1678">
        <f t="shared" si="43"/>
        <v>3022654</v>
      </c>
      <c r="AP14" s="1236"/>
      <c r="AQ14" s="1236">
        <f t="shared" si="44"/>
        <v>3022654</v>
      </c>
      <c r="AR14" s="1678">
        <f t="shared" si="45"/>
        <v>251888</v>
      </c>
    </row>
    <row r="15" spans="1:44" s="993" customFormat="1" ht="16.95" customHeight="1">
      <c r="A15" s="1240">
        <v>300004</v>
      </c>
      <c r="B15" s="1241" t="s">
        <v>722</v>
      </c>
      <c r="C15" s="1233">
        <f>IFERROR(VLOOKUP(A15,'[12]RSD-NO by Site'!$B$5:$D$62,3,FALSE),"na")</f>
        <v>447</v>
      </c>
      <c r="D15" s="1234">
        <f t="shared" si="26"/>
        <v>3602.7009974327857</v>
      </c>
      <c r="E15" s="1234">
        <f t="shared" si="27"/>
        <v>1610407</v>
      </c>
      <c r="F15" s="1238">
        <v>746.0335616438357</v>
      </c>
      <c r="G15" s="1234">
        <f t="shared" si="28"/>
        <v>333477.00205479458</v>
      </c>
      <c r="H15" s="1659">
        <f t="shared" si="46"/>
        <v>1943884.0020547947</v>
      </c>
      <c r="I15" s="1235"/>
      <c r="J15" s="1236"/>
      <c r="K15" s="1237">
        <f t="shared" si="29"/>
        <v>0</v>
      </c>
      <c r="L15" s="1659">
        <f t="shared" si="30"/>
        <v>1943884.0020547947</v>
      </c>
      <c r="M15" s="1236">
        <f t="shared" si="47"/>
        <v>-34017.970035958911</v>
      </c>
      <c r="N15" s="1236">
        <f t="shared" si="48"/>
        <v>-4859.7100051369871</v>
      </c>
      <c r="O15" s="1236">
        <f t="shared" si="31"/>
        <v>-38877.680041095897</v>
      </c>
      <c r="P15" s="1659">
        <f t="shared" si="32"/>
        <v>1905006.3220136988</v>
      </c>
      <c r="Q15" s="1238">
        <v>4188.7882445342984</v>
      </c>
      <c r="R15" s="1659">
        <f t="shared" si="33"/>
        <v>1909195.110258233</v>
      </c>
      <c r="S15" s="1238">
        <f>VLOOKUP($A15,'Table 4 Level 4'!$B$121:$N$177,4,FALSE)</f>
        <v>0</v>
      </c>
      <c r="T15" s="1238">
        <f>VLOOKUP($A15,'Table 4 Level 4'!$B$121:$N$177,13,FALSE)</f>
        <v>2860</v>
      </c>
      <c r="U15" s="1659">
        <f t="shared" si="49"/>
        <v>1912055.110258233</v>
      </c>
      <c r="V15" s="1238">
        <f>VLOOKUP($A15,'Table 4 Level 4'!$B$121:$N$177,9,FALSE)</f>
        <v>0</v>
      </c>
      <c r="W15" s="1238">
        <f>VLOOKUP($A15,'Table 4 Level 4'!$B$121:$N$177,10,FALSE)</f>
        <v>0</v>
      </c>
      <c r="X15" s="1238">
        <f>VLOOKUP($A15,'Table 4 Level 4'!$B$121:$N$177,11,FALSE)</f>
        <v>0</v>
      </c>
      <c r="Y15" s="1659">
        <f t="shared" si="50"/>
        <v>1912055.110258233</v>
      </c>
      <c r="Z15" s="1238">
        <f t="shared" si="36"/>
        <v>4670</v>
      </c>
      <c r="AA15" s="1238"/>
      <c r="AB15" s="1671">
        <f t="shared" si="37"/>
        <v>2087490</v>
      </c>
      <c r="AC15" s="1239"/>
      <c r="AD15" s="1236">
        <f t="shared" si="38"/>
        <v>0</v>
      </c>
      <c r="AE15" s="1239"/>
      <c r="AF15" s="1236">
        <f t="shared" si="39"/>
        <v>0</v>
      </c>
      <c r="AG15" s="1237">
        <f t="shared" si="40"/>
        <v>0</v>
      </c>
      <c r="AH15" s="1678">
        <f t="shared" si="41"/>
        <v>2087490</v>
      </c>
      <c r="AI15" s="1238">
        <f t="shared" si="51"/>
        <v>-36531.075000000004</v>
      </c>
      <c r="AJ15" s="1238">
        <f t="shared" si="52"/>
        <v>-5218.7250000000004</v>
      </c>
      <c r="AK15" s="1238">
        <f t="shared" si="53"/>
        <v>-41749.800000000003</v>
      </c>
      <c r="AL15" s="1671">
        <f t="shared" si="42"/>
        <v>2045740.2</v>
      </c>
      <c r="AM15" s="1236"/>
      <c r="AN15" s="1238">
        <v>4196</v>
      </c>
      <c r="AO15" s="1678">
        <f t="shared" si="43"/>
        <v>2049936.2</v>
      </c>
      <c r="AP15" s="1236"/>
      <c r="AQ15" s="1236">
        <f t="shared" si="44"/>
        <v>2049936.2</v>
      </c>
      <c r="AR15" s="1678">
        <f t="shared" si="45"/>
        <v>170828</v>
      </c>
    </row>
    <row r="16" spans="1:44" s="993" customFormat="1" ht="28.2" customHeight="1">
      <c r="A16" s="996">
        <v>360001</v>
      </c>
      <c r="B16" s="1005" t="s">
        <v>1086</v>
      </c>
      <c r="C16" s="1006">
        <f>IFERROR(VLOOKUP(A16,'[12]RSD-NO by Site'!$B$5:$D$62,3,FALSE),"na")</f>
        <v>145</v>
      </c>
      <c r="D16" s="1007">
        <f t="shared" si="26"/>
        <v>3602.7009974327857</v>
      </c>
      <c r="E16" s="1007">
        <f t="shared" si="27"/>
        <v>522392</v>
      </c>
      <c r="F16" s="1010">
        <v>746.0335616438357</v>
      </c>
      <c r="G16" s="1007">
        <f t="shared" si="28"/>
        <v>108174.86643835617</v>
      </c>
      <c r="H16" s="1660">
        <f t="shared" si="46"/>
        <v>630566.86643835623</v>
      </c>
      <c r="I16" s="1221"/>
      <c r="J16" s="1008"/>
      <c r="K16" s="1009">
        <f t="shared" si="29"/>
        <v>0</v>
      </c>
      <c r="L16" s="1660">
        <f t="shared" si="30"/>
        <v>630566.86643835623</v>
      </c>
      <c r="M16" s="1008">
        <f t="shared" si="47"/>
        <v>-11034.920162671235</v>
      </c>
      <c r="N16" s="1008">
        <f t="shared" si="48"/>
        <v>-1576.4171660958907</v>
      </c>
      <c r="O16" s="1008">
        <f t="shared" si="31"/>
        <v>-12611.337328767126</v>
      </c>
      <c r="P16" s="1660">
        <f t="shared" si="32"/>
        <v>617955.52910958906</v>
      </c>
      <c r="Q16" s="1010">
        <v>-4266.5229954150109</v>
      </c>
      <c r="R16" s="1660">
        <f t="shared" si="33"/>
        <v>613689.00611417403</v>
      </c>
      <c r="S16" s="1010">
        <f>VLOOKUP($A16,'Table 4 Level 4'!$B$121:$N$177,4,FALSE)</f>
        <v>0</v>
      </c>
      <c r="T16" s="1010">
        <f>VLOOKUP($A16,'Table 4 Level 4'!$B$121:$N$177,13,FALSE)</f>
        <v>3770</v>
      </c>
      <c r="U16" s="1660">
        <f t="shared" si="49"/>
        <v>617459.00611417403</v>
      </c>
      <c r="V16" s="1010">
        <f>VLOOKUP($A16,'Table 4 Level 4'!$B$121:$N$177,9,FALSE)</f>
        <v>0</v>
      </c>
      <c r="W16" s="1010">
        <f>VLOOKUP($A16,'Table 4 Level 4'!$B$121:$N$177,10,FALSE)</f>
        <v>0</v>
      </c>
      <c r="X16" s="1010">
        <f>VLOOKUP($A16,'Table 4 Level 4'!$B$121:$N$177,11,FALSE)</f>
        <v>0</v>
      </c>
      <c r="Y16" s="1660">
        <f t="shared" si="50"/>
        <v>617459.00611417403</v>
      </c>
      <c r="Z16" s="1010"/>
      <c r="AA16" s="1010">
        <f>+$AA$4</f>
        <v>5435</v>
      </c>
      <c r="AB16" s="1672">
        <f t="shared" si="37"/>
        <v>788075</v>
      </c>
      <c r="AC16" s="1011"/>
      <c r="AD16" s="1008">
        <f t="shared" si="38"/>
        <v>0</v>
      </c>
      <c r="AE16" s="1011"/>
      <c r="AF16" s="1008">
        <f t="shared" si="39"/>
        <v>0</v>
      </c>
      <c r="AG16" s="1009">
        <f t="shared" si="40"/>
        <v>0</v>
      </c>
      <c r="AH16" s="1679">
        <f t="shared" si="41"/>
        <v>788075</v>
      </c>
      <c r="AI16" s="1010">
        <f t="shared" si="51"/>
        <v>-13791.312500000002</v>
      </c>
      <c r="AJ16" s="1010">
        <f t="shared" si="52"/>
        <v>-1970.1875</v>
      </c>
      <c r="AK16" s="1010">
        <f t="shared" si="53"/>
        <v>-15761.500000000002</v>
      </c>
      <c r="AL16" s="1672">
        <f t="shared" si="42"/>
        <v>772313.5</v>
      </c>
      <c r="AM16" s="1008"/>
      <c r="AN16" s="1010">
        <v>-5433</v>
      </c>
      <c r="AO16" s="1679">
        <f t="shared" si="43"/>
        <v>766880.5</v>
      </c>
      <c r="AP16" s="1008"/>
      <c r="AQ16" s="1008">
        <f t="shared" si="44"/>
        <v>766880.5</v>
      </c>
      <c r="AR16" s="1679">
        <f t="shared" si="45"/>
        <v>63907</v>
      </c>
    </row>
    <row r="17" spans="1:44" s="993" customFormat="1" ht="28.2" customHeight="1">
      <c r="A17" s="1777">
        <v>361</v>
      </c>
      <c r="B17" s="1778" t="s">
        <v>1106</v>
      </c>
      <c r="C17" s="1779">
        <v>128</v>
      </c>
      <c r="D17" s="1780"/>
      <c r="E17" s="1780"/>
      <c r="F17" s="1780"/>
      <c r="G17" s="1780"/>
      <c r="H17" s="1780"/>
      <c r="I17" s="1781"/>
      <c r="J17" s="1780"/>
      <c r="K17" s="1780"/>
      <c r="L17" s="1780"/>
      <c r="M17" s="1780"/>
      <c r="N17" s="1780"/>
      <c r="O17" s="1780"/>
      <c r="P17" s="1780"/>
      <c r="Q17" s="1780"/>
      <c r="R17" s="1780"/>
      <c r="S17" s="1780"/>
      <c r="T17" s="1780"/>
      <c r="U17" s="1780"/>
      <c r="V17" s="1780"/>
      <c r="W17" s="1780"/>
      <c r="X17" s="1780"/>
      <c r="Y17" s="1780"/>
      <c r="Z17" s="1780"/>
      <c r="AA17" s="1780">
        <f>+$AA$4</f>
        <v>5435</v>
      </c>
      <c r="AB17" s="1781">
        <f t="shared" si="37"/>
        <v>695680</v>
      </c>
      <c r="AC17" s="1782"/>
      <c r="AD17" s="1780"/>
      <c r="AE17" s="1782"/>
      <c r="AF17" s="1780"/>
      <c r="AG17" s="1780"/>
      <c r="AH17" s="1780"/>
      <c r="AI17" s="1780"/>
      <c r="AJ17" s="1780"/>
      <c r="AK17" s="1780"/>
      <c r="AL17" s="1781"/>
      <c r="AM17" s="1780"/>
      <c r="AN17" s="1780"/>
      <c r="AO17" s="1780"/>
      <c r="AP17" s="1780"/>
      <c r="AQ17" s="1780"/>
      <c r="AR17" s="1780"/>
    </row>
    <row r="18" spans="1:44" s="993" customFormat="1" ht="28.2" customHeight="1" thickBot="1">
      <c r="A18" s="1777">
        <v>361</v>
      </c>
      <c r="B18" s="1778" t="s">
        <v>1107</v>
      </c>
      <c r="C18" s="1779">
        <v>106</v>
      </c>
      <c r="D18" s="1780"/>
      <c r="E18" s="1780"/>
      <c r="F18" s="1780"/>
      <c r="G18" s="1780"/>
      <c r="H18" s="1780"/>
      <c r="I18" s="1781"/>
      <c r="J18" s="1780"/>
      <c r="K18" s="1780"/>
      <c r="L18" s="1780"/>
      <c r="M18" s="1780"/>
      <c r="N18" s="1780"/>
      <c r="O18" s="1780"/>
      <c r="P18" s="1780"/>
      <c r="Q18" s="1780"/>
      <c r="R18" s="1780"/>
      <c r="S18" s="1780"/>
      <c r="T18" s="1780"/>
      <c r="U18" s="1780"/>
      <c r="V18" s="1780"/>
      <c r="W18" s="1780"/>
      <c r="X18" s="1780"/>
      <c r="Y18" s="1780"/>
      <c r="Z18" s="1780">
        <f t="shared" si="36"/>
        <v>4670</v>
      </c>
      <c r="AA18" s="1780"/>
      <c r="AB18" s="1781">
        <f t="shared" si="37"/>
        <v>495020</v>
      </c>
      <c r="AC18" s="1782"/>
      <c r="AD18" s="1780"/>
      <c r="AE18" s="1782"/>
      <c r="AF18" s="1780"/>
      <c r="AG18" s="1780"/>
      <c r="AH18" s="1780"/>
      <c r="AI18" s="1780"/>
      <c r="AJ18" s="1780"/>
      <c r="AK18" s="1780"/>
      <c r="AL18" s="1781"/>
      <c r="AM18" s="1780"/>
      <c r="AN18" s="1780"/>
      <c r="AO18" s="1780"/>
      <c r="AP18" s="1780"/>
      <c r="AQ18" s="1780"/>
      <c r="AR18" s="1780"/>
    </row>
    <row r="19" spans="1:44" s="993" customFormat="1" ht="28.2" customHeight="1" thickBot="1">
      <c r="A19" s="1783">
        <v>361001</v>
      </c>
      <c r="B19" s="1784" t="s">
        <v>1105</v>
      </c>
      <c r="C19" s="1785">
        <f>+C17+C18</f>
        <v>234</v>
      </c>
      <c r="D19" s="1786">
        <f t="shared" si="26"/>
        <v>3602.7009974327857</v>
      </c>
      <c r="E19" s="1786">
        <f t="shared" si="27"/>
        <v>843032</v>
      </c>
      <c r="F19" s="1786">
        <v>746.0335616438357</v>
      </c>
      <c r="G19" s="1786">
        <f t="shared" si="28"/>
        <v>174571.85342465754</v>
      </c>
      <c r="H19" s="1786">
        <f t="shared" si="46"/>
        <v>1017603.8534246576</v>
      </c>
      <c r="I19" s="1787">
        <f t="shared" ref="I19:K19" si="54">+I17+I18</f>
        <v>0</v>
      </c>
      <c r="J19" s="1786">
        <f t="shared" si="54"/>
        <v>0</v>
      </c>
      <c r="K19" s="1786">
        <f t="shared" si="54"/>
        <v>0</v>
      </c>
      <c r="L19" s="1786">
        <f t="shared" si="30"/>
        <v>1017603.8534246576</v>
      </c>
      <c r="M19" s="1786">
        <f t="shared" ref="M19" si="55">-L19*$M$4</f>
        <v>-17808.067434931509</v>
      </c>
      <c r="N19" s="1786">
        <f t="shared" ref="N19" si="56">-L19*$N$4</f>
        <v>-2544.009633561644</v>
      </c>
      <c r="O19" s="1786">
        <f t="shared" ref="O19" si="57">+M19+N19</f>
        <v>-20352.077068493152</v>
      </c>
      <c r="P19" s="1786">
        <f t="shared" ref="P19" si="58">+L19+O19</f>
        <v>997251.77635616448</v>
      </c>
      <c r="Q19" s="1786">
        <v>-98130.028894545248</v>
      </c>
      <c r="R19" s="1786">
        <f t="shared" si="33"/>
        <v>899121.7474616192</v>
      </c>
      <c r="S19" s="1786">
        <f>VLOOKUP($A19,'Table 4 Level 4'!$B$121:$N$177,4,FALSE)</f>
        <v>0</v>
      </c>
      <c r="T19" s="1786">
        <f>VLOOKUP($A19,'Table 4 Level 4'!$B$121:$N$177,13,FALSE)</f>
        <v>6084</v>
      </c>
      <c r="U19" s="1786">
        <f t="shared" si="49"/>
        <v>905205.7474616192</v>
      </c>
      <c r="V19" s="1786">
        <f>VLOOKUP($A19,'Table 4 Level 4'!$B$121:$N$177,9,FALSE)</f>
        <v>0</v>
      </c>
      <c r="W19" s="1786">
        <f>VLOOKUP($A19,'Table 4 Level 4'!$B$121:$N$177,10,FALSE)</f>
        <v>0</v>
      </c>
      <c r="X19" s="1786">
        <f>VLOOKUP($A19,'Table 4 Level 4'!$B$121:$N$177,11,FALSE)</f>
        <v>0</v>
      </c>
      <c r="Y19" s="1786">
        <f t="shared" si="50"/>
        <v>905205.7474616192</v>
      </c>
      <c r="Z19" s="1786"/>
      <c r="AA19" s="1786"/>
      <c r="AB19" s="1787">
        <f>SUM(AB17:AB18)</f>
        <v>1190700</v>
      </c>
      <c r="AC19" s="1788"/>
      <c r="AD19" s="1786">
        <f>IF(Z19=0,AA19*AC19,Z19*AC19)</f>
        <v>0</v>
      </c>
      <c r="AE19" s="1788"/>
      <c r="AF19" s="1786">
        <f>IF(Z19=0,AA19*AE19*0.5,Z19*AE19*0.5)</f>
        <v>0</v>
      </c>
      <c r="AG19" s="1786">
        <f t="shared" si="40"/>
        <v>0</v>
      </c>
      <c r="AH19" s="1786">
        <f t="shared" si="41"/>
        <v>1190700</v>
      </c>
      <c r="AI19" s="1786">
        <f t="shared" si="51"/>
        <v>-20837.250000000004</v>
      </c>
      <c r="AJ19" s="1786">
        <f t="shared" si="52"/>
        <v>-2976.75</v>
      </c>
      <c r="AK19" s="1786">
        <f>AI19+AJ19</f>
        <v>-23814.000000000004</v>
      </c>
      <c r="AL19" s="1787">
        <f t="shared" si="42"/>
        <v>1166886</v>
      </c>
      <c r="AM19" s="1786"/>
      <c r="AN19" s="1786">
        <v>-124959</v>
      </c>
      <c r="AO19" s="1786">
        <f>SUM(AL19:AN19)</f>
        <v>1041927</v>
      </c>
      <c r="AP19" s="1786"/>
      <c r="AQ19" s="1786">
        <f t="shared" si="44"/>
        <v>1041927</v>
      </c>
      <c r="AR19" s="1789">
        <f t="shared" si="45"/>
        <v>86827</v>
      </c>
    </row>
    <row r="20" spans="1:44" s="993" customFormat="1" ht="16.95" customHeight="1">
      <c r="A20" s="1231">
        <v>363001</v>
      </c>
      <c r="B20" s="1232" t="s">
        <v>1125</v>
      </c>
      <c r="C20" s="1233">
        <f>IFERROR(VLOOKUP(A20,'[12]RSD-NO by Site'!$B$5:$D$62,3,FALSE),"na")</f>
        <v>521</v>
      </c>
      <c r="D20" s="1234">
        <f t="shared" si="26"/>
        <v>3602.7009974327857</v>
      </c>
      <c r="E20" s="1234">
        <f t="shared" ref="E20:E30" si="59">ROUND(C20*D20,0)</f>
        <v>1877007</v>
      </c>
      <c r="F20" s="1234">
        <v>746.0335616438357</v>
      </c>
      <c r="G20" s="1234">
        <f t="shared" ref="G20:G30" si="60">F20*C20</f>
        <v>388683.48561643838</v>
      </c>
      <c r="H20" s="1659">
        <f t="shared" ref="H20:H30" si="61">E20+G20</f>
        <v>2265690.4856164386</v>
      </c>
      <c r="I20" s="1235"/>
      <c r="J20" s="1236"/>
      <c r="K20" s="1237">
        <f t="shared" si="29"/>
        <v>0</v>
      </c>
      <c r="L20" s="1659">
        <f t="shared" si="30"/>
        <v>2265690.4856164386</v>
      </c>
      <c r="M20" s="1236">
        <f t="shared" si="47"/>
        <v>-39649.583498287677</v>
      </c>
      <c r="N20" s="1236">
        <f t="shared" si="48"/>
        <v>-5664.2262140410967</v>
      </c>
      <c r="O20" s="1236">
        <f t="shared" si="31"/>
        <v>-45313.809712328773</v>
      </c>
      <c r="P20" s="1659">
        <f t="shared" si="32"/>
        <v>2220376.6759041096</v>
      </c>
      <c r="Q20" s="1238">
        <v>5160.7468776235364</v>
      </c>
      <c r="R20" s="1659">
        <f t="shared" si="33"/>
        <v>2225537.4227817333</v>
      </c>
      <c r="S20" s="1238">
        <f>VLOOKUP($A20,'Table 4 Level 4'!$B$121:$N$177,4,FALSE)</f>
        <v>0</v>
      </c>
      <c r="T20" s="1238">
        <f>VLOOKUP($A20,'Table 4 Level 4'!$B$121:$N$177,13,FALSE)</f>
        <v>3068</v>
      </c>
      <c r="U20" s="1659">
        <f t="shared" si="49"/>
        <v>2228605.4227817333</v>
      </c>
      <c r="V20" s="1238">
        <f>VLOOKUP($A20,'Table 4 Level 4'!$B$121:$N$177,9,FALSE)</f>
        <v>0</v>
      </c>
      <c r="W20" s="1238">
        <f>VLOOKUP($A20,'Table 4 Level 4'!$B$121:$N$177,10,FALSE)</f>
        <v>0</v>
      </c>
      <c r="X20" s="1238">
        <f>VLOOKUP($A20,'Table 4 Level 4'!$B$121:$N$177,11,FALSE)</f>
        <v>0</v>
      </c>
      <c r="Y20" s="1659">
        <f t="shared" si="50"/>
        <v>2228605.4227817333</v>
      </c>
      <c r="Z20" s="1238">
        <f t="shared" ref="Z20:Z22" si="62">+$Z$4</f>
        <v>4670</v>
      </c>
      <c r="AA20" s="1238"/>
      <c r="AB20" s="1671">
        <f t="shared" si="37"/>
        <v>2433070</v>
      </c>
      <c r="AC20" s="1239"/>
      <c r="AD20" s="1236">
        <f t="shared" si="38"/>
        <v>0</v>
      </c>
      <c r="AE20" s="1239"/>
      <c r="AF20" s="1236">
        <f t="shared" si="39"/>
        <v>0</v>
      </c>
      <c r="AG20" s="1237">
        <f t="shared" si="40"/>
        <v>0</v>
      </c>
      <c r="AH20" s="1678">
        <f t="shared" si="41"/>
        <v>2433070</v>
      </c>
      <c r="AI20" s="1238">
        <f t="shared" si="51"/>
        <v>-42578.725000000006</v>
      </c>
      <c r="AJ20" s="1238">
        <f t="shared" si="52"/>
        <v>-6082.6750000000002</v>
      </c>
      <c r="AK20" s="1238">
        <f t="shared" si="53"/>
        <v>-48661.400000000009</v>
      </c>
      <c r="AL20" s="1671">
        <f t="shared" si="42"/>
        <v>2384408.6</v>
      </c>
      <c r="AM20" s="1236"/>
      <c r="AN20" s="1238">
        <v>4196</v>
      </c>
      <c r="AO20" s="1678">
        <f t="shared" si="43"/>
        <v>2388604.6</v>
      </c>
      <c r="AP20" s="1236"/>
      <c r="AQ20" s="1236">
        <f t="shared" si="44"/>
        <v>2388604.6</v>
      </c>
      <c r="AR20" s="1678">
        <f t="shared" si="45"/>
        <v>199050</v>
      </c>
    </row>
    <row r="21" spans="1:44" s="993" customFormat="1" ht="16.95" customHeight="1">
      <c r="A21" s="1231">
        <v>363002</v>
      </c>
      <c r="B21" s="1232" t="s">
        <v>724</v>
      </c>
      <c r="C21" s="1233">
        <f>IFERROR(VLOOKUP(A21,'[12]RSD-NO by Site'!$B$5:$D$62,3,FALSE),"na")</f>
        <v>369</v>
      </c>
      <c r="D21" s="1234">
        <f t="shared" si="26"/>
        <v>3602.7009974327857</v>
      </c>
      <c r="E21" s="1234">
        <f>ROUND(C21*D21,0)</f>
        <v>1329397</v>
      </c>
      <c r="F21" s="1234">
        <v>746.0335616438357</v>
      </c>
      <c r="G21" s="1234">
        <f>F21*C21</f>
        <v>275286.38424657536</v>
      </c>
      <c r="H21" s="1659">
        <f>E21+G21</f>
        <v>1604683.3842465754</v>
      </c>
      <c r="I21" s="1235"/>
      <c r="J21" s="1236"/>
      <c r="K21" s="1237">
        <f t="shared" si="29"/>
        <v>0</v>
      </c>
      <c r="L21" s="1659">
        <f t="shared" si="30"/>
        <v>1604683.3842465754</v>
      </c>
      <c r="M21" s="1236">
        <f t="shared" si="47"/>
        <v>-28081.959224315073</v>
      </c>
      <c r="N21" s="1236">
        <f t="shared" si="48"/>
        <v>-4011.7084606164385</v>
      </c>
      <c r="O21" s="1236">
        <f t="shared" si="31"/>
        <v>-32093.667684931512</v>
      </c>
      <c r="P21" s="1659">
        <f t="shared" si="32"/>
        <v>1572589.7165616439</v>
      </c>
      <c r="Q21" s="1238">
        <v>0</v>
      </c>
      <c r="R21" s="1659">
        <f t="shared" si="33"/>
        <v>1572589.7165616439</v>
      </c>
      <c r="S21" s="1238">
        <f>VLOOKUP($A21,'Table 4 Level 4'!$B$121:$N$177,4,FALSE)</f>
        <v>0</v>
      </c>
      <c r="T21" s="1238">
        <f>VLOOKUP($A21,'Table 4 Level 4'!$B$121:$N$177,13,FALSE)</f>
        <v>0</v>
      </c>
      <c r="U21" s="1659">
        <f t="shared" si="49"/>
        <v>1572589.7165616439</v>
      </c>
      <c r="V21" s="1238">
        <f>VLOOKUP($A21,'Table 4 Level 4'!$B$121:$N$177,9,FALSE)</f>
        <v>0</v>
      </c>
      <c r="W21" s="1238">
        <f>VLOOKUP($A21,'Table 4 Level 4'!$B$121:$N$177,10,FALSE)</f>
        <v>0</v>
      </c>
      <c r="X21" s="1238">
        <f>VLOOKUP($A21,'Table 4 Level 4'!$B$121:$N$177,11,FALSE)</f>
        <v>0</v>
      </c>
      <c r="Y21" s="1659">
        <f t="shared" si="50"/>
        <v>1572589.7165616439</v>
      </c>
      <c r="Z21" s="1238">
        <f t="shared" si="62"/>
        <v>4670</v>
      </c>
      <c r="AA21" s="1238"/>
      <c r="AB21" s="1671">
        <f t="shared" si="37"/>
        <v>1723230</v>
      </c>
      <c r="AC21" s="1239"/>
      <c r="AD21" s="1236">
        <f t="shared" si="38"/>
        <v>0</v>
      </c>
      <c r="AE21" s="1239"/>
      <c r="AF21" s="1236">
        <f t="shared" si="39"/>
        <v>0</v>
      </c>
      <c r="AG21" s="1237">
        <f t="shared" si="40"/>
        <v>0</v>
      </c>
      <c r="AH21" s="1678">
        <f t="shared" si="41"/>
        <v>1723230</v>
      </c>
      <c r="AI21" s="1238">
        <f t="shared" si="51"/>
        <v>-30156.525000000001</v>
      </c>
      <c r="AJ21" s="1238">
        <f t="shared" si="52"/>
        <v>-4308.0749999999998</v>
      </c>
      <c r="AK21" s="1238">
        <f>AI21+AJ21</f>
        <v>-34464.6</v>
      </c>
      <c r="AL21" s="1671">
        <f t="shared" si="42"/>
        <v>1688765.4</v>
      </c>
      <c r="AM21" s="1236"/>
      <c r="AN21" s="1238">
        <v>0</v>
      </c>
      <c r="AO21" s="1678">
        <f>SUM(AL21:AN21)</f>
        <v>1688765.4</v>
      </c>
      <c r="AP21" s="1236"/>
      <c r="AQ21" s="1236">
        <f t="shared" si="44"/>
        <v>1688765.4</v>
      </c>
      <c r="AR21" s="1678">
        <f t="shared" si="45"/>
        <v>140730</v>
      </c>
    </row>
    <row r="22" spans="1:44" s="993" customFormat="1" ht="16.95" customHeight="1">
      <c r="A22" s="1240">
        <v>364001</v>
      </c>
      <c r="B22" s="1241" t="s">
        <v>1126</v>
      </c>
      <c r="C22" s="1233">
        <f>IFERROR(VLOOKUP(A22,'[12]RSD-NO by Site'!$B$5:$D$62,3,FALSE),"na")</f>
        <v>548</v>
      </c>
      <c r="D22" s="1234">
        <f t="shared" si="26"/>
        <v>3602.7009974327857</v>
      </c>
      <c r="E22" s="1234">
        <f t="shared" si="59"/>
        <v>1974280</v>
      </c>
      <c r="F22" s="1238">
        <v>746.0335616438357</v>
      </c>
      <c r="G22" s="1234">
        <f t="shared" si="60"/>
        <v>408826.39178082196</v>
      </c>
      <c r="H22" s="1659">
        <f t="shared" si="61"/>
        <v>2383106.3917808221</v>
      </c>
      <c r="I22" s="1235"/>
      <c r="J22" s="1236"/>
      <c r="K22" s="1237">
        <f t="shared" si="29"/>
        <v>0</v>
      </c>
      <c r="L22" s="1659">
        <f t="shared" si="30"/>
        <v>2383106.3917808221</v>
      </c>
      <c r="M22" s="1236">
        <f t="shared" si="47"/>
        <v>-41704.361856164389</v>
      </c>
      <c r="N22" s="1236">
        <f t="shared" si="48"/>
        <v>-5957.765979452055</v>
      </c>
      <c r="O22" s="1236">
        <f t="shared" si="31"/>
        <v>-47662.12783561644</v>
      </c>
      <c r="P22" s="1659">
        <f t="shared" si="32"/>
        <v>2335444.2639452056</v>
      </c>
      <c r="Q22" s="1238">
        <v>0</v>
      </c>
      <c r="R22" s="1659">
        <f t="shared" si="33"/>
        <v>2335444.2639452056</v>
      </c>
      <c r="S22" s="1238">
        <f>VLOOKUP($A22,'Table 4 Level 4'!$B$121:$N$177,4,FALSE)</f>
        <v>0</v>
      </c>
      <c r="T22" s="1238">
        <f>VLOOKUP($A22,'Table 4 Level 4'!$B$121:$N$177,13,FALSE)</f>
        <v>2678</v>
      </c>
      <c r="U22" s="1659">
        <f t="shared" si="49"/>
        <v>2338122.2639452056</v>
      </c>
      <c r="V22" s="1238">
        <f>VLOOKUP($A22,'Table 4 Level 4'!$B$121:$N$177,9,FALSE)</f>
        <v>0</v>
      </c>
      <c r="W22" s="1238">
        <f>VLOOKUP($A22,'Table 4 Level 4'!$B$121:$N$177,10,FALSE)</f>
        <v>0</v>
      </c>
      <c r="X22" s="1238">
        <f>VLOOKUP($A22,'Table 4 Level 4'!$B$121:$N$177,11,FALSE)</f>
        <v>0</v>
      </c>
      <c r="Y22" s="1659">
        <f t="shared" si="50"/>
        <v>2338122.2639452056</v>
      </c>
      <c r="Z22" s="1238">
        <f t="shared" si="62"/>
        <v>4670</v>
      </c>
      <c r="AA22" s="1238"/>
      <c r="AB22" s="1671">
        <f t="shared" si="37"/>
        <v>2559160</v>
      </c>
      <c r="AC22" s="1239"/>
      <c r="AD22" s="1236">
        <f t="shared" si="38"/>
        <v>0</v>
      </c>
      <c r="AE22" s="1239"/>
      <c r="AF22" s="1236">
        <f t="shared" si="39"/>
        <v>0</v>
      </c>
      <c r="AG22" s="1237">
        <f t="shared" si="40"/>
        <v>0</v>
      </c>
      <c r="AH22" s="1678">
        <f t="shared" si="41"/>
        <v>2559160</v>
      </c>
      <c r="AI22" s="1238">
        <f t="shared" si="51"/>
        <v>-44785.3</v>
      </c>
      <c r="AJ22" s="1238">
        <f t="shared" si="52"/>
        <v>-6397.9000000000005</v>
      </c>
      <c r="AK22" s="1238">
        <f t="shared" si="53"/>
        <v>-51183.200000000004</v>
      </c>
      <c r="AL22" s="1671">
        <f t="shared" si="42"/>
        <v>2507976.7999999998</v>
      </c>
      <c r="AM22" s="1236"/>
      <c r="AN22" s="1238">
        <v>0</v>
      </c>
      <c r="AO22" s="1678">
        <f t="shared" si="43"/>
        <v>2507976.7999999998</v>
      </c>
      <c r="AP22" s="1236"/>
      <c r="AQ22" s="1236">
        <f t="shared" si="44"/>
        <v>2507976.7999999998</v>
      </c>
      <c r="AR22" s="1678">
        <f t="shared" si="45"/>
        <v>208998</v>
      </c>
    </row>
    <row r="23" spans="1:44" s="993" customFormat="1" ht="28.2" customHeight="1">
      <c r="A23" s="996">
        <v>366001</v>
      </c>
      <c r="B23" s="1005" t="s">
        <v>1104</v>
      </c>
      <c r="C23" s="1006">
        <f>IFERROR(VLOOKUP(A23,'[12]RSD-NO by Site'!$B$5:$D$62,3,FALSE),"na")</f>
        <v>164</v>
      </c>
      <c r="D23" s="1007">
        <f t="shared" si="26"/>
        <v>3602.7009974327857</v>
      </c>
      <c r="E23" s="1007">
        <f t="shared" si="59"/>
        <v>590843</v>
      </c>
      <c r="F23" s="1010">
        <v>746.0335616438357</v>
      </c>
      <c r="G23" s="1007">
        <f t="shared" si="60"/>
        <v>122349.50410958905</v>
      </c>
      <c r="H23" s="1660">
        <f t="shared" si="61"/>
        <v>713192.50410958903</v>
      </c>
      <c r="I23" s="1221"/>
      <c r="J23" s="1008"/>
      <c r="K23" s="1009">
        <f t="shared" si="29"/>
        <v>0</v>
      </c>
      <c r="L23" s="1660">
        <f t="shared" si="30"/>
        <v>713192.50410958903</v>
      </c>
      <c r="M23" s="1008">
        <f t="shared" si="47"/>
        <v>-12480.868821917809</v>
      </c>
      <c r="N23" s="1008">
        <f t="shared" si="48"/>
        <v>-1782.9812602739726</v>
      </c>
      <c r="O23" s="1008">
        <f t="shared" si="31"/>
        <v>-14263.850082191782</v>
      </c>
      <c r="P23" s="1660">
        <f t="shared" si="32"/>
        <v>698928.65402739728</v>
      </c>
      <c r="Q23" s="1010">
        <v>-4414.1316284647837</v>
      </c>
      <c r="R23" s="1660">
        <f t="shared" si="33"/>
        <v>694514.52239893249</v>
      </c>
      <c r="S23" s="1010">
        <f>VLOOKUP($A23,'Table 4 Level 4'!$B$121:$N$177,4,FALSE)</f>
        <v>0</v>
      </c>
      <c r="T23" s="1010">
        <f>VLOOKUP($A23,'Table 4 Level 4'!$B$121:$N$177,13,FALSE)</f>
        <v>546</v>
      </c>
      <c r="U23" s="1660">
        <f t="shared" si="49"/>
        <v>695060.52239893249</v>
      </c>
      <c r="V23" s="1010">
        <f>VLOOKUP($A23,'Table 4 Level 4'!$B$121:$N$177,9,FALSE)</f>
        <v>0</v>
      </c>
      <c r="W23" s="1010">
        <f>VLOOKUP($A23,'Table 4 Level 4'!$B$121:$N$177,10,FALSE)</f>
        <v>0</v>
      </c>
      <c r="X23" s="1010">
        <f>VLOOKUP($A23,'Table 4 Level 4'!$B$121:$N$177,11,FALSE)</f>
        <v>0</v>
      </c>
      <c r="Y23" s="1660">
        <f t="shared" si="50"/>
        <v>695060.52239893249</v>
      </c>
      <c r="Z23" s="1010"/>
      <c r="AA23" s="1010">
        <f>+$AA$4</f>
        <v>5435</v>
      </c>
      <c r="AB23" s="1672">
        <f t="shared" si="37"/>
        <v>891340</v>
      </c>
      <c r="AC23" s="1011"/>
      <c r="AD23" s="1008">
        <f t="shared" si="38"/>
        <v>0</v>
      </c>
      <c r="AE23" s="1011"/>
      <c r="AF23" s="1008">
        <f t="shared" si="39"/>
        <v>0</v>
      </c>
      <c r="AG23" s="1009">
        <f t="shared" si="40"/>
        <v>0</v>
      </c>
      <c r="AH23" s="1679">
        <f t="shared" si="41"/>
        <v>891340</v>
      </c>
      <c r="AI23" s="1010">
        <f t="shared" si="51"/>
        <v>-15598.45</v>
      </c>
      <c r="AJ23" s="1010">
        <f t="shared" si="52"/>
        <v>-2228.35</v>
      </c>
      <c r="AK23" s="1010">
        <f t="shared" si="53"/>
        <v>-17826.8</v>
      </c>
      <c r="AL23" s="1672">
        <f t="shared" si="42"/>
        <v>873513.2</v>
      </c>
      <c r="AM23" s="1008"/>
      <c r="AN23" s="1010">
        <v>-7326</v>
      </c>
      <c r="AO23" s="1679">
        <f t="shared" si="43"/>
        <v>866187.2</v>
      </c>
      <c r="AP23" s="1008"/>
      <c r="AQ23" s="1008">
        <f t="shared" si="44"/>
        <v>866187.2</v>
      </c>
      <c r="AR23" s="1679">
        <f t="shared" si="45"/>
        <v>72182</v>
      </c>
    </row>
    <row r="24" spans="1:44" s="993" customFormat="1" ht="16.95" customHeight="1">
      <c r="A24" s="1222">
        <v>367001</v>
      </c>
      <c r="B24" s="1223" t="s">
        <v>882</v>
      </c>
      <c r="C24" s="1224">
        <f>IFERROR(VLOOKUP(A24,'[12]RSD-NO by Site'!$B$5:$D$62,3,FALSE),"na")</f>
        <v>371</v>
      </c>
      <c r="D24" s="1225">
        <f t="shared" si="26"/>
        <v>3602.7009974327857</v>
      </c>
      <c r="E24" s="1225">
        <f t="shared" si="59"/>
        <v>1336602</v>
      </c>
      <c r="F24" s="1225">
        <v>746.0335616438357</v>
      </c>
      <c r="G24" s="1225">
        <f t="shared" si="60"/>
        <v>276778.45136986306</v>
      </c>
      <c r="H24" s="1658">
        <f t="shared" si="61"/>
        <v>1613380.451369863</v>
      </c>
      <c r="I24" s="1226"/>
      <c r="J24" s="1227"/>
      <c r="K24" s="1228">
        <f t="shared" si="29"/>
        <v>0</v>
      </c>
      <c r="L24" s="1658">
        <f t="shared" si="30"/>
        <v>1613380.451369863</v>
      </c>
      <c r="M24" s="1227">
        <f t="shared" si="47"/>
        <v>-28234.157898972604</v>
      </c>
      <c r="N24" s="1227">
        <f t="shared" si="48"/>
        <v>-4033.4511284246578</v>
      </c>
      <c r="O24" s="1227">
        <f t="shared" si="31"/>
        <v>-32267.609027397262</v>
      </c>
      <c r="P24" s="1658">
        <f t="shared" si="32"/>
        <v>1581112.8423424657</v>
      </c>
      <c r="Q24" s="1229">
        <v>-3568.6567184167793</v>
      </c>
      <c r="R24" s="1658">
        <f t="shared" si="33"/>
        <v>1577544.1856240488</v>
      </c>
      <c r="S24" s="1229">
        <f>VLOOKUP($A24,'Table 4 Level 4'!$B$121:$N$177,4,FALSE)</f>
        <v>0</v>
      </c>
      <c r="T24" s="1229">
        <f>VLOOKUP($A24,'Table 4 Level 4'!$B$121:$N$177,13,FALSE)</f>
        <v>1716</v>
      </c>
      <c r="U24" s="1658">
        <f t="shared" si="49"/>
        <v>1579260.1856240488</v>
      </c>
      <c r="V24" s="1229">
        <f>VLOOKUP($A24,'Table 4 Level 4'!$B$121:$N$177,9,FALSE)</f>
        <v>0</v>
      </c>
      <c r="W24" s="1229">
        <f>VLOOKUP($A24,'Table 4 Level 4'!$B$121:$N$177,10,FALSE)</f>
        <v>0</v>
      </c>
      <c r="X24" s="1229">
        <f>VLOOKUP($A24,'Table 4 Level 4'!$B$121:$N$177,11,FALSE)</f>
        <v>0</v>
      </c>
      <c r="Y24" s="1658">
        <f t="shared" si="50"/>
        <v>1579260.1856240488</v>
      </c>
      <c r="Z24" s="1229">
        <f>+$Z$4</f>
        <v>4670</v>
      </c>
      <c r="AA24" s="1229"/>
      <c r="AB24" s="1670">
        <f t="shared" si="37"/>
        <v>1732570</v>
      </c>
      <c r="AC24" s="1230"/>
      <c r="AD24" s="1227">
        <f t="shared" si="38"/>
        <v>0</v>
      </c>
      <c r="AE24" s="1230"/>
      <c r="AF24" s="1227">
        <f t="shared" si="39"/>
        <v>0</v>
      </c>
      <c r="AG24" s="1228">
        <f t="shared" si="40"/>
        <v>0</v>
      </c>
      <c r="AH24" s="1677">
        <f t="shared" si="41"/>
        <v>1732570</v>
      </c>
      <c r="AI24" s="1229">
        <f t="shared" si="51"/>
        <v>-30319.975000000002</v>
      </c>
      <c r="AJ24" s="1229">
        <f t="shared" si="52"/>
        <v>-4331.4250000000002</v>
      </c>
      <c r="AK24" s="1229">
        <f t="shared" si="53"/>
        <v>-34651.4</v>
      </c>
      <c r="AL24" s="1670">
        <f t="shared" si="42"/>
        <v>1697918.6</v>
      </c>
      <c r="AM24" s="1227"/>
      <c r="AN24" s="1229">
        <v>0</v>
      </c>
      <c r="AO24" s="1677">
        <f t="shared" si="43"/>
        <v>1697918.6</v>
      </c>
      <c r="AP24" s="1227"/>
      <c r="AQ24" s="1227">
        <f t="shared" si="44"/>
        <v>1697918.6</v>
      </c>
      <c r="AR24" s="1677">
        <f t="shared" si="45"/>
        <v>141493</v>
      </c>
    </row>
    <row r="25" spans="1:44" s="993" customFormat="1" ht="28.2" customHeight="1">
      <c r="A25" s="1231">
        <v>368001</v>
      </c>
      <c r="B25" s="1232" t="s">
        <v>1085</v>
      </c>
      <c r="C25" s="1233">
        <f>IFERROR(VLOOKUP(A25,'[12]RSD-NO by Site'!$B$5:$D$62,3,FALSE),"na")</f>
        <v>369</v>
      </c>
      <c r="D25" s="1234">
        <f t="shared" si="26"/>
        <v>3602.7009974327857</v>
      </c>
      <c r="E25" s="1234">
        <f t="shared" si="59"/>
        <v>1329397</v>
      </c>
      <c r="F25" s="1234">
        <v>746.03356164383604</v>
      </c>
      <c r="G25" s="1234">
        <f t="shared" si="60"/>
        <v>275286.38424657547</v>
      </c>
      <c r="H25" s="1659">
        <f t="shared" si="61"/>
        <v>1604683.3842465754</v>
      </c>
      <c r="I25" s="1235"/>
      <c r="J25" s="1236"/>
      <c r="K25" s="1237">
        <f t="shared" si="29"/>
        <v>0</v>
      </c>
      <c r="L25" s="1659">
        <f t="shared" si="30"/>
        <v>1604683.3842465754</v>
      </c>
      <c r="M25" s="1236">
        <f t="shared" si="47"/>
        <v>-28081.959224315073</v>
      </c>
      <c r="N25" s="1236">
        <f t="shared" si="48"/>
        <v>-4011.7084606164385</v>
      </c>
      <c r="O25" s="1236">
        <f t="shared" si="31"/>
        <v>-32093.667684931512</v>
      </c>
      <c r="P25" s="1659">
        <f t="shared" si="32"/>
        <v>1572589.7165616439</v>
      </c>
      <c r="Q25" s="1238">
        <v>-8879.8804521289858</v>
      </c>
      <c r="R25" s="1659">
        <f t="shared" si="33"/>
        <v>1563709.8361095148</v>
      </c>
      <c r="S25" s="1238">
        <f>VLOOKUP($A25,'Table 4 Level 4'!$B$121:$N$177,4,FALSE)</f>
        <v>0</v>
      </c>
      <c r="T25" s="1238">
        <f>VLOOKUP($A25,'Table 4 Level 4'!$B$121:$N$177,13,FALSE)</f>
        <v>0</v>
      </c>
      <c r="U25" s="1659">
        <f t="shared" si="49"/>
        <v>1563709.8361095148</v>
      </c>
      <c r="V25" s="1238">
        <f>VLOOKUP($A25,'Table 4 Level 4'!$B$121:$N$177,9,FALSE)</f>
        <v>0</v>
      </c>
      <c r="W25" s="1238">
        <f>VLOOKUP($A25,'Table 4 Level 4'!$B$121:$N$177,10,FALSE)</f>
        <v>0</v>
      </c>
      <c r="X25" s="1238">
        <f>VLOOKUP($A25,'Table 4 Level 4'!$B$121:$N$177,11,FALSE)</f>
        <v>0</v>
      </c>
      <c r="Y25" s="1659">
        <f t="shared" si="50"/>
        <v>1563709.8361095148</v>
      </c>
      <c r="Z25" s="1238"/>
      <c r="AA25" s="1238">
        <f>+$AA$4</f>
        <v>5435</v>
      </c>
      <c r="AB25" s="1671">
        <f t="shared" si="37"/>
        <v>2005515</v>
      </c>
      <c r="AC25" s="1239"/>
      <c r="AD25" s="1236">
        <f t="shared" si="38"/>
        <v>0</v>
      </c>
      <c r="AE25" s="1239"/>
      <c r="AF25" s="1236">
        <f t="shared" si="39"/>
        <v>0</v>
      </c>
      <c r="AG25" s="1237">
        <f t="shared" si="40"/>
        <v>0</v>
      </c>
      <c r="AH25" s="1678">
        <f t="shared" si="41"/>
        <v>2005515</v>
      </c>
      <c r="AI25" s="1238">
        <f t="shared" si="51"/>
        <v>-35096.512500000004</v>
      </c>
      <c r="AJ25" s="1238">
        <f t="shared" si="52"/>
        <v>-5013.7875000000004</v>
      </c>
      <c r="AK25" s="1238">
        <f t="shared" si="53"/>
        <v>-40110.300000000003</v>
      </c>
      <c r="AL25" s="1671">
        <f t="shared" si="42"/>
        <v>1965404.7</v>
      </c>
      <c r="AM25" s="1236">
        <v>-141142</v>
      </c>
      <c r="AN25" s="1238">
        <v>-6294</v>
      </c>
      <c r="AO25" s="1678">
        <f t="shared" si="43"/>
        <v>1817968.7</v>
      </c>
      <c r="AP25" s="1236"/>
      <c r="AQ25" s="1236">
        <f t="shared" si="44"/>
        <v>1817968.7</v>
      </c>
      <c r="AR25" s="1678">
        <f t="shared" si="45"/>
        <v>151497</v>
      </c>
    </row>
    <row r="26" spans="1:44" s="993" customFormat="1" ht="16.95" customHeight="1">
      <c r="A26" s="1231">
        <v>369001</v>
      </c>
      <c r="B26" s="1232" t="s">
        <v>891</v>
      </c>
      <c r="C26" s="1233">
        <f>IFERROR(VLOOKUP(A26,'[12]RSD-NO by Site'!$B$5:$D$62,3,FALSE),"na")</f>
        <v>611</v>
      </c>
      <c r="D26" s="1234">
        <f t="shared" si="26"/>
        <v>3602.7009974327857</v>
      </c>
      <c r="E26" s="1234">
        <f t="shared" si="59"/>
        <v>2201250</v>
      </c>
      <c r="F26" s="1234">
        <v>746.0335616438357</v>
      </c>
      <c r="G26" s="1234">
        <f t="shared" si="60"/>
        <v>455826.50616438361</v>
      </c>
      <c r="H26" s="1659">
        <f t="shared" si="61"/>
        <v>2657076.5061643836</v>
      </c>
      <c r="I26" s="1235"/>
      <c r="J26" s="1236"/>
      <c r="K26" s="1237">
        <f t="shared" si="29"/>
        <v>0</v>
      </c>
      <c r="L26" s="1659">
        <f t="shared" si="30"/>
        <v>2657076.5061643836</v>
      </c>
      <c r="M26" s="1236">
        <f t="shared" si="47"/>
        <v>-46498.838857876719</v>
      </c>
      <c r="N26" s="1236">
        <f t="shared" si="48"/>
        <v>-6642.6912654109592</v>
      </c>
      <c r="O26" s="1236">
        <f t="shared" si="31"/>
        <v>-53141.530123287681</v>
      </c>
      <c r="P26" s="1659">
        <f t="shared" si="32"/>
        <v>2603934.9760410958</v>
      </c>
      <c r="Q26" s="1238">
        <v>-12133.432842617049</v>
      </c>
      <c r="R26" s="1659">
        <f t="shared" si="33"/>
        <v>2591801.5431984789</v>
      </c>
      <c r="S26" s="1238">
        <f>VLOOKUP($A26,'Table 4 Level 4'!$B$121:$N$177,4,FALSE)</f>
        <v>0</v>
      </c>
      <c r="T26" s="1238">
        <f>VLOOKUP($A26,'Table 4 Level 4'!$B$121:$N$177,13,FALSE)</f>
        <v>3588</v>
      </c>
      <c r="U26" s="1659">
        <f t="shared" si="49"/>
        <v>2595389.5431984789</v>
      </c>
      <c r="V26" s="1238">
        <f>VLOOKUP($A26,'Table 4 Level 4'!$B$121:$N$177,9,FALSE)</f>
        <v>0</v>
      </c>
      <c r="W26" s="1238">
        <f>VLOOKUP($A26,'Table 4 Level 4'!$B$121:$N$177,10,FALSE)</f>
        <v>0</v>
      </c>
      <c r="X26" s="1238">
        <f>VLOOKUP($A26,'Table 4 Level 4'!$B$121:$N$177,11,FALSE)</f>
        <v>0</v>
      </c>
      <c r="Y26" s="1659">
        <f t="shared" si="50"/>
        <v>2595389.5431984789</v>
      </c>
      <c r="Z26" s="1238">
        <f t="shared" ref="Z26:Z43" si="63">+$Z$4</f>
        <v>4670</v>
      </c>
      <c r="AA26" s="1238"/>
      <c r="AB26" s="1671">
        <f t="shared" si="37"/>
        <v>2853370</v>
      </c>
      <c r="AC26" s="1239"/>
      <c r="AD26" s="1236">
        <f t="shared" si="38"/>
        <v>0</v>
      </c>
      <c r="AE26" s="1239"/>
      <c r="AF26" s="1236">
        <f t="shared" si="39"/>
        <v>0</v>
      </c>
      <c r="AG26" s="1237">
        <f t="shared" si="40"/>
        <v>0</v>
      </c>
      <c r="AH26" s="1678">
        <f t="shared" si="41"/>
        <v>2853370</v>
      </c>
      <c r="AI26" s="1238">
        <f t="shared" si="51"/>
        <v>-49933.975000000006</v>
      </c>
      <c r="AJ26" s="1238">
        <f t="shared" si="52"/>
        <v>-7133.4250000000002</v>
      </c>
      <c r="AK26" s="1238">
        <f t="shared" si="53"/>
        <v>-57067.400000000009</v>
      </c>
      <c r="AL26" s="1671">
        <f t="shared" si="42"/>
        <v>2796302.6</v>
      </c>
      <c r="AM26" s="1236"/>
      <c r="AN26" s="1238">
        <v>0</v>
      </c>
      <c r="AO26" s="1678">
        <f t="shared" si="43"/>
        <v>2796302.6</v>
      </c>
      <c r="AP26" s="1236"/>
      <c r="AQ26" s="1236">
        <f t="shared" si="44"/>
        <v>2796302.6</v>
      </c>
      <c r="AR26" s="1678">
        <f t="shared" si="45"/>
        <v>233025</v>
      </c>
    </row>
    <row r="27" spans="1:44" s="993" customFormat="1" ht="16.95" customHeight="1">
      <c r="A27" s="1240">
        <v>369002</v>
      </c>
      <c r="B27" s="1241" t="s">
        <v>892</v>
      </c>
      <c r="C27" s="1233">
        <f>IFERROR(VLOOKUP(A27,'[12]RSD-NO by Site'!$B$5:$D$62,3,FALSE),"na")</f>
        <v>692</v>
      </c>
      <c r="D27" s="1234">
        <f t="shared" si="26"/>
        <v>3602.7009974327857</v>
      </c>
      <c r="E27" s="1234">
        <f t="shared" si="59"/>
        <v>2493069</v>
      </c>
      <c r="F27" s="1238">
        <v>746.0335616438357</v>
      </c>
      <c r="G27" s="1234">
        <f t="shared" si="60"/>
        <v>516255.22465753433</v>
      </c>
      <c r="H27" s="1659">
        <f t="shared" si="61"/>
        <v>3009324.2246575342</v>
      </c>
      <c r="I27" s="1235"/>
      <c r="J27" s="1236"/>
      <c r="K27" s="1237">
        <f t="shared" si="29"/>
        <v>0</v>
      </c>
      <c r="L27" s="1659">
        <f t="shared" si="30"/>
        <v>3009324.2246575342</v>
      </c>
      <c r="M27" s="1236">
        <f t="shared" si="47"/>
        <v>-52663.173931506855</v>
      </c>
      <c r="N27" s="1236">
        <f t="shared" si="48"/>
        <v>-7523.3105616438352</v>
      </c>
      <c r="O27" s="1236">
        <f t="shared" si="31"/>
        <v>-60186.484493150689</v>
      </c>
      <c r="P27" s="1659">
        <f t="shared" si="32"/>
        <v>2949137.7401643833</v>
      </c>
      <c r="Q27" s="1238">
        <v>-17843.283592083895</v>
      </c>
      <c r="R27" s="1659">
        <f t="shared" si="33"/>
        <v>2931294.4565722994</v>
      </c>
      <c r="S27" s="1238">
        <f>VLOOKUP($A27,'Table 4 Level 4'!$B$121:$N$177,4,FALSE)</f>
        <v>0</v>
      </c>
      <c r="T27" s="1238">
        <f>VLOOKUP($A27,'Table 4 Level 4'!$B$121:$N$177,13,FALSE)</f>
        <v>3432</v>
      </c>
      <c r="U27" s="1659">
        <f t="shared" si="49"/>
        <v>2934726.4565722994</v>
      </c>
      <c r="V27" s="1238">
        <f>VLOOKUP($A27,'Table 4 Level 4'!$B$121:$N$177,9,FALSE)</f>
        <v>0</v>
      </c>
      <c r="W27" s="1238">
        <f>VLOOKUP($A27,'Table 4 Level 4'!$B$121:$N$177,10,FALSE)</f>
        <v>0</v>
      </c>
      <c r="X27" s="1238">
        <f>VLOOKUP($A27,'Table 4 Level 4'!$B$121:$N$177,11,FALSE)</f>
        <v>0</v>
      </c>
      <c r="Y27" s="1659">
        <f t="shared" si="50"/>
        <v>2934726.4565722994</v>
      </c>
      <c r="Z27" s="1238">
        <f t="shared" si="63"/>
        <v>4670</v>
      </c>
      <c r="AA27" s="1238"/>
      <c r="AB27" s="1671">
        <f t="shared" si="37"/>
        <v>3231640</v>
      </c>
      <c r="AC27" s="1239"/>
      <c r="AD27" s="1236">
        <f t="shared" si="38"/>
        <v>0</v>
      </c>
      <c r="AE27" s="1239"/>
      <c r="AF27" s="1236">
        <f t="shared" si="39"/>
        <v>0</v>
      </c>
      <c r="AG27" s="1237">
        <f t="shared" si="40"/>
        <v>0</v>
      </c>
      <c r="AH27" s="1678">
        <f t="shared" si="41"/>
        <v>3231640</v>
      </c>
      <c r="AI27" s="1238">
        <f t="shared" si="51"/>
        <v>-56553.700000000004</v>
      </c>
      <c r="AJ27" s="1238">
        <f t="shared" si="52"/>
        <v>-8079.1</v>
      </c>
      <c r="AK27" s="1238">
        <f t="shared" si="53"/>
        <v>-64632.800000000003</v>
      </c>
      <c r="AL27" s="1671">
        <f t="shared" si="42"/>
        <v>3167007.2</v>
      </c>
      <c r="AM27" s="1236"/>
      <c r="AN27" s="1238">
        <v>0</v>
      </c>
      <c r="AO27" s="1678">
        <f t="shared" si="43"/>
        <v>3167007.2</v>
      </c>
      <c r="AP27" s="1236"/>
      <c r="AQ27" s="1236">
        <f t="shared" si="44"/>
        <v>3167007.2</v>
      </c>
      <c r="AR27" s="1678">
        <f t="shared" si="45"/>
        <v>263917</v>
      </c>
    </row>
    <row r="28" spans="1:44" s="993" customFormat="1" ht="16.95" customHeight="1">
      <c r="A28" s="996">
        <v>369003</v>
      </c>
      <c r="B28" s="1005" t="s">
        <v>893</v>
      </c>
      <c r="C28" s="1006">
        <f>IFERROR(VLOOKUP(A28,'[12]RSD-NO by Site'!$B$5:$D$62,3,FALSE),"na")</f>
        <v>708</v>
      </c>
      <c r="D28" s="1007">
        <f t="shared" si="26"/>
        <v>3602.7009974327857</v>
      </c>
      <c r="E28" s="1007">
        <f t="shared" si="59"/>
        <v>2550712</v>
      </c>
      <c r="F28" s="1010">
        <v>746.0335616438357</v>
      </c>
      <c r="G28" s="1007">
        <f t="shared" si="60"/>
        <v>528191.76164383569</v>
      </c>
      <c r="H28" s="1660">
        <f t="shared" si="61"/>
        <v>3078903.7616438358</v>
      </c>
      <c r="I28" s="1221"/>
      <c r="J28" s="1008"/>
      <c r="K28" s="1009">
        <f t="shared" si="29"/>
        <v>0</v>
      </c>
      <c r="L28" s="1660">
        <f t="shared" si="30"/>
        <v>3078903.7616438358</v>
      </c>
      <c r="M28" s="1008">
        <f t="shared" si="47"/>
        <v>-53880.815828767132</v>
      </c>
      <c r="N28" s="1008">
        <f t="shared" si="48"/>
        <v>-7697.2594041095899</v>
      </c>
      <c r="O28" s="1008">
        <f t="shared" si="31"/>
        <v>-61578.075232876719</v>
      </c>
      <c r="P28" s="1660">
        <f t="shared" si="32"/>
        <v>3017325.6864109589</v>
      </c>
      <c r="Q28" s="1010">
        <v>0</v>
      </c>
      <c r="R28" s="1660">
        <f t="shared" si="33"/>
        <v>3017325.6864109589</v>
      </c>
      <c r="S28" s="1010">
        <f>VLOOKUP($A28,'Table 4 Level 4'!$B$121:$N$177,4,FALSE)</f>
        <v>0</v>
      </c>
      <c r="T28" s="1010">
        <f>VLOOKUP($A28,'Table 4 Level 4'!$B$121:$N$177,13,FALSE)</f>
        <v>3224</v>
      </c>
      <c r="U28" s="1660">
        <f t="shared" si="49"/>
        <v>3020549.6864109589</v>
      </c>
      <c r="V28" s="1010">
        <f>VLOOKUP($A28,'Table 4 Level 4'!$B$121:$N$177,9,FALSE)</f>
        <v>0</v>
      </c>
      <c r="W28" s="1010">
        <f>VLOOKUP($A28,'Table 4 Level 4'!$B$121:$N$177,10,FALSE)</f>
        <v>0</v>
      </c>
      <c r="X28" s="1010">
        <f>VLOOKUP($A28,'Table 4 Level 4'!$B$121:$N$177,11,FALSE)</f>
        <v>0</v>
      </c>
      <c r="Y28" s="1660">
        <f t="shared" si="50"/>
        <v>3020549.6864109589</v>
      </c>
      <c r="Z28" s="1010">
        <f t="shared" si="63"/>
        <v>4670</v>
      </c>
      <c r="AA28" s="1010"/>
      <c r="AB28" s="1672">
        <f t="shared" si="37"/>
        <v>3306360</v>
      </c>
      <c r="AC28" s="1011"/>
      <c r="AD28" s="1008">
        <f t="shared" si="38"/>
        <v>0</v>
      </c>
      <c r="AE28" s="1011"/>
      <c r="AF28" s="1008">
        <f t="shared" si="39"/>
        <v>0</v>
      </c>
      <c r="AG28" s="1009">
        <f t="shared" si="40"/>
        <v>0</v>
      </c>
      <c r="AH28" s="1679">
        <f t="shared" si="41"/>
        <v>3306360</v>
      </c>
      <c r="AI28" s="1010">
        <f t="shared" si="51"/>
        <v>-57861.3</v>
      </c>
      <c r="AJ28" s="1010">
        <f t="shared" si="52"/>
        <v>-8265.9</v>
      </c>
      <c r="AK28" s="1010">
        <f t="shared" si="53"/>
        <v>-66127.199999999997</v>
      </c>
      <c r="AL28" s="1672">
        <f t="shared" si="42"/>
        <v>3240232.8</v>
      </c>
      <c r="AM28" s="1008"/>
      <c r="AN28" s="1010">
        <v>0</v>
      </c>
      <c r="AO28" s="1679">
        <f t="shared" si="43"/>
        <v>3240232.8</v>
      </c>
      <c r="AP28" s="1008"/>
      <c r="AQ28" s="1008">
        <f t="shared" si="44"/>
        <v>3240232.8</v>
      </c>
      <c r="AR28" s="1679">
        <f t="shared" si="45"/>
        <v>270019</v>
      </c>
    </row>
    <row r="29" spans="1:44" s="993" customFormat="1" ht="16.95" customHeight="1">
      <c r="A29" s="1222">
        <v>369004</v>
      </c>
      <c r="B29" s="1223" t="s">
        <v>1127</v>
      </c>
      <c r="C29" s="1224">
        <f>IFERROR(VLOOKUP(A29,'[12]RSD-NO by Site'!$B$5:$D$62,3,FALSE),"na")</f>
        <v>174</v>
      </c>
      <c r="D29" s="1225">
        <f t="shared" si="26"/>
        <v>3602.7009974327857</v>
      </c>
      <c r="E29" s="1225">
        <f t="shared" si="59"/>
        <v>626870</v>
      </c>
      <c r="F29" s="1225">
        <v>746.0335616438357</v>
      </c>
      <c r="G29" s="1225">
        <f t="shared" si="60"/>
        <v>129809.83972602741</v>
      </c>
      <c r="H29" s="1658">
        <f t="shared" si="61"/>
        <v>756679.83972602745</v>
      </c>
      <c r="I29" s="1226"/>
      <c r="J29" s="1227"/>
      <c r="K29" s="1228">
        <f t="shared" si="29"/>
        <v>0</v>
      </c>
      <c r="L29" s="1658">
        <f t="shared" si="30"/>
        <v>756679.83972602745</v>
      </c>
      <c r="M29" s="1227">
        <f t="shared" si="47"/>
        <v>-13241.897195205482</v>
      </c>
      <c r="N29" s="1227">
        <f t="shared" si="48"/>
        <v>-1891.6995993150686</v>
      </c>
      <c r="O29" s="1227">
        <f t="shared" si="31"/>
        <v>-15133.59679452055</v>
      </c>
      <c r="P29" s="1658">
        <f t="shared" si="32"/>
        <v>741546.24293150695</v>
      </c>
      <c r="Q29" s="1229">
        <v>-5439.8481719906813</v>
      </c>
      <c r="R29" s="1658">
        <f t="shared" si="33"/>
        <v>736106.39475951623</v>
      </c>
      <c r="S29" s="1229">
        <f>VLOOKUP($A29,'Table 4 Level 4'!$B$121:$N$177,4,FALSE)</f>
        <v>0</v>
      </c>
      <c r="T29" s="1229">
        <f>VLOOKUP($A29,'Table 4 Level 4'!$B$121:$N$177,13,FALSE)</f>
        <v>4524</v>
      </c>
      <c r="U29" s="1658">
        <f t="shared" si="49"/>
        <v>740630.39475951623</v>
      </c>
      <c r="V29" s="1229">
        <f>VLOOKUP($A29,'Table 4 Level 4'!$B$121:$N$177,9,FALSE)</f>
        <v>0</v>
      </c>
      <c r="W29" s="1229">
        <f>VLOOKUP($A29,'Table 4 Level 4'!$B$121:$N$177,10,FALSE)</f>
        <v>0</v>
      </c>
      <c r="X29" s="1229">
        <f>VLOOKUP($A29,'Table 4 Level 4'!$B$121:$N$177,11,FALSE)</f>
        <v>0</v>
      </c>
      <c r="Y29" s="1658">
        <f t="shared" si="50"/>
        <v>740630.39475951623</v>
      </c>
      <c r="Z29" s="1229">
        <f t="shared" si="63"/>
        <v>4670</v>
      </c>
      <c r="AA29" s="1229"/>
      <c r="AB29" s="1670">
        <f t="shared" si="37"/>
        <v>812580</v>
      </c>
      <c r="AC29" s="1230"/>
      <c r="AD29" s="1227">
        <f t="shared" si="38"/>
        <v>0</v>
      </c>
      <c r="AE29" s="1230"/>
      <c r="AF29" s="1227">
        <f t="shared" si="39"/>
        <v>0</v>
      </c>
      <c r="AG29" s="1228">
        <f t="shared" si="40"/>
        <v>0</v>
      </c>
      <c r="AH29" s="1677">
        <f t="shared" si="41"/>
        <v>812580</v>
      </c>
      <c r="AI29" s="1229">
        <f t="shared" si="51"/>
        <v>-14220.150000000001</v>
      </c>
      <c r="AJ29" s="1229">
        <f t="shared" si="52"/>
        <v>-2031.45</v>
      </c>
      <c r="AK29" s="1229">
        <f t="shared" si="53"/>
        <v>-16251.600000000002</v>
      </c>
      <c r="AL29" s="1670">
        <f t="shared" si="42"/>
        <v>796328.4</v>
      </c>
      <c r="AM29" s="1227"/>
      <c r="AN29" s="1229">
        <v>-4196</v>
      </c>
      <c r="AO29" s="1677">
        <f t="shared" si="43"/>
        <v>792132.4</v>
      </c>
      <c r="AP29" s="1227"/>
      <c r="AQ29" s="1227">
        <f t="shared" si="44"/>
        <v>792132.4</v>
      </c>
      <c r="AR29" s="1677">
        <f t="shared" si="45"/>
        <v>66011</v>
      </c>
    </row>
    <row r="30" spans="1:44" s="993" customFormat="1" ht="16.95" customHeight="1">
      <c r="A30" s="1231">
        <v>369005</v>
      </c>
      <c r="B30" s="1232" t="s">
        <v>895</v>
      </c>
      <c r="C30" s="1233">
        <f>IFERROR(VLOOKUP(A30,'[12]RSD-NO by Site'!$B$5:$D$62,3,FALSE),"na")</f>
        <v>177</v>
      </c>
      <c r="D30" s="1234">
        <f t="shared" si="26"/>
        <v>3602.7009974327857</v>
      </c>
      <c r="E30" s="1234">
        <f t="shared" si="59"/>
        <v>637678</v>
      </c>
      <c r="F30" s="1234">
        <v>746.0335616438357</v>
      </c>
      <c r="G30" s="1234">
        <f t="shared" si="60"/>
        <v>132047.94041095892</v>
      </c>
      <c r="H30" s="1659">
        <f t="shared" si="61"/>
        <v>769725.94041095895</v>
      </c>
      <c r="I30" s="1235"/>
      <c r="J30" s="1236"/>
      <c r="K30" s="1237">
        <f t="shared" si="29"/>
        <v>0</v>
      </c>
      <c r="L30" s="1659">
        <f t="shared" si="30"/>
        <v>769725.94041095895</v>
      </c>
      <c r="M30" s="1236">
        <f t="shared" si="47"/>
        <v>-13470.203957191783</v>
      </c>
      <c r="N30" s="1236">
        <f t="shared" si="48"/>
        <v>-1924.3148510273975</v>
      </c>
      <c r="O30" s="1236">
        <f t="shared" si="31"/>
        <v>-15394.51880821918</v>
      </c>
      <c r="P30" s="1659">
        <f t="shared" si="32"/>
        <v>754331.42160273972</v>
      </c>
      <c r="Q30" s="1238">
        <v>-15310.42054693297</v>
      </c>
      <c r="R30" s="1659">
        <f t="shared" si="33"/>
        <v>739021.00105580676</v>
      </c>
      <c r="S30" s="1238">
        <f>VLOOKUP($A30,'Table 4 Level 4'!$B$121:$N$177,4,FALSE)</f>
        <v>0</v>
      </c>
      <c r="T30" s="1238">
        <f>VLOOKUP($A30,'Table 4 Level 4'!$B$121:$N$177,13,FALSE)</f>
        <v>4602</v>
      </c>
      <c r="U30" s="1659">
        <f t="shared" si="49"/>
        <v>743623.00105580676</v>
      </c>
      <c r="V30" s="1238">
        <f>VLOOKUP($A30,'Table 4 Level 4'!$B$121:$N$177,9,FALSE)</f>
        <v>0</v>
      </c>
      <c r="W30" s="1238">
        <f>VLOOKUP($A30,'Table 4 Level 4'!$B$121:$N$177,10,FALSE)</f>
        <v>0</v>
      </c>
      <c r="X30" s="1238">
        <f>VLOOKUP($A30,'Table 4 Level 4'!$B$121:$N$177,11,FALSE)</f>
        <v>0</v>
      </c>
      <c r="Y30" s="1659">
        <f t="shared" si="50"/>
        <v>743623.00105580676</v>
      </c>
      <c r="Z30" s="1238">
        <f t="shared" si="63"/>
        <v>4670</v>
      </c>
      <c r="AA30" s="1238"/>
      <c r="AB30" s="1671">
        <f t="shared" si="37"/>
        <v>826590</v>
      </c>
      <c r="AC30" s="1239"/>
      <c r="AD30" s="1236">
        <f t="shared" si="38"/>
        <v>0</v>
      </c>
      <c r="AE30" s="1239"/>
      <c r="AF30" s="1236">
        <f t="shared" si="39"/>
        <v>0</v>
      </c>
      <c r="AG30" s="1237">
        <f t="shared" si="40"/>
        <v>0</v>
      </c>
      <c r="AH30" s="1678">
        <f t="shared" si="41"/>
        <v>826590</v>
      </c>
      <c r="AI30" s="1238">
        <f t="shared" si="51"/>
        <v>-14465.325000000001</v>
      </c>
      <c r="AJ30" s="1238">
        <f t="shared" si="52"/>
        <v>-2066.4749999999999</v>
      </c>
      <c r="AK30" s="1238">
        <f t="shared" si="53"/>
        <v>-16531.8</v>
      </c>
      <c r="AL30" s="1671">
        <f t="shared" si="42"/>
        <v>810058.2</v>
      </c>
      <c r="AM30" s="1236"/>
      <c r="AN30" s="1238">
        <v>-6294</v>
      </c>
      <c r="AO30" s="1678">
        <f t="shared" si="43"/>
        <v>803764.2</v>
      </c>
      <c r="AP30" s="1236"/>
      <c r="AQ30" s="1236">
        <f t="shared" si="44"/>
        <v>803764.2</v>
      </c>
      <c r="AR30" s="1678">
        <f t="shared" si="45"/>
        <v>66980</v>
      </c>
    </row>
    <row r="31" spans="1:44" s="993" customFormat="1" ht="16.95" customHeight="1">
      <c r="A31" s="1231">
        <v>369006</v>
      </c>
      <c r="B31" s="1232" t="s">
        <v>894</v>
      </c>
      <c r="C31" s="1233">
        <f>IFERROR(VLOOKUP(A31,'[12]RSD-NO by Site'!$B$5:$D$62,3,FALSE),"na")</f>
        <v>777</v>
      </c>
      <c r="D31" s="1234">
        <f t="shared" si="26"/>
        <v>3602.7009974327857</v>
      </c>
      <c r="E31" s="1234">
        <f t="shared" si="27"/>
        <v>2799299</v>
      </c>
      <c r="F31" s="1234">
        <v>746.0335616438357</v>
      </c>
      <c r="G31" s="1234">
        <f t="shared" si="28"/>
        <v>579668.07739726035</v>
      </c>
      <c r="H31" s="1659">
        <f t="shared" si="46"/>
        <v>3378967.0773972603</v>
      </c>
      <c r="I31" s="1235"/>
      <c r="J31" s="1236"/>
      <c r="K31" s="1237">
        <f t="shared" si="29"/>
        <v>0</v>
      </c>
      <c r="L31" s="1659">
        <f t="shared" si="30"/>
        <v>3378967.0773972603</v>
      </c>
      <c r="M31" s="1236">
        <f t="shared" si="47"/>
        <v>-59131.923854452063</v>
      </c>
      <c r="N31" s="1236">
        <f t="shared" si="48"/>
        <v>-8447.4176934931511</v>
      </c>
      <c r="O31" s="1236">
        <f t="shared" si="31"/>
        <v>-67579.341547945209</v>
      </c>
      <c r="P31" s="1659">
        <f t="shared" si="32"/>
        <v>3311387.7358493153</v>
      </c>
      <c r="Q31" s="1238">
        <v>0</v>
      </c>
      <c r="R31" s="1659">
        <f t="shared" si="33"/>
        <v>3311387.7358493153</v>
      </c>
      <c r="S31" s="1238">
        <f>VLOOKUP($A31,'Table 4 Level 4'!$B$121:$N$177,4,FALSE)</f>
        <v>0</v>
      </c>
      <c r="T31" s="1238">
        <f>VLOOKUP($A31,'Table 4 Level 4'!$B$121:$N$177,13,FALSE)</f>
        <v>4342</v>
      </c>
      <c r="U31" s="1659">
        <f t="shared" si="49"/>
        <v>3315729.7358493153</v>
      </c>
      <c r="V31" s="1238">
        <f>VLOOKUP($A31,'Table 4 Level 4'!$B$121:$N$177,9,FALSE)</f>
        <v>0</v>
      </c>
      <c r="W31" s="1238">
        <f>VLOOKUP($A31,'Table 4 Level 4'!$B$121:$N$177,10,FALSE)</f>
        <v>0</v>
      </c>
      <c r="X31" s="1238">
        <f>VLOOKUP($A31,'Table 4 Level 4'!$B$121:$N$177,11,FALSE)</f>
        <v>0</v>
      </c>
      <c r="Y31" s="1659">
        <f t="shared" si="50"/>
        <v>3315729.7358493153</v>
      </c>
      <c r="Z31" s="1238">
        <f t="shared" si="63"/>
        <v>4670</v>
      </c>
      <c r="AA31" s="1238"/>
      <c r="AB31" s="1671">
        <f t="shared" si="37"/>
        <v>3628590</v>
      </c>
      <c r="AC31" s="1239"/>
      <c r="AD31" s="1236">
        <f t="shared" si="38"/>
        <v>0</v>
      </c>
      <c r="AE31" s="1239"/>
      <c r="AF31" s="1236">
        <f t="shared" si="39"/>
        <v>0</v>
      </c>
      <c r="AG31" s="1237">
        <f t="shared" si="40"/>
        <v>0</v>
      </c>
      <c r="AH31" s="1678">
        <f t="shared" si="41"/>
        <v>3628590</v>
      </c>
      <c r="AI31" s="1238">
        <f t="shared" si="51"/>
        <v>-63500.325000000004</v>
      </c>
      <c r="AJ31" s="1238">
        <f t="shared" si="52"/>
        <v>-9071.4750000000004</v>
      </c>
      <c r="AK31" s="1238">
        <f t="shared" si="53"/>
        <v>-72571.8</v>
      </c>
      <c r="AL31" s="1671">
        <f t="shared" si="42"/>
        <v>3556018.2</v>
      </c>
      <c r="AM31" s="1236"/>
      <c r="AN31" s="1238">
        <v>0</v>
      </c>
      <c r="AO31" s="1678">
        <f t="shared" si="43"/>
        <v>3556018.2</v>
      </c>
      <c r="AP31" s="1236"/>
      <c r="AQ31" s="1236">
        <f t="shared" si="44"/>
        <v>3556018.2</v>
      </c>
      <c r="AR31" s="1678">
        <f t="shared" si="45"/>
        <v>296335</v>
      </c>
    </row>
    <row r="32" spans="1:44" s="993" customFormat="1" ht="16.95" customHeight="1">
      <c r="A32" s="1240">
        <v>373001</v>
      </c>
      <c r="B32" s="1241" t="s">
        <v>728</v>
      </c>
      <c r="C32" s="1233">
        <f>IFERROR(VLOOKUP(A32,'[12]RSD-NO by Site'!$B$5:$D$62,3,FALSE),"na")</f>
        <v>450</v>
      </c>
      <c r="D32" s="1234">
        <f t="shared" si="26"/>
        <v>3602.7009974327857</v>
      </c>
      <c r="E32" s="1234">
        <f t="shared" si="27"/>
        <v>1621215</v>
      </c>
      <c r="F32" s="1238">
        <v>746.0335616438357</v>
      </c>
      <c r="G32" s="1234">
        <f t="shared" si="28"/>
        <v>335715.10273972608</v>
      </c>
      <c r="H32" s="1659">
        <f t="shared" si="46"/>
        <v>1956930.1027397262</v>
      </c>
      <c r="I32" s="1235"/>
      <c r="J32" s="1236"/>
      <c r="K32" s="1237">
        <f t="shared" si="29"/>
        <v>0</v>
      </c>
      <c r="L32" s="1659">
        <f t="shared" si="30"/>
        <v>1956930.1027397262</v>
      </c>
      <c r="M32" s="1236">
        <f t="shared" si="47"/>
        <v>-34246.276797945211</v>
      </c>
      <c r="N32" s="1236">
        <f t="shared" si="48"/>
        <v>-4892.3252568493153</v>
      </c>
      <c r="O32" s="1236">
        <f t="shared" si="31"/>
        <v>-39138.602054794523</v>
      </c>
      <c r="P32" s="1659">
        <f t="shared" si="32"/>
        <v>1917791.5006849316</v>
      </c>
      <c r="Q32" s="1238">
        <v>0</v>
      </c>
      <c r="R32" s="1659">
        <f t="shared" si="33"/>
        <v>1917791.5006849316</v>
      </c>
      <c r="S32" s="1238">
        <f>VLOOKUP($A32,'Table 4 Level 4'!$B$121:$N$177,4,FALSE)</f>
        <v>0</v>
      </c>
      <c r="T32" s="1238">
        <f>VLOOKUP($A32,'Table 4 Level 4'!$B$121:$N$177,13,FALSE)</f>
        <v>0</v>
      </c>
      <c r="U32" s="1659">
        <f t="shared" si="49"/>
        <v>1917791.5006849316</v>
      </c>
      <c r="V32" s="1238">
        <f>VLOOKUP($A32,'Table 4 Level 4'!$B$121:$N$177,9,FALSE)</f>
        <v>0</v>
      </c>
      <c r="W32" s="1238">
        <f>VLOOKUP($A32,'Table 4 Level 4'!$B$121:$N$177,10,FALSE)</f>
        <v>0</v>
      </c>
      <c r="X32" s="1238">
        <f>VLOOKUP($A32,'Table 4 Level 4'!$B$121:$N$177,11,FALSE)</f>
        <v>0</v>
      </c>
      <c r="Y32" s="1659">
        <f t="shared" si="50"/>
        <v>1917791.5006849316</v>
      </c>
      <c r="Z32" s="1238">
        <f t="shared" si="63"/>
        <v>4670</v>
      </c>
      <c r="AA32" s="1238"/>
      <c r="AB32" s="1671">
        <f t="shared" si="37"/>
        <v>2101500</v>
      </c>
      <c r="AC32" s="1239"/>
      <c r="AD32" s="1236">
        <f t="shared" si="38"/>
        <v>0</v>
      </c>
      <c r="AE32" s="1239"/>
      <c r="AF32" s="1236">
        <f t="shared" si="39"/>
        <v>0</v>
      </c>
      <c r="AG32" s="1237">
        <f t="shared" si="40"/>
        <v>0</v>
      </c>
      <c r="AH32" s="1678">
        <f t="shared" si="41"/>
        <v>2101500</v>
      </c>
      <c r="AI32" s="1238">
        <f t="shared" si="51"/>
        <v>-36776.25</v>
      </c>
      <c r="AJ32" s="1238">
        <f t="shared" si="52"/>
        <v>-5253.75</v>
      </c>
      <c r="AK32" s="1238">
        <f t="shared" si="53"/>
        <v>-42030</v>
      </c>
      <c r="AL32" s="1671">
        <f t="shared" si="42"/>
        <v>2059470</v>
      </c>
      <c r="AM32" s="1236"/>
      <c r="AN32" s="1238">
        <v>0</v>
      </c>
      <c r="AO32" s="1678">
        <f t="shared" si="43"/>
        <v>2059470</v>
      </c>
      <c r="AP32" s="1236"/>
      <c r="AQ32" s="1236">
        <f t="shared" si="44"/>
        <v>2059470</v>
      </c>
      <c r="AR32" s="1678">
        <f t="shared" si="45"/>
        <v>171623</v>
      </c>
    </row>
    <row r="33" spans="1:44" s="993" customFormat="1" ht="16.95" customHeight="1">
      <c r="A33" s="996">
        <v>373002</v>
      </c>
      <c r="B33" s="1005" t="s">
        <v>729</v>
      </c>
      <c r="C33" s="1006">
        <f>IFERROR(VLOOKUP(A33,'[12]RSD-NO by Site'!$B$5:$D$62,3,FALSE),"na")</f>
        <v>379</v>
      </c>
      <c r="D33" s="1007">
        <f t="shared" si="26"/>
        <v>3602.7009974327857</v>
      </c>
      <c r="E33" s="1007">
        <f t="shared" si="27"/>
        <v>1365424</v>
      </c>
      <c r="F33" s="1010">
        <v>746.0335616438357</v>
      </c>
      <c r="G33" s="1007">
        <f t="shared" si="28"/>
        <v>282746.71986301371</v>
      </c>
      <c r="H33" s="1660">
        <f t="shared" si="46"/>
        <v>1648170.7198630138</v>
      </c>
      <c r="I33" s="1221"/>
      <c r="J33" s="1008"/>
      <c r="K33" s="1009">
        <f t="shared" si="29"/>
        <v>0</v>
      </c>
      <c r="L33" s="1660">
        <f t="shared" si="30"/>
        <v>1648170.7198630138</v>
      </c>
      <c r="M33" s="1008">
        <f t="shared" si="47"/>
        <v>-28842.987597602743</v>
      </c>
      <c r="N33" s="1008">
        <f t="shared" si="48"/>
        <v>-4120.4267996575345</v>
      </c>
      <c r="O33" s="1008">
        <f t="shared" si="31"/>
        <v>-32963.414397260276</v>
      </c>
      <c r="P33" s="1660">
        <f t="shared" si="32"/>
        <v>1615207.3054657537</v>
      </c>
      <c r="Q33" s="1010">
        <v>0</v>
      </c>
      <c r="R33" s="1660">
        <f t="shared" si="33"/>
        <v>1615207.3054657537</v>
      </c>
      <c r="S33" s="1010">
        <f>VLOOKUP($A33,'Table 4 Level 4'!$B$121:$N$177,4,FALSE)</f>
        <v>0</v>
      </c>
      <c r="T33" s="1010">
        <f>VLOOKUP($A33,'Table 4 Level 4'!$B$121:$N$177,13,FALSE)</f>
        <v>0</v>
      </c>
      <c r="U33" s="1660">
        <f t="shared" si="49"/>
        <v>1615207.3054657537</v>
      </c>
      <c r="V33" s="1010">
        <f>VLOOKUP($A33,'Table 4 Level 4'!$B$121:$N$177,9,FALSE)</f>
        <v>0</v>
      </c>
      <c r="W33" s="1010">
        <f>VLOOKUP($A33,'Table 4 Level 4'!$B$121:$N$177,10,FALSE)</f>
        <v>0</v>
      </c>
      <c r="X33" s="1010">
        <f>VLOOKUP($A33,'Table 4 Level 4'!$B$121:$N$177,11,FALSE)</f>
        <v>0</v>
      </c>
      <c r="Y33" s="1660">
        <f t="shared" si="50"/>
        <v>1615207.3054657537</v>
      </c>
      <c r="Z33" s="1010">
        <f t="shared" si="63"/>
        <v>4670</v>
      </c>
      <c r="AA33" s="1010"/>
      <c r="AB33" s="1672">
        <f t="shared" si="37"/>
        <v>1769930</v>
      </c>
      <c r="AC33" s="1011"/>
      <c r="AD33" s="1008">
        <f t="shared" si="38"/>
        <v>0</v>
      </c>
      <c r="AE33" s="1011"/>
      <c r="AF33" s="1008">
        <f t="shared" si="39"/>
        <v>0</v>
      </c>
      <c r="AG33" s="1009">
        <f t="shared" si="40"/>
        <v>0</v>
      </c>
      <c r="AH33" s="1679">
        <f t="shared" si="41"/>
        <v>1769930</v>
      </c>
      <c r="AI33" s="1010">
        <f t="shared" si="51"/>
        <v>-30973.775000000001</v>
      </c>
      <c r="AJ33" s="1010">
        <f t="shared" si="52"/>
        <v>-4424.8249999999998</v>
      </c>
      <c r="AK33" s="1010">
        <f t="shared" si="53"/>
        <v>-35398.6</v>
      </c>
      <c r="AL33" s="1672">
        <f t="shared" si="42"/>
        <v>1734531.4</v>
      </c>
      <c r="AM33" s="1008"/>
      <c r="AN33" s="1010">
        <v>0</v>
      </c>
      <c r="AO33" s="1679">
        <f t="shared" si="43"/>
        <v>1734531.4</v>
      </c>
      <c r="AP33" s="1008"/>
      <c r="AQ33" s="1008">
        <f t="shared" si="44"/>
        <v>1734531.4</v>
      </c>
      <c r="AR33" s="1679">
        <f t="shared" si="45"/>
        <v>144544</v>
      </c>
    </row>
    <row r="34" spans="1:44" s="993" customFormat="1" ht="16.95" customHeight="1">
      <c r="A34" s="1222">
        <v>374001</v>
      </c>
      <c r="B34" s="1223" t="s">
        <v>730</v>
      </c>
      <c r="C34" s="1224">
        <f>IFERROR(VLOOKUP(A34,'[12]RSD-NO by Site'!$B$5:$D$62,3,FALSE),"na")</f>
        <v>467</v>
      </c>
      <c r="D34" s="1225">
        <f t="shared" si="26"/>
        <v>3602.7009974327857</v>
      </c>
      <c r="E34" s="1225">
        <f t="shared" si="27"/>
        <v>1682461</v>
      </c>
      <c r="F34" s="1225">
        <v>746.0335616438357</v>
      </c>
      <c r="G34" s="1225">
        <f t="shared" si="28"/>
        <v>348397.67328767129</v>
      </c>
      <c r="H34" s="1658">
        <f t="shared" si="46"/>
        <v>2030858.6732876713</v>
      </c>
      <c r="I34" s="1226"/>
      <c r="J34" s="1227"/>
      <c r="K34" s="1228">
        <f t="shared" si="29"/>
        <v>0</v>
      </c>
      <c r="L34" s="1658">
        <f t="shared" si="30"/>
        <v>2030858.6732876713</v>
      </c>
      <c r="M34" s="1227">
        <f t="shared" si="47"/>
        <v>-35540.026782534253</v>
      </c>
      <c r="N34" s="1227">
        <f t="shared" si="48"/>
        <v>-5077.1466832191782</v>
      </c>
      <c r="O34" s="1227">
        <f t="shared" si="31"/>
        <v>-40617.173465753433</v>
      </c>
      <c r="P34" s="1658">
        <f t="shared" si="32"/>
        <v>1990241.4998219179</v>
      </c>
      <c r="Q34" s="1229">
        <v>0</v>
      </c>
      <c r="R34" s="1658">
        <f t="shared" si="33"/>
        <v>1990241.4998219179</v>
      </c>
      <c r="S34" s="1229">
        <f>VLOOKUP($A34,'Table 4 Level 4'!$B$121:$N$177,4,FALSE)</f>
        <v>0</v>
      </c>
      <c r="T34" s="1229">
        <f>VLOOKUP($A34,'Table 4 Level 4'!$B$121:$N$177,13,FALSE)</f>
        <v>1716</v>
      </c>
      <c r="U34" s="1658">
        <f t="shared" si="49"/>
        <v>1991957.4998219179</v>
      </c>
      <c r="V34" s="1229">
        <f>VLOOKUP($A34,'Table 4 Level 4'!$B$121:$N$177,9,FALSE)</f>
        <v>0</v>
      </c>
      <c r="W34" s="1229">
        <f>VLOOKUP($A34,'Table 4 Level 4'!$B$121:$N$177,10,FALSE)</f>
        <v>0</v>
      </c>
      <c r="X34" s="1229">
        <f>VLOOKUP($A34,'Table 4 Level 4'!$B$121:$N$177,11,FALSE)</f>
        <v>0</v>
      </c>
      <c r="Y34" s="1658">
        <f t="shared" si="50"/>
        <v>1991957.4998219179</v>
      </c>
      <c r="Z34" s="1229">
        <f t="shared" si="63"/>
        <v>4670</v>
      </c>
      <c r="AA34" s="1229"/>
      <c r="AB34" s="1670">
        <f t="shared" si="37"/>
        <v>2180890</v>
      </c>
      <c r="AC34" s="1230"/>
      <c r="AD34" s="1227">
        <f t="shared" si="38"/>
        <v>0</v>
      </c>
      <c r="AE34" s="1230"/>
      <c r="AF34" s="1227">
        <f t="shared" si="39"/>
        <v>0</v>
      </c>
      <c r="AG34" s="1228">
        <f t="shared" si="40"/>
        <v>0</v>
      </c>
      <c r="AH34" s="1677">
        <f t="shared" si="41"/>
        <v>2180890</v>
      </c>
      <c r="AI34" s="1229">
        <f t="shared" si="51"/>
        <v>-38165.575000000004</v>
      </c>
      <c r="AJ34" s="1229">
        <f t="shared" si="52"/>
        <v>-5452.2250000000004</v>
      </c>
      <c r="AK34" s="1229">
        <f t="shared" si="53"/>
        <v>-43617.8</v>
      </c>
      <c r="AL34" s="1670">
        <f t="shared" si="42"/>
        <v>2137272.2000000002</v>
      </c>
      <c r="AM34" s="1227"/>
      <c r="AN34" s="1229">
        <v>0</v>
      </c>
      <c r="AO34" s="1677">
        <f t="shared" si="43"/>
        <v>2137272.2000000002</v>
      </c>
      <c r="AP34" s="1227"/>
      <c r="AQ34" s="1227">
        <f t="shared" si="44"/>
        <v>2137272.2000000002</v>
      </c>
      <c r="AR34" s="1677">
        <f t="shared" si="45"/>
        <v>178106</v>
      </c>
    </row>
    <row r="35" spans="1:44" s="993" customFormat="1" ht="16.95" customHeight="1">
      <c r="A35" s="1231">
        <v>381001</v>
      </c>
      <c r="B35" s="1232" t="s">
        <v>731</v>
      </c>
      <c r="C35" s="1233">
        <f>IFERROR(VLOOKUP(A35,'[12]RSD-NO by Site'!$B$5:$D$62,3,FALSE),"na")</f>
        <v>482</v>
      </c>
      <c r="D35" s="1234">
        <f t="shared" si="26"/>
        <v>3602.7009974327857</v>
      </c>
      <c r="E35" s="1234">
        <f t="shared" ref="E35:E36" si="64">ROUND(C35*D35,0)</f>
        <v>1736502</v>
      </c>
      <c r="F35" s="1234">
        <v>743.65689655172423</v>
      </c>
      <c r="G35" s="1234">
        <f t="shared" ref="G35:G36" si="65">F35*C35</f>
        <v>358442.6241379311</v>
      </c>
      <c r="H35" s="1659">
        <f t="shared" ref="H35:H36" si="66">E35+G35</f>
        <v>2094944.624137931</v>
      </c>
      <c r="I35" s="1235"/>
      <c r="J35" s="1236"/>
      <c r="K35" s="1237">
        <f t="shared" si="29"/>
        <v>0</v>
      </c>
      <c r="L35" s="1659">
        <f t="shared" si="30"/>
        <v>2094944.624137931</v>
      </c>
      <c r="M35" s="1236">
        <f t="shared" si="47"/>
        <v>-36661.530922413796</v>
      </c>
      <c r="N35" s="1236">
        <f t="shared" si="48"/>
        <v>-5237.3615603448279</v>
      </c>
      <c r="O35" s="1236">
        <f t="shared" si="31"/>
        <v>-41898.892482758623</v>
      </c>
      <c r="P35" s="1659">
        <f t="shared" si="32"/>
        <v>2053045.7316551723</v>
      </c>
      <c r="Q35" s="1238">
        <v>0</v>
      </c>
      <c r="R35" s="1659">
        <f t="shared" si="33"/>
        <v>2053045.7316551723</v>
      </c>
      <c r="S35" s="1238">
        <f>VLOOKUP($A35,'Table 4 Level 4'!$B$121:$N$177,4,FALSE)</f>
        <v>0</v>
      </c>
      <c r="T35" s="1238">
        <f>VLOOKUP($A35,'Table 4 Level 4'!$B$121:$N$177,13,FALSE)</f>
        <v>0</v>
      </c>
      <c r="U35" s="1659">
        <f t="shared" si="49"/>
        <v>2053045.7316551723</v>
      </c>
      <c r="V35" s="1238">
        <f>VLOOKUP($A35,'Table 4 Level 4'!$B$121:$N$177,9,FALSE)</f>
        <v>0</v>
      </c>
      <c r="W35" s="1238">
        <f>VLOOKUP($A35,'Table 4 Level 4'!$B$121:$N$177,10,FALSE)</f>
        <v>0</v>
      </c>
      <c r="X35" s="1238">
        <f>VLOOKUP($A35,'Table 4 Level 4'!$B$121:$N$177,11,FALSE)</f>
        <v>0</v>
      </c>
      <c r="Y35" s="1659">
        <f t="shared" si="50"/>
        <v>2053045.7316551723</v>
      </c>
      <c r="Z35" s="1238">
        <f t="shared" si="63"/>
        <v>4670</v>
      </c>
      <c r="AA35" s="1238"/>
      <c r="AB35" s="1671">
        <f t="shared" si="37"/>
        <v>2250940</v>
      </c>
      <c r="AC35" s="1239"/>
      <c r="AD35" s="1236">
        <f t="shared" si="38"/>
        <v>0</v>
      </c>
      <c r="AE35" s="1239"/>
      <c r="AF35" s="1236">
        <f t="shared" si="39"/>
        <v>0</v>
      </c>
      <c r="AG35" s="1237">
        <f t="shared" si="40"/>
        <v>0</v>
      </c>
      <c r="AH35" s="1678">
        <f t="shared" si="41"/>
        <v>2250940</v>
      </c>
      <c r="AI35" s="1238">
        <f t="shared" si="51"/>
        <v>-39391.450000000004</v>
      </c>
      <c r="AJ35" s="1238">
        <f t="shared" si="52"/>
        <v>-5627.35</v>
      </c>
      <c r="AK35" s="1238">
        <f>AI35+AJ35</f>
        <v>-45018.8</v>
      </c>
      <c r="AL35" s="1671">
        <f t="shared" si="42"/>
        <v>2205921.2000000002</v>
      </c>
      <c r="AM35" s="1236"/>
      <c r="AN35" s="1238">
        <v>0</v>
      </c>
      <c r="AO35" s="1678">
        <f>SUM(AL35:AN35)</f>
        <v>2205921.2000000002</v>
      </c>
      <c r="AP35" s="1236"/>
      <c r="AQ35" s="1236">
        <f t="shared" si="44"/>
        <v>2205921.2000000002</v>
      </c>
      <c r="AR35" s="1678">
        <f t="shared" si="45"/>
        <v>183827</v>
      </c>
    </row>
    <row r="36" spans="1:44" s="993" customFormat="1" ht="16.95" customHeight="1">
      <c r="A36" s="1231">
        <v>382001</v>
      </c>
      <c r="B36" s="1232" t="s">
        <v>732</v>
      </c>
      <c r="C36" s="1233">
        <f>IFERROR(VLOOKUP(A36,'[12]RSD-NO by Site'!$B$5:$D$62,3,FALSE),"na")</f>
        <v>433</v>
      </c>
      <c r="D36" s="1234">
        <f t="shared" si="26"/>
        <v>3602.7009974327857</v>
      </c>
      <c r="E36" s="1234">
        <f t="shared" si="64"/>
        <v>1559970</v>
      </c>
      <c r="F36" s="1234">
        <v>783.54939759036142</v>
      </c>
      <c r="G36" s="1234">
        <f t="shared" si="65"/>
        <v>339276.88915662648</v>
      </c>
      <c r="H36" s="1659">
        <f t="shared" si="66"/>
        <v>1899246.8891566265</v>
      </c>
      <c r="I36" s="1235"/>
      <c r="J36" s="1236"/>
      <c r="K36" s="1237">
        <f t="shared" si="29"/>
        <v>0</v>
      </c>
      <c r="L36" s="1659">
        <f t="shared" si="30"/>
        <v>1899246.8891566265</v>
      </c>
      <c r="M36" s="1236">
        <f t="shared" si="47"/>
        <v>-33236.820560240965</v>
      </c>
      <c r="N36" s="1236">
        <f t="shared" si="48"/>
        <v>-4748.1172228915666</v>
      </c>
      <c r="O36" s="1236">
        <f t="shared" si="31"/>
        <v>-37984.937783132533</v>
      </c>
      <c r="P36" s="1659">
        <f t="shared" si="32"/>
        <v>1861261.951373494</v>
      </c>
      <c r="Q36" s="1238">
        <v>-8971.1541985122094</v>
      </c>
      <c r="R36" s="1659">
        <f t="shared" si="33"/>
        <v>1852290.7971749818</v>
      </c>
      <c r="S36" s="1238">
        <f>VLOOKUP($A36,'Table 4 Level 4'!$B$121:$N$177,4,FALSE)</f>
        <v>0</v>
      </c>
      <c r="T36" s="1238">
        <f>VLOOKUP($A36,'Table 4 Level 4'!$B$121:$N$177,13,FALSE)</f>
        <v>11258</v>
      </c>
      <c r="U36" s="1659">
        <f t="shared" si="49"/>
        <v>1863548.7971749818</v>
      </c>
      <c r="V36" s="1238">
        <f>VLOOKUP($A36,'Table 4 Level 4'!$B$121:$N$177,9,FALSE)</f>
        <v>0</v>
      </c>
      <c r="W36" s="1238">
        <f>VLOOKUP($A36,'Table 4 Level 4'!$B$121:$N$177,10,FALSE)</f>
        <v>0</v>
      </c>
      <c r="X36" s="1238">
        <f>VLOOKUP($A36,'Table 4 Level 4'!$B$121:$N$177,11,FALSE)</f>
        <v>0</v>
      </c>
      <c r="Y36" s="1659">
        <f t="shared" si="50"/>
        <v>1863548.7971749818</v>
      </c>
      <c r="Z36" s="1238">
        <f t="shared" si="63"/>
        <v>4670</v>
      </c>
      <c r="AA36" s="1238"/>
      <c r="AB36" s="1671">
        <f t="shared" si="37"/>
        <v>2022110</v>
      </c>
      <c r="AC36" s="1239"/>
      <c r="AD36" s="1236">
        <f t="shared" si="38"/>
        <v>0</v>
      </c>
      <c r="AE36" s="1239"/>
      <c r="AF36" s="1236">
        <f t="shared" si="39"/>
        <v>0</v>
      </c>
      <c r="AG36" s="1237">
        <f t="shared" si="40"/>
        <v>0</v>
      </c>
      <c r="AH36" s="1678">
        <f t="shared" si="41"/>
        <v>2022110</v>
      </c>
      <c r="AI36" s="1238">
        <f t="shared" si="51"/>
        <v>-35386.925000000003</v>
      </c>
      <c r="AJ36" s="1238">
        <f t="shared" si="52"/>
        <v>-5055.2750000000005</v>
      </c>
      <c r="AK36" s="1238">
        <f>AI36+AJ36</f>
        <v>-40442.200000000004</v>
      </c>
      <c r="AL36" s="1671">
        <f t="shared" si="42"/>
        <v>1981667.8</v>
      </c>
      <c r="AM36" s="1236"/>
      <c r="AN36" s="1238">
        <v>-4196</v>
      </c>
      <c r="AO36" s="1678">
        <f>SUM(AL36:AN36)</f>
        <v>1977471.8</v>
      </c>
      <c r="AP36" s="1236"/>
      <c r="AQ36" s="1236">
        <f t="shared" si="44"/>
        <v>1977471.8</v>
      </c>
      <c r="AR36" s="1678">
        <f t="shared" si="45"/>
        <v>164789</v>
      </c>
    </row>
    <row r="37" spans="1:44" s="993" customFormat="1" ht="16.95" customHeight="1">
      <c r="A37" s="1240">
        <v>382002</v>
      </c>
      <c r="B37" s="1241" t="s">
        <v>733</v>
      </c>
      <c r="C37" s="1233">
        <f>IFERROR(VLOOKUP(A37,'[12]RSD-NO by Site'!$B$5:$D$62,3,FALSE),"na")</f>
        <v>202</v>
      </c>
      <c r="D37" s="1234">
        <f t="shared" si="26"/>
        <v>3602.7009974327857</v>
      </c>
      <c r="E37" s="1234">
        <f t="shared" si="27"/>
        <v>727746</v>
      </c>
      <c r="F37" s="1238">
        <v>746.0335616438357</v>
      </c>
      <c r="G37" s="1234">
        <f t="shared" si="28"/>
        <v>150698.77945205482</v>
      </c>
      <c r="H37" s="1659">
        <f t="shared" si="46"/>
        <v>878444.77945205476</v>
      </c>
      <c r="I37" s="1235"/>
      <c r="J37" s="1236"/>
      <c r="K37" s="1237">
        <f t="shared" si="29"/>
        <v>0</v>
      </c>
      <c r="L37" s="1659">
        <f t="shared" si="30"/>
        <v>878444.77945205476</v>
      </c>
      <c r="M37" s="1236">
        <f t="shared" si="47"/>
        <v>-15372.78364041096</v>
      </c>
      <c r="N37" s="1236">
        <f t="shared" si="48"/>
        <v>-2196.1119486301368</v>
      </c>
      <c r="O37" s="1236">
        <f t="shared" si="31"/>
        <v>-17568.895589041098</v>
      </c>
      <c r="P37" s="1659">
        <f t="shared" si="32"/>
        <v>860875.8838630137</v>
      </c>
      <c r="Q37" s="1238">
        <v>-3291.6961392868261</v>
      </c>
      <c r="R37" s="1659">
        <f t="shared" si="33"/>
        <v>857584.18772372685</v>
      </c>
      <c r="S37" s="1238">
        <f>VLOOKUP($A37,'Table 4 Level 4'!$B$121:$N$177,4,FALSE)</f>
        <v>0</v>
      </c>
      <c r="T37" s="1238">
        <f>VLOOKUP($A37,'Table 4 Level 4'!$B$121:$N$177,13,FALSE)</f>
        <v>5252</v>
      </c>
      <c r="U37" s="1659">
        <f t="shared" si="49"/>
        <v>862836.18772372685</v>
      </c>
      <c r="V37" s="1238">
        <f>VLOOKUP($A37,'Table 4 Level 4'!$B$121:$N$177,9,FALSE)</f>
        <v>0</v>
      </c>
      <c r="W37" s="1238">
        <f>VLOOKUP($A37,'Table 4 Level 4'!$B$121:$N$177,10,FALSE)</f>
        <v>0</v>
      </c>
      <c r="X37" s="1238">
        <f>VLOOKUP($A37,'Table 4 Level 4'!$B$121:$N$177,11,FALSE)</f>
        <v>0</v>
      </c>
      <c r="Y37" s="1659">
        <f t="shared" si="50"/>
        <v>862836.18772372685</v>
      </c>
      <c r="Z37" s="1238">
        <f t="shared" si="63"/>
        <v>4670</v>
      </c>
      <c r="AA37" s="1238"/>
      <c r="AB37" s="1671">
        <f t="shared" si="37"/>
        <v>943340</v>
      </c>
      <c r="AC37" s="1239"/>
      <c r="AD37" s="1236">
        <f t="shared" si="38"/>
        <v>0</v>
      </c>
      <c r="AE37" s="1239"/>
      <c r="AF37" s="1236">
        <f t="shared" si="39"/>
        <v>0</v>
      </c>
      <c r="AG37" s="1237">
        <f t="shared" si="40"/>
        <v>0</v>
      </c>
      <c r="AH37" s="1678">
        <f t="shared" si="41"/>
        <v>943340</v>
      </c>
      <c r="AI37" s="1238">
        <f t="shared" si="51"/>
        <v>-16508.45</v>
      </c>
      <c r="AJ37" s="1238">
        <f t="shared" si="52"/>
        <v>-2358.35</v>
      </c>
      <c r="AK37" s="1238">
        <f t="shared" si="53"/>
        <v>-18866.8</v>
      </c>
      <c r="AL37" s="1671">
        <f t="shared" si="42"/>
        <v>924473.2</v>
      </c>
      <c r="AM37" s="1236"/>
      <c r="AN37" s="1238">
        <v>-4196</v>
      </c>
      <c r="AO37" s="1678">
        <f t="shared" si="43"/>
        <v>920277.2</v>
      </c>
      <c r="AP37" s="1236"/>
      <c r="AQ37" s="1236">
        <f t="shared" si="44"/>
        <v>920277.2</v>
      </c>
      <c r="AR37" s="1678">
        <f t="shared" si="45"/>
        <v>76690</v>
      </c>
    </row>
    <row r="38" spans="1:44" s="993" customFormat="1" ht="16.95" customHeight="1">
      <c r="A38" s="996">
        <v>382003</v>
      </c>
      <c r="B38" s="1005" t="s">
        <v>734</v>
      </c>
      <c r="C38" s="1006">
        <f>IFERROR(VLOOKUP(A38,'[12]RSD-NO by Site'!$B$5:$D$62,3,FALSE),"na")</f>
        <v>186</v>
      </c>
      <c r="D38" s="1007">
        <f t="shared" si="26"/>
        <v>3602.7009974327857</v>
      </c>
      <c r="E38" s="1007">
        <f t="shared" si="27"/>
        <v>670102</v>
      </c>
      <c r="F38" s="1010">
        <v>746.0335616438357</v>
      </c>
      <c r="G38" s="1007">
        <f t="shared" si="28"/>
        <v>138762.24246575343</v>
      </c>
      <c r="H38" s="1660">
        <f t="shared" si="46"/>
        <v>808864.24246575346</v>
      </c>
      <c r="I38" s="1221"/>
      <c r="J38" s="1008"/>
      <c r="K38" s="1009">
        <f t="shared" si="29"/>
        <v>0</v>
      </c>
      <c r="L38" s="1660">
        <f t="shared" si="30"/>
        <v>808864.24246575346</v>
      </c>
      <c r="M38" s="1008">
        <f t="shared" si="47"/>
        <v>-14155.124243150687</v>
      </c>
      <c r="N38" s="1008">
        <f t="shared" si="48"/>
        <v>-2022.1606061643836</v>
      </c>
      <c r="O38" s="1008">
        <f t="shared" si="31"/>
        <v>-16177.28484931507</v>
      </c>
      <c r="P38" s="1660">
        <f t="shared" si="32"/>
        <v>792686.95761643839</v>
      </c>
      <c r="Q38" s="1010">
        <v>-1645.8480696434717</v>
      </c>
      <c r="R38" s="1660">
        <f t="shared" si="33"/>
        <v>791041.10954679491</v>
      </c>
      <c r="S38" s="1010">
        <f>VLOOKUP($A38,'Table 4 Level 4'!$B$121:$N$177,4,FALSE)</f>
        <v>0</v>
      </c>
      <c r="T38" s="1010">
        <f>VLOOKUP($A38,'Table 4 Level 4'!$B$121:$N$177,13,FALSE)</f>
        <v>4836</v>
      </c>
      <c r="U38" s="1660">
        <f t="shared" si="49"/>
        <v>795877.10954679491</v>
      </c>
      <c r="V38" s="1010">
        <f>VLOOKUP($A38,'Table 4 Level 4'!$B$121:$N$177,9,FALSE)</f>
        <v>0</v>
      </c>
      <c r="W38" s="1010">
        <f>VLOOKUP($A38,'Table 4 Level 4'!$B$121:$N$177,10,FALSE)</f>
        <v>0</v>
      </c>
      <c r="X38" s="1010">
        <f>VLOOKUP($A38,'Table 4 Level 4'!$B$121:$N$177,11,FALSE)</f>
        <v>0</v>
      </c>
      <c r="Y38" s="1660">
        <f t="shared" si="50"/>
        <v>795877.10954679491</v>
      </c>
      <c r="Z38" s="1010">
        <f t="shared" si="63"/>
        <v>4670</v>
      </c>
      <c r="AA38" s="1010"/>
      <c r="AB38" s="1672">
        <f t="shared" si="37"/>
        <v>868620</v>
      </c>
      <c r="AC38" s="1011"/>
      <c r="AD38" s="1008">
        <f t="shared" si="38"/>
        <v>0</v>
      </c>
      <c r="AE38" s="1011"/>
      <c r="AF38" s="1008">
        <f t="shared" si="39"/>
        <v>0</v>
      </c>
      <c r="AG38" s="1009">
        <f t="shared" si="40"/>
        <v>0</v>
      </c>
      <c r="AH38" s="1679">
        <f t="shared" si="41"/>
        <v>868620</v>
      </c>
      <c r="AI38" s="1010">
        <f t="shared" si="51"/>
        <v>-15200.850000000002</v>
      </c>
      <c r="AJ38" s="1010">
        <f t="shared" si="52"/>
        <v>-2171.5500000000002</v>
      </c>
      <c r="AK38" s="1010">
        <f t="shared" si="53"/>
        <v>-17372.400000000001</v>
      </c>
      <c r="AL38" s="1672">
        <f t="shared" si="42"/>
        <v>851247.6</v>
      </c>
      <c r="AM38" s="1008"/>
      <c r="AN38" s="1010">
        <v>-2098</v>
      </c>
      <c r="AO38" s="1679">
        <f t="shared" si="43"/>
        <v>849149.6</v>
      </c>
      <c r="AP38" s="1008"/>
      <c r="AQ38" s="1008">
        <f t="shared" si="44"/>
        <v>849149.6</v>
      </c>
      <c r="AR38" s="1679">
        <f t="shared" si="45"/>
        <v>70762</v>
      </c>
    </row>
    <row r="39" spans="1:44" s="993" customFormat="1" ht="16.95" customHeight="1">
      <c r="A39" s="1222">
        <v>384001</v>
      </c>
      <c r="B39" s="1223" t="s">
        <v>735</v>
      </c>
      <c r="C39" s="1224">
        <f>IFERROR(VLOOKUP(A39,'[12]RSD-NO by Site'!$B$5:$D$62,3,FALSE),"na")</f>
        <v>326</v>
      </c>
      <c r="D39" s="1225">
        <f t="shared" si="26"/>
        <v>3602.7009974327857</v>
      </c>
      <c r="E39" s="1225">
        <f t="shared" si="27"/>
        <v>1174481</v>
      </c>
      <c r="F39" s="1225">
        <v>735.82244897959185</v>
      </c>
      <c r="G39" s="1225">
        <f t="shared" si="28"/>
        <v>239878.11836734693</v>
      </c>
      <c r="H39" s="1658">
        <f t="shared" si="46"/>
        <v>1414359.1183673469</v>
      </c>
      <c r="I39" s="1226"/>
      <c r="J39" s="1227"/>
      <c r="K39" s="1228">
        <f t="shared" si="29"/>
        <v>0</v>
      </c>
      <c r="L39" s="1658">
        <f t="shared" si="30"/>
        <v>1414359.1183673469</v>
      </c>
      <c r="M39" s="1227">
        <f t="shared" si="47"/>
        <v>-24751.284571428572</v>
      </c>
      <c r="N39" s="1227">
        <f t="shared" si="48"/>
        <v>-3535.8977959183676</v>
      </c>
      <c r="O39" s="1227">
        <f t="shared" si="31"/>
        <v>-28287.182367346941</v>
      </c>
      <c r="P39" s="1658">
        <f t="shared" si="32"/>
        <v>1386071.936</v>
      </c>
      <c r="Q39" s="1229">
        <v>-35790.306013039779</v>
      </c>
      <c r="R39" s="1658">
        <f t="shared" si="33"/>
        <v>1350281.6299869602</v>
      </c>
      <c r="S39" s="1229">
        <f>VLOOKUP($A39,'Table 4 Level 4'!$B$121:$N$177,4,FALSE)</f>
        <v>0</v>
      </c>
      <c r="T39" s="1229">
        <f>VLOOKUP($A39,'Table 4 Level 4'!$B$121:$N$177,13,FALSE)</f>
        <v>7332</v>
      </c>
      <c r="U39" s="1658">
        <f t="shared" si="49"/>
        <v>1357613.6299869602</v>
      </c>
      <c r="V39" s="1229">
        <f>VLOOKUP($A39,'Table 4 Level 4'!$B$121:$N$177,9,FALSE)</f>
        <v>0</v>
      </c>
      <c r="W39" s="1229">
        <f>VLOOKUP($A39,'Table 4 Level 4'!$B$121:$N$177,10,FALSE)</f>
        <v>0</v>
      </c>
      <c r="X39" s="1229">
        <f>VLOOKUP($A39,'Table 4 Level 4'!$B$121:$N$177,11,FALSE)</f>
        <v>0</v>
      </c>
      <c r="Y39" s="1658">
        <f t="shared" si="50"/>
        <v>1357613.6299869602</v>
      </c>
      <c r="Z39" s="1229">
        <f t="shared" si="63"/>
        <v>4670</v>
      </c>
      <c r="AA39" s="1229"/>
      <c r="AB39" s="1670">
        <f t="shared" si="37"/>
        <v>1522420</v>
      </c>
      <c r="AC39" s="1230"/>
      <c r="AD39" s="1227">
        <f t="shared" si="38"/>
        <v>0</v>
      </c>
      <c r="AE39" s="1230"/>
      <c r="AF39" s="1227">
        <f t="shared" si="39"/>
        <v>0</v>
      </c>
      <c r="AG39" s="1228">
        <f t="shared" si="40"/>
        <v>0</v>
      </c>
      <c r="AH39" s="1677">
        <f t="shared" si="41"/>
        <v>1522420</v>
      </c>
      <c r="AI39" s="1229">
        <f t="shared" si="51"/>
        <v>-26642.350000000002</v>
      </c>
      <c r="AJ39" s="1229">
        <f t="shared" si="52"/>
        <v>-3806.05</v>
      </c>
      <c r="AK39" s="1229">
        <f t="shared" si="53"/>
        <v>-30448.400000000001</v>
      </c>
      <c r="AL39" s="1670">
        <f t="shared" si="42"/>
        <v>1491971.6</v>
      </c>
      <c r="AM39" s="1227"/>
      <c r="AN39" s="1229">
        <v>4196</v>
      </c>
      <c r="AO39" s="1677">
        <f t="shared" si="43"/>
        <v>1496167.6</v>
      </c>
      <c r="AP39" s="1227"/>
      <c r="AQ39" s="1227">
        <f t="shared" si="44"/>
        <v>1496167.6</v>
      </c>
      <c r="AR39" s="1677">
        <f t="shared" si="45"/>
        <v>124681</v>
      </c>
    </row>
    <row r="40" spans="1:44" s="993" customFormat="1" ht="16.95" customHeight="1">
      <c r="A40" s="1231">
        <v>385001</v>
      </c>
      <c r="B40" s="1232" t="s">
        <v>736</v>
      </c>
      <c r="C40" s="1233">
        <f>IFERROR(VLOOKUP(A40,'[12]RSD-NO by Site'!$B$5:$D$62,3,FALSE),"na")</f>
        <v>322</v>
      </c>
      <c r="D40" s="1234">
        <f t="shared" si="26"/>
        <v>3602.7009974327857</v>
      </c>
      <c r="E40" s="1234">
        <f t="shared" si="27"/>
        <v>1160070</v>
      </c>
      <c r="F40" s="1234">
        <v>618.75651162790689</v>
      </c>
      <c r="G40" s="1234">
        <f t="shared" si="28"/>
        <v>199239.59674418601</v>
      </c>
      <c r="H40" s="1659">
        <f t="shared" si="46"/>
        <v>1359309.596744186</v>
      </c>
      <c r="I40" s="1235"/>
      <c r="J40" s="1236"/>
      <c r="K40" s="1237">
        <f t="shared" si="29"/>
        <v>0</v>
      </c>
      <c r="L40" s="1659">
        <f t="shared" si="30"/>
        <v>1359309.596744186</v>
      </c>
      <c r="M40" s="1236">
        <f t="shared" si="47"/>
        <v>-23787.917943023258</v>
      </c>
      <c r="N40" s="1236">
        <f t="shared" si="48"/>
        <v>-3398.2739918604652</v>
      </c>
      <c r="O40" s="1236">
        <f t="shared" si="31"/>
        <v>-27186.191934883722</v>
      </c>
      <c r="P40" s="1659">
        <f t="shared" si="32"/>
        <v>1332123.4048093022</v>
      </c>
      <c r="Q40" s="1238">
        <v>0</v>
      </c>
      <c r="R40" s="1659">
        <f t="shared" si="33"/>
        <v>1332123.4048093022</v>
      </c>
      <c r="S40" s="1238">
        <f>VLOOKUP($A40,'Table 4 Level 4'!$B$121:$N$177,4,FALSE)</f>
        <v>0</v>
      </c>
      <c r="T40" s="1238">
        <f>VLOOKUP($A40,'Table 4 Level 4'!$B$121:$N$177,13,FALSE)</f>
        <v>0</v>
      </c>
      <c r="U40" s="1659">
        <f t="shared" si="49"/>
        <v>1332123.4048093022</v>
      </c>
      <c r="V40" s="1238">
        <f>VLOOKUP($A40,'Table 4 Level 4'!$B$121:$N$177,9,FALSE)</f>
        <v>0</v>
      </c>
      <c r="W40" s="1238">
        <f>VLOOKUP($A40,'Table 4 Level 4'!$B$121:$N$177,10,FALSE)</f>
        <v>0</v>
      </c>
      <c r="X40" s="1238">
        <f>VLOOKUP($A40,'Table 4 Level 4'!$B$121:$N$177,11,FALSE)</f>
        <v>0</v>
      </c>
      <c r="Y40" s="1659">
        <f t="shared" si="50"/>
        <v>1332123.4048093022</v>
      </c>
      <c r="Z40" s="1238">
        <f t="shared" si="63"/>
        <v>4670</v>
      </c>
      <c r="AA40" s="1238"/>
      <c r="AB40" s="1671">
        <f t="shared" si="37"/>
        <v>1503740</v>
      </c>
      <c r="AC40" s="1239"/>
      <c r="AD40" s="1236">
        <f t="shared" si="38"/>
        <v>0</v>
      </c>
      <c r="AE40" s="1239"/>
      <c r="AF40" s="1236">
        <f t="shared" si="39"/>
        <v>0</v>
      </c>
      <c r="AG40" s="1237">
        <f t="shared" si="40"/>
        <v>0</v>
      </c>
      <c r="AH40" s="1678">
        <f t="shared" si="41"/>
        <v>1503740</v>
      </c>
      <c r="AI40" s="1238">
        <f t="shared" si="51"/>
        <v>-26315.45</v>
      </c>
      <c r="AJ40" s="1238">
        <f t="shared" si="52"/>
        <v>-3759.35</v>
      </c>
      <c r="AK40" s="1238">
        <f t="shared" si="53"/>
        <v>-30074.799999999999</v>
      </c>
      <c r="AL40" s="1671">
        <f t="shared" si="42"/>
        <v>1473665.2</v>
      </c>
      <c r="AM40" s="1236"/>
      <c r="AN40" s="1238">
        <v>0</v>
      </c>
      <c r="AO40" s="1678">
        <f t="shared" si="43"/>
        <v>1473665.2</v>
      </c>
      <c r="AP40" s="1236"/>
      <c r="AQ40" s="1236">
        <f t="shared" si="44"/>
        <v>1473665.2</v>
      </c>
      <c r="AR40" s="1678">
        <f t="shared" si="45"/>
        <v>122805</v>
      </c>
    </row>
    <row r="41" spans="1:44" s="993" customFormat="1" ht="16.95" customHeight="1">
      <c r="A41" s="1231">
        <v>385002</v>
      </c>
      <c r="B41" s="1232" t="s">
        <v>737</v>
      </c>
      <c r="C41" s="1233">
        <f>IFERROR(VLOOKUP(A41,'[12]RSD-NO by Site'!$B$5:$D$62,3,FALSE),"na")</f>
        <v>493</v>
      </c>
      <c r="D41" s="1234">
        <f t="shared" si="26"/>
        <v>3602.7009974327857</v>
      </c>
      <c r="E41" s="1234">
        <f t="shared" si="27"/>
        <v>1776132</v>
      </c>
      <c r="F41" s="1234">
        <v>746.0335616438357</v>
      </c>
      <c r="G41" s="1234">
        <f t="shared" si="28"/>
        <v>367794.54589041101</v>
      </c>
      <c r="H41" s="1659">
        <f t="shared" si="46"/>
        <v>2143926.5458904109</v>
      </c>
      <c r="I41" s="1235"/>
      <c r="J41" s="1236"/>
      <c r="K41" s="1237">
        <f t="shared" si="29"/>
        <v>0</v>
      </c>
      <c r="L41" s="1659">
        <f t="shared" si="30"/>
        <v>2143926.5458904109</v>
      </c>
      <c r="M41" s="1236">
        <f t="shared" si="47"/>
        <v>-37518.714553082194</v>
      </c>
      <c r="N41" s="1236">
        <f t="shared" si="48"/>
        <v>-5359.8163647260271</v>
      </c>
      <c r="O41" s="1236">
        <f t="shared" si="31"/>
        <v>-42878.530917808224</v>
      </c>
      <c r="P41" s="1659">
        <f t="shared" si="32"/>
        <v>2101048.0149726025</v>
      </c>
      <c r="Q41" s="1238">
        <v>0</v>
      </c>
      <c r="R41" s="1659">
        <f t="shared" si="33"/>
        <v>2101048.0149726025</v>
      </c>
      <c r="S41" s="1238">
        <f>VLOOKUP($A41,'Table 4 Level 4'!$B$121:$N$177,4,FALSE)</f>
        <v>0</v>
      </c>
      <c r="T41" s="1238">
        <f>VLOOKUP($A41,'Table 4 Level 4'!$B$121:$N$177,13,FALSE)</f>
        <v>11518</v>
      </c>
      <c r="U41" s="1659">
        <f t="shared" si="49"/>
        <v>2112566.0149726025</v>
      </c>
      <c r="V41" s="1238">
        <f>VLOOKUP($A41,'Table 4 Level 4'!$B$121:$N$177,9,FALSE)</f>
        <v>0</v>
      </c>
      <c r="W41" s="1238">
        <f>VLOOKUP($A41,'Table 4 Level 4'!$B$121:$N$177,10,FALSE)</f>
        <v>0</v>
      </c>
      <c r="X41" s="1238">
        <f>VLOOKUP($A41,'Table 4 Level 4'!$B$121:$N$177,11,FALSE)</f>
        <v>0</v>
      </c>
      <c r="Y41" s="1659">
        <f t="shared" si="50"/>
        <v>2112566.0149726025</v>
      </c>
      <c r="Z41" s="1238">
        <f t="shared" si="63"/>
        <v>4670</v>
      </c>
      <c r="AA41" s="1238"/>
      <c r="AB41" s="1671">
        <f t="shared" si="37"/>
        <v>2302310</v>
      </c>
      <c r="AC41" s="1239"/>
      <c r="AD41" s="1236">
        <f t="shared" si="38"/>
        <v>0</v>
      </c>
      <c r="AE41" s="1239"/>
      <c r="AF41" s="1236">
        <f t="shared" si="39"/>
        <v>0</v>
      </c>
      <c r="AG41" s="1237">
        <f t="shared" si="40"/>
        <v>0</v>
      </c>
      <c r="AH41" s="1678">
        <f t="shared" si="41"/>
        <v>2302310</v>
      </c>
      <c r="AI41" s="1238">
        <f t="shared" si="51"/>
        <v>-40290.425000000003</v>
      </c>
      <c r="AJ41" s="1238">
        <f t="shared" si="52"/>
        <v>-5755.7750000000005</v>
      </c>
      <c r="AK41" s="1238">
        <f t="shared" si="53"/>
        <v>-46046.200000000004</v>
      </c>
      <c r="AL41" s="1671">
        <f t="shared" si="42"/>
        <v>2256263.7999999998</v>
      </c>
      <c r="AM41" s="1236"/>
      <c r="AN41" s="1238">
        <v>0</v>
      </c>
      <c r="AO41" s="1678">
        <f t="shared" si="43"/>
        <v>2256263.7999999998</v>
      </c>
      <c r="AP41" s="1236"/>
      <c r="AQ41" s="1236">
        <f t="shared" si="44"/>
        <v>2256263.7999999998</v>
      </c>
      <c r="AR41" s="1678">
        <f t="shared" si="45"/>
        <v>188022</v>
      </c>
    </row>
    <row r="42" spans="1:44" s="993" customFormat="1" ht="16.95" customHeight="1">
      <c r="A42" s="1240">
        <v>385003</v>
      </c>
      <c r="B42" s="1241" t="s">
        <v>1128</v>
      </c>
      <c r="C42" s="1233">
        <f>IFERROR(VLOOKUP(A42,'[12]RSD-NO by Site'!$B$5:$D$62,3,FALSE),"na")</f>
        <v>278</v>
      </c>
      <c r="D42" s="1234">
        <f t="shared" si="26"/>
        <v>3602.7009974327857</v>
      </c>
      <c r="E42" s="1234">
        <f t="shared" si="27"/>
        <v>1001551</v>
      </c>
      <c r="F42" s="1238">
        <v>746.0335616438357</v>
      </c>
      <c r="G42" s="1234">
        <f t="shared" si="28"/>
        <v>207397.33013698633</v>
      </c>
      <c r="H42" s="1659">
        <f t="shared" si="46"/>
        <v>1208948.3301369864</v>
      </c>
      <c r="I42" s="1235"/>
      <c r="J42" s="1236"/>
      <c r="K42" s="1237">
        <f t="shared" si="29"/>
        <v>0</v>
      </c>
      <c r="L42" s="1659">
        <f t="shared" si="30"/>
        <v>1208948.3301369864</v>
      </c>
      <c r="M42" s="1236">
        <f t="shared" si="47"/>
        <v>-21156.595777397266</v>
      </c>
      <c r="N42" s="1236">
        <f t="shared" si="48"/>
        <v>-3022.3708253424661</v>
      </c>
      <c r="O42" s="1236">
        <f t="shared" si="31"/>
        <v>-24178.966602739732</v>
      </c>
      <c r="P42" s="1659">
        <f t="shared" si="32"/>
        <v>1184769.3635342468</v>
      </c>
      <c r="Q42" s="1238">
        <v>0</v>
      </c>
      <c r="R42" s="1659">
        <f t="shared" si="33"/>
        <v>1184769.3635342468</v>
      </c>
      <c r="S42" s="1238">
        <f>VLOOKUP($A42,'Table 4 Level 4'!$B$121:$N$177,4,FALSE)</f>
        <v>0</v>
      </c>
      <c r="T42" s="1238">
        <f>VLOOKUP($A42,'Table 4 Level 4'!$B$121:$N$177,13,FALSE)</f>
        <v>0</v>
      </c>
      <c r="U42" s="1659">
        <f t="shared" si="49"/>
        <v>1184769.3635342468</v>
      </c>
      <c r="V42" s="1238">
        <f>VLOOKUP($A42,'Table 4 Level 4'!$B$121:$N$177,9,FALSE)</f>
        <v>0</v>
      </c>
      <c r="W42" s="1238">
        <f>VLOOKUP($A42,'Table 4 Level 4'!$B$121:$N$177,10,FALSE)</f>
        <v>0</v>
      </c>
      <c r="X42" s="1238">
        <f>VLOOKUP($A42,'Table 4 Level 4'!$B$121:$N$177,11,FALSE)</f>
        <v>0</v>
      </c>
      <c r="Y42" s="1659">
        <f t="shared" si="50"/>
        <v>1184769.3635342468</v>
      </c>
      <c r="Z42" s="1238">
        <f t="shared" si="63"/>
        <v>4670</v>
      </c>
      <c r="AA42" s="1238"/>
      <c r="AB42" s="1671">
        <f t="shared" si="37"/>
        <v>1298260</v>
      </c>
      <c r="AC42" s="1239"/>
      <c r="AD42" s="1236">
        <f t="shared" si="38"/>
        <v>0</v>
      </c>
      <c r="AE42" s="1239"/>
      <c r="AF42" s="1236">
        <f t="shared" si="39"/>
        <v>0</v>
      </c>
      <c r="AG42" s="1237">
        <f t="shared" si="40"/>
        <v>0</v>
      </c>
      <c r="AH42" s="1678">
        <f t="shared" si="41"/>
        <v>1298260</v>
      </c>
      <c r="AI42" s="1238">
        <f t="shared" si="51"/>
        <v>-22719.550000000003</v>
      </c>
      <c r="AJ42" s="1238">
        <f t="shared" si="52"/>
        <v>-3245.65</v>
      </c>
      <c r="AK42" s="1238">
        <f t="shared" si="53"/>
        <v>-25965.200000000004</v>
      </c>
      <c r="AL42" s="1671">
        <f t="shared" si="42"/>
        <v>1272294.8</v>
      </c>
      <c r="AM42" s="1236"/>
      <c r="AN42" s="1238">
        <v>0</v>
      </c>
      <c r="AO42" s="1678">
        <f t="shared" si="43"/>
        <v>1272294.8</v>
      </c>
      <c r="AP42" s="1236"/>
      <c r="AQ42" s="1236">
        <f t="shared" si="44"/>
        <v>1272294.8</v>
      </c>
      <c r="AR42" s="1678">
        <f t="shared" si="45"/>
        <v>106025</v>
      </c>
    </row>
    <row r="43" spans="1:44" s="993" customFormat="1" ht="16.95" customHeight="1">
      <c r="A43" s="996">
        <v>388001</v>
      </c>
      <c r="B43" s="1005" t="s">
        <v>738</v>
      </c>
      <c r="C43" s="1006">
        <f>IFERROR(VLOOKUP(A43,'[12]RSD-NO by Site'!$B$5:$D$62,3,FALSE),"na")</f>
        <v>599</v>
      </c>
      <c r="D43" s="1007">
        <f t="shared" si="26"/>
        <v>3602.7009974327857</v>
      </c>
      <c r="E43" s="1007">
        <f t="shared" si="27"/>
        <v>2158018</v>
      </c>
      <c r="F43" s="1010">
        <v>708.2132751810401</v>
      </c>
      <c r="G43" s="1007">
        <f t="shared" ref="G43" si="67">F43*C43</f>
        <v>424219.75183344301</v>
      </c>
      <c r="H43" s="1660">
        <f t="shared" ref="H43" si="68">E43+G43</f>
        <v>2582237.7518334431</v>
      </c>
      <c r="I43" s="1221"/>
      <c r="J43" s="1008"/>
      <c r="K43" s="1009">
        <f t="shared" si="29"/>
        <v>0</v>
      </c>
      <c r="L43" s="1660">
        <f t="shared" si="30"/>
        <v>2582237.7518334431</v>
      </c>
      <c r="M43" s="1008">
        <f t="shared" si="47"/>
        <v>-45189.16065708526</v>
      </c>
      <c r="N43" s="1008">
        <f t="shared" si="48"/>
        <v>-6455.5943795836074</v>
      </c>
      <c r="O43" s="1008">
        <f t="shared" si="31"/>
        <v>-51644.755036668867</v>
      </c>
      <c r="P43" s="1660">
        <f t="shared" si="32"/>
        <v>2530592.9967967742</v>
      </c>
      <c r="Q43" s="1010">
        <v>0</v>
      </c>
      <c r="R43" s="1660">
        <f t="shared" si="33"/>
        <v>2530592.9967967742</v>
      </c>
      <c r="S43" s="1010">
        <f>VLOOKUP($A43,'Table 4 Level 4'!$B$121:$N$177,4,FALSE)</f>
        <v>0</v>
      </c>
      <c r="T43" s="1010">
        <f>VLOOKUP($A43,'Table 4 Level 4'!$B$121:$N$177,13,FALSE)</f>
        <v>3640</v>
      </c>
      <c r="U43" s="1660">
        <f t="shared" si="49"/>
        <v>2534232.9967967742</v>
      </c>
      <c r="V43" s="1010">
        <f>VLOOKUP($A43,'Table 4 Level 4'!$B$121:$N$177,9,FALSE)</f>
        <v>0</v>
      </c>
      <c r="W43" s="1010">
        <f>VLOOKUP($A43,'Table 4 Level 4'!$B$121:$N$177,10,FALSE)</f>
        <v>0</v>
      </c>
      <c r="X43" s="1010">
        <f>VLOOKUP($A43,'Table 4 Level 4'!$B$121:$N$177,11,FALSE)</f>
        <v>0</v>
      </c>
      <c r="Y43" s="1660">
        <f t="shared" si="50"/>
        <v>2534232.9967967742</v>
      </c>
      <c r="Z43" s="1010">
        <f t="shared" si="63"/>
        <v>4670</v>
      </c>
      <c r="AA43" s="1010"/>
      <c r="AB43" s="1672">
        <f t="shared" si="37"/>
        <v>2797330</v>
      </c>
      <c r="AC43" s="1011"/>
      <c r="AD43" s="1008">
        <f t="shared" si="38"/>
        <v>0</v>
      </c>
      <c r="AE43" s="1011"/>
      <c r="AF43" s="1008">
        <f t="shared" si="39"/>
        <v>0</v>
      </c>
      <c r="AG43" s="1009">
        <f t="shared" si="40"/>
        <v>0</v>
      </c>
      <c r="AH43" s="1679">
        <f t="shared" si="41"/>
        <v>2797330</v>
      </c>
      <c r="AI43" s="1010">
        <f t="shared" si="51"/>
        <v>-48953.275000000001</v>
      </c>
      <c r="AJ43" s="1010">
        <f t="shared" si="52"/>
        <v>-6993.3249999999998</v>
      </c>
      <c r="AK43" s="1010">
        <f t="shared" si="53"/>
        <v>-55946.6</v>
      </c>
      <c r="AL43" s="1672">
        <f t="shared" si="42"/>
        <v>2741383.4</v>
      </c>
      <c r="AM43" s="1008"/>
      <c r="AN43" s="1010">
        <v>0</v>
      </c>
      <c r="AO43" s="1679">
        <f t="shared" si="43"/>
        <v>2741383.4</v>
      </c>
      <c r="AP43" s="1008"/>
      <c r="AQ43" s="1008">
        <f t="shared" si="44"/>
        <v>2741383.4</v>
      </c>
      <c r="AR43" s="1679">
        <f t="shared" si="45"/>
        <v>228449</v>
      </c>
    </row>
    <row r="44" spans="1:44" s="993" customFormat="1" ht="28.2" customHeight="1">
      <c r="A44" s="1222">
        <v>390001</v>
      </c>
      <c r="B44" s="1223" t="s">
        <v>1084</v>
      </c>
      <c r="C44" s="1224">
        <f>IFERROR(VLOOKUP(A44,'[12]RSD-NO by Site'!$B$5:$D$62,3,FALSE),"na")</f>
        <v>511</v>
      </c>
      <c r="D44" s="1225">
        <f t="shared" si="26"/>
        <v>3602.7009974327857</v>
      </c>
      <c r="E44" s="1225">
        <f t="shared" si="27"/>
        <v>1840980</v>
      </c>
      <c r="F44" s="1225">
        <v>650.55234865477053</v>
      </c>
      <c r="G44" s="1225">
        <f t="shared" si="28"/>
        <v>332432.25016258773</v>
      </c>
      <c r="H44" s="1658">
        <f t="shared" si="46"/>
        <v>2173412.2501625875</v>
      </c>
      <c r="I44" s="1226"/>
      <c r="J44" s="1227"/>
      <c r="K44" s="1228">
        <f t="shared" si="29"/>
        <v>0</v>
      </c>
      <c r="L44" s="1658">
        <f t="shared" si="30"/>
        <v>2173412.2501625875</v>
      </c>
      <c r="M44" s="1227">
        <f t="shared" si="47"/>
        <v>-38034.714377845288</v>
      </c>
      <c r="N44" s="1227">
        <f t="shared" si="48"/>
        <v>-5433.530625406469</v>
      </c>
      <c r="O44" s="1227">
        <f t="shared" si="31"/>
        <v>-43468.245003251759</v>
      </c>
      <c r="P44" s="1658">
        <f t="shared" si="32"/>
        <v>2129944.0051593357</v>
      </c>
      <c r="Q44" s="1229">
        <v>0</v>
      </c>
      <c r="R44" s="1658">
        <f t="shared" si="33"/>
        <v>2129944.0051593357</v>
      </c>
      <c r="S44" s="1229">
        <f>VLOOKUP($A44,'Table 4 Level 4'!$B$121:$N$177,4,FALSE)</f>
        <v>0</v>
      </c>
      <c r="T44" s="1229">
        <f>VLOOKUP($A44,'Table 4 Level 4'!$B$121:$N$177,13,FALSE)</f>
        <v>2522</v>
      </c>
      <c r="U44" s="1658">
        <f t="shared" si="49"/>
        <v>2132466.0051593357</v>
      </c>
      <c r="V44" s="1229">
        <f>VLOOKUP($A44,'Table 4 Level 4'!$B$121:$N$177,9,FALSE)</f>
        <v>0</v>
      </c>
      <c r="W44" s="1229">
        <f>VLOOKUP($A44,'Table 4 Level 4'!$B$121:$N$177,10,FALSE)</f>
        <v>0</v>
      </c>
      <c r="X44" s="1229">
        <f>VLOOKUP($A44,'Table 4 Level 4'!$B$121:$N$177,11,FALSE)</f>
        <v>0</v>
      </c>
      <c r="Y44" s="1658">
        <f t="shared" si="50"/>
        <v>2132466.0051593357</v>
      </c>
      <c r="Z44" s="1229"/>
      <c r="AA44" s="1229">
        <f>+$AA$4</f>
        <v>5435</v>
      </c>
      <c r="AB44" s="1670">
        <f t="shared" si="37"/>
        <v>2777285</v>
      </c>
      <c r="AC44" s="1230"/>
      <c r="AD44" s="1227">
        <f t="shared" si="38"/>
        <v>0</v>
      </c>
      <c r="AE44" s="1230"/>
      <c r="AF44" s="1227">
        <f t="shared" si="39"/>
        <v>0</v>
      </c>
      <c r="AG44" s="1228">
        <f t="shared" si="40"/>
        <v>0</v>
      </c>
      <c r="AH44" s="1677">
        <f t="shared" si="41"/>
        <v>2777285</v>
      </c>
      <c r="AI44" s="1229">
        <f t="shared" si="51"/>
        <v>-48602.487500000003</v>
      </c>
      <c r="AJ44" s="1229">
        <f t="shared" si="52"/>
        <v>-6943.2125000000005</v>
      </c>
      <c r="AK44" s="1229">
        <f t="shared" si="53"/>
        <v>-55545.700000000004</v>
      </c>
      <c r="AL44" s="1670">
        <f t="shared" si="42"/>
        <v>2721739.3</v>
      </c>
      <c r="AM44" s="1227"/>
      <c r="AN44" s="1229">
        <v>0</v>
      </c>
      <c r="AO44" s="1677">
        <f t="shared" si="43"/>
        <v>2721739.3</v>
      </c>
      <c r="AP44" s="1227"/>
      <c r="AQ44" s="1227">
        <f t="shared" si="44"/>
        <v>2721739.3</v>
      </c>
      <c r="AR44" s="1677">
        <f t="shared" si="45"/>
        <v>226812</v>
      </c>
    </row>
    <row r="45" spans="1:44" s="993" customFormat="1" ht="16.95" customHeight="1">
      <c r="A45" s="1231">
        <v>391001</v>
      </c>
      <c r="B45" s="1232" t="s">
        <v>889</v>
      </c>
      <c r="C45" s="1233">
        <f>IFERROR(VLOOKUP(A45,'[12]RSD-NO by Site'!$B$5:$D$62,3,FALSE),"na")</f>
        <v>738</v>
      </c>
      <c r="D45" s="1234">
        <f t="shared" si="26"/>
        <v>3602.7009974327857</v>
      </c>
      <c r="E45" s="1234">
        <f t="shared" si="27"/>
        <v>2658793</v>
      </c>
      <c r="F45" s="1234">
        <v>721.28337970262919</v>
      </c>
      <c r="G45" s="1234">
        <f t="shared" si="28"/>
        <v>532307.13422054029</v>
      </c>
      <c r="H45" s="1659">
        <f t="shared" si="46"/>
        <v>3191100.1342205405</v>
      </c>
      <c r="I45" s="1235"/>
      <c r="J45" s="1236"/>
      <c r="K45" s="1237">
        <f t="shared" si="29"/>
        <v>0</v>
      </c>
      <c r="L45" s="1659">
        <f t="shared" si="30"/>
        <v>3191100.1342205405</v>
      </c>
      <c r="M45" s="1236">
        <f t="shared" si="47"/>
        <v>-55844.252348859467</v>
      </c>
      <c r="N45" s="1236">
        <f t="shared" si="48"/>
        <v>-7977.7503355513518</v>
      </c>
      <c r="O45" s="1236">
        <f t="shared" si="31"/>
        <v>-63822.002684410822</v>
      </c>
      <c r="P45" s="1659">
        <f t="shared" si="32"/>
        <v>3127278.1315361299</v>
      </c>
      <c r="Q45" s="1238">
        <v>0</v>
      </c>
      <c r="R45" s="1659">
        <f t="shared" si="33"/>
        <v>3127278.1315361299</v>
      </c>
      <c r="S45" s="1238">
        <f>VLOOKUP($A45,'Table 4 Level 4'!$B$121:$N$177,4,FALSE)</f>
        <v>0</v>
      </c>
      <c r="T45" s="1238">
        <f>VLOOKUP($A45,'Table 4 Level 4'!$B$121:$N$177,13,FALSE)</f>
        <v>6942</v>
      </c>
      <c r="U45" s="1659">
        <f t="shared" si="49"/>
        <v>3134220.1315361299</v>
      </c>
      <c r="V45" s="1238">
        <f>VLOOKUP($A45,'Table 4 Level 4'!$B$121:$N$177,9,FALSE)</f>
        <v>0</v>
      </c>
      <c r="W45" s="1238">
        <f>VLOOKUP($A45,'Table 4 Level 4'!$B$121:$N$177,10,FALSE)</f>
        <v>0</v>
      </c>
      <c r="X45" s="1238">
        <f>VLOOKUP($A45,'Table 4 Level 4'!$B$121:$N$177,11,FALSE)</f>
        <v>0</v>
      </c>
      <c r="Y45" s="1659">
        <f t="shared" si="50"/>
        <v>3134220.1315361299</v>
      </c>
      <c r="Z45" s="1238">
        <f t="shared" ref="Z45:Z70" si="69">+$Z$4</f>
        <v>4670</v>
      </c>
      <c r="AA45" s="1238"/>
      <c r="AB45" s="1671">
        <f t="shared" si="37"/>
        <v>3446460</v>
      </c>
      <c r="AC45" s="1239"/>
      <c r="AD45" s="1236">
        <f t="shared" si="38"/>
        <v>0</v>
      </c>
      <c r="AE45" s="1239"/>
      <c r="AF45" s="1236">
        <f t="shared" si="39"/>
        <v>0</v>
      </c>
      <c r="AG45" s="1237">
        <f t="shared" si="40"/>
        <v>0</v>
      </c>
      <c r="AH45" s="1678">
        <f t="shared" si="41"/>
        <v>3446460</v>
      </c>
      <c r="AI45" s="1238">
        <f t="shared" si="51"/>
        <v>-60313.05</v>
      </c>
      <c r="AJ45" s="1238">
        <f t="shared" si="52"/>
        <v>-8616.15</v>
      </c>
      <c r="AK45" s="1238">
        <f t="shared" si="53"/>
        <v>-68929.2</v>
      </c>
      <c r="AL45" s="1671">
        <f t="shared" si="42"/>
        <v>3377530.8</v>
      </c>
      <c r="AM45" s="1236"/>
      <c r="AN45" s="1238">
        <v>0</v>
      </c>
      <c r="AO45" s="1678">
        <f t="shared" si="43"/>
        <v>3377530.8</v>
      </c>
      <c r="AP45" s="1236"/>
      <c r="AQ45" s="1236">
        <f t="shared" si="44"/>
        <v>3377530.8</v>
      </c>
      <c r="AR45" s="1678">
        <f t="shared" si="45"/>
        <v>281461</v>
      </c>
    </row>
    <row r="46" spans="1:44" s="993" customFormat="1" ht="16.95" customHeight="1">
      <c r="A46" s="1231">
        <v>391002</v>
      </c>
      <c r="B46" s="1232" t="s">
        <v>740</v>
      </c>
      <c r="C46" s="1233">
        <f>IFERROR(VLOOKUP(A46,'[12]RSD-NO by Site'!$B$5:$D$62,3,FALSE),"na")</f>
        <v>377</v>
      </c>
      <c r="D46" s="1234">
        <f t="shared" ref="D46:D70" si="70">$D$4</f>
        <v>3602.7009974327857</v>
      </c>
      <c r="E46" s="1234">
        <f>ROUND(C46*D46,0)</f>
        <v>1358218</v>
      </c>
      <c r="F46" s="1234">
        <v>746.0335616438357</v>
      </c>
      <c r="G46" s="1234">
        <f>F46*C46</f>
        <v>281254.65273972607</v>
      </c>
      <c r="H46" s="1659">
        <f>E46+G46</f>
        <v>1639472.652739726</v>
      </c>
      <c r="I46" s="1235"/>
      <c r="J46" s="1236"/>
      <c r="K46" s="1237">
        <f t="shared" si="29"/>
        <v>0</v>
      </c>
      <c r="L46" s="1659">
        <f t="shared" si="30"/>
        <v>1639472.652739726</v>
      </c>
      <c r="M46" s="1236">
        <f t="shared" si="47"/>
        <v>-28690.771422945207</v>
      </c>
      <c r="N46" s="1236">
        <f t="shared" si="48"/>
        <v>-4098.6816318493147</v>
      </c>
      <c r="O46" s="1236">
        <f t="shared" si="31"/>
        <v>-32789.453054794518</v>
      </c>
      <c r="P46" s="1659">
        <f t="shared" si="32"/>
        <v>1606683.1996849314</v>
      </c>
      <c r="Q46" s="1238">
        <v>0</v>
      </c>
      <c r="R46" s="1659">
        <f t="shared" ref="R46:R70" si="71">P46+Q46</f>
        <v>1606683.1996849314</v>
      </c>
      <c r="S46" s="1238">
        <f>VLOOKUP($A46,'Table 4 Level 4'!$B$121:$N$177,4,FALSE)</f>
        <v>0</v>
      </c>
      <c r="T46" s="1238">
        <f>VLOOKUP($A46,'Table 4 Level 4'!$B$121:$N$177,13,FALSE)</f>
        <v>2054</v>
      </c>
      <c r="U46" s="1659">
        <f t="shared" si="49"/>
        <v>1608737.1996849314</v>
      </c>
      <c r="V46" s="1238">
        <f>VLOOKUP($A46,'Table 4 Level 4'!$B$121:$N$177,9,FALSE)</f>
        <v>0</v>
      </c>
      <c r="W46" s="1238">
        <f>VLOOKUP($A46,'Table 4 Level 4'!$B$121:$N$177,10,FALSE)</f>
        <v>0</v>
      </c>
      <c r="X46" s="1238">
        <f>VLOOKUP($A46,'Table 4 Level 4'!$B$121:$N$177,11,FALSE)</f>
        <v>0</v>
      </c>
      <c r="Y46" s="1659">
        <f t="shared" si="50"/>
        <v>1608737.1996849314</v>
      </c>
      <c r="Z46" s="1238">
        <f t="shared" si="69"/>
        <v>4670</v>
      </c>
      <c r="AA46" s="1238"/>
      <c r="AB46" s="1671">
        <f t="shared" ref="AB46:AB70" si="72">IF(Z46=0,AA46*C46,Z46*C46)</f>
        <v>1760590</v>
      </c>
      <c r="AC46" s="1239"/>
      <c r="AD46" s="1236">
        <f t="shared" ref="AD46:AD70" si="73">IF(Z46=0,AA46*AC46,Z46*AC46)</f>
        <v>0</v>
      </c>
      <c r="AE46" s="1239"/>
      <c r="AF46" s="1236">
        <f t="shared" ref="AF46:AF70" si="74">IF(Z46=0,AA46*AE46*0.5,Z46*AE46*0.5)</f>
        <v>0</v>
      </c>
      <c r="AG46" s="1237">
        <f t="shared" si="40"/>
        <v>0</v>
      </c>
      <c r="AH46" s="1678">
        <f t="shared" si="41"/>
        <v>1760590</v>
      </c>
      <c r="AI46" s="1238">
        <f t="shared" si="51"/>
        <v>-30810.325000000004</v>
      </c>
      <c r="AJ46" s="1238">
        <f t="shared" si="52"/>
        <v>-4401.4750000000004</v>
      </c>
      <c r="AK46" s="1238">
        <f t="shared" si="53"/>
        <v>-35211.800000000003</v>
      </c>
      <c r="AL46" s="1671">
        <f t="shared" si="42"/>
        <v>1725378.2</v>
      </c>
      <c r="AM46" s="1236"/>
      <c r="AN46" s="1238">
        <v>0</v>
      </c>
      <c r="AO46" s="1678">
        <f t="shared" si="43"/>
        <v>1725378.2</v>
      </c>
      <c r="AP46" s="1236"/>
      <c r="AQ46" s="1236">
        <f t="shared" si="44"/>
        <v>1725378.2</v>
      </c>
      <c r="AR46" s="1678">
        <f t="shared" si="45"/>
        <v>143782</v>
      </c>
    </row>
    <row r="47" spans="1:44" s="1002" customFormat="1" ht="16.95" customHeight="1">
      <c r="A47" s="1240">
        <v>392001</v>
      </c>
      <c r="B47" s="1241" t="s">
        <v>890</v>
      </c>
      <c r="C47" s="1233">
        <f>IFERROR(VLOOKUP(A47,'[12]RSD-NO by Site'!$B$5:$D$62,3,FALSE),"na")</f>
        <v>449</v>
      </c>
      <c r="D47" s="1234">
        <f t="shared" si="70"/>
        <v>3602.7009974327857</v>
      </c>
      <c r="E47" s="1234">
        <f t="shared" si="27"/>
        <v>1617613</v>
      </c>
      <c r="F47" s="1238">
        <v>600.21655982905986</v>
      </c>
      <c r="G47" s="1234">
        <f t="shared" si="28"/>
        <v>269497.23536324786</v>
      </c>
      <c r="H47" s="1659">
        <f t="shared" si="46"/>
        <v>1887110.2353632478</v>
      </c>
      <c r="I47" s="1235"/>
      <c r="J47" s="1236"/>
      <c r="K47" s="1237">
        <f t="shared" si="29"/>
        <v>0</v>
      </c>
      <c r="L47" s="1659">
        <f t="shared" si="30"/>
        <v>1887110.2353632478</v>
      </c>
      <c r="M47" s="1236">
        <f t="shared" si="47"/>
        <v>-33024.429118856839</v>
      </c>
      <c r="N47" s="1236">
        <f t="shared" si="48"/>
        <v>-4717.7755884081198</v>
      </c>
      <c r="O47" s="1236">
        <f t="shared" si="31"/>
        <v>-37742.204707264958</v>
      </c>
      <c r="P47" s="1659">
        <f t="shared" si="32"/>
        <v>1849368.0306559829</v>
      </c>
      <c r="Q47" s="1238">
        <v>0</v>
      </c>
      <c r="R47" s="1659">
        <f t="shared" si="71"/>
        <v>1849368.0306559829</v>
      </c>
      <c r="S47" s="1238">
        <f>VLOOKUP($A47,'Table 4 Level 4'!$B$121:$N$177,4,FALSE)</f>
        <v>0</v>
      </c>
      <c r="T47" s="1238">
        <f>VLOOKUP($A47,'Table 4 Level 4'!$B$121:$N$177,13,FALSE)</f>
        <v>2678</v>
      </c>
      <c r="U47" s="1659">
        <f t="shared" si="49"/>
        <v>1852046.0306559829</v>
      </c>
      <c r="V47" s="1238">
        <f>VLOOKUP($A47,'Table 4 Level 4'!$B$121:$N$177,9,FALSE)</f>
        <v>0</v>
      </c>
      <c r="W47" s="1238">
        <f>VLOOKUP($A47,'Table 4 Level 4'!$B$121:$N$177,10,FALSE)</f>
        <v>0</v>
      </c>
      <c r="X47" s="1238">
        <f>VLOOKUP($A47,'Table 4 Level 4'!$B$121:$N$177,11,FALSE)</f>
        <v>0</v>
      </c>
      <c r="Y47" s="1659">
        <f t="shared" si="50"/>
        <v>1852046.0306559829</v>
      </c>
      <c r="Z47" s="1238">
        <f t="shared" si="69"/>
        <v>4670</v>
      </c>
      <c r="AA47" s="1238"/>
      <c r="AB47" s="1671">
        <f t="shared" si="72"/>
        <v>2096830</v>
      </c>
      <c r="AC47" s="1239"/>
      <c r="AD47" s="1236">
        <f t="shared" si="73"/>
        <v>0</v>
      </c>
      <c r="AE47" s="1239"/>
      <c r="AF47" s="1236">
        <f t="shared" si="74"/>
        <v>0</v>
      </c>
      <c r="AG47" s="1237">
        <f t="shared" si="40"/>
        <v>0</v>
      </c>
      <c r="AH47" s="1678">
        <f t="shared" si="41"/>
        <v>2096830</v>
      </c>
      <c r="AI47" s="1238">
        <f t="shared" si="51"/>
        <v>-36694.525000000001</v>
      </c>
      <c r="AJ47" s="1238">
        <f t="shared" si="52"/>
        <v>-5242.0749999999998</v>
      </c>
      <c r="AK47" s="1238">
        <f t="shared" si="53"/>
        <v>-41936.6</v>
      </c>
      <c r="AL47" s="1671">
        <f t="shared" si="42"/>
        <v>2054893.4</v>
      </c>
      <c r="AM47" s="1236"/>
      <c r="AN47" s="1238">
        <v>0</v>
      </c>
      <c r="AO47" s="1678">
        <f t="shared" si="43"/>
        <v>2054893.4</v>
      </c>
      <c r="AP47" s="1236"/>
      <c r="AQ47" s="1236">
        <f t="shared" si="44"/>
        <v>2054893.4</v>
      </c>
      <c r="AR47" s="1678">
        <f t="shared" si="45"/>
        <v>171241</v>
      </c>
    </row>
    <row r="48" spans="1:44" s="993" customFormat="1" ht="16.95" customHeight="1">
      <c r="A48" s="996">
        <v>393001</v>
      </c>
      <c r="B48" s="1005" t="s">
        <v>741</v>
      </c>
      <c r="C48" s="1006">
        <f>IFERROR(VLOOKUP(A48,'[12]RSD-NO by Site'!$B$5:$D$62,3,FALSE),"na")</f>
        <v>880</v>
      </c>
      <c r="D48" s="1007">
        <f t="shared" si="70"/>
        <v>3602.7009974327857</v>
      </c>
      <c r="E48" s="1007">
        <f t="shared" si="27"/>
        <v>3170377</v>
      </c>
      <c r="F48" s="1010">
        <v>776.90344307346322</v>
      </c>
      <c r="G48" s="1007">
        <f t="shared" si="28"/>
        <v>683675.02990464761</v>
      </c>
      <c r="H48" s="1660">
        <f t="shared" si="46"/>
        <v>3854052.0299046477</v>
      </c>
      <c r="I48" s="1221"/>
      <c r="J48" s="1008"/>
      <c r="K48" s="1009">
        <f t="shared" si="29"/>
        <v>0</v>
      </c>
      <c r="L48" s="1660">
        <f t="shared" si="30"/>
        <v>3854052.0299046477</v>
      </c>
      <c r="M48" s="1008">
        <f t="shared" si="47"/>
        <v>-67445.910523331346</v>
      </c>
      <c r="N48" s="1008">
        <f t="shared" si="48"/>
        <v>-9635.1300747616187</v>
      </c>
      <c r="O48" s="1008">
        <f t="shared" si="31"/>
        <v>-77081.040598092965</v>
      </c>
      <c r="P48" s="1660">
        <f t="shared" si="32"/>
        <v>3776970.9893065547</v>
      </c>
      <c r="Q48" s="1010">
        <v>0</v>
      </c>
      <c r="R48" s="1660">
        <f t="shared" si="71"/>
        <v>3776970.9893065547</v>
      </c>
      <c r="S48" s="1010">
        <f>VLOOKUP($A48,'Table 4 Level 4'!$B$121:$N$177,4,FALSE)</f>
        <v>0</v>
      </c>
      <c r="T48" s="1010">
        <f>VLOOKUP($A48,'Table 4 Level 4'!$B$121:$N$177,13,FALSE)</f>
        <v>5122</v>
      </c>
      <c r="U48" s="1660">
        <f t="shared" si="49"/>
        <v>3782092.9893065547</v>
      </c>
      <c r="V48" s="1010">
        <f>VLOOKUP($A48,'Table 4 Level 4'!$B$121:$N$177,9,FALSE)</f>
        <v>0</v>
      </c>
      <c r="W48" s="1010">
        <f>VLOOKUP($A48,'Table 4 Level 4'!$B$121:$N$177,10,FALSE)</f>
        <v>0</v>
      </c>
      <c r="X48" s="1010">
        <f>VLOOKUP($A48,'Table 4 Level 4'!$B$121:$N$177,11,FALSE)</f>
        <v>0</v>
      </c>
      <c r="Y48" s="1660">
        <f t="shared" si="50"/>
        <v>3782092.9893065547</v>
      </c>
      <c r="Z48" s="1010">
        <f t="shared" si="69"/>
        <v>4670</v>
      </c>
      <c r="AA48" s="1010"/>
      <c r="AB48" s="1672">
        <f t="shared" si="72"/>
        <v>4109600</v>
      </c>
      <c r="AC48" s="1011"/>
      <c r="AD48" s="1008">
        <f t="shared" si="73"/>
        <v>0</v>
      </c>
      <c r="AE48" s="1011"/>
      <c r="AF48" s="1008">
        <f t="shared" si="74"/>
        <v>0</v>
      </c>
      <c r="AG48" s="1009">
        <f t="shared" si="40"/>
        <v>0</v>
      </c>
      <c r="AH48" s="1679">
        <f t="shared" si="41"/>
        <v>4109600</v>
      </c>
      <c r="AI48" s="1010">
        <f t="shared" si="51"/>
        <v>-71918</v>
      </c>
      <c r="AJ48" s="1010">
        <f t="shared" si="52"/>
        <v>-10274</v>
      </c>
      <c r="AK48" s="1010">
        <f t="shared" si="53"/>
        <v>-82192</v>
      </c>
      <c r="AL48" s="1672">
        <f t="shared" si="42"/>
        <v>4027408</v>
      </c>
      <c r="AM48" s="1008"/>
      <c r="AN48" s="1010">
        <v>0</v>
      </c>
      <c r="AO48" s="1679">
        <f t="shared" si="43"/>
        <v>4027408</v>
      </c>
      <c r="AP48" s="1008"/>
      <c r="AQ48" s="1008">
        <f t="shared" si="44"/>
        <v>4027408</v>
      </c>
      <c r="AR48" s="1679">
        <f t="shared" si="45"/>
        <v>335617</v>
      </c>
    </row>
    <row r="49" spans="1:44" s="993" customFormat="1" ht="16.95" customHeight="1">
      <c r="A49" s="1222">
        <v>393002</v>
      </c>
      <c r="B49" s="1223" t="s">
        <v>742</v>
      </c>
      <c r="C49" s="1224">
        <f>IFERROR(VLOOKUP(A49,'[12]RSD-NO by Site'!$B$5:$D$62,3,FALSE),"na")</f>
        <v>484</v>
      </c>
      <c r="D49" s="1225">
        <f t="shared" si="70"/>
        <v>3602.7009974327857</v>
      </c>
      <c r="E49" s="1225">
        <f t="shared" si="27"/>
        <v>1743707</v>
      </c>
      <c r="F49" s="1225">
        <v>642.89065513553726</v>
      </c>
      <c r="G49" s="1225">
        <f t="shared" si="28"/>
        <v>311159.07708560006</v>
      </c>
      <c r="H49" s="1658">
        <f t="shared" si="46"/>
        <v>2054866.0770856</v>
      </c>
      <c r="I49" s="1226"/>
      <c r="J49" s="1227"/>
      <c r="K49" s="1228">
        <f t="shared" si="29"/>
        <v>0</v>
      </c>
      <c r="L49" s="1658">
        <f t="shared" si="30"/>
        <v>2054866.0770856</v>
      </c>
      <c r="M49" s="1227">
        <f t="shared" si="47"/>
        <v>-35960.156348998004</v>
      </c>
      <c r="N49" s="1227">
        <f t="shared" si="48"/>
        <v>-5137.1651927140001</v>
      </c>
      <c r="O49" s="1227">
        <f t="shared" si="31"/>
        <v>-41097.321541712001</v>
      </c>
      <c r="P49" s="1658">
        <f t="shared" si="32"/>
        <v>2013768.7555438881</v>
      </c>
      <c r="Q49" s="1229">
        <v>0</v>
      </c>
      <c r="R49" s="1658">
        <f t="shared" si="71"/>
        <v>2013768.7555438881</v>
      </c>
      <c r="S49" s="1229">
        <f>VLOOKUP($A49,'Table 4 Level 4'!$B$121:$N$177,4,FALSE)</f>
        <v>0</v>
      </c>
      <c r="T49" s="1229">
        <f>VLOOKUP($A49,'Table 4 Level 4'!$B$121:$N$177,13,FALSE)</f>
        <v>2860</v>
      </c>
      <c r="U49" s="1658">
        <f t="shared" si="49"/>
        <v>2016628.7555438881</v>
      </c>
      <c r="V49" s="1229">
        <f>VLOOKUP($A49,'Table 4 Level 4'!$B$121:$N$177,9,FALSE)</f>
        <v>0</v>
      </c>
      <c r="W49" s="1229">
        <f>VLOOKUP($A49,'Table 4 Level 4'!$B$121:$N$177,10,FALSE)</f>
        <v>0</v>
      </c>
      <c r="X49" s="1229">
        <f>VLOOKUP($A49,'Table 4 Level 4'!$B$121:$N$177,11,FALSE)</f>
        <v>0</v>
      </c>
      <c r="Y49" s="1658">
        <f t="shared" si="50"/>
        <v>2016628.7555438881</v>
      </c>
      <c r="Z49" s="1229">
        <f t="shared" si="69"/>
        <v>4670</v>
      </c>
      <c r="AA49" s="1229"/>
      <c r="AB49" s="1670">
        <f t="shared" si="72"/>
        <v>2260280</v>
      </c>
      <c r="AC49" s="1230"/>
      <c r="AD49" s="1227">
        <f t="shared" si="73"/>
        <v>0</v>
      </c>
      <c r="AE49" s="1230"/>
      <c r="AF49" s="1227">
        <f t="shared" si="74"/>
        <v>0</v>
      </c>
      <c r="AG49" s="1228">
        <f t="shared" si="40"/>
        <v>0</v>
      </c>
      <c r="AH49" s="1677">
        <f t="shared" si="41"/>
        <v>2260280</v>
      </c>
      <c r="AI49" s="1229">
        <f t="shared" si="51"/>
        <v>-39554.9</v>
      </c>
      <c r="AJ49" s="1229">
        <f t="shared" si="52"/>
        <v>-5650.7</v>
      </c>
      <c r="AK49" s="1229">
        <f t="shared" si="53"/>
        <v>-45205.599999999999</v>
      </c>
      <c r="AL49" s="1670">
        <f t="shared" si="42"/>
        <v>2215074.4</v>
      </c>
      <c r="AM49" s="1227"/>
      <c r="AN49" s="1229">
        <v>0</v>
      </c>
      <c r="AO49" s="1677">
        <f t="shared" si="43"/>
        <v>2215074.4</v>
      </c>
      <c r="AP49" s="1227"/>
      <c r="AQ49" s="1227">
        <f t="shared" si="44"/>
        <v>2215074.4</v>
      </c>
      <c r="AR49" s="1677">
        <f t="shared" si="45"/>
        <v>184590</v>
      </c>
    </row>
    <row r="50" spans="1:44" s="993" customFormat="1" ht="16.95" customHeight="1">
      <c r="A50" s="1231">
        <v>393003</v>
      </c>
      <c r="B50" s="1232" t="s">
        <v>743</v>
      </c>
      <c r="C50" s="1233">
        <f>IFERROR(VLOOKUP(A50,'[12]RSD-NO by Site'!$B$5:$D$62,3,FALSE),"na")</f>
        <v>439</v>
      </c>
      <c r="D50" s="1234">
        <f t="shared" si="70"/>
        <v>3602.7009974327857</v>
      </c>
      <c r="E50" s="1234">
        <f t="shared" si="27"/>
        <v>1581586</v>
      </c>
      <c r="F50" s="1234">
        <v>746.0335616438357</v>
      </c>
      <c r="G50" s="1234">
        <f t="shared" si="28"/>
        <v>327508.73356164386</v>
      </c>
      <c r="H50" s="1659">
        <f t="shared" si="46"/>
        <v>1909094.7335616439</v>
      </c>
      <c r="I50" s="1235"/>
      <c r="J50" s="1236"/>
      <c r="K50" s="1237">
        <f t="shared" si="29"/>
        <v>0</v>
      </c>
      <c r="L50" s="1659">
        <f t="shared" si="30"/>
        <v>1909094.7335616439</v>
      </c>
      <c r="M50" s="1236">
        <f t="shared" si="47"/>
        <v>-33409.15783732877</v>
      </c>
      <c r="N50" s="1236">
        <f t="shared" si="48"/>
        <v>-4772.7368339041095</v>
      </c>
      <c r="O50" s="1236">
        <f t="shared" si="31"/>
        <v>-38181.894671232876</v>
      </c>
      <c r="P50" s="1659">
        <f t="shared" si="32"/>
        <v>1870912.838890411</v>
      </c>
      <c r="Q50" s="1238">
        <v>0</v>
      </c>
      <c r="R50" s="1659">
        <f t="shared" si="71"/>
        <v>1870912.838890411</v>
      </c>
      <c r="S50" s="1238">
        <f>VLOOKUP($A50,'Table 4 Level 4'!$B$121:$N$177,4,FALSE)</f>
        <v>0</v>
      </c>
      <c r="T50" s="1238">
        <f>VLOOKUP($A50,'Table 4 Level 4'!$B$121:$N$177,13,FALSE)</f>
        <v>2366</v>
      </c>
      <c r="U50" s="1659">
        <f t="shared" si="49"/>
        <v>1873278.838890411</v>
      </c>
      <c r="V50" s="1238">
        <f>VLOOKUP($A50,'Table 4 Level 4'!$B$121:$N$177,9,FALSE)</f>
        <v>0</v>
      </c>
      <c r="W50" s="1238">
        <f>VLOOKUP($A50,'Table 4 Level 4'!$B$121:$N$177,10,FALSE)</f>
        <v>0</v>
      </c>
      <c r="X50" s="1238">
        <f>VLOOKUP($A50,'Table 4 Level 4'!$B$121:$N$177,11,FALSE)</f>
        <v>0</v>
      </c>
      <c r="Y50" s="1659">
        <f t="shared" si="50"/>
        <v>1873278.838890411</v>
      </c>
      <c r="Z50" s="1238">
        <f t="shared" si="69"/>
        <v>4670</v>
      </c>
      <c r="AA50" s="1238"/>
      <c r="AB50" s="1671">
        <f t="shared" si="72"/>
        <v>2050130</v>
      </c>
      <c r="AC50" s="1239"/>
      <c r="AD50" s="1236">
        <f t="shared" si="73"/>
        <v>0</v>
      </c>
      <c r="AE50" s="1239"/>
      <c r="AF50" s="1236">
        <f t="shared" si="74"/>
        <v>0</v>
      </c>
      <c r="AG50" s="1237">
        <f t="shared" si="40"/>
        <v>0</v>
      </c>
      <c r="AH50" s="1678">
        <f t="shared" si="41"/>
        <v>2050130</v>
      </c>
      <c r="AI50" s="1238">
        <f t="shared" si="51"/>
        <v>-35877.275000000001</v>
      </c>
      <c r="AJ50" s="1238">
        <f t="shared" si="52"/>
        <v>-5125.3249999999998</v>
      </c>
      <c r="AK50" s="1238">
        <f t="shared" si="53"/>
        <v>-41002.6</v>
      </c>
      <c r="AL50" s="1671">
        <f t="shared" si="42"/>
        <v>2009127.4</v>
      </c>
      <c r="AM50" s="1236"/>
      <c r="AN50" s="1238">
        <v>0</v>
      </c>
      <c r="AO50" s="1678">
        <f t="shared" si="43"/>
        <v>2009127.4</v>
      </c>
      <c r="AP50" s="1236"/>
      <c r="AQ50" s="1236">
        <f t="shared" si="44"/>
        <v>2009127.4</v>
      </c>
      <c r="AR50" s="1678">
        <f t="shared" si="45"/>
        <v>167427</v>
      </c>
    </row>
    <row r="51" spans="1:44" s="993" customFormat="1" ht="16.95" customHeight="1">
      <c r="A51" s="1231">
        <v>395001</v>
      </c>
      <c r="B51" s="1232" t="s">
        <v>887</v>
      </c>
      <c r="C51" s="1233">
        <f>IFERROR(VLOOKUP(A51,'[12]RSD-NO by Site'!$B$5:$D$62,3,FALSE),"na")</f>
        <v>686</v>
      </c>
      <c r="D51" s="1234">
        <f t="shared" si="70"/>
        <v>3602.7009974327857</v>
      </c>
      <c r="E51" s="1234">
        <f t="shared" si="27"/>
        <v>2471453</v>
      </c>
      <c r="F51" s="1234">
        <v>678.38194087511556</v>
      </c>
      <c r="G51" s="1234">
        <f t="shared" si="28"/>
        <v>465370.01144032925</v>
      </c>
      <c r="H51" s="1659">
        <f t="shared" si="46"/>
        <v>2936823.0114403293</v>
      </c>
      <c r="I51" s="1235"/>
      <c r="J51" s="1236"/>
      <c r="K51" s="1237">
        <f t="shared" si="29"/>
        <v>0</v>
      </c>
      <c r="L51" s="1659">
        <f t="shared" si="30"/>
        <v>2936823.0114403293</v>
      </c>
      <c r="M51" s="1236">
        <f t="shared" si="47"/>
        <v>-51394.40270020577</v>
      </c>
      <c r="N51" s="1236">
        <f t="shared" si="48"/>
        <v>-7342.0575286008234</v>
      </c>
      <c r="O51" s="1236">
        <f t="shared" si="31"/>
        <v>-58736.460228806594</v>
      </c>
      <c r="P51" s="1659">
        <f t="shared" si="32"/>
        <v>2878086.5512115229</v>
      </c>
      <c r="Q51" s="1238">
        <v>-1686.8887871008565</v>
      </c>
      <c r="R51" s="1659">
        <f t="shared" si="71"/>
        <v>2876399.6624244219</v>
      </c>
      <c r="S51" s="1238">
        <f>VLOOKUP($A51,'Table 4 Level 4'!$B$121:$N$177,4,FALSE)</f>
        <v>0</v>
      </c>
      <c r="T51" s="1238">
        <f>VLOOKUP($A51,'Table 4 Level 4'!$B$121:$N$177,13,FALSE)</f>
        <v>3770</v>
      </c>
      <c r="U51" s="1659">
        <f t="shared" si="49"/>
        <v>2880169.6624244219</v>
      </c>
      <c r="V51" s="1238">
        <f>VLOOKUP($A51,'Table 4 Level 4'!$B$121:$N$177,9,FALSE)</f>
        <v>0</v>
      </c>
      <c r="W51" s="1238">
        <f>VLOOKUP($A51,'Table 4 Level 4'!$B$121:$N$177,10,FALSE)</f>
        <v>0</v>
      </c>
      <c r="X51" s="1238">
        <f>VLOOKUP($A51,'Table 4 Level 4'!$B$121:$N$177,11,FALSE)</f>
        <v>0</v>
      </c>
      <c r="Y51" s="1659">
        <f t="shared" si="50"/>
        <v>2880169.6624244219</v>
      </c>
      <c r="Z51" s="1238">
        <f t="shared" si="69"/>
        <v>4670</v>
      </c>
      <c r="AA51" s="1238"/>
      <c r="AB51" s="1671">
        <f t="shared" si="72"/>
        <v>3203620</v>
      </c>
      <c r="AC51" s="1239"/>
      <c r="AD51" s="1236">
        <f t="shared" si="73"/>
        <v>0</v>
      </c>
      <c r="AE51" s="1239"/>
      <c r="AF51" s="1236">
        <f t="shared" si="74"/>
        <v>0</v>
      </c>
      <c r="AG51" s="1237">
        <f t="shared" si="40"/>
        <v>0</v>
      </c>
      <c r="AH51" s="1678">
        <f t="shared" si="41"/>
        <v>3203620</v>
      </c>
      <c r="AI51" s="1238">
        <f t="shared" si="51"/>
        <v>-56063.350000000006</v>
      </c>
      <c r="AJ51" s="1238">
        <f t="shared" si="52"/>
        <v>-8009.05</v>
      </c>
      <c r="AK51" s="1238">
        <f t="shared" si="53"/>
        <v>-64072.400000000009</v>
      </c>
      <c r="AL51" s="1671">
        <f t="shared" si="42"/>
        <v>3139547.6</v>
      </c>
      <c r="AM51" s="1236"/>
      <c r="AN51" s="1238">
        <v>-2098</v>
      </c>
      <c r="AO51" s="1678">
        <f t="shared" si="43"/>
        <v>3137449.6</v>
      </c>
      <c r="AP51" s="1236"/>
      <c r="AQ51" s="1236">
        <f t="shared" si="44"/>
        <v>3137449.6</v>
      </c>
      <c r="AR51" s="1678">
        <f t="shared" si="45"/>
        <v>261454</v>
      </c>
    </row>
    <row r="52" spans="1:44" s="993" customFormat="1" ht="16.95" customHeight="1">
      <c r="A52" s="1240">
        <v>395002</v>
      </c>
      <c r="B52" s="1241" t="s">
        <v>884</v>
      </c>
      <c r="C52" s="1233">
        <f>IFERROR(VLOOKUP(A52,'[12]RSD-NO by Site'!$B$5:$D$62,3,FALSE),"na")</f>
        <v>778</v>
      </c>
      <c r="D52" s="1234">
        <f t="shared" si="70"/>
        <v>3602.7009974327857</v>
      </c>
      <c r="E52" s="1234">
        <f t="shared" si="27"/>
        <v>2802901</v>
      </c>
      <c r="F52" s="1238">
        <v>686.92241021135874</v>
      </c>
      <c r="G52" s="1234">
        <f t="shared" si="28"/>
        <v>534425.63514443708</v>
      </c>
      <c r="H52" s="1659">
        <f t="shared" si="46"/>
        <v>3337326.6351444372</v>
      </c>
      <c r="I52" s="1235"/>
      <c r="J52" s="1236"/>
      <c r="K52" s="1237">
        <f t="shared" si="29"/>
        <v>0</v>
      </c>
      <c r="L52" s="1659">
        <f t="shared" si="30"/>
        <v>3337326.6351444372</v>
      </c>
      <c r="M52" s="1236">
        <f t="shared" si="47"/>
        <v>-58403.216115027659</v>
      </c>
      <c r="N52" s="1236">
        <f t="shared" si="48"/>
        <v>-8343.3165878610926</v>
      </c>
      <c r="O52" s="1236">
        <f t="shared" si="31"/>
        <v>-66746.532702888755</v>
      </c>
      <c r="P52" s="1659">
        <f t="shared" si="32"/>
        <v>3270580.1024415484</v>
      </c>
      <c r="Q52" s="1238">
        <v>1943.9172661784505</v>
      </c>
      <c r="R52" s="1659">
        <f t="shared" si="71"/>
        <v>3272524.0197077268</v>
      </c>
      <c r="S52" s="1238">
        <f>VLOOKUP($A52,'Table 4 Level 4'!$B$121:$N$177,4,FALSE)</f>
        <v>0</v>
      </c>
      <c r="T52" s="1238">
        <f>VLOOKUP($A52,'Table 4 Level 4'!$B$121:$N$177,13,FALSE)</f>
        <v>4940</v>
      </c>
      <c r="U52" s="1659">
        <f t="shared" si="49"/>
        <v>3277464.0197077268</v>
      </c>
      <c r="V52" s="1238">
        <f>VLOOKUP($A52,'Table 4 Level 4'!$B$121:$N$177,9,FALSE)</f>
        <v>0</v>
      </c>
      <c r="W52" s="1238">
        <f>VLOOKUP($A52,'Table 4 Level 4'!$B$121:$N$177,10,FALSE)</f>
        <v>0</v>
      </c>
      <c r="X52" s="1238">
        <f>VLOOKUP($A52,'Table 4 Level 4'!$B$121:$N$177,11,FALSE)</f>
        <v>0</v>
      </c>
      <c r="Y52" s="1659">
        <f t="shared" si="50"/>
        <v>3277464.0197077268</v>
      </c>
      <c r="Z52" s="1238">
        <f t="shared" si="69"/>
        <v>4670</v>
      </c>
      <c r="AA52" s="1238"/>
      <c r="AB52" s="1671">
        <f t="shared" si="72"/>
        <v>3633260</v>
      </c>
      <c r="AC52" s="1239"/>
      <c r="AD52" s="1236">
        <f t="shared" si="73"/>
        <v>0</v>
      </c>
      <c r="AE52" s="1239"/>
      <c r="AF52" s="1236">
        <f t="shared" si="74"/>
        <v>0</v>
      </c>
      <c r="AG52" s="1237">
        <f t="shared" si="40"/>
        <v>0</v>
      </c>
      <c r="AH52" s="1678">
        <f t="shared" si="41"/>
        <v>3633260</v>
      </c>
      <c r="AI52" s="1238">
        <f t="shared" si="51"/>
        <v>-63582.05</v>
      </c>
      <c r="AJ52" s="1238">
        <f t="shared" si="52"/>
        <v>-9083.15</v>
      </c>
      <c r="AK52" s="1238">
        <f t="shared" si="53"/>
        <v>-72665.2</v>
      </c>
      <c r="AL52" s="1671">
        <f t="shared" si="42"/>
        <v>3560594.8</v>
      </c>
      <c r="AM52" s="1236"/>
      <c r="AN52" s="1238">
        <v>0</v>
      </c>
      <c r="AO52" s="1678">
        <f t="shared" si="43"/>
        <v>3560594.8</v>
      </c>
      <c r="AP52" s="1236"/>
      <c r="AQ52" s="1236">
        <f t="shared" si="44"/>
        <v>3560594.8</v>
      </c>
      <c r="AR52" s="1678">
        <f t="shared" si="45"/>
        <v>296716</v>
      </c>
    </row>
    <row r="53" spans="1:44" s="993" customFormat="1" ht="16.95" customHeight="1">
      <c r="A53" s="996">
        <v>395003</v>
      </c>
      <c r="B53" s="1005" t="s">
        <v>885</v>
      </c>
      <c r="C53" s="1006">
        <f>IFERROR(VLOOKUP(A53,'[12]RSD-NO by Site'!$B$5:$D$62,3,FALSE),"na")</f>
        <v>616</v>
      </c>
      <c r="D53" s="1007">
        <f t="shared" si="70"/>
        <v>3602.7009974327857</v>
      </c>
      <c r="E53" s="1007">
        <f t="shared" si="27"/>
        <v>2219264</v>
      </c>
      <c r="F53" s="1010">
        <v>761.3587570202327</v>
      </c>
      <c r="G53" s="1007">
        <f t="shared" si="28"/>
        <v>468996.99432446336</v>
      </c>
      <c r="H53" s="1660">
        <f t="shared" si="46"/>
        <v>2688260.9943244634</v>
      </c>
      <c r="I53" s="1221"/>
      <c r="J53" s="1008"/>
      <c r="K53" s="1009">
        <f t="shared" si="29"/>
        <v>0</v>
      </c>
      <c r="L53" s="1660">
        <f t="shared" si="30"/>
        <v>2688260.9943244634</v>
      </c>
      <c r="M53" s="1008">
        <f t="shared" si="47"/>
        <v>-47044.567400678112</v>
      </c>
      <c r="N53" s="1008">
        <f t="shared" si="48"/>
        <v>-6720.6524858111588</v>
      </c>
      <c r="O53" s="1008">
        <f t="shared" si="31"/>
        <v>-53765.219886489271</v>
      </c>
      <c r="P53" s="1660">
        <f t="shared" si="32"/>
        <v>2634495.7744379742</v>
      </c>
      <c r="Q53" s="1010">
        <v>23797.217952097504</v>
      </c>
      <c r="R53" s="1660">
        <f t="shared" si="71"/>
        <v>2658292.9923900715</v>
      </c>
      <c r="S53" s="1010">
        <f>VLOOKUP($A53,'Table 4 Level 4'!$B$121:$N$177,4,FALSE)</f>
        <v>0</v>
      </c>
      <c r="T53" s="1010">
        <f>VLOOKUP($A53,'Table 4 Level 4'!$B$121:$N$177,13,FALSE)</f>
        <v>3172</v>
      </c>
      <c r="U53" s="1660">
        <f t="shared" si="49"/>
        <v>2661464.9923900715</v>
      </c>
      <c r="V53" s="1010">
        <f>VLOOKUP($A53,'Table 4 Level 4'!$B$121:$N$177,9,FALSE)</f>
        <v>0</v>
      </c>
      <c r="W53" s="1010">
        <f>VLOOKUP($A53,'Table 4 Level 4'!$B$121:$N$177,10,FALSE)</f>
        <v>0</v>
      </c>
      <c r="X53" s="1010">
        <f>VLOOKUP($A53,'Table 4 Level 4'!$B$121:$N$177,11,FALSE)</f>
        <v>0</v>
      </c>
      <c r="Y53" s="1660">
        <f t="shared" si="50"/>
        <v>2661464.9923900715</v>
      </c>
      <c r="Z53" s="1010">
        <f t="shared" si="69"/>
        <v>4670</v>
      </c>
      <c r="AA53" s="1010"/>
      <c r="AB53" s="1672">
        <f t="shared" si="72"/>
        <v>2876720</v>
      </c>
      <c r="AC53" s="1011"/>
      <c r="AD53" s="1008">
        <f t="shared" si="73"/>
        <v>0</v>
      </c>
      <c r="AE53" s="1011"/>
      <c r="AF53" s="1008">
        <f t="shared" si="74"/>
        <v>0</v>
      </c>
      <c r="AG53" s="1009">
        <f t="shared" si="40"/>
        <v>0</v>
      </c>
      <c r="AH53" s="1679">
        <f t="shared" si="41"/>
        <v>2876720</v>
      </c>
      <c r="AI53" s="1010">
        <f t="shared" si="51"/>
        <v>-50342.600000000006</v>
      </c>
      <c r="AJ53" s="1010">
        <f t="shared" si="52"/>
        <v>-7191.8</v>
      </c>
      <c r="AK53" s="1010">
        <f t="shared" si="53"/>
        <v>-57534.400000000009</v>
      </c>
      <c r="AL53" s="1672">
        <f t="shared" si="42"/>
        <v>2819185.6</v>
      </c>
      <c r="AM53" s="1008"/>
      <c r="AN53" s="1010">
        <v>25176</v>
      </c>
      <c r="AO53" s="1679">
        <f t="shared" si="43"/>
        <v>2844361.6</v>
      </c>
      <c r="AP53" s="1008"/>
      <c r="AQ53" s="1008">
        <f t="shared" si="44"/>
        <v>2844361.6</v>
      </c>
      <c r="AR53" s="1679">
        <f t="shared" si="45"/>
        <v>237030</v>
      </c>
    </row>
    <row r="54" spans="1:44" s="993" customFormat="1" ht="16.95" customHeight="1">
      <c r="A54" s="1222">
        <v>395004</v>
      </c>
      <c r="B54" s="1223" t="s">
        <v>886</v>
      </c>
      <c r="C54" s="1224">
        <f>IFERROR(VLOOKUP(A54,'[12]RSD-NO by Site'!$B$5:$D$62,3,FALSE),"na")</f>
        <v>564</v>
      </c>
      <c r="D54" s="1225">
        <f t="shared" si="70"/>
        <v>3602.7009974327857</v>
      </c>
      <c r="E54" s="1225">
        <f t="shared" si="27"/>
        <v>2031923</v>
      </c>
      <c r="F54" s="1225">
        <v>1003.4698393033485</v>
      </c>
      <c r="G54" s="1225">
        <f t="shared" si="28"/>
        <v>565956.98936708854</v>
      </c>
      <c r="H54" s="1658">
        <f t="shared" si="46"/>
        <v>2597879.9893670883</v>
      </c>
      <c r="I54" s="1226"/>
      <c r="J54" s="1227"/>
      <c r="K54" s="1228">
        <f t="shared" si="29"/>
        <v>0</v>
      </c>
      <c r="L54" s="1658">
        <f t="shared" si="30"/>
        <v>2597879.9893670883</v>
      </c>
      <c r="M54" s="1227">
        <f t="shared" si="47"/>
        <v>-45462.89981392405</v>
      </c>
      <c r="N54" s="1227">
        <f t="shared" si="48"/>
        <v>-6494.6999734177207</v>
      </c>
      <c r="O54" s="1227">
        <f t="shared" si="31"/>
        <v>-51957.599787341773</v>
      </c>
      <c r="P54" s="1658">
        <f t="shared" si="32"/>
        <v>2545922.3895797464</v>
      </c>
      <c r="Q54" s="1229">
        <v>11993.129109261587</v>
      </c>
      <c r="R54" s="1658">
        <f t="shared" si="71"/>
        <v>2557915.518689008</v>
      </c>
      <c r="S54" s="1229">
        <f>VLOOKUP($A54,'Table 4 Level 4'!$B$121:$N$177,4,FALSE)</f>
        <v>0</v>
      </c>
      <c r="T54" s="1229">
        <f>VLOOKUP($A54,'Table 4 Level 4'!$B$121:$N$177,13,FALSE)</f>
        <v>3302</v>
      </c>
      <c r="U54" s="1658">
        <f t="shared" si="49"/>
        <v>2561217.518689008</v>
      </c>
      <c r="V54" s="1229">
        <f>VLOOKUP($A54,'Table 4 Level 4'!$B$121:$N$177,9,FALSE)</f>
        <v>0</v>
      </c>
      <c r="W54" s="1229">
        <f>VLOOKUP($A54,'Table 4 Level 4'!$B$121:$N$177,10,FALSE)</f>
        <v>0</v>
      </c>
      <c r="X54" s="1229">
        <f>VLOOKUP($A54,'Table 4 Level 4'!$B$121:$N$177,11,FALSE)</f>
        <v>0</v>
      </c>
      <c r="Y54" s="1658">
        <f t="shared" si="50"/>
        <v>2561217.518689008</v>
      </c>
      <c r="Z54" s="1229">
        <f t="shared" si="69"/>
        <v>4670</v>
      </c>
      <c r="AA54" s="1229"/>
      <c r="AB54" s="1670">
        <f t="shared" si="72"/>
        <v>2633880</v>
      </c>
      <c r="AC54" s="1230"/>
      <c r="AD54" s="1227">
        <f t="shared" si="73"/>
        <v>0</v>
      </c>
      <c r="AE54" s="1230"/>
      <c r="AF54" s="1227">
        <f t="shared" si="74"/>
        <v>0</v>
      </c>
      <c r="AG54" s="1228">
        <f t="shared" si="40"/>
        <v>0</v>
      </c>
      <c r="AH54" s="1677">
        <f t="shared" si="41"/>
        <v>2633880</v>
      </c>
      <c r="AI54" s="1229">
        <f t="shared" si="51"/>
        <v>-46092.9</v>
      </c>
      <c r="AJ54" s="1229">
        <f t="shared" si="52"/>
        <v>-6584.7</v>
      </c>
      <c r="AK54" s="1229">
        <f t="shared" si="53"/>
        <v>-52677.599999999999</v>
      </c>
      <c r="AL54" s="1670">
        <f t="shared" si="42"/>
        <v>2581202.4</v>
      </c>
      <c r="AM54" s="1227"/>
      <c r="AN54" s="1229">
        <v>14686</v>
      </c>
      <c r="AO54" s="1677">
        <f t="shared" si="43"/>
        <v>2595888.4</v>
      </c>
      <c r="AP54" s="1227"/>
      <c r="AQ54" s="1227">
        <f t="shared" si="44"/>
        <v>2595888.4</v>
      </c>
      <c r="AR54" s="1677">
        <f t="shared" si="45"/>
        <v>216324</v>
      </c>
    </row>
    <row r="55" spans="1:44" s="993" customFormat="1" ht="16.95" customHeight="1">
      <c r="A55" s="1231">
        <v>395005</v>
      </c>
      <c r="B55" s="1232" t="s">
        <v>883</v>
      </c>
      <c r="C55" s="1233">
        <f>IFERROR(VLOOKUP(A55,'[12]RSD-NO by Site'!$B$5:$D$62,3,FALSE),"na")</f>
        <v>1170</v>
      </c>
      <c r="D55" s="1234">
        <f t="shared" si="70"/>
        <v>3602.7009974327857</v>
      </c>
      <c r="E55" s="1234">
        <f t="shared" si="27"/>
        <v>4215160</v>
      </c>
      <c r="F55" s="1234">
        <v>592.05529010815155</v>
      </c>
      <c r="G55" s="1234">
        <f t="shared" si="28"/>
        <v>692704.68942653737</v>
      </c>
      <c r="H55" s="1659">
        <f t="shared" si="46"/>
        <v>4907864.6894265376</v>
      </c>
      <c r="I55" s="1235"/>
      <c r="J55" s="1236"/>
      <c r="K55" s="1237">
        <f t="shared" si="29"/>
        <v>0</v>
      </c>
      <c r="L55" s="1659">
        <f t="shared" si="30"/>
        <v>4907864.6894265376</v>
      </c>
      <c r="M55" s="1236">
        <f t="shared" si="47"/>
        <v>-85887.632064964419</v>
      </c>
      <c r="N55" s="1236">
        <f t="shared" si="48"/>
        <v>-12269.661723566343</v>
      </c>
      <c r="O55" s="1236">
        <f t="shared" si="31"/>
        <v>-98157.293788530762</v>
      </c>
      <c r="P55" s="1659">
        <f t="shared" si="32"/>
        <v>4809707.3956380067</v>
      </c>
      <c r="Q55" s="1238">
        <v>-26456.954103553915</v>
      </c>
      <c r="R55" s="1659">
        <f t="shared" si="71"/>
        <v>4783250.4415344531</v>
      </c>
      <c r="S55" s="1238">
        <f>VLOOKUP($A55,'Table 4 Level 4'!$B$121:$N$177,4,FALSE)</f>
        <v>0</v>
      </c>
      <c r="T55" s="1238">
        <f>VLOOKUP($A55,'Table 4 Level 4'!$B$121:$N$177,13,FALSE)</f>
        <v>30420</v>
      </c>
      <c r="U55" s="1659">
        <f t="shared" si="49"/>
        <v>4813670.4415344531</v>
      </c>
      <c r="V55" s="1238">
        <f>VLOOKUP($A55,'Table 4 Level 4'!$B$121:$N$177,9,FALSE)</f>
        <v>0</v>
      </c>
      <c r="W55" s="1238">
        <f>VLOOKUP($A55,'Table 4 Level 4'!$B$121:$N$177,10,FALSE)</f>
        <v>0</v>
      </c>
      <c r="X55" s="1238">
        <f>VLOOKUP($A55,'Table 4 Level 4'!$B$121:$N$177,11,FALSE)</f>
        <v>0</v>
      </c>
      <c r="Y55" s="1659">
        <f t="shared" si="50"/>
        <v>4813670.4415344531</v>
      </c>
      <c r="Z55" s="1238">
        <f t="shared" si="69"/>
        <v>4670</v>
      </c>
      <c r="AA55" s="1238"/>
      <c r="AB55" s="1671">
        <f t="shared" si="72"/>
        <v>5463900</v>
      </c>
      <c r="AC55" s="1239"/>
      <c r="AD55" s="1236">
        <f t="shared" si="73"/>
        <v>0</v>
      </c>
      <c r="AE55" s="1239"/>
      <c r="AF55" s="1236">
        <f t="shared" si="74"/>
        <v>0</v>
      </c>
      <c r="AG55" s="1237">
        <f t="shared" si="40"/>
        <v>0</v>
      </c>
      <c r="AH55" s="1678">
        <f t="shared" si="41"/>
        <v>5463900</v>
      </c>
      <c r="AI55" s="1238">
        <f t="shared" si="51"/>
        <v>-95618.250000000015</v>
      </c>
      <c r="AJ55" s="1238">
        <f t="shared" si="52"/>
        <v>-13659.75</v>
      </c>
      <c r="AK55" s="1238">
        <f t="shared" si="53"/>
        <v>-109278.00000000001</v>
      </c>
      <c r="AL55" s="1671">
        <f t="shared" si="42"/>
        <v>5354622</v>
      </c>
      <c r="AM55" s="1236"/>
      <c r="AN55" s="1238">
        <v>-26644</v>
      </c>
      <c r="AO55" s="1678">
        <f t="shared" si="43"/>
        <v>5327978</v>
      </c>
      <c r="AP55" s="1236"/>
      <c r="AQ55" s="1236">
        <f t="shared" si="44"/>
        <v>5327978</v>
      </c>
      <c r="AR55" s="1678">
        <f t="shared" si="45"/>
        <v>443998</v>
      </c>
    </row>
    <row r="56" spans="1:44" s="993" customFormat="1" ht="16.95" customHeight="1">
      <c r="A56" s="1231">
        <v>395007</v>
      </c>
      <c r="B56" s="1232" t="s">
        <v>1129</v>
      </c>
      <c r="C56" s="1233">
        <f>IFERROR(VLOOKUP(A56,'[12]RSD-NO by Site'!$B$5:$D$62,3,FALSE),"na")</f>
        <v>234</v>
      </c>
      <c r="D56" s="1234">
        <f t="shared" si="70"/>
        <v>3602.7009974327857</v>
      </c>
      <c r="E56" s="1234">
        <f t="shared" si="27"/>
        <v>843032</v>
      </c>
      <c r="F56" s="1234">
        <v>907.69666061705993</v>
      </c>
      <c r="G56" s="1234">
        <f t="shared" si="28"/>
        <v>212401.01858439203</v>
      </c>
      <c r="H56" s="1659">
        <f t="shared" si="46"/>
        <v>1055433.018584392</v>
      </c>
      <c r="I56" s="1235"/>
      <c r="J56" s="1236"/>
      <c r="K56" s="1237">
        <f t="shared" si="29"/>
        <v>0</v>
      </c>
      <c r="L56" s="1659">
        <f t="shared" si="30"/>
        <v>1055433.018584392</v>
      </c>
      <c r="M56" s="1236">
        <f t="shared" si="47"/>
        <v>-18470.077825226861</v>
      </c>
      <c r="N56" s="1236">
        <f t="shared" si="48"/>
        <v>-2638.5825464609802</v>
      </c>
      <c r="O56" s="1236">
        <f t="shared" si="31"/>
        <v>-21108.660371687842</v>
      </c>
      <c r="P56" s="1659">
        <f t="shared" si="32"/>
        <v>1034324.3582127042</v>
      </c>
      <c r="Q56" s="1238">
        <v>-12061.838472637377</v>
      </c>
      <c r="R56" s="1659">
        <f t="shared" si="71"/>
        <v>1022262.5197400668</v>
      </c>
      <c r="S56" s="1238">
        <f>VLOOKUP($A56,'Table 4 Level 4'!$B$121:$N$177,4,FALSE)</f>
        <v>0</v>
      </c>
      <c r="T56" s="1238">
        <f>VLOOKUP($A56,'Table 4 Level 4'!$B$121:$N$177,13,FALSE)</f>
        <v>6084</v>
      </c>
      <c r="U56" s="1659">
        <f t="shared" si="49"/>
        <v>1028346.5197400668</v>
      </c>
      <c r="V56" s="1238">
        <f>VLOOKUP($A56,'Table 4 Level 4'!$B$121:$N$177,9,FALSE)</f>
        <v>0</v>
      </c>
      <c r="W56" s="1238">
        <f>VLOOKUP($A56,'Table 4 Level 4'!$B$121:$N$177,10,FALSE)</f>
        <v>0</v>
      </c>
      <c r="X56" s="1238">
        <f>VLOOKUP($A56,'Table 4 Level 4'!$B$121:$N$177,11,FALSE)</f>
        <v>0</v>
      </c>
      <c r="Y56" s="1659">
        <f t="shared" si="50"/>
        <v>1028346.5197400668</v>
      </c>
      <c r="Z56" s="1238">
        <f t="shared" si="69"/>
        <v>4670</v>
      </c>
      <c r="AA56" s="1238"/>
      <c r="AB56" s="1671">
        <f t="shared" si="72"/>
        <v>1092780</v>
      </c>
      <c r="AC56" s="1239"/>
      <c r="AD56" s="1236">
        <f t="shared" si="73"/>
        <v>0</v>
      </c>
      <c r="AE56" s="1239"/>
      <c r="AF56" s="1236">
        <f t="shared" si="74"/>
        <v>0</v>
      </c>
      <c r="AG56" s="1237">
        <f t="shared" si="40"/>
        <v>0</v>
      </c>
      <c r="AH56" s="1678">
        <f t="shared" si="41"/>
        <v>1092780</v>
      </c>
      <c r="AI56" s="1238">
        <f t="shared" si="51"/>
        <v>-19123.650000000001</v>
      </c>
      <c r="AJ56" s="1238">
        <f t="shared" si="52"/>
        <v>-2731.9500000000003</v>
      </c>
      <c r="AK56" s="1238">
        <f t="shared" si="53"/>
        <v>-21855.600000000002</v>
      </c>
      <c r="AL56" s="1671">
        <f t="shared" si="42"/>
        <v>1070924.3999999999</v>
      </c>
      <c r="AM56" s="1236"/>
      <c r="AN56" s="1238">
        <v>-2570</v>
      </c>
      <c r="AO56" s="1678">
        <f t="shared" si="43"/>
        <v>1068354.3999999999</v>
      </c>
      <c r="AP56" s="1236"/>
      <c r="AQ56" s="1236">
        <f t="shared" si="44"/>
        <v>1068354.3999999999</v>
      </c>
      <c r="AR56" s="1678">
        <f t="shared" si="45"/>
        <v>89030</v>
      </c>
    </row>
    <row r="57" spans="1:44" s="993" customFormat="1" ht="16.95" customHeight="1">
      <c r="A57" s="1240">
        <v>397001</v>
      </c>
      <c r="B57" s="1241" t="s">
        <v>888</v>
      </c>
      <c r="C57" s="1233">
        <f>IFERROR(VLOOKUP(A57,'[12]RSD-NO by Site'!$B$5:$D$62,3,FALSE),"na")</f>
        <v>447</v>
      </c>
      <c r="D57" s="1234">
        <f t="shared" si="70"/>
        <v>3602.7009974327857</v>
      </c>
      <c r="E57" s="1234">
        <f t="shared" si="27"/>
        <v>1610407</v>
      </c>
      <c r="F57" s="1238">
        <v>741.72363820787723</v>
      </c>
      <c r="G57" s="1234">
        <f t="shared" si="28"/>
        <v>331550.46627892111</v>
      </c>
      <c r="H57" s="1659">
        <f t="shared" si="46"/>
        <v>1941957.4662789211</v>
      </c>
      <c r="I57" s="1235"/>
      <c r="J57" s="1236"/>
      <c r="K57" s="1237">
        <f t="shared" si="29"/>
        <v>0</v>
      </c>
      <c r="L57" s="1659">
        <f t="shared" si="30"/>
        <v>1941957.4662789211</v>
      </c>
      <c r="M57" s="1236">
        <f t="shared" si="47"/>
        <v>-33984.255659881121</v>
      </c>
      <c r="N57" s="1236">
        <f t="shared" si="48"/>
        <v>-4854.8936656973028</v>
      </c>
      <c r="O57" s="1236">
        <f t="shared" si="31"/>
        <v>-38839.149325578423</v>
      </c>
      <c r="P57" s="1659">
        <f t="shared" si="32"/>
        <v>1903118.3169533426</v>
      </c>
      <c r="Q57" s="1238">
        <v>0</v>
      </c>
      <c r="R57" s="1659">
        <f t="shared" si="71"/>
        <v>1903118.3169533426</v>
      </c>
      <c r="S57" s="1238">
        <f>VLOOKUP($A57,'Table 4 Level 4'!$B$121:$N$177,4,FALSE)</f>
        <v>0</v>
      </c>
      <c r="T57" s="1238">
        <f>VLOOKUP($A57,'Table 4 Level 4'!$B$121:$N$177,13,FALSE)</f>
        <v>10998</v>
      </c>
      <c r="U57" s="1659">
        <f t="shared" si="49"/>
        <v>1914116.3169533426</v>
      </c>
      <c r="V57" s="1238">
        <f>VLOOKUP($A57,'Table 4 Level 4'!$B$121:$N$177,9,FALSE)</f>
        <v>0</v>
      </c>
      <c r="W57" s="1238">
        <f>VLOOKUP($A57,'Table 4 Level 4'!$B$121:$N$177,10,FALSE)</f>
        <v>0</v>
      </c>
      <c r="X57" s="1238">
        <f>VLOOKUP($A57,'Table 4 Level 4'!$B$121:$N$177,11,FALSE)</f>
        <v>0</v>
      </c>
      <c r="Y57" s="1659">
        <f t="shared" si="50"/>
        <v>1914116.3169533426</v>
      </c>
      <c r="Z57" s="1238">
        <f t="shared" si="69"/>
        <v>4670</v>
      </c>
      <c r="AA57" s="1238"/>
      <c r="AB57" s="1671">
        <f t="shared" si="72"/>
        <v>2087490</v>
      </c>
      <c r="AC57" s="1239"/>
      <c r="AD57" s="1236">
        <f t="shared" si="73"/>
        <v>0</v>
      </c>
      <c r="AE57" s="1239"/>
      <c r="AF57" s="1236">
        <f t="shared" si="74"/>
        <v>0</v>
      </c>
      <c r="AG57" s="1237">
        <f t="shared" si="40"/>
        <v>0</v>
      </c>
      <c r="AH57" s="1678">
        <f t="shared" si="41"/>
        <v>2087490</v>
      </c>
      <c r="AI57" s="1238">
        <f t="shared" si="51"/>
        <v>-36531.075000000004</v>
      </c>
      <c r="AJ57" s="1238">
        <f t="shared" si="52"/>
        <v>-5218.7250000000004</v>
      </c>
      <c r="AK57" s="1238">
        <f t="shared" si="53"/>
        <v>-41749.800000000003</v>
      </c>
      <c r="AL57" s="1671">
        <f t="shared" si="42"/>
        <v>2045740.2</v>
      </c>
      <c r="AM57" s="1236"/>
      <c r="AN57" s="1238">
        <v>0</v>
      </c>
      <c r="AO57" s="1678">
        <f t="shared" si="43"/>
        <v>2045740.2</v>
      </c>
      <c r="AP57" s="1236"/>
      <c r="AQ57" s="1236">
        <f t="shared" si="44"/>
        <v>2045740.2</v>
      </c>
      <c r="AR57" s="1678">
        <f t="shared" si="45"/>
        <v>170478</v>
      </c>
    </row>
    <row r="58" spans="1:44" s="993" customFormat="1" ht="16.95" customHeight="1">
      <c r="A58" s="996">
        <v>398001</v>
      </c>
      <c r="B58" s="1005" t="s">
        <v>744</v>
      </c>
      <c r="C58" s="1006">
        <f>IFERROR(VLOOKUP(A58,'[12]RSD-NO by Site'!$B$5:$D$62,3,FALSE),"na")</f>
        <v>714</v>
      </c>
      <c r="D58" s="1007">
        <f t="shared" si="70"/>
        <v>3602.7009974327857</v>
      </c>
      <c r="E58" s="1007">
        <f t="shared" si="27"/>
        <v>2572329</v>
      </c>
      <c r="F58" s="1010">
        <v>643.94778836855926</v>
      </c>
      <c r="G58" s="1007">
        <f t="shared" si="28"/>
        <v>459778.72089515132</v>
      </c>
      <c r="H58" s="1660">
        <f t="shared" si="46"/>
        <v>3032107.7208951511</v>
      </c>
      <c r="I58" s="1221"/>
      <c r="J58" s="1008"/>
      <c r="K58" s="1009">
        <f t="shared" si="29"/>
        <v>0</v>
      </c>
      <c r="L58" s="1660">
        <f t="shared" si="30"/>
        <v>3032107.7208951511</v>
      </c>
      <c r="M58" s="1008">
        <f t="shared" si="47"/>
        <v>-53061.885115665151</v>
      </c>
      <c r="N58" s="1008">
        <f t="shared" si="48"/>
        <v>-7580.269302237878</v>
      </c>
      <c r="O58" s="1008">
        <f t="shared" si="31"/>
        <v>-60642.154417903032</v>
      </c>
      <c r="P58" s="1660">
        <f t="shared" si="32"/>
        <v>2971465.566477248</v>
      </c>
      <c r="Q58" s="1010">
        <v>-3568.6567184167793</v>
      </c>
      <c r="R58" s="1660">
        <f t="shared" si="71"/>
        <v>2967896.9097588314</v>
      </c>
      <c r="S58" s="1010">
        <f>VLOOKUP($A58,'Table 4 Level 4'!$B$121:$N$177,4,FALSE)</f>
        <v>0</v>
      </c>
      <c r="T58" s="1010">
        <f>VLOOKUP($A58,'Table 4 Level 4'!$B$121:$N$177,13,FALSE)</f>
        <v>5278</v>
      </c>
      <c r="U58" s="1660">
        <f t="shared" si="49"/>
        <v>2973174.9097588314</v>
      </c>
      <c r="V58" s="1010">
        <f>VLOOKUP($A58,'Table 4 Level 4'!$B$121:$N$177,9,FALSE)</f>
        <v>0</v>
      </c>
      <c r="W58" s="1010">
        <f>VLOOKUP($A58,'Table 4 Level 4'!$B$121:$N$177,10,FALSE)</f>
        <v>0</v>
      </c>
      <c r="X58" s="1010">
        <f>VLOOKUP($A58,'Table 4 Level 4'!$B$121:$N$177,11,FALSE)</f>
        <v>0</v>
      </c>
      <c r="Y58" s="1660">
        <f t="shared" si="50"/>
        <v>2973174.9097588314</v>
      </c>
      <c r="Z58" s="1010">
        <f t="shared" si="69"/>
        <v>4670</v>
      </c>
      <c r="AA58" s="1010"/>
      <c r="AB58" s="1672">
        <f t="shared" si="72"/>
        <v>3334380</v>
      </c>
      <c r="AC58" s="1011"/>
      <c r="AD58" s="1008">
        <f t="shared" si="73"/>
        <v>0</v>
      </c>
      <c r="AE58" s="1011"/>
      <c r="AF58" s="1008">
        <f t="shared" si="74"/>
        <v>0</v>
      </c>
      <c r="AG58" s="1009">
        <f t="shared" si="40"/>
        <v>0</v>
      </c>
      <c r="AH58" s="1679">
        <f t="shared" si="41"/>
        <v>3334380</v>
      </c>
      <c r="AI58" s="1010">
        <f t="shared" si="51"/>
        <v>-58351.650000000009</v>
      </c>
      <c r="AJ58" s="1010">
        <f t="shared" si="52"/>
        <v>-8335.9500000000007</v>
      </c>
      <c r="AK58" s="1010">
        <f t="shared" si="53"/>
        <v>-66687.600000000006</v>
      </c>
      <c r="AL58" s="1672">
        <f t="shared" si="42"/>
        <v>3267692.4</v>
      </c>
      <c r="AM58" s="1008"/>
      <c r="AN58" s="1010">
        <v>0</v>
      </c>
      <c r="AO58" s="1679">
        <f t="shared" si="43"/>
        <v>3267692.4</v>
      </c>
      <c r="AP58" s="1008"/>
      <c r="AQ58" s="1008">
        <f t="shared" si="44"/>
        <v>3267692.4</v>
      </c>
      <c r="AR58" s="1679">
        <f t="shared" si="45"/>
        <v>272308</v>
      </c>
    </row>
    <row r="59" spans="1:44" s="993" customFormat="1" ht="16.95" customHeight="1">
      <c r="A59" s="1222">
        <v>398002</v>
      </c>
      <c r="B59" s="1223" t="s">
        <v>1147</v>
      </c>
      <c r="C59" s="1224">
        <f>IFERROR(VLOOKUP(A59,'[12]RSD-NO by Site'!$B$5:$D$62,3,FALSE),"na")</f>
        <v>878</v>
      </c>
      <c r="D59" s="1225">
        <f t="shared" si="70"/>
        <v>3602.7009974327857</v>
      </c>
      <c r="E59" s="1225">
        <f t="shared" si="27"/>
        <v>3163171</v>
      </c>
      <c r="F59" s="1225">
        <v>724.79250196607131</v>
      </c>
      <c r="G59" s="1225">
        <f t="shared" si="28"/>
        <v>636367.81672621064</v>
      </c>
      <c r="H59" s="1658">
        <f t="shared" si="46"/>
        <v>3799538.8167262105</v>
      </c>
      <c r="I59" s="1226"/>
      <c r="J59" s="1227"/>
      <c r="K59" s="1228">
        <f t="shared" si="29"/>
        <v>0</v>
      </c>
      <c r="L59" s="1658">
        <f t="shared" si="30"/>
        <v>3799538.8167262105</v>
      </c>
      <c r="M59" s="1227">
        <f t="shared" si="47"/>
        <v>-66491.929292708694</v>
      </c>
      <c r="N59" s="1227">
        <f t="shared" si="48"/>
        <v>-9498.8470418155266</v>
      </c>
      <c r="O59" s="1227">
        <f t="shared" si="31"/>
        <v>-75990.776334524213</v>
      </c>
      <c r="P59" s="1658">
        <f t="shared" si="32"/>
        <v>3723548.0403916864</v>
      </c>
      <c r="Q59" s="1229">
        <v>0</v>
      </c>
      <c r="R59" s="1658">
        <f t="shared" si="71"/>
        <v>3723548.0403916864</v>
      </c>
      <c r="S59" s="1229">
        <f>VLOOKUP($A59,'Table 4 Level 4'!$B$121:$N$177,4,FALSE)</f>
        <v>0</v>
      </c>
      <c r="T59" s="1229">
        <f>VLOOKUP($A59,'Table 4 Level 4'!$B$121:$N$177,13,FALSE)</f>
        <v>5538</v>
      </c>
      <c r="U59" s="1658">
        <f t="shared" si="49"/>
        <v>3729086.0403916864</v>
      </c>
      <c r="V59" s="1229">
        <f>VLOOKUP($A59,'Table 4 Level 4'!$B$121:$N$177,9,FALSE)</f>
        <v>0</v>
      </c>
      <c r="W59" s="1229">
        <f>VLOOKUP($A59,'Table 4 Level 4'!$B$121:$N$177,10,FALSE)</f>
        <v>0</v>
      </c>
      <c r="X59" s="1229">
        <f>VLOOKUP($A59,'Table 4 Level 4'!$B$121:$N$177,11,FALSE)</f>
        <v>0</v>
      </c>
      <c r="Y59" s="1658">
        <f t="shared" si="50"/>
        <v>3729086.0403916864</v>
      </c>
      <c r="Z59" s="1229">
        <f t="shared" si="69"/>
        <v>4670</v>
      </c>
      <c r="AA59" s="1229"/>
      <c r="AB59" s="1670">
        <f t="shared" si="72"/>
        <v>4100260</v>
      </c>
      <c r="AC59" s="1230"/>
      <c r="AD59" s="1227">
        <f t="shared" si="73"/>
        <v>0</v>
      </c>
      <c r="AE59" s="1230"/>
      <c r="AF59" s="1227">
        <f t="shared" si="74"/>
        <v>0</v>
      </c>
      <c r="AG59" s="1228">
        <f t="shared" si="40"/>
        <v>0</v>
      </c>
      <c r="AH59" s="1677">
        <f t="shared" si="41"/>
        <v>4100260</v>
      </c>
      <c r="AI59" s="1229">
        <f t="shared" si="51"/>
        <v>-71754.55</v>
      </c>
      <c r="AJ59" s="1229">
        <f t="shared" si="52"/>
        <v>-10250.65</v>
      </c>
      <c r="AK59" s="1229">
        <f t="shared" si="53"/>
        <v>-82005.2</v>
      </c>
      <c r="AL59" s="1670">
        <f t="shared" si="42"/>
        <v>4018254.8</v>
      </c>
      <c r="AM59" s="1227"/>
      <c r="AN59" s="1229">
        <v>0</v>
      </c>
      <c r="AO59" s="1677">
        <f t="shared" si="43"/>
        <v>4018254.8</v>
      </c>
      <c r="AP59" s="1227"/>
      <c r="AQ59" s="1227">
        <f t="shared" si="44"/>
        <v>4018254.8</v>
      </c>
      <c r="AR59" s="1677">
        <f t="shared" si="45"/>
        <v>334855</v>
      </c>
    </row>
    <row r="60" spans="1:44" s="993" customFormat="1" ht="16.95" customHeight="1">
      <c r="A60" s="1231">
        <v>398003</v>
      </c>
      <c r="B60" s="1232" t="s">
        <v>745</v>
      </c>
      <c r="C60" s="1233">
        <f>IFERROR(VLOOKUP(A60,'[12]RSD-NO by Site'!$B$5:$D$62,3,FALSE),"na")</f>
        <v>430</v>
      </c>
      <c r="D60" s="1234">
        <f t="shared" si="70"/>
        <v>3602.7009974327857</v>
      </c>
      <c r="E60" s="1234">
        <f t="shared" si="27"/>
        <v>1549161</v>
      </c>
      <c r="F60" s="1234">
        <v>592.5310423197493</v>
      </c>
      <c r="G60" s="1234">
        <f t="shared" si="28"/>
        <v>254788.34819749219</v>
      </c>
      <c r="H60" s="1659">
        <f t="shared" si="46"/>
        <v>1803949.3481974923</v>
      </c>
      <c r="I60" s="1235"/>
      <c r="J60" s="1236"/>
      <c r="K60" s="1237">
        <f t="shared" si="29"/>
        <v>0</v>
      </c>
      <c r="L60" s="1659">
        <f t="shared" si="30"/>
        <v>1803949.3481974923</v>
      </c>
      <c r="M60" s="1236">
        <f t="shared" si="47"/>
        <v>-31569.113593456117</v>
      </c>
      <c r="N60" s="1236">
        <f t="shared" si="48"/>
        <v>-4509.8733704937313</v>
      </c>
      <c r="O60" s="1236">
        <f t="shared" si="31"/>
        <v>-36078.98696394985</v>
      </c>
      <c r="P60" s="1659">
        <f t="shared" si="32"/>
        <v>1767870.3612335424</v>
      </c>
      <c r="Q60" s="1238">
        <v>0</v>
      </c>
      <c r="R60" s="1659">
        <f t="shared" si="71"/>
        <v>1767870.3612335424</v>
      </c>
      <c r="S60" s="1238">
        <f>VLOOKUP($A60,'Table 4 Level 4'!$B$121:$N$177,4,FALSE)</f>
        <v>0</v>
      </c>
      <c r="T60" s="1238">
        <f>VLOOKUP($A60,'Table 4 Level 4'!$B$121:$N$177,13,FALSE)</f>
        <v>5538</v>
      </c>
      <c r="U60" s="1659">
        <f t="shared" si="49"/>
        <v>1773408.3612335424</v>
      </c>
      <c r="V60" s="1238">
        <f>VLOOKUP($A60,'Table 4 Level 4'!$B$121:$N$177,9,FALSE)</f>
        <v>0</v>
      </c>
      <c r="W60" s="1238">
        <f>VLOOKUP($A60,'Table 4 Level 4'!$B$121:$N$177,10,FALSE)</f>
        <v>0</v>
      </c>
      <c r="X60" s="1238">
        <f>VLOOKUP($A60,'Table 4 Level 4'!$B$121:$N$177,11,FALSE)</f>
        <v>0</v>
      </c>
      <c r="Y60" s="1659">
        <f t="shared" si="50"/>
        <v>1773408.3612335424</v>
      </c>
      <c r="Z60" s="1238">
        <f t="shared" si="69"/>
        <v>4670</v>
      </c>
      <c r="AA60" s="1238"/>
      <c r="AB60" s="1671">
        <f t="shared" si="72"/>
        <v>2008100</v>
      </c>
      <c r="AC60" s="1239"/>
      <c r="AD60" s="1236">
        <f t="shared" si="73"/>
        <v>0</v>
      </c>
      <c r="AE60" s="1239"/>
      <c r="AF60" s="1236">
        <f t="shared" si="74"/>
        <v>0</v>
      </c>
      <c r="AG60" s="1237">
        <f t="shared" si="40"/>
        <v>0</v>
      </c>
      <c r="AH60" s="1678">
        <f t="shared" si="41"/>
        <v>2008100</v>
      </c>
      <c r="AI60" s="1238">
        <f t="shared" si="51"/>
        <v>-35141.75</v>
      </c>
      <c r="AJ60" s="1238">
        <f t="shared" si="52"/>
        <v>-5020.25</v>
      </c>
      <c r="AK60" s="1238">
        <f t="shared" si="53"/>
        <v>-40162</v>
      </c>
      <c r="AL60" s="1671">
        <f t="shared" si="42"/>
        <v>1967938</v>
      </c>
      <c r="AM60" s="1236"/>
      <c r="AN60" s="1238">
        <v>0</v>
      </c>
      <c r="AO60" s="1678">
        <f t="shared" si="43"/>
        <v>1967938</v>
      </c>
      <c r="AP60" s="1236"/>
      <c r="AQ60" s="1236">
        <f t="shared" si="44"/>
        <v>1967938</v>
      </c>
      <c r="AR60" s="1678">
        <f t="shared" si="45"/>
        <v>163995</v>
      </c>
    </row>
    <row r="61" spans="1:44" s="993" customFormat="1" ht="16.95" customHeight="1">
      <c r="A61" s="1231">
        <v>398004</v>
      </c>
      <c r="B61" s="1232" t="s">
        <v>1020</v>
      </c>
      <c r="C61" s="1233">
        <f>IFERROR(VLOOKUP(A61,'[12]RSD-NO by Site'!$B$5:$D$62,3,FALSE),"na")</f>
        <v>524</v>
      </c>
      <c r="D61" s="1234">
        <f t="shared" si="70"/>
        <v>3602.7009974327857</v>
      </c>
      <c r="E61" s="1234">
        <f t="shared" si="27"/>
        <v>1887815</v>
      </c>
      <c r="F61" s="1234">
        <v>741.31578947368428</v>
      </c>
      <c r="G61" s="1234">
        <f t="shared" si="28"/>
        <v>388449.47368421056</v>
      </c>
      <c r="H61" s="1659">
        <f t="shared" si="46"/>
        <v>2276264.4736842103</v>
      </c>
      <c r="I61" s="1235"/>
      <c r="J61" s="1236"/>
      <c r="K61" s="1237">
        <f t="shared" si="29"/>
        <v>0</v>
      </c>
      <c r="L61" s="1659">
        <f t="shared" si="30"/>
        <v>2276264.4736842103</v>
      </c>
      <c r="M61" s="1236">
        <f t="shared" si="47"/>
        <v>-39834.628289473687</v>
      </c>
      <c r="N61" s="1236">
        <f t="shared" si="48"/>
        <v>-5690.6611842105258</v>
      </c>
      <c r="O61" s="1236">
        <f t="shared" si="31"/>
        <v>-45525.289473684214</v>
      </c>
      <c r="P61" s="1659">
        <f t="shared" si="32"/>
        <v>2230739.1842105263</v>
      </c>
      <c r="Q61" s="1238">
        <v>0</v>
      </c>
      <c r="R61" s="1659">
        <f t="shared" si="71"/>
        <v>2230739.1842105263</v>
      </c>
      <c r="S61" s="1238">
        <f>VLOOKUP($A61,'Table 4 Level 4'!$B$121:$N$177,4,FALSE)</f>
        <v>0</v>
      </c>
      <c r="T61" s="1238">
        <f>VLOOKUP($A61,'Table 4 Level 4'!$B$121:$N$177,13,FALSE)</f>
        <v>0</v>
      </c>
      <c r="U61" s="1659">
        <f t="shared" si="49"/>
        <v>2230739.1842105263</v>
      </c>
      <c r="V61" s="1238">
        <f>VLOOKUP($A61,'Table 4 Level 4'!$B$121:$N$177,9,FALSE)</f>
        <v>0</v>
      </c>
      <c r="W61" s="1238">
        <f>VLOOKUP($A61,'Table 4 Level 4'!$B$121:$N$177,10,FALSE)</f>
        <v>0</v>
      </c>
      <c r="X61" s="1238">
        <f>VLOOKUP($A61,'Table 4 Level 4'!$B$121:$N$177,11,FALSE)</f>
        <v>0</v>
      </c>
      <c r="Y61" s="1659">
        <f t="shared" si="50"/>
        <v>2230739.1842105263</v>
      </c>
      <c r="Z61" s="1238">
        <f t="shared" si="69"/>
        <v>4670</v>
      </c>
      <c r="AA61" s="1238"/>
      <c r="AB61" s="1671">
        <f t="shared" si="72"/>
        <v>2447080</v>
      </c>
      <c r="AC61" s="1239"/>
      <c r="AD61" s="1236">
        <f t="shared" si="73"/>
        <v>0</v>
      </c>
      <c r="AE61" s="1239"/>
      <c r="AF61" s="1236">
        <f t="shared" si="74"/>
        <v>0</v>
      </c>
      <c r="AG61" s="1237">
        <f t="shared" si="40"/>
        <v>0</v>
      </c>
      <c r="AH61" s="1678">
        <f t="shared" si="41"/>
        <v>2447080</v>
      </c>
      <c r="AI61" s="1238">
        <f t="shared" si="51"/>
        <v>-42823.9</v>
      </c>
      <c r="AJ61" s="1238">
        <f t="shared" si="52"/>
        <v>-6117.7</v>
      </c>
      <c r="AK61" s="1238">
        <f t="shared" si="53"/>
        <v>-48941.599999999999</v>
      </c>
      <c r="AL61" s="1671">
        <f t="shared" si="42"/>
        <v>2398138.4</v>
      </c>
      <c r="AM61" s="1236"/>
      <c r="AN61" s="1238">
        <v>0</v>
      </c>
      <c r="AO61" s="1678">
        <f t="shared" si="43"/>
        <v>2398138.4</v>
      </c>
      <c r="AP61" s="1236"/>
      <c r="AQ61" s="1236">
        <f t="shared" si="44"/>
        <v>2398138.4</v>
      </c>
      <c r="AR61" s="1678">
        <f t="shared" si="45"/>
        <v>199845</v>
      </c>
    </row>
    <row r="62" spans="1:44" s="993" customFormat="1" ht="16.95" customHeight="1">
      <c r="A62" s="1240">
        <v>398005</v>
      </c>
      <c r="B62" s="1241" t="s">
        <v>746</v>
      </c>
      <c r="C62" s="1233">
        <f>IFERROR(VLOOKUP(A62,'[12]RSD-NO by Site'!$B$5:$D$62,3,FALSE),"na")</f>
        <v>418</v>
      </c>
      <c r="D62" s="1234">
        <f t="shared" si="70"/>
        <v>3602.7009974327857</v>
      </c>
      <c r="E62" s="1234">
        <f t="shared" si="27"/>
        <v>1505929</v>
      </c>
      <c r="F62" s="1238">
        <v>746.0335616438357</v>
      </c>
      <c r="G62" s="1234">
        <f t="shared" si="28"/>
        <v>311842.02876712329</v>
      </c>
      <c r="H62" s="1659">
        <f t="shared" si="46"/>
        <v>1817771.0287671234</v>
      </c>
      <c r="I62" s="1235"/>
      <c r="J62" s="1236"/>
      <c r="K62" s="1237">
        <f t="shared" si="29"/>
        <v>0</v>
      </c>
      <c r="L62" s="1659">
        <f t="shared" si="30"/>
        <v>1817771.0287671234</v>
      </c>
      <c r="M62" s="1236">
        <f t="shared" si="47"/>
        <v>-31810.993003424661</v>
      </c>
      <c r="N62" s="1236">
        <f t="shared" si="48"/>
        <v>-4544.4275719178086</v>
      </c>
      <c r="O62" s="1236">
        <f t="shared" si="31"/>
        <v>-36355.420575342469</v>
      </c>
      <c r="P62" s="1659">
        <f t="shared" si="32"/>
        <v>1781415.608191781</v>
      </c>
      <c r="Q62" s="1238">
        <v>0</v>
      </c>
      <c r="R62" s="1659">
        <f t="shared" si="71"/>
        <v>1781415.608191781</v>
      </c>
      <c r="S62" s="1238">
        <f>VLOOKUP($A62,'Table 4 Level 4'!$B$121:$N$177,4,FALSE)</f>
        <v>0</v>
      </c>
      <c r="T62" s="1238">
        <f>VLOOKUP($A62,'Table 4 Level 4'!$B$121:$N$177,13,FALSE)</f>
        <v>10868</v>
      </c>
      <c r="U62" s="1659">
        <f t="shared" si="49"/>
        <v>1792283.608191781</v>
      </c>
      <c r="V62" s="1238">
        <f>VLOOKUP($A62,'Table 4 Level 4'!$B$121:$N$177,9,FALSE)</f>
        <v>0</v>
      </c>
      <c r="W62" s="1238">
        <f>VLOOKUP($A62,'Table 4 Level 4'!$B$121:$N$177,10,FALSE)</f>
        <v>0</v>
      </c>
      <c r="X62" s="1238">
        <f>VLOOKUP($A62,'Table 4 Level 4'!$B$121:$N$177,11,FALSE)</f>
        <v>0</v>
      </c>
      <c r="Y62" s="1659">
        <f t="shared" si="50"/>
        <v>1792283.608191781</v>
      </c>
      <c r="Z62" s="1238">
        <f t="shared" si="69"/>
        <v>4670</v>
      </c>
      <c r="AA62" s="1238"/>
      <c r="AB62" s="1671">
        <f t="shared" si="72"/>
        <v>1952060</v>
      </c>
      <c r="AC62" s="1239"/>
      <c r="AD62" s="1236">
        <f t="shared" si="73"/>
        <v>0</v>
      </c>
      <c r="AE62" s="1239"/>
      <c r="AF62" s="1236">
        <f t="shared" si="74"/>
        <v>0</v>
      </c>
      <c r="AG62" s="1237">
        <f t="shared" si="40"/>
        <v>0</v>
      </c>
      <c r="AH62" s="1678">
        <f t="shared" si="41"/>
        <v>1952060</v>
      </c>
      <c r="AI62" s="1238">
        <f t="shared" si="51"/>
        <v>-34161.050000000003</v>
      </c>
      <c r="AJ62" s="1238">
        <f t="shared" si="52"/>
        <v>-4880.1500000000005</v>
      </c>
      <c r="AK62" s="1238">
        <f t="shared" si="53"/>
        <v>-39041.200000000004</v>
      </c>
      <c r="AL62" s="1671">
        <f t="shared" si="42"/>
        <v>1913018.8</v>
      </c>
      <c r="AM62" s="1236"/>
      <c r="AN62" s="1238">
        <v>0</v>
      </c>
      <c r="AO62" s="1678">
        <f t="shared" si="43"/>
        <v>1913018.8</v>
      </c>
      <c r="AP62" s="1236"/>
      <c r="AQ62" s="1236">
        <f t="shared" si="44"/>
        <v>1913018.8</v>
      </c>
      <c r="AR62" s="1678">
        <f t="shared" si="45"/>
        <v>159418</v>
      </c>
    </row>
    <row r="63" spans="1:44" s="993" customFormat="1" ht="16.95" customHeight="1">
      <c r="A63" s="996">
        <v>398006</v>
      </c>
      <c r="B63" s="1005" t="s">
        <v>1021</v>
      </c>
      <c r="C63" s="1006">
        <f>IFERROR(VLOOKUP(A63,'[12]RSD-NO by Site'!$B$5:$D$62,3,FALSE),"na")</f>
        <v>770</v>
      </c>
      <c r="D63" s="1007">
        <f t="shared" si="70"/>
        <v>3602.7009974327857</v>
      </c>
      <c r="E63" s="1007">
        <f>ROUND(C63*D63,0)</f>
        <v>2774080</v>
      </c>
      <c r="F63" s="1010">
        <v>746.0335616438357</v>
      </c>
      <c r="G63" s="1007">
        <f>F63*C63</f>
        <v>574445.84246575343</v>
      </c>
      <c r="H63" s="1660">
        <f>E63+G63</f>
        <v>3348525.8424657537</v>
      </c>
      <c r="I63" s="1221"/>
      <c r="J63" s="1008"/>
      <c r="K63" s="1009">
        <f t="shared" si="29"/>
        <v>0</v>
      </c>
      <c r="L63" s="1660">
        <f t="shared" si="30"/>
        <v>3348525.8424657537</v>
      </c>
      <c r="M63" s="1008">
        <f t="shared" si="47"/>
        <v>-58599.202243150692</v>
      </c>
      <c r="N63" s="1008">
        <f t="shared" si="48"/>
        <v>-8371.3146061643838</v>
      </c>
      <c r="O63" s="1008">
        <f t="shared" si="31"/>
        <v>-66970.51684931507</v>
      </c>
      <c r="P63" s="1660">
        <f t="shared" si="32"/>
        <v>3281555.3256164384</v>
      </c>
      <c r="Q63" s="1010">
        <v>0</v>
      </c>
      <c r="R63" s="1660">
        <f t="shared" si="71"/>
        <v>3281555.3256164384</v>
      </c>
      <c r="S63" s="1010">
        <f>VLOOKUP($A63,'Table 4 Level 4'!$B$121:$N$177,4,FALSE)</f>
        <v>0</v>
      </c>
      <c r="T63" s="1010">
        <f>VLOOKUP($A63,'Table 4 Level 4'!$B$121:$N$177,13,FALSE)</f>
        <v>5408</v>
      </c>
      <c r="U63" s="1660">
        <f t="shared" si="49"/>
        <v>3286963.3256164384</v>
      </c>
      <c r="V63" s="1010">
        <f>VLOOKUP($A63,'Table 4 Level 4'!$B$121:$N$177,9,FALSE)</f>
        <v>0</v>
      </c>
      <c r="W63" s="1010">
        <f>VLOOKUP($A63,'Table 4 Level 4'!$B$121:$N$177,10,FALSE)</f>
        <v>0</v>
      </c>
      <c r="X63" s="1010">
        <f>VLOOKUP($A63,'Table 4 Level 4'!$B$121:$N$177,11,FALSE)</f>
        <v>0</v>
      </c>
      <c r="Y63" s="1660">
        <f t="shared" si="50"/>
        <v>3286963.3256164384</v>
      </c>
      <c r="Z63" s="1010">
        <f t="shared" si="69"/>
        <v>4670</v>
      </c>
      <c r="AA63" s="1010"/>
      <c r="AB63" s="1672">
        <f t="shared" si="72"/>
        <v>3595900</v>
      </c>
      <c r="AC63" s="1011"/>
      <c r="AD63" s="1008">
        <f t="shared" si="73"/>
        <v>0</v>
      </c>
      <c r="AE63" s="1011"/>
      <c r="AF63" s="1008">
        <f t="shared" si="74"/>
        <v>0</v>
      </c>
      <c r="AG63" s="1009">
        <f t="shared" si="40"/>
        <v>0</v>
      </c>
      <c r="AH63" s="1679">
        <f t="shared" si="41"/>
        <v>3595900</v>
      </c>
      <c r="AI63" s="1010">
        <f t="shared" si="51"/>
        <v>-62928.250000000007</v>
      </c>
      <c r="AJ63" s="1010">
        <f t="shared" si="52"/>
        <v>-8989.75</v>
      </c>
      <c r="AK63" s="1010">
        <f t="shared" si="53"/>
        <v>-71918</v>
      </c>
      <c r="AL63" s="1672">
        <f t="shared" si="42"/>
        <v>3523982</v>
      </c>
      <c r="AM63" s="1008"/>
      <c r="AN63" s="1010">
        <v>0</v>
      </c>
      <c r="AO63" s="1679">
        <f t="shared" si="43"/>
        <v>3523982</v>
      </c>
      <c r="AP63" s="1008"/>
      <c r="AQ63" s="1008">
        <f t="shared" si="44"/>
        <v>3523982</v>
      </c>
      <c r="AR63" s="1679">
        <f t="shared" si="45"/>
        <v>293665</v>
      </c>
    </row>
    <row r="64" spans="1:44" s="993" customFormat="1" ht="16.95" customHeight="1">
      <c r="A64" s="1242">
        <v>398007</v>
      </c>
      <c r="B64" s="1243" t="s">
        <v>714</v>
      </c>
      <c r="C64" s="1224">
        <v>100</v>
      </c>
      <c r="D64" s="1225">
        <f t="shared" si="70"/>
        <v>3602.7009974327857</v>
      </c>
      <c r="E64" s="1225">
        <f>ROUND(C64*D64,0)</f>
        <v>360270</v>
      </c>
      <c r="F64" s="1225">
        <f>F63</f>
        <v>746.0335616438357</v>
      </c>
      <c r="G64" s="1225">
        <f>F64*C64</f>
        <v>74603.356164383571</v>
      </c>
      <c r="H64" s="1658">
        <f>E64+G64</f>
        <v>434873.35616438359</v>
      </c>
      <c r="I64" s="1226"/>
      <c r="J64" s="1227"/>
      <c r="K64" s="1228">
        <f t="shared" ref="K64" si="75">+I64+J64</f>
        <v>0</v>
      </c>
      <c r="L64" s="1658">
        <f t="shared" ref="L64" si="76">+H64+K64</f>
        <v>434873.35616438359</v>
      </c>
      <c r="M64" s="1227">
        <f t="shared" ref="M64" si="77">-L64*$M$4</f>
        <v>-7610.2837328767137</v>
      </c>
      <c r="N64" s="1227">
        <f t="shared" ref="N64" si="78">-L64*$N$4</f>
        <v>-1087.183390410959</v>
      </c>
      <c r="O64" s="1227">
        <f t="shared" ref="O64" si="79">+M64+N64</f>
        <v>-8697.4671232876717</v>
      </c>
      <c r="P64" s="1658">
        <f t="shared" ref="P64" si="80">+L64+O64</f>
        <v>426175.88904109591</v>
      </c>
      <c r="Q64" s="1229">
        <v>0</v>
      </c>
      <c r="R64" s="1658">
        <f t="shared" si="71"/>
        <v>426175.88904109591</v>
      </c>
      <c r="S64" s="1229">
        <f>VLOOKUP($A64,'Table 4 Level 4'!$B$121:$N$177,4,FALSE)</f>
        <v>0</v>
      </c>
      <c r="T64" s="1229">
        <f>VLOOKUP($A64,'Table 4 Level 4'!$B$121:$N$177,13,FALSE)</f>
        <v>0</v>
      </c>
      <c r="U64" s="1658">
        <f t="shared" si="49"/>
        <v>426175.88904109591</v>
      </c>
      <c r="V64" s="1229">
        <f>VLOOKUP($A64,'Table 4 Level 4'!$B$121:$N$177,9,FALSE)</f>
        <v>0</v>
      </c>
      <c r="W64" s="1229">
        <f>VLOOKUP($A64,'Table 4 Level 4'!$B$121:$N$177,10,FALSE)</f>
        <v>0</v>
      </c>
      <c r="X64" s="1229">
        <f>VLOOKUP($A64,'Table 4 Level 4'!$B$121:$N$177,11,FALSE)</f>
        <v>0</v>
      </c>
      <c r="Y64" s="1658">
        <f t="shared" si="50"/>
        <v>426175.88904109591</v>
      </c>
      <c r="Z64" s="1229">
        <f t="shared" si="69"/>
        <v>4670</v>
      </c>
      <c r="AA64" s="1229"/>
      <c r="AB64" s="1670">
        <f t="shared" si="72"/>
        <v>467000</v>
      </c>
      <c r="AC64" s="1230"/>
      <c r="AD64" s="1227">
        <f t="shared" si="73"/>
        <v>0</v>
      </c>
      <c r="AE64" s="1230"/>
      <c r="AF64" s="1227">
        <f t="shared" si="74"/>
        <v>0</v>
      </c>
      <c r="AG64" s="1228">
        <f t="shared" ref="AG64" si="81">+AD64+AF64</f>
        <v>0</v>
      </c>
      <c r="AH64" s="1677">
        <f t="shared" ref="AH64" si="82">+AB64+AG64</f>
        <v>467000</v>
      </c>
      <c r="AI64" s="1229">
        <f t="shared" ref="AI64" si="83">-$AI$4*AH64</f>
        <v>-8172.5000000000009</v>
      </c>
      <c r="AJ64" s="1229">
        <f t="shared" ref="AJ64" si="84">-$AJ$4*AH64</f>
        <v>-1167.5</v>
      </c>
      <c r="AK64" s="1229">
        <f t="shared" ref="AK64" si="85">AI64+AJ64</f>
        <v>-9340</v>
      </c>
      <c r="AL64" s="1670">
        <f t="shared" ref="AL64" si="86">AH64+AK64</f>
        <v>457660</v>
      </c>
      <c r="AM64" s="1227"/>
      <c r="AN64" s="1229">
        <v>0</v>
      </c>
      <c r="AO64" s="1677">
        <f t="shared" ref="AO64" si="87">SUM(AL64:AN64)</f>
        <v>457660</v>
      </c>
      <c r="AP64" s="1227"/>
      <c r="AQ64" s="1227">
        <f t="shared" ref="AQ64" si="88">+AO64-AP64</f>
        <v>457660</v>
      </c>
      <c r="AR64" s="1677">
        <f t="shared" ref="AR64" si="89">ROUND(AQ64/12,0)</f>
        <v>38138</v>
      </c>
    </row>
    <row r="65" spans="1:44" s="993" customFormat="1" ht="16.95" customHeight="1">
      <c r="A65" s="1231">
        <v>399001</v>
      </c>
      <c r="B65" s="1232" t="s">
        <v>747</v>
      </c>
      <c r="C65" s="1233">
        <f>IFERROR(VLOOKUP(A65,'[12]RSD-NO by Site'!$B$5:$D$62,3,FALSE),"na")</f>
        <v>482</v>
      </c>
      <c r="D65" s="1234">
        <f t="shared" si="70"/>
        <v>3602.7009974327857</v>
      </c>
      <c r="E65" s="1234">
        <f>ROUND(C65*D65,0)</f>
        <v>1736502</v>
      </c>
      <c r="F65" s="1234">
        <v>752.85062142702634</v>
      </c>
      <c r="G65" s="1234">
        <f>F65*C65</f>
        <v>362873.99952782667</v>
      </c>
      <c r="H65" s="1659">
        <f>E65+G65</f>
        <v>2099375.9995278269</v>
      </c>
      <c r="I65" s="1235"/>
      <c r="J65" s="1236"/>
      <c r="K65" s="1237">
        <f t="shared" si="29"/>
        <v>0</v>
      </c>
      <c r="L65" s="1659">
        <f t="shared" si="30"/>
        <v>2099375.9995278269</v>
      </c>
      <c r="M65" s="1236">
        <f t="shared" si="47"/>
        <v>-36739.079991736973</v>
      </c>
      <c r="N65" s="1236">
        <f t="shared" si="48"/>
        <v>-5248.4399988195673</v>
      </c>
      <c r="O65" s="1236">
        <f t="shared" si="31"/>
        <v>-41987.519990556539</v>
      </c>
      <c r="P65" s="1659">
        <f t="shared" si="32"/>
        <v>2057388.4795372703</v>
      </c>
      <c r="Q65" s="1238">
        <v>0</v>
      </c>
      <c r="R65" s="1659">
        <f t="shared" si="71"/>
        <v>2057388.4795372703</v>
      </c>
      <c r="S65" s="1238">
        <f>VLOOKUP($A65,'Table 4 Level 4'!$B$121:$N$177,4,FALSE)</f>
        <v>0</v>
      </c>
      <c r="T65" s="1238">
        <f>VLOOKUP($A65,'Table 4 Level 4'!$B$121:$N$177,13,FALSE)</f>
        <v>2834</v>
      </c>
      <c r="U65" s="1659">
        <f t="shared" si="49"/>
        <v>2060222.4795372703</v>
      </c>
      <c r="V65" s="1238">
        <f>VLOOKUP($A65,'Table 4 Level 4'!$B$121:$N$177,9,FALSE)</f>
        <v>0</v>
      </c>
      <c r="W65" s="1238">
        <f>VLOOKUP($A65,'Table 4 Level 4'!$B$121:$N$177,10,FALSE)</f>
        <v>0</v>
      </c>
      <c r="X65" s="1238">
        <f>VLOOKUP($A65,'Table 4 Level 4'!$B$121:$N$177,11,FALSE)</f>
        <v>0</v>
      </c>
      <c r="Y65" s="1659">
        <f t="shared" si="50"/>
        <v>2060222.4795372703</v>
      </c>
      <c r="Z65" s="1238">
        <f t="shared" si="69"/>
        <v>4670</v>
      </c>
      <c r="AA65" s="1238"/>
      <c r="AB65" s="1671">
        <f t="shared" si="72"/>
        <v>2250940</v>
      </c>
      <c r="AC65" s="1239"/>
      <c r="AD65" s="1236">
        <f t="shared" si="73"/>
        <v>0</v>
      </c>
      <c r="AE65" s="1239"/>
      <c r="AF65" s="1236">
        <f t="shared" si="74"/>
        <v>0</v>
      </c>
      <c r="AG65" s="1237">
        <f t="shared" si="40"/>
        <v>0</v>
      </c>
      <c r="AH65" s="1678">
        <f t="shared" si="41"/>
        <v>2250940</v>
      </c>
      <c r="AI65" s="1238">
        <f t="shared" si="51"/>
        <v>-39391.450000000004</v>
      </c>
      <c r="AJ65" s="1238">
        <f t="shared" si="52"/>
        <v>-5627.35</v>
      </c>
      <c r="AK65" s="1238">
        <f t="shared" si="53"/>
        <v>-45018.8</v>
      </c>
      <c r="AL65" s="1671">
        <f t="shared" si="42"/>
        <v>2205921.2000000002</v>
      </c>
      <c r="AM65" s="1236"/>
      <c r="AN65" s="1238">
        <v>0</v>
      </c>
      <c r="AO65" s="1678">
        <f t="shared" si="43"/>
        <v>2205921.2000000002</v>
      </c>
      <c r="AP65" s="1236"/>
      <c r="AQ65" s="1236">
        <f t="shared" si="44"/>
        <v>2205921.2000000002</v>
      </c>
      <c r="AR65" s="1678">
        <f t="shared" si="45"/>
        <v>183827</v>
      </c>
    </row>
    <row r="66" spans="1:44" s="993" customFormat="1" ht="16.95" customHeight="1">
      <c r="A66" s="1231">
        <v>399002</v>
      </c>
      <c r="B66" s="1232" t="s">
        <v>748</v>
      </c>
      <c r="C66" s="1233">
        <f>IFERROR(VLOOKUP(A66,'[12]RSD-NO by Site'!$B$5:$D$62,3,FALSE),"na")</f>
        <v>583</v>
      </c>
      <c r="D66" s="1234">
        <f t="shared" si="70"/>
        <v>3602.7009974327857</v>
      </c>
      <c r="E66" s="1234">
        <f>ROUND(C66*D66,0)</f>
        <v>2100375</v>
      </c>
      <c r="F66" s="1234">
        <v>803.97152919927748</v>
      </c>
      <c r="G66" s="1234">
        <f>F66*C66</f>
        <v>468715.40152317879</v>
      </c>
      <c r="H66" s="1659">
        <f>E66+G66</f>
        <v>2569090.4015231789</v>
      </c>
      <c r="I66" s="1235"/>
      <c r="J66" s="1236"/>
      <c r="K66" s="1237">
        <f t="shared" si="29"/>
        <v>0</v>
      </c>
      <c r="L66" s="1659">
        <f t="shared" si="30"/>
        <v>2569090.4015231789</v>
      </c>
      <c r="M66" s="1236">
        <f t="shared" si="47"/>
        <v>-44959.082026655633</v>
      </c>
      <c r="N66" s="1236">
        <f t="shared" si="48"/>
        <v>-6422.7260038079476</v>
      </c>
      <c r="O66" s="1236">
        <f t="shared" si="31"/>
        <v>-51381.808030463581</v>
      </c>
      <c r="P66" s="1659">
        <f t="shared" si="32"/>
        <v>2517708.5934927152</v>
      </c>
      <c r="Q66" s="1238">
        <v>0</v>
      </c>
      <c r="R66" s="1659">
        <f t="shared" si="71"/>
        <v>2517708.5934927152</v>
      </c>
      <c r="S66" s="1238">
        <f>VLOOKUP($A66,'Table 4 Level 4'!$B$121:$N$177,4,FALSE)</f>
        <v>0</v>
      </c>
      <c r="T66" s="1238">
        <f>VLOOKUP($A66,'Table 4 Level 4'!$B$121:$N$177,13,FALSE)</f>
        <v>2418</v>
      </c>
      <c r="U66" s="1659">
        <f t="shared" si="49"/>
        <v>2520126.5934927152</v>
      </c>
      <c r="V66" s="1238">
        <f>VLOOKUP($A66,'Table 4 Level 4'!$B$121:$N$177,9,FALSE)</f>
        <v>0</v>
      </c>
      <c r="W66" s="1238">
        <f>VLOOKUP($A66,'Table 4 Level 4'!$B$121:$N$177,10,FALSE)</f>
        <v>0</v>
      </c>
      <c r="X66" s="1238">
        <f>VLOOKUP($A66,'Table 4 Level 4'!$B$121:$N$177,11,FALSE)</f>
        <v>0</v>
      </c>
      <c r="Y66" s="1659">
        <f t="shared" si="50"/>
        <v>2520126.5934927152</v>
      </c>
      <c r="Z66" s="1238">
        <f t="shared" si="69"/>
        <v>4670</v>
      </c>
      <c r="AA66" s="1238"/>
      <c r="AB66" s="1671">
        <f t="shared" si="72"/>
        <v>2722610</v>
      </c>
      <c r="AC66" s="1239"/>
      <c r="AD66" s="1236">
        <f t="shared" si="73"/>
        <v>0</v>
      </c>
      <c r="AE66" s="1239"/>
      <c r="AF66" s="1236">
        <f t="shared" si="74"/>
        <v>0</v>
      </c>
      <c r="AG66" s="1237">
        <f t="shared" si="40"/>
        <v>0</v>
      </c>
      <c r="AH66" s="1678">
        <f t="shared" si="41"/>
        <v>2722610</v>
      </c>
      <c r="AI66" s="1238">
        <f t="shared" si="51"/>
        <v>-47645.675000000003</v>
      </c>
      <c r="AJ66" s="1238">
        <f t="shared" si="52"/>
        <v>-6806.5250000000005</v>
      </c>
      <c r="AK66" s="1238">
        <f>AI66+AJ66</f>
        <v>-54452.200000000004</v>
      </c>
      <c r="AL66" s="1671">
        <f t="shared" si="42"/>
        <v>2668157.7999999998</v>
      </c>
      <c r="AM66" s="1236"/>
      <c r="AN66" s="1238">
        <v>0</v>
      </c>
      <c r="AO66" s="1678">
        <f t="shared" ref="AO66:AO70" si="90">SUM(AL66:AN66)</f>
        <v>2668157.7999999998</v>
      </c>
      <c r="AP66" s="1236"/>
      <c r="AQ66" s="1236">
        <f t="shared" si="44"/>
        <v>2668157.7999999998</v>
      </c>
      <c r="AR66" s="1678">
        <f t="shared" si="45"/>
        <v>222346</v>
      </c>
    </row>
    <row r="67" spans="1:44" s="993" customFormat="1" ht="16.95" customHeight="1">
      <c r="A67" s="1240">
        <v>399003</v>
      </c>
      <c r="B67" s="1241" t="s">
        <v>749</v>
      </c>
      <c r="C67" s="1233">
        <f>IFERROR(VLOOKUP(A67,'[12]RSD-NO by Site'!$B$5:$D$62,3,FALSE),"na")</f>
        <v>379</v>
      </c>
      <c r="D67" s="1234">
        <f t="shared" si="70"/>
        <v>3602.7009974327857</v>
      </c>
      <c r="E67" s="1234">
        <f t="shared" ref="E67:E70" si="91">ROUND(C67*D67,0)</f>
        <v>1365424</v>
      </c>
      <c r="F67" s="1238">
        <v>746.0335616438357</v>
      </c>
      <c r="G67" s="1234">
        <f t="shared" ref="G67:G70" si="92">F67*C67</f>
        <v>282746.71986301371</v>
      </c>
      <c r="H67" s="1659">
        <f t="shared" ref="H67:H70" si="93">E67+G67</f>
        <v>1648170.7198630138</v>
      </c>
      <c r="I67" s="1235"/>
      <c r="J67" s="1236"/>
      <c r="K67" s="1237">
        <f t="shared" si="29"/>
        <v>0</v>
      </c>
      <c r="L67" s="1659">
        <f t="shared" si="30"/>
        <v>1648170.7198630138</v>
      </c>
      <c r="M67" s="1236">
        <f t="shared" si="47"/>
        <v>-28842.987597602743</v>
      </c>
      <c r="N67" s="1236">
        <f t="shared" si="48"/>
        <v>-4120.4267996575345</v>
      </c>
      <c r="O67" s="1236">
        <f t="shared" si="31"/>
        <v>-32963.414397260276</v>
      </c>
      <c r="P67" s="1659">
        <f t="shared" si="32"/>
        <v>1615207.3054657537</v>
      </c>
      <c r="Q67" s="1238">
        <v>-15023.382838063104</v>
      </c>
      <c r="R67" s="1659">
        <f t="shared" si="71"/>
        <v>1600183.9226276905</v>
      </c>
      <c r="S67" s="1238">
        <f>VLOOKUP($A67,'Table 4 Level 4'!$B$121:$N$177,4,FALSE)</f>
        <v>0</v>
      </c>
      <c r="T67" s="1238">
        <f>VLOOKUP($A67,'Table 4 Level 4'!$B$121:$N$177,13,FALSE)</f>
        <v>9854</v>
      </c>
      <c r="U67" s="1659">
        <f t="shared" si="49"/>
        <v>1610037.9226276905</v>
      </c>
      <c r="V67" s="1238">
        <f>VLOOKUP($A67,'Table 4 Level 4'!$B$121:$N$177,9,FALSE)</f>
        <v>0</v>
      </c>
      <c r="W67" s="1238">
        <f>VLOOKUP($A67,'Table 4 Level 4'!$B$121:$N$177,10,FALSE)</f>
        <v>0</v>
      </c>
      <c r="X67" s="1238">
        <f>VLOOKUP($A67,'Table 4 Level 4'!$B$121:$N$177,11,FALSE)</f>
        <v>0</v>
      </c>
      <c r="Y67" s="1659">
        <f t="shared" si="50"/>
        <v>1610037.9226276905</v>
      </c>
      <c r="Z67" s="1238">
        <f t="shared" si="69"/>
        <v>4670</v>
      </c>
      <c r="AA67" s="1238"/>
      <c r="AB67" s="1671">
        <f t="shared" si="72"/>
        <v>1769930</v>
      </c>
      <c r="AC67" s="1239"/>
      <c r="AD67" s="1236">
        <f t="shared" si="73"/>
        <v>0</v>
      </c>
      <c r="AE67" s="1239"/>
      <c r="AF67" s="1236">
        <f t="shared" si="74"/>
        <v>0</v>
      </c>
      <c r="AG67" s="1237">
        <f t="shared" si="40"/>
        <v>0</v>
      </c>
      <c r="AH67" s="1678">
        <f t="shared" si="41"/>
        <v>1769930</v>
      </c>
      <c r="AI67" s="1238">
        <f t="shared" si="51"/>
        <v>-30973.775000000001</v>
      </c>
      <c r="AJ67" s="1238">
        <f t="shared" si="52"/>
        <v>-4424.8249999999998</v>
      </c>
      <c r="AK67" s="1238">
        <f t="shared" ref="AK67:AK70" si="94">AI67+AJ67</f>
        <v>-35398.6</v>
      </c>
      <c r="AL67" s="1671">
        <f t="shared" si="42"/>
        <v>1734531.4</v>
      </c>
      <c r="AM67" s="1236"/>
      <c r="AN67" s="1238">
        <v>-2098</v>
      </c>
      <c r="AO67" s="1678">
        <f t="shared" si="90"/>
        <v>1732433.4</v>
      </c>
      <c r="AP67" s="1236"/>
      <c r="AQ67" s="1236">
        <f t="shared" si="44"/>
        <v>1732433.4</v>
      </c>
      <c r="AR67" s="1678">
        <f t="shared" si="45"/>
        <v>144369</v>
      </c>
    </row>
    <row r="68" spans="1:44" s="993" customFormat="1" ht="28.2" customHeight="1">
      <c r="A68" s="996">
        <v>399004</v>
      </c>
      <c r="B68" s="1005" t="s">
        <v>1083</v>
      </c>
      <c r="C68" s="1006">
        <f>IFERROR(VLOOKUP(A68,'[12]RSD-NO by Site'!$B$5:$D$62,3,FALSE),"na")</f>
        <v>496</v>
      </c>
      <c r="D68" s="1007">
        <f t="shared" si="70"/>
        <v>3602.7009974327857</v>
      </c>
      <c r="E68" s="1007">
        <f t="shared" si="91"/>
        <v>1786940</v>
      </c>
      <c r="F68" s="1010">
        <v>746.0335616438357</v>
      </c>
      <c r="G68" s="1007">
        <f t="shared" si="92"/>
        <v>370032.64657534251</v>
      </c>
      <c r="H68" s="1660">
        <f t="shared" si="93"/>
        <v>2156972.6465753424</v>
      </c>
      <c r="I68" s="1221"/>
      <c r="J68" s="1008"/>
      <c r="K68" s="1009">
        <f t="shared" si="29"/>
        <v>0</v>
      </c>
      <c r="L68" s="1660">
        <f t="shared" si="30"/>
        <v>2156972.6465753424</v>
      </c>
      <c r="M68" s="1008">
        <f t="shared" si="47"/>
        <v>-37747.021315068494</v>
      </c>
      <c r="N68" s="1008">
        <f t="shared" si="48"/>
        <v>-5392.4316164383563</v>
      </c>
      <c r="O68" s="1008">
        <f t="shared" si="31"/>
        <v>-43139.45293150685</v>
      </c>
      <c r="P68" s="1660">
        <f t="shared" si="32"/>
        <v>2113833.1936438354</v>
      </c>
      <c r="Q68" s="1010">
        <v>-3568.6567184167793</v>
      </c>
      <c r="R68" s="1660">
        <f t="shared" si="71"/>
        <v>2110264.5369254188</v>
      </c>
      <c r="S68" s="1010">
        <f>VLOOKUP($A68,'Table 4 Level 4'!$B$121:$N$177,4,FALSE)</f>
        <v>0</v>
      </c>
      <c r="T68" s="1010">
        <f>VLOOKUP($A68,'Table 4 Level 4'!$B$121:$N$177,13,FALSE)</f>
        <v>3068</v>
      </c>
      <c r="U68" s="1660">
        <f t="shared" si="49"/>
        <v>2113332.5369254188</v>
      </c>
      <c r="V68" s="1010">
        <f>VLOOKUP($A68,'Table 4 Level 4'!$B$121:$N$177,9,FALSE)</f>
        <v>0</v>
      </c>
      <c r="W68" s="1010">
        <f>VLOOKUP($A68,'Table 4 Level 4'!$B$121:$N$177,10,FALSE)</f>
        <v>0</v>
      </c>
      <c r="X68" s="1010">
        <f>VLOOKUP($A68,'Table 4 Level 4'!$B$121:$N$177,11,FALSE)</f>
        <v>0</v>
      </c>
      <c r="Y68" s="1660">
        <f t="shared" si="50"/>
        <v>2113332.5369254188</v>
      </c>
      <c r="Z68" s="1010"/>
      <c r="AA68" s="1010">
        <f>+$AA$4</f>
        <v>5435</v>
      </c>
      <c r="AB68" s="1672">
        <f t="shared" si="72"/>
        <v>2695760</v>
      </c>
      <c r="AC68" s="1011"/>
      <c r="AD68" s="1008">
        <f t="shared" si="73"/>
        <v>0</v>
      </c>
      <c r="AE68" s="1011"/>
      <c r="AF68" s="1008">
        <f t="shared" si="74"/>
        <v>0</v>
      </c>
      <c r="AG68" s="1009">
        <f t="shared" si="40"/>
        <v>0</v>
      </c>
      <c r="AH68" s="1679">
        <f t="shared" si="41"/>
        <v>2695760</v>
      </c>
      <c r="AI68" s="1010">
        <f t="shared" si="51"/>
        <v>-47175.8</v>
      </c>
      <c r="AJ68" s="1010">
        <f t="shared" si="52"/>
        <v>-6739.4000000000005</v>
      </c>
      <c r="AK68" s="1010">
        <f t="shared" si="94"/>
        <v>-53915.200000000004</v>
      </c>
      <c r="AL68" s="1672">
        <f t="shared" si="42"/>
        <v>2641844.7999999998</v>
      </c>
      <c r="AM68" s="1008"/>
      <c r="AN68" s="1010">
        <v>0</v>
      </c>
      <c r="AO68" s="1679">
        <f t="shared" si="90"/>
        <v>2641844.7999999998</v>
      </c>
      <c r="AP68" s="1008"/>
      <c r="AQ68" s="1008">
        <f t="shared" si="44"/>
        <v>2641844.7999999998</v>
      </c>
      <c r="AR68" s="1679">
        <f t="shared" si="45"/>
        <v>220154</v>
      </c>
    </row>
    <row r="69" spans="1:44" s="993" customFormat="1" ht="16.95" customHeight="1">
      <c r="A69" s="1240">
        <v>399005</v>
      </c>
      <c r="B69" s="1241" t="s">
        <v>751</v>
      </c>
      <c r="C69" s="1233">
        <f>IFERROR(VLOOKUP(A69,'[12]RSD-NO by Site'!$B$5:$D$62,3,FALSE),"na")</f>
        <v>777</v>
      </c>
      <c r="D69" s="1234">
        <f t="shared" si="70"/>
        <v>3602.7009974327857</v>
      </c>
      <c r="E69" s="1234">
        <f t="shared" si="91"/>
        <v>2799299</v>
      </c>
      <c r="F69" s="1238">
        <v>746.0335616438357</v>
      </c>
      <c r="G69" s="1234">
        <f t="shared" si="92"/>
        <v>579668.07739726035</v>
      </c>
      <c r="H69" s="1659">
        <f t="shared" si="93"/>
        <v>3378967.0773972603</v>
      </c>
      <c r="I69" s="1235"/>
      <c r="J69" s="1236"/>
      <c r="K69" s="1237">
        <f t="shared" si="29"/>
        <v>0</v>
      </c>
      <c r="L69" s="1659">
        <f t="shared" si="30"/>
        <v>3378967.0773972603</v>
      </c>
      <c r="M69" s="1236">
        <f t="shared" si="47"/>
        <v>-59131.923854452063</v>
      </c>
      <c r="N69" s="1236">
        <f t="shared" si="48"/>
        <v>-8447.4176934931511</v>
      </c>
      <c r="O69" s="1236">
        <f t="shared" si="31"/>
        <v>-67579.341547945209</v>
      </c>
      <c r="P69" s="1659">
        <f t="shared" si="32"/>
        <v>3311387.7358493153</v>
      </c>
      <c r="Q69" s="1238">
        <v>0</v>
      </c>
      <c r="R69" s="1659">
        <f t="shared" si="71"/>
        <v>3311387.7358493153</v>
      </c>
      <c r="S69" s="1238">
        <f>VLOOKUP($A69,'Table 4 Level 4'!$B$121:$N$177,4,FALSE)</f>
        <v>0</v>
      </c>
      <c r="T69" s="1238">
        <f>VLOOKUP($A69,'Table 4 Level 4'!$B$121:$N$177,13,FALSE)</f>
        <v>4160</v>
      </c>
      <c r="U69" s="1659">
        <f t="shared" si="49"/>
        <v>3315547.7358493153</v>
      </c>
      <c r="V69" s="1238">
        <f>VLOOKUP($A69,'Table 4 Level 4'!$B$121:$N$177,9,FALSE)</f>
        <v>0</v>
      </c>
      <c r="W69" s="1238">
        <f>VLOOKUP($A69,'Table 4 Level 4'!$B$121:$N$177,10,FALSE)</f>
        <v>0</v>
      </c>
      <c r="X69" s="1238">
        <f>VLOOKUP($A69,'Table 4 Level 4'!$B$121:$N$177,11,FALSE)</f>
        <v>0</v>
      </c>
      <c r="Y69" s="1659">
        <f t="shared" si="50"/>
        <v>3315547.7358493153</v>
      </c>
      <c r="Z69" s="1238">
        <f t="shared" si="69"/>
        <v>4670</v>
      </c>
      <c r="AA69" s="1238"/>
      <c r="AB69" s="1671">
        <f t="shared" si="72"/>
        <v>3628590</v>
      </c>
      <c r="AC69" s="1239"/>
      <c r="AD69" s="1236">
        <f t="shared" si="73"/>
        <v>0</v>
      </c>
      <c r="AE69" s="1239"/>
      <c r="AF69" s="1236">
        <f t="shared" si="74"/>
        <v>0</v>
      </c>
      <c r="AG69" s="1237">
        <f t="shared" si="40"/>
        <v>0</v>
      </c>
      <c r="AH69" s="1678">
        <f t="shared" si="41"/>
        <v>3628590</v>
      </c>
      <c r="AI69" s="1238">
        <f t="shared" si="51"/>
        <v>-63500.325000000004</v>
      </c>
      <c r="AJ69" s="1238">
        <f t="shared" si="52"/>
        <v>-9071.4750000000004</v>
      </c>
      <c r="AK69" s="1238">
        <f t="shared" si="94"/>
        <v>-72571.8</v>
      </c>
      <c r="AL69" s="1671">
        <f t="shared" si="42"/>
        <v>3556018.2</v>
      </c>
      <c r="AM69" s="1236"/>
      <c r="AN69" s="1238">
        <v>0</v>
      </c>
      <c r="AO69" s="1678">
        <f t="shared" si="90"/>
        <v>3556018.2</v>
      </c>
      <c r="AP69" s="1236"/>
      <c r="AQ69" s="1236">
        <f t="shared" si="44"/>
        <v>3556018.2</v>
      </c>
      <c r="AR69" s="1678">
        <f t="shared" si="45"/>
        <v>296335</v>
      </c>
    </row>
    <row r="70" spans="1:44" s="993" customFormat="1" ht="16.95" customHeight="1">
      <c r="A70" s="996" t="s">
        <v>518</v>
      </c>
      <c r="B70" s="1005" t="s">
        <v>752</v>
      </c>
      <c r="C70" s="1006">
        <f>IFERROR(VLOOKUP(A70,'[12]RSD-NO by Site'!$B$5:$D$62,3,FALSE),"na")</f>
        <v>587</v>
      </c>
      <c r="D70" s="1007">
        <f t="shared" si="70"/>
        <v>3602.7009974327857</v>
      </c>
      <c r="E70" s="1007">
        <f t="shared" si="91"/>
        <v>2114785</v>
      </c>
      <c r="F70" s="1010">
        <v>746.0335616438357</v>
      </c>
      <c r="G70" s="1007">
        <f t="shared" si="92"/>
        <v>437921.70068493154</v>
      </c>
      <c r="H70" s="1660">
        <f t="shared" si="93"/>
        <v>2552706.7006849316</v>
      </c>
      <c r="I70" s="1221"/>
      <c r="J70" s="1008"/>
      <c r="K70" s="1009">
        <f t="shared" si="29"/>
        <v>0</v>
      </c>
      <c r="L70" s="1660">
        <f t="shared" si="30"/>
        <v>2552706.7006849316</v>
      </c>
      <c r="M70" s="1008">
        <f t="shared" si="47"/>
        <v>-44672.367261986306</v>
      </c>
      <c r="N70" s="1008">
        <f t="shared" si="48"/>
        <v>-6381.7667517123291</v>
      </c>
      <c r="O70" s="1008">
        <f t="shared" si="31"/>
        <v>-51054.134013698633</v>
      </c>
      <c r="P70" s="1660">
        <f t="shared" si="32"/>
        <v>2501652.5666712332</v>
      </c>
      <c r="Q70" s="1010">
        <v>0</v>
      </c>
      <c r="R70" s="1660">
        <f t="shared" si="71"/>
        <v>2501652.5666712332</v>
      </c>
      <c r="S70" s="1010">
        <f>VLOOKUP($A70,'Table 4 Level 4'!$B$121:$N$177,4,FALSE)</f>
        <v>0</v>
      </c>
      <c r="T70" s="1010">
        <f>VLOOKUP($A70,'Table 4 Level 4'!$B$121:$N$177,13,FALSE)</f>
        <v>3224</v>
      </c>
      <c r="U70" s="1660">
        <f t="shared" si="49"/>
        <v>2504876.5666712332</v>
      </c>
      <c r="V70" s="1010">
        <f>VLOOKUP($A70,'Table 4 Level 4'!$B$121:$N$177,9,FALSE)</f>
        <v>0</v>
      </c>
      <c r="W70" s="1010">
        <f>VLOOKUP($A70,'Table 4 Level 4'!$B$121:$N$177,10,FALSE)</f>
        <v>0</v>
      </c>
      <c r="X70" s="1010">
        <f>VLOOKUP($A70,'Table 4 Level 4'!$B$121:$N$177,11,FALSE)</f>
        <v>0</v>
      </c>
      <c r="Y70" s="1660">
        <f t="shared" si="50"/>
        <v>2504876.5666712332</v>
      </c>
      <c r="Z70" s="1010">
        <f t="shared" si="69"/>
        <v>4670</v>
      </c>
      <c r="AA70" s="1010"/>
      <c r="AB70" s="1672">
        <f t="shared" si="72"/>
        <v>2741290</v>
      </c>
      <c r="AC70" s="1011"/>
      <c r="AD70" s="1008">
        <f t="shared" si="73"/>
        <v>0</v>
      </c>
      <c r="AE70" s="1011"/>
      <c r="AF70" s="1008">
        <f t="shared" si="74"/>
        <v>0</v>
      </c>
      <c r="AG70" s="1009">
        <f t="shared" si="40"/>
        <v>0</v>
      </c>
      <c r="AH70" s="1679">
        <f t="shared" si="41"/>
        <v>2741290</v>
      </c>
      <c r="AI70" s="1010">
        <f t="shared" si="51"/>
        <v>-47972.575000000004</v>
      </c>
      <c r="AJ70" s="1010">
        <f t="shared" si="52"/>
        <v>-6853.2250000000004</v>
      </c>
      <c r="AK70" s="1010">
        <f t="shared" si="94"/>
        <v>-54825.8</v>
      </c>
      <c r="AL70" s="1672">
        <f t="shared" si="42"/>
        <v>2686464.2</v>
      </c>
      <c r="AM70" s="1008"/>
      <c r="AN70" s="1010">
        <v>0</v>
      </c>
      <c r="AO70" s="1679">
        <f t="shared" si="90"/>
        <v>2686464.2</v>
      </c>
      <c r="AP70" s="1008"/>
      <c r="AQ70" s="1008">
        <f t="shared" si="44"/>
        <v>2686464.2</v>
      </c>
      <c r="AR70" s="1679">
        <f t="shared" si="45"/>
        <v>223872</v>
      </c>
    </row>
    <row r="71" spans="1:44" s="1018" customFormat="1" ht="16.95" customHeight="1">
      <c r="A71" s="995"/>
      <c r="B71" s="1485" t="s">
        <v>71</v>
      </c>
      <c r="C71" s="1012">
        <f>SUM(C12:C70)-C17-C18</f>
        <v>27963</v>
      </c>
      <c r="D71" s="1013"/>
      <c r="E71" s="1012">
        <f>SUM(E12:E70)-E17-E18</f>
        <v>100742329</v>
      </c>
      <c r="F71" s="1014"/>
      <c r="G71" s="1014">
        <f t="shared" ref="G71:Y71" si="95">SUM(G12:G70)-G17-G18</f>
        <v>20464126.328320481</v>
      </c>
      <c r="H71" s="1661">
        <f t="shared" si="95"/>
        <v>121206455.32832049</v>
      </c>
      <c r="I71" s="1014">
        <f t="shared" si="95"/>
        <v>0</v>
      </c>
      <c r="J71" s="1014">
        <f t="shared" si="95"/>
        <v>0</v>
      </c>
      <c r="K71" s="1015">
        <f t="shared" si="95"/>
        <v>0</v>
      </c>
      <c r="L71" s="1661">
        <f t="shared" si="95"/>
        <v>121206455.32832049</v>
      </c>
      <c r="M71" s="1014">
        <f t="shared" si="95"/>
        <v>-2121112.9682456083</v>
      </c>
      <c r="N71" s="1014">
        <f t="shared" si="95"/>
        <v>-303016.13832080114</v>
      </c>
      <c r="O71" s="1014">
        <f t="shared" si="95"/>
        <v>-2424129.1065664096</v>
      </c>
      <c r="P71" s="1661">
        <f t="shared" si="95"/>
        <v>118782326.2217541</v>
      </c>
      <c r="Q71" s="1014">
        <f t="shared" si="95"/>
        <v>-260927.30211523161</v>
      </c>
      <c r="R71" s="1661">
        <f t="shared" si="95"/>
        <v>118521398.91963883</v>
      </c>
      <c r="S71" s="1487">
        <f t="shared" si="95"/>
        <v>0</v>
      </c>
      <c r="T71" s="1014">
        <f t="shared" si="95"/>
        <v>257868</v>
      </c>
      <c r="U71" s="1667">
        <f t="shared" si="95"/>
        <v>118779266.91963883</v>
      </c>
      <c r="V71" s="1014">
        <f t="shared" si="95"/>
        <v>0</v>
      </c>
      <c r="W71" s="1014">
        <f t="shared" si="95"/>
        <v>0</v>
      </c>
      <c r="X71" s="1014">
        <f t="shared" si="95"/>
        <v>0</v>
      </c>
      <c r="Y71" s="1667">
        <f t="shared" si="95"/>
        <v>118779266.91963883</v>
      </c>
      <c r="Z71" s="1014"/>
      <c r="AA71" s="1014"/>
      <c r="AB71" s="1673">
        <f t="shared" ref="AB71:AR71" si="96">SUM(AB12:AB70)-AB17-AB18</f>
        <v>131974155</v>
      </c>
      <c r="AC71" s="1016">
        <f t="shared" si="96"/>
        <v>0</v>
      </c>
      <c r="AD71" s="1017">
        <f t="shared" si="96"/>
        <v>0</v>
      </c>
      <c r="AE71" s="1016">
        <f t="shared" si="96"/>
        <v>0</v>
      </c>
      <c r="AF71" s="1017">
        <f t="shared" si="96"/>
        <v>0</v>
      </c>
      <c r="AG71" s="1674">
        <f t="shared" si="96"/>
        <v>0</v>
      </c>
      <c r="AH71" s="1680">
        <f t="shared" si="96"/>
        <v>131974155</v>
      </c>
      <c r="AI71" s="1675">
        <f t="shared" si="96"/>
        <v>-2309547.7124999994</v>
      </c>
      <c r="AJ71" s="1675">
        <f t="shared" si="96"/>
        <v>-329935.38750000013</v>
      </c>
      <c r="AK71" s="1675">
        <f t="shared" si="96"/>
        <v>-2639483.100000001</v>
      </c>
      <c r="AL71" s="1673">
        <f t="shared" si="96"/>
        <v>129334671.90000004</v>
      </c>
      <c r="AM71" s="1683">
        <f t="shared" si="96"/>
        <v>-141142</v>
      </c>
      <c r="AN71" s="1675">
        <f t="shared" si="96"/>
        <v>-145952</v>
      </c>
      <c r="AO71" s="1673">
        <f t="shared" si="96"/>
        <v>129047577.90000004</v>
      </c>
      <c r="AP71" s="1017">
        <f t="shared" si="96"/>
        <v>0</v>
      </c>
      <c r="AQ71" s="1017">
        <f t="shared" si="96"/>
        <v>129047577.90000004</v>
      </c>
      <c r="AR71" s="1673">
        <f t="shared" si="96"/>
        <v>10753963</v>
      </c>
    </row>
    <row r="72" spans="1:44" s="1018" customFormat="1" ht="26.4">
      <c r="A72" s="995"/>
      <c r="B72" s="1485" t="s">
        <v>1047</v>
      </c>
      <c r="C72" s="1012">
        <f>C71+C8+C9</f>
        <v>29164</v>
      </c>
      <c r="D72" s="1013"/>
      <c r="E72" s="1012">
        <f>E71+E8+E9</f>
        <v>105069173</v>
      </c>
      <c r="F72" s="1014"/>
      <c r="G72" s="1014">
        <f t="shared" ref="G72:Y72" si="97">G71+G8+G9</f>
        <v>21421386.314601302</v>
      </c>
      <c r="H72" s="1661">
        <f t="shared" si="97"/>
        <v>126490559.3146013</v>
      </c>
      <c r="I72" s="1014">
        <f t="shared" si="97"/>
        <v>0</v>
      </c>
      <c r="J72" s="1014">
        <f t="shared" si="97"/>
        <v>0</v>
      </c>
      <c r="K72" s="1015">
        <f t="shared" si="97"/>
        <v>0</v>
      </c>
      <c r="L72" s="1661">
        <f t="shared" si="97"/>
        <v>126490559.3146013</v>
      </c>
      <c r="M72" s="1014">
        <f t="shared" si="97"/>
        <v>0</v>
      </c>
      <c r="N72" s="1014">
        <f t="shared" si="97"/>
        <v>-303016.13832080114</v>
      </c>
      <c r="O72" s="1014">
        <f t="shared" si="97"/>
        <v>-303016.13832080131</v>
      </c>
      <c r="P72" s="1661">
        <f t="shared" si="97"/>
        <v>126187543.17628053</v>
      </c>
      <c r="Q72" s="1019">
        <f t="shared" si="97"/>
        <v>-260927.30211523161</v>
      </c>
      <c r="R72" s="1665">
        <f t="shared" si="97"/>
        <v>125926615.87416525</v>
      </c>
      <c r="S72" s="1488">
        <f t="shared" si="97"/>
        <v>0</v>
      </c>
      <c r="T72" s="1019">
        <f t="shared" si="97"/>
        <v>257868</v>
      </c>
      <c r="U72" s="1668">
        <f t="shared" si="97"/>
        <v>126184483.87416525</v>
      </c>
      <c r="V72" s="1019">
        <f t="shared" si="97"/>
        <v>0</v>
      </c>
      <c r="W72" s="1019">
        <f t="shared" si="97"/>
        <v>0</v>
      </c>
      <c r="X72" s="1019">
        <f t="shared" si="97"/>
        <v>0</v>
      </c>
      <c r="Y72" s="1668">
        <f t="shared" si="97"/>
        <v>126184483.87416525</v>
      </c>
      <c r="Z72" s="1019"/>
      <c r="AA72" s="1019"/>
      <c r="AB72" s="1673">
        <f t="shared" ref="AB72:AR72" si="98">AB71+AB8+AB9</f>
        <v>137582825</v>
      </c>
      <c r="AC72" s="1016">
        <f t="shared" si="98"/>
        <v>0</v>
      </c>
      <c r="AD72" s="1017">
        <f t="shared" si="98"/>
        <v>0</v>
      </c>
      <c r="AE72" s="1016">
        <f t="shared" si="98"/>
        <v>0</v>
      </c>
      <c r="AF72" s="1017">
        <f t="shared" si="98"/>
        <v>0</v>
      </c>
      <c r="AG72" s="1674">
        <f t="shared" si="98"/>
        <v>0</v>
      </c>
      <c r="AH72" s="1680">
        <f t="shared" si="98"/>
        <v>137582825</v>
      </c>
      <c r="AI72" s="1020">
        <f>AI71+AI8+AI9</f>
        <v>0</v>
      </c>
      <c r="AJ72" s="1020">
        <f t="shared" si="98"/>
        <v>-329935.38750000013</v>
      </c>
      <c r="AK72" s="1020">
        <f>AK71+AK8+AK9</f>
        <v>-329935.38750000158</v>
      </c>
      <c r="AL72" s="1673">
        <f t="shared" si="98"/>
        <v>137252889.61250004</v>
      </c>
      <c r="AM72" s="1683">
        <f t="shared" si="98"/>
        <v>-141142</v>
      </c>
      <c r="AN72" s="1020">
        <f t="shared" si="98"/>
        <v>-145952</v>
      </c>
      <c r="AO72" s="1673">
        <f t="shared" si="98"/>
        <v>136965795.61250004</v>
      </c>
      <c r="AP72" s="1017">
        <f t="shared" si="98"/>
        <v>0</v>
      </c>
      <c r="AQ72" s="1017">
        <f t="shared" si="98"/>
        <v>136965795.61250004</v>
      </c>
      <c r="AR72" s="1673">
        <f t="shared" si="98"/>
        <v>11413815</v>
      </c>
    </row>
    <row r="73" spans="1:44" s="993" customFormat="1" ht="8.25" customHeight="1">
      <c r="A73" s="1244"/>
      <c r="B73" s="1244"/>
      <c r="C73" s="1245"/>
      <c r="D73" s="1246"/>
      <c r="E73" s="1247"/>
      <c r="F73" s="1247"/>
      <c r="G73" s="1247"/>
      <c r="H73" s="1247"/>
      <c r="I73" s="1247"/>
      <c r="J73" s="1247"/>
      <c r="K73" s="1247"/>
      <c r="L73" s="1248"/>
      <c r="M73" s="1248"/>
      <c r="N73" s="1248"/>
      <c r="O73" s="1248"/>
      <c r="P73" s="1248"/>
      <c r="Q73" s="1248"/>
      <c r="R73" s="1248"/>
      <c r="S73" s="1248"/>
      <c r="T73" s="1248"/>
      <c r="U73" s="1248"/>
      <c r="V73" s="1248"/>
      <c r="W73" s="1248"/>
      <c r="X73" s="1248"/>
      <c r="Y73" s="1248"/>
      <c r="Z73" s="1248"/>
      <c r="AA73" s="1248"/>
      <c r="AB73" s="1248"/>
      <c r="AC73" s="1249"/>
      <c r="AD73" s="1248"/>
      <c r="AE73" s="1249"/>
      <c r="AF73" s="1248"/>
      <c r="AG73" s="1248"/>
      <c r="AH73" s="1248"/>
      <c r="AI73" s="1248"/>
      <c r="AJ73" s="1248"/>
      <c r="AK73" s="1248"/>
      <c r="AL73" s="1248"/>
      <c r="AM73" s="1248"/>
      <c r="AN73" s="1248"/>
      <c r="AO73" s="1248"/>
      <c r="AP73" s="1248"/>
      <c r="AQ73" s="1248"/>
      <c r="AR73" s="1248"/>
    </row>
    <row r="74" spans="1:44" s="993" customFormat="1" ht="13.8" thickBot="1">
      <c r="A74" s="997"/>
      <c r="B74" s="997" t="s">
        <v>219</v>
      </c>
      <c r="C74" s="1021">
        <f>C72+C6</f>
        <v>41237</v>
      </c>
      <c r="D74" s="1022"/>
      <c r="E74" s="1023">
        <f>E72+E6</f>
        <v>148564582</v>
      </c>
      <c r="F74" s="1826"/>
      <c r="G74" s="1023">
        <f t="shared" ref="G74:L74" si="99">G72+G6</f>
        <v>30201255.563629124</v>
      </c>
      <c r="H74" s="1662">
        <f t="shared" si="99"/>
        <v>178765837.56362912</v>
      </c>
      <c r="I74" s="1024">
        <f t="shared" si="99"/>
        <v>0</v>
      </c>
      <c r="J74" s="1024">
        <f t="shared" si="99"/>
        <v>0</v>
      </c>
      <c r="K74" s="1025">
        <f t="shared" si="99"/>
        <v>0</v>
      </c>
      <c r="L74" s="1662">
        <f t="shared" si="99"/>
        <v>178765837.56362912</v>
      </c>
      <c r="M74" s="1821"/>
      <c r="N74" s="1821"/>
      <c r="O74" s="1821"/>
      <c r="P74" s="1821"/>
      <c r="Q74" s="1821"/>
      <c r="R74" s="1822"/>
      <c r="S74" s="1821"/>
      <c r="T74" s="1821"/>
      <c r="U74" s="1822"/>
      <c r="V74" s="1821"/>
      <c r="W74" s="1821"/>
      <c r="X74" s="1821"/>
      <c r="Y74" s="1822"/>
      <c r="Z74" s="1822"/>
      <c r="AA74" s="1822"/>
      <c r="AB74" s="1821"/>
      <c r="AC74" s="1823"/>
      <c r="AD74" s="1821"/>
      <c r="AE74" s="1823"/>
      <c r="AF74" s="1821"/>
      <c r="AG74" s="1821"/>
      <c r="AH74" s="1821"/>
      <c r="AI74" s="1821"/>
      <c r="AJ74" s="1821"/>
      <c r="AK74" s="1821"/>
      <c r="AL74" s="1821"/>
      <c r="AM74" s="1821"/>
      <c r="AN74" s="1821"/>
      <c r="AO74" s="1821"/>
      <c r="AP74" s="1821"/>
      <c r="AQ74" s="1821"/>
      <c r="AR74" s="1821"/>
    </row>
    <row r="75" spans="1:44" ht="13.8" thickTop="1">
      <c r="A75" s="998"/>
      <c r="B75" s="957"/>
      <c r="C75" s="958"/>
      <c r="D75" s="959"/>
      <c r="E75" s="956"/>
      <c r="F75" s="970"/>
      <c r="G75" s="956"/>
      <c r="H75" s="956"/>
      <c r="I75" s="956"/>
      <c r="J75" s="956"/>
      <c r="K75" s="956"/>
      <c r="L75" s="956"/>
      <c r="M75" s="956"/>
      <c r="N75" s="956"/>
      <c r="O75" s="956"/>
      <c r="P75" s="956"/>
      <c r="Q75" s="960"/>
      <c r="R75" s="956"/>
      <c r="S75" s="956"/>
      <c r="T75" s="956"/>
      <c r="U75" s="956"/>
      <c r="V75" s="956"/>
      <c r="W75" s="956"/>
      <c r="X75" s="956"/>
      <c r="Y75" s="956"/>
      <c r="Z75" s="956"/>
      <c r="AA75" s="956"/>
      <c r="AB75" s="956"/>
      <c r="AC75" s="956"/>
      <c r="AD75" s="956"/>
      <c r="AE75" s="956"/>
      <c r="AF75" s="956"/>
      <c r="AG75" s="956"/>
      <c r="AH75" s="956"/>
      <c r="AI75" s="956"/>
      <c r="AJ75" s="956"/>
      <c r="AK75" s="956"/>
      <c r="AL75" s="956"/>
      <c r="AM75" s="956"/>
      <c r="AN75" s="956"/>
      <c r="AO75" s="956"/>
      <c r="AP75" s="956"/>
      <c r="AQ75" s="956"/>
      <c r="AR75" s="956"/>
    </row>
    <row r="76" spans="1:44" ht="27.75" customHeight="1">
      <c r="A76" s="2242" t="s">
        <v>926</v>
      </c>
      <c r="B76" s="2242"/>
      <c r="C76" s="957"/>
      <c r="D76" s="957"/>
      <c r="E76" s="957"/>
      <c r="F76" s="957"/>
      <c r="G76" s="957"/>
      <c r="H76" s="957"/>
      <c r="I76" s="957"/>
      <c r="J76" s="957"/>
      <c r="K76" s="957"/>
      <c r="L76" s="957"/>
      <c r="M76" s="957"/>
      <c r="N76" s="957"/>
      <c r="O76" s="957"/>
      <c r="P76" s="957"/>
      <c r="Q76" s="957"/>
      <c r="R76" s="957"/>
      <c r="S76" s="1104"/>
      <c r="T76" s="1104"/>
      <c r="U76" s="1104"/>
      <c r="V76" s="1104"/>
      <c r="W76" s="1104"/>
      <c r="X76" s="1104"/>
      <c r="Y76" s="1104"/>
      <c r="Z76" s="961"/>
      <c r="AA76" s="961"/>
      <c r="AB76" s="957"/>
      <c r="AC76" s="957"/>
      <c r="AD76" s="957"/>
      <c r="AE76" s="957"/>
      <c r="AF76" s="957"/>
      <c r="AG76" s="957"/>
      <c r="AH76" s="957"/>
      <c r="AI76" s="957"/>
      <c r="AJ76" s="957"/>
      <c r="AK76" s="957"/>
      <c r="AL76" s="957"/>
      <c r="AM76" s="957"/>
      <c r="AN76" s="957"/>
      <c r="AO76" s="957"/>
      <c r="AP76" s="957"/>
      <c r="AQ76" s="957"/>
      <c r="AR76" s="957"/>
    </row>
    <row r="77" spans="1:44" ht="22.5" customHeight="1">
      <c r="A77" s="2242"/>
      <c r="B77" s="2242"/>
      <c r="D77" s="1483"/>
      <c r="E77" s="1483"/>
      <c r="F77" s="1483"/>
      <c r="G77" s="1483"/>
      <c r="H77" s="1483"/>
      <c r="I77" s="962"/>
      <c r="J77" s="962"/>
      <c r="K77" s="962"/>
      <c r="L77" s="962"/>
      <c r="M77" s="962"/>
      <c r="N77" s="962"/>
      <c r="O77" s="962"/>
      <c r="P77" s="962"/>
      <c r="Q77" s="962"/>
      <c r="R77" s="962"/>
      <c r="S77" s="962"/>
      <c r="T77" s="962"/>
      <c r="U77" s="962"/>
      <c r="V77" s="962"/>
      <c r="W77" s="962"/>
      <c r="X77" s="962"/>
      <c r="Y77" s="962"/>
      <c r="Z77" s="963"/>
      <c r="AA77" s="963"/>
      <c r="AB77" s="962"/>
      <c r="AC77" s="962"/>
      <c r="AD77" s="962"/>
      <c r="AE77" s="962"/>
      <c r="AF77" s="962"/>
      <c r="AG77" s="962"/>
      <c r="AH77" s="962"/>
      <c r="AI77" s="962"/>
      <c r="AJ77" s="962"/>
      <c r="AK77" s="962"/>
      <c r="AL77" s="962"/>
      <c r="AM77" s="962"/>
      <c r="AN77" s="962"/>
      <c r="AO77" s="962"/>
      <c r="AP77" s="962"/>
      <c r="AQ77" s="962"/>
      <c r="AR77" s="962"/>
    </row>
    <row r="78" spans="1:44" ht="18.75" customHeight="1">
      <c r="C78" s="2254"/>
      <c r="D78" s="2255"/>
      <c r="E78" s="2255"/>
      <c r="F78" s="2255"/>
      <c r="G78" s="2255"/>
      <c r="H78" s="2255"/>
      <c r="I78" s="2255"/>
      <c r="J78" s="2255"/>
      <c r="K78" s="2255"/>
      <c r="L78" s="2255"/>
      <c r="M78" s="2255"/>
      <c r="N78" s="2255"/>
      <c r="O78" s="2255"/>
      <c r="P78" s="2255"/>
      <c r="Q78" s="2255"/>
      <c r="R78" s="2255"/>
      <c r="S78" s="1103"/>
      <c r="T78" s="1103"/>
      <c r="U78" s="1103"/>
      <c r="V78" s="1103"/>
      <c r="W78" s="1103"/>
      <c r="X78" s="1103"/>
      <c r="Y78" s="1103"/>
      <c r="Z78" s="964"/>
      <c r="AA78" s="964"/>
      <c r="AB78" s="2254"/>
      <c r="AC78" s="2254"/>
      <c r="AD78" s="2254"/>
      <c r="AE78" s="2254"/>
      <c r="AF78" s="2254"/>
      <c r="AG78" s="2254"/>
      <c r="AH78" s="2254"/>
      <c r="AI78" s="2255"/>
      <c r="AJ78" s="2255"/>
      <c r="AK78" s="2255"/>
      <c r="AL78" s="2255"/>
      <c r="AM78" s="2255"/>
      <c r="AN78" s="2255"/>
      <c r="AO78" s="2255"/>
      <c r="AP78" s="2255"/>
      <c r="AQ78" s="2255"/>
      <c r="AR78" s="2255"/>
    </row>
    <row r="80" spans="1:44" ht="14.4" hidden="1" customHeight="1">
      <c r="F80" s="971">
        <v>746.0335616438357</v>
      </c>
    </row>
  </sheetData>
  <mergeCells count="48">
    <mergeCell ref="Z1:AH1"/>
    <mergeCell ref="AI1:AR1"/>
    <mergeCell ref="AC2:AG2"/>
    <mergeCell ref="I2:K2"/>
    <mergeCell ref="I3:I4"/>
    <mergeCell ref="J3:J4"/>
    <mergeCell ref="K3:K4"/>
    <mergeCell ref="AK3:AK4"/>
    <mergeCell ref="AB3:AB4"/>
    <mergeCell ref="AQ3:AQ4"/>
    <mergeCell ref="AN3:AN4"/>
    <mergeCell ref="AM3:AM4"/>
    <mergeCell ref="AP3:AP4"/>
    <mergeCell ref="AC3:AC4"/>
    <mergeCell ref="AD3:AD4"/>
    <mergeCell ref="AH3:AH4"/>
    <mergeCell ref="AE3:AE4"/>
    <mergeCell ref="AF3:AF4"/>
    <mergeCell ref="AO3:AO4"/>
    <mergeCell ref="C78:R78"/>
    <mergeCell ref="AB78:AR78"/>
    <mergeCell ref="G3:G4"/>
    <mergeCell ref="R3:R4"/>
    <mergeCell ref="H3:H4"/>
    <mergeCell ref="C3:C4"/>
    <mergeCell ref="E3:E4"/>
    <mergeCell ref="Q3:Q4"/>
    <mergeCell ref="F3:F4"/>
    <mergeCell ref="L3:L4"/>
    <mergeCell ref="P3:P4"/>
    <mergeCell ref="O3:O4"/>
    <mergeCell ref="AR3:AR4"/>
    <mergeCell ref="AL3:AL4"/>
    <mergeCell ref="S1:Y1"/>
    <mergeCell ref="A76:B77"/>
    <mergeCell ref="Y3:Y4"/>
    <mergeCell ref="S2:T2"/>
    <mergeCell ref="S3:S4"/>
    <mergeCell ref="T3:T4"/>
    <mergeCell ref="V2:X2"/>
    <mergeCell ref="V3:V4"/>
    <mergeCell ref="W3:W4"/>
    <mergeCell ref="X3:X4"/>
    <mergeCell ref="U3:U4"/>
    <mergeCell ref="C1:H1"/>
    <mergeCell ref="I1:R1"/>
    <mergeCell ref="A1:A4"/>
    <mergeCell ref="B1:B4"/>
  </mergeCells>
  <phoneticPr fontId="0" type="noConversion"/>
  <printOptions horizontalCentered="1"/>
  <pageMargins left="0.2" right="0.2" top="1.0900000000000001" bottom="0.77" header="0.32" footer="0.19"/>
  <pageSetup paperSize="5" scale="52" firstPageNumber="46" fitToHeight="2" orientation="portrait" r:id="rId1"/>
  <headerFooter alignWithMargins="0">
    <oddHeader xml:space="preserve">&amp;L&amp;"Arial,Bold"&amp;22&amp;K000000Table 5B1:  FY2014-15 MFP Budget Letter
Recovery School District (Orleans Parish)&amp;R
</oddHeader>
    <oddFooter>&amp;R&amp;16&amp;P</oddFooter>
  </headerFooter>
  <colBreaks count="4" manualBreakCount="4">
    <brk id="8" max="1048575" man="1"/>
    <brk id="18" max="74" man="1"/>
    <brk id="25" max="74" man="1"/>
    <brk id="34"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U17"/>
  <sheetViews>
    <sheetView view="pageBreakPreview" zoomScale="80" zoomScaleNormal="75" zoomScaleSheetLayoutView="80" workbookViewId="0">
      <pane xSplit="2" ySplit="5" topLeftCell="C6" activePane="bottomRight" state="frozen"/>
      <selection sqref="A1:H1"/>
      <selection pane="topRight" sqref="A1:H1"/>
      <selection pane="bottomLeft" sqref="A1:H1"/>
      <selection pane="bottomRight" sqref="A1:H1"/>
    </sheetView>
  </sheetViews>
  <sheetFormatPr defaultRowHeight="13.2"/>
  <cols>
    <col min="1" max="1" width="10.109375" bestFit="1" customWidth="1"/>
    <col min="2" max="2" width="44.109375" customWidth="1"/>
    <col min="3" max="3" width="13.109375" customWidth="1"/>
    <col min="4" max="4" width="13.5546875" customWidth="1"/>
    <col min="5" max="5" width="16.109375" bestFit="1" customWidth="1"/>
    <col min="6" max="6" width="18.44140625" customWidth="1"/>
    <col min="7" max="7" width="15.44140625" bestFit="1" customWidth="1"/>
    <col min="8" max="8" width="16.44140625" bestFit="1" customWidth="1"/>
    <col min="9" max="9" width="15.44140625" style="594" bestFit="1" customWidth="1"/>
    <col min="10" max="10" width="16.33203125" style="594" bestFit="1" customWidth="1"/>
    <col min="11" max="11" width="13.44140625" style="594" customWidth="1"/>
    <col min="12" max="12" width="16" style="594" bestFit="1" customWidth="1"/>
    <col min="13" max="13" width="13.33203125" bestFit="1" customWidth="1"/>
    <col min="14" max="14" width="12" bestFit="1" customWidth="1"/>
    <col min="15" max="15" width="12.88671875" bestFit="1" customWidth="1"/>
    <col min="16" max="16" width="19.44140625" customWidth="1"/>
    <col min="17" max="17" width="17.6640625" customWidth="1"/>
    <col min="18" max="18" width="20.88671875" customWidth="1"/>
    <col min="19" max="21" width="20.88671875" style="594" customWidth="1"/>
    <col min="22" max="22" width="15.33203125" style="594" customWidth="1"/>
    <col min="23" max="23" width="14.44140625" style="594" bestFit="1" customWidth="1"/>
    <col min="24" max="24" width="18.6640625" bestFit="1" customWidth="1"/>
    <col min="25" max="28" width="18.6640625" style="594" customWidth="1"/>
    <col min="29" max="29" width="15.6640625" bestFit="1" customWidth="1"/>
    <col min="30" max="30" width="14.88671875" bestFit="1" customWidth="1"/>
    <col min="31" max="31" width="14.109375" style="594" customWidth="1"/>
    <col min="32" max="32" width="13.5546875" style="594" customWidth="1"/>
    <col min="33" max="33" width="14.109375" style="594" customWidth="1"/>
    <col min="34" max="34" width="13.33203125" style="594" customWidth="1"/>
    <col min="35" max="35" width="13.109375" style="594" bestFit="1" customWidth="1"/>
    <col min="36" max="36" width="16.109375" style="594" customWidth="1"/>
    <col min="37" max="38" width="20.88671875" customWidth="1"/>
    <col min="39" max="39" width="12.33203125" bestFit="1" customWidth="1"/>
    <col min="40" max="40" width="16.44140625" bestFit="1" customWidth="1"/>
    <col min="41" max="42" width="20.88671875" customWidth="1"/>
    <col min="43" max="43" width="16.6640625" style="594" bestFit="1" customWidth="1"/>
    <col min="44" max="44" width="18.33203125" style="594" bestFit="1" customWidth="1"/>
    <col min="45" max="45" width="18.6640625" bestFit="1" customWidth="1"/>
    <col min="46" max="46" width="14.88671875" bestFit="1" customWidth="1"/>
    <col min="47" max="47" width="14.44140625" bestFit="1" customWidth="1"/>
  </cols>
  <sheetData>
    <row r="1" spans="1:47" s="594" customFormat="1" ht="27" customHeight="1">
      <c r="A1" s="2180" t="s">
        <v>321</v>
      </c>
      <c r="B1" s="2180" t="s">
        <v>173</v>
      </c>
      <c r="C1" s="2182" t="s">
        <v>1089</v>
      </c>
      <c r="D1" s="2183"/>
      <c r="E1" s="2183"/>
      <c r="F1" s="2183"/>
      <c r="G1" s="2183"/>
      <c r="H1" s="2183"/>
      <c r="I1" s="2183"/>
      <c r="J1" s="2183"/>
      <c r="K1" s="2183"/>
      <c r="L1" s="2183"/>
      <c r="M1" s="2183"/>
      <c r="N1" s="2183"/>
      <c r="O1" s="2183"/>
      <c r="P1" s="2183"/>
      <c r="Q1" s="2183"/>
      <c r="R1" s="2184"/>
      <c r="S1" s="2182" t="s">
        <v>1089</v>
      </c>
      <c r="T1" s="2183"/>
      <c r="U1" s="2183"/>
      <c r="V1" s="2183"/>
      <c r="W1" s="2183"/>
      <c r="X1" s="2183"/>
      <c r="Y1" s="2183"/>
      <c r="Z1" s="2183"/>
      <c r="AA1" s="2183"/>
      <c r="AB1" s="2184"/>
      <c r="AC1" s="2268" t="s">
        <v>1247</v>
      </c>
      <c r="AD1" s="2266"/>
      <c r="AE1" s="2266"/>
      <c r="AF1" s="2266"/>
      <c r="AG1" s="2266"/>
      <c r="AH1" s="2266"/>
      <c r="AI1" s="2266"/>
      <c r="AJ1" s="2266"/>
      <c r="AK1" s="2266"/>
      <c r="AL1" s="2266"/>
      <c r="AM1" s="2266"/>
      <c r="AN1" s="2266"/>
      <c r="AO1" s="2266"/>
      <c r="AP1" s="2266"/>
      <c r="AQ1" s="2266"/>
      <c r="AR1" s="2266"/>
      <c r="AS1" s="2266"/>
      <c r="AT1" s="2266"/>
      <c r="AU1" s="2267"/>
    </row>
    <row r="2" spans="1:47" ht="21.6" customHeight="1">
      <c r="A2" s="2181"/>
      <c r="B2" s="2181"/>
      <c r="C2" s="1645"/>
      <c r="D2" s="1713"/>
      <c r="E2" s="1717"/>
      <c r="F2" s="1714"/>
      <c r="G2" s="1715"/>
      <c r="H2" s="1716"/>
      <c r="I2" s="2283" t="s">
        <v>531</v>
      </c>
      <c r="J2" s="2284"/>
      <c r="K2" s="2285"/>
      <c r="L2" s="1718"/>
      <c r="M2" s="1719"/>
      <c r="N2" s="1719"/>
      <c r="O2" s="1719"/>
      <c r="P2" s="1720"/>
      <c r="Q2" s="1718"/>
      <c r="R2" s="1716"/>
      <c r="S2" s="2245" t="s">
        <v>1061</v>
      </c>
      <c r="T2" s="2246"/>
      <c r="U2" s="1718"/>
      <c r="V2" s="1718"/>
      <c r="W2" s="1718"/>
      <c r="X2" s="1718"/>
      <c r="Y2" s="2245" t="s">
        <v>1068</v>
      </c>
      <c r="Z2" s="2249"/>
      <c r="AA2" s="2246"/>
      <c r="AB2" s="1716"/>
      <c r="AC2" s="1722"/>
      <c r="AD2" s="1723"/>
      <c r="AE2" s="2283" t="s">
        <v>531</v>
      </c>
      <c r="AF2" s="2284"/>
      <c r="AG2" s="2284"/>
      <c r="AH2" s="2284"/>
      <c r="AI2" s="2285"/>
      <c r="AJ2" s="1723"/>
      <c r="AK2" s="1724"/>
      <c r="AL2" s="1724"/>
      <c r="AM2" s="1724"/>
      <c r="AN2" s="1723"/>
      <c r="AO2" s="1723"/>
      <c r="AP2" s="1723"/>
      <c r="AQ2" s="1723"/>
      <c r="AR2" s="1723"/>
      <c r="AS2" s="1723"/>
      <c r="AT2" s="1723"/>
      <c r="AU2" s="1725"/>
    </row>
    <row r="3" spans="1:47" ht="153" customHeight="1">
      <c r="A3" s="2181"/>
      <c r="B3" s="2181"/>
      <c r="C3" s="2288" t="s">
        <v>933</v>
      </c>
      <c r="D3" s="2256" t="s">
        <v>1011</v>
      </c>
      <c r="E3" s="2256" t="s">
        <v>383</v>
      </c>
      <c r="F3" s="2243" t="s">
        <v>300</v>
      </c>
      <c r="G3" s="2243" t="s">
        <v>294</v>
      </c>
      <c r="H3" s="2256" t="s">
        <v>539</v>
      </c>
      <c r="I3" s="2290" t="s">
        <v>758</v>
      </c>
      <c r="J3" s="2290" t="s">
        <v>759</v>
      </c>
      <c r="K3" s="2290" t="s">
        <v>536</v>
      </c>
      <c r="L3" s="2281" t="s">
        <v>540</v>
      </c>
      <c r="M3" s="1608" t="s">
        <v>318</v>
      </c>
      <c r="N3" s="1608" t="s">
        <v>581</v>
      </c>
      <c r="O3" s="2243" t="s">
        <v>320</v>
      </c>
      <c r="P3" s="2243" t="s">
        <v>583</v>
      </c>
      <c r="Q3" s="2261" t="s">
        <v>1036</v>
      </c>
      <c r="R3" s="2256" t="s">
        <v>1297</v>
      </c>
      <c r="S3" s="2247" t="s">
        <v>1023</v>
      </c>
      <c r="T3" s="2247" t="s">
        <v>1060</v>
      </c>
      <c r="U3" s="2243" t="s">
        <v>1120</v>
      </c>
      <c r="V3" s="1605" t="s">
        <v>760</v>
      </c>
      <c r="W3" s="1605" t="s">
        <v>761</v>
      </c>
      <c r="X3" s="2256" t="s">
        <v>1298</v>
      </c>
      <c r="Y3" s="2286" t="s">
        <v>1063</v>
      </c>
      <c r="Z3" s="2286" t="s">
        <v>1064</v>
      </c>
      <c r="AA3" s="2247" t="s">
        <v>1065</v>
      </c>
      <c r="AB3" s="2243" t="s">
        <v>1121</v>
      </c>
      <c r="AC3" s="2294" t="s">
        <v>1260</v>
      </c>
      <c r="AD3" s="2294" t="s">
        <v>1261</v>
      </c>
      <c r="AE3" s="2291" t="s">
        <v>1266</v>
      </c>
      <c r="AF3" s="2291" t="s">
        <v>1251</v>
      </c>
      <c r="AG3" s="2291" t="s">
        <v>1300</v>
      </c>
      <c r="AH3" s="2291" t="s">
        <v>1262</v>
      </c>
      <c r="AI3" s="1489" t="s">
        <v>551</v>
      </c>
      <c r="AJ3" s="1589" t="s">
        <v>1255</v>
      </c>
      <c r="AK3" s="1726" t="s">
        <v>318</v>
      </c>
      <c r="AL3" s="1726" t="s">
        <v>319</v>
      </c>
      <c r="AM3" s="2277" t="s">
        <v>320</v>
      </c>
      <c r="AN3" s="2294" t="s">
        <v>1256</v>
      </c>
      <c r="AO3" s="2291" t="s">
        <v>1036</v>
      </c>
      <c r="AP3" s="2292" t="s">
        <v>1299</v>
      </c>
      <c r="AQ3" s="2294" t="s">
        <v>981</v>
      </c>
      <c r="AR3" s="2294" t="s">
        <v>761</v>
      </c>
      <c r="AS3" s="2294" t="s">
        <v>1263</v>
      </c>
      <c r="AT3" s="2295" t="s">
        <v>1265</v>
      </c>
      <c r="AU3" s="2295" t="s">
        <v>1264</v>
      </c>
    </row>
    <row r="4" spans="1:47" ht="28.2" customHeight="1">
      <c r="A4" s="2148"/>
      <c r="B4" s="2148"/>
      <c r="C4" s="2289"/>
      <c r="D4" s="2257"/>
      <c r="E4" s="2257"/>
      <c r="F4" s="2244"/>
      <c r="G4" s="2244"/>
      <c r="H4" s="2257"/>
      <c r="I4" s="2273"/>
      <c r="J4" s="2273"/>
      <c r="K4" s="2273"/>
      <c r="L4" s="2282"/>
      <c r="M4" s="1580">
        <v>1.7500000000000002E-2</v>
      </c>
      <c r="N4" s="1580">
        <v>2.5000000000000001E-3</v>
      </c>
      <c r="O4" s="2244"/>
      <c r="P4" s="2244"/>
      <c r="Q4" s="2262"/>
      <c r="R4" s="2257"/>
      <c r="S4" s="2248"/>
      <c r="T4" s="2248"/>
      <c r="U4" s="2244"/>
      <c r="V4" s="1706"/>
      <c r="W4" s="1706"/>
      <c r="X4" s="2257"/>
      <c r="Y4" s="2287"/>
      <c r="Z4" s="2287"/>
      <c r="AA4" s="2248"/>
      <c r="AB4" s="2244"/>
      <c r="AC4" s="2238"/>
      <c r="AD4" s="2238"/>
      <c r="AE4" s="2262"/>
      <c r="AF4" s="2262"/>
      <c r="AG4" s="2262"/>
      <c r="AH4" s="2262"/>
      <c r="AI4" s="1734"/>
      <c r="AJ4" s="1727"/>
      <c r="AK4" s="1590">
        <v>1.7500000000000002E-2</v>
      </c>
      <c r="AL4" s="1590">
        <v>2.5000000000000001E-3</v>
      </c>
      <c r="AM4" s="2278"/>
      <c r="AN4" s="2238"/>
      <c r="AO4" s="2262"/>
      <c r="AP4" s="2293"/>
      <c r="AQ4" s="2278"/>
      <c r="AR4" s="2278"/>
      <c r="AS4" s="2238"/>
      <c r="AT4" s="2133"/>
      <c r="AU4" s="2133"/>
    </row>
    <row r="5" spans="1:47">
      <c r="A5" s="95"/>
      <c r="B5" s="95"/>
      <c r="C5" s="177">
        <v>1</v>
      </c>
      <c r="D5" s="177">
        <f t="shared" ref="D5:H5" si="0">C5+1</f>
        <v>2</v>
      </c>
      <c r="E5" s="177">
        <f t="shared" si="0"/>
        <v>3</v>
      </c>
      <c r="F5" s="177">
        <f t="shared" si="0"/>
        <v>4</v>
      </c>
      <c r="G5" s="177">
        <f t="shared" si="0"/>
        <v>5</v>
      </c>
      <c r="H5" s="177">
        <f t="shared" si="0"/>
        <v>6</v>
      </c>
      <c r="I5" s="177">
        <f t="shared" ref="I5" si="1">H5+1</f>
        <v>7</v>
      </c>
      <c r="J5" s="177">
        <f t="shared" ref="J5" si="2">I5+1</f>
        <v>8</v>
      </c>
      <c r="K5" s="177">
        <f t="shared" ref="K5" si="3">J5+1</f>
        <v>9</v>
      </c>
      <c r="L5" s="177">
        <f t="shared" ref="L5" si="4">K5+1</f>
        <v>10</v>
      </c>
      <c r="M5" s="177">
        <f t="shared" ref="M5" si="5">L5+1</f>
        <v>11</v>
      </c>
      <c r="N5" s="177">
        <f t="shared" ref="N5" si="6">M5+1</f>
        <v>12</v>
      </c>
      <c r="O5" s="177">
        <f t="shared" ref="O5" si="7">N5+1</f>
        <v>13</v>
      </c>
      <c r="P5" s="177">
        <f t="shared" ref="P5" si="8">O5+1</f>
        <v>14</v>
      </c>
      <c r="Q5" s="177">
        <f t="shared" ref="Q5" si="9">P5+1</f>
        <v>15</v>
      </c>
      <c r="R5" s="177">
        <f t="shared" ref="R5" si="10">Q5+1</f>
        <v>16</v>
      </c>
      <c r="S5" s="177">
        <f t="shared" ref="S5" si="11">R5+1</f>
        <v>17</v>
      </c>
      <c r="T5" s="177">
        <f t="shared" ref="T5" si="12">S5+1</f>
        <v>18</v>
      </c>
      <c r="U5" s="177">
        <f t="shared" ref="U5" si="13">T5+1</f>
        <v>19</v>
      </c>
      <c r="V5" s="177">
        <f t="shared" ref="V5" si="14">U5+1</f>
        <v>20</v>
      </c>
      <c r="W5" s="177">
        <f t="shared" ref="W5" si="15">V5+1</f>
        <v>21</v>
      </c>
      <c r="X5" s="177">
        <f t="shared" ref="X5" si="16">W5+1</f>
        <v>22</v>
      </c>
      <c r="Y5" s="177">
        <f t="shared" ref="Y5" si="17">X5+1</f>
        <v>23</v>
      </c>
      <c r="Z5" s="177">
        <f t="shared" ref="Z5" si="18">Y5+1</f>
        <v>24</v>
      </c>
      <c r="AA5" s="177">
        <f t="shared" ref="AA5" si="19">Z5+1</f>
        <v>25</v>
      </c>
      <c r="AB5" s="177">
        <f t="shared" ref="AB5" si="20">AA5+1</f>
        <v>26</v>
      </c>
      <c r="AC5" s="177">
        <f t="shared" ref="AC5" si="21">AB5+1</f>
        <v>27</v>
      </c>
      <c r="AD5" s="177">
        <f t="shared" ref="AD5" si="22">AC5+1</f>
        <v>28</v>
      </c>
      <c r="AE5" s="177">
        <f t="shared" ref="AE5" si="23">AD5+1</f>
        <v>29</v>
      </c>
      <c r="AF5" s="177">
        <f t="shared" ref="AF5" si="24">AE5+1</f>
        <v>30</v>
      </c>
      <c r="AG5" s="177">
        <f t="shared" ref="AG5" si="25">AF5+1</f>
        <v>31</v>
      </c>
      <c r="AH5" s="177">
        <f t="shared" ref="AH5" si="26">AG5+1</f>
        <v>32</v>
      </c>
      <c r="AI5" s="177">
        <f t="shared" ref="AI5" si="27">AH5+1</f>
        <v>33</v>
      </c>
      <c r="AJ5" s="177">
        <f t="shared" ref="AJ5" si="28">AI5+1</f>
        <v>34</v>
      </c>
      <c r="AK5" s="177">
        <f t="shared" ref="AK5" si="29">AJ5+1</f>
        <v>35</v>
      </c>
      <c r="AL5" s="177">
        <f t="shared" ref="AL5" si="30">AK5+1</f>
        <v>36</v>
      </c>
      <c r="AM5" s="177">
        <f t="shared" ref="AM5" si="31">AL5+1</f>
        <v>37</v>
      </c>
      <c r="AN5" s="177">
        <f t="shared" ref="AN5" si="32">AM5+1</f>
        <v>38</v>
      </c>
      <c r="AO5" s="177">
        <f t="shared" ref="AO5" si="33">AN5+1</f>
        <v>39</v>
      </c>
      <c r="AP5" s="177">
        <f t="shared" ref="AP5" si="34">AO5+1</f>
        <v>40</v>
      </c>
      <c r="AQ5" s="177">
        <f t="shared" ref="AQ5" si="35">AP5+1</f>
        <v>41</v>
      </c>
      <c r="AR5" s="177">
        <f t="shared" ref="AR5" si="36">AQ5+1</f>
        <v>42</v>
      </c>
      <c r="AS5" s="177">
        <f t="shared" ref="AS5" si="37">AR5+1</f>
        <v>43</v>
      </c>
      <c r="AT5" s="177">
        <f t="shared" ref="AT5" si="38">AS5+1</f>
        <v>44</v>
      </c>
      <c r="AU5" s="177">
        <f t="shared" ref="AU5" si="39">AT5+1</f>
        <v>45</v>
      </c>
    </row>
    <row r="6" spans="1:47" ht="37.950000000000003" customHeight="1">
      <c r="A6" s="331">
        <v>389002</v>
      </c>
      <c r="B6" s="332" t="s">
        <v>270</v>
      </c>
      <c r="C6" s="536">
        <f>+'Table 8 Membership 2.1.14'!D19</f>
        <v>530</v>
      </c>
      <c r="D6" s="267">
        <f>'Table 3 Levels 1&amp;2'!$AL$20</f>
        <v>3363.5980368254495</v>
      </c>
      <c r="E6" s="257">
        <f t="shared" ref="E6:E11" si="40">ROUND(C6*D6,0)</f>
        <v>1782707</v>
      </c>
      <c r="F6" s="528">
        <v>801.47762416806802</v>
      </c>
      <c r="G6" s="257">
        <f t="shared" ref="G6:G11" si="41">F6*C6</f>
        <v>424783.14080907602</v>
      </c>
      <c r="H6" s="1709">
        <f t="shared" ref="H6:H11" si="42">E6+G6</f>
        <v>2207490.1408090759</v>
      </c>
      <c r="I6" s="371"/>
      <c r="J6" s="371"/>
      <c r="K6" s="670">
        <f t="shared" ref="K6:K11" si="43">SUM(I6:J6)</f>
        <v>0</v>
      </c>
      <c r="L6" s="1709">
        <f t="shared" ref="L6:L11" si="44">+K6+H6</f>
        <v>2207490.1408090759</v>
      </c>
      <c r="M6" s="371">
        <f t="shared" ref="M6:M11" si="45">-L6*$M$4</f>
        <v>-38631.077464158829</v>
      </c>
      <c r="N6" s="371">
        <f t="shared" ref="N6:N11" si="46">-L6*$N$4</f>
        <v>-5518.7253520226895</v>
      </c>
      <c r="O6" s="371">
        <f t="shared" ref="O6:O11" si="47">M6+N6</f>
        <v>-44149.802816181516</v>
      </c>
      <c r="P6" s="1709">
        <f t="shared" ref="P6:P11" si="48">L6+O6</f>
        <v>2163340.3379928945</v>
      </c>
      <c r="Q6" s="371">
        <v>0</v>
      </c>
      <c r="R6" s="1709">
        <f t="shared" ref="R6:R11" si="49">SUM(P6:Q6)</f>
        <v>2163340.3379928945</v>
      </c>
      <c r="S6" s="371">
        <f>VLOOKUP($A6,'Table 4 Level 4'!$B$180:$N$188,4,FALSE)</f>
        <v>0</v>
      </c>
      <c r="T6" s="371">
        <f>VLOOKUP($A6,'Table 4 Level 4'!$B$180:$N$188,13,FALSE)</f>
        <v>9490</v>
      </c>
      <c r="U6" s="1707">
        <f>SUM(R6:T6)</f>
        <v>2172830.3379928945</v>
      </c>
      <c r="V6" s="528"/>
      <c r="W6" s="528">
        <f>U6-V6</f>
        <v>2172830.3379928945</v>
      </c>
      <c r="X6" s="1709">
        <f t="shared" ref="X6:X11" si="50">ROUND(W6/12,0)</f>
        <v>181069</v>
      </c>
      <c r="Y6" s="371">
        <f>VLOOKUP($A6,'Table 4 Level 4'!$B$180:$N$188,9,FALSE)</f>
        <v>0</v>
      </c>
      <c r="Z6" s="371">
        <f>VLOOKUP($A6,'Table 4 Level 4'!$B$180:$N$188,10,FALSE)</f>
        <v>0</v>
      </c>
      <c r="AA6" s="371">
        <f>VLOOKUP($A6,'Table 4 Level 4'!$B$180:$N$188,11,FALSE)</f>
        <v>0</v>
      </c>
      <c r="AB6" s="1707">
        <f>+U6+Y6+Z6+AA6</f>
        <v>2172830.3379928945</v>
      </c>
      <c r="AC6" s="371">
        <f>'[9]FY2014-15 Initial'!$D$24</f>
        <v>6151</v>
      </c>
      <c r="AD6" s="1728">
        <f t="shared" ref="AD6:AD11" si="51">AC6*C6</f>
        <v>3260030</v>
      </c>
      <c r="AE6" s="612"/>
      <c r="AF6" s="257"/>
      <c r="AG6" s="612"/>
      <c r="AH6" s="257">
        <f t="shared" ref="AH6:AH11" si="52">+AC6*AG6*0.5</f>
        <v>0</v>
      </c>
      <c r="AI6" s="670">
        <f t="shared" ref="AI6:AI11" si="53">+AH6+AF6</f>
        <v>0</v>
      </c>
      <c r="AJ6" s="1728">
        <f t="shared" ref="AJ6:AJ11" si="54">AD6+AI6</f>
        <v>3260030</v>
      </c>
      <c r="AK6" s="257">
        <f t="shared" ref="AK6:AK11" si="55">-AJ6*$AK$4</f>
        <v>-57050.525000000009</v>
      </c>
      <c r="AL6" s="257">
        <f t="shared" ref="AL6:AL11" si="56">-AJ6*$AL$4</f>
        <v>-8150.0749999999998</v>
      </c>
      <c r="AM6" s="257">
        <f t="shared" ref="AM6:AM11" si="57">AK6+AL6</f>
        <v>-65200.600000000006</v>
      </c>
      <c r="AN6" s="1728">
        <f t="shared" ref="AN6:AN11" si="58">AJ6+AM6</f>
        <v>3194829.4</v>
      </c>
      <c r="AO6" s="257">
        <v>0</v>
      </c>
      <c r="AP6" s="1728">
        <f t="shared" ref="AP6:AP11" si="59">SUM(AN6:AO6)</f>
        <v>3194829.4</v>
      </c>
      <c r="AQ6" s="528"/>
      <c r="AR6" s="528">
        <f t="shared" ref="AR6:AR11" si="60">AP6-AQ6</f>
        <v>3194829.4</v>
      </c>
      <c r="AS6" s="1728">
        <f t="shared" ref="AS6:AS11" si="61">ROUND(AR6/12,0)</f>
        <v>266236</v>
      </c>
      <c r="AT6" s="1732">
        <f>AB6+AP6</f>
        <v>5367659.7379928939</v>
      </c>
      <c r="AU6" s="1732">
        <f t="shared" ref="AU6:AU11" si="62">X6+AS6</f>
        <v>447305</v>
      </c>
    </row>
    <row r="7" spans="1:47" ht="37.950000000000003" customHeight="1">
      <c r="A7" s="332" t="s">
        <v>993</v>
      </c>
      <c r="B7" s="332" t="s">
        <v>853</v>
      </c>
      <c r="C7" s="536">
        <f>ROUND(500*(1593/2034),0)</f>
        <v>392</v>
      </c>
      <c r="D7" s="267">
        <f>'Table 3 Levels 1&amp;2'!$AL$20</f>
        <v>3363.5980368254495</v>
      </c>
      <c r="E7" s="257">
        <f>ROUND(C7*D7,0)</f>
        <v>1318530</v>
      </c>
      <c r="F7" s="257">
        <v>801.47762416806802</v>
      </c>
      <c r="G7" s="257">
        <f>F7*C7</f>
        <v>314179.22867388267</v>
      </c>
      <c r="H7" s="1709">
        <f>E7+G7</f>
        <v>1632709.2286738828</v>
      </c>
      <c r="I7" s="371"/>
      <c r="J7" s="371"/>
      <c r="K7" s="670">
        <f>SUM(I7:J7)</f>
        <v>0</v>
      </c>
      <c r="L7" s="1709">
        <f>+K7+H7</f>
        <v>1632709.2286738828</v>
      </c>
      <c r="M7" s="371">
        <f>-L7*$M$4</f>
        <v>-28572.411501792951</v>
      </c>
      <c r="N7" s="371">
        <f>-L7*$N$4</f>
        <v>-4081.7730716847072</v>
      </c>
      <c r="O7" s="371">
        <f>M7+N7</f>
        <v>-32654.184573477658</v>
      </c>
      <c r="P7" s="1709">
        <f>L7+O7</f>
        <v>1600055.0441004052</v>
      </c>
      <c r="Q7" s="371">
        <v>0</v>
      </c>
      <c r="R7" s="1709">
        <f>SUM(P7:Q7)</f>
        <v>1600055.0441004052</v>
      </c>
      <c r="S7" s="371">
        <f>VLOOKUP($A7,'Table 4 Level 4'!$B$180:$N$188,4,FALSE)</f>
        <v>0</v>
      </c>
      <c r="T7" s="371">
        <f>VLOOKUP($A7,'Table 4 Level 4'!$B$180:$N$188,13,FALSE)</f>
        <v>0</v>
      </c>
      <c r="U7" s="1707">
        <f>SUM(R7:T7)</f>
        <v>1600055.0441004052</v>
      </c>
      <c r="V7" s="528"/>
      <c r="W7" s="528">
        <f>U7-V7</f>
        <v>1600055.0441004052</v>
      </c>
      <c r="X7" s="1709">
        <f>ROUND(W7/12,0)</f>
        <v>133338</v>
      </c>
      <c r="Y7" s="371">
        <f>VLOOKUP($A7,'Table 4 Level 4'!$B$180:$N$188,9,FALSE)</f>
        <v>0</v>
      </c>
      <c r="Z7" s="371">
        <f>VLOOKUP($A7,'Table 4 Level 4'!$B$180:$N$188,10,FALSE)</f>
        <v>0</v>
      </c>
      <c r="AA7" s="371">
        <f>VLOOKUP($A7,'Table 4 Level 4'!$B$180:$N$188,11,FALSE)</f>
        <v>0</v>
      </c>
      <c r="AB7" s="1707">
        <f>+U7+Y7+Z7+AA7</f>
        <v>1600055.0441004052</v>
      </c>
      <c r="AC7" s="371">
        <f>'[9]FY2014-15 Initial'!$D$24</f>
        <v>6151</v>
      </c>
      <c r="AD7" s="1728">
        <f>AC7*C7</f>
        <v>2411192</v>
      </c>
      <c r="AE7" s="612"/>
      <c r="AF7" s="257"/>
      <c r="AG7" s="612"/>
      <c r="AH7" s="257">
        <f>+AC7*AG7*0.5</f>
        <v>0</v>
      </c>
      <c r="AI7" s="670">
        <f>+AH7+AF7</f>
        <v>0</v>
      </c>
      <c r="AJ7" s="1728">
        <f>AD7+AI7</f>
        <v>2411192</v>
      </c>
      <c r="AK7" s="257">
        <f>-AJ7*$AK$4</f>
        <v>-42195.86</v>
      </c>
      <c r="AL7" s="257">
        <f>-AJ7*$AL$4</f>
        <v>-6027.9800000000005</v>
      </c>
      <c r="AM7" s="257">
        <f>AK7+AL7</f>
        <v>-48223.840000000004</v>
      </c>
      <c r="AN7" s="1728">
        <f>AJ7+AM7</f>
        <v>2362968.16</v>
      </c>
      <c r="AO7" s="371">
        <v>0</v>
      </c>
      <c r="AP7" s="1728">
        <f>SUM(AN7:AO7)</f>
        <v>2362968.16</v>
      </c>
      <c r="AQ7" s="528"/>
      <c r="AR7" s="528">
        <f>AP7-AQ7</f>
        <v>2362968.16</v>
      </c>
      <c r="AS7" s="1728">
        <f>ROUND(AR7/12,0)</f>
        <v>196914</v>
      </c>
      <c r="AT7" s="1732">
        <f>AB7+AP7</f>
        <v>3963023.2041004053</v>
      </c>
      <c r="AU7" s="1732">
        <f>X7+AS7</f>
        <v>330252</v>
      </c>
    </row>
    <row r="8" spans="1:47" ht="37.950000000000003" customHeight="1">
      <c r="A8" s="332" t="s">
        <v>994</v>
      </c>
      <c r="B8" s="332" t="s">
        <v>854</v>
      </c>
      <c r="C8" s="536">
        <f>ROUND(520*(1593/2034),0)-1</f>
        <v>406</v>
      </c>
      <c r="D8" s="267">
        <f>'Table 3 Levels 1&amp;2'!$AL$20</f>
        <v>3363.5980368254495</v>
      </c>
      <c r="E8" s="257">
        <f>ROUND(C8*D8,0)</f>
        <v>1365621</v>
      </c>
      <c r="F8" s="528">
        <v>801.47762416806802</v>
      </c>
      <c r="G8" s="257">
        <f>F8*C8</f>
        <v>325399.9154122356</v>
      </c>
      <c r="H8" s="1709">
        <f>E8+G8</f>
        <v>1691020.9154122355</v>
      </c>
      <c r="I8" s="371"/>
      <c r="J8" s="371"/>
      <c r="K8" s="670">
        <f>SUM(I8:J8)</f>
        <v>0</v>
      </c>
      <c r="L8" s="1709">
        <f>+K8+H8</f>
        <v>1691020.9154122355</v>
      </c>
      <c r="M8" s="371">
        <f>-L8*$M$4</f>
        <v>-29592.866019714125</v>
      </c>
      <c r="N8" s="371">
        <f>-L8*$N$4</f>
        <v>-4227.5522885305891</v>
      </c>
      <c r="O8" s="371">
        <f>M8+N8</f>
        <v>-33820.418308244713</v>
      </c>
      <c r="P8" s="1709">
        <f>L8+O8</f>
        <v>1657200.4971039908</v>
      </c>
      <c r="Q8" s="371">
        <v>0</v>
      </c>
      <c r="R8" s="1709">
        <f>SUM(P8:Q8)</f>
        <v>1657200.4971039908</v>
      </c>
      <c r="S8" s="371">
        <f>VLOOKUP($A8,'Table 4 Level 4'!$B$180:$N$188,4,FALSE)</f>
        <v>0</v>
      </c>
      <c r="T8" s="371">
        <f>VLOOKUP($A8,'Table 4 Level 4'!$B$180:$N$188,13,FALSE)</f>
        <v>4680</v>
      </c>
      <c r="U8" s="1707">
        <f>SUM(R8:T8)</f>
        <v>1661880.4971039908</v>
      </c>
      <c r="V8" s="528"/>
      <c r="W8" s="528">
        <f>U8-V8</f>
        <v>1661880.4971039908</v>
      </c>
      <c r="X8" s="1709">
        <f>ROUND(W8/12,0)</f>
        <v>138490</v>
      </c>
      <c r="Y8" s="371">
        <f>VLOOKUP($A8,'Table 4 Level 4'!$B$180:$N$188,9,FALSE)</f>
        <v>0</v>
      </c>
      <c r="Z8" s="371">
        <f>VLOOKUP($A8,'Table 4 Level 4'!$B$180:$N$188,10,FALSE)</f>
        <v>0</v>
      </c>
      <c r="AA8" s="371">
        <f>VLOOKUP($A8,'Table 4 Level 4'!$B$180:$N$188,11,FALSE)</f>
        <v>0</v>
      </c>
      <c r="AB8" s="1707">
        <f>+U8+Y8+Z8+AA8</f>
        <v>1661880.4971039908</v>
      </c>
      <c r="AC8" s="371">
        <f>'[9]FY2014-15 Initial'!$D$24</f>
        <v>6151</v>
      </c>
      <c r="AD8" s="1728">
        <f>AC8*C8</f>
        <v>2497306</v>
      </c>
      <c r="AE8" s="612"/>
      <c r="AF8" s="257"/>
      <c r="AG8" s="612"/>
      <c r="AH8" s="257">
        <f>+AC8*AG8*0.5</f>
        <v>0</v>
      </c>
      <c r="AI8" s="670">
        <f>+AH8+AF8</f>
        <v>0</v>
      </c>
      <c r="AJ8" s="1728">
        <f>AD8+AI8</f>
        <v>2497306</v>
      </c>
      <c r="AK8" s="257">
        <f>-AJ8*$AK$4</f>
        <v>-43702.855000000003</v>
      </c>
      <c r="AL8" s="257">
        <f>-AJ8*$AL$4</f>
        <v>-6243.2650000000003</v>
      </c>
      <c r="AM8" s="257">
        <f>AK8+AL8</f>
        <v>-49946.12</v>
      </c>
      <c r="AN8" s="1728">
        <f>AJ8+AM8</f>
        <v>2447359.88</v>
      </c>
      <c r="AO8" s="371">
        <v>0</v>
      </c>
      <c r="AP8" s="1728">
        <f>SUM(AN8:AO8)</f>
        <v>2447359.88</v>
      </c>
      <c r="AQ8" s="528"/>
      <c r="AR8" s="528">
        <f>AP8-AQ8</f>
        <v>2447359.88</v>
      </c>
      <c r="AS8" s="1728">
        <f>ROUND(AR8/12,0)</f>
        <v>203947</v>
      </c>
      <c r="AT8" s="1732">
        <f>AB8+AP8</f>
        <v>4109240.3771039909</v>
      </c>
      <c r="AU8" s="1732">
        <f>X8+AS8</f>
        <v>342437</v>
      </c>
    </row>
    <row r="9" spans="1:47" ht="37.950000000000003" customHeight="1">
      <c r="A9" s="332" t="s">
        <v>1306</v>
      </c>
      <c r="B9" s="332" t="s">
        <v>1308</v>
      </c>
      <c r="C9" s="536">
        <f>ROUND(426*(1593/2034),0)</f>
        <v>334</v>
      </c>
      <c r="D9" s="267">
        <f>'Table 3 Levels 1&amp;2'!$AL$20</f>
        <v>3363.5980368254495</v>
      </c>
      <c r="E9" s="257">
        <f>ROUND(C9*D9,0)</f>
        <v>1123442</v>
      </c>
      <c r="F9" s="528">
        <v>801.47762416806802</v>
      </c>
      <c r="G9" s="257">
        <f>F9*C9</f>
        <v>267693.52647213469</v>
      </c>
      <c r="H9" s="1709">
        <f>E9+G9</f>
        <v>1391135.5264721347</v>
      </c>
      <c r="I9" s="371"/>
      <c r="J9" s="371"/>
      <c r="K9" s="670">
        <f>SUM(I9:J9)</f>
        <v>0</v>
      </c>
      <c r="L9" s="1709">
        <f>+K9+H9</f>
        <v>1391135.5264721347</v>
      </c>
      <c r="M9" s="371">
        <f>-L9*$M$4</f>
        <v>-24344.871713262361</v>
      </c>
      <c r="N9" s="371">
        <f>-L9*$N$4</f>
        <v>-3477.8388161803368</v>
      </c>
      <c r="O9" s="371">
        <f>M9+N9</f>
        <v>-27822.710529442698</v>
      </c>
      <c r="P9" s="1709">
        <f>L9+O9</f>
        <v>1363312.8159426921</v>
      </c>
      <c r="Q9" s="371">
        <v>0</v>
      </c>
      <c r="R9" s="1709">
        <f>SUM(P9:Q9)</f>
        <v>1363312.8159426921</v>
      </c>
      <c r="S9" s="371">
        <f>VLOOKUP($A9,'Table 4 Level 4'!$B$180:$N$188,4,FALSE)</f>
        <v>0</v>
      </c>
      <c r="T9" s="371">
        <f>VLOOKUP($A9,'Table 4 Level 4'!$B$180:$N$188,13,FALSE)</f>
        <v>0</v>
      </c>
      <c r="U9" s="1707">
        <f>SUM(R9:T9)</f>
        <v>1363312.8159426921</v>
      </c>
      <c r="V9" s="528"/>
      <c r="W9" s="528">
        <f>U9-V9</f>
        <v>1363312.8159426921</v>
      </c>
      <c r="X9" s="1709">
        <f>ROUND(W9/12,0)</f>
        <v>113609</v>
      </c>
      <c r="Y9" s="371">
        <f>VLOOKUP($A9,'Table 4 Level 4'!$B$180:$N$188,9,FALSE)</f>
        <v>0</v>
      </c>
      <c r="Z9" s="371">
        <f>VLOOKUP($A9,'Table 4 Level 4'!$B$180:$N$188,10,FALSE)</f>
        <v>0</v>
      </c>
      <c r="AA9" s="371">
        <f>VLOOKUP($A9,'Table 4 Level 4'!$B$180:$N$188,11,FALSE)</f>
        <v>0</v>
      </c>
      <c r="AB9" s="1707">
        <f>+U9+Y9+Z9+AA9</f>
        <v>1363312.8159426921</v>
      </c>
      <c r="AC9" s="371">
        <f>'[9]FY2014-15 Initial'!$D$24</f>
        <v>6151</v>
      </c>
      <c r="AD9" s="1728">
        <f>AC9*C9</f>
        <v>2054434</v>
      </c>
      <c r="AE9" s="612"/>
      <c r="AF9" s="257"/>
      <c r="AG9" s="612"/>
      <c r="AH9" s="257">
        <f>+AC9*AG9*0.5</f>
        <v>0</v>
      </c>
      <c r="AI9" s="670">
        <f>+AH9+AF9</f>
        <v>0</v>
      </c>
      <c r="AJ9" s="1728">
        <f>AD9+AI9</f>
        <v>2054434</v>
      </c>
      <c r="AK9" s="257">
        <f>-AJ9*$AK$4</f>
        <v>-35952.595000000001</v>
      </c>
      <c r="AL9" s="257">
        <f>-AJ9*$AL$4</f>
        <v>-5136.085</v>
      </c>
      <c r="AM9" s="257">
        <f>AK9+AL9</f>
        <v>-41088.68</v>
      </c>
      <c r="AN9" s="1728">
        <f>AJ9+AM9</f>
        <v>2013345.32</v>
      </c>
      <c r="AO9" s="371">
        <v>0</v>
      </c>
      <c r="AP9" s="1728">
        <f>SUM(AN9:AO9)</f>
        <v>2013345.32</v>
      </c>
      <c r="AQ9" s="528"/>
      <c r="AR9" s="528">
        <f>AP9-AQ9</f>
        <v>2013345.32</v>
      </c>
      <c r="AS9" s="1728">
        <f>ROUND(AR9/12,0)</f>
        <v>167779</v>
      </c>
      <c r="AT9" s="1732">
        <f>AB9+AP9</f>
        <v>3376658.1359426919</v>
      </c>
      <c r="AU9" s="1732">
        <f>X9+AS9</f>
        <v>281388</v>
      </c>
    </row>
    <row r="10" spans="1:47" ht="37.950000000000003" customHeight="1">
      <c r="A10" s="332" t="s">
        <v>996</v>
      </c>
      <c r="B10" s="332" t="s">
        <v>1276</v>
      </c>
      <c r="C10" s="536">
        <f>ROUND(108*(1593/2034),0)</f>
        <v>85</v>
      </c>
      <c r="D10" s="267">
        <f>'Table 3 Levels 1&amp;2'!$AL$20</f>
        <v>3363.5980368254495</v>
      </c>
      <c r="E10" s="257">
        <f t="shared" si="40"/>
        <v>285906</v>
      </c>
      <c r="F10" s="528">
        <v>801.47762416806802</v>
      </c>
      <c r="G10" s="257">
        <f t="shared" si="41"/>
        <v>68125.598054285787</v>
      </c>
      <c r="H10" s="1709">
        <f t="shared" si="42"/>
        <v>354031.5980542858</v>
      </c>
      <c r="I10" s="371"/>
      <c r="J10" s="371"/>
      <c r="K10" s="670">
        <f t="shared" si="43"/>
        <v>0</v>
      </c>
      <c r="L10" s="1709">
        <f t="shared" si="44"/>
        <v>354031.5980542858</v>
      </c>
      <c r="M10" s="371">
        <f t="shared" si="45"/>
        <v>-6195.5529659500025</v>
      </c>
      <c r="N10" s="371">
        <f t="shared" si="46"/>
        <v>-885.07899513571454</v>
      </c>
      <c r="O10" s="371">
        <f t="shared" si="47"/>
        <v>-7080.6319610857172</v>
      </c>
      <c r="P10" s="1709">
        <f t="shared" si="48"/>
        <v>346950.96609320008</v>
      </c>
      <c r="Q10" s="371">
        <v>0</v>
      </c>
      <c r="R10" s="1709">
        <f t="shared" si="49"/>
        <v>346950.96609320008</v>
      </c>
      <c r="S10" s="371">
        <f>VLOOKUP($A10,'Table 4 Level 4'!$B$180:$N$188,4,FALSE)</f>
        <v>0</v>
      </c>
      <c r="T10" s="371">
        <f>VLOOKUP($A10,'Table 4 Level 4'!$B$180:$N$188,13,FALSE)</f>
        <v>0</v>
      </c>
      <c r="U10" s="1707">
        <f t="shared" ref="U7:U11" si="63">SUM(R10:T10)</f>
        <v>346950.96609320008</v>
      </c>
      <c r="V10" s="528"/>
      <c r="W10" s="528">
        <f t="shared" ref="W7:W11" si="64">U10-V10</f>
        <v>346950.96609320008</v>
      </c>
      <c r="X10" s="1709">
        <f t="shared" si="50"/>
        <v>28913</v>
      </c>
      <c r="Y10" s="371">
        <f>VLOOKUP($A10,'Table 4 Level 4'!$B$180:$N$188,9,FALSE)</f>
        <v>0</v>
      </c>
      <c r="Z10" s="371">
        <f>VLOOKUP($A10,'Table 4 Level 4'!$B$180:$N$188,10,FALSE)</f>
        <v>0</v>
      </c>
      <c r="AA10" s="371">
        <f>VLOOKUP($A10,'Table 4 Level 4'!$B$180:$N$188,11,FALSE)</f>
        <v>0</v>
      </c>
      <c r="AB10" s="1707">
        <f t="shared" ref="AB7:AB10" si="65">+U10+Y10+Z10+AA10</f>
        <v>346950.96609320008</v>
      </c>
      <c r="AC10" s="371">
        <f>'[9]FY2014-15 Initial'!$D$24</f>
        <v>6151</v>
      </c>
      <c r="AD10" s="1728">
        <f t="shared" si="51"/>
        <v>522835</v>
      </c>
      <c r="AE10" s="612"/>
      <c r="AF10" s="257"/>
      <c r="AG10" s="612"/>
      <c r="AH10" s="257">
        <f t="shared" si="52"/>
        <v>0</v>
      </c>
      <c r="AI10" s="670">
        <f t="shared" si="53"/>
        <v>0</v>
      </c>
      <c r="AJ10" s="1728">
        <f t="shared" si="54"/>
        <v>522835</v>
      </c>
      <c r="AK10" s="257">
        <f t="shared" si="55"/>
        <v>-9149.6125000000011</v>
      </c>
      <c r="AL10" s="257">
        <f t="shared" si="56"/>
        <v>-1307.0875000000001</v>
      </c>
      <c r="AM10" s="257">
        <f t="shared" si="57"/>
        <v>-10456.700000000001</v>
      </c>
      <c r="AN10" s="1728">
        <f t="shared" si="58"/>
        <v>512378.3</v>
      </c>
      <c r="AO10" s="257">
        <v>0</v>
      </c>
      <c r="AP10" s="1728">
        <f t="shared" si="59"/>
        <v>512378.3</v>
      </c>
      <c r="AQ10" s="528"/>
      <c r="AR10" s="528">
        <f t="shared" si="60"/>
        <v>512378.3</v>
      </c>
      <c r="AS10" s="1728">
        <f t="shared" si="61"/>
        <v>42698</v>
      </c>
      <c r="AT10" s="1732">
        <f t="shared" ref="AT7:AT11" si="66">AB10+AP10</f>
        <v>859329.26609320007</v>
      </c>
      <c r="AU10" s="1732">
        <f t="shared" si="62"/>
        <v>71611</v>
      </c>
    </row>
    <row r="11" spans="1:47" ht="37.950000000000003" customHeight="1">
      <c r="A11" s="332" t="s">
        <v>995</v>
      </c>
      <c r="B11" s="332" t="s">
        <v>855</v>
      </c>
      <c r="C11" s="536">
        <f>ROUND(480*(1593/2034),0)</f>
        <v>376</v>
      </c>
      <c r="D11" s="267">
        <f>'Table 3 Levels 1&amp;2'!$AL$20</f>
        <v>3363.5980368254495</v>
      </c>
      <c r="E11" s="257">
        <f t="shared" si="40"/>
        <v>1264713</v>
      </c>
      <c r="F11" s="528">
        <v>801.47762416806802</v>
      </c>
      <c r="G11" s="257">
        <f t="shared" si="41"/>
        <v>301355.5866871936</v>
      </c>
      <c r="H11" s="1709">
        <f t="shared" si="42"/>
        <v>1566068.5866871937</v>
      </c>
      <c r="I11" s="371"/>
      <c r="J11" s="371"/>
      <c r="K11" s="670">
        <f t="shared" si="43"/>
        <v>0</v>
      </c>
      <c r="L11" s="1709">
        <f t="shared" si="44"/>
        <v>1566068.5866871937</v>
      </c>
      <c r="M11" s="371">
        <f t="shared" si="45"/>
        <v>-27406.200267025892</v>
      </c>
      <c r="N11" s="371">
        <f t="shared" si="46"/>
        <v>-3915.1714667179845</v>
      </c>
      <c r="O11" s="371">
        <f t="shared" si="47"/>
        <v>-31321.371733743876</v>
      </c>
      <c r="P11" s="1709">
        <f t="shared" si="48"/>
        <v>1534747.2149534498</v>
      </c>
      <c r="Q11" s="371">
        <v>0</v>
      </c>
      <c r="R11" s="1709">
        <f t="shared" si="49"/>
        <v>1534747.2149534498</v>
      </c>
      <c r="S11" s="371">
        <f>VLOOKUP($A11,'Table 4 Level 4'!$B$180:$N$188,4,FALSE)</f>
        <v>0</v>
      </c>
      <c r="T11" s="371">
        <f>VLOOKUP($A11,'Table 4 Level 4'!$B$180:$N$188,13,FALSE)</f>
        <v>10400</v>
      </c>
      <c r="U11" s="1707">
        <f t="shared" si="63"/>
        <v>1545147.2149534498</v>
      </c>
      <c r="V11" s="528"/>
      <c r="W11" s="528">
        <f t="shared" si="64"/>
        <v>1545147.2149534498</v>
      </c>
      <c r="X11" s="1709">
        <f t="shared" si="50"/>
        <v>128762</v>
      </c>
      <c r="Y11" s="371">
        <f>VLOOKUP($A11,'Table 4 Level 4'!$B$180:$N$188,9,FALSE)</f>
        <v>0</v>
      </c>
      <c r="Z11" s="371">
        <f>VLOOKUP($A11,'Table 4 Level 4'!$B$180:$N$188,10,FALSE)</f>
        <v>0</v>
      </c>
      <c r="AA11" s="371">
        <f>VLOOKUP($A11,'Table 4 Level 4'!$B$180:$N$188,11,FALSE)</f>
        <v>0</v>
      </c>
      <c r="AB11" s="1707">
        <f>+U11+Y11+Z11+AA11</f>
        <v>1545147.2149534498</v>
      </c>
      <c r="AC11" s="371">
        <f>'[9]FY2014-15 Initial'!$D$24</f>
        <v>6151</v>
      </c>
      <c r="AD11" s="1728">
        <f t="shared" si="51"/>
        <v>2312776</v>
      </c>
      <c r="AE11" s="612"/>
      <c r="AF11" s="257"/>
      <c r="AG11" s="612"/>
      <c r="AH11" s="257">
        <f t="shared" si="52"/>
        <v>0</v>
      </c>
      <c r="AI11" s="670">
        <f t="shared" si="53"/>
        <v>0</v>
      </c>
      <c r="AJ11" s="1728">
        <f t="shared" si="54"/>
        <v>2312776</v>
      </c>
      <c r="AK11" s="257">
        <f t="shared" si="55"/>
        <v>-40473.58</v>
      </c>
      <c r="AL11" s="257">
        <f t="shared" si="56"/>
        <v>-5781.9400000000005</v>
      </c>
      <c r="AM11" s="257">
        <f t="shared" si="57"/>
        <v>-46255.520000000004</v>
      </c>
      <c r="AN11" s="1728">
        <f t="shared" si="58"/>
        <v>2266520.48</v>
      </c>
      <c r="AO11" s="371">
        <v>0</v>
      </c>
      <c r="AP11" s="1728">
        <f t="shared" si="59"/>
        <v>2266520.48</v>
      </c>
      <c r="AQ11" s="528"/>
      <c r="AR11" s="528">
        <f t="shared" si="60"/>
        <v>2266520.48</v>
      </c>
      <c r="AS11" s="1728">
        <f t="shared" si="61"/>
        <v>188877</v>
      </c>
      <c r="AT11" s="1732">
        <f t="shared" si="66"/>
        <v>3811667.69495345</v>
      </c>
      <c r="AU11" s="1732">
        <f t="shared" si="62"/>
        <v>317639</v>
      </c>
    </row>
    <row r="12" spans="1:47" s="8" customFormat="1" ht="40.5" customHeight="1">
      <c r="A12" s="256"/>
      <c r="B12" s="256" t="s">
        <v>212</v>
      </c>
      <c r="C12" s="283">
        <f>SUM(C6:C11)</f>
        <v>2123</v>
      </c>
      <c r="D12" s="284"/>
      <c r="E12" s="285">
        <f>SUM(E6:E11)</f>
        <v>7140919</v>
      </c>
      <c r="F12" s="285"/>
      <c r="G12" s="285">
        <f t="shared" ref="G12:AA12" si="67">SUM(G6:G11)</f>
        <v>1701536.9961088086</v>
      </c>
      <c r="H12" s="1710">
        <f t="shared" si="67"/>
        <v>8842455.9961088095</v>
      </c>
      <c r="I12" s="355">
        <f t="shared" si="67"/>
        <v>0</v>
      </c>
      <c r="J12" s="355">
        <f t="shared" si="67"/>
        <v>0</v>
      </c>
      <c r="K12" s="671">
        <f t="shared" si="67"/>
        <v>0</v>
      </c>
      <c r="L12" s="1710">
        <f t="shared" si="67"/>
        <v>8842455.9961088095</v>
      </c>
      <c r="M12" s="355">
        <f t="shared" si="67"/>
        <v>-154742.97993190415</v>
      </c>
      <c r="N12" s="355">
        <f t="shared" si="67"/>
        <v>-22106.139990272022</v>
      </c>
      <c r="O12" s="355">
        <f t="shared" si="67"/>
        <v>-176849.11992217618</v>
      </c>
      <c r="P12" s="1710">
        <f t="shared" si="67"/>
        <v>8665606.8761866316</v>
      </c>
      <c r="Q12" s="285">
        <f t="shared" si="67"/>
        <v>0</v>
      </c>
      <c r="R12" s="1710">
        <f t="shared" si="67"/>
        <v>8665606.8761866316</v>
      </c>
      <c r="S12" s="285">
        <f t="shared" si="67"/>
        <v>0</v>
      </c>
      <c r="T12" s="285">
        <f t="shared" si="67"/>
        <v>24570</v>
      </c>
      <c r="U12" s="1708">
        <f t="shared" si="67"/>
        <v>8690176.8761866316</v>
      </c>
      <c r="V12" s="285">
        <f t="shared" si="67"/>
        <v>0</v>
      </c>
      <c r="W12" s="285">
        <f t="shared" si="67"/>
        <v>8690176.8761866316</v>
      </c>
      <c r="X12" s="1710">
        <f t="shared" si="67"/>
        <v>724181</v>
      </c>
      <c r="Y12" s="285">
        <f t="shared" si="67"/>
        <v>0</v>
      </c>
      <c r="Z12" s="285">
        <f t="shared" si="67"/>
        <v>0</v>
      </c>
      <c r="AA12" s="285">
        <f t="shared" si="67"/>
        <v>0</v>
      </c>
      <c r="AB12" s="1708">
        <f t="shared" ref="AB12" si="68">SUM(AB6:AB11)</f>
        <v>8690176.8761866316</v>
      </c>
      <c r="AC12" s="285"/>
      <c r="AD12" s="1729">
        <f t="shared" ref="AD12:AU12" si="69">SUM(AD6:AD11)</f>
        <v>13058573</v>
      </c>
      <c r="AE12" s="613">
        <f t="shared" si="69"/>
        <v>0</v>
      </c>
      <c r="AF12" s="285">
        <f t="shared" si="69"/>
        <v>0</v>
      </c>
      <c r="AG12" s="617">
        <f t="shared" si="69"/>
        <v>0</v>
      </c>
      <c r="AH12" s="285">
        <f t="shared" si="69"/>
        <v>0</v>
      </c>
      <c r="AI12" s="671">
        <f t="shared" si="69"/>
        <v>0</v>
      </c>
      <c r="AJ12" s="1729">
        <f t="shared" si="69"/>
        <v>13058573</v>
      </c>
      <c r="AK12" s="285">
        <f t="shared" si="69"/>
        <v>-228525.02750000003</v>
      </c>
      <c r="AL12" s="285">
        <f t="shared" si="69"/>
        <v>-32646.432500000003</v>
      </c>
      <c r="AM12" s="285">
        <f t="shared" si="69"/>
        <v>-261171.46000000002</v>
      </c>
      <c r="AN12" s="1729">
        <f t="shared" si="69"/>
        <v>12797401.540000001</v>
      </c>
      <c r="AO12" s="285">
        <f t="shared" si="69"/>
        <v>0</v>
      </c>
      <c r="AP12" s="1729">
        <f t="shared" si="69"/>
        <v>12797401.540000001</v>
      </c>
      <c r="AQ12" s="667">
        <f t="shared" si="69"/>
        <v>0</v>
      </c>
      <c r="AR12" s="667">
        <f t="shared" si="69"/>
        <v>12797401.540000001</v>
      </c>
      <c r="AS12" s="1729">
        <f t="shared" si="69"/>
        <v>1066451</v>
      </c>
      <c r="AT12" s="1733">
        <f t="shared" si="69"/>
        <v>21487578.416186631</v>
      </c>
      <c r="AU12" s="1733">
        <f t="shared" si="69"/>
        <v>1790632</v>
      </c>
    </row>
    <row r="13" spans="1:47" s="594" customFormat="1" ht="15" customHeight="1">
      <c r="A13" s="974"/>
      <c r="B13" s="974"/>
      <c r="C13" s="975"/>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7"/>
      <c r="AF13" s="976"/>
      <c r="AG13" s="977"/>
      <c r="AH13" s="976"/>
      <c r="AI13" s="976"/>
      <c r="AJ13" s="976"/>
      <c r="AK13" s="976"/>
      <c r="AL13" s="976"/>
      <c r="AM13" s="976"/>
      <c r="AN13" s="976"/>
      <c r="AO13" s="976"/>
      <c r="AP13" s="976"/>
      <c r="AQ13" s="976"/>
      <c r="AR13" s="976"/>
      <c r="AS13" s="976"/>
      <c r="AT13" s="976"/>
      <c r="AU13" s="976"/>
    </row>
    <row r="14" spans="1:47" ht="37.950000000000003" customHeight="1">
      <c r="A14" s="331">
        <v>371001</v>
      </c>
      <c r="B14" s="332" t="s">
        <v>1281</v>
      </c>
      <c r="C14" s="536">
        <f>+'Table 8 Membership 2.1.14'!D11</f>
        <v>508</v>
      </c>
      <c r="D14" s="267">
        <f>'Table 3 Levels 1&amp;2'!$AL$12</f>
        <v>4632.4615072045008</v>
      </c>
      <c r="E14" s="257">
        <f>ROUND(C14*D14,0)</f>
        <v>2353290</v>
      </c>
      <c r="F14" s="354">
        <v>744.76</v>
      </c>
      <c r="G14" s="257">
        <f>F14*C14</f>
        <v>378338.08</v>
      </c>
      <c r="H14" s="1709">
        <f>E14+G14</f>
        <v>2731628.08</v>
      </c>
      <c r="I14" s="371"/>
      <c r="J14" s="371"/>
      <c r="K14" s="670">
        <f t="shared" ref="K14" si="70">SUM(I14:J14)</f>
        <v>0</v>
      </c>
      <c r="L14" s="1709">
        <f>+K14+H14</f>
        <v>2731628.08</v>
      </c>
      <c r="M14" s="371">
        <f>-L14*$M$4</f>
        <v>-47803.491400000006</v>
      </c>
      <c r="N14" s="371">
        <f>-L14*$N$4</f>
        <v>-6829.0702000000001</v>
      </c>
      <c r="O14" s="371">
        <f>M14+N14</f>
        <v>-54632.561600000008</v>
      </c>
      <c r="P14" s="1709">
        <f t="shared" ref="P14" si="71">L14+O14</f>
        <v>2676995.5183999999</v>
      </c>
      <c r="Q14" s="371">
        <v>0</v>
      </c>
      <c r="R14" s="1709">
        <f>SUM(P14:Q14)</f>
        <v>2676995.5183999999</v>
      </c>
      <c r="S14" s="371">
        <f>VLOOKUP($A14,'Table 4 Level 4'!$B$180:$N$188,4,FALSE)</f>
        <v>0</v>
      </c>
      <c r="T14" s="371">
        <f>VLOOKUP($A14,'Table 4 Level 4'!$B$180:$N$188,13,FALSE)</f>
        <v>9256</v>
      </c>
      <c r="U14" s="1707">
        <f>SUM(R14:T14)</f>
        <v>2686251.5183999999</v>
      </c>
      <c r="V14" s="528"/>
      <c r="W14" s="528">
        <f>U14-V14</f>
        <v>2686251.5183999999</v>
      </c>
      <c r="X14" s="1709">
        <f t="shared" ref="X14" si="72">ROUND(W14/12,0)</f>
        <v>223854</v>
      </c>
      <c r="Y14" s="371">
        <f>VLOOKUP($A14,'Table 4 Level 4'!$B$180:$N$188,9,FALSE)</f>
        <v>0</v>
      </c>
      <c r="Z14" s="371">
        <f>VLOOKUP($A14,'Table 4 Level 4'!$B$180:$N$188,10,FALSE)</f>
        <v>0</v>
      </c>
      <c r="AA14" s="371">
        <f>VLOOKUP($A14,'Table 4 Level 4'!$B$180:$N$188,11,FALSE)</f>
        <v>0</v>
      </c>
      <c r="AB14" s="1707">
        <f>+U14+Y14+Z14+AA14</f>
        <v>2686251.5183999999</v>
      </c>
      <c r="AC14" s="371">
        <f>'[9]FY2014-15 Initial'!$D$16</f>
        <v>4116</v>
      </c>
      <c r="AD14" s="1728">
        <f>AC14*C14</f>
        <v>2090928</v>
      </c>
      <c r="AE14" s="612"/>
      <c r="AF14" s="257"/>
      <c r="AG14" s="612"/>
      <c r="AH14" s="257">
        <f t="shared" ref="AH14" si="73">+AC14*AG14*0.5</f>
        <v>0</v>
      </c>
      <c r="AI14" s="670">
        <f t="shared" ref="AI14" si="74">+AH14+AF14</f>
        <v>0</v>
      </c>
      <c r="AJ14" s="1728">
        <f t="shared" ref="AJ14" si="75">AD14+AF14</f>
        <v>2090928</v>
      </c>
      <c r="AK14" s="257">
        <f>-AJ14*$AK$4</f>
        <v>-36591.240000000005</v>
      </c>
      <c r="AL14" s="257">
        <f>-AJ14*$AL$4</f>
        <v>-5227.32</v>
      </c>
      <c r="AM14" s="257">
        <f>AK14+AL14</f>
        <v>-41818.560000000005</v>
      </c>
      <c r="AN14" s="1728">
        <f t="shared" ref="AN14" si="76">AJ14+AM14</f>
        <v>2049109.44</v>
      </c>
      <c r="AO14" s="257">
        <v>0</v>
      </c>
      <c r="AP14" s="1728">
        <f>SUM(AN14:AO14)</f>
        <v>2049109.44</v>
      </c>
      <c r="AQ14" s="528"/>
      <c r="AR14" s="528">
        <f t="shared" ref="AR14" si="77">AP14-AQ14</f>
        <v>2049109.44</v>
      </c>
      <c r="AS14" s="1728">
        <f t="shared" ref="AS14" si="78">ROUND(AR14/12,0)</f>
        <v>170759</v>
      </c>
      <c r="AT14" s="1732">
        <f>AB14+AP14</f>
        <v>4735360.9583999999</v>
      </c>
      <c r="AU14" s="1732">
        <f t="shared" ref="AU14" si="79">X14+AS14</f>
        <v>394613</v>
      </c>
    </row>
    <row r="15" spans="1:47" s="8" customFormat="1" ht="37.950000000000003" customHeight="1">
      <c r="A15" s="256"/>
      <c r="B15" s="256" t="s">
        <v>213</v>
      </c>
      <c r="C15" s="283">
        <f>SUM(C14:C14)</f>
        <v>508</v>
      </c>
      <c r="D15" s="284"/>
      <c r="E15" s="285">
        <f>SUM(E14:E14)</f>
        <v>2353290</v>
      </c>
      <c r="F15" s="355"/>
      <c r="G15" s="285">
        <f t="shared" ref="G15:AJ15" si="80">SUM(G14:G14)</f>
        <v>378338.08</v>
      </c>
      <c r="H15" s="1710">
        <f t="shared" si="80"/>
        <v>2731628.08</v>
      </c>
      <c r="I15" s="355">
        <f t="shared" si="80"/>
        <v>0</v>
      </c>
      <c r="J15" s="355">
        <f t="shared" si="80"/>
        <v>0</v>
      </c>
      <c r="K15" s="671">
        <f t="shared" si="80"/>
        <v>0</v>
      </c>
      <c r="L15" s="1710">
        <f t="shared" si="80"/>
        <v>2731628.08</v>
      </c>
      <c r="M15" s="355">
        <f t="shared" si="80"/>
        <v>-47803.491400000006</v>
      </c>
      <c r="N15" s="355">
        <f t="shared" si="80"/>
        <v>-6829.0702000000001</v>
      </c>
      <c r="O15" s="355">
        <f t="shared" si="80"/>
        <v>-54632.561600000008</v>
      </c>
      <c r="P15" s="1710">
        <f>SUM(P14:P14)</f>
        <v>2676995.5183999999</v>
      </c>
      <c r="Q15" s="285">
        <f t="shared" si="80"/>
        <v>0</v>
      </c>
      <c r="R15" s="1710">
        <f>SUM(R14)</f>
        <v>2676995.5183999999</v>
      </c>
      <c r="S15" s="285">
        <f t="shared" ref="S15:V15" si="81">SUM(S14)</f>
        <v>0</v>
      </c>
      <c r="T15" s="285">
        <f t="shared" si="81"/>
        <v>9256</v>
      </c>
      <c r="U15" s="1708">
        <f t="shared" si="81"/>
        <v>2686251.5183999999</v>
      </c>
      <c r="V15" s="667">
        <f t="shared" si="81"/>
        <v>0</v>
      </c>
      <c r="W15" s="667">
        <f t="shared" si="80"/>
        <v>2686251.5183999999</v>
      </c>
      <c r="X15" s="1710">
        <f t="shared" si="80"/>
        <v>223854</v>
      </c>
      <c r="Y15" s="285">
        <f t="shared" si="80"/>
        <v>0</v>
      </c>
      <c r="Z15" s="285">
        <f t="shared" si="80"/>
        <v>0</v>
      </c>
      <c r="AA15" s="285">
        <f t="shared" si="80"/>
        <v>0</v>
      </c>
      <c r="AB15" s="1708">
        <f t="shared" si="80"/>
        <v>2686251.5183999999</v>
      </c>
      <c r="AC15" s="285"/>
      <c r="AD15" s="1729">
        <f t="shared" si="80"/>
        <v>2090928</v>
      </c>
      <c r="AE15" s="617">
        <f t="shared" si="80"/>
        <v>0</v>
      </c>
      <c r="AF15" s="285">
        <f t="shared" si="80"/>
        <v>0</v>
      </c>
      <c r="AG15" s="617">
        <f t="shared" si="80"/>
        <v>0</v>
      </c>
      <c r="AH15" s="285">
        <f t="shared" si="80"/>
        <v>0</v>
      </c>
      <c r="AI15" s="671">
        <f t="shared" si="80"/>
        <v>0</v>
      </c>
      <c r="AJ15" s="1729">
        <f t="shared" si="80"/>
        <v>2090928</v>
      </c>
      <c r="AK15" s="285">
        <f t="shared" ref="AK15:AU15" si="82">SUM(AK14:AK14)</f>
        <v>-36591.240000000005</v>
      </c>
      <c r="AL15" s="285">
        <f t="shared" si="82"/>
        <v>-5227.32</v>
      </c>
      <c r="AM15" s="285">
        <f t="shared" si="82"/>
        <v>-41818.560000000005</v>
      </c>
      <c r="AN15" s="1729">
        <f t="shared" si="82"/>
        <v>2049109.44</v>
      </c>
      <c r="AO15" s="285">
        <f t="shared" si="82"/>
        <v>0</v>
      </c>
      <c r="AP15" s="1729">
        <f t="shared" si="82"/>
        <v>2049109.44</v>
      </c>
      <c r="AQ15" s="667">
        <f t="shared" si="82"/>
        <v>0</v>
      </c>
      <c r="AR15" s="667">
        <f t="shared" si="82"/>
        <v>2049109.44</v>
      </c>
      <c r="AS15" s="1729">
        <f t="shared" si="82"/>
        <v>170759</v>
      </c>
      <c r="AT15" s="1733">
        <f t="shared" si="82"/>
        <v>4735360.9583999999</v>
      </c>
      <c r="AU15" s="1733">
        <f t="shared" si="82"/>
        <v>394613</v>
      </c>
    </row>
    <row r="16" spans="1:47" s="594" customFormat="1" ht="15" customHeight="1">
      <c r="A16" s="974"/>
      <c r="B16" s="974"/>
      <c r="C16" s="975"/>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7"/>
      <c r="AF16" s="976"/>
      <c r="AG16" s="977"/>
      <c r="AH16" s="976"/>
      <c r="AI16" s="976"/>
      <c r="AJ16" s="976"/>
      <c r="AK16" s="976"/>
      <c r="AL16" s="976"/>
      <c r="AM16" s="976"/>
      <c r="AN16" s="976"/>
      <c r="AO16" s="976"/>
      <c r="AP16" s="976"/>
      <c r="AQ16" s="976"/>
      <c r="AR16" s="976"/>
      <c r="AS16" s="976"/>
      <c r="AT16" s="976"/>
      <c r="AU16" s="976"/>
    </row>
    <row r="17" spans="1:47" s="8" customFormat="1" ht="33.75" customHeight="1">
      <c r="A17" s="256"/>
      <c r="B17" s="256" t="s">
        <v>214</v>
      </c>
      <c r="C17" s="286">
        <f>C12+C15</f>
        <v>2631</v>
      </c>
      <c r="D17" s="323"/>
      <c r="E17" s="324">
        <f>E12+E15</f>
        <v>9494209</v>
      </c>
      <c r="F17" s="324"/>
      <c r="G17" s="324">
        <f t="shared" ref="G17:AA17" si="83">G12+G15</f>
        <v>2079875.0761088086</v>
      </c>
      <c r="H17" s="1711">
        <f t="shared" si="83"/>
        <v>11574084.07610881</v>
      </c>
      <c r="I17" s="611">
        <f t="shared" si="83"/>
        <v>0</v>
      </c>
      <c r="J17" s="611">
        <f t="shared" si="83"/>
        <v>0</v>
      </c>
      <c r="K17" s="672">
        <f t="shared" si="83"/>
        <v>0</v>
      </c>
      <c r="L17" s="1711">
        <f t="shared" si="83"/>
        <v>11574084.07610881</v>
      </c>
      <c r="M17" s="372">
        <f t="shared" si="83"/>
        <v>-202546.47133190415</v>
      </c>
      <c r="N17" s="372">
        <f t="shared" si="83"/>
        <v>-28935.210190272024</v>
      </c>
      <c r="O17" s="372">
        <f t="shared" si="83"/>
        <v>-231481.68152217619</v>
      </c>
      <c r="P17" s="1711">
        <f t="shared" si="83"/>
        <v>11342602.394586632</v>
      </c>
      <c r="Q17" s="285">
        <f t="shared" si="83"/>
        <v>0</v>
      </c>
      <c r="R17" s="1711">
        <f t="shared" si="83"/>
        <v>11342602.394586632</v>
      </c>
      <c r="S17" s="285">
        <f t="shared" si="83"/>
        <v>0</v>
      </c>
      <c r="T17" s="285">
        <f t="shared" si="83"/>
        <v>33826</v>
      </c>
      <c r="U17" s="1712">
        <f t="shared" si="83"/>
        <v>11376428.394586632</v>
      </c>
      <c r="V17" s="324">
        <f t="shared" si="83"/>
        <v>0</v>
      </c>
      <c r="W17" s="324">
        <f t="shared" si="83"/>
        <v>11376428.394586632</v>
      </c>
      <c r="X17" s="1711">
        <f t="shared" si="83"/>
        <v>948035</v>
      </c>
      <c r="Y17" s="285">
        <f t="shared" si="83"/>
        <v>0</v>
      </c>
      <c r="Z17" s="285">
        <f t="shared" si="83"/>
        <v>0</v>
      </c>
      <c r="AA17" s="285">
        <f t="shared" si="83"/>
        <v>0</v>
      </c>
      <c r="AB17" s="1712">
        <f t="shared" ref="AB17" si="84">AB12+AB15</f>
        <v>11376428.394586632</v>
      </c>
      <c r="AC17" s="324"/>
      <c r="AD17" s="1730">
        <f t="shared" ref="AD17:AU17" si="85">AD12+AD15</f>
        <v>15149501</v>
      </c>
      <c r="AE17" s="629">
        <f t="shared" si="85"/>
        <v>0</v>
      </c>
      <c r="AF17" s="610">
        <f t="shared" si="85"/>
        <v>0</v>
      </c>
      <c r="AG17" s="1721">
        <f t="shared" si="85"/>
        <v>0</v>
      </c>
      <c r="AH17" s="610">
        <f t="shared" si="85"/>
        <v>0</v>
      </c>
      <c r="AI17" s="672">
        <f t="shared" si="85"/>
        <v>0</v>
      </c>
      <c r="AJ17" s="1730">
        <f t="shared" si="85"/>
        <v>15149501</v>
      </c>
      <c r="AK17" s="324">
        <f t="shared" si="85"/>
        <v>-265116.26750000002</v>
      </c>
      <c r="AL17" s="324">
        <f t="shared" si="85"/>
        <v>-37873.752500000002</v>
      </c>
      <c r="AM17" s="324">
        <f t="shared" si="85"/>
        <v>-302990.02</v>
      </c>
      <c r="AN17" s="1730">
        <f t="shared" si="85"/>
        <v>14846510.98</v>
      </c>
      <c r="AO17" s="324">
        <f t="shared" si="85"/>
        <v>0</v>
      </c>
      <c r="AP17" s="1730">
        <f t="shared" si="85"/>
        <v>14846510.98</v>
      </c>
      <c r="AQ17" s="324">
        <f t="shared" si="85"/>
        <v>0</v>
      </c>
      <c r="AR17" s="324">
        <f t="shared" si="85"/>
        <v>14846510.98</v>
      </c>
      <c r="AS17" s="1730">
        <f t="shared" si="85"/>
        <v>1237210</v>
      </c>
      <c r="AT17" s="1731">
        <f t="shared" si="85"/>
        <v>26222939.374586631</v>
      </c>
      <c r="AU17" s="1731">
        <f t="shared" si="85"/>
        <v>2185245</v>
      </c>
    </row>
  </sheetData>
  <sortState ref="A7:AU9">
    <sortCondition ref="A7"/>
  </sortState>
  <mergeCells count="46">
    <mergeCell ref="AR3:AR4"/>
    <mergeCell ref="AM3:AM4"/>
    <mergeCell ref="AN3:AN4"/>
    <mergeCell ref="A1:A4"/>
    <mergeCell ref="B1:B4"/>
    <mergeCell ref="C1:R1"/>
    <mergeCell ref="AC1:AU1"/>
    <mergeCell ref="AE2:AI2"/>
    <mergeCell ref="AT3:AT4"/>
    <mergeCell ref="AU3:AU4"/>
    <mergeCell ref="AS3:AS4"/>
    <mergeCell ref="AC3:AC4"/>
    <mergeCell ref="AD3:AD4"/>
    <mergeCell ref="AF3:AF4"/>
    <mergeCell ref="AH3:AH4"/>
    <mergeCell ref="AE3:AE4"/>
    <mergeCell ref="AG3:AG4"/>
    <mergeCell ref="AP3:AP4"/>
    <mergeCell ref="AQ3:AQ4"/>
    <mergeCell ref="AO3:AO4"/>
    <mergeCell ref="P3:P4"/>
    <mergeCell ref="Q3:Q4"/>
    <mergeCell ref="C3:C4"/>
    <mergeCell ref="G3:G4"/>
    <mergeCell ref="D3:D4"/>
    <mergeCell ref="Z3:Z4"/>
    <mergeCell ref="AA3:AA4"/>
    <mergeCell ref="X3:X4"/>
    <mergeCell ref="S3:S4"/>
    <mergeCell ref="T3:T4"/>
    <mergeCell ref="H3:H4"/>
    <mergeCell ref="F3:F4"/>
    <mergeCell ref="E3:E4"/>
    <mergeCell ref="R3:R4"/>
    <mergeCell ref="O3:O4"/>
    <mergeCell ref="I3:I4"/>
    <mergeCell ref="J3:J4"/>
    <mergeCell ref="K3:K4"/>
    <mergeCell ref="L3:L4"/>
    <mergeCell ref="S1:AB1"/>
    <mergeCell ref="I2:K2"/>
    <mergeCell ref="S2:T2"/>
    <mergeCell ref="U3:U4"/>
    <mergeCell ref="AB3:AB4"/>
    <mergeCell ref="Y2:AA2"/>
    <mergeCell ref="Y3:Y4"/>
  </mergeCells>
  <phoneticPr fontId="0" type="noConversion"/>
  <printOptions horizontalCentered="1"/>
  <pageMargins left="0.25" right="0" top="1" bottom="0.75" header="0.24" footer="0.31"/>
  <pageSetup paperSize="5" scale="48" firstPageNumber="48" orientation="landscape" r:id="rId1"/>
  <headerFooter alignWithMargins="0">
    <oddHeader xml:space="preserve">&amp;L&amp;"Arial,Bold"&amp;22&amp;K000000Table 5B2:  FY2014-15 MFP Budget Letter
Recovery School District (Allocations for Type 5 Charters other than Orleans Parish)&amp;R
</oddHeader>
    <oddFooter>&amp;R&amp;12&amp;P</oddFooter>
  </headerFooter>
  <colBreaks count="2" manualBreakCount="2">
    <brk id="18" max="17" man="1"/>
    <brk id="28"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K83"/>
  <sheetViews>
    <sheetView view="pageBreakPreview" zoomScale="80" zoomScaleNormal="100" zoomScaleSheetLayoutView="80" workbookViewId="0">
      <pane xSplit="2" ySplit="6" topLeftCell="C7" activePane="bottomRight" state="frozen"/>
      <selection sqref="A1:H1"/>
      <selection pane="topRight" sqref="A1:H1"/>
      <selection pane="bottomLeft" sqref="A1:H1"/>
      <selection pane="bottomRight" sqref="A1:H1"/>
    </sheetView>
  </sheetViews>
  <sheetFormatPr defaultRowHeight="13.2"/>
  <cols>
    <col min="1" max="1" width="5" customWidth="1"/>
    <col min="2" max="2" width="37.6640625" customWidth="1"/>
    <col min="3" max="3" width="12.109375" bestFit="1" customWidth="1"/>
    <col min="4" max="4" width="13.6640625" bestFit="1" customWidth="1"/>
    <col min="5" max="5" width="9.88671875" bestFit="1" customWidth="1"/>
    <col min="6" max="7" width="12.33203125" bestFit="1" customWidth="1"/>
    <col min="8" max="8" width="11.5546875" bestFit="1" customWidth="1"/>
    <col min="9" max="10" width="11.88671875" bestFit="1" customWidth="1"/>
    <col min="11" max="11" width="11.88671875" customWidth="1"/>
    <col min="12" max="12" width="11.88671875" bestFit="1" customWidth="1"/>
    <col min="13" max="13" width="10.88671875" bestFit="1" customWidth="1"/>
    <col min="14" max="14" width="13.109375" customWidth="1"/>
    <col min="15" max="15" width="13.44140625" bestFit="1" customWidth="1"/>
    <col min="16" max="16" width="14.5546875" customWidth="1"/>
    <col min="17" max="18" width="14" customWidth="1"/>
    <col min="19" max="19" width="10.6640625" customWidth="1"/>
    <col min="20" max="20" width="15.44140625" style="594" customWidth="1"/>
    <col min="21" max="22" width="14.5546875" customWidth="1"/>
    <col min="23" max="24" width="11.6640625" customWidth="1"/>
    <col min="25" max="27" width="11.6640625" style="594" customWidth="1"/>
    <col min="28" max="28" width="14.44140625" style="582" bestFit="1" customWidth="1"/>
    <col min="29" max="29" width="10.5546875" customWidth="1"/>
    <col min="30" max="30" width="14.44140625" bestFit="1" customWidth="1"/>
    <col min="31" max="31" width="11.88671875" bestFit="1" customWidth="1"/>
    <col min="32" max="32" width="14.44140625" bestFit="1" customWidth="1"/>
    <col min="33" max="33" width="9.5546875" bestFit="1" customWidth="1"/>
    <col min="34" max="34" width="10.6640625" bestFit="1" customWidth="1"/>
    <col min="35" max="37" width="14.44140625" bestFit="1" customWidth="1"/>
  </cols>
  <sheetData>
    <row r="1" spans="1:37" ht="21.6" customHeight="1">
      <c r="A1" s="2314" t="s">
        <v>355</v>
      </c>
      <c r="B1" s="2315"/>
      <c r="C1" s="2182" t="s">
        <v>1089</v>
      </c>
      <c r="D1" s="2183"/>
      <c r="E1" s="2183"/>
      <c r="F1" s="2183"/>
      <c r="G1" s="2183"/>
      <c r="H1" s="2183"/>
      <c r="I1" s="2183"/>
      <c r="J1" s="2183"/>
      <c r="K1" s="2183"/>
      <c r="L1" s="2184"/>
      <c r="M1" s="2319" t="s">
        <v>1089</v>
      </c>
      <c r="N1" s="2320"/>
      <c r="O1" s="2320"/>
      <c r="P1" s="2320"/>
      <c r="Q1" s="2320"/>
      <c r="R1" s="2320"/>
      <c r="S1" s="2320"/>
      <c r="T1" s="2321"/>
      <c r="U1" s="2268" t="s">
        <v>1247</v>
      </c>
      <c r="V1" s="2266"/>
      <c r="W1" s="2266"/>
      <c r="X1" s="2266"/>
      <c r="Y1" s="2266"/>
      <c r="Z1" s="2266"/>
      <c r="AA1" s="2266"/>
      <c r="AB1" s="2267"/>
      <c r="AC1" s="2268" t="s">
        <v>1247</v>
      </c>
      <c r="AD1" s="2266"/>
      <c r="AE1" s="2266"/>
      <c r="AF1" s="2266"/>
      <c r="AG1" s="2266"/>
      <c r="AH1" s="2266"/>
      <c r="AI1" s="2267"/>
      <c r="AJ1" s="2302" t="s">
        <v>1272</v>
      </c>
      <c r="AK1" s="2302" t="s">
        <v>1273</v>
      </c>
    </row>
    <row r="2" spans="1:37" s="594" customFormat="1" ht="24.6" customHeight="1">
      <c r="A2" s="2233"/>
      <c r="B2" s="2234"/>
      <c r="C2" s="1565"/>
      <c r="D2" s="1566"/>
      <c r="E2" s="1566"/>
      <c r="F2" s="1566"/>
      <c r="G2" s="1566"/>
      <c r="H2" s="1566"/>
      <c r="I2" s="2227" t="s">
        <v>531</v>
      </c>
      <c r="J2" s="2228"/>
      <c r="K2" s="2229"/>
      <c r="L2" s="1567"/>
      <c r="M2" s="1565"/>
      <c r="N2" s="1566"/>
      <c r="O2" s="1566"/>
      <c r="P2" s="1566"/>
      <c r="Q2" s="1566"/>
      <c r="R2" s="1566"/>
      <c r="S2" s="1566"/>
      <c r="T2" s="1567"/>
      <c r="U2" s="1525"/>
      <c r="V2" s="1526"/>
      <c r="W2" s="2324" t="s">
        <v>531</v>
      </c>
      <c r="X2" s="2325"/>
      <c r="Y2" s="2325"/>
      <c r="Z2" s="2325"/>
      <c r="AA2" s="2326"/>
      <c r="AB2" s="1527"/>
      <c r="AC2" s="1525"/>
      <c r="AD2" s="1526"/>
      <c r="AE2" s="1526"/>
      <c r="AF2" s="1526"/>
      <c r="AG2" s="1526"/>
      <c r="AH2" s="1526"/>
      <c r="AI2" s="1527"/>
      <c r="AJ2" s="2303"/>
      <c r="AK2" s="2303"/>
    </row>
    <row r="3" spans="1:37" ht="148.94999999999999" customHeight="1">
      <c r="A3" s="2316"/>
      <c r="B3" s="2234"/>
      <c r="C3" s="2306" t="s">
        <v>933</v>
      </c>
      <c r="D3" s="2318" t="s">
        <v>1110</v>
      </c>
      <c r="E3" s="2318" t="s">
        <v>384</v>
      </c>
      <c r="F3" s="2306" t="s">
        <v>546</v>
      </c>
      <c r="G3" s="2306" t="s">
        <v>330</v>
      </c>
      <c r="H3" s="2306" t="s">
        <v>547</v>
      </c>
      <c r="I3" s="2299" t="s">
        <v>770</v>
      </c>
      <c r="J3" s="2299" t="s">
        <v>769</v>
      </c>
      <c r="K3" s="2299" t="s">
        <v>538</v>
      </c>
      <c r="L3" s="2300" t="s">
        <v>1025</v>
      </c>
      <c r="M3" s="1496" t="s">
        <v>333</v>
      </c>
      <c r="N3" s="2306" t="s">
        <v>1024</v>
      </c>
      <c r="O3" s="2307" t="s">
        <v>1036</v>
      </c>
      <c r="P3" s="2306" t="s">
        <v>1051</v>
      </c>
      <c r="Q3" s="1537" t="s">
        <v>760</v>
      </c>
      <c r="R3" s="1537" t="s">
        <v>761</v>
      </c>
      <c r="S3" s="2308" t="s">
        <v>544</v>
      </c>
      <c r="T3" s="2296" t="s">
        <v>1050</v>
      </c>
      <c r="U3" s="2310" t="s">
        <v>1267</v>
      </c>
      <c r="V3" s="1507" t="s">
        <v>1268</v>
      </c>
      <c r="W3" s="2312" t="s">
        <v>1253</v>
      </c>
      <c r="X3" s="2312" t="s">
        <v>1251</v>
      </c>
      <c r="Y3" s="2312" t="s">
        <v>1254</v>
      </c>
      <c r="Z3" s="2312" t="s">
        <v>1252</v>
      </c>
      <c r="AA3" s="1498" t="s">
        <v>551</v>
      </c>
      <c r="AB3" s="2313" t="s">
        <v>1269</v>
      </c>
      <c r="AC3" s="1507" t="s">
        <v>1094</v>
      </c>
      <c r="AD3" s="2309" t="s">
        <v>1270</v>
      </c>
      <c r="AE3" s="2307" t="s">
        <v>1036</v>
      </c>
      <c r="AF3" s="2309" t="s">
        <v>1271</v>
      </c>
      <c r="AG3" s="2322" t="s">
        <v>981</v>
      </c>
      <c r="AH3" s="2322" t="s">
        <v>761</v>
      </c>
      <c r="AI3" s="2322" t="s">
        <v>1242</v>
      </c>
      <c r="AJ3" s="2304"/>
      <c r="AK3" s="2304"/>
    </row>
    <row r="4" spans="1:37" ht="19.95" customHeight="1">
      <c r="A4" s="2317"/>
      <c r="B4" s="2236"/>
      <c r="C4" s="2301"/>
      <c r="D4" s="2318"/>
      <c r="E4" s="2318"/>
      <c r="F4" s="2301"/>
      <c r="G4" s="2301"/>
      <c r="H4" s="2301"/>
      <c r="I4" s="2251"/>
      <c r="J4" s="2251"/>
      <c r="K4" s="2251"/>
      <c r="L4" s="2301"/>
      <c r="M4" s="1568">
        <v>2.5000000000000001E-3</v>
      </c>
      <c r="N4" s="2301"/>
      <c r="O4" s="2251"/>
      <c r="P4" s="2301"/>
      <c r="Q4" s="1497"/>
      <c r="R4" s="1497"/>
      <c r="S4" s="2301"/>
      <c r="T4" s="2225"/>
      <c r="U4" s="2311"/>
      <c r="V4" s="1508"/>
      <c r="W4" s="2251"/>
      <c r="X4" s="2251"/>
      <c r="Y4" s="2251"/>
      <c r="Z4" s="2251"/>
      <c r="AA4" s="1494"/>
      <c r="AB4" s="2280" t="s">
        <v>537</v>
      </c>
      <c r="AC4" s="1570">
        <v>2.5000000000000001E-3</v>
      </c>
      <c r="AD4" s="2280"/>
      <c r="AE4" s="2251"/>
      <c r="AF4" s="2280"/>
      <c r="AG4" s="2323"/>
      <c r="AH4" s="2323"/>
      <c r="AI4" s="2323"/>
      <c r="AJ4" s="2305"/>
      <c r="AK4" s="2305"/>
    </row>
    <row r="5" spans="1:37" ht="14.25" customHeight="1">
      <c r="A5" s="463"/>
      <c r="B5" s="464"/>
      <c r="C5" s="465">
        <v>1</v>
      </c>
      <c r="D5" s="465">
        <f t="shared" ref="D5" si="0">C5+1</f>
        <v>2</v>
      </c>
      <c r="E5" s="465">
        <f>D5+1</f>
        <v>3</v>
      </c>
      <c r="F5" s="465">
        <f t="shared" ref="F5" si="1">E5+1</f>
        <v>4</v>
      </c>
      <c r="G5" s="465">
        <f t="shared" ref="G5" si="2">F5+1</f>
        <v>5</v>
      </c>
      <c r="H5" s="465">
        <f t="shared" ref="H5" si="3">G5+1</f>
        <v>6</v>
      </c>
      <c r="I5" s="465">
        <f t="shared" ref="I5" si="4">H5+1</f>
        <v>7</v>
      </c>
      <c r="J5" s="465">
        <f t="shared" ref="J5" si="5">I5+1</f>
        <v>8</v>
      </c>
      <c r="K5" s="465">
        <f t="shared" ref="K5" si="6">J5+1</f>
        <v>9</v>
      </c>
      <c r="L5" s="465">
        <f t="shared" ref="L5" si="7">K5+1</f>
        <v>10</v>
      </c>
      <c r="M5" s="465">
        <f t="shared" ref="M5" si="8">L5+1</f>
        <v>11</v>
      </c>
      <c r="N5" s="465">
        <f t="shared" ref="N5" si="9">M5+1</f>
        <v>12</v>
      </c>
      <c r="O5" s="465">
        <f t="shared" ref="O5" si="10">N5+1</f>
        <v>13</v>
      </c>
      <c r="P5" s="465">
        <f>O5+1</f>
        <v>14</v>
      </c>
      <c r="Q5" s="465">
        <f t="shared" ref="Q5" si="11">P5+1</f>
        <v>15</v>
      </c>
      <c r="R5" s="465">
        <f t="shared" ref="R5" si="12">Q5+1</f>
        <v>16</v>
      </c>
      <c r="S5" s="465">
        <f t="shared" ref="S5:T5" si="13">R5+1</f>
        <v>17</v>
      </c>
      <c r="T5" s="1028">
        <f t="shared" si="13"/>
        <v>18</v>
      </c>
      <c r="U5" s="1028">
        <f t="shared" ref="U5" si="14">T5+1</f>
        <v>19</v>
      </c>
      <c r="V5" s="1028">
        <f t="shared" ref="V5" si="15">U5+1</f>
        <v>20</v>
      </c>
      <c r="W5" s="465">
        <f t="shared" ref="W5" si="16">V5+1</f>
        <v>21</v>
      </c>
      <c r="X5" s="465">
        <f t="shared" ref="X5" si="17">W5+1</f>
        <v>22</v>
      </c>
      <c r="Y5" s="465">
        <f t="shared" ref="Y5" si="18">X5+1</f>
        <v>23</v>
      </c>
      <c r="Z5" s="465">
        <f t="shared" ref="Z5" si="19">Y5+1</f>
        <v>24</v>
      </c>
      <c r="AA5" s="465">
        <f t="shared" ref="AA5" si="20">Z5+1</f>
        <v>25</v>
      </c>
      <c r="AB5" s="465">
        <f t="shared" ref="AB5" si="21">AA5+1</f>
        <v>26</v>
      </c>
      <c r="AC5" s="465">
        <f t="shared" ref="AC5" si="22">AB5+1</f>
        <v>27</v>
      </c>
      <c r="AD5" s="465">
        <f t="shared" ref="AD5" si="23">AC5+1</f>
        <v>28</v>
      </c>
      <c r="AE5" s="465">
        <f t="shared" ref="AE5" si="24">AD5+1</f>
        <v>29</v>
      </c>
      <c r="AF5" s="465">
        <f t="shared" ref="AF5" si="25">AE5+1</f>
        <v>30</v>
      </c>
      <c r="AG5" s="465">
        <f t="shared" ref="AG5" si="26">AF5+1</f>
        <v>31</v>
      </c>
      <c r="AH5" s="465">
        <f t="shared" ref="AH5" si="27">AG5+1</f>
        <v>32</v>
      </c>
      <c r="AI5" s="465">
        <f t="shared" ref="AI5" si="28">AH5+1</f>
        <v>33</v>
      </c>
      <c r="AJ5" s="465">
        <f t="shared" ref="AJ5" si="29">AI5+1</f>
        <v>34</v>
      </c>
      <c r="AK5" s="465">
        <f t="shared" ref="AK5" si="30">AJ5+1</f>
        <v>35</v>
      </c>
    </row>
    <row r="6" spans="1:37" ht="27" hidden="1" customHeight="1">
      <c r="A6" s="472"/>
      <c r="B6" s="473"/>
      <c r="C6" s="473"/>
      <c r="D6" s="473"/>
      <c r="E6" s="473"/>
      <c r="F6" s="473"/>
      <c r="G6" s="473"/>
      <c r="H6" s="473"/>
      <c r="I6" s="578"/>
      <c r="J6" s="578"/>
      <c r="K6" s="578"/>
      <c r="L6" s="578"/>
      <c r="M6" s="473"/>
      <c r="N6" s="473"/>
      <c r="O6" s="473"/>
      <c r="P6" s="473"/>
      <c r="Q6" s="581"/>
      <c r="R6" s="581"/>
      <c r="S6" s="473"/>
      <c r="T6" s="1027"/>
      <c r="U6" s="1032"/>
      <c r="V6" s="473"/>
      <c r="W6" s="579"/>
      <c r="X6" s="579"/>
      <c r="Y6" s="615"/>
      <c r="Z6" s="615"/>
      <c r="AA6" s="615"/>
      <c r="AB6" s="583"/>
      <c r="AC6" s="473"/>
      <c r="AD6" s="473"/>
      <c r="AE6" s="473"/>
      <c r="AF6" s="473"/>
      <c r="AG6" s="579"/>
      <c r="AH6" s="579"/>
      <c r="AI6" s="473"/>
      <c r="AJ6" s="473"/>
      <c r="AK6" s="473"/>
    </row>
    <row r="7" spans="1:37" ht="16.2" customHeight="1">
      <c r="A7" s="1183">
        <v>1</v>
      </c>
      <c r="B7" s="1184" t="s">
        <v>81</v>
      </c>
      <c r="C7" s="1185">
        <f>+'Table 8 Membership 2.1.14'!I3</f>
        <v>0</v>
      </c>
      <c r="D7" s="1186">
        <f>'Table 3 Levels 1&amp;2'!AL4</f>
        <v>4765.8584413349836</v>
      </c>
      <c r="E7" s="1187">
        <f>C7*D7</f>
        <v>0</v>
      </c>
      <c r="F7" s="1187">
        <f>'Table 3A Level 3'!C6</f>
        <v>777.48</v>
      </c>
      <c r="G7" s="1187">
        <f>C7*F7</f>
        <v>0</v>
      </c>
      <c r="H7" s="1538">
        <f>E7+G7</f>
        <v>0</v>
      </c>
      <c r="I7" s="1188"/>
      <c r="J7" s="1188"/>
      <c r="K7" s="1189">
        <f>+I7+J7</f>
        <v>0</v>
      </c>
      <c r="L7" s="1538">
        <f t="shared" ref="L7:L38" si="31">K7+H7</f>
        <v>0</v>
      </c>
      <c r="M7" s="1372">
        <f>-(0.25%*L7)</f>
        <v>0</v>
      </c>
      <c r="N7" s="1538">
        <f>SUM(L7:M7)</f>
        <v>0</v>
      </c>
      <c r="O7" s="1769">
        <v>0</v>
      </c>
      <c r="P7" s="1544">
        <f t="shared" ref="P7:P38" si="32">SUM(N7:O7)</f>
        <v>0</v>
      </c>
      <c r="Q7" s="1188"/>
      <c r="R7" s="1188">
        <f>P7-Q7</f>
        <v>0</v>
      </c>
      <c r="S7" s="1544">
        <f>ROUND(R7/12,0)</f>
        <v>0</v>
      </c>
      <c r="T7" s="1556">
        <f>+P7</f>
        <v>0</v>
      </c>
      <c r="U7" s="1373">
        <f>'[9]FY2014-15 Initial'!$K8</f>
        <v>2409</v>
      </c>
      <c r="V7" s="1514">
        <f t="shared" ref="V7:V38" si="33">C7*U7</f>
        <v>0</v>
      </c>
      <c r="W7" s="1375"/>
      <c r="X7" s="1376">
        <f>W7*U7</f>
        <v>0</v>
      </c>
      <c r="Y7" s="1375"/>
      <c r="Z7" s="1376">
        <f>+U7*Y7*0.5</f>
        <v>0</v>
      </c>
      <c r="AA7" s="1374">
        <f>+X7+Z7</f>
        <v>0</v>
      </c>
      <c r="AB7" s="1514">
        <f>AA7+V7</f>
        <v>0</v>
      </c>
      <c r="AC7" s="1378">
        <f>-(0.25%*AB7)</f>
        <v>0</v>
      </c>
      <c r="AD7" s="1514">
        <f>SUM(AB7:AC7)</f>
        <v>0</v>
      </c>
      <c r="AE7" s="1376">
        <v>0</v>
      </c>
      <c r="AF7" s="1514">
        <f>SUM(AD7:AE7)</f>
        <v>0</v>
      </c>
      <c r="AG7" s="1376"/>
      <c r="AH7" s="1376">
        <f>AF7-AG7</f>
        <v>0</v>
      </c>
      <c r="AI7" s="1514">
        <f>ROUND(AH7/12,0)</f>
        <v>0</v>
      </c>
      <c r="AJ7" s="1377">
        <f t="shared" ref="AJ7:AJ38" si="34">P7+AF7</f>
        <v>0</v>
      </c>
      <c r="AK7" s="1501">
        <f t="shared" ref="AK7:AK38" si="35">S7+AI7</f>
        <v>0</v>
      </c>
    </row>
    <row r="8" spans="1:37" ht="16.2" customHeight="1">
      <c r="A8" s="1176">
        <v>2</v>
      </c>
      <c r="B8" s="1177" t="s">
        <v>82</v>
      </c>
      <c r="C8" s="1178">
        <f>+'Table 8 Membership 2.1.14'!I4</f>
        <v>0</v>
      </c>
      <c r="D8" s="1179">
        <f>'Table 3 Levels 1&amp;2'!AL5</f>
        <v>6316.6266417386641</v>
      </c>
      <c r="E8" s="1180">
        <f t="shared" ref="E8:E71" si="36">C8*D8</f>
        <v>0</v>
      </c>
      <c r="F8" s="1180">
        <f>'Table 3A Level 3'!C7</f>
        <v>842.32</v>
      </c>
      <c r="G8" s="1180">
        <f t="shared" ref="G8:G71" si="37">C8*F8</f>
        <v>0</v>
      </c>
      <c r="H8" s="1539">
        <f t="shared" ref="H8:H71" si="38">E8+G8</f>
        <v>0</v>
      </c>
      <c r="I8" s="1181"/>
      <c r="J8" s="1181"/>
      <c r="K8" s="1182">
        <f t="shared" ref="K8:K71" si="39">+I8+J8</f>
        <v>0</v>
      </c>
      <c r="L8" s="1539">
        <f t="shared" si="31"/>
        <v>0</v>
      </c>
      <c r="M8" s="1388">
        <f t="shared" ref="M8:M71" si="40">-(0.25%*L8)</f>
        <v>0</v>
      </c>
      <c r="N8" s="1539">
        <f t="shared" ref="N8:N71" si="41">SUM(L8:M8)</f>
        <v>0</v>
      </c>
      <c r="O8" s="1770">
        <v>0</v>
      </c>
      <c r="P8" s="1545">
        <f t="shared" si="32"/>
        <v>0</v>
      </c>
      <c r="Q8" s="1181"/>
      <c r="R8" s="1181">
        <f t="shared" ref="R8:R71" si="42">P8-Q8</f>
        <v>0</v>
      </c>
      <c r="S8" s="1545">
        <f t="shared" ref="S8:S71" si="43">ROUND(R8/12,0)</f>
        <v>0</v>
      </c>
      <c r="T8" s="1557">
        <f t="shared" ref="T8:T71" si="44">+P8</f>
        <v>0</v>
      </c>
      <c r="U8" s="1389">
        <f>'[9]FY2014-15 Initial'!$K9</f>
        <v>2829</v>
      </c>
      <c r="V8" s="1515">
        <f t="shared" si="33"/>
        <v>0</v>
      </c>
      <c r="W8" s="1391"/>
      <c r="X8" s="1392">
        <f t="shared" ref="X8:X71" si="45">W8*U8</f>
        <v>0</v>
      </c>
      <c r="Y8" s="1391"/>
      <c r="Z8" s="1392">
        <f t="shared" ref="Z8:Z71" si="46">+U8*Y8*0.5</f>
        <v>0</v>
      </c>
      <c r="AA8" s="1390">
        <f t="shared" ref="AA8:AA71" si="47">+X8+Z8</f>
        <v>0</v>
      </c>
      <c r="AB8" s="1515">
        <f t="shared" ref="AB8:AB71" si="48">AA8+V8</f>
        <v>0</v>
      </c>
      <c r="AC8" s="1394">
        <f t="shared" ref="AC8:AC71" si="49">-(0.25%*AB8)</f>
        <v>0</v>
      </c>
      <c r="AD8" s="1515">
        <f t="shared" ref="AD8:AD71" si="50">SUM(AB8:AC8)</f>
        <v>0</v>
      </c>
      <c r="AE8" s="1392">
        <v>0</v>
      </c>
      <c r="AF8" s="1515">
        <f t="shared" ref="AF8:AF71" si="51">SUM(AD8:AE8)</f>
        <v>0</v>
      </c>
      <c r="AG8" s="1392"/>
      <c r="AH8" s="1392">
        <f t="shared" ref="AH8:AH71" si="52">AF8-AG8</f>
        <v>0</v>
      </c>
      <c r="AI8" s="1515">
        <f t="shared" ref="AI8:AI71" si="53">ROUND(AH8/12,0)</f>
        <v>0</v>
      </c>
      <c r="AJ8" s="1393">
        <f t="shared" si="34"/>
        <v>0</v>
      </c>
      <c r="AK8" s="1502">
        <f t="shared" si="35"/>
        <v>0</v>
      </c>
    </row>
    <row r="9" spans="1:37" ht="16.2" customHeight="1">
      <c r="A9" s="1176">
        <v>3</v>
      </c>
      <c r="B9" s="1177" t="s">
        <v>83</v>
      </c>
      <c r="C9" s="1178">
        <f>+'Table 8 Membership 2.1.14'!I5</f>
        <v>0</v>
      </c>
      <c r="D9" s="1179">
        <f>'Table 3 Levels 1&amp;2'!AL6</f>
        <v>4155.1862027396819</v>
      </c>
      <c r="E9" s="1180">
        <f t="shared" si="36"/>
        <v>0</v>
      </c>
      <c r="F9" s="1180">
        <f>'Table 3A Level 3'!C8</f>
        <v>596.84</v>
      </c>
      <c r="G9" s="1180">
        <f t="shared" si="37"/>
        <v>0</v>
      </c>
      <c r="H9" s="1539">
        <f t="shared" si="38"/>
        <v>0</v>
      </c>
      <c r="I9" s="1181"/>
      <c r="J9" s="1181"/>
      <c r="K9" s="1182">
        <f t="shared" si="39"/>
        <v>0</v>
      </c>
      <c r="L9" s="1539">
        <f t="shared" si="31"/>
        <v>0</v>
      </c>
      <c r="M9" s="1388">
        <f t="shared" si="40"/>
        <v>0</v>
      </c>
      <c r="N9" s="1539">
        <f t="shared" si="41"/>
        <v>0</v>
      </c>
      <c r="O9" s="1770">
        <v>0</v>
      </c>
      <c r="P9" s="1545">
        <f t="shared" si="32"/>
        <v>0</v>
      </c>
      <c r="Q9" s="1181"/>
      <c r="R9" s="1181">
        <f t="shared" si="42"/>
        <v>0</v>
      </c>
      <c r="S9" s="1545">
        <f t="shared" si="43"/>
        <v>0</v>
      </c>
      <c r="T9" s="1557">
        <f t="shared" si="44"/>
        <v>0</v>
      </c>
      <c r="U9" s="1389">
        <f>'[9]FY2014-15 Initial'!$K10</f>
        <v>5770</v>
      </c>
      <c r="V9" s="1515">
        <f t="shared" si="33"/>
        <v>0</v>
      </c>
      <c r="W9" s="1391"/>
      <c r="X9" s="1392">
        <f t="shared" si="45"/>
        <v>0</v>
      </c>
      <c r="Y9" s="1391"/>
      <c r="Z9" s="1392">
        <f t="shared" si="46"/>
        <v>0</v>
      </c>
      <c r="AA9" s="1390">
        <f t="shared" si="47"/>
        <v>0</v>
      </c>
      <c r="AB9" s="1515">
        <f t="shared" si="48"/>
        <v>0</v>
      </c>
      <c r="AC9" s="1394">
        <f t="shared" si="49"/>
        <v>0</v>
      </c>
      <c r="AD9" s="1515">
        <f t="shared" si="50"/>
        <v>0</v>
      </c>
      <c r="AE9" s="1392">
        <v>0</v>
      </c>
      <c r="AF9" s="1515">
        <f t="shared" si="51"/>
        <v>0</v>
      </c>
      <c r="AG9" s="1392"/>
      <c r="AH9" s="1392">
        <f t="shared" si="52"/>
        <v>0</v>
      </c>
      <c r="AI9" s="1515">
        <f t="shared" si="53"/>
        <v>0</v>
      </c>
      <c r="AJ9" s="1393">
        <f t="shared" si="34"/>
        <v>0</v>
      </c>
      <c r="AK9" s="1502">
        <f t="shared" si="35"/>
        <v>0</v>
      </c>
    </row>
    <row r="10" spans="1:37" ht="16.2" customHeight="1">
      <c r="A10" s="1176">
        <v>4</v>
      </c>
      <c r="B10" s="1177" t="s">
        <v>84</v>
      </c>
      <c r="C10" s="1178">
        <f>+'Table 8 Membership 2.1.14'!I6</f>
        <v>0</v>
      </c>
      <c r="D10" s="1179">
        <f>'Table 3 Levels 1&amp;2'!AL7</f>
        <v>6119.0581446878568</v>
      </c>
      <c r="E10" s="1180">
        <f t="shared" si="36"/>
        <v>0</v>
      </c>
      <c r="F10" s="1180">
        <f>'Table 3A Level 3'!C9</f>
        <v>585.76</v>
      </c>
      <c r="G10" s="1180">
        <f t="shared" si="37"/>
        <v>0</v>
      </c>
      <c r="H10" s="1539">
        <f t="shared" si="38"/>
        <v>0</v>
      </c>
      <c r="I10" s="1181"/>
      <c r="J10" s="1181"/>
      <c r="K10" s="1182">
        <f t="shared" si="39"/>
        <v>0</v>
      </c>
      <c r="L10" s="1539">
        <f t="shared" si="31"/>
        <v>0</v>
      </c>
      <c r="M10" s="1388">
        <f t="shared" si="40"/>
        <v>0</v>
      </c>
      <c r="N10" s="1539">
        <f t="shared" si="41"/>
        <v>0</v>
      </c>
      <c r="O10" s="1770">
        <v>0</v>
      </c>
      <c r="P10" s="1545">
        <f t="shared" si="32"/>
        <v>0</v>
      </c>
      <c r="Q10" s="1181"/>
      <c r="R10" s="1181">
        <f t="shared" si="42"/>
        <v>0</v>
      </c>
      <c r="S10" s="1545">
        <f t="shared" si="43"/>
        <v>0</v>
      </c>
      <c r="T10" s="1557">
        <f t="shared" si="44"/>
        <v>0</v>
      </c>
      <c r="U10" s="1389">
        <f>'[9]FY2014-15 Initial'!$K11</f>
        <v>3287</v>
      </c>
      <c r="V10" s="1515">
        <f t="shared" si="33"/>
        <v>0</v>
      </c>
      <c r="W10" s="1391"/>
      <c r="X10" s="1392">
        <f t="shared" si="45"/>
        <v>0</v>
      </c>
      <c r="Y10" s="1391"/>
      <c r="Z10" s="1392">
        <f t="shared" si="46"/>
        <v>0</v>
      </c>
      <c r="AA10" s="1390">
        <f t="shared" si="47"/>
        <v>0</v>
      </c>
      <c r="AB10" s="1515">
        <f t="shared" si="48"/>
        <v>0</v>
      </c>
      <c r="AC10" s="1394">
        <f t="shared" si="49"/>
        <v>0</v>
      </c>
      <c r="AD10" s="1515">
        <f t="shared" si="50"/>
        <v>0</v>
      </c>
      <c r="AE10" s="1392">
        <v>0</v>
      </c>
      <c r="AF10" s="1515">
        <f t="shared" si="51"/>
        <v>0</v>
      </c>
      <c r="AG10" s="1392"/>
      <c r="AH10" s="1392">
        <f t="shared" si="52"/>
        <v>0</v>
      </c>
      <c r="AI10" s="1515">
        <f t="shared" si="53"/>
        <v>0</v>
      </c>
      <c r="AJ10" s="1393">
        <f t="shared" si="34"/>
        <v>0</v>
      </c>
      <c r="AK10" s="1502">
        <f t="shared" si="35"/>
        <v>0</v>
      </c>
    </row>
    <row r="11" spans="1:37" ht="16.2" customHeight="1">
      <c r="A11" s="1168">
        <v>5</v>
      </c>
      <c r="B11" s="1169" t="s">
        <v>85</v>
      </c>
      <c r="C11" s="1170">
        <f>+'Table 8 Membership 2.1.14'!I7</f>
        <v>0</v>
      </c>
      <c r="D11" s="1171">
        <f>'Table 3 Levels 1&amp;2'!AL8</f>
        <v>5268.940566009911</v>
      </c>
      <c r="E11" s="1172">
        <f t="shared" si="36"/>
        <v>0</v>
      </c>
      <c r="F11" s="1172">
        <f>'Table 3A Level 3'!C10</f>
        <v>555.91</v>
      </c>
      <c r="G11" s="1172">
        <f t="shared" si="37"/>
        <v>0</v>
      </c>
      <c r="H11" s="1540">
        <f t="shared" si="38"/>
        <v>0</v>
      </c>
      <c r="I11" s="1173"/>
      <c r="J11" s="1173"/>
      <c r="K11" s="1174">
        <f t="shared" si="39"/>
        <v>0</v>
      </c>
      <c r="L11" s="1540">
        <f t="shared" si="31"/>
        <v>0</v>
      </c>
      <c r="M11" s="1399">
        <f t="shared" si="40"/>
        <v>0</v>
      </c>
      <c r="N11" s="1540">
        <f t="shared" si="41"/>
        <v>0</v>
      </c>
      <c r="O11" s="1771">
        <v>0</v>
      </c>
      <c r="P11" s="1546">
        <f t="shared" si="32"/>
        <v>0</v>
      </c>
      <c r="Q11" s="1175"/>
      <c r="R11" s="1173">
        <f t="shared" si="42"/>
        <v>0</v>
      </c>
      <c r="S11" s="1550">
        <f t="shared" si="43"/>
        <v>0</v>
      </c>
      <c r="T11" s="1550">
        <f t="shared" si="44"/>
        <v>0</v>
      </c>
      <c r="U11" s="1382">
        <f>'[9]FY2014-15 Initial'!$K12</f>
        <v>1921</v>
      </c>
      <c r="V11" s="1516">
        <f t="shared" si="33"/>
        <v>0</v>
      </c>
      <c r="W11" s="1400"/>
      <c r="X11" s="1383">
        <f t="shared" si="45"/>
        <v>0</v>
      </c>
      <c r="Y11" s="1400"/>
      <c r="Z11" s="1383">
        <f t="shared" si="46"/>
        <v>0</v>
      </c>
      <c r="AA11" s="1384">
        <f t="shared" si="47"/>
        <v>0</v>
      </c>
      <c r="AB11" s="1516">
        <f t="shared" si="48"/>
        <v>0</v>
      </c>
      <c r="AC11" s="1402">
        <f t="shared" si="49"/>
        <v>0</v>
      </c>
      <c r="AD11" s="1516">
        <f t="shared" si="50"/>
        <v>0</v>
      </c>
      <c r="AE11" s="1383">
        <v>0</v>
      </c>
      <c r="AF11" s="1516">
        <f t="shared" si="51"/>
        <v>0</v>
      </c>
      <c r="AG11" s="1383"/>
      <c r="AH11" s="1383">
        <f t="shared" si="52"/>
        <v>0</v>
      </c>
      <c r="AI11" s="1516">
        <f t="shared" si="53"/>
        <v>0</v>
      </c>
      <c r="AJ11" s="1401">
        <f t="shared" si="34"/>
        <v>0</v>
      </c>
      <c r="AK11" s="1503">
        <f t="shared" si="35"/>
        <v>0</v>
      </c>
    </row>
    <row r="12" spans="1:37" ht="16.2" customHeight="1">
      <c r="A12" s="1183">
        <v>6</v>
      </c>
      <c r="B12" s="1184" t="s">
        <v>86</v>
      </c>
      <c r="C12" s="1185">
        <f>+'Table 8 Membership 2.1.14'!I8</f>
        <v>0</v>
      </c>
      <c r="D12" s="1186">
        <f>'Table 3 Levels 1&amp;2'!AL9</f>
        <v>5378.5086124955869</v>
      </c>
      <c r="E12" s="1187">
        <f t="shared" si="36"/>
        <v>0</v>
      </c>
      <c r="F12" s="1187">
        <f>'Table 3A Level 3'!C11</f>
        <v>545.4799999999999</v>
      </c>
      <c r="G12" s="1187">
        <f t="shared" si="37"/>
        <v>0</v>
      </c>
      <c r="H12" s="1538">
        <f t="shared" si="38"/>
        <v>0</v>
      </c>
      <c r="I12" s="1188"/>
      <c r="J12" s="1188"/>
      <c r="K12" s="1189">
        <f t="shared" si="39"/>
        <v>0</v>
      </c>
      <c r="L12" s="1538">
        <f t="shared" si="31"/>
        <v>0</v>
      </c>
      <c r="M12" s="1372">
        <f t="shared" si="40"/>
        <v>0</v>
      </c>
      <c r="N12" s="1538">
        <f t="shared" si="41"/>
        <v>0</v>
      </c>
      <c r="O12" s="1769">
        <v>0</v>
      </c>
      <c r="P12" s="1544">
        <f t="shared" si="32"/>
        <v>0</v>
      </c>
      <c r="Q12" s="1188"/>
      <c r="R12" s="1188">
        <f t="shared" si="42"/>
        <v>0</v>
      </c>
      <c r="S12" s="1544">
        <f t="shared" si="43"/>
        <v>0</v>
      </c>
      <c r="T12" s="1556">
        <f t="shared" si="44"/>
        <v>0</v>
      </c>
      <c r="U12" s="1373">
        <f>'[9]FY2014-15 Initial'!$K13</f>
        <v>3807</v>
      </c>
      <c r="V12" s="1514">
        <f t="shared" si="33"/>
        <v>0</v>
      </c>
      <c r="W12" s="1375"/>
      <c r="X12" s="1376">
        <f t="shared" si="45"/>
        <v>0</v>
      </c>
      <c r="Y12" s="1375"/>
      <c r="Z12" s="1376">
        <f t="shared" si="46"/>
        <v>0</v>
      </c>
      <c r="AA12" s="1374">
        <f t="shared" si="47"/>
        <v>0</v>
      </c>
      <c r="AB12" s="1514">
        <f t="shared" si="48"/>
        <v>0</v>
      </c>
      <c r="AC12" s="1378">
        <f t="shared" si="49"/>
        <v>0</v>
      </c>
      <c r="AD12" s="1514">
        <f t="shared" si="50"/>
        <v>0</v>
      </c>
      <c r="AE12" s="1376">
        <v>0</v>
      </c>
      <c r="AF12" s="1514">
        <f t="shared" si="51"/>
        <v>0</v>
      </c>
      <c r="AG12" s="1376"/>
      <c r="AH12" s="1376">
        <f t="shared" si="52"/>
        <v>0</v>
      </c>
      <c r="AI12" s="1514">
        <f t="shared" si="53"/>
        <v>0</v>
      </c>
      <c r="AJ12" s="1377">
        <f t="shared" si="34"/>
        <v>0</v>
      </c>
      <c r="AK12" s="1501">
        <f t="shared" si="35"/>
        <v>0</v>
      </c>
    </row>
    <row r="13" spans="1:37" ht="16.2" customHeight="1">
      <c r="A13" s="1176">
        <v>7</v>
      </c>
      <c r="B13" s="1177" t="s">
        <v>87</v>
      </c>
      <c r="C13" s="1178">
        <f>+'Table 8 Membership 2.1.14'!I9</f>
        <v>0</v>
      </c>
      <c r="D13" s="1179">
        <f>'Table 3 Levels 1&amp;2'!AL10</f>
        <v>2243.0031963470319</v>
      </c>
      <c r="E13" s="1180">
        <f t="shared" si="36"/>
        <v>0</v>
      </c>
      <c r="F13" s="1180">
        <f>'Table 3A Level 3'!C12</f>
        <v>756.91999999999985</v>
      </c>
      <c r="G13" s="1180">
        <f t="shared" si="37"/>
        <v>0</v>
      </c>
      <c r="H13" s="1539">
        <f t="shared" si="38"/>
        <v>0</v>
      </c>
      <c r="I13" s="1181"/>
      <c r="J13" s="1181"/>
      <c r="K13" s="1182">
        <f t="shared" si="39"/>
        <v>0</v>
      </c>
      <c r="L13" s="1539">
        <f t="shared" si="31"/>
        <v>0</v>
      </c>
      <c r="M13" s="1388">
        <f t="shared" si="40"/>
        <v>0</v>
      </c>
      <c r="N13" s="1539">
        <f t="shared" si="41"/>
        <v>0</v>
      </c>
      <c r="O13" s="1770">
        <v>0</v>
      </c>
      <c r="P13" s="1545">
        <f t="shared" si="32"/>
        <v>0</v>
      </c>
      <c r="Q13" s="1181"/>
      <c r="R13" s="1181">
        <f t="shared" si="42"/>
        <v>0</v>
      </c>
      <c r="S13" s="1545">
        <f t="shared" si="43"/>
        <v>0</v>
      </c>
      <c r="T13" s="1557">
        <f t="shared" si="44"/>
        <v>0</v>
      </c>
      <c r="U13" s="1389">
        <f>'[9]FY2014-15 Initial'!$K14</f>
        <v>11888</v>
      </c>
      <c r="V13" s="1515">
        <f t="shared" si="33"/>
        <v>0</v>
      </c>
      <c r="W13" s="1391"/>
      <c r="X13" s="1392">
        <f t="shared" si="45"/>
        <v>0</v>
      </c>
      <c r="Y13" s="1391"/>
      <c r="Z13" s="1392">
        <f t="shared" si="46"/>
        <v>0</v>
      </c>
      <c r="AA13" s="1390">
        <f t="shared" si="47"/>
        <v>0</v>
      </c>
      <c r="AB13" s="1515">
        <f t="shared" si="48"/>
        <v>0</v>
      </c>
      <c r="AC13" s="1394">
        <f t="shared" si="49"/>
        <v>0</v>
      </c>
      <c r="AD13" s="1515">
        <f t="shared" si="50"/>
        <v>0</v>
      </c>
      <c r="AE13" s="1392">
        <v>0</v>
      </c>
      <c r="AF13" s="1515">
        <f t="shared" si="51"/>
        <v>0</v>
      </c>
      <c r="AG13" s="1392"/>
      <c r="AH13" s="1392">
        <f t="shared" si="52"/>
        <v>0</v>
      </c>
      <c r="AI13" s="1515">
        <f t="shared" si="53"/>
        <v>0</v>
      </c>
      <c r="AJ13" s="1393">
        <f t="shared" si="34"/>
        <v>0</v>
      </c>
      <c r="AK13" s="1502">
        <f t="shared" si="35"/>
        <v>0</v>
      </c>
    </row>
    <row r="14" spans="1:37" ht="16.2" customHeight="1">
      <c r="A14" s="1176">
        <v>8</v>
      </c>
      <c r="B14" s="1177" t="s">
        <v>88</v>
      </c>
      <c r="C14" s="1178">
        <f>+'Table 8 Membership 2.1.14'!I10</f>
        <v>0</v>
      </c>
      <c r="D14" s="1179">
        <f>'Table 3 Levels 1&amp;2'!AL11</f>
        <v>4669.802459558854</v>
      </c>
      <c r="E14" s="1180">
        <f t="shared" si="36"/>
        <v>0</v>
      </c>
      <c r="F14" s="1180">
        <f>'Table 3A Level 3'!C13</f>
        <v>725.76</v>
      </c>
      <c r="G14" s="1180">
        <f t="shared" si="37"/>
        <v>0</v>
      </c>
      <c r="H14" s="1539">
        <f t="shared" si="38"/>
        <v>0</v>
      </c>
      <c r="I14" s="1181"/>
      <c r="J14" s="1181"/>
      <c r="K14" s="1182">
        <f t="shared" si="39"/>
        <v>0</v>
      </c>
      <c r="L14" s="1539">
        <f t="shared" si="31"/>
        <v>0</v>
      </c>
      <c r="M14" s="1388">
        <f t="shared" si="40"/>
        <v>0</v>
      </c>
      <c r="N14" s="1539">
        <f t="shared" si="41"/>
        <v>0</v>
      </c>
      <c r="O14" s="1770">
        <v>0</v>
      </c>
      <c r="P14" s="1545">
        <f t="shared" si="32"/>
        <v>0</v>
      </c>
      <c r="Q14" s="1181"/>
      <c r="R14" s="1181">
        <f t="shared" si="42"/>
        <v>0</v>
      </c>
      <c r="S14" s="1545">
        <f t="shared" si="43"/>
        <v>0</v>
      </c>
      <c r="T14" s="1557">
        <f t="shared" si="44"/>
        <v>0</v>
      </c>
      <c r="U14" s="1389">
        <f>'[9]FY2014-15 Initial'!$K15</f>
        <v>4024</v>
      </c>
      <c r="V14" s="1515">
        <f t="shared" si="33"/>
        <v>0</v>
      </c>
      <c r="W14" s="1391"/>
      <c r="X14" s="1392">
        <f t="shared" si="45"/>
        <v>0</v>
      </c>
      <c r="Y14" s="1391"/>
      <c r="Z14" s="1392">
        <f t="shared" si="46"/>
        <v>0</v>
      </c>
      <c r="AA14" s="1390">
        <f t="shared" si="47"/>
        <v>0</v>
      </c>
      <c r="AB14" s="1515">
        <f t="shared" si="48"/>
        <v>0</v>
      </c>
      <c r="AC14" s="1394">
        <f t="shared" si="49"/>
        <v>0</v>
      </c>
      <c r="AD14" s="1515">
        <f t="shared" si="50"/>
        <v>0</v>
      </c>
      <c r="AE14" s="1392">
        <v>0</v>
      </c>
      <c r="AF14" s="1515">
        <f t="shared" si="51"/>
        <v>0</v>
      </c>
      <c r="AG14" s="1392"/>
      <c r="AH14" s="1392">
        <f t="shared" si="52"/>
        <v>0</v>
      </c>
      <c r="AI14" s="1515">
        <f t="shared" si="53"/>
        <v>0</v>
      </c>
      <c r="AJ14" s="1393">
        <f t="shared" si="34"/>
        <v>0</v>
      </c>
      <c r="AK14" s="1502">
        <f t="shared" si="35"/>
        <v>0</v>
      </c>
    </row>
    <row r="15" spans="1:37" ht="16.2" customHeight="1">
      <c r="A15" s="1176">
        <v>9</v>
      </c>
      <c r="B15" s="1177" t="s">
        <v>89</v>
      </c>
      <c r="C15" s="1178">
        <f>+'Table 8 Membership 2.1.14'!I11</f>
        <v>0</v>
      </c>
      <c r="D15" s="1179">
        <f>'Table 3 Levels 1&amp;2'!AL12</f>
        <v>4632.4615072045008</v>
      </c>
      <c r="E15" s="1180">
        <f t="shared" si="36"/>
        <v>0</v>
      </c>
      <c r="F15" s="1180">
        <f>'Table 3A Level 3'!C14</f>
        <v>744.76</v>
      </c>
      <c r="G15" s="1180">
        <f t="shared" si="37"/>
        <v>0</v>
      </c>
      <c r="H15" s="1539">
        <f t="shared" si="38"/>
        <v>0</v>
      </c>
      <c r="I15" s="1181"/>
      <c r="J15" s="1181"/>
      <c r="K15" s="1182">
        <f t="shared" si="39"/>
        <v>0</v>
      </c>
      <c r="L15" s="1539">
        <f t="shared" si="31"/>
        <v>0</v>
      </c>
      <c r="M15" s="1388">
        <f t="shared" si="40"/>
        <v>0</v>
      </c>
      <c r="N15" s="1539">
        <f t="shared" si="41"/>
        <v>0</v>
      </c>
      <c r="O15" s="1770">
        <v>0</v>
      </c>
      <c r="P15" s="1545">
        <f t="shared" si="32"/>
        <v>0</v>
      </c>
      <c r="Q15" s="1181"/>
      <c r="R15" s="1181">
        <f t="shared" si="42"/>
        <v>0</v>
      </c>
      <c r="S15" s="1545">
        <f t="shared" si="43"/>
        <v>0</v>
      </c>
      <c r="T15" s="1557">
        <f t="shared" si="44"/>
        <v>0</v>
      </c>
      <c r="U15" s="1389">
        <f>'[9]FY2014-15 Initial'!$K16</f>
        <v>4828</v>
      </c>
      <c r="V15" s="1515">
        <f t="shared" si="33"/>
        <v>0</v>
      </c>
      <c r="W15" s="1391"/>
      <c r="X15" s="1392">
        <f t="shared" si="45"/>
        <v>0</v>
      </c>
      <c r="Y15" s="1391"/>
      <c r="Z15" s="1392">
        <f t="shared" si="46"/>
        <v>0</v>
      </c>
      <c r="AA15" s="1390">
        <f t="shared" si="47"/>
        <v>0</v>
      </c>
      <c r="AB15" s="1515">
        <f t="shared" si="48"/>
        <v>0</v>
      </c>
      <c r="AC15" s="1394">
        <f t="shared" si="49"/>
        <v>0</v>
      </c>
      <c r="AD15" s="1515">
        <f t="shared" si="50"/>
        <v>0</v>
      </c>
      <c r="AE15" s="1392">
        <v>0</v>
      </c>
      <c r="AF15" s="1515">
        <f t="shared" si="51"/>
        <v>0</v>
      </c>
      <c r="AG15" s="1392"/>
      <c r="AH15" s="1392">
        <f t="shared" si="52"/>
        <v>0</v>
      </c>
      <c r="AI15" s="1515">
        <f t="shared" si="53"/>
        <v>0</v>
      </c>
      <c r="AJ15" s="1393">
        <f t="shared" si="34"/>
        <v>0</v>
      </c>
      <c r="AK15" s="1502">
        <f t="shared" si="35"/>
        <v>0</v>
      </c>
    </row>
    <row r="16" spans="1:37" ht="16.2" customHeight="1">
      <c r="A16" s="1168">
        <v>10</v>
      </c>
      <c r="B16" s="1169" t="s">
        <v>90</v>
      </c>
      <c r="C16" s="1170">
        <f>+'Table 8 Membership 2.1.14'!I12</f>
        <v>0</v>
      </c>
      <c r="D16" s="1171">
        <f>'Table 3 Levels 1&amp;2'!AL13</f>
        <v>4384.374733918472</v>
      </c>
      <c r="E16" s="1172">
        <f t="shared" si="36"/>
        <v>0</v>
      </c>
      <c r="F16" s="1172">
        <f>'Table 3A Level 3'!C15</f>
        <v>608.04000000000008</v>
      </c>
      <c r="G16" s="1172">
        <f t="shared" si="37"/>
        <v>0</v>
      </c>
      <c r="H16" s="1540">
        <f t="shared" si="38"/>
        <v>0</v>
      </c>
      <c r="I16" s="1173"/>
      <c r="J16" s="1173"/>
      <c r="K16" s="1174">
        <f t="shared" si="39"/>
        <v>0</v>
      </c>
      <c r="L16" s="1540">
        <f t="shared" si="31"/>
        <v>0</v>
      </c>
      <c r="M16" s="1399">
        <f t="shared" si="40"/>
        <v>0</v>
      </c>
      <c r="N16" s="1540">
        <f t="shared" si="41"/>
        <v>0</v>
      </c>
      <c r="O16" s="1771">
        <v>0</v>
      </c>
      <c r="P16" s="1546">
        <f t="shared" si="32"/>
        <v>0</v>
      </c>
      <c r="Q16" s="1175"/>
      <c r="R16" s="1173">
        <f t="shared" si="42"/>
        <v>0</v>
      </c>
      <c r="S16" s="1550">
        <f t="shared" si="43"/>
        <v>0</v>
      </c>
      <c r="T16" s="1550">
        <f t="shared" si="44"/>
        <v>0</v>
      </c>
      <c r="U16" s="1382">
        <f>'[9]FY2014-15 Initial'!$K17</f>
        <v>4565</v>
      </c>
      <c r="V16" s="1516">
        <f t="shared" si="33"/>
        <v>0</v>
      </c>
      <c r="W16" s="1400"/>
      <c r="X16" s="1383">
        <f t="shared" si="45"/>
        <v>0</v>
      </c>
      <c r="Y16" s="1400"/>
      <c r="Z16" s="1383">
        <f t="shared" si="46"/>
        <v>0</v>
      </c>
      <c r="AA16" s="1384">
        <f t="shared" si="47"/>
        <v>0</v>
      </c>
      <c r="AB16" s="1516">
        <f t="shared" si="48"/>
        <v>0</v>
      </c>
      <c r="AC16" s="1402">
        <f t="shared" si="49"/>
        <v>0</v>
      </c>
      <c r="AD16" s="1516">
        <f t="shared" si="50"/>
        <v>0</v>
      </c>
      <c r="AE16" s="1383">
        <v>0</v>
      </c>
      <c r="AF16" s="1516">
        <f t="shared" si="51"/>
        <v>0</v>
      </c>
      <c r="AG16" s="1383"/>
      <c r="AH16" s="1383">
        <f t="shared" si="52"/>
        <v>0</v>
      </c>
      <c r="AI16" s="1516">
        <f t="shared" si="53"/>
        <v>0</v>
      </c>
      <c r="AJ16" s="1401">
        <f t="shared" si="34"/>
        <v>0</v>
      </c>
      <c r="AK16" s="1503">
        <f t="shared" si="35"/>
        <v>0</v>
      </c>
    </row>
    <row r="17" spans="1:37" ht="16.2" customHeight="1">
      <c r="A17" s="1183">
        <v>11</v>
      </c>
      <c r="B17" s="1184" t="s">
        <v>91</v>
      </c>
      <c r="C17" s="1185">
        <f>+'Table 8 Membership 2.1.14'!I13</f>
        <v>0</v>
      </c>
      <c r="D17" s="1186">
        <f>'Table 3 Levels 1&amp;2'!AL14</f>
        <v>7098.5372236353351</v>
      </c>
      <c r="E17" s="1187">
        <f t="shared" si="36"/>
        <v>0</v>
      </c>
      <c r="F17" s="1187">
        <f>'Table 3A Level 3'!C16</f>
        <v>706.55</v>
      </c>
      <c r="G17" s="1187">
        <f t="shared" si="37"/>
        <v>0</v>
      </c>
      <c r="H17" s="1538">
        <f t="shared" si="38"/>
        <v>0</v>
      </c>
      <c r="I17" s="1188"/>
      <c r="J17" s="1188"/>
      <c r="K17" s="1189">
        <f t="shared" si="39"/>
        <v>0</v>
      </c>
      <c r="L17" s="1538">
        <f t="shared" si="31"/>
        <v>0</v>
      </c>
      <c r="M17" s="1372">
        <f t="shared" si="40"/>
        <v>0</v>
      </c>
      <c r="N17" s="1538">
        <f t="shared" si="41"/>
        <v>0</v>
      </c>
      <c r="O17" s="1769">
        <v>0</v>
      </c>
      <c r="P17" s="1544">
        <f t="shared" si="32"/>
        <v>0</v>
      </c>
      <c r="Q17" s="1188"/>
      <c r="R17" s="1188">
        <f t="shared" si="42"/>
        <v>0</v>
      </c>
      <c r="S17" s="1544">
        <f t="shared" si="43"/>
        <v>0</v>
      </c>
      <c r="T17" s="1556">
        <f t="shared" si="44"/>
        <v>0</v>
      </c>
      <c r="U17" s="1373">
        <f>'[9]FY2014-15 Initial'!$K18</f>
        <v>3587</v>
      </c>
      <c r="V17" s="1514">
        <f t="shared" si="33"/>
        <v>0</v>
      </c>
      <c r="W17" s="1375"/>
      <c r="X17" s="1376">
        <f t="shared" si="45"/>
        <v>0</v>
      </c>
      <c r="Y17" s="1375"/>
      <c r="Z17" s="1376">
        <f t="shared" si="46"/>
        <v>0</v>
      </c>
      <c r="AA17" s="1374">
        <f t="shared" si="47"/>
        <v>0</v>
      </c>
      <c r="AB17" s="1514">
        <f t="shared" si="48"/>
        <v>0</v>
      </c>
      <c r="AC17" s="1378">
        <f t="shared" si="49"/>
        <v>0</v>
      </c>
      <c r="AD17" s="1514">
        <f t="shared" si="50"/>
        <v>0</v>
      </c>
      <c r="AE17" s="1376">
        <v>0</v>
      </c>
      <c r="AF17" s="1514">
        <f t="shared" si="51"/>
        <v>0</v>
      </c>
      <c r="AG17" s="1376"/>
      <c r="AH17" s="1376">
        <f t="shared" si="52"/>
        <v>0</v>
      </c>
      <c r="AI17" s="1514">
        <f t="shared" si="53"/>
        <v>0</v>
      </c>
      <c r="AJ17" s="1377">
        <f t="shared" si="34"/>
        <v>0</v>
      </c>
      <c r="AK17" s="1501">
        <f t="shared" si="35"/>
        <v>0</v>
      </c>
    </row>
    <row r="18" spans="1:37" ht="16.2" customHeight="1">
      <c r="A18" s="1176">
        <v>12</v>
      </c>
      <c r="B18" s="1177" t="s">
        <v>92</v>
      </c>
      <c r="C18" s="1178">
        <f>+'Table 8 Membership 2.1.14'!I14</f>
        <v>0</v>
      </c>
      <c r="D18" s="1179">
        <f>'Table 3 Levels 1&amp;2'!AL15</f>
        <v>1666.6040983606558</v>
      </c>
      <c r="E18" s="1180">
        <f t="shared" si="36"/>
        <v>0</v>
      </c>
      <c r="F18" s="1180">
        <f>'Table 3A Level 3'!C17</f>
        <v>1063.31</v>
      </c>
      <c r="G18" s="1180">
        <f t="shared" si="37"/>
        <v>0</v>
      </c>
      <c r="H18" s="1539">
        <f t="shared" si="38"/>
        <v>0</v>
      </c>
      <c r="I18" s="1181"/>
      <c r="J18" s="1181"/>
      <c r="K18" s="1182">
        <f t="shared" si="39"/>
        <v>0</v>
      </c>
      <c r="L18" s="1539">
        <f t="shared" si="31"/>
        <v>0</v>
      </c>
      <c r="M18" s="1388">
        <f t="shared" si="40"/>
        <v>0</v>
      </c>
      <c r="N18" s="1539">
        <f t="shared" si="41"/>
        <v>0</v>
      </c>
      <c r="O18" s="1770">
        <v>0</v>
      </c>
      <c r="P18" s="1545">
        <f t="shared" si="32"/>
        <v>0</v>
      </c>
      <c r="Q18" s="1181"/>
      <c r="R18" s="1181">
        <f t="shared" si="42"/>
        <v>0</v>
      </c>
      <c r="S18" s="1545">
        <f t="shared" si="43"/>
        <v>0</v>
      </c>
      <c r="T18" s="1557">
        <f t="shared" si="44"/>
        <v>0</v>
      </c>
      <c r="U18" s="1389">
        <f>'[9]FY2014-15 Initial'!$K19</f>
        <v>8094</v>
      </c>
      <c r="V18" s="1515">
        <f t="shared" si="33"/>
        <v>0</v>
      </c>
      <c r="W18" s="1391"/>
      <c r="X18" s="1392">
        <f t="shared" si="45"/>
        <v>0</v>
      </c>
      <c r="Y18" s="1391"/>
      <c r="Z18" s="1392">
        <f t="shared" si="46"/>
        <v>0</v>
      </c>
      <c r="AA18" s="1390">
        <f t="shared" si="47"/>
        <v>0</v>
      </c>
      <c r="AB18" s="1515">
        <f t="shared" si="48"/>
        <v>0</v>
      </c>
      <c r="AC18" s="1394">
        <f t="shared" si="49"/>
        <v>0</v>
      </c>
      <c r="AD18" s="1515">
        <f t="shared" si="50"/>
        <v>0</v>
      </c>
      <c r="AE18" s="1392">
        <v>0</v>
      </c>
      <c r="AF18" s="1515">
        <f t="shared" si="51"/>
        <v>0</v>
      </c>
      <c r="AG18" s="1392"/>
      <c r="AH18" s="1392">
        <f t="shared" si="52"/>
        <v>0</v>
      </c>
      <c r="AI18" s="1515">
        <f t="shared" si="53"/>
        <v>0</v>
      </c>
      <c r="AJ18" s="1393">
        <f t="shared" si="34"/>
        <v>0</v>
      </c>
      <c r="AK18" s="1502">
        <f t="shared" si="35"/>
        <v>0</v>
      </c>
    </row>
    <row r="19" spans="1:37" ht="16.2" customHeight="1">
      <c r="A19" s="1176">
        <v>13</v>
      </c>
      <c r="B19" s="1177" t="s">
        <v>93</v>
      </c>
      <c r="C19" s="1178">
        <f>+'Table 8 Membership 2.1.14'!I15</f>
        <v>0</v>
      </c>
      <c r="D19" s="1179">
        <f>'Table 3 Levels 1&amp;2'!AL16</f>
        <v>6433.6297758332212</v>
      </c>
      <c r="E19" s="1180">
        <f t="shared" si="36"/>
        <v>0</v>
      </c>
      <c r="F19" s="1180">
        <f>'Table 3A Level 3'!C18</f>
        <v>749.43000000000006</v>
      </c>
      <c r="G19" s="1180">
        <f t="shared" si="37"/>
        <v>0</v>
      </c>
      <c r="H19" s="1539">
        <f t="shared" si="38"/>
        <v>0</v>
      </c>
      <c r="I19" s="1181"/>
      <c r="J19" s="1181"/>
      <c r="K19" s="1182">
        <f t="shared" si="39"/>
        <v>0</v>
      </c>
      <c r="L19" s="1539">
        <f t="shared" si="31"/>
        <v>0</v>
      </c>
      <c r="M19" s="1388">
        <f t="shared" si="40"/>
        <v>0</v>
      </c>
      <c r="N19" s="1539">
        <f t="shared" si="41"/>
        <v>0</v>
      </c>
      <c r="O19" s="1770">
        <v>0</v>
      </c>
      <c r="P19" s="1545">
        <f t="shared" si="32"/>
        <v>0</v>
      </c>
      <c r="Q19" s="1181"/>
      <c r="R19" s="1181">
        <f t="shared" si="42"/>
        <v>0</v>
      </c>
      <c r="S19" s="1545">
        <f t="shared" si="43"/>
        <v>0</v>
      </c>
      <c r="T19" s="1557">
        <f t="shared" si="44"/>
        <v>0</v>
      </c>
      <c r="U19" s="1389">
        <f>'[9]FY2014-15 Initial'!$K20</f>
        <v>2842</v>
      </c>
      <c r="V19" s="1515">
        <f t="shared" si="33"/>
        <v>0</v>
      </c>
      <c r="W19" s="1391"/>
      <c r="X19" s="1392">
        <f t="shared" si="45"/>
        <v>0</v>
      </c>
      <c r="Y19" s="1391"/>
      <c r="Z19" s="1392">
        <f t="shared" si="46"/>
        <v>0</v>
      </c>
      <c r="AA19" s="1390">
        <f t="shared" si="47"/>
        <v>0</v>
      </c>
      <c r="AB19" s="1515">
        <f t="shared" si="48"/>
        <v>0</v>
      </c>
      <c r="AC19" s="1394">
        <f t="shared" si="49"/>
        <v>0</v>
      </c>
      <c r="AD19" s="1515">
        <f t="shared" si="50"/>
        <v>0</v>
      </c>
      <c r="AE19" s="1392">
        <v>0</v>
      </c>
      <c r="AF19" s="1515">
        <f t="shared" si="51"/>
        <v>0</v>
      </c>
      <c r="AG19" s="1392"/>
      <c r="AH19" s="1392">
        <f t="shared" si="52"/>
        <v>0</v>
      </c>
      <c r="AI19" s="1515">
        <f t="shared" si="53"/>
        <v>0</v>
      </c>
      <c r="AJ19" s="1393">
        <f t="shared" si="34"/>
        <v>0</v>
      </c>
      <c r="AK19" s="1502">
        <f t="shared" si="35"/>
        <v>0</v>
      </c>
    </row>
    <row r="20" spans="1:37" ht="16.2" customHeight="1">
      <c r="A20" s="1176">
        <v>14</v>
      </c>
      <c r="B20" s="1177" t="s">
        <v>94</v>
      </c>
      <c r="C20" s="1178">
        <f>+'Table 8 Membership 2.1.14'!I16</f>
        <v>0</v>
      </c>
      <c r="D20" s="1179">
        <f>'Table 3 Levels 1&amp;2'!AL17</f>
        <v>5334.9509412500001</v>
      </c>
      <c r="E20" s="1180">
        <f t="shared" si="36"/>
        <v>0</v>
      </c>
      <c r="F20" s="1180">
        <f>'Table 3A Level 3'!C19</f>
        <v>809.9799999999999</v>
      </c>
      <c r="G20" s="1180">
        <f t="shared" si="37"/>
        <v>0</v>
      </c>
      <c r="H20" s="1539">
        <f t="shared" si="38"/>
        <v>0</v>
      </c>
      <c r="I20" s="1181"/>
      <c r="J20" s="1181"/>
      <c r="K20" s="1182">
        <f t="shared" si="39"/>
        <v>0</v>
      </c>
      <c r="L20" s="1539">
        <f t="shared" si="31"/>
        <v>0</v>
      </c>
      <c r="M20" s="1388">
        <f t="shared" si="40"/>
        <v>0</v>
      </c>
      <c r="N20" s="1539">
        <f t="shared" si="41"/>
        <v>0</v>
      </c>
      <c r="O20" s="1770">
        <v>0</v>
      </c>
      <c r="P20" s="1545">
        <f t="shared" si="32"/>
        <v>0</v>
      </c>
      <c r="Q20" s="1181"/>
      <c r="R20" s="1181">
        <f t="shared" si="42"/>
        <v>0</v>
      </c>
      <c r="S20" s="1545">
        <f t="shared" si="43"/>
        <v>0</v>
      </c>
      <c r="T20" s="1557">
        <f t="shared" si="44"/>
        <v>0</v>
      </c>
      <c r="U20" s="1389">
        <f>'[9]FY2014-15 Initial'!$K21</f>
        <v>4205</v>
      </c>
      <c r="V20" s="1515">
        <f t="shared" si="33"/>
        <v>0</v>
      </c>
      <c r="W20" s="1391"/>
      <c r="X20" s="1392">
        <f t="shared" si="45"/>
        <v>0</v>
      </c>
      <c r="Y20" s="1391"/>
      <c r="Z20" s="1392">
        <f t="shared" si="46"/>
        <v>0</v>
      </c>
      <c r="AA20" s="1390">
        <f t="shared" si="47"/>
        <v>0</v>
      </c>
      <c r="AB20" s="1515">
        <f t="shared" si="48"/>
        <v>0</v>
      </c>
      <c r="AC20" s="1394">
        <f t="shared" si="49"/>
        <v>0</v>
      </c>
      <c r="AD20" s="1515">
        <f t="shared" si="50"/>
        <v>0</v>
      </c>
      <c r="AE20" s="1392">
        <v>0</v>
      </c>
      <c r="AF20" s="1515">
        <f t="shared" si="51"/>
        <v>0</v>
      </c>
      <c r="AG20" s="1392"/>
      <c r="AH20" s="1392">
        <f t="shared" si="52"/>
        <v>0</v>
      </c>
      <c r="AI20" s="1515">
        <f t="shared" si="53"/>
        <v>0</v>
      </c>
      <c r="AJ20" s="1393">
        <f t="shared" si="34"/>
        <v>0</v>
      </c>
      <c r="AK20" s="1502">
        <f t="shared" si="35"/>
        <v>0</v>
      </c>
    </row>
    <row r="21" spans="1:37" ht="16.2" customHeight="1">
      <c r="A21" s="1168">
        <v>15</v>
      </c>
      <c r="B21" s="1169" t="s">
        <v>95</v>
      </c>
      <c r="C21" s="1170">
        <f>+'Table 8 Membership 2.1.14'!I17</f>
        <v>0</v>
      </c>
      <c r="D21" s="1171">
        <f>'Table 3 Levels 1&amp;2'!AL18</f>
        <v>5749.8285214059952</v>
      </c>
      <c r="E21" s="1172">
        <f t="shared" si="36"/>
        <v>0</v>
      </c>
      <c r="F21" s="1172">
        <f>'Table 3A Level 3'!C20</f>
        <v>553.79999999999995</v>
      </c>
      <c r="G21" s="1172">
        <f t="shared" si="37"/>
        <v>0</v>
      </c>
      <c r="H21" s="1540">
        <f t="shared" si="38"/>
        <v>0</v>
      </c>
      <c r="I21" s="1173"/>
      <c r="J21" s="1173"/>
      <c r="K21" s="1174">
        <f t="shared" si="39"/>
        <v>0</v>
      </c>
      <c r="L21" s="1540">
        <f t="shared" si="31"/>
        <v>0</v>
      </c>
      <c r="M21" s="1399">
        <f t="shared" si="40"/>
        <v>0</v>
      </c>
      <c r="N21" s="1540">
        <f t="shared" si="41"/>
        <v>0</v>
      </c>
      <c r="O21" s="1771">
        <v>0</v>
      </c>
      <c r="P21" s="1546">
        <f t="shared" si="32"/>
        <v>0</v>
      </c>
      <c r="Q21" s="1175"/>
      <c r="R21" s="1173">
        <f t="shared" si="42"/>
        <v>0</v>
      </c>
      <c r="S21" s="1550">
        <f t="shared" si="43"/>
        <v>0</v>
      </c>
      <c r="T21" s="1550">
        <f t="shared" si="44"/>
        <v>0</v>
      </c>
      <c r="U21" s="1382">
        <f>'[9]FY2014-15 Initial'!$K22</f>
        <v>2535</v>
      </c>
      <c r="V21" s="1516">
        <f t="shared" si="33"/>
        <v>0</v>
      </c>
      <c r="W21" s="1400"/>
      <c r="X21" s="1383">
        <f t="shared" si="45"/>
        <v>0</v>
      </c>
      <c r="Y21" s="1400"/>
      <c r="Z21" s="1383">
        <f t="shared" si="46"/>
        <v>0</v>
      </c>
      <c r="AA21" s="1384">
        <f t="shared" si="47"/>
        <v>0</v>
      </c>
      <c r="AB21" s="1516">
        <f t="shared" si="48"/>
        <v>0</v>
      </c>
      <c r="AC21" s="1402">
        <f t="shared" si="49"/>
        <v>0</v>
      </c>
      <c r="AD21" s="1516">
        <f t="shared" si="50"/>
        <v>0</v>
      </c>
      <c r="AE21" s="1383">
        <v>0</v>
      </c>
      <c r="AF21" s="1516">
        <f t="shared" si="51"/>
        <v>0</v>
      </c>
      <c r="AG21" s="1383"/>
      <c r="AH21" s="1383">
        <f t="shared" si="52"/>
        <v>0</v>
      </c>
      <c r="AI21" s="1516">
        <f t="shared" si="53"/>
        <v>0</v>
      </c>
      <c r="AJ21" s="1401">
        <f t="shared" si="34"/>
        <v>0</v>
      </c>
      <c r="AK21" s="1503">
        <f t="shared" si="35"/>
        <v>0</v>
      </c>
    </row>
    <row r="22" spans="1:37" ht="16.2" customHeight="1">
      <c r="A22" s="1183">
        <v>16</v>
      </c>
      <c r="B22" s="1184" t="s">
        <v>96</v>
      </c>
      <c r="C22" s="1185">
        <f>+'Table 8 Membership 2.1.14'!I18</f>
        <v>0</v>
      </c>
      <c r="D22" s="1186">
        <f>'Table 3 Levels 1&amp;2'!AL19</f>
        <v>1980.2494354342025</v>
      </c>
      <c r="E22" s="1187">
        <f t="shared" si="36"/>
        <v>0</v>
      </c>
      <c r="F22" s="1187">
        <f>'Table 3A Level 3'!C21</f>
        <v>686.73</v>
      </c>
      <c r="G22" s="1187">
        <f t="shared" si="37"/>
        <v>0</v>
      </c>
      <c r="H22" s="1538">
        <f t="shared" si="38"/>
        <v>0</v>
      </c>
      <c r="I22" s="1188"/>
      <c r="J22" s="1188"/>
      <c r="K22" s="1189">
        <f t="shared" si="39"/>
        <v>0</v>
      </c>
      <c r="L22" s="1538">
        <f t="shared" si="31"/>
        <v>0</v>
      </c>
      <c r="M22" s="1372">
        <f t="shared" si="40"/>
        <v>0</v>
      </c>
      <c r="N22" s="1538">
        <f t="shared" si="41"/>
        <v>0</v>
      </c>
      <c r="O22" s="1769">
        <v>0</v>
      </c>
      <c r="P22" s="1544">
        <f t="shared" si="32"/>
        <v>0</v>
      </c>
      <c r="Q22" s="1188"/>
      <c r="R22" s="1188">
        <f t="shared" si="42"/>
        <v>0</v>
      </c>
      <c r="S22" s="1544">
        <f t="shared" si="43"/>
        <v>0</v>
      </c>
      <c r="T22" s="1556">
        <f t="shared" si="44"/>
        <v>0</v>
      </c>
      <c r="U22" s="1373">
        <f>'[9]FY2014-15 Initial'!$K23</f>
        <v>12768</v>
      </c>
      <c r="V22" s="1514">
        <f t="shared" si="33"/>
        <v>0</v>
      </c>
      <c r="W22" s="1375"/>
      <c r="X22" s="1376">
        <f t="shared" si="45"/>
        <v>0</v>
      </c>
      <c r="Y22" s="1375"/>
      <c r="Z22" s="1376">
        <f t="shared" si="46"/>
        <v>0</v>
      </c>
      <c r="AA22" s="1374">
        <f t="shared" si="47"/>
        <v>0</v>
      </c>
      <c r="AB22" s="1514">
        <f t="shared" si="48"/>
        <v>0</v>
      </c>
      <c r="AC22" s="1378">
        <f t="shared" si="49"/>
        <v>0</v>
      </c>
      <c r="AD22" s="1514">
        <f t="shared" si="50"/>
        <v>0</v>
      </c>
      <c r="AE22" s="1376">
        <v>0</v>
      </c>
      <c r="AF22" s="1514">
        <f t="shared" si="51"/>
        <v>0</v>
      </c>
      <c r="AG22" s="1376"/>
      <c r="AH22" s="1376">
        <f t="shared" si="52"/>
        <v>0</v>
      </c>
      <c r="AI22" s="1514">
        <f t="shared" si="53"/>
        <v>0</v>
      </c>
      <c r="AJ22" s="1377">
        <f t="shared" si="34"/>
        <v>0</v>
      </c>
      <c r="AK22" s="1501">
        <f t="shared" si="35"/>
        <v>0</v>
      </c>
    </row>
    <row r="23" spans="1:37" ht="16.2" customHeight="1">
      <c r="A23" s="1176">
        <v>17</v>
      </c>
      <c r="B23" s="1177" t="s">
        <v>97</v>
      </c>
      <c r="C23" s="1178">
        <f>+'Table 8 Membership 2.1.14'!I19</f>
        <v>262</v>
      </c>
      <c r="D23" s="1179">
        <f>'Table 3 Levels 1&amp;2'!AL20</f>
        <v>3363.5980368254495</v>
      </c>
      <c r="E23" s="1180">
        <f t="shared" si="36"/>
        <v>881262.68564826774</v>
      </c>
      <c r="F23" s="1180">
        <f>'Table 3A Level 3'!C22</f>
        <v>801.47762416806802</v>
      </c>
      <c r="G23" s="1180">
        <f t="shared" si="37"/>
        <v>209987.13753203381</v>
      </c>
      <c r="H23" s="1539">
        <f t="shared" si="38"/>
        <v>1091249.8231803016</v>
      </c>
      <c r="I23" s="1181"/>
      <c r="J23" s="1181"/>
      <c r="K23" s="1182">
        <f t="shared" si="39"/>
        <v>0</v>
      </c>
      <c r="L23" s="1539">
        <f t="shared" si="31"/>
        <v>1091249.8231803016</v>
      </c>
      <c r="M23" s="1388">
        <f>-(0.25%*L23)</f>
        <v>-2728.124557950754</v>
      </c>
      <c r="N23" s="1539">
        <f t="shared" si="41"/>
        <v>1088521.6986223508</v>
      </c>
      <c r="O23" s="1770">
        <v>-6040</v>
      </c>
      <c r="P23" s="1545">
        <f t="shared" si="32"/>
        <v>1082481.6986223508</v>
      </c>
      <c r="Q23" s="1181"/>
      <c r="R23" s="1181">
        <f t="shared" si="42"/>
        <v>1082481.6986223508</v>
      </c>
      <c r="S23" s="1545">
        <f t="shared" si="43"/>
        <v>90207</v>
      </c>
      <c r="T23" s="1557">
        <f t="shared" si="44"/>
        <v>1082481.6986223508</v>
      </c>
      <c r="U23" s="1389">
        <f>'[9]FY2014-15 Initial'!$K24</f>
        <v>7050</v>
      </c>
      <c r="V23" s="1515">
        <f t="shared" si="33"/>
        <v>1847100</v>
      </c>
      <c r="W23" s="1391"/>
      <c r="X23" s="1392">
        <f>W23*U23</f>
        <v>0</v>
      </c>
      <c r="Y23" s="1391"/>
      <c r="Z23" s="1392">
        <f t="shared" si="46"/>
        <v>0</v>
      </c>
      <c r="AA23" s="1390">
        <f t="shared" si="47"/>
        <v>0</v>
      </c>
      <c r="AB23" s="1515">
        <f t="shared" si="48"/>
        <v>1847100</v>
      </c>
      <c r="AC23" s="1394">
        <f t="shared" si="49"/>
        <v>-4617.75</v>
      </c>
      <c r="AD23" s="1515">
        <f t="shared" si="50"/>
        <v>1842482.25</v>
      </c>
      <c r="AE23" s="1392">
        <v>0</v>
      </c>
      <c r="AF23" s="1515">
        <f t="shared" si="51"/>
        <v>1842482.25</v>
      </c>
      <c r="AG23" s="1392"/>
      <c r="AH23" s="1392">
        <f t="shared" si="52"/>
        <v>1842482.25</v>
      </c>
      <c r="AI23" s="1515">
        <f t="shared" si="53"/>
        <v>153540</v>
      </c>
      <c r="AJ23" s="1393">
        <f t="shared" si="34"/>
        <v>2924963.9486223506</v>
      </c>
      <c r="AK23" s="1502">
        <f t="shared" si="35"/>
        <v>243747</v>
      </c>
    </row>
    <row r="24" spans="1:37" ht="16.2" customHeight="1">
      <c r="A24" s="1176">
        <v>18</v>
      </c>
      <c r="B24" s="1177" t="s">
        <v>98</v>
      </c>
      <c r="C24" s="1178">
        <f>+'Table 8 Membership 2.1.14'!I20</f>
        <v>0</v>
      </c>
      <c r="D24" s="1179">
        <f>'Table 3 Levels 1&amp;2'!AL21</f>
        <v>6354.5533500475731</v>
      </c>
      <c r="E24" s="1180">
        <f t="shared" si="36"/>
        <v>0</v>
      </c>
      <c r="F24" s="1180">
        <f>'Table 3A Level 3'!C23</f>
        <v>845.94999999999993</v>
      </c>
      <c r="G24" s="1180">
        <f t="shared" si="37"/>
        <v>0</v>
      </c>
      <c r="H24" s="1539">
        <f t="shared" si="38"/>
        <v>0</v>
      </c>
      <c r="I24" s="1181"/>
      <c r="J24" s="1181"/>
      <c r="K24" s="1182">
        <f t="shared" si="39"/>
        <v>0</v>
      </c>
      <c r="L24" s="1539">
        <f t="shared" si="31"/>
        <v>0</v>
      </c>
      <c r="M24" s="1388">
        <f t="shared" si="40"/>
        <v>0</v>
      </c>
      <c r="N24" s="1539">
        <f t="shared" si="41"/>
        <v>0</v>
      </c>
      <c r="O24" s="1770">
        <v>0</v>
      </c>
      <c r="P24" s="1545">
        <f t="shared" si="32"/>
        <v>0</v>
      </c>
      <c r="Q24" s="1181"/>
      <c r="R24" s="1181">
        <f t="shared" si="42"/>
        <v>0</v>
      </c>
      <c r="S24" s="1545">
        <f t="shared" si="43"/>
        <v>0</v>
      </c>
      <c r="T24" s="1557">
        <f t="shared" si="44"/>
        <v>0</v>
      </c>
      <c r="U24" s="1389">
        <f>'[9]FY2014-15 Initial'!$K25</f>
        <v>2526</v>
      </c>
      <c r="V24" s="1515">
        <f t="shared" si="33"/>
        <v>0</v>
      </c>
      <c r="W24" s="1391"/>
      <c r="X24" s="1392">
        <f t="shared" si="45"/>
        <v>0</v>
      </c>
      <c r="Y24" s="1391"/>
      <c r="Z24" s="1392">
        <f t="shared" si="46"/>
        <v>0</v>
      </c>
      <c r="AA24" s="1390">
        <f t="shared" si="47"/>
        <v>0</v>
      </c>
      <c r="AB24" s="1515">
        <f t="shared" si="48"/>
        <v>0</v>
      </c>
      <c r="AC24" s="1394">
        <f t="shared" si="49"/>
        <v>0</v>
      </c>
      <c r="AD24" s="1515">
        <f t="shared" si="50"/>
        <v>0</v>
      </c>
      <c r="AE24" s="1392">
        <v>0</v>
      </c>
      <c r="AF24" s="1515">
        <f t="shared" si="51"/>
        <v>0</v>
      </c>
      <c r="AG24" s="1392"/>
      <c r="AH24" s="1392">
        <f t="shared" si="52"/>
        <v>0</v>
      </c>
      <c r="AI24" s="1515">
        <f t="shared" si="53"/>
        <v>0</v>
      </c>
      <c r="AJ24" s="1393">
        <f t="shared" si="34"/>
        <v>0</v>
      </c>
      <c r="AK24" s="1502">
        <f t="shared" si="35"/>
        <v>0</v>
      </c>
    </row>
    <row r="25" spans="1:37" ht="16.2" customHeight="1">
      <c r="A25" s="1176">
        <v>19</v>
      </c>
      <c r="B25" s="1177" t="s">
        <v>99</v>
      </c>
      <c r="C25" s="1178">
        <f>+'Table 8 Membership 2.1.14'!I21</f>
        <v>0</v>
      </c>
      <c r="D25" s="1179">
        <f>'Table 3 Levels 1&amp;2'!AL22</f>
        <v>5314.3921869460446</v>
      </c>
      <c r="E25" s="1180">
        <f t="shared" si="36"/>
        <v>0</v>
      </c>
      <c r="F25" s="1180">
        <f>'Table 3A Level 3'!C24</f>
        <v>905.43</v>
      </c>
      <c r="G25" s="1180">
        <f t="shared" si="37"/>
        <v>0</v>
      </c>
      <c r="H25" s="1539">
        <f t="shared" si="38"/>
        <v>0</v>
      </c>
      <c r="I25" s="1181"/>
      <c r="J25" s="1181"/>
      <c r="K25" s="1182">
        <f t="shared" si="39"/>
        <v>0</v>
      </c>
      <c r="L25" s="1539">
        <f t="shared" si="31"/>
        <v>0</v>
      </c>
      <c r="M25" s="1388">
        <f t="shared" si="40"/>
        <v>0</v>
      </c>
      <c r="N25" s="1539">
        <f t="shared" si="41"/>
        <v>0</v>
      </c>
      <c r="O25" s="1770">
        <v>0</v>
      </c>
      <c r="P25" s="1545">
        <f t="shared" si="32"/>
        <v>0</v>
      </c>
      <c r="Q25" s="1181"/>
      <c r="R25" s="1181">
        <f t="shared" si="42"/>
        <v>0</v>
      </c>
      <c r="S25" s="1545">
        <f t="shared" si="43"/>
        <v>0</v>
      </c>
      <c r="T25" s="1557">
        <f t="shared" si="44"/>
        <v>0</v>
      </c>
      <c r="U25" s="1389">
        <f>'[9]FY2014-15 Initial'!$K26</f>
        <v>2908</v>
      </c>
      <c r="V25" s="1515">
        <f t="shared" si="33"/>
        <v>0</v>
      </c>
      <c r="W25" s="1391"/>
      <c r="X25" s="1392">
        <f t="shared" si="45"/>
        <v>0</v>
      </c>
      <c r="Y25" s="1391"/>
      <c r="Z25" s="1392">
        <f t="shared" si="46"/>
        <v>0</v>
      </c>
      <c r="AA25" s="1390">
        <f t="shared" si="47"/>
        <v>0</v>
      </c>
      <c r="AB25" s="1515">
        <f t="shared" si="48"/>
        <v>0</v>
      </c>
      <c r="AC25" s="1394">
        <f t="shared" si="49"/>
        <v>0</v>
      </c>
      <c r="AD25" s="1515">
        <f t="shared" si="50"/>
        <v>0</v>
      </c>
      <c r="AE25" s="1392">
        <v>0</v>
      </c>
      <c r="AF25" s="1515">
        <f t="shared" si="51"/>
        <v>0</v>
      </c>
      <c r="AG25" s="1392"/>
      <c r="AH25" s="1392">
        <f t="shared" si="52"/>
        <v>0</v>
      </c>
      <c r="AI25" s="1515">
        <f t="shared" si="53"/>
        <v>0</v>
      </c>
      <c r="AJ25" s="1393">
        <f t="shared" si="34"/>
        <v>0</v>
      </c>
      <c r="AK25" s="1502">
        <f t="shared" si="35"/>
        <v>0</v>
      </c>
    </row>
    <row r="26" spans="1:37" ht="16.2" customHeight="1">
      <c r="A26" s="1168">
        <v>20</v>
      </c>
      <c r="B26" s="1169" t="s">
        <v>100</v>
      </c>
      <c r="C26" s="1170">
        <f>+'Table 8 Membership 2.1.14'!I22</f>
        <v>0</v>
      </c>
      <c r="D26" s="1171">
        <f>'Table 3 Levels 1&amp;2'!AL23</f>
        <v>5278.5201565562011</v>
      </c>
      <c r="E26" s="1172">
        <f t="shared" si="36"/>
        <v>0</v>
      </c>
      <c r="F26" s="1172">
        <f>'Table 3A Level 3'!C25</f>
        <v>586.16999999999996</v>
      </c>
      <c r="G26" s="1172">
        <f t="shared" si="37"/>
        <v>0</v>
      </c>
      <c r="H26" s="1540">
        <f t="shared" si="38"/>
        <v>0</v>
      </c>
      <c r="I26" s="1173"/>
      <c r="J26" s="1173"/>
      <c r="K26" s="1174">
        <f t="shared" si="39"/>
        <v>0</v>
      </c>
      <c r="L26" s="1540">
        <f t="shared" si="31"/>
        <v>0</v>
      </c>
      <c r="M26" s="1399">
        <f t="shared" si="40"/>
        <v>0</v>
      </c>
      <c r="N26" s="1540">
        <f t="shared" si="41"/>
        <v>0</v>
      </c>
      <c r="O26" s="1771">
        <v>0</v>
      </c>
      <c r="P26" s="1546">
        <f t="shared" si="32"/>
        <v>0</v>
      </c>
      <c r="Q26" s="1175"/>
      <c r="R26" s="1173">
        <f t="shared" si="42"/>
        <v>0</v>
      </c>
      <c r="S26" s="1550">
        <f t="shared" si="43"/>
        <v>0</v>
      </c>
      <c r="T26" s="1550">
        <f t="shared" si="44"/>
        <v>0</v>
      </c>
      <c r="U26" s="1382">
        <f>'[9]FY2014-15 Initial'!$K27</f>
        <v>2432</v>
      </c>
      <c r="V26" s="1516">
        <f t="shared" si="33"/>
        <v>0</v>
      </c>
      <c r="W26" s="1400"/>
      <c r="X26" s="1383">
        <f t="shared" si="45"/>
        <v>0</v>
      </c>
      <c r="Y26" s="1400"/>
      <c r="Z26" s="1383">
        <f t="shared" si="46"/>
        <v>0</v>
      </c>
      <c r="AA26" s="1384">
        <f t="shared" si="47"/>
        <v>0</v>
      </c>
      <c r="AB26" s="1516">
        <f t="shared" si="48"/>
        <v>0</v>
      </c>
      <c r="AC26" s="1402">
        <f t="shared" si="49"/>
        <v>0</v>
      </c>
      <c r="AD26" s="1516">
        <f t="shared" si="50"/>
        <v>0</v>
      </c>
      <c r="AE26" s="1383">
        <v>0</v>
      </c>
      <c r="AF26" s="1516">
        <f t="shared" si="51"/>
        <v>0</v>
      </c>
      <c r="AG26" s="1383"/>
      <c r="AH26" s="1383">
        <f t="shared" si="52"/>
        <v>0</v>
      </c>
      <c r="AI26" s="1516">
        <f t="shared" si="53"/>
        <v>0</v>
      </c>
      <c r="AJ26" s="1401">
        <f t="shared" si="34"/>
        <v>0</v>
      </c>
      <c r="AK26" s="1503">
        <f t="shared" si="35"/>
        <v>0</v>
      </c>
    </row>
    <row r="27" spans="1:37" ht="16.2" customHeight="1">
      <c r="A27" s="1183">
        <v>21</v>
      </c>
      <c r="B27" s="1184" t="s">
        <v>101</v>
      </c>
      <c r="C27" s="1185">
        <f>+'Table 8 Membership 2.1.14'!I23</f>
        <v>0</v>
      </c>
      <c r="D27" s="1186">
        <f>'Table 3 Levels 1&amp;2'!AL24</f>
        <v>6082.3042295867763</v>
      </c>
      <c r="E27" s="1187">
        <f t="shared" si="36"/>
        <v>0</v>
      </c>
      <c r="F27" s="1187">
        <f>'Table 3A Level 3'!C26</f>
        <v>610.35</v>
      </c>
      <c r="G27" s="1187">
        <f t="shared" si="37"/>
        <v>0</v>
      </c>
      <c r="H27" s="1538">
        <f t="shared" si="38"/>
        <v>0</v>
      </c>
      <c r="I27" s="1188"/>
      <c r="J27" s="1188"/>
      <c r="K27" s="1189">
        <f t="shared" si="39"/>
        <v>0</v>
      </c>
      <c r="L27" s="1538">
        <f t="shared" si="31"/>
        <v>0</v>
      </c>
      <c r="M27" s="1372">
        <f t="shared" si="40"/>
        <v>0</v>
      </c>
      <c r="N27" s="1538">
        <f t="shared" si="41"/>
        <v>0</v>
      </c>
      <c r="O27" s="1769">
        <v>0</v>
      </c>
      <c r="P27" s="1544">
        <f t="shared" si="32"/>
        <v>0</v>
      </c>
      <c r="Q27" s="1188"/>
      <c r="R27" s="1188">
        <f t="shared" si="42"/>
        <v>0</v>
      </c>
      <c r="S27" s="1544">
        <f t="shared" si="43"/>
        <v>0</v>
      </c>
      <c r="T27" s="1556">
        <f t="shared" si="44"/>
        <v>0</v>
      </c>
      <c r="U27" s="1373">
        <f>'[9]FY2014-15 Initial'!$K28</f>
        <v>2460</v>
      </c>
      <c r="V27" s="1514">
        <f t="shared" si="33"/>
        <v>0</v>
      </c>
      <c r="W27" s="1375"/>
      <c r="X27" s="1376">
        <f t="shared" si="45"/>
        <v>0</v>
      </c>
      <c r="Y27" s="1375"/>
      <c r="Z27" s="1376">
        <f t="shared" si="46"/>
        <v>0</v>
      </c>
      <c r="AA27" s="1374">
        <f t="shared" si="47"/>
        <v>0</v>
      </c>
      <c r="AB27" s="1514">
        <f t="shared" si="48"/>
        <v>0</v>
      </c>
      <c r="AC27" s="1378">
        <f t="shared" si="49"/>
        <v>0</v>
      </c>
      <c r="AD27" s="1514">
        <f t="shared" si="50"/>
        <v>0</v>
      </c>
      <c r="AE27" s="1376">
        <v>0</v>
      </c>
      <c r="AF27" s="1514">
        <f t="shared" si="51"/>
        <v>0</v>
      </c>
      <c r="AG27" s="1376"/>
      <c r="AH27" s="1376">
        <f t="shared" si="52"/>
        <v>0</v>
      </c>
      <c r="AI27" s="1514">
        <f t="shared" si="53"/>
        <v>0</v>
      </c>
      <c r="AJ27" s="1377">
        <f t="shared" si="34"/>
        <v>0</v>
      </c>
      <c r="AK27" s="1501">
        <f t="shared" si="35"/>
        <v>0</v>
      </c>
    </row>
    <row r="28" spans="1:37" ht="16.2" customHeight="1">
      <c r="A28" s="1176">
        <v>22</v>
      </c>
      <c r="B28" s="1177" t="s">
        <v>102</v>
      </c>
      <c r="C28" s="1178">
        <f>+'Table 8 Membership 2.1.14'!I24</f>
        <v>0</v>
      </c>
      <c r="D28" s="1179">
        <f>'Table 3 Levels 1&amp;2'!AL25</f>
        <v>6416.1099808195995</v>
      </c>
      <c r="E28" s="1180">
        <f t="shared" si="36"/>
        <v>0</v>
      </c>
      <c r="F28" s="1180">
        <f>'Table 3A Level 3'!C27</f>
        <v>496.36</v>
      </c>
      <c r="G28" s="1180">
        <f t="shared" si="37"/>
        <v>0</v>
      </c>
      <c r="H28" s="1539">
        <f t="shared" si="38"/>
        <v>0</v>
      </c>
      <c r="I28" s="1181"/>
      <c r="J28" s="1181"/>
      <c r="K28" s="1182">
        <f t="shared" si="39"/>
        <v>0</v>
      </c>
      <c r="L28" s="1539">
        <f t="shared" si="31"/>
        <v>0</v>
      </c>
      <c r="M28" s="1388">
        <f t="shared" si="40"/>
        <v>0</v>
      </c>
      <c r="N28" s="1539">
        <f t="shared" si="41"/>
        <v>0</v>
      </c>
      <c r="O28" s="1770">
        <v>0</v>
      </c>
      <c r="P28" s="1545">
        <f t="shared" si="32"/>
        <v>0</v>
      </c>
      <c r="Q28" s="1181"/>
      <c r="R28" s="1181">
        <f t="shared" si="42"/>
        <v>0</v>
      </c>
      <c r="S28" s="1545">
        <f t="shared" si="43"/>
        <v>0</v>
      </c>
      <c r="T28" s="1557">
        <f t="shared" si="44"/>
        <v>0</v>
      </c>
      <c r="U28" s="1389">
        <f>'[9]FY2014-15 Initial'!$K29</f>
        <v>1613</v>
      </c>
      <c r="V28" s="1515">
        <f t="shared" si="33"/>
        <v>0</v>
      </c>
      <c r="W28" s="1391"/>
      <c r="X28" s="1392">
        <f t="shared" si="45"/>
        <v>0</v>
      </c>
      <c r="Y28" s="1391"/>
      <c r="Z28" s="1392">
        <f t="shared" si="46"/>
        <v>0</v>
      </c>
      <c r="AA28" s="1390">
        <f t="shared" si="47"/>
        <v>0</v>
      </c>
      <c r="AB28" s="1515">
        <f t="shared" si="48"/>
        <v>0</v>
      </c>
      <c r="AC28" s="1394">
        <f t="shared" si="49"/>
        <v>0</v>
      </c>
      <c r="AD28" s="1515">
        <f t="shared" si="50"/>
        <v>0</v>
      </c>
      <c r="AE28" s="1392">
        <v>0</v>
      </c>
      <c r="AF28" s="1515">
        <f t="shared" si="51"/>
        <v>0</v>
      </c>
      <c r="AG28" s="1392"/>
      <c r="AH28" s="1392">
        <f t="shared" si="52"/>
        <v>0</v>
      </c>
      <c r="AI28" s="1515">
        <f t="shared" si="53"/>
        <v>0</v>
      </c>
      <c r="AJ28" s="1393">
        <f t="shared" si="34"/>
        <v>0</v>
      </c>
      <c r="AK28" s="1502">
        <f t="shared" si="35"/>
        <v>0</v>
      </c>
    </row>
    <row r="29" spans="1:37" ht="16.2" customHeight="1">
      <c r="A29" s="1176">
        <v>23</v>
      </c>
      <c r="B29" s="1177" t="s">
        <v>103</v>
      </c>
      <c r="C29" s="1178">
        <f>+'Table 8 Membership 2.1.14'!I25</f>
        <v>0</v>
      </c>
      <c r="D29" s="1179">
        <f>'Table 3 Levels 1&amp;2'!AL26</f>
        <v>5011.0215265979159</v>
      </c>
      <c r="E29" s="1180">
        <f t="shared" si="36"/>
        <v>0</v>
      </c>
      <c r="F29" s="1180">
        <f>'Table 3A Level 3'!C28</f>
        <v>688.58</v>
      </c>
      <c r="G29" s="1180">
        <f t="shared" si="37"/>
        <v>0</v>
      </c>
      <c r="H29" s="1539">
        <f t="shared" si="38"/>
        <v>0</v>
      </c>
      <c r="I29" s="1181"/>
      <c r="J29" s="1181"/>
      <c r="K29" s="1182">
        <f t="shared" si="39"/>
        <v>0</v>
      </c>
      <c r="L29" s="1539">
        <f t="shared" si="31"/>
        <v>0</v>
      </c>
      <c r="M29" s="1388">
        <f t="shared" si="40"/>
        <v>0</v>
      </c>
      <c r="N29" s="1539">
        <f t="shared" si="41"/>
        <v>0</v>
      </c>
      <c r="O29" s="1770">
        <v>0</v>
      </c>
      <c r="P29" s="1545">
        <f t="shared" si="32"/>
        <v>0</v>
      </c>
      <c r="Q29" s="1181"/>
      <c r="R29" s="1181">
        <f t="shared" si="42"/>
        <v>0</v>
      </c>
      <c r="S29" s="1545">
        <f t="shared" si="43"/>
        <v>0</v>
      </c>
      <c r="T29" s="1557">
        <f t="shared" si="44"/>
        <v>0</v>
      </c>
      <c r="U29" s="1389">
        <f>'[9]FY2014-15 Initial'!$K30</f>
        <v>3473</v>
      </c>
      <c r="V29" s="1515">
        <f t="shared" si="33"/>
        <v>0</v>
      </c>
      <c r="W29" s="1391"/>
      <c r="X29" s="1392">
        <f t="shared" si="45"/>
        <v>0</v>
      </c>
      <c r="Y29" s="1391"/>
      <c r="Z29" s="1392">
        <f t="shared" si="46"/>
        <v>0</v>
      </c>
      <c r="AA29" s="1390">
        <f t="shared" si="47"/>
        <v>0</v>
      </c>
      <c r="AB29" s="1515">
        <f t="shared" si="48"/>
        <v>0</v>
      </c>
      <c r="AC29" s="1394">
        <f t="shared" si="49"/>
        <v>0</v>
      </c>
      <c r="AD29" s="1515">
        <f t="shared" si="50"/>
        <v>0</v>
      </c>
      <c r="AE29" s="1392">
        <v>0</v>
      </c>
      <c r="AF29" s="1515">
        <f t="shared" si="51"/>
        <v>0</v>
      </c>
      <c r="AG29" s="1392"/>
      <c r="AH29" s="1392">
        <f t="shared" si="52"/>
        <v>0</v>
      </c>
      <c r="AI29" s="1515">
        <f t="shared" si="53"/>
        <v>0</v>
      </c>
      <c r="AJ29" s="1393">
        <f t="shared" si="34"/>
        <v>0</v>
      </c>
      <c r="AK29" s="1502">
        <f t="shared" si="35"/>
        <v>0</v>
      </c>
    </row>
    <row r="30" spans="1:37" ht="16.2" customHeight="1">
      <c r="A30" s="1176">
        <v>24</v>
      </c>
      <c r="B30" s="1177" t="s">
        <v>104</v>
      </c>
      <c r="C30" s="1178">
        <f>+'Table 8 Membership 2.1.14'!I26</f>
        <v>1</v>
      </c>
      <c r="D30" s="1179">
        <f>'Table 3 Levels 1&amp;2'!AL27</f>
        <v>2611.6740361576999</v>
      </c>
      <c r="E30" s="1180">
        <f t="shared" si="36"/>
        <v>2611.6740361576999</v>
      </c>
      <c r="F30" s="1180">
        <f>'Table 3A Level 3'!C29</f>
        <v>854.24999999999989</v>
      </c>
      <c r="G30" s="1180">
        <f t="shared" si="37"/>
        <v>854.24999999999989</v>
      </c>
      <c r="H30" s="1539">
        <f t="shared" si="38"/>
        <v>3465.9240361576999</v>
      </c>
      <c r="I30" s="1181"/>
      <c r="J30" s="1181"/>
      <c r="K30" s="1182">
        <f t="shared" si="39"/>
        <v>0</v>
      </c>
      <c r="L30" s="1539">
        <f t="shared" si="31"/>
        <v>3465.9240361576999</v>
      </c>
      <c r="M30" s="1388">
        <f t="shared" si="40"/>
        <v>-8.6648100903942495</v>
      </c>
      <c r="N30" s="1539">
        <f t="shared" si="41"/>
        <v>3457.2592260673055</v>
      </c>
      <c r="O30" s="1770">
        <v>0</v>
      </c>
      <c r="P30" s="1545">
        <f t="shared" si="32"/>
        <v>3457.2592260673055</v>
      </c>
      <c r="Q30" s="1181"/>
      <c r="R30" s="1181">
        <f t="shared" si="42"/>
        <v>3457.2592260673055</v>
      </c>
      <c r="S30" s="1545">
        <f t="shared" si="43"/>
        <v>288</v>
      </c>
      <c r="T30" s="1557">
        <f t="shared" si="44"/>
        <v>3457.2592260673055</v>
      </c>
      <c r="U30" s="1389">
        <f>'[9]FY2014-15 Initial'!$K31</f>
        <v>10053</v>
      </c>
      <c r="V30" s="1515">
        <f t="shared" si="33"/>
        <v>10053</v>
      </c>
      <c r="W30" s="1391"/>
      <c r="X30" s="1392">
        <f t="shared" si="45"/>
        <v>0</v>
      </c>
      <c r="Y30" s="1391"/>
      <c r="Z30" s="1392">
        <f t="shared" si="46"/>
        <v>0</v>
      </c>
      <c r="AA30" s="1390">
        <f t="shared" si="47"/>
        <v>0</v>
      </c>
      <c r="AB30" s="1515">
        <f t="shared" si="48"/>
        <v>10053</v>
      </c>
      <c r="AC30" s="1394">
        <f t="shared" si="49"/>
        <v>-25.1325</v>
      </c>
      <c r="AD30" s="1515">
        <f t="shared" si="50"/>
        <v>10027.8675</v>
      </c>
      <c r="AE30" s="1392">
        <v>0</v>
      </c>
      <c r="AF30" s="1515">
        <f t="shared" si="51"/>
        <v>10027.8675</v>
      </c>
      <c r="AG30" s="1392"/>
      <c r="AH30" s="1392">
        <f t="shared" si="52"/>
        <v>10027.8675</v>
      </c>
      <c r="AI30" s="1515">
        <f t="shared" si="53"/>
        <v>836</v>
      </c>
      <c r="AJ30" s="1393">
        <f t="shared" si="34"/>
        <v>13485.126726067305</v>
      </c>
      <c r="AK30" s="1502">
        <f t="shared" si="35"/>
        <v>1124</v>
      </c>
    </row>
    <row r="31" spans="1:37" ht="16.2" customHeight="1">
      <c r="A31" s="1168">
        <v>25</v>
      </c>
      <c r="B31" s="1169" t="s">
        <v>105</v>
      </c>
      <c r="C31" s="1170">
        <f>+'Table 8 Membership 2.1.14'!I27</f>
        <v>0</v>
      </c>
      <c r="D31" s="1171">
        <f>'Table 3 Levels 1&amp;2'!AL28</f>
        <v>4173.0720274945697</v>
      </c>
      <c r="E31" s="1172">
        <f t="shared" si="36"/>
        <v>0</v>
      </c>
      <c r="F31" s="1172">
        <f>'Table 3A Level 3'!C30</f>
        <v>653.73</v>
      </c>
      <c r="G31" s="1172">
        <f t="shared" si="37"/>
        <v>0</v>
      </c>
      <c r="H31" s="1540">
        <f t="shared" si="38"/>
        <v>0</v>
      </c>
      <c r="I31" s="1173"/>
      <c r="J31" s="1173"/>
      <c r="K31" s="1174">
        <f t="shared" si="39"/>
        <v>0</v>
      </c>
      <c r="L31" s="1540">
        <f t="shared" si="31"/>
        <v>0</v>
      </c>
      <c r="M31" s="1399">
        <f t="shared" si="40"/>
        <v>0</v>
      </c>
      <c r="N31" s="1540">
        <f t="shared" si="41"/>
        <v>0</v>
      </c>
      <c r="O31" s="1771">
        <v>0</v>
      </c>
      <c r="P31" s="1546">
        <f t="shared" si="32"/>
        <v>0</v>
      </c>
      <c r="Q31" s="1175"/>
      <c r="R31" s="1173">
        <f t="shared" si="42"/>
        <v>0</v>
      </c>
      <c r="S31" s="1550">
        <f t="shared" si="43"/>
        <v>0</v>
      </c>
      <c r="T31" s="1550">
        <f t="shared" si="44"/>
        <v>0</v>
      </c>
      <c r="U31" s="1382">
        <f>'[9]FY2014-15 Initial'!$K32</f>
        <v>5073</v>
      </c>
      <c r="V31" s="1516">
        <f t="shared" si="33"/>
        <v>0</v>
      </c>
      <c r="W31" s="1400"/>
      <c r="X31" s="1383">
        <f t="shared" si="45"/>
        <v>0</v>
      </c>
      <c r="Y31" s="1400"/>
      <c r="Z31" s="1383">
        <f t="shared" si="46"/>
        <v>0</v>
      </c>
      <c r="AA31" s="1384">
        <f t="shared" si="47"/>
        <v>0</v>
      </c>
      <c r="AB31" s="1516">
        <f t="shared" si="48"/>
        <v>0</v>
      </c>
      <c r="AC31" s="1402">
        <f t="shared" si="49"/>
        <v>0</v>
      </c>
      <c r="AD31" s="1516">
        <f t="shared" si="50"/>
        <v>0</v>
      </c>
      <c r="AE31" s="1383">
        <v>0</v>
      </c>
      <c r="AF31" s="1516">
        <f t="shared" si="51"/>
        <v>0</v>
      </c>
      <c r="AG31" s="1383"/>
      <c r="AH31" s="1383">
        <f t="shared" si="52"/>
        <v>0</v>
      </c>
      <c r="AI31" s="1516">
        <f t="shared" si="53"/>
        <v>0</v>
      </c>
      <c r="AJ31" s="1401">
        <f t="shared" si="34"/>
        <v>0</v>
      </c>
      <c r="AK31" s="1503">
        <f t="shared" si="35"/>
        <v>0</v>
      </c>
    </row>
    <row r="32" spans="1:37" ht="16.2" customHeight="1">
      <c r="A32" s="1183">
        <v>26</v>
      </c>
      <c r="B32" s="1184" t="s">
        <v>106</v>
      </c>
      <c r="C32" s="1185">
        <f>+'Table 8 Membership 2.1.14'!I28</f>
        <v>0</v>
      </c>
      <c r="D32" s="1186">
        <f>'Table 3 Levels 1&amp;2'!AL29</f>
        <v>3424.5649970570835</v>
      </c>
      <c r="E32" s="1187">
        <f t="shared" si="36"/>
        <v>0</v>
      </c>
      <c r="F32" s="1187">
        <f>'Table 3A Level 3'!C31</f>
        <v>836.83</v>
      </c>
      <c r="G32" s="1187">
        <f t="shared" si="37"/>
        <v>0</v>
      </c>
      <c r="H32" s="1538">
        <f t="shared" si="38"/>
        <v>0</v>
      </c>
      <c r="I32" s="1188"/>
      <c r="J32" s="1188"/>
      <c r="K32" s="1189">
        <f t="shared" si="39"/>
        <v>0</v>
      </c>
      <c r="L32" s="1538">
        <f t="shared" si="31"/>
        <v>0</v>
      </c>
      <c r="M32" s="1372">
        <f t="shared" si="40"/>
        <v>0</v>
      </c>
      <c r="N32" s="1538">
        <f t="shared" si="41"/>
        <v>0</v>
      </c>
      <c r="O32" s="1769">
        <v>0</v>
      </c>
      <c r="P32" s="1544">
        <f t="shared" si="32"/>
        <v>0</v>
      </c>
      <c r="Q32" s="1188"/>
      <c r="R32" s="1188">
        <f t="shared" si="42"/>
        <v>0</v>
      </c>
      <c r="S32" s="1544">
        <f t="shared" si="43"/>
        <v>0</v>
      </c>
      <c r="T32" s="1556">
        <f t="shared" si="44"/>
        <v>0</v>
      </c>
      <c r="U32" s="1373">
        <f>'[9]FY2014-15 Initial'!$K33</f>
        <v>5260</v>
      </c>
      <c r="V32" s="1514">
        <f t="shared" si="33"/>
        <v>0</v>
      </c>
      <c r="W32" s="1375"/>
      <c r="X32" s="1376">
        <f t="shared" si="45"/>
        <v>0</v>
      </c>
      <c r="Y32" s="1375"/>
      <c r="Z32" s="1376">
        <f t="shared" si="46"/>
        <v>0</v>
      </c>
      <c r="AA32" s="1374">
        <f t="shared" si="47"/>
        <v>0</v>
      </c>
      <c r="AB32" s="1514">
        <f t="shared" si="48"/>
        <v>0</v>
      </c>
      <c r="AC32" s="1378">
        <f t="shared" si="49"/>
        <v>0</v>
      </c>
      <c r="AD32" s="1514">
        <f t="shared" si="50"/>
        <v>0</v>
      </c>
      <c r="AE32" s="1376">
        <v>0</v>
      </c>
      <c r="AF32" s="1514">
        <f t="shared" si="51"/>
        <v>0</v>
      </c>
      <c r="AG32" s="1376"/>
      <c r="AH32" s="1376">
        <f t="shared" si="52"/>
        <v>0</v>
      </c>
      <c r="AI32" s="1514">
        <f t="shared" si="53"/>
        <v>0</v>
      </c>
      <c r="AJ32" s="1377">
        <f t="shared" si="34"/>
        <v>0</v>
      </c>
      <c r="AK32" s="1501">
        <f t="shared" si="35"/>
        <v>0</v>
      </c>
    </row>
    <row r="33" spans="1:37" ht="16.2" customHeight="1">
      <c r="A33" s="1176">
        <v>27</v>
      </c>
      <c r="B33" s="1177" t="s">
        <v>107</v>
      </c>
      <c r="C33" s="1178">
        <f>+'Table 8 Membership 2.1.14'!I29</f>
        <v>0</v>
      </c>
      <c r="D33" s="1179">
        <f>'Table 3 Levels 1&amp;2'!AL30</f>
        <v>5804.9013839977006</v>
      </c>
      <c r="E33" s="1180">
        <f t="shared" si="36"/>
        <v>0</v>
      </c>
      <c r="F33" s="1180">
        <f>'Table 3A Level 3'!C32</f>
        <v>693.06</v>
      </c>
      <c r="G33" s="1180">
        <f t="shared" si="37"/>
        <v>0</v>
      </c>
      <c r="H33" s="1539">
        <f t="shared" si="38"/>
        <v>0</v>
      </c>
      <c r="I33" s="1181"/>
      <c r="J33" s="1181"/>
      <c r="K33" s="1182">
        <f t="shared" si="39"/>
        <v>0</v>
      </c>
      <c r="L33" s="1539">
        <f t="shared" si="31"/>
        <v>0</v>
      </c>
      <c r="M33" s="1388">
        <f t="shared" si="40"/>
        <v>0</v>
      </c>
      <c r="N33" s="1539">
        <f t="shared" si="41"/>
        <v>0</v>
      </c>
      <c r="O33" s="1770">
        <v>0</v>
      </c>
      <c r="P33" s="1545">
        <f t="shared" si="32"/>
        <v>0</v>
      </c>
      <c r="Q33" s="1181"/>
      <c r="R33" s="1181">
        <f t="shared" si="42"/>
        <v>0</v>
      </c>
      <c r="S33" s="1545">
        <f t="shared" si="43"/>
        <v>0</v>
      </c>
      <c r="T33" s="1557">
        <f t="shared" si="44"/>
        <v>0</v>
      </c>
      <c r="U33" s="1389">
        <f>'[9]FY2014-15 Initial'!$K34</f>
        <v>3169</v>
      </c>
      <c r="V33" s="1515">
        <f t="shared" si="33"/>
        <v>0</v>
      </c>
      <c r="W33" s="1391"/>
      <c r="X33" s="1392">
        <f t="shared" si="45"/>
        <v>0</v>
      </c>
      <c r="Y33" s="1391"/>
      <c r="Z33" s="1392">
        <f t="shared" si="46"/>
        <v>0</v>
      </c>
      <c r="AA33" s="1390">
        <f t="shared" si="47"/>
        <v>0</v>
      </c>
      <c r="AB33" s="1515">
        <f t="shared" si="48"/>
        <v>0</v>
      </c>
      <c r="AC33" s="1394">
        <f t="shared" si="49"/>
        <v>0</v>
      </c>
      <c r="AD33" s="1515">
        <f t="shared" si="50"/>
        <v>0</v>
      </c>
      <c r="AE33" s="1392">
        <v>0</v>
      </c>
      <c r="AF33" s="1515">
        <f t="shared" si="51"/>
        <v>0</v>
      </c>
      <c r="AG33" s="1392"/>
      <c r="AH33" s="1392">
        <f t="shared" si="52"/>
        <v>0</v>
      </c>
      <c r="AI33" s="1515">
        <f t="shared" si="53"/>
        <v>0</v>
      </c>
      <c r="AJ33" s="1393">
        <f t="shared" si="34"/>
        <v>0</v>
      </c>
      <c r="AK33" s="1502">
        <f t="shared" si="35"/>
        <v>0</v>
      </c>
    </row>
    <row r="34" spans="1:37" ht="16.2" customHeight="1">
      <c r="A34" s="1176">
        <v>28</v>
      </c>
      <c r="B34" s="1177" t="s">
        <v>108</v>
      </c>
      <c r="C34" s="1178">
        <f>+'Table 8 Membership 2.1.14'!I30</f>
        <v>0</v>
      </c>
      <c r="D34" s="1179">
        <f>'Table 3 Levels 1&amp;2'!AL31</f>
        <v>3137.4158846568821</v>
      </c>
      <c r="E34" s="1180">
        <f t="shared" si="36"/>
        <v>0</v>
      </c>
      <c r="F34" s="1180">
        <f>'Table 3A Level 3'!C33</f>
        <v>694.4</v>
      </c>
      <c r="G34" s="1180">
        <f t="shared" si="37"/>
        <v>0</v>
      </c>
      <c r="H34" s="1539">
        <f t="shared" si="38"/>
        <v>0</v>
      </c>
      <c r="I34" s="1181"/>
      <c r="J34" s="1181"/>
      <c r="K34" s="1182">
        <f t="shared" si="39"/>
        <v>0</v>
      </c>
      <c r="L34" s="1539">
        <f t="shared" si="31"/>
        <v>0</v>
      </c>
      <c r="M34" s="1388">
        <f t="shared" si="40"/>
        <v>0</v>
      </c>
      <c r="N34" s="1539">
        <f t="shared" si="41"/>
        <v>0</v>
      </c>
      <c r="O34" s="1770">
        <v>0</v>
      </c>
      <c r="P34" s="1545">
        <f t="shared" si="32"/>
        <v>0</v>
      </c>
      <c r="Q34" s="1181"/>
      <c r="R34" s="1181">
        <f t="shared" si="42"/>
        <v>0</v>
      </c>
      <c r="S34" s="1545">
        <f t="shared" si="43"/>
        <v>0</v>
      </c>
      <c r="T34" s="1557">
        <f t="shared" si="44"/>
        <v>0</v>
      </c>
      <c r="U34" s="1389">
        <f>'[9]FY2014-15 Initial'!$K35</f>
        <v>5790</v>
      </c>
      <c r="V34" s="1515">
        <f t="shared" si="33"/>
        <v>0</v>
      </c>
      <c r="W34" s="1391"/>
      <c r="X34" s="1392">
        <f t="shared" si="45"/>
        <v>0</v>
      </c>
      <c r="Y34" s="1391"/>
      <c r="Z34" s="1392">
        <f t="shared" si="46"/>
        <v>0</v>
      </c>
      <c r="AA34" s="1390">
        <f t="shared" si="47"/>
        <v>0</v>
      </c>
      <c r="AB34" s="1515">
        <f t="shared" si="48"/>
        <v>0</v>
      </c>
      <c r="AC34" s="1394">
        <f t="shared" si="49"/>
        <v>0</v>
      </c>
      <c r="AD34" s="1515">
        <f t="shared" si="50"/>
        <v>0</v>
      </c>
      <c r="AE34" s="1392">
        <v>0</v>
      </c>
      <c r="AF34" s="1515">
        <f t="shared" si="51"/>
        <v>0</v>
      </c>
      <c r="AG34" s="1392"/>
      <c r="AH34" s="1392">
        <f t="shared" si="52"/>
        <v>0</v>
      </c>
      <c r="AI34" s="1515">
        <f t="shared" si="53"/>
        <v>0</v>
      </c>
      <c r="AJ34" s="1393">
        <f t="shared" si="34"/>
        <v>0</v>
      </c>
      <c r="AK34" s="1502">
        <f t="shared" si="35"/>
        <v>0</v>
      </c>
    </row>
    <row r="35" spans="1:37" ht="16.2" customHeight="1">
      <c r="A35" s="1176">
        <v>29</v>
      </c>
      <c r="B35" s="1177" t="s">
        <v>109</v>
      </c>
      <c r="C35" s="1178">
        <f>+'Table 8 Membership 2.1.14'!I31</f>
        <v>0</v>
      </c>
      <c r="D35" s="1179">
        <f>'Table 3 Levels 1&amp;2'!AL32</f>
        <v>3839.0123210173724</v>
      </c>
      <c r="E35" s="1180">
        <f t="shared" si="36"/>
        <v>0</v>
      </c>
      <c r="F35" s="1180">
        <f>'Table 3A Level 3'!C34</f>
        <v>754.94999999999993</v>
      </c>
      <c r="G35" s="1180">
        <f t="shared" si="37"/>
        <v>0</v>
      </c>
      <c r="H35" s="1539">
        <f t="shared" si="38"/>
        <v>0</v>
      </c>
      <c r="I35" s="1181"/>
      <c r="J35" s="1181"/>
      <c r="K35" s="1182">
        <f t="shared" si="39"/>
        <v>0</v>
      </c>
      <c r="L35" s="1539">
        <f t="shared" si="31"/>
        <v>0</v>
      </c>
      <c r="M35" s="1388">
        <f t="shared" si="40"/>
        <v>0</v>
      </c>
      <c r="N35" s="1539">
        <f t="shared" si="41"/>
        <v>0</v>
      </c>
      <c r="O35" s="1770">
        <v>0</v>
      </c>
      <c r="P35" s="1545">
        <f t="shared" si="32"/>
        <v>0</v>
      </c>
      <c r="Q35" s="1181"/>
      <c r="R35" s="1181">
        <f t="shared" si="42"/>
        <v>0</v>
      </c>
      <c r="S35" s="1545">
        <f t="shared" si="43"/>
        <v>0</v>
      </c>
      <c r="T35" s="1557">
        <f t="shared" si="44"/>
        <v>0</v>
      </c>
      <c r="U35" s="1389">
        <f>'[9]FY2014-15 Initial'!$K36</f>
        <v>5069</v>
      </c>
      <c r="V35" s="1515">
        <f t="shared" si="33"/>
        <v>0</v>
      </c>
      <c r="W35" s="1391"/>
      <c r="X35" s="1392">
        <f t="shared" si="45"/>
        <v>0</v>
      </c>
      <c r="Y35" s="1391"/>
      <c r="Z35" s="1392">
        <f t="shared" si="46"/>
        <v>0</v>
      </c>
      <c r="AA35" s="1390">
        <f t="shared" si="47"/>
        <v>0</v>
      </c>
      <c r="AB35" s="1515">
        <f t="shared" si="48"/>
        <v>0</v>
      </c>
      <c r="AC35" s="1394">
        <f t="shared" si="49"/>
        <v>0</v>
      </c>
      <c r="AD35" s="1515">
        <f t="shared" si="50"/>
        <v>0</v>
      </c>
      <c r="AE35" s="1392">
        <v>0</v>
      </c>
      <c r="AF35" s="1515">
        <f t="shared" si="51"/>
        <v>0</v>
      </c>
      <c r="AG35" s="1392"/>
      <c r="AH35" s="1392">
        <f t="shared" si="52"/>
        <v>0</v>
      </c>
      <c r="AI35" s="1515">
        <f t="shared" si="53"/>
        <v>0</v>
      </c>
      <c r="AJ35" s="1393">
        <f t="shared" si="34"/>
        <v>0</v>
      </c>
      <c r="AK35" s="1502">
        <f t="shared" si="35"/>
        <v>0</v>
      </c>
    </row>
    <row r="36" spans="1:37" ht="16.2" customHeight="1">
      <c r="A36" s="1168">
        <v>30</v>
      </c>
      <c r="B36" s="1169" t="s">
        <v>110</v>
      </c>
      <c r="C36" s="1170">
        <f>+'Table 8 Membership 2.1.14'!I32</f>
        <v>0</v>
      </c>
      <c r="D36" s="1171">
        <f>'Table 3 Levels 1&amp;2'!AL33</f>
        <v>5804.5327273996763</v>
      </c>
      <c r="E36" s="1172">
        <f t="shared" si="36"/>
        <v>0</v>
      </c>
      <c r="F36" s="1172">
        <f>'Table 3A Level 3'!C35</f>
        <v>727.17</v>
      </c>
      <c r="G36" s="1172">
        <f t="shared" si="37"/>
        <v>0</v>
      </c>
      <c r="H36" s="1540">
        <f t="shared" si="38"/>
        <v>0</v>
      </c>
      <c r="I36" s="1173"/>
      <c r="J36" s="1173"/>
      <c r="K36" s="1174">
        <f t="shared" si="39"/>
        <v>0</v>
      </c>
      <c r="L36" s="1540">
        <f t="shared" si="31"/>
        <v>0</v>
      </c>
      <c r="M36" s="1399">
        <f t="shared" si="40"/>
        <v>0</v>
      </c>
      <c r="N36" s="1540">
        <f t="shared" si="41"/>
        <v>0</v>
      </c>
      <c r="O36" s="1771">
        <v>0</v>
      </c>
      <c r="P36" s="1546">
        <f t="shared" si="32"/>
        <v>0</v>
      </c>
      <c r="Q36" s="1175"/>
      <c r="R36" s="1173">
        <f t="shared" si="42"/>
        <v>0</v>
      </c>
      <c r="S36" s="1550">
        <f t="shared" si="43"/>
        <v>0</v>
      </c>
      <c r="T36" s="1550">
        <f t="shared" si="44"/>
        <v>0</v>
      </c>
      <c r="U36" s="1382">
        <f>'[9]FY2014-15 Initial'!$K37</f>
        <v>3609</v>
      </c>
      <c r="V36" s="1516">
        <f t="shared" si="33"/>
        <v>0</v>
      </c>
      <c r="W36" s="1400"/>
      <c r="X36" s="1383">
        <f t="shared" si="45"/>
        <v>0</v>
      </c>
      <c r="Y36" s="1400"/>
      <c r="Z36" s="1383">
        <f t="shared" si="46"/>
        <v>0</v>
      </c>
      <c r="AA36" s="1384">
        <f t="shared" si="47"/>
        <v>0</v>
      </c>
      <c r="AB36" s="1516">
        <f t="shared" si="48"/>
        <v>0</v>
      </c>
      <c r="AC36" s="1402">
        <f t="shared" si="49"/>
        <v>0</v>
      </c>
      <c r="AD36" s="1516">
        <f t="shared" si="50"/>
        <v>0</v>
      </c>
      <c r="AE36" s="1383">
        <v>0</v>
      </c>
      <c r="AF36" s="1516">
        <f t="shared" si="51"/>
        <v>0</v>
      </c>
      <c r="AG36" s="1383"/>
      <c r="AH36" s="1383">
        <f t="shared" si="52"/>
        <v>0</v>
      </c>
      <c r="AI36" s="1516">
        <f t="shared" si="53"/>
        <v>0</v>
      </c>
      <c r="AJ36" s="1401">
        <f t="shared" si="34"/>
        <v>0</v>
      </c>
      <c r="AK36" s="1503">
        <f t="shared" si="35"/>
        <v>0</v>
      </c>
    </row>
    <row r="37" spans="1:37" ht="16.2" customHeight="1">
      <c r="A37" s="1183">
        <v>31</v>
      </c>
      <c r="B37" s="1184" t="s">
        <v>111</v>
      </c>
      <c r="C37" s="1185">
        <f>+'Table 8 Membership 2.1.14'!I33</f>
        <v>0</v>
      </c>
      <c r="D37" s="1186">
        <f>'Table 3 Levels 1&amp;2'!AL34</f>
        <v>4520.6176716868531</v>
      </c>
      <c r="E37" s="1187">
        <f t="shared" si="36"/>
        <v>0</v>
      </c>
      <c r="F37" s="1187">
        <f>'Table 3A Level 3'!C36</f>
        <v>620.83000000000004</v>
      </c>
      <c r="G37" s="1187">
        <f t="shared" si="37"/>
        <v>0</v>
      </c>
      <c r="H37" s="1538">
        <f t="shared" si="38"/>
        <v>0</v>
      </c>
      <c r="I37" s="1188"/>
      <c r="J37" s="1188"/>
      <c r="K37" s="1189">
        <f t="shared" si="39"/>
        <v>0</v>
      </c>
      <c r="L37" s="1538">
        <f t="shared" si="31"/>
        <v>0</v>
      </c>
      <c r="M37" s="1372">
        <f t="shared" si="40"/>
        <v>0</v>
      </c>
      <c r="N37" s="1538">
        <f t="shared" si="41"/>
        <v>0</v>
      </c>
      <c r="O37" s="1769">
        <v>0</v>
      </c>
      <c r="P37" s="1544">
        <f t="shared" si="32"/>
        <v>0</v>
      </c>
      <c r="Q37" s="1188"/>
      <c r="R37" s="1188">
        <f t="shared" si="42"/>
        <v>0</v>
      </c>
      <c r="S37" s="1544">
        <f t="shared" si="43"/>
        <v>0</v>
      </c>
      <c r="T37" s="1556">
        <f t="shared" si="44"/>
        <v>0</v>
      </c>
      <c r="U37" s="1373">
        <f>'[9]FY2014-15 Initial'!$K38</f>
        <v>5043</v>
      </c>
      <c r="V37" s="1514">
        <f t="shared" si="33"/>
        <v>0</v>
      </c>
      <c r="W37" s="1375"/>
      <c r="X37" s="1376">
        <f t="shared" si="45"/>
        <v>0</v>
      </c>
      <c r="Y37" s="1375"/>
      <c r="Z37" s="1376">
        <f t="shared" si="46"/>
        <v>0</v>
      </c>
      <c r="AA37" s="1374">
        <f t="shared" si="47"/>
        <v>0</v>
      </c>
      <c r="AB37" s="1514">
        <f t="shared" si="48"/>
        <v>0</v>
      </c>
      <c r="AC37" s="1378">
        <f t="shared" si="49"/>
        <v>0</v>
      </c>
      <c r="AD37" s="1514">
        <f t="shared" si="50"/>
        <v>0</v>
      </c>
      <c r="AE37" s="1376">
        <v>0</v>
      </c>
      <c r="AF37" s="1514">
        <f t="shared" si="51"/>
        <v>0</v>
      </c>
      <c r="AG37" s="1376"/>
      <c r="AH37" s="1376">
        <f t="shared" si="52"/>
        <v>0</v>
      </c>
      <c r="AI37" s="1514">
        <f t="shared" si="53"/>
        <v>0</v>
      </c>
      <c r="AJ37" s="1377">
        <f t="shared" si="34"/>
        <v>0</v>
      </c>
      <c r="AK37" s="1501">
        <f t="shared" si="35"/>
        <v>0</v>
      </c>
    </row>
    <row r="38" spans="1:37" ht="16.2" customHeight="1">
      <c r="A38" s="1176">
        <v>32</v>
      </c>
      <c r="B38" s="1177" t="s">
        <v>112</v>
      </c>
      <c r="C38" s="1178">
        <f>+'Table 8 Membership 2.1.14'!I34</f>
        <v>0</v>
      </c>
      <c r="D38" s="1179">
        <f>'Table 3 Levels 1&amp;2'!AL35</f>
        <v>5652.819189061127</v>
      </c>
      <c r="E38" s="1180">
        <f t="shared" si="36"/>
        <v>0</v>
      </c>
      <c r="F38" s="1180">
        <f>'Table 3A Level 3'!C37</f>
        <v>559.77</v>
      </c>
      <c r="G38" s="1180">
        <f t="shared" si="37"/>
        <v>0</v>
      </c>
      <c r="H38" s="1539">
        <f t="shared" si="38"/>
        <v>0</v>
      </c>
      <c r="I38" s="1181"/>
      <c r="J38" s="1181"/>
      <c r="K38" s="1182">
        <f t="shared" si="39"/>
        <v>0</v>
      </c>
      <c r="L38" s="1539">
        <f t="shared" si="31"/>
        <v>0</v>
      </c>
      <c r="M38" s="1388">
        <f t="shared" si="40"/>
        <v>0</v>
      </c>
      <c r="N38" s="1539">
        <f t="shared" si="41"/>
        <v>0</v>
      </c>
      <c r="O38" s="1770">
        <v>0</v>
      </c>
      <c r="P38" s="1545">
        <f t="shared" si="32"/>
        <v>0</v>
      </c>
      <c r="Q38" s="1181"/>
      <c r="R38" s="1181">
        <f t="shared" si="42"/>
        <v>0</v>
      </c>
      <c r="S38" s="1545">
        <f t="shared" si="43"/>
        <v>0</v>
      </c>
      <c r="T38" s="1557">
        <f t="shared" si="44"/>
        <v>0</v>
      </c>
      <c r="U38" s="1389">
        <f>'[9]FY2014-15 Initial'!$K39</f>
        <v>2121</v>
      </c>
      <c r="V38" s="1515">
        <f t="shared" si="33"/>
        <v>0</v>
      </c>
      <c r="W38" s="1391"/>
      <c r="X38" s="1392">
        <f t="shared" si="45"/>
        <v>0</v>
      </c>
      <c r="Y38" s="1391"/>
      <c r="Z38" s="1392">
        <f t="shared" si="46"/>
        <v>0</v>
      </c>
      <c r="AA38" s="1390">
        <f t="shared" si="47"/>
        <v>0</v>
      </c>
      <c r="AB38" s="1515">
        <f t="shared" si="48"/>
        <v>0</v>
      </c>
      <c r="AC38" s="1394">
        <f t="shared" si="49"/>
        <v>0</v>
      </c>
      <c r="AD38" s="1515">
        <f t="shared" si="50"/>
        <v>0</v>
      </c>
      <c r="AE38" s="1392">
        <v>0</v>
      </c>
      <c r="AF38" s="1515">
        <f t="shared" si="51"/>
        <v>0</v>
      </c>
      <c r="AG38" s="1392"/>
      <c r="AH38" s="1392">
        <f t="shared" si="52"/>
        <v>0</v>
      </c>
      <c r="AI38" s="1515">
        <f t="shared" si="53"/>
        <v>0</v>
      </c>
      <c r="AJ38" s="1393">
        <f t="shared" si="34"/>
        <v>0</v>
      </c>
      <c r="AK38" s="1502">
        <f t="shared" si="35"/>
        <v>0</v>
      </c>
    </row>
    <row r="39" spans="1:37" ht="16.2" customHeight="1">
      <c r="A39" s="1176">
        <v>33</v>
      </c>
      <c r="B39" s="1177" t="s">
        <v>113</v>
      </c>
      <c r="C39" s="1178">
        <f>+'Table 8 Membership 2.1.14'!I35</f>
        <v>0</v>
      </c>
      <c r="D39" s="1179">
        <f>'Table 3 Levels 1&amp;2'!AL36</f>
        <v>5456.2254558085233</v>
      </c>
      <c r="E39" s="1180">
        <f t="shared" si="36"/>
        <v>0</v>
      </c>
      <c r="F39" s="1180">
        <f>'Table 3A Level 3'!C38</f>
        <v>655.31000000000006</v>
      </c>
      <c r="G39" s="1180">
        <f t="shared" si="37"/>
        <v>0</v>
      </c>
      <c r="H39" s="1539">
        <f t="shared" si="38"/>
        <v>0</v>
      </c>
      <c r="I39" s="1181"/>
      <c r="J39" s="1181"/>
      <c r="K39" s="1182">
        <f t="shared" si="39"/>
        <v>0</v>
      </c>
      <c r="L39" s="1539">
        <f t="shared" ref="L39:L70" si="54">K39+H39</f>
        <v>0</v>
      </c>
      <c r="M39" s="1388">
        <f t="shared" si="40"/>
        <v>0</v>
      </c>
      <c r="N39" s="1539">
        <f t="shared" si="41"/>
        <v>0</v>
      </c>
      <c r="O39" s="1770">
        <v>0</v>
      </c>
      <c r="P39" s="1545">
        <f t="shared" ref="P39:P70" si="55">SUM(N39:O39)</f>
        <v>0</v>
      </c>
      <c r="Q39" s="1181"/>
      <c r="R39" s="1181">
        <f t="shared" si="42"/>
        <v>0</v>
      </c>
      <c r="S39" s="1545">
        <f t="shared" si="43"/>
        <v>0</v>
      </c>
      <c r="T39" s="1557">
        <f t="shared" si="44"/>
        <v>0</v>
      </c>
      <c r="U39" s="1389">
        <f>'[9]FY2014-15 Initial'!$K40</f>
        <v>3616</v>
      </c>
      <c r="V39" s="1515">
        <f t="shared" ref="V39:V70" si="56">C39*U39</f>
        <v>0</v>
      </c>
      <c r="W39" s="1391"/>
      <c r="X39" s="1392">
        <f t="shared" si="45"/>
        <v>0</v>
      </c>
      <c r="Y39" s="1391"/>
      <c r="Z39" s="1392">
        <f t="shared" si="46"/>
        <v>0</v>
      </c>
      <c r="AA39" s="1390">
        <f t="shared" si="47"/>
        <v>0</v>
      </c>
      <c r="AB39" s="1515">
        <f t="shared" si="48"/>
        <v>0</v>
      </c>
      <c r="AC39" s="1394">
        <f t="shared" si="49"/>
        <v>0</v>
      </c>
      <c r="AD39" s="1515">
        <f t="shared" si="50"/>
        <v>0</v>
      </c>
      <c r="AE39" s="1392">
        <v>0</v>
      </c>
      <c r="AF39" s="1515">
        <f t="shared" si="51"/>
        <v>0</v>
      </c>
      <c r="AG39" s="1392"/>
      <c r="AH39" s="1392">
        <f t="shared" si="52"/>
        <v>0</v>
      </c>
      <c r="AI39" s="1515">
        <f t="shared" si="53"/>
        <v>0</v>
      </c>
      <c r="AJ39" s="1393">
        <f t="shared" ref="AJ39:AJ75" si="57">P39+AF39</f>
        <v>0</v>
      </c>
      <c r="AK39" s="1502">
        <f t="shared" ref="AK39:AK75" si="58">S39+AI39</f>
        <v>0</v>
      </c>
    </row>
    <row r="40" spans="1:37" ht="16.2" customHeight="1">
      <c r="A40" s="1176">
        <v>34</v>
      </c>
      <c r="B40" s="1177" t="s">
        <v>114</v>
      </c>
      <c r="C40" s="1178">
        <f>+'Table 8 Membership 2.1.14'!I36</f>
        <v>0</v>
      </c>
      <c r="D40" s="1179">
        <f>'Table 3 Levels 1&amp;2'!AL37</f>
        <v>6292.0976842789005</v>
      </c>
      <c r="E40" s="1180">
        <f t="shared" si="36"/>
        <v>0</v>
      </c>
      <c r="F40" s="1180">
        <f>'Table 3A Level 3'!C39</f>
        <v>644.11000000000013</v>
      </c>
      <c r="G40" s="1180">
        <f t="shared" si="37"/>
        <v>0</v>
      </c>
      <c r="H40" s="1539">
        <f t="shared" si="38"/>
        <v>0</v>
      </c>
      <c r="I40" s="1181"/>
      <c r="J40" s="1181"/>
      <c r="K40" s="1182">
        <f t="shared" si="39"/>
        <v>0</v>
      </c>
      <c r="L40" s="1539">
        <f t="shared" si="54"/>
        <v>0</v>
      </c>
      <c r="M40" s="1388">
        <f t="shared" si="40"/>
        <v>0</v>
      </c>
      <c r="N40" s="1539">
        <f t="shared" si="41"/>
        <v>0</v>
      </c>
      <c r="O40" s="1770">
        <v>0</v>
      </c>
      <c r="P40" s="1545">
        <f t="shared" si="55"/>
        <v>0</v>
      </c>
      <c r="Q40" s="1181"/>
      <c r="R40" s="1181">
        <f t="shared" si="42"/>
        <v>0</v>
      </c>
      <c r="S40" s="1545">
        <f t="shared" si="43"/>
        <v>0</v>
      </c>
      <c r="T40" s="1557">
        <f t="shared" si="44"/>
        <v>0</v>
      </c>
      <c r="U40" s="1389">
        <f>'[9]FY2014-15 Initial'!$K41</f>
        <v>2721</v>
      </c>
      <c r="V40" s="1515">
        <f t="shared" si="56"/>
        <v>0</v>
      </c>
      <c r="W40" s="1391"/>
      <c r="X40" s="1392">
        <f t="shared" si="45"/>
        <v>0</v>
      </c>
      <c r="Y40" s="1391"/>
      <c r="Z40" s="1392">
        <f t="shared" si="46"/>
        <v>0</v>
      </c>
      <c r="AA40" s="1390">
        <f t="shared" si="47"/>
        <v>0</v>
      </c>
      <c r="AB40" s="1515">
        <f t="shared" si="48"/>
        <v>0</v>
      </c>
      <c r="AC40" s="1394">
        <f t="shared" si="49"/>
        <v>0</v>
      </c>
      <c r="AD40" s="1515">
        <f t="shared" si="50"/>
        <v>0</v>
      </c>
      <c r="AE40" s="1392">
        <v>0</v>
      </c>
      <c r="AF40" s="1515">
        <f t="shared" si="51"/>
        <v>0</v>
      </c>
      <c r="AG40" s="1392"/>
      <c r="AH40" s="1392">
        <f t="shared" si="52"/>
        <v>0</v>
      </c>
      <c r="AI40" s="1515">
        <f t="shared" si="53"/>
        <v>0</v>
      </c>
      <c r="AJ40" s="1393">
        <f t="shared" si="57"/>
        <v>0</v>
      </c>
      <c r="AK40" s="1502">
        <f t="shared" si="58"/>
        <v>0</v>
      </c>
    </row>
    <row r="41" spans="1:37" ht="16.2" customHeight="1">
      <c r="A41" s="1168">
        <v>35</v>
      </c>
      <c r="B41" s="1169" t="s">
        <v>115</v>
      </c>
      <c r="C41" s="1170">
        <f>+'Table 8 Membership 2.1.14'!I37</f>
        <v>0</v>
      </c>
      <c r="D41" s="1171">
        <f>'Table 3 Levels 1&amp;2'!AL38</f>
        <v>5166.2482060477605</v>
      </c>
      <c r="E41" s="1172">
        <f t="shared" si="36"/>
        <v>0</v>
      </c>
      <c r="F41" s="1172">
        <f>'Table 3A Level 3'!C40</f>
        <v>537.96</v>
      </c>
      <c r="G41" s="1172">
        <f t="shared" si="37"/>
        <v>0</v>
      </c>
      <c r="H41" s="1540">
        <f t="shared" si="38"/>
        <v>0</v>
      </c>
      <c r="I41" s="1173"/>
      <c r="J41" s="1173"/>
      <c r="K41" s="1174">
        <f t="shared" si="39"/>
        <v>0</v>
      </c>
      <c r="L41" s="1540">
        <f t="shared" si="54"/>
        <v>0</v>
      </c>
      <c r="M41" s="1399">
        <f t="shared" si="40"/>
        <v>0</v>
      </c>
      <c r="N41" s="1540">
        <f t="shared" si="41"/>
        <v>0</v>
      </c>
      <c r="O41" s="1771">
        <v>0</v>
      </c>
      <c r="P41" s="1546">
        <f t="shared" si="55"/>
        <v>0</v>
      </c>
      <c r="Q41" s="1175"/>
      <c r="R41" s="1173">
        <f t="shared" si="42"/>
        <v>0</v>
      </c>
      <c r="S41" s="1550">
        <f t="shared" si="43"/>
        <v>0</v>
      </c>
      <c r="T41" s="1550">
        <f t="shared" si="44"/>
        <v>0</v>
      </c>
      <c r="U41" s="1382">
        <f>'[9]FY2014-15 Initial'!$K42</f>
        <v>3255</v>
      </c>
      <c r="V41" s="1516">
        <f t="shared" si="56"/>
        <v>0</v>
      </c>
      <c r="W41" s="1400"/>
      <c r="X41" s="1383">
        <f t="shared" si="45"/>
        <v>0</v>
      </c>
      <c r="Y41" s="1400"/>
      <c r="Z41" s="1383">
        <f t="shared" si="46"/>
        <v>0</v>
      </c>
      <c r="AA41" s="1384">
        <f t="shared" si="47"/>
        <v>0</v>
      </c>
      <c r="AB41" s="1516">
        <f t="shared" si="48"/>
        <v>0</v>
      </c>
      <c r="AC41" s="1402">
        <f t="shared" si="49"/>
        <v>0</v>
      </c>
      <c r="AD41" s="1516">
        <f t="shared" si="50"/>
        <v>0</v>
      </c>
      <c r="AE41" s="1383">
        <v>0</v>
      </c>
      <c r="AF41" s="1516">
        <f t="shared" si="51"/>
        <v>0</v>
      </c>
      <c r="AG41" s="1383"/>
      <c r="AH41" s="1383">
        <f t="shared" si="52"/>
        <v>0</v>
      </c>
      <c r="AI41" s="1516">
        <f t="shared" si="53"/>
        <v>0</v>
      </c>
      <c r="AJ41" s="1401">
        <f t="shared" si="57"/>
        <v>0</v>
      </c>
      <c r="AK41" s="1503">
        <f t="shared" si="58"/>
        <v>0</v>
      </c>
    </row>
    <row r="42" spans="1:37" ht="16.2" customHeight="1">
      <c r="A42" s="1183">
        <v>36</v>
      </c>
      <c r="B42" s="1184" t="s">
        <v>116</v>
      </c>
      <c r="C42" s="1185">
        <f>+'Table 8 Membership 2.1.14'!I38</f>
        <v>0</v>
      </c>
      <c r="D42" s="1186">
        <f>'Table 3 Levels 1&amp;2'!AL39</f>
        <v>3602.7009974327857</v>
      </c>
      <c r="E42" s="1187">
        <f t="shared" si="36"/>
        <v>0</v>
      </c>
      <c r="F42" s="1187">
        <f>'Table 5B1_RSD_Orleans'!F80</f>
        <v>746.0335616438357</v>
      </c>
      <c r="G42" s="1187">
        <f t="shared" si="37"/>
        <v>0</v>
      </c>
      <c r="H42" s="1538">
        <f t="shared" si="38"/>
        <v>0</v>
      </c>
      <c r="I42" s="1188"/>
      <c r="J42" s="1188"/>
      <c r="K42" s="1189">
        <f t="shared" si="39"/>
        <v>0</v>
      </c>
      <c r="L42" s="1538">
        <f t="shared" si="54"/>
        <v>0</v>
      </c>
      <c r="M42" s="1372">
        <f t="shared" si="40"/>
        <v>0</v>
      </c>
      <c r="N42" s="1538">
        <f t="shared" si="41"/>
        <v>0</v>
      </c>
      <c r="O42" s="1769">
        <v>0</v>
      </c>
      <c r="P42" s="1544">
        <f t="shared" si="55"/>
        <v>0</v>
      </c>
      <c r="Q42" s="1188"/>
      <c r="R42" s="1188">
        <f t="shared" si="42"/>
        <v>0</v>
      </c>
      <c r="S42" s="1544">
        <f t="shared" si="43"/>
        <v>0</v>
      </c>
      <c r="T42" s="1556">
        <f t="shared" si="44"/>
        <v>0</v>
      </c>
      <c r="U42" s="1373">
        <f>'[9]FY2014-15 Initial'!$K43</f>
        <v>5435</v>
      </c>
      <c r="V42" s="1514">
        <f t="shared" si="56"/>
        <v>0</v>
      </c>
      <c r="W42" s="1375"/>
      <c r="X42" s="1376">
        <f t="shared" si="45"/>
        <v>0</v>
      </c>
      <c r="Y42" s="1375"/>
      <c r="Z42" s="1376">
        <f t="shared" si="46"/>
        <v>0</v>
      </c>
      <c r="AA42" s="1374">
        <f t="shared" si="47"/>
        <v>0</v>
      </c>
      <c r="AB42" s="1514">
        <f t="shared" si="48"/>
        <v>0</v>
      </c>
      <c r="AC42" s="1378">
        <f t="shared" si="49"/>
        <v>0</v>
      </c>
      <c r="AD42" s="1514">
        <f t="shared" si="50"/>
        <v>0</v>
      </c>
      <c r="AE42" s="1376">
        <v>0</v>
      </c>
      <c r="AF42" s="1514">
        <f t="shared" si="51"/>
        <v>0</v>
      </c>
      <c r="AG42" s="1376"/>
      <c r="AH42" s="1376">
        <f t="shared" si="52"/>
        <v>0</v>
      </c>
      <c r="AI42" s="1514">
        <f t="shared" si="53"/>
        <v>0</v>
      </c>
      <c r="AJ42" s="1377">
        <f t="shared" si="57"/>
        <v>0</v>
      </c>
      <c r="AK42" s="1501">
        <f t="shared" si="58"/>
        <v>0</v>
      </c>
    </row>
    <row r="43" spans="1:37" ht="16.2" customHeight="1">
      <c r="A43" s="1176">
        <v>37</v>
      </c>
      <c r="B43" s="1177" t="s">
        <v>117</v>
      </c>
      <c r="C43" s="1178">
        <f>+'Table 8 Membership 2.1.14'!I39</f>
        <v>0</v>
      </c>
      <c r="D43" s="1179">
        <f>'Table 3 Levels 1&amp;2'!AL40</f>
        <v>5665.3839260317691</v>
      </c>
      <c r="E43" s="1180">
        <f t="shared" si="36"/>
        <v>0</v>
      </c>
      <c r="F43" s="1180">
        <f>'Table 3A Level 3'!C42</f>
        <v>653.61</v>
      </c>
      <c r="G43" s="1180">
        <f t="shared" si="37"/>
        <v>0</v>
      </c>
      <c r="H43" s="1539">
        <f t="shared" si="38"/>
        <v>0</v>
      </c>
      <c r="I43" s="1181"/>
      <c r="J43" s="1181"/>
      <c r="K43" s="1182">
        <f t="shared" si="39"/>
        <v>0</v>
      </c>
      <c r="L43" s="1539">
        <f t="shared" si="54"/>
        <v>0</v>
      </c>
      <c r="M43" s="1388">
        <f t="shared" si="40"/>
        <v>0</v>
      </c>
      <c r="N43" s="1539">
        <f t="shared" si="41"/>
        <v>0</v>
      </c>
      <c r="O43" s="1770">
        <v>0</v>
      </c>
      <c r="P43" s="1545">
        <f t="shared" si="55"/>
        <v>0</v>
      </c>
      <c r="Q43" s="1181"/>
      <c r="R43" s="1181">
        <f t="shared" si="42"/>
        <v>0</v>
      </c>
      <c r="S43" s="1545">
        <f t="shared" si="43"/>
        <v>0</v>
      </c>
      <c r="T43" s="1557">
        <f t="shared" si="44"/>
        <v>0</v>
      </c>
      <c r="U43" s="1389">
        <f>'[9]FY2014-15 Initial'!$K44</f>
        <v>3520</v>
      </c>
      <c r="V43" s="1515">
        <f t="shared" si="56"/>
        <v>0</v>
      </c>
      <c r="W43" s="1391"/>
      <c r="X43" s="1392">
        <f t="shared" si="45"/>
        <v>0</v>
      </c>
      <c r="Y43" s="1391"/>
      <c r="Z43" s="1392">
        <f t="shared" si="46"/>
        <v>0</v>
      </c>
      <c r="AA43" s="1390">
        <f t="shared" si="47"/>
        <v>0</v>
      </c>
      <c r="AB43" s="1515">
        <f t="shared" si="48"/>
        <v>0</v>
      </c>
      <c r="AC43" s="1394">
        <f t="shared" si="49"/>
        <v>0</v>
      </c>
      <c r="AD43" s="1515">
        <f t="shared" si="50"/>
        <v>0</v>
      </c>
      <c r="AE43" s="1392">
        <v>0</v>
      </c>
      <c r="AF43" s="1515">
        <f t="shared" si="51"/>
        <v>0</v>
      </c>
      <c r="AG43" s="1392"/>
      <c r="AH43" s="1392">
        <f t="shared" si="52"/>
        <v>0</v>
      </c>
      <c r="AI43" s="1515">
        <f t="shared" si="53"/>
        <v>0</v>
      </c>
      <c r="AJ43" s="1393">
        <f t="shared" si="57"/>
        <v>0</v>
      </c>
      <c r="AK43" s="1502">
        <f t="shared" si="58"/>
        <v>0</v>
      </c>
    </row>
    <row r="44" spans="1:37" ht="16.2" customHeight="1">
      <c r="A44" s="1176">
        <v>38</v>
      </c>
      <c r="B44" s="1177" t="s">
        <v>118</v>
      </c>
      <c r="C44" s="1178">
        <f>+'Table 8 Membership 2.1.14'!I40</f>
        <v>0</v>
      </c>
      <c r="D44" s="1179">
        <f>'Table 3 Levels 1&amp;2'!AL41</f>
        <v>2088.8017552916881</v>
      </c>
      <c r="E44" s="1180">
        <f t="shared" si="36"/>
        <v>0</v>
      </c>
      <c r="F44" s="1180">
        <f>'Table 3A Level 3'!C43</f>
        <v>829.92000000000007</v>
      </c>
      <c r="G44" s="1180">
        <f t="shared" si="37"/>
        <v>0</v>
      </c>
      <c r="H44" s="1539">
        <f t="shared" si="38"/>
        <v>0</v>
      </c>
      <c r="I44" s="1181"/>
      <c r="J44" s="1181"/>
      <c r="K44" s="1182">
        <f t="shared" si="39"/>
        <v>0</v>
      </c>
      <c r="L44" s="1539">
        <f t="shared" si="54"/>
        <v>0</v>
      </c>
      <c r="M44" s="1388">
        <f t="shared" si="40"/>
        <v>0</v>
      </c>
      <c r="N44" s="1539">
        <f t="shared" si="41"/>
        <v>0</v>
      </c>
      <c r="O44" s="1770">
        <v>0</v>
      </c>
      <c r="P44" s="1545">
        <f t="shared" si="55"/>
        <v>0</v>
      </c>
      <c r="Q44" s="1181"/>
      <c r="R44" s="1181">
        <f t="shared" si="42"/>
        <v>0</v>
      </c>
      <c r="S44" s="1545">
        <f t="shared" si="43"/>
        <v>0</v>
      </c>
      <c r="T44" s="1557">
        <f t="shared" si="44"/>
        <v>0</v>
      </c>
      <c r="U44" s="1389">
        <f>'[9]FY2014-15 Initial'!$K45</f>
        <v>11379</v>
      </c>
      <c r="V44" s="1515">
        <f t="shared" si="56"/>
        <v>0</v>
      </c>
      <c r="W44" s="1391"/>
      <c r="X44" s="1392">
        <f t="shared" si="45"/>
        <v>0</v>
      </c>
      <c r="Y44" s="1391"/>
      <c r="Z44" s="1392">
        <f t="shared" si="46"/>
        <v>0</v>
      </c>
      <c r="AA44" s="1390">
        <f t="shared" si="47"/>
        <v>0</v>
      </c>
      <c r="AB44" s="1515">
        <f t="shared" si="48"/>
        <v>0</v>
      </c>
      <c r="AC44" s="1394">
        <f t="shared" si="49"/>
        <v>0</v>
      </c>
      <c r="AD44" s="1515">
        <f t="shared" si="50"/>
        <v>0</v>
      </c>
      <c r="AE44" s="1392">
        <v>0</v>
      </c>
      <c r="AF44" s="1515">
        <f t="shared" si="51"/>
        <v>0</v>
      </c>
      <c r="AG44" s="1392"/>
      <c r="AH44" s="1392">
        <f t="shared" si="52"/>
        <v>0</v>
      </c>
      <c r="AI44" s="1515">
        <f t="shared" si="53"/>
        <v>0</v>
      </c>
      <c r="AJ44" s="1393">
        <f t="shared" si="57"/>
        <v>0</v>
      </c>
      <c r="AK44" s="1502">
        <f t="shared" si="58"/>
        <v>0</v>
      </c>
    </row>
    <row r="45" spans="1:37" ht="16.2" customHeight="1">
      <c r="A45" s="1176">
        <v>39</v>
      </c>
      <c r="B45" s="1177" t="s">
        <v>119</v>
      </c>
      <c r="C45" s="1178">
        <f>+'Table 8 Membership 2.1.14'!I41</f>
        <v>0</v>
      </c>
      <c r="D45" s="1179">
        <f>'Table 3 Levels 1&amp;2'!AL42</f>
        <v>3656.9056809295676</v>
      </c>
      <c r="E45" s="1180">
        <f t="shared" si="36"/>
        <v>0</v>
      </c>
      <c r="F45" s="1180">
        <f>'Table 3A Level 3'!C44</f>
        <v>779.65573042776396</v>
      </c>
      <c r="G45" s="1180">
        <f t="shared" si="37"/>
        <v>0</v>
      </c>
      <c r="H45" s="1539">
        <f t="shared" si="38"/>
        <v>0</v>
      </c>
      <c r="I45" s="1181"/>
      <c r="J45" s="1181"/>
      <c r="K45" s="1182">
        <f t="shared" si="39"/>
        <v>0</v>
      </c>
      <c r="L45" s="1539">
        <f t="shared" si="54"/>
        <v>0</v>
      </c>
      <c r="M45" s="1388">
        <f t="shared" si="40"/>
        <v>0</v>
      </c>
      <c r="N45" s="1539">
        <f t="shared" si="41"/>
        <v>0</v>
      </c>
      <c r="O45" s="1770">
        <v>0</v>
      </c>
      <c r="P45" s="1545">
        <f t="shared" si="55"/>
        <v>0</v>
      </c>
      <c r="Q45" s="1181"/>
      <c r="R45" s="1181">
        <f t="shared" si="42"/>
        <v>0</v>
      </c>
      <c r="S45" s="1545">
        <f t="shared" si="43"/>
        <v>0</v>
      </c>
      <c r="T45" s="1557">
        <f t="shared" si="44"/>
        <v>0</v>
      </c>
      <c r="U45" s="1389">
        <f>'[9]FY2014-15 Initial'!$K46</f>
        <v>4955</v>
      </c>
      <c r="V45" s="1515">
        <f t="shared" si="56"/>
        <v>0</v>
      </c>
      <c r="W45" s="1391"/>
      <c r="X45" s="1392">
        <f t="shared" si="45"/>
        <v>0</v>
      </c>
      <c r="Y45" s="1391"/>
      <c r="Z45" s="1392">
        <f t="shared" si="46"/>
        <v>0</v>
      </c>
      <c r="AA45" s="1390">
        <f t="shared" si="47"/>
        <v>0</v>
      </c>
      <c r="AB45" s="1515">
        <f t="shared" si="48"/>
        <v>0</v>
      </c>
      <c r="AC45" s="1394">
        <f t="shared" si="49"/>
        <v>0</v>
      </c>
      <c r="AD45" s="1515">
        <f t="shared" si="50"/>
        <v>0</v>
      </c>
      <c r="AE45" s="1392">
        <v>0</v>
      </c>
      <c r="AF45" s="1515">
        <f t="shared" si="51"/>
        <v>0</v>
      </c>
      <c r="AG45" s="1392"/>
      <c r="AH45" s="1392">
        <f t="shared" si="52"/>
        <v>0</v>
      </c>
      <c r="AI45" s="1515">
        <f t="shared" si="53"/>
        <v>0</v>
      </c>
      <c r="AJ45" s="1393">
        <f t="shared" si="57"/>
        <v>0</v>
      </c>
      <c r="AK45" s="1502">
        <f t="shared" si="58"/>
        <v>0</v>
      </c>
    </row>
    <row r="46" spans="1:37" ht="16.2" customHeight="1">
      <c r="A46" s="1168">
        <v>40</v>
      </c>
      <c r="B46" s="1169" t="s">
        <v>120</v>
      </c>
      <c r="C46" s="1170">
        <f>+'Table 8 Membership 2.1.14'!I42</f>
        <v>0</v>
      </c>
      <c r="D46" s="1171">
        <f>'Table 3 Levels 1&amp;2'!AL43</f>
        <v>5121.8110285698403</v>
      </c>
      <c r="E46" s="1172">
        <f t="shared" si="36"/>
        <v>0</v>
      </c>
      <c r="F46" s="1172">
        <f>'Table 3A Level 3'!C45</f>
        <v>700.2700000000001</v>
      </c>
      <c r="G46" s="1172">
        <f t="shared" si="37"/>
        <v>0</v>
      </c>
      <c r="H46" s="1540">
        <f t="shared" si="38"/>
        <v>0</v>
      </c>
      <c r="I46" s="1173"/>
      <c r="J46" s="1173"/>
      <c r="K46" s="1174">
        <f t="shared" si="39"/>
        <v>0</v>
      </c>
      <c r="L46" s="1540">
        <f t="shared" si="54"/>
        <v>0</v>
      </c>
      <c r="M46" s="1399">
        <f t="shared" si="40"/>
        <v>0</v>
      </c>
      <c r="N46" s="1540">
        <f t="shared" si="41"/>
        <v>0</v>
      </c>
      <c r="O46" s="1771">
        <v>0</v>
      </c>
      <c r="P46" s="1546">
        <f t="shared" si="55"/>
        <v>0</v>
      </c>
      <c r="Q46" s="1175"/>
      <c r="R46" s="1173">
        <f t="shared" si="42"/>
        <v>0</v>
      </c>
      <c r="S46" s="1550">
        <f t="shared" si="43"/>
        <v>0</v>
      </c>
      <c r="T46" s="1550">
        <f t="shared" si="44"/>
        <v>0</v>
      </c>
      <c r="U46" s="1382">
        <f>'[9]FY2014-15 Initial'!$K47</f>
        <v>3069</v>
      </c>
      <c r="V46" s="1516">
        <f t="shared" si="56"/>
        <v>0</v>
      </c>
      <c r="W46" s="1400"/>
      <c r="X46" s="1383">
        <f t="shared" si="45"/>
        <v>0</v>
      </c>
      <c r="Y46" s="1400"/>
      <c r="Z46" s="1383">
        <f t="shared" si="46"/>
        <v>0</v>
      </c>
      <c r="AA46" s="1384">
        <f t="shared" si="47"/>
        <v>0</v>
      </c>
      <c r="AB46" s="1516">
        <f t="shared" si="48"/>
        <v>0</v>
      </c>
      <c r="AC46" s="1402">
        <f t="shared" si="49"/>
        <v>0</v>
      </c>
      <c r="AD46" s="1516">
        <f t="shared" si="50"/>
        <v>0</v>
      </c>
      <c r="AE46" s="1383">
        <v>0</v>
      </c>
      <c r="AF46" s="1516">
        <f t="shared" si="51"/>
        <v>0</v>
      </c>
      <c r="AG46" s="1383"/>
      <c r="AH46" s="1383">
        <f t="shared" si="52"/>
        <v>0</v>
      </c>
      <c r="AI46" s="1516">
        <f t="shared" si="53"/>
        <v>0</v>
      </c>
      <c r="AJ46" s="1401">
        <f t="shared" si="57"/>
        <v>0</v>
      </c>
      <c r="AK46" s="1503">
        <f t="shared" si="58"/>
        <v>0</v>
      </c>
    </row>
    <row r="47" spans="1:37" ht="16.2" customHeight="1">
      <c r="A47" s="1183">
        <v>41</v>
      </c>
      <c r="B47" s="1184" t="s">
        <v>121</v>
      </c>
      <c r="C47" s="1185">
        <f>+'Table 8 Membership 2.1.14'!I43</f>
        <v>0</v>
      </c>
      <c r="D47" s="1186">
        <f>'Table 3 Levels 1&amp;2'!AL44</f>
        <v>3291.1948574716475</v>
      </c>
      <c r="E47" s="1187">
        <f t="shared" si="36"/>
        <v>0</v>
      </c>
      <c r="F47" s="1187">
        <f>'Table 3A Level 3'!C46</f>
        <v>886.22</v>
      </c>
      <c r="G47" s="1187">
        <f t="shared" si="37"/>
        <v>0</v>
      </c>
      <c r="H47" s="1538">
        <f t="shared" si="38"/>
        <v>0</v>
      </c>
      <c r="I47" s="1188"/>
      <c r="J47" s="1188"/>
      <c r="K47" s="1189">
        <f t="shared" si="39"/>
        <v>0</v>
      </c>
      <c r="L47" s="1538">
        <f t="shared" si="54"/>
        <v>0</v>
      </c>
      <c r="M47" s="1372">
        <f t="shared" si="40"/>
        <v>0</v>
      </c>
      <c r="N47" s="1538">
        <f t="shared" si="41"/>
        <v>0</v>
      </c>
      <c r="O47" s="1769">
        <v>0</v>
      </c>
      <c r="P47" s="1544">
        <f t="shared" si="55"/>
        <v>0</v>
      </c>
      <c r="Q47" s="1188"/>
      <c r="R47" s="1188">
        <f t="shared" si="42"/>
        <v>0</v>
      </c>
      <c r="S47" s="1544">
        <f t="shared" si="43"/>
        <v>0</v>
      </c>
      <c r="T47" s="1556">
        <f t="shared" si="44"/>
        <v>0</v>
      </c>
      <c r="U47" s="1373">
        <f>'[9]FY2014-15 Initial'!$K48</f>
        <v>8478</v>
      </c>
      <c r="V47" s="1514">
        <f t="shared" si="56"/>
        <v>0</v>
      </c>
      <c r="W47" s="1375"/>
      <c r="X47" s="1376">
        <f t="shared" si="45"/>
        <v>0</v>
      </c>
      <c r="Y47" s="1375"/>
      <c r="Z47" s="1376">
        <f t="shared" si="46"/>
        <v>0</v>
      </c>
      <c r="AA47" s="1374">
        <f t="shared" si="47"/>
        <v>0</v>
      </c>
      <c r="AB47" s="1514">
        <f t="shared" si="48"/>
        <v>0</v>
      </c>
      <c r="AC47" s="1378">
        <f t="shared" si="49"/>
        <v>0</v>
      </c>
      <c r="AD47" s="1514">
        <f t="shared" si="50"/>
        <v>0</v>
      </c>
      <c r="AE47" s="1376">
        <v>0</v>
      </c>
      <c r="AF47" s="1514">
        <f t="shared" si="51"/>
        <v>0</v>
      </c>
      <c r="AG47" s="1376"/>
      <c r="AH47" s="1376">
        <f t="shared" si="52"/>
        <v>0</v>
      </c>
      <c r="AI47" s="1514">
        <f t="shared" si="53"/>
        <v>0</v>
      </c>
      <c r="AJ47" s="1377">
        <f t="shared" si="57"/>
        <v>0</v>
      </c>
      <c r="AK47" s="1501">
        <f t="shared" si="58"/>
        <v>0</v>
      </c>
    </row>
    <row r="48" spans="1:37" ht="16.2" customHeight="1">
      <c r="A48" s="1176">
        <v>42</v>
      </c>
      <c r="B48" s="1177" t="s">
        <v>122</v>
      </c>
      <c r="C48" s="1178">
        <f>+'Table 8 Membership 2.1.14'!I44</f>
        <v>0</v>
      </c>
      <c r="D48" s="1179">
        <f>'Table 3 Levels 1&amp;2'!AL45</f>
        <v>5113.6077751368684</v>
      </c>
      <c r="E48" s="1180">
        <f t="shared" si="36"/>
        <v>0</v>
      </c>
      <c r="F48" s="1180">
        <f>'Table 3A Level 3'!C47</f>
        <v>534.28</v>
      </c>
      <c r="G48" s="1180">
        <f t="shared" si="37"/>
        <v>0</v>
      </c>
      <c r="H48" s="1539">
        <f t="shared" si="38"/>
        <v>0</v>
      </c>
      <c r="I48" s="1181"/>
      <c r="J48" s="1181"/>
      <c r="K48" s="1182">
        <f t="shared" si="39"/>
        <v>0</v>
      </c>
      <c r="L48" s="1539">
        <f t="shared" si="54"/>
        <v>0</v>
      </c>
      <c r="M48" s="1388">
        <f t="shared" si="40"/>
        <v>0</v>
      </c>
      <c r="N48" s="1539">
        <f t="shared" si="41"/>
        <v>0</v>
      </c>
      <c r="O48" s="1770">
        <v>0</v>
      </c>
      <c r="P48" s="1545">
        <f t="shared" si="55"/>
        <v>0</v>
      </c>
      <c r="Q48" s="1181"/>
      <c r="R48" s="1181">
        <f t="shared" si="42"/>
        <v>0</v>
      </c>
      <c r="S48" s="1545">
        <f t="shared" si="43"/>
        <v>0</v>
      </c>
      <c r="T48" s="1557">
        <f t="shared" si="44"/>
        <v>0</v>
      </c>
      <c r="U48" s="1389">
        <f>'[9]FY2014-15 Initial'!$K49</f>
        <v>3578</v>
      </c>
      <c r="V48" s="1515">
        <f t="shared" si="56"/>
        <v>0</v>
      </c>
      <c r="W48" s="1391"/>
      <c r="X48" s="1392">
        <f t="shared" si="45"/>
        <v>0</v>
      </c>
      <c r="Y48" s="1391"/>
      <c r="Z48" s="1392">
        <f t="shared" si="46"/>
        <v>0</v>
      </c>
      <c r="AA48" s="1390">
        <f t="shared" si="47"/>
        <v>0</v>
      </c>
      <c r="AB48" s="1515">
        <f t="shared" si="48"/>
        <v>0</v>
      </c>
      <c r="AC48" s="1394">
        <f t="shared" si="49"/>
        <v>0</v>
      </c>
      <c r="AD48" s="1515">
        <f t="shared" si="50"/>
        <v>0</v>
      </c>
      <c r="AE48" s="1392">
        <v>0</v>
      </c>
      <c r="AF48" s="1515">
        <f t="shared" si="51"/>
        <v>0</v>
      </c>
      <c r="AG48" s="1392"/>
      <c r="AH48" s="1392">
        <f t="shared" si="52"/>
        <v>0</v>
      </c>
      <c r="AI48" s="1515">
        <f t="shared" si="53"/>
        <v>0</v>
      </c>
      <c r="AJ48" s="1393">
        <f t="shared" si="57"/>
        <v>0</v>
      </c>
      <c r="AK48" s="1502">
        <f t="shared" si="58"/>
        <v>0</v>
      </c>
    </row>
    <row r="49" spans="1:37" ht="16.2" customHeight="1">
      <c r="A49" s="1176">
        <v>43</v>
      </c>
      <c r="B49" s="1177" t="s">
        <v>123</v>
      </c>
      <c r="C49" s="1178">
        <f>+'Table 8 Membership 2.1.14'!I45</f>
        <v>0</v>
      </c>
      <c r="D49" s="1179">
        <f>'Table 3 Levels 1&amp;2'!AL46</f>
        <v>5788.74387205947</v>
      </c>
      <c r="E49" s="1180">
        <f t="shared" si="36"/>
        <v>0</v>
      </c>
      <c r="F49" s="1180">
        <f>'Table 3A Level 3'!C48</f>
        <v>574.6099999999999</v>
      </c>
      <c r="G49" s="1180">
        <f t="shared" si="37"/>
        <v>0</v>
      </c>
      <c r="H49" s="1539">
        <f t="shared" si="38"/>
        <v>0</v>
      </c>
      <c r="I49" s="1181"/>
      <c r="J49" s="1181"/>
      <c r="K49" s="1182">
        <f t="shared" si="39"/>
        <v>0</v>
      </c>
      <c r="L49" s="1539">
        <f t="shared" si="54"/>
        <v>0</v>
      </c>
      <c r="M49" s="1388">
        <f t="shared" si="40"/>
        <v>0</v>
      </c>
      <c r="N49" s="1539">
        <f t="shared" si="41"/>
        <v>0</v>
      </c>
      <c r="O49" s="1770">
        <v>0</v>
      </c>
      <c r="P49" s="1545">
        <f t="shared" si="55"/>
        <v>0</v>
      </c>
      <c r="Q49" s="1181"/>
      <c r="R49" s="1181">
        <f t="shared" si="42"/>
        <v>0</v>
      </c>
      <c r="S49" s="1545">
        <f t="shared" si="43"/>
        <v>0</v>
      </c>
      <c r="T49" s="1557">
        <f t="shared" si="44"/>
        <v>0</v>
      </c>
      <c r="U49" s="1389">
        <f>'[9]FY2014-15 Initial'!$K50</f>
        <v>3205</v>
      </c>
      <c r="V49" s="1515">
        <f t="shared" si="56"/>
        <v>0</v>
      </c>
      <c r="W49" s="1391"/>
      <c r="X49" s="1392">
        <f t="shared" si="45"/>
        <v>0</v>
      </c>
      <c r="Y49" s="1391"/>
      <c r="Z49" s="1392">
        <f t="shared" si="46"/>
        <v>0</v>
      </c>
      <c r="AA49" s="1390">
        <f t="shared" si="47"/>
        <v>0</v>
      </c>
      <c r="AB49" s="1515">
        <f t="shared" si="48"/>
        <v>0</v>
      </c>
      <c r="AC49" s="1394">
        <f t="shared" si="49"/>
        <v>0</v>
      </c>
      <c r="AD49" s="1515">
        <f t="shared" si="50"/>
        <v>0</v>
      </c>
      <c r="AE49" s="1392">
        <v>0</v>
      </c>
      <c r="AF49" s="1515">
        <f t="shared" si="51"/>
        <v>0</v>
      </c>
      <c r="AG49" s="1392"/>
      <c r="AH49" s="1392">
        <f t="shared" si="52"/>
        <v>0</v>
      </c>
      <c r="AI49" s="1515">
        <f t="shared" si="53"/>
        <v>0</v>
      </c>
      <c r="AJ49" s="1393">
        <f t="shared" si="57"/>
        <v>0</v>
      </c>
      <c r="AK49" s="1502">
        <f t="shared" si="58"/>
        <v>0</v>
      </c>
    </row>
    <row r="50" spans="1:37" ht="16.2" customHeight="1">
      <c r="A50" s="1176">
        <v>44</v>
      </c>
      <c r="B50" s="1177" t="s">
        <v>124</v>
      </c>
      <c r="C50" s="1178">
        <f>+'Table 8 Membership 2.1.14'!I46</f>
        <v>0</v>
      </c>
      <c r="D50" s="1179">
        <f>'Table 3 Levels 1&amp;2'!AL47</f>
        <v>4897.5958151820359</v>
      </c>
      <c r="E50" s="1180">
        <f t="shared" si="36"/>
        <v>0</v>
      </c>
      <c r="F50" s="1180">
        <f>'Table 3A Level 3'!C49</f>
        <v>663.16000000000008</v>
      </c>
      <c r="G50" s="1180">
        <f t="shared" si="37"/>
        <v>0</v>
      </c>
      <c r="H50" s="1539">
        <f t="shared" si="38"/>
        <v>0</v>
      </c>
      <c r="I50" s="1181"/>
      <c r="J50" s="1181"/>
      <c r="K50" s="1182">
        <f t="shared" si="39"/>
        <v>0</v>
      </c>
      <c r="L50" s="1539">
        <f t="shared" si="54"/>
        <v>0</v>
      </c>
      <c r="M50" s="1388">
        <f t="shared" si="40"/>
        <v>0</v>
      </c>
      <c r="N50" s="1539">
        <f t="shared" si="41"/>
        <v>0</v>
      </c>
      <c r="O50" s="1770">
        <v>0</v>
      </c>
      <c r="P50" s="1545">
        <f t="shared" si="55"/>
        <v>0</v>
      </c>
      <c r="Q50" s="1181"/>
      <c r="R50" s="1181">
        <f t="shared" si="42"/>
        <v>0</v>
      </c>
      <c r="S50" s="1545">
        <f t="shared" si="43"/>
        <v>0</v>
      </c>
      <c r="T50" s="1557">
        <f t="shared" si="44"/>
        <v>0</v>
      </c>
      <c r="U50" s="1389">
        <f>'[9]FY2014-15 Initial'!$K51</f>
        <v>3719</v>
      </c>
      <c r="V50" s="1515">
        <f t="shared" si="56"/>
        <v>0</v>
      </c>
      <c r="W50" s="1391"/>
      <c r="X50" s="1392">
        <f t="shared" si="45"/>
        <v>0</v>
      </c>
      <c r="Y50" s="1391"/>
      <c r="Z50" s="1392">
        <f t="shared" si="46"/>
        <v>0</v>
      </c>
      <c r="AA50" s="1390">
        <f t="shared" si="47"/>
        <v>0</v>
      </c>
      <c r="AB50" s="1515">
        <f t="shared" si="48"/>
        <v>0</v>
      </c>
      <c r="AC50" s="1394">
        <f t="shared" si="49"/>
        <v>0</v>
      </c>
      <c r="AD50" s="1515">
        <f t="shared" si="50"/>
        <v>0</v>
      </c>
      <c r="AE50" s="1392">
        <v>0</v>
      </c>
      <c r="AF50" s="1515">
        <f t="shared" si="51"/>
        <v>0</v>
      </c>
      <c r="AG50" s="1392"/>
      <c r="AH50" s="1392">
        <f t="shared" si="52"/>
        <v>0</v>
      </c>
      <c r="AI50" s="1515">
        <f t="shared" si="53"/>
        <v>0</v>
      </c>
      <c r="AJ50" s="1393">
        <f t="shared" si="57"/>
        <v>0</v>
      </c>
      <c r="AK50" s="1502">
        <f t="shared" si="58"/>
        <v>0</v>
      </c>
    </row>
    <row r="51" spans="1:37" ht="16.2" customHeight="1">
      <c r="A51" s="1168">
        <v>45</v>
      </c>
      <c r="B51" s="1169" t="s">
        <v>125</v>
      </c>
      <c r="C51" s="1170">
        <f>+'Table 8 Membership 2.1.14'!I47</f>
        <v>0</v>
      </c>
      <c r="D51" s="1171">
        <f>'Table 3 Levels 1&amp;2'!AL48</f>
        <v>2054.0472499469101</v>
      </c>
      <c r="E51" s="1172">
        <f t="shared" si="36"/>
        <v>0</v>
      </c>
      <c r="F51" s="1172">
        <f>'Table 3A Level 3'!C50</f>
        <v>753.96000000000015</v>
      </c>
      <c r="G51" s="1172">
        <f t="shared" si="37"/>
        <v>0</v>
      </c>
      <c r="H51" s="1540">
        <f t="shared" si="38"/>
        <v>0</v>
      </c>
      <c r="I51" s="1173"/>
      <c r="J51" s="1173"/>
      <c r="K51" s="1174">
        <f t="shared" si="39"/>
        <v>0</v>
      </c>
      <c r="L51" s="1540">
        <f t="shared" si="54"/>
        <v>0</v>
      </c>
      <c r="M51" s="1399">
        <f t="shared" si="40"/>
        <v>0</v>
      </c>
      <c r="N51" s="1540">
        <f t="shared" si="41"/>
        <v>0</v>
      </c>
      <c r="O51" s="1771">
        <v>0</v>
      </c>
      <c r="P51" s="1546">
        <f t="shared" si="55"/>
        <v>0</v>
      </c>
      <c r="Q51" s="1175"/>
      <c r="R51" s="1173">
        <f t="shared" si="42"/>
        <v>0</v>
      </c>
      <c r="S51" s="1550">
        <f t="shared" si="43"/>
        <v>0</v>
      </c>
      <c r="T51" s="1550">
        <f t="shared" si="44"/>
        <v>0</v>
      </c>
      <c r="U51" s="1382">
        <f>'[9]FY2014-15 Initial'!$K52</f>
        <v>12169</v>
      </c>
      <c r="V51" s="1516">
        <f t="shared" si="56"/>
        <v>0</v>
      </c>
      <c r="W51" s="1400"/>
      <c r="X51" s="1383">
        <f t="shared" si="45"/>
        <v>0</v>
      </c>
      <c r="Y51" s="1400"/>
      <c r="Z51" s="1383">
        <f t="shared" si="46"/>
        <v>0</v>
      </c>
      <c r="AA51" s="1384">
        <f t="shared" si="47"/>
        <v>0</v>
      </c>
      <c r="AB51" s="1516">
        <f t="shared" si="48"/>
        <v>0</v>
      </c>
      <c r="AC51" s="1402">
        <f t="shared" si="49"/>
        <v>0</v>
      </c>
      <c r="AD51" s="1516">
        <f t="shared" si="50"/>
        <v>0</v>
      </c>
      <c r="AE51" s="1383">
        <v>0</v>
      </c>
      <c r="AF51" s="1516">
        <f t="shared" si="51"/>
        <v>0</v>
      </c>
      <c r="AG51" s="1383"/>
      <c r="AH51" s="1383">
        <f t="shared" si="52"/>
        <v>0</v>
      </c>
      <c r="AI51" s="1516">
        <f t="shared" si="53"/>
        <v>0</v>
      </c>
      <c r="AJ51" s="1401">
        <f t="shared" si="57"/>
        <v>0</v>
      </c>
      <c r="AK51" s="1503">
        <f t="shared" si="58"/>
        <v>0</v>
      </c>
    </row>
    <row r="52" spans="1:37" ht="16.2" customHeight="1">
      <c r="A52" s="1183">
        <v>46</v>
      </c>
      <c r="B52" s="1184" t="s">
        <v>126</v>
      </c>
      <c r="C52" s="1185">
        <f>+'Table 8 Membership 2.1.14'!I48</f>
        <v>0</v>
      </c>
      <c r="D52" s="1186">
        <f>'Table 3 Levels 1&amp;2'!AL49</f>
        <v>6051.2144468088381</v>
      </c>
      <c r="E52" s="1187">
        <f t="shared" si="36"/>
        <v>0</v>
      </c>
      <c r="F52" s="1187">
        <f>'Table 3A Level 3'!C51</f>
        <v>728.06</v>
      </c>
      <c r="G52" s="1187">
        <f t="shared" si="37"/>
        <v>0</v>
      </c>
      <c r="H52" s="1538">
        <f t="shared" si="38"/>
        <v>0</v>
      </c>
      <c r="I52" s="1188"/>
      <c r="J52" s="1188"/>
      <c r="K52" s="1189">
        <f t="shared" si="39"/>
        <v>0</v>
      </c>
      <c r="L52" s="1538">
        <f t="shared" si="54"/>
        <v>0</v>
      </c>
      <c r="M52" s="1372">
        <f t="shared" si="40"/>
        <v>0</v>
      </c>
      <c r="N52" s="1538">
        <f t="shared" si="41"/>
        <v>0</v>
      </c>
      <c r="O52" s="1769">
        <v>0</v>
      </c>
      <c r="P52" s="1544">
        <f t="shared" si="55"/>
        <v>0</v>
      </c>
      <c r="Q52" s="1188"/>
      <c r="R52" s="1188">
        <f t="shared" si="42"/>
        <v>0</v>
      </c>
      <c r="S52" s="1544">
        <f t="shared" si="43"/>
        <v>0</v>
      </c>
      <c r="T52" s="1556">
        <f t="shared" si="44"/>
        <v>0</v>
      </c>
      <c r="U52" s="1373">
        <f>'[9]FY2014-15 Initial'!$K53</f>
        <v>2713</v>
      </c>
      <c r="V52" s="1514">
        <f t="shared" si="56"/>
        <v>0</v>
      </c>
      <c r="W52" s="1375"/>
      <c r="X52" s="1376">
        <f t="shared" si="45"/>
        <v>0</v>
      </c>
      <c r="Y52" s="1375"/>
      <c r="Z52" s="1376">
        <f t="shared" si="46"/>
        <v>0</v>
      </c>
      <c r="AA52" s="1374">
        <f t="shared" si="47"/>
        <v>0</v>
      </c>
      <c r="AB52" s="1514">
        <f t="shared" si="48"/>
        <v>0</v>
      </c>
      <c r="AC52" s="1378">
        <f t="shared" si="49"/>
        <v>0</v>
      </c>
      <c r="AD52" s="1514">
        <f t="shared" si="50"/>
        <v>0</v>
      </c>
      <c r="AE52" s="1376">
        <v>0</v>
      </c>
      <c r="AF52" s="1514">
        <f t="shared" si="51"/>
        <v>0</v>
      </c>
      <c r="AG52" s="1376"/>
      <c r="AH52" s="1376">
        <f t="shared" si="52"/>
        <v>0</v>
      </c>
      <c r="AI52" s="1514">
        <f t="shared" si="53"/>
        <v>0</v>
      </c>
      <c r="AJ52" s="1377">
        <f t="shared" si="57"/>
        <v>0</v>
      </c>
      <c r="AK52" s="1501">
        <f t="shared" si="58"/>
        <v>0</v>
      </c>
    </row>
    <row r="53" spans="1:37" ht="16.2" customHeight="1">
      <c r="A53" s="1176">
        <v>47</v>
      </c>
      <c r="B53" s="1177" t="s">
        <v>127</v>
      </c>
      <c r="C53" s="1178">
        <f>+'Table 8 Membership 2.1.14'!I49</f>
        <v>0</v>
      </c>
      <c r="D53" s="1179">
        <f>'Table 3 Levels 1&amp;2'!AL50</f>
        <v>2524.1485257646736</v>
      </c>
      <c r="E53" s="1180">
        <f t="shared" si="36"/>
        <v>0</v>
      </c>
      <c r="F53" s="1180">
        <f>'Table 3A Level 3'!C52</f>
        <v>910.76</v>
      </c>
      <c r="G53" s="1180">
        <f t="shared" si="37"/>
        <v>0</v>
      </c>
      <c r="H53" s="1539">
        <f t="shared" si="38"/>
        <v>0</v>
      </c>
      <c r="I53" s="1181"/>
      <c r="J53" s="1181"/>
      <c r="K53" s="1182">
        <f t="shared" si="39"/>
        <v>0</v>
      </c>
      <c r="L53" s="1539">
        <f t="shared" si="54"/>
        <v>0</v>
      </c>
      <c r="M53" s="1388">
        <f t="shared" si="40"/>
        <v>0</v>
      </c>
      <c r="N53" s="1539">
        <f t="shared" si="41"/>
        <v>0</v>
      </c>
      <c r="O53" s="1770">
        <v>0</v>
      </c>
      <c r="P53" s="1545">
        <f t="shared" si="55"/>
        <v>0</v>
      </c>
      <c r="Q53" s="1181"/>
      <c r="R53" s="1181">
        <f t="shared" si="42"/>
        <v>0</v>
      </c>
      <c r="S53" s="1545">
        <f t="shared" si="43"/>
        <v>0</v>
      </c>
      <c r="T53" s="1557">
        <f t="shared" si="44"/>
        <v>0</v>
      </c>
      <c r="U53" s="1389">
        <f>'[9]FY2014-15 Initial'!$K54</f>
        <v>11701</v>
      </c>
      <c r="V53" s="1515">
        <f t="shared" si="56"/>
        <v>0</v>
      </c>
      <c r="W53" s="1391"/>
      <c r="X53" s="1392">
        <f t="shared" si="45"/>
        <v>0</v>
      </c>
      <c r="Y53" s="1391"/>
      <c r="Z53" s="1392">
        <f t="shared" si="46"/>
        <v>0</v>
      </c>
      <c r="AA53" s="1390">
        <f t="shared" si="47"/>
        <v>0</v>
      </c>
      <c r="AB53" s="1515">
        <f t="shared" si="48"/>
        <v>0</v>
      </c>
      <c r="AC53" s="1394">
        <f t="shared" si="49"/>
        <v>0</v>
      </c>
      <c r="AD53" s="1515">
        <f t="shared" si="50"/>
        <v>0</v>
      </c>
      <c r="AE53" s="1392">
        <v>0</v>
      </c>
      <c r="AF53" s="1515">
        <f t="shared" si="51"/>
        <v>0</v>
      </c>
      <c r="AG53" s="1392"/>
      <c r="AH53" s="1392">
        <f t="shared" si="52"/>
        <v>0</v>
      </c>
      <c r="AI53" s="1515">
        <f t="shared" si="53"/>
        <v>0</v>
      </c>
      <c r="AJ53" s="1393">
        <f t="shared" si="57"/>
        <v>0</v>
      </c>
      <c r="AK53" s="1502">
        <f t="shared" si="58"/>
        <v>0</v>
      </c>
    </row>
    <row r="54" spans="1:37" ht="16.2" customHeight="1">
      <c r="A54" s="1176">
        <v>48</v>
      </c>
      <c r="B54" s="1177" t="s">
        <v>178</v>
      </c>
      <c r="C54" s="1178">
        <f>+'Table 8 Membership 2.1.14'!I50</f>
        <v>0</v>
      </c>
      <c r="D54" s="1179">
        <f>'Table 3 Levels 1&amp;2'!AL51</f>
        <v>3983.3582529800719</v>
      </c>
      <c r="E54" s="1180">
        <f t="shared" si="36"/>
        <v>0</v>
      </c>
      <c r="F54" s="1180">
        <f>'Table 3A Level 3'!C53</f>
        <v>871.07</v>
      </c>
      <c r="G54" s="1180">
        <f t="shared" si="37"/>
        <v>0</v>
      </c>
      <c r="H54" s="1539">
        <f t="shared" si="38"/>
        <v>0</v>
      </c>
      <c r="I54" s="1181"/>
      <c r="J54" s="1181"/>
      <c r="K54" s="1182">
        <f t="shared" si="39"/>
        <v>0</v>
      </c>
      <c r="L54" s="1539">
        <f t="shared" si="54"/>
        <v>0</v>
      </c>
      <c r="M54" s="1388">
        <f t="shared" si="40"/>
        <v>0</v>
      </c>
      <c r="N54" s="1539">
        <f t="shared" si="41"/>
        <v>0</v>
      </c>
      <c r="O54" s="1770">
        <v>0</v>
      </c>
      <c r="P54" s="1545">
        <f t="shared" si="55"/>
        <v>0</v>
      </c>
      <c r="Q54" s="1181"/>
      <c r="R54" s="1181">
        <f t="shared" si="42"/>
        <v>0</v>
      </c>
      <c r="S54" s="1545">
        <f t="shared" si="43"/>
        <v>0</v>
      </c>
      <c r="T54" s="1557">
        <f t="shared" si="44"/>
        <v>0</v>
      </c>
      <c r="U54" s="1389">
        <f>'[9]FY2014-15 Initial'!$K55</f>
        <v>7338</v>
      </c>
      <c r="V54" s="1515">
        <f t="shared" si="56"/>
        <v>0</v>
      </c>
      <c r="W54" s="1391"/>
      <c r="X54" s="1392">
        <f t="shared" si="45"/>
        <v>0</v>
      </c>
      <c r="Y54" s="1391"/>
      <c r="Z54" s="1392">
        <f t="shared" si="46"/>
        <v>0</v>
      </c>
      <c r="AA54" s="1390">
        <f t="shared" si="47"/>
        <v>0</v>
      </c>
      <c r="AB54" s="1515">
        <f t="shared" si="48"/>
        <v>0</v>
      </c>
      <c r="AC54" s="1394">
        <f t="shared" si="49"/>
        <v>0</v>
      </c>
      <c r="AD54" s="1515">
        <f t="shared" si="50"/>
        <v>0</v>
      </c>
      <c r="AE54" s="1392">
        <v>0</v>
      </c>
      <c r="AF54" s="1515">
        <f t="shared" si="51"/>
        <v>0</v>
      </c>
      <c r="AG54" s="1392"/>
      <c r="AH54" s="1392">
        <f t="shared" si="52"/>
        <v>0</v>
      </c>
      <c r="AI54" s="1515">
        <f t="shared" si="53"/>
        <v>0</v>
      </c>
      <c r="AJ54" s="1393">
        <f t="shared" si="57"/>
        <v>0</v>
      </c>
      <c r="AK54" s="1502">
        <f t="shared" si="58"/>
        <v>0</v>
      </c>
    </row>
    <row r="55" spans="1:37" ht="16.2" customHeight="1">
      <c r="A55" s="1176">
        <v>49</v>
      </c>
      <c r="B55" s="1177" t="s">
        <v>128</v>
      </c>
      <c r="C55" s="1178">
        <f>+'Table 8 Membership 2.1.14'!I51</f>
        <v>0</v>
      </c>
      <c r="D55" s="1179">
        <f>'Table 3 Levels 1&amp;2'!AL52</f>
        <v>4995.8755315659191</v>
      </c>
      <c r="E55" s="1180">
        <f t="shared" si="36"/>
        <v>0</v>
      </c>
      <c r="F55" s="1180">
        <f>'Table 3A Level 3'!C54</f>
        <v>574.43999999999994</v>
      </c>
      <c r="G55" s="1180">
        <f t="shared" si="37"/>
        <v>0</v>
      </c>
      <c r="H55" s="1539">
        <f t="shared" si="38"/>
        <v>0</v>
      </c>
      <c r="I55" s="1181"/>
      <c r="J55" s="1181"/>
      <c r="K55" s="1182">
        <f t="shared" si="39"/>
        <v>0</v>
      </c>
      <c r="L55" s="1539">
        <f t="shared" si="54"/>
        <v>0</v>
      </c>
      <c r="M55" s="1388">
        <f t="shared" si="40"/>
        <v>0</v>
      </c>
      <c r="N55" s="1539">
        <f t="shared" si="41"/>
        <v>0</v>
      </c>
      <c r="O55" s="1770">
        <v>0</v>
      </c>
      <c r="P55" s="1545">
        <f t="shared" si="55"/>
        <v>0</v>
      </c>
      <c r="Q55" s="1181"/>
      <c r="R55" s="1181">
        <f t="shared" si="42"/>
        <v>0</v>
      </c>
      <c r="S55" s="1545">
        <f t="shared" si="43"/>
        <v>0</v>
      </c>
      <c r="T55" s="1557">
        <f t="shared" si="44"/>
        <v>0</v>
      </c>
      <c r="U55" s="1389">
        <f>'[9]FY2014-15 Initial'!$K56</f>
        <v>2353</v>
      </c>
      <c r="V55" s="1515">
        <f t="shared" si="56"/>
        <v>0</v>
      </c>
      <c r="W55" s="1391"/>
      <c r="X55" s="1392">
        <f t="shared" si="45"/>
        <v>0</v>
      </c>
      <c r="Y55" s="1391"/>
      <c r="Z55" s="1392">
        <f t="shared" si="46"/>
        <v>0</v>
      </c>
      <c r="AA55" s="1390">
        <f t="shared" si="47"/>
        <v>0</v>
      </c>
      <c r="AB55" s="1515">
        <f t="shared" si="48"/>
        <v>0</v>
      </c>
      <c r="AC55" s="1394">
        <f t="shared" si="49"/>
        <v>0</v>
      </c>
      <c r="AD55" s="1515">
        <f t="shared" si="50"/>
        <v>0</v>
      </c>
      <c r="AE55" s="1392">
        <v>0</v>
      </c>
      <c r="AF55" s="1515">
        <f t="shared" si="51"/>
        <v>0</v>
      </c>
      <c r="AG55" s="1392"/>
      <c r="AH55" s="1392">
        <f t="shared" si="52"/>
        <v>0</v>
      </c>
      <c r="AI55" s="1515">
        <f t="shared" si="53"/>
        <v>0</v>
      </c>
      <c r="AJ55" s="1393">
        <f t="shared" si="57"/>
        <v>0</v>
      </c>
      <c r="AK55" s="1502">
        <f t="shared" si="58"/>
        <v>0</v>
      </c>
    </row>
    <row r="56" spans="1:37" ht="16.2" customHeight="1">
      <c r="A56" s="1168">
        <v>50</v>
      </c>
      <c r="B56" s="1169" t="s">
        <v>129</v>
      </c>
      <c r="C56" s="1170">
        <f>+'Table 8 Membership 2.1.14'!I52</f>
        <v>0</v>
      </c>
      <c r="D56" s="1171">
        <f>'Table 3 Levels 1&amp;2'!AL53</f>
        <v>5177.6892722701677</v>
      </c>
      <c r="E56" s="1172">
        <f t="shared" si="36"/>
        <v>0</v>
      </c>
      <c r="F56" s="1172">
        <f>'Table 3A Level 3'!C55</f>
        <v>634.46</v>
      </c>
      <c r="G56" s="1172">
        <f t="shared" si="37"/>
        <v>0</v>
      </c>
      <c r="H56" s="1540">
        <f t="shared" si="38"/>
        <v>0</v>
      </c>
      <c r="I56" s="1173"/>
      <c r="J56" s="1173"/>
      <c r="K56" s="1174">
        <f t="shared" si="39"/>
        <v>0</v>
      </c>
      <c r="L56" s="1540">
        <f t="shared" si="54"/>
        <v>0</v>
      </c>
      <c r="M56" s="1399">
        <f t="shared" si="40"/>
        <v>0</v>
      </c>
      <c r="N56" s="1540">
        <f t="shared" si="41"/>
        <v>0</v>
      </c>
      <c r="O56" s="1771">
        <v>0</v>
      </c>
      <c r="P56" s="1546">
        <f t="shared" si="55"/>
        <v>0</v>
      </c>
      <c r="Q56" s="1175"/>
      <c r="R56" s="1173">
        <f t="shared" si="42"/>
        <v>0</v>
      </c>
      <c r="S56" s="1550">
        <f t="shared" si="43"/>
        <v>0</v>
      </c>
      <c r="T56" s="1550">
        <f t="shared" si="44"/>
        <v>0</v>
      </c>
      <c r="U56" s="1382">
        <f>'[9]FY2014-15 Initial'!$K57</f>
        <v>3510</v>
      </c>
      <c r="V56" s="1516">
        <f t="shared" si="56"/>
        <v>0</v>
      </c>
      <c r="W56" s="1400"/>
      <c r="X56" s="1383">
        <f t="shared" si="45"/>
        <v>0</v>
      </c>
      <c r="Y56" s="1400"/>
      <c r="Z56" s="1383">
        <f t="shared" si="46"/>
        <v>0</v>
      </c>
      <c r="AA56" s="1384">
        <f t="shared" si="47"/>
        <v>0</v>
      </c>
      <c r="AB56" s="1516">
        <f t="shared" si="48"/>
        <v>0</v>
      </c>
      <c r="AC56" s="1402">
        <f t="shared" si="49"/>
        <v>0</v>
      </c>
      <c r="AD56" s="1516">
        <f t="shared" si="50"/>
        <v>0</v>
      </c>
      <c r="AE56" s="1383">
        <v>0</v>
      </c>
      <c r="AF56" s="1516">
        <f t="shared" si="51"/>
        <v>0</v>
      </c>
      <c r="AG56" s="1383"/>
      <c r="AH56" s="1383">
        <f t="shared" si="52"/>
        <v>0</v>
      </c>
      <c r="AI56" s="1516">
        <f t="shared" si="53"/>
        <v>0</v>
      </c>
      <c r="AJ56" s="1401">
        <f t="shared" si="57"/>
        <v>0</v>
      </c>
      <c r="AK56" s="1503">
        <f t="shared" si="58"/>
        <v>0</v>
      </c>
    </row>
    <row r="57" spans="1:37" ht="16.2" customHeight="1">
      <c r="A57" s="1183">
        <v>51</v>
      </c>
      <c r="B57" s="1184" t="s">
        <v>130</v>
      </c>
      <c r="C57" s="1185">
        <f>+'Table 8 Membership 2.1.14'!I53</f>
        <v>0</v>
      </c>
      <c r="D57" s="1186">
        <f>'Table 3 Levels 1&amp;2'!AL54</f>
        <v>4154.1928602178996</v>
      </c>
      <c r="E57" s="1187">
        <f t="shared" si="36"/>
        <v>0</v>
      </c>
      <c r="F57" s="1187">
        <f>'Table 3A Level 3'!C56</f>
        <v>706.66</v>
      </c>
      <c r="G57" s="1187">
        <f t="shared" si="37"/>
        <v>0</v>
      </c>
      <c r="H57" s="1538">
        <f t="shared" si="38"/>
        <v>0</v>
      </c>
      <c r="I57" s="1188"/>
      <c r="J57" s="1188"/>
      <c r="K57" s="1189">
        <f t="shared" si="39"/>
        <v>0</v>
      </c>
      <c r="L57" s="1538">
        <f t="shared" si="54"/>
        <v>0</v>
      </c>
      <c r="M57" s="1372">
        <f t="shared" si="40"/>
        <v>0</v>
      </c>
      <c r="N57" s="1538">
        <f t="shared" si="41"/>
        <v>0</v>
      </c>
      <c r="O57" s="1769">
        <v>0</v>
      </c>
      <c r="P57" s="1544">
        <f t="shared" si="55"/>
        <v>0</v>
      </c>
      <c r="Q57" s="1188"/>
      <c r="R57" s="1188">
        <f t="shared" si="42"/>
        <v>0</v>
      </c>
      <c r="S57" s="1544">
        <f t="shared" si="43"/>
        <v>0</v>
      </c>
      <c r="T57" s="1556">
        <f t="shared" si="44"/>
        <v>0</v>
      </c>
      <c r="U57" s="1373">
        <f>'[9]FY2014-15 Initial'!$K58</f>
        <v>4597</v>
      </c>
      <c r="V57" s="1514">
        <f t="shared" si="56"/>
        <v>0</v>
      </c>
      <c r="W57" s="1375"/>
      <c r="X57" s="1376">
        <f t="shared" si="45"/>
        <v>0</v>
      </c>
      <c r="Y57" s="1375"/>
      <c r="Z57" s="1376">
        <f t="shared" si="46"/>
        <v>0</v>
      </c>
      <c r="AA57" s="1374">
        <f t="shared" si="47"/>
        <v>0</v>
      </c>
      <c r="AB57" s="1514">
        <f t="shared" si="48"/>
        <v>0</v>
      </c>
      <c r="AC57" s="1378">
        <f t="shared" si="49"/>
        <v>0</v>
      </c>
      <c r="AD57" s="1514">
        <f t="shared" si="50"/>
        <v>0</v>
      </c>
      <c r="AE57" s="1376">
        <v>0</v>
      </c>
      <c r="AF57" s="1514">
        <f t="shared" si="51"/>
        <v>0</v>
      </c>
      <c r="AG57" s="1376"/>
      <c r="AH57" s="1376">
        <f t="shared" si="52"/>
        <v>0</v>
      </c>
      <c r="AI57" s="1514">
        <f t="shared" si="53"/>
        <v>0</v>
      </c>
      <c r="AJ57" s="1377">
        <f t="shared" si="57"/>
        <v>0</v>
      </c>
      <c r="AK57" s="1501">
        <f t="shared" si="58"/>
        <v>0</v>
      </c>
    </row>
    <row r="58" spans="1:37" ht="16.2" customHeight="1">
      <c r="A58" s="1176">
        <v>52</v>
      </c>
      <c r="B58" s="1177" t="s">
        <v>131</v>
      </c>
      <c r="C58" s="1178">
        <f>+'Table 8 Membership 2.1.14'!I54</f>
        <v>0</v>
      </c>
      <c r="D58" s="1179">
        <f>'Table 3 Levels 1&amp;2'!AL55</f>
        <v>5062.2745845228173</v>
      </c>
      <c r="E58" s="1180">
        <f t="shared" si="36"/>
        <v>0</v>
      </c>
      <c r="F58" s="1180">
        <f>'Table 3A Level 3'!C57</f>
        <v>658.37</v>
      </c>
      <c r="G58" s="1180">
        <f t="shared" si="37"/>
        <v>0</v>
      </c>
      <c r="H58" s="1539">
        <f t="shared" si="38"/>
        <v>0</v>
      </c>
      <c r="I58" s="1181"/>
      <c r="J58" s="1181"/>
      <c r="K58" s="1182">
        <f t="shared" si="39"/>
        <v>0</v>
      </c>
      <c r="L58" s="1539">
        <f t="shared" si="54"/>
        <v>0</v>
      </c>
      <c r="M58" s="1388">
        <f t="shared" si="40"/>
        <v>0</v>
      </c>
      <c r="N58" s="1539">
        <f t="shared" si="41"/>
        <v>0</v>
      </c>
      <c r="O58" s="1770">
        <v>0</v>
      </c>
      <c r="P58" s="1545">
        <f t="shared" si="55"/>
        <v>0</v>
      </c>
      <c r="Q58" s="1181"/>
      <c r="R58" s="1181">
        <f t="shared" si="42"/>
        <v>0</v>
      </c>
      <c r="S58" s="1545">
        <f t="shared" si="43"/>
        <v>0</v>
      </c>
      <c r="T58" s="1557">
        <f t="shared" si="44"/>
        <v>0</v>
      </c>
      <c r="U58" s="1389">
        <f>'[9]FY2014-15 Initial'!$K59</f>
        <v>5212</v>
      </c>
      <c r="V58" s="1515">
        <f t="shared" si="56"/>
        <v>0</v>
      </c>
      <c r="W58" s="1391"/>
      <c r="X58" s="1392">
        <f t="shared" si="45"/>
        <v>0</v>
      </c>
      <c r="Y58" s="1391"/>
      <c r="Z58" s="1392">
        <f t="shared" si="46"/>
        <v>0</v>
      </c>
      <c r="AA58" s="1390">
        <f t="shared" si="47"/>
        <v>0</v>
      </c>
      <c r="AB58" s="1515">
        <f t="shared" si="48"/>
        <v>0</v>
      </c>
      <c r="AC58" s="1394">
        <f t="shared" si="49"/>
        <v>0</v>
      </c>
      <c r="AD58" s="1515">
        <f t="shared" si="50"/>
        <v>0</v>
      </c>
      <c r="AE58" s="1392">
        <v>0</v>
      </c>
      <c r="AF58" s="1515">
        <f t="shared" si="51"/>
        <v>0</v>
      </c>
      <c r="AG58" s="1392"/>
      <c r="AH58" s="1392">
        <f t="shared" si="52"/>
        <v>0</v>
      </c>
      <c r="AI58" s="1515">
        <f t="shared" si="53"/>
        <v>0</v>
      </c>
      <c r="AJ58" s="1393">
        <f t="shared" si="57"/>
        <v>0</v>
      </c>
      <c r="AK58" s="1502">
        <f t="shared" si="58"/>
        <v>0</v>
      </c>
    </row>
    <row r="59" spans="1:37" ht="16.2" customHeight="1">
      <c r="A59" s="1176">
        <v>53</v>
      </c>
      <c r="B59" s="1177" t="s">
        <v>132</v>
      </c>
      <c r="C59" s="1178">
        <f>+'Table 8 Membership 2.1.14'!I55</f>
        <v>0</v>
      </c>
      <c r="D59" s="1179">
        <f>'Table 3 Levels 1&amp;2'!AL56</f>
        <v>5060.1508194045482</v>
      </c>
      <c r="E59" s="1180">
        <f t="shared" si="36"/>
        <v>0</v>
      </c>
      <c r="F59" s="1180">
        <f>'Table 3A Level 3'!C58</f>
        <v>689.74</v>
      </c>
      <c r="G59" s="1180">
        <f t="shared" si="37"/>
        <v>0</v>
      </c>
      <c r="H59" s="1539">
        <f t="shared" si="38"/>
        <v>0</v>
      </c>
      <c r="I59" s="1181"/>
      <c r="J59" s="1181"/>
      <c r="K59" s="1182">
        <f t="shared" si="39"/>
        <v>0</v>
      </c>
      <c r="L59" s="1539">
        <f t="shared" si="54"/>
        <v>0</v>
      </c>
      <c r="M59" s="1388">
        <f t="shared" si="40"/>
        <v>0</v>
      </c>
      <c r="N59" s="1539">
        <f t="shared" si="41"/>
        <v>0</v>
      </c>
      <c r="O59" s="1770">
        <v>0</v>
      </c>
      <c r="P59" s="1545">
        <f t="shared" si="55"/>
        <v>0</v>
      </c>
      <c r="Q59" s="1181"/>
      <c r="R59" s="1181">
        <f t="shared" si="42"/>
        <v>0</v>
      </c>
      <c r="S59" s="1545">
        <f t="shared" si="43"/>
        <v>0</v>
      </c>
      <c r="T59" s="1557">
        <f t="shared" si="44"/>
        <v>0</v>
      </c>
      <c r="U59" s="1389">
        <f>'[9]FY2014-15 Initial'!$K60</f>
        <v>2054</v>
      </c>
      <c r="V59" s="1515">
        <f t="shared" si="56"/>
        <v>0</v>
      </c>
      <c r="W59" s="1391"/>
      <c r="X59" s="1392">
        <f t="shared" si="45"/>
        <v>0</v>
      </c>
      <c r="Y59" s="1391"/>
      <c r="Z59" s="1392">
        <f t="shared" si="46"/>
        <v>0</v>
      </c>
      <c r="AA59" s="1390">
        <f t="shared" si="47"/>
        <v>0</v>
      </c>
      <c r="AB59" s="1515">
        <f t="shared" si="48"/>
        <v>0</v>
      </c>
      <c r="AC59" s="1394">
        <f t="shared" si="49"/>
        <v>0</v>
      </c>
      <c r="AD59" s="1515">
        <f t="shared" si="50"/>
        <v>0</v>
      </c>
      <c r="AE59" s="1392">
        <v>0</v>
      </c>
      <c r="AF59" s="1515">
        <f t="shared" si="51"/>
        <v>0</v>
      </c>
      <c r="AG59" s="1392"/>
      <c r="AH59" s="1392">
        <f t="shared" si="52"/>
        <v>0</v>
      </c>
      <c r="AI59" s="1515">
        <f t="shared" si="53"/>
        <v>0</v>
      </c>
      <c r="AJ59" s="1393">
        <f t="shared" si="57"/>
        <v>0</v>
      </c>
      <c r="AK59" s="1502">
        <f t="shared" si="58"/>
        <v>0</v>
      </c>
    </row>
    <row r="60" spans="1:37" ht="16.2" customHeight="1">
      <c r="A60" s="1176">
        <v>54</v>
      </c>
      <c r="B60" s="1177" t="s">
        <v>133</v>
      </c>
      <c r="C60" s="1178">
        <f>+'Table 8 Membership 2.1.14'!I56</f>
        <v>0</v>
      </c>
      <c r="D60" s="1179">
        <f>'Table 3 Levels 1&amp;2'!AL57</f>
        <v>5867.0798370516713</v>
      </c>
      <c r="E60" s="1180">
        <f t="shared" si="36"/>
        <v>0</v>
      </c>
      <c r="F60" s="1180">
        <f>'Table 3A Level 3'!C59</f>
        <v>951.45</v>
      </c>
      <c r="G60" s="1180">
        <f t="shared" si="37"/>
        <v>0</v>
      </c>
      <c r="H60" s="1539">
        <f t="shared" si="38"/>
        <v>0</v>
      </c>
      <c r="I60" s="1181"/>
      <c r="J60" s="1181"/>
      <c r="K60" s="1182">
        <f t="shared" si="39"/>
        <v>0</v>
      </c>
      <c r="L60" s="1539">
        <f t="shared" si="54"/>
        <v>0</v>
      </c>
      <c r="M60" s="1388">
        <f t="shared" si="40"/>
        <v>0</v>
      </c>
      <c r="N60" s="1539">
        <f t="shared" si="41"/>
        <v>0</v>
      </c>
      <c r="O60" s="1770">
        <v>0</v>
      </c>
      <c r="P60" s="1545">
        <f t="shared" si="55"/>
        <v>0</v>
      </c>
      <c r="Q60" s="1181"/>
      <c r="R60" s="1181">
        <f t="shared" si="42"/>
        <v>0</v>
      </c>
      <c r="S60" s="1545">
        <f t="shared" si="43"/>
        <v>0</v>
      </c>
      <c r="T60" s="1557">
        <f t="shared" si="44"/>
        <v>0</v>
      </c>
      <c r="U60" s="1389">
        <f>'[9]FY2014-15 Initial'!$K61</f>
        <v>4116</v>
      </c>
      <c r="V60" s="1515">
        <f t="shared" si="56"/>
        <v>0</v>
      </c>
      <c r="W60" s="1391"/>
      <c r="X60" s="1392">
        <f t="shared" si="45"/>
        <v>0</v>
      </c>
      <c r="Y60" s="1391"/>
      <c r="Z60" s="1392">
        <f t="shared" si="46"/>
        <v>0</v>
      </c>
      <c r="AA60" s="1390">
        <f t="shared" si="47"/>
        <v>0</v>
      </c>
      <c r="AB60" s="1515">
        <f t="shared" si="48"/>
        <v>0</v>
      </c>
      <c r="AC60" s="1394">
        <f t="shared" si="49"/>
        <v>0</v>
      </c>
      <c r="AD60" s="1515">
        <f t="shared" si="50"/>
        <v>0</v>
      </c>
      <c r="AE60" s="1392">
        <v>0</v>
      </c>
      <c r="AF60" s="1515">
        <f t="shared" si="51"/>
        <v>0</v>
      </c>
      <c r="AG60" s="1392"/>
      <c r="AH60" s="1392">
        <f t="shared" si="52"/>
        <v>0</v>
      </c>
      <c r="AI60" s="1515">
        <f t="shared" si="53"/>
        <v>0</v>
      </c>
      <c r="AJ60" s="1393">
        <f t="shared" si="57"/>
        <v>0</v>
      </c>
      <c r="AK60" s="1502">
        <f t="shared" si="58"/>
        <v>0</v>
      </c>
    </row>
    <row r="61" spans="1:37" ht="16.2" customHeight="1">
      <c r="A61" s="1168">
        <v>55</v>
      </c>
      <c r="B61" s="1169" t="s">
        <v>134</v>
      </c>
      <c r="C61" s="1170">
        <f>+'Table 8 Membership 2.1.14'!I57</f>
        <v>0</v>
      </c>
      <c r="D61" s="1171">
        <f>'Table 3 Levels 1&amp;2'!AL58</f>
        <v>4266.8225491298481</v>
      </c>
      <c r="E61" s="1172">
        <f t="shared" si="36"/>
        <v>0</v>
      </c>
      <c r="F61" s="1172">
        <f>'Table 3A Level 3'!C60</f>
        <v>795.14</v>
      </c>
      <c r="G61" s="1172">
        <f t="shared" si="37"/>
        <v>0</v>
      </c>
      <c r="H61" s="1540">
        <f t="shared" si="38"/>
        <v>0</v>
      </c>
      <c r="I61" s="1173"/>
      <c r="J61" s="1173"/>
      <c r="K61" s="1174">
        <f t="shared" si="39"/>
        <v>0</v>
      </c>
      <c r="L61" s="1540">
        <f t="shared" si="54"/>
        <v>0</v>
      </c>
      <c r="M61" s="1399">
        <f t="shared" si="40"/>
        <v>0</v>
      </c>
      <c r="N61" s="1540">
        <f t="shared" si="41"/>
        <v>0</v>
      </c>
      <c r="O61" s="1771">
        <v>0</v>
      </c>
      <c r="P61" s="1546">
        <f t="shared" si="55"/>
        <v>0</v>
      </c>
      <c r="Q61" s="1175"/>
      <c r="R61" s="1173">
        <f t="shared" si="42"/>
        <v>0</v>
      </c>
      <c r="S61" s="1550">
        <f t="shared" si="43"/>
        <v>0</v>
      </c>
      <c r="T61" s="1550">
        <f t="shared" si="44"/>
        <v>0</v>
      </c>
      <c r="U61" s="1382">
        <f>'[9]FY2014-15 Initial'!$K62</f>
        <v>3532</v>
      </c>
      <c r="V61" s="1516">
        <f t="shared" si="56"/>
        <v>0</v>
      </c>
      <c r="W61" s="1400"/>
      <c r="X61" s="1383">
        <f t="shared" si="45"/>
        <v>0</v>
      </c>
      <c r="Y61" s="1400"/>
      <c r="Z61" s="1383">
        <f t="shared" si="46"/>
        <v>0</v>
      </c>
      <c r="AA61" s="1384">
        <f t="shared" si="47"/>
        <v>0</v>
      </c>
      <c r="AB61" s="1516">
        <f t="shared" si="48"/>
        <v>0</v>
      </c>
      <c r="AC61" s="1402">
        <f t="shared" si="49"/>
        <v>0</v>
      </c>
      <c r="AD61" s="1516">
        <f t="shared" si="50"/>
        <v>0</v>
      </c>
      <c r="AE61" s="1383">
        <v>0</v>
      </c>
      <c r="AF61" s="1516">
        <f t="shared" si="51"/>
        <v>0</v>
      </c>
      <c r="AG61" s="1383"/>
      <c r="AH61" s="1383">
        <f t="shared" si="52"/>
        <v>0</v>
      </c>
      <c r="AI61" s="1516">
        <f t="shared" si="53"/>
        <v>0</v>
      </c>
      <c r="AJ61" s="1401">
        <f t="shared" si="57"/>
        <v>0</v>
      </c>
      <c r="AK61" s="1503">
        <f t="shared" si="58"/>
        <v>0</v>
      </c>
    </row>
    <row r="62" spans="1:37" ht="16.2" customHeight="1">
      <c r="A62" s="1183">
        <v>56</v>
      </c>
      <c r="B62" s="1184" t="s">
        <v>135</v>
      </c>
      <c r="C62" s="1185">
        <f>+'Table 8 Membership 2.1.14'!I58</f>
        <v>0</v>
      </c>
      <c r="D62" s="1186">
        <f>'Table 3 Levels 1&amp;2'!AL59</f>
        <v>5028.4909408288286</v>
      </c>
      <c r="E62" s="1187">
        <f t="shared" si="36"/>
        <v>0</v>
      </c>
      <c r="F62" s="1187">
        <f>'Table 3A Level 3'!C61</f>
        <v>614.66000000000008</v>
      </c>
      <c r="G62" s="1187">
        <f t="shared" si="37"/>
        <v>0</v>
      </c>
      <c r="H62" s="1538">
        <f t="shared" si="38"/>
        <v>0</v>
      </c>
      <c r="I62" s="1188"/>
      <c r="J62" s="1188"/>
      <c r="K62" s="1189">
        <f t="shared" si="39"/>
        <v>0</v>
      </c>
      <c r="L62" s="1538">
        <f t="shared" si="54"/>
        <v>0</v>
      </c>
      <c r="M62" s="1372">
        <f t="shared" si="40"/>
        <v>0</v>
      </c>
      <c r="N62" s="1538">
        <f t="shared" si="41"/>
        <v>0</v>
      </c>
      <c r="O62" s="1769">
        <v>0</v>
      </c>
      <c r="P62" s="1544">
        <f t="shared" si="55"/>
        <v>0</v>
      </c>
      <c r="Q62" s="1188"/>
      <c r="R62" s="1188">
        <f t="shared" si="42"/>
        <v>0</v>
      </c>
      <c r="S62" s="1544">
        <f t="shared" si="43"/>
        <v>0</v>
      </c>
      <c r="T62" s="1556">
        <f t="shared" si="44"/>
        <v>0</v>
      </c>
      <c r="U62" s="1373">
        <f>'[9]FY2014-15 Initial'!$K63</f>
        <v>2865</v>
      </c>
      <c r="V62" s="1514">
        <f t="shared" si="56"/>
        <v>0</v>
      </c>
      <c r="W62" s="1375"/>
      <c r="X62" s="1376">
        <f t="shared" si="45"/>
        <v>0</v>
      </c>
      <c r="Y62" s="1375"/>
      <c r="Z62" s="1376">
        <f t="shared" si="46"/>
        <v>0</v>
      </c>
      <c r="AA62" s="1374">
        <f t="shared" si="47"/>
        <v>0</v>
      </c>
      <c r="AB62" s="1514">
        <f t="shared" si="48"/>
        <v>0</v>
      </c>
      <c r="AC62" s="1378">
        <f t="shared" si="49"/>
        <v>0</v>
      </c>
      <c r="AD62" s="1514">
        <f t="shared" si="50"/>
        <v>0</v>
      </c>
      <c r="AE62" s="1376">
        <v>0</v>
      </c>
      <c r="AF62" s="1514">
        <f t="shared" si="51"/>
        <v>0</v>
      </c>
      <c r="AG62" s="1376"/>
      <c r="AH62" s="1376">
        <f t="shared" si="52"/>
        <v>0</v>
      </c>
      <c r="AI62" s="1514">
        <f t="shared" si="53"/>
        <v>0</v>
      </c>
      <c r="AJ62" s="1377">
        <f t="shared" si="57"/>
        <v>0</v>
      </c>
      <c r="AK62" s="1501">
        <f t="shared" si="58"/>
        <v>0</v>
      </c>
    </row>
    <row r="63" spans="1:37" ht="16.2" customHeight="1">
      <c r="A63" s="1176">
        <v>57</v>
      </c>
      <c r="B63" s="1177" t="s">
        <v>136</v>
      </c>
      <c r="C63" s="1178">
        <f>+'Table 8 Membership 2.1.14'!I59</f>
        <v>0</v>
      </c>
      <c r="D63" s="1179">
        <f>'Table 3 Levels 1&amp;2'!AL60</f>
        <v>4625.9922979230687</v>
      </c>
      <c r="E63" s="1180">
        <f t="shared" si="36"/>
        <v>0</v>
      </c>
      <c r="F63" s="1180">
        <f>'Table 3A Level 3'!C62</f>
        <v>764.51</v>
      </c>
      <c r="G63" s="1180">
        <f t="shared" si="37"/>
        <v>0</v>
      </c>
      <c r="H63" s="1539">
        <f t="shared" si="38"/>
        <v>0</v>
      </c>
      <c r="I63" s="1181"/>
      <c r="J63" s="1181"/>
      <c r="K63" s="1182">
        <f t="shared" si="39"/>
        <v>0</v>
      </c>
      <c r="L63" s="1539">
        <f t="shared" si="54"/>
        <v>0</v>
      </c>
      <c r="M63" s="1388">
        <f t="shared" si="40"/>
        <v>0</v>
      </c>
      <c r="N63" s="1539">
        <f t="shared" si="41"/>
        <v>0</v>
      </c>
      <c r="O63" s="1770">
        <v>0</v>
      </c>
      <c r="P63" s="1545">
        <f t="shared" si="55"/>
        <v>0</v>
      </c>
      <c r="Q63" s="1181"/>
      <c r="R63" s="1181">
        <f t="shared" si="42"/>
        <v>0</v>
      </c>
      <c r="S63" s="1545">
        <f t="shared" si="43"/>
        <v>0</v>
      </c>
      <c r="T63" s="1557">
        <f t="shared" si="44"/>
        <v>0</v>
      </c>
      <c r="U63" s="1389">
        <f>'[9]FY2014-15 Initial'!$K64</f>
        <v>3395</v>
      </c>
      <c r="V63" s="1515">
        <f t="shared" si="56"/>
        <v>0</v>
      </c>
      <c r="W63" s="1391"/>
      <c r="X63" s="1392">
        <f t="shared" si="45"/>
        <v>0</v>
      </c>
      <c r="Y63" s="1391"/>
      <c r="Z63" s="1392">
        <f t="shared" si="46"/>
        <v>0</v>
      </c>
      <c r="AA63" s="1390">
        <f t="shared" si="47"/>
        <v>0</v>
      </c>
      <c r="AB63" s="1515">
        <f t="shared" si="48"/>
        <v>0</v>
      </c>
      <c r="AC63" s="1394">
        <f t="shared" si="49"/>
        <v>0</v>
      </c>
      <c r="AD63" s="1515">
        <f t="shared" si="50"/>
        <v>0</v>
      </c>
      <c r="AE63" s="1392">
        <v>0</v>
      </c>
      <c r="AF63" s="1515">
        <f t="shared" si="51"/>
        <v>0</v>
      </c>
      <c r="AG63" s="1392"/>
      <c r="AH63" s="1392">
        <f t="shared" si="52"/>
        <v>0</v>
      </c>
      <c r="AI63" s="1515">
        <f t="shared" si="53"/>
        <v>0</v>
      </c>
      <c r="AJ63" s="1393">
        <f t="shared" si="57"/>
        <v>0</v>
      </c>
      <c r="AK63" s="1502">
        <f t="shared" si="58"/>
        <v>0</v>
      </c>
    </row>
    <row r="64" spans="1:37" ht="16.2" customHeight="1">
      <c r="A64" s="1176">
        <v>58</v>
      </c>
      <c r="B64" s="1177" t="s">
        <v>137</v>
      </c>
      <c r="C64" s="1178">
        <f>+'Table 8 Membership 2.1.14'!I60</f>
        <v>0</v>
      </c>
      <c r="D64" s="1179">
        <f>'Table 3 Levels 1&amp;2'!AL61</f>
        <v>5673.1129637882123</v>
      </c>
      <c r="E64" s="1180">
        <f t="shared" si="36"/>
        <v>0</v>
      </c>
      <c r="F64" s="1180">
        <f>'Table 3A Level 3'!C63</f>
        <v>697.04</v>
      </c>
      <c r="G64" s="1180">
        <f t="shared" si="37"/>
        <v>0</v>
      </c>
      <c r="H64" s="1539">
        <f t="shared" si="38"/>
        <v>0</v>
      </c>
      <c r="I64" s="1181"/>
      <c r="J64" s="1181"/>
      <c r="K64" s="1182">
        <f t="shared" si="39"/>
        <v>0</v>
      </c>
      <c r="L64" s="1539">
        <f t="shared" si="54"/>
        <v>0</v>
      </c>
      <c r="M64" s="1388">
        <f t="shared" si="40"/>
        <v>0</v>
      </c>
      <c r="N64" s="1539">
        <f t="shared" si="41"/>
        <v>0</v>
      </c>
      <c r="O64" s="1770">
        <v>0</v>
      </c>
      <c r="P64" s="1545">
        <f t="shared" si="55"/>
        <v>0</v>
      </c>
      <c r="Q64" s="1181"/>
      <c r="R64" s="1181">
        <f t="shared" si="42"/>
        <v>0</v>
      </c>
      <c r="S64" s="1545">
        <f t="shared" si="43"/>
        <v>0</v>
      </c>
      <c r="T64" s="1557">
        <f t="shared" si="44"/>
        <v>0</v>
      </c>
      <c r="U64" s="1389">
        <f>'[9]FY2014-15 Initial'!$K65</f>
        <v>2084</v>
      </c>
      <c r="V64" s="1515">
        <f t="shared" si="56"/>
        <v>0</v>
      </c>
      <c r="W64" s="1391"/>
      <c r="X64" s="1392">
        <f t="shared" si="45"/>
        <v>0</v>
      </c>
      <c r="Y64" s="1391"/>
      <c r="Z64" s="1392">
        <f t="shared" si="46"/>
        <v>0</v>
      </c>
      <c r="AA64" s="1390">
        <f t="shared" si="47"/>
        <v>0</v>
      </c>
      <c r="AB64" s="1515">
        <f t="shared" si="48"/>
        <v>0</v>
      </c>
      <c r="AC64" s="1394">
        <f t="shared" si="49"/>
        <v>0</v>
      </c>
      <c r="AD64" s="1515">
        <f t="shared" si="50"/>
        <v>0</v>
      </c>
      <c r="AE64" s="1392">
        <v>0</v>
      </c>
      <c r="AF64" s="1515">
        <f t="shared" si="51"/>
        <v>0</v>
      </c>
      <c r="AG64" s="1392"/>
      <c r="AH64" s="1392">
        <f t="shared" si="52"/>
        <v>0</v>
      </c>
      <c r="AI64" s="1515">
        <f t="shared" si="53"/>
        <v>0</v>
      </c>
      <c r="AJ64" s="1393">
        <f t="shared" si="57"/>
        <v>0</v>
      </c>
      <c r="AK64" s="1502">
        <f t="shared" si="58"/>
        <v>0</v>
      </c>
    </row>
    <row r="65" spans="1:37" ht="16.2" customHeight="1">
      <c r="A65" s="1176">
        <v>59</v>
      </c>
      <c r="B65" s="1177" t="s">
        <v>138</v>
      </c>
      <c r="C65" s="1178">
        <f>+'Table 8 Membership 2.1.14'!I61</f>
        <v>0</v>
      </c>
      <c r="D65" s="1179">
        <f>'Table 3 Levels 1&amp;2'!AL62</f>
        <v>6621.946293521848</v>
      </c>
      <c r="E65" s="1180">
        <f t="shared" si="36"/>
        <v>0</v>
      </c>
      <c r="F65" s="1180">
        <f>'Table 3A Level 3'!C64</f>
        <v>689.52</v>
      </c>
      <c r="G65" s="1180">
        <f t="shared" si="37"/>
        <v>0</v>
      </c>
      <c r="H65" s="1539">
        <f t="shared" si="38"/>
        <v>0</v>
      </c>
      <c r="I65" s="1181"/>
      <c r="J65" s="1181"/>
      <c r="K65" s="1182">
        <f t="shared" si="39"/>
        <v>0</v>
      </c>
      <c r="L65" s="1539">
        <f t="shared" si="54"/>
        <v>0</v>
      </c>
      <c r="M65" s="1388">
        <f t="shared" si="40"/>
        <v>0</v>
      </c>
      <c r="N65" s="1539">
        <f t="shared" si="41"/>
        <v>0</v>
      </c>
      <c r="O65" s="1770">
        <v>0</v>
      </c>
      <c r="P65" s="1545">
        <f t="shared" si="55"/>
        <v>0</v>
      </c>
      <c r="Q65" s="1181"/>
      <c r="R65" s="1181">
        <f t="shared" si="42"/>
        <v>0</v>
      </c>
      <c r="S65" s="1545">
        <f t="shared" si="43"/>
        <v>0</v>
      </c>
      <c r="T65" s="1557">
        <f t="shared" si="44"/>
        <v>0</v>
      </c>
      <c r="U65" s="1389">
        <f>'[9]FY2014-15 Initial'!$K66</f>
        <v>1577</v>
      </c>
      <c r="V65" s="1515">
        <f t="shared" si="56"/>
        <v>0</v>
      </c>
      <c r="W65" s="1391"/>
      <c r="X65" s="1392">
        <f t="shared" si="45"/>
        <v>0</v>
      </c>
      <c r="Y65" s="1391"/>
      <c r="Z65" s="1392">
        <f t="shared" si="46"/>
        <v>0</v>
      </c>
      <c r="AA65" s="1390">
        <f t="shared" si="47"/>
        <v>0</v>
      </c>
      <c r="AB65" s="1515">
        <f t="shared" si="48"/>
        <v>0</v>
      </c>
      <c r="AC65" s="1394">
        <f t="shared" si="49"/>
        <v>0</v>
      </c>
      <c r="AD65" s="1515">
        <f t="shared" si="50"/>
        <v>0</v>
      </c>
      <c r="AE65" s="1392">
        <v>0</v>
      </c>
      <c r="AF65" s="1515">
        <f t="shared" si="51"/>
        <v>0</v>
      </c>
      <c r="AG65" s="1392"/>
      <c r="AH65" s="1392">
        <f t="shared" si="52"/>
        <v>0</v>
      </c>
      <c r="AI65" s="1515">
        <f t="shared" si="53"/>
        <v>0</v>
      </c>
      <c r="AJ65" s="1393">
        <f t="shared" si="57"/>
        <v>0</v>
      </c>
      <c r="AK65" s="1502">
        <f t="shared" si="58"/>
        <v>0</v>
      </c>
    </row>
    <row r="66" spans="1:37" ht="16.2" customHeight="1">
      <c r="A66" s="1168">
        <v>60</v>
      </c>
      <c r="B66" s="1169" t="s">
        <v>139</v>
      </c>
      <c r="C66" s="1170">
        <f>+'Table 8 Membership 2.1.14'!I62</f>
        <v>0</v>
      </c>
      <c r="D66" s="1171">
        <f>'Table 3 Levels 1&amp;2'!AL63</f>
        <v>5301.224090063828</v>
      </c>
      <c r="E66" s="1172">
        <f t="shared" si="36"/>
        <v>0</v>
      </c>
      <c r="F66" s="1172">
        <f>'Table 3A Level 3'!C65</f>
        <v>594.04</v>
      </c>
      <c r="G66" s="1172">
        <f t="shared" si="37"/>
        <v>0</v>
      </c>
      <c r="H66" s="1540">
        <f t="shared" si="38"/>
        <v>0</v>
      </c>
      <c r="I66" s="1173"/>
      <c r="J66" s="1173"/>
      <c r="K66" s="1174">
        <f t="shared" si="39"/>
        <v>0</v>
      </c>
      <c r="L66" s="1540">
        <f t="shared" si="54"/>
        <v>0</v>
      </c>
      <c r="M66" s="1399">
        <f t="shared" si="40"/>
        <v>0</v>
      </c>
      <c r="N66" s="1540">
        <f t="shared" si="41"/>
        <v>0</v>
      </c>
      <c r="O66" s="1771">
        <v>0</v>
      </c>
      <c r="P66" s="1546">
        <f t="shared" si="55"/>
        <v>0</v>
      </c>
      <c r="Q66" s="1175"/>
      <c r="R66" s="1173">
        <f t="shared" si="42"/>
        <v>0</v>
      </c>
      <c r="S66" s="1550">
        <f t="shared" si="43"/>
        <v>0</v>
      </c>
      <c r="T66" s="1550">
        <f t="shared" si="44"/>
        <v>0</v>
      </c>
      <c r="U66" s="1382">
        <f>'[9]FY2014-15 Initial'!$K67</f>
        <v>3922</v>
      </c>
      <c r="V66" s="1516">
        <f t="shared" si="56"/>
        <v>0</v>
      </c>
      <c r="W66" s="1400"/>
      <c r="X66" s="1383">
        <f t="shared" si="45"/>
        <v>0</v>
      </c>
      <c r="Y66" s="1400"/>
      <c r="Z66" s="1383">
        <f t="shared" si="46"/>
        <v>0</v>
      </c>
      <c r="AA66" s="1384">
        <f t="shared" si="47"/>
        <v>0</v>
      </c>
      <c r="AB66" s="1516">
        <f t="shared" si="48"/>
        <v>0</v>
      </c>
      <c r="AC66" s="1402">
        <f t="shared" si="49"/>
        <v>0</v>
      </c>
      <c r="AD66" s="1516">
        <f t="shared" si="50"/>
        <v>0</v>
      </c>
      <c r="AE66" s="1383">
        <v>0</v>
      </c>
      <c r="AF66" s="1516">
        <f t="shared" si="51"/>
        <v>0</v>
      </c>
      <c r="AG66" s="1383"/>
      <c r="AH66" s="1383">
        <f t="shared" si="52"/>
        <v>0</v>
      </c>
      <c r="AI66" s="1516">
        <f t="shared" si="53"/>
        <v>0</v>
      </c>
      <c r="AJ66" s="1401">
        <f t="shared" si="57"/>
        <v>0</v>
      </c>
      <c r="AK66" s="1503">
        <f t="shared" si="58"/>
        <v>0</v>
      </c>
    </row>
    <row r="67" spans="1:37" ht="16.2" customHeight="1">
      <c r="A67" s="1183">
        <v>61</v>
      </c>
      <c r="B67" s="1184" t="s">
        <v>140</v>
      </c>
      <c r="C67" s="1185">
        <f>+'Table 8 Membership 2.1.14'!I63</f>
        <v>1</v>
      </c>
      <c r="D67" s="1186">
        <f>'Table 3 Levels 1&amp;2'!AL64</f>
        <v>2854.1575356369185</v>
      </c>
      <c r="E67" s="1187">
        <f t="shared" si="36"/>
        <v>2854.1575356369185</v>
      </c>
      <c r="F67" s="1187">
        <f>'Table 3A Level 3'!C66</f>
        <v>833.70999999999992</v>
      </c>
      <c r="G67" s="1187">
        <f t="shared" si="37"/>
        <v>833.70999999999992</v>
      </c>
      <c r="H67" s="1538">
        <f t="shared" si="38"/>
        <v>3687.8675356369185</v>
      </c>
      <c r="I67" s="1188"/>
      <c r="J67" s="1188"/>
      <c r="K67" s="1189">
        <f t="shared" si="39"/>
        <v>0</v>
      </c>
      <c r="L67" s="1538">
        <f t="shared" si="54"/>
        <v>3687.8675356369185</v>
      </c>
      <c r="M67" s="1372">
        <f t="shared" si="40"/>
        <v>-9.2196688390922965</v>
      </c>
      <c r="N67" s="1538">
        <f t="shared" si="41"/>
        <v>3678.6478667978263</v>
      </c>
      <c r="O67" s="1769">
        <v>0</v>
      </c>
      <c r="P67" s="1544">
        <f t="shared" si="55"/>
        <v>3678.6478667978263</v>
      </c>
      <c r="Q67" s="1188"/>
      <c r="R67" s="1188">
        <f t="shared" si="42"/>
        <v>3678.6478667978263</v>
      </c>
      <c r="S67" s="1544">
        <f t="shared" si="43"/>
        <v>307</v>
      </c>
      <c r="T67" s="1556">
        <f t="shared" si="44"/>
        <v>3678.6478667978263</v>
      </c>
      <c r="U67" s="1373">
        <f>'[9]FY2014-15 Initial'!$K68</f>
        <v>6745</v>
      </c>
      <c r="V67" s="1514">
        <f t="shared" si="56"/>
        <v>6745</v>
      </c>
      <c r="W67" s="1375"/>
      <c r="X67" s="1376">
        <f t="shared" si="45"/>
        <v>0</v>
      </c>
      <c r="Y67" s="1375"/>
      <c r="Z67" s="1376">
        <f t="shared" si="46"/>
        <v>0</v>
      </c>
      <c r="AA67" s="1374">
        <f t="shared" si="47"/>
        <v>0</v>
      </c>
      <c r="AB67" s="1514">
        <f t="shared" si="48"/>
        <v>6745</v>
      </c>
      <c r="AC67" s="1378">
        <f t="shared" si="49"/>
        <v>-16.862500000000001</v>
      </c>
      <c r="AD67" s="1514">
        <f t="shared" si="50"/>
        <v>6728.1374999999998</v>
      </c>
      <c r="AE67" s="1376">
        <v>0</v>
      </c>
      <c r="AF67" s="1514">
        <f t="shared" si="51"/>
        <v>6728.1374999999998</v>
      </c>
      <c r="AG67" s="1376"/>
      <c r="AH67" s="1376">
        <f t="shared" si="52"/>
        <v>6728.1374999999998</v>
      </c>
      <c r="AI67" s="1514">
        <f t="shared" si="53"/>
        <v>561</v>
      </c>
      <c r="AJ67" s="1377">
        <f t="shared" si="57"/>
        <v>10406.785366797827</v>
      </c>
      <c r="AK67" s="1501">
        <f t="shared" si="58"/>
        <v>868</v>
      </c>
    </row>
    <row r="68" spans="1:37" ht="16.2" customHeight="1">
      <c r="A68" s="1176">
        <v>62</v>
      </c>
      <c r="B68" s="1177" t="s">
        <v>141</v>
      </c>
      <c r="C68" s="1178">
        <f>+'Table 8 Membership 2.1.14'!I64</f>
        <v>0</v>
      </c>
      <c r="D68" s="1179">
        <f>'Table 3 Levels 1&amp;2'!AL65</f>
        <v>5901.074538516008</v>
      </c>
      <c r="E68" s="1180">
        <f t="shared" si="36"/>
        <v>0</v>
      </c>
      <c r="F68" s="1180">
        <f>'Table 3A Level 3'!C67</f>
        <v>516.08000000000004</v>
      </c>
      <c r="G68" s="1180">
        <f t="shared" si="37"/>
        <v>0</v>
      </c>
      <c r="H68" s="1539">
        <f t="shared" si="38"/>
        <v>0</v>
      </c>
      <c r="I68" s="1181"/>
      <c r="J68" s="1181"/>
      <c r="K68" s="1182">
        <f t="shared" si="39"/>
        <v>0</v>
      </c>
      <c r="L68" s="1539">
        <f t="shared" si="54"/>
        <v>0</v>
      </c>
      <c r="M68" s="1388">
        <f t="shared" si="40"/>
        <v>0</v>
      </c>
      <c r="N68" s="1539">
        <f t="shared" si="41"/>
        <v>0</v>
      </c>
      <c r="O68" s="1770">
        <v>0</v>
      </c>
      <c r="P68" s="1545">
        <f t="shared" si="55"/>
        <v>0</v>
      </c>
      <c r="Q68" s="1181"/>
      <c r="R68" s="1181">
        <f t="shared" si="42"/>
        <v>0</v>
      </c>
      <c r="S68" s="1545">
        <f t="shared" si="43"/>
        <v>0</v>
      </c>
      <c r="T68" s="1557">
        <f t="shared" si="44"/>
        <v>0</v>
      </c>
      <c r="U68" s="1389">
        <f>'[9]FY2014-15 Initial'!$K69</f>
        <v>1908</v>
      </c>
      <c r="V68" s="1515">
        <f t="shared" si="56"/>
        <v>0</v>
      </c>
      <c r="W68" s="1391"/>
      <c r="X68" s="1392">
        <f t="shared" si="45"/>
        <v>0</v>
      </c>
      <c r="Y68" s="1391"/>
      <c r="Z68" s="1392">
        <f t="shared" si="46"/>
        <v>0</v>
      </c>
      <c r="AA68" s="1390">
        <f t="shared" si="47"/>
        <v>0</v>
      </c>
      <c r="AB68" s="1515">
        <f t="shared" si="48"/>
        <v>0</v>
      </c>
      <c r="AC68" s="1394">
        <f t="shared" si="49"/>
        <v>0</v>
      </c>
      <c r="AD68" s="1515">
        <f t="shared" si="50"/>
        <v>0</v>
      </c>
      <c r="AE68" s="1392">
        <v>0</v>
      </c>
      <c r="AF68" s="1515">
        <f t="shared" si="51"/>
        <v>0</v>
      </c>
      <c r="AG68" s="1392"/>
      <c r="AH68" s="1392">
        <f t="shared" si="52"/>
        <v>0</v>
      </c>
      <c r="AI68" s="1515">
        <f t="shared" si="53"/>
        <v>0</v>
      </c>
      <c r="AJ68" s="1393">
        <f t="shared" si="57"/>
        <v>0</v>
      </c>
      <c r="AK68" s="1502">
        <f t="shared" si="58"/>
        <v>0</v>
      </c>
    </row>
    <row r="69" spans="1:37" ht="16.2" customHeight="1">
      <c r="A69" s="1176">
        <v>63</v>
      </c>
      <c r="B69" s="1177" t="s">
        <v>142</v>
      </c>
      <c r="C69" s="1178">
        <f>+'Table 8 Membership 2.1.14'!I65</f>
        <v>0</v>
      </c>
      <c r="D69" s="1179">
        <f>'Table 3 Levels 1&amp;2'!AL66</f>
        <v>4124.3813481848092</v>
      </c>
      <c r="E69" s="1180">
        <f t="shared" si="36"/>
        <v>0</v>
      </c>
      <c r="F69" s="1180">
        <f>'Table 3A Level 3'!C68</f>
        <v>756.79</v>
      </c>
      <c r="G69" s="1180">
        <f t="shared" si="37"/>
        <v>0</v>
      </c>
      <c r="H69" s="1539">
        <f t="shared" si="38"/>
        <v>0</v>
      </c>
      <c r="I69" s="1181"/>
      <c r="J69" s="1181"/>
      <c r="K69" s="1182">
        <f t="shared" si="39"/>
        <v>0</v>
      </c>
      <c r="L69" s="1539">
        <f t="shared" si="54"/>
        <v>0</v>
      </c>
      <c r="M69" s="1388">
        <f t="shared" si="40"/>
        <v>0</v>
      </c>
      <c r="N69" s="1539">
        <f t="shared" si="41"/>
        <v>0</v>
      </c>
      <c r="O69" s="1770">
        <v>0</v>
      </c>
      <c r="P69" s="1545">
        <f t="shared" si="55"/>
        <v>0</v>
      </c>
      <c r="Q69" s="1181"/>
      <c r="R69" s="1181">
        <f t="shared" si="42"/>
        <v>0</v>
      </c>
      <c r="S69" s="1545">
        <f t="shared" si="43"/>
        <v>0</v>
      </c>
      <c r="T69" s="1557">
        <f t="shared" si="44"/>
        <v>0</v>
      </c>
      <c r="U69" s="1389">
        <f>'[9]FY2014-15 Initial'!$K70</f>
        <v>7290</v>
      </c>
      <c r="V69" s="1515">
        <f t="shared" si="56"/>
        <v>0</v>
      </c>
      <c r="W69" s="1391"/>
      <c r="X69" s="1392">
        <f t="shared" si="45"/>
        <v>0</v>
      </c>
      <c r="Y69" s="1391"/>
      <c r="Z69" s="1392">
        <f t="shared" si="46"/>
        <v>0</v>
      </c>
      <c r="AA69" s="1390">
        <f t="shared" si="47"/>
        <v>0</v>
      </c>
      <c r="AB69" s="1515">
        <f t="shared" si="48"/>
        <v>0</v>
      </c>
      <c r="AC69" s="1394">
        <f t="shared" si="49"/>
        <v>0</v>
      </c>
      <c r="AD69" s="1515">
        <f t="shared" si="50"/>
        <v>0</v>
      </c>
      <c r="AE69" s="1392">
        <v>0</v>
      </c>
      <c r="AF69" s="1515">
        <f t="shared" si="51"/>
        <v>0</v>
      </c>
      <c r="AG69" s="1392"/>
      <c r="AH69" s="1392">
        <f t="shared" si="52"/>
        <v>0</v>
      </c>
      <c r="AI69" s="1515">
        <f t="shared" si="53"/>
        <v>0</v>
      </c>
      <c r="AJ69" s="1393">
        <f t="shared" si="57"/>
        <v>0</v>
      </c>
      <c r="AK69" s="1502">
        <f t="shared" si="58"/>
        <v>0</v>
      </c>
    </row>
    <row r="70" spans="1:37" ht="16.2" customHeight="1">
      <c r="A70" s="1176">
        <v>64</v>
      </c>
      <c r="B70" s="1177" t="s">
        <v>143</v>
      </c>
      <c r="C70" s="1178">
        <f>+'Table 8 Membership 2.1.14'!I66</f>
        <v>0</v>
      </c>
      <c r="D70" s="1179">
        <f>'Table 3 Levels 1&amp;2'!AL67</f>
        <v>6277.8307532778254</v>
      </c>
      <c r="E70" s="1180">
        <f t="shared" si="36"/>
        <v>0</v>
      </c>
      <c r="F70" s="1180">
        <f>'Table 3A Level 3'!C69</f>
        <v>592.66</v>
      </c>
      <c r="G70" s="1180">
        <f t="shared" si="37"/>
        <v>0</v>
      </c>
      <c r="H70" s="1539">
        <f t="shared" si="38"/>
        <v>0</v>
      </c>
      <c r="I70" s="1181"/>
      <c r="J70" s="1181"/>
      <c r="K70" s="1182">
        <f t="shared" si="39"/>
        <v>0</v>
      </c>
      <c r="L70" s="1539">
        <f t="shared" si="54"/>
        <v>0</v>
      </c>
      <c r="M70" s="1388">
        <f t="shared" si="40"/>
        <v>0</v>
      </c>
      <c r="N70" s="1539">
        <f t="shared" si="41"/>
        <v>0</v>
      </c>
      <c r="O70" s="1770">
        <v>0</v>
      </c>
      <c r="P70" s="1545">
        <f t="shared" si="55"/>
        <v>0</v>
      </c>
      <c r="Q70" s="1181"/>
      <c r="R70" s="1181">
        <f t="shared" si="42"/>
        <v>0</v>
      </c>
      <c r="S70" s="1545">
        <f t="shared" si="43"/>
        <v>0</v>
      </c>
      <c r="T70" s="1557">
        <f t="shared" si="44"/>
        <v>0</v>
      </c>
      <c r="U70" s="1389">
        <f>'[9]FY2014-15 Initial'!$K71</f>
        <v>2721</v>
      </c>
      <c r="V70" s="1515">
        <f t="shared" si="56"/>
        <v>0</v>
      </c>
      <c r="W70" s="1391"/>
      <c r="X70" s="1392">
        <f t="shared" si="45"/>
        <v>0</v>
      </c>
      <c r="Y70" s="1391"/>
      <c r="Z70" s="1392">
        <f t="shared" si="46"/>
        <v>0</v>
      </c>
      <c r="AA70" s="1390">
        <f t="shared" si="47"/>
        <v>0</v>
      </c>
      <c r="AB70" s="1515">
        <f t="shared" si="48"/>
        <v>0</v>
      </c>
      <c r="AC70" s="1394">
        <f t="shared" si="49"/>
        <v>0</v>
      </c>
      <c r="AD70" s="1515">
        <f t="shared" si="50"/>
        <v>0</v>
      </c>
      <c r="AE70" s="1392">
        <v>0</v>
      </c>
      <c r="AF70" s="1515">
        <f t="shared" si="51"/>
        <v>0</v>
      </c>
      <c r="AG70" s="1392"/>
      <c r="AH70" s="1392">
        <f t="shared" si="52"/>
        <v>0</v>
      </c>
      <c r="AI70" s="1515">
        <f t="shared" si="53"/>
        <v>0</v>
      </c>
      <c r="AJ70" s="1393">
        <f t="shared" si="57"/>
        <v>0</v>
      </c>
      <c r="AK70" s="1502">
        <f t="shared" si="58"/>
        <v>0</v>
      </c>
    </row>
    <row r="71" spans="1:37" ht="16.2" customHeight="1">
      <c r="A71" s="1168">
        <v>65</v>
      </c>
      <c r="B71" s="1169" t="s">
        <v>144</v>
      </c>
      <c r="C71" s="1170">
        <f>+'Table 8 Membership 2.1.14'!I67</f>
        <v>0</v>
      </c>
      <c r="D71" s="1171">
        <f>'Table 3 Levels 1&amp;2'!AL68</f>
        <v>4775.1605543943642</v>
      </c>
      <c r="E71" s="1172">
        <f t="shared" si="36"/>
        <v>0</v>
      </c>
      <c r="F71" s="1172">
        <f>'Table 3A Level 3'!C70</f>
        <v>829.12</v>
      </c>
      <c r="G71" s="1172">
        <f t="shared" si="37"/>
        <v>0</v>
      </c>
      <c r="H71" s="1540">
        <f t="shared" si="38"/>
        <v>0</v>
      </c>
      <c r="I71" s="1173"/>
      <c r="J71" s="1173"/>
      <c r="K71" s="1174">
        <f t="shared" si="39"/>
        <v>0</v>
      </c>
      <c r="L71" s="1540">
        <f t="shared" ref="L71:L75" si="59">K71+H71</f>
        <v>0</v>
      </c>
      <c r="M71" s="1399">
        <f t="shared" si="40"/>
        <v>0</v>
      </c>
      <c r="N71" s="1540">
        <f t="shared" si="41"/>
        <v>0</v>
      </c>
      <c r="O71" s="1771">
        <v>0</v>
      </c>
      <c r="P71" s="1546">
        <f t="shared" ref="P71:P75" si="60">SUM(N71:O71)</f>
        <v>0</v>
      </c>
      <c r="Q71" s="1175"/>
      <c r="R71" s="1173">
        <f t="shared" si="42"/>
        <v>0</v>
      </c>
      <c r="S71" s="1550">
        <f t="shared" si="43"/>
        <v>0</v>
      </c>
      <c r="T71" s="1550">
        <f t="shared" si="44"/>
        <v>0</v>
      </c>
      <c r="U71" s="1382">
        <f>'[9]FY2014-15 Initial'!$K72</f>
        <v>5110</v>
      </c>
      <c r="V71" s="1516">
        <f t="shared" ref="V71:V75" si="61">C71*U71</f>
        <v>0</v>
      </c>
      <c r="W71" s="1400"/>
      <c r="X71" s="1383">
        <f t="shared" si="45"/>
        <v>0</v>
      </c>
      <c r="Y71" s="1400"/>
      <c r="Z71" s="1383">
        <f t="shared" si="46"/>
        <v>0</v>
      </c>
      <c r="AA71" s="1384">
        <f t="shared" si="47"/>
        <v>0</v>
      </c>
      <c r="AB71" s="1516">
        <f t="shared" si="48"/>
        <v>0</v>
      </c>
      <c r="AC71" s="1402">
        <f t="shared" si="49"/>
        <v>0</v>
      </c>
      <c r="AD71" s="1516">
        <f t="shared" si="50"/>
        <v>0</v>
      </c>
      <c r="AE71" s="1383">
        <v>0</v>
      </c>
      <c r="AF71" s="1516">
        <f t="shared" si="51"/>
        <v>0</v>
      </c>
      <c r="AG71" s="1383"/>
      <c r="AH71" s="1383">
        <f t="shared" si="52"/>
        <v>0</v>
      </c>
      <c r="AI71" s="1516">
        <f t="shared" si="53"/>
        <v>0</v>
      </c>
      <c r="AJ71" s="1401">
        <f t="shared" si="57"/>
        <v>0</v>
      </c>
      <c r="AK71" s="1503">
        <f t="shared" si="58"/>
        <v>0</v>
      </c>
    </row>
    <row r="72" spans="1:37" ht="16.2" customHeight="1">
      <c r="A72" s="1176">
        <v>66</v>
      </c>
      <c r="B72" s="1177" t="s">
        <v>145</v>
      </c>
      <c r="C72" s="1197">
        <f>+'Table 8 Membership 2.1.14'!I68</f>
        <v>0</v>
      </c>
      <c r="D72" s="1198">
        <f>'Table 3 Levels 1&amp;2'!AL69</f>
        <v>6564.0085433910035</v>
      </c>
      <c r="E72" s="1199">
        <f t="shared" ref="E72:E75" si="62">C72*D72</f>
        <v>0</v>
      </c>
      <c r="F72" s="1199">
        <f>'Table 3A Level 3'!C71</f>
        <v>730.06</v>
      </c>
      <c r="G72" s="1199">
        <f t="shared" ref="G72:G75" si="63">C72*F72</f>
        <v>0</v>
      </c>
      <c r="H72" s="1403">
        <f t="shared" ref="H72:H75" si="64">E72+G72</f>
        <v>0</v>
      </c>
      <c r="I72" s="1200"/>
      <c r="J72" s="1200"/>
      <c r="K72" s="1201">
        <f t="shared" ref="K72:K75" si="65">+I72+J72</f>
        <v>0</v>
      </c>
      <c r="L72" s="1403">
        <f t="shared" si="59"/>
        <v>0</v>
      </c>
      <c r="M72" s="1423">
        <f t="shared" ref="M72:M75" si="66">-(0.25%*L72)</f>
        <v>0</v>
      </c>
      <c r="N72" s="1403">
        <f t="shared" ref="N72:N75" si="67">SUM(L72:M72)</f>
        <v>0</v>
      </c>
      <c r="O72" s="1772">
        <v>0</v>
      </c>
      <c r="P72" s="1398">
        <f t="shared" si="60"/>
        <v>0</v>
      </c>
      <c r="Q72" s="1181"/>
      <c r="R72" s="1200">
        <f t="shared" ref="R72:R75" si="68">P72-Q72</f>
        <v>0</v>
      </c>
      <c r="S72" s="1545">
        <f t="shared" ref="S72:S75" si="69">ROUND(R72/12,0)</f>
        <v>0</v>
      </c>
      <c r="T72" s="1557">
        <f t="shared" ref="T72:T74" si="70">+P72</f>
        <v>0</v>
      </c>
      <c r="U72" s="1389">
        <f>'[9]FY2014-15 Initial'!$K73</f>
        <v>3369</v>
      </c>
      <c r="V72" s="1515">
        <f t="shared" si="61"/>
        <v>0</v>
      </c>
      <c r="W72" s="1391"/>
      <c r="X72" s="1392">
        <f t="shared" ref="X72:X75" si="71">W72*U72</f>
        <v>0</v>
      </c>
      <c r="Y72" s="1391"/>
      <c r="Z72" s="1392">
        <f t="shared" ref="Z72:Z75" si="72">+U72*Y72*0.5</f>
        <v>0</v>
      </c>
      <c r="AA72" s="1390">
        <f t="shared" ref="AA72:AA75" si="73">+X72+Z72</f>
        <v>0</v>
      </c>
      <c r="AB72" s="1515">
        <f t="shared" ref="AB72:AB75" si="74">AA72+V72</f>
        <v>0</v>
      </c>
      <c r="AC72" s="1394">
        <f t="shared" ref="AC72:AC75" si="75">-(0.25%*AB72)</f>
        <v>0</v>
      </c>
      <c r="AD72" s="1515">
        <f t="shared" ref="AD72:AD75" si="76">SUM(AB72:AC72)</f>
        <v>0</v>
      </c>
      <c r="AE72" s="1392">
        <v>0</v>
      </c>
      <c r="AF72" s="1515">
        <f t="shared" ref="AF72:AF75" si="77">SUM(AD72:AE72)</f>
        <v>0</v>
      </c>
      <c r="AG72" s="1392"/>
      <c r="AH72" s="1392">
        <f t="shared" ref="AH72:AH75" si="78">AF72-AG72</f>
        <v>0</v>
      </c>
      <c r="AI72" s="1515">
        <f t="shared" ref="AI72:AI75" si="79">ROUND(AH72/12,0)</f>
        <v>0</v>
      </c>
      <c r="AJ72" s="1393">
        <f t="shared" si="57"/>
        <v>0</v>
      </c>
      <c r="AK72" s="1393">
        <f t="shared" si="58"/>
        <v>0</v>
      </c>
    </row>
    <row r="73" spans="1:37" ht="16.2" customHeight="1">
      <c r="A73" s="1176">
        <v>67</v>
      </c>
      <c r="B73" s="1177" t="s">
        <v>30</v>
      </c>
      <c r="C73" s="1197">
        <f>+'Table 8 Membership 2.1.14'!I69</f>
        <v>3</v>
      </c>
      <c r="D73" s="1198">
        <f>'Table 3 Levels 1&amp;2'!AL70</f>
        <v>5029.1467736134118</v>
      </c>
      <c r="E73" s="1199">
        <f t="shared" si="62"/>
        <v>15087.440320840236</v>
      </c>
      <c r="F73" s="1199">
        <f>'Table 3A Level 3'!C72</f>
        <v>715.61</v>
      </c>
      <c r="G73" s="1199">
        <f t="shared" si="63"/>
        <v>2146.83</v>
      </c>
      <c r="H73" s="1403">
        <f t="shared" si="64"/>
        <v>17234.270320840238</v>
      </c>
      <c r="I73" s="1200"/>
      <c r="J73" s="1200"/>
      <c r="K73" s="1201">
        <f t="shared" si="65"/>
        <v>0</v>
      </c>
      <c r="L73" s="1403">
        <f t="shared" si="59"/>
        <v>17234.270320840238</v>
      </c>
      <c r="M73" s="1423">
        <f t="shared" si="66"/>
        <v>-43.085675802100596</v>
      </c>
      <c r="N73" s="1403">
        <f t="shared" si="67"/>
        <v>17191.184645038138</v>
      </c>
      <c r="O73" s="1772">
        <v>0</v>
      </c>
      <c r="P73" s="1398">
        <f t="shared" si="60"/>
        <v>17191.184645038138</v>
      </c>
      <c r="Q73" s="1181"/>
      <c r="R73" s="1200">
        <f t="shared" si="68"/>
        <v>17191.184645038138</v>
      </c>
      <c r="S73" s="1545">
        <f t="shared" si="69"/>
        <v>1433</v>
      </c>
      <c r="T73" s="1557">
        <f t="shared" si="70"/>
        <v>17191.184645038138</v>
      </c>
      <c r="U73" s="1389">
        <f>'[9]FY2014-15 Initial'!$K74</f>
        <v>5015</v>
      </c>
      <c r="V73" s="1515">
        <f t="shared" si="61"/>
        <v>15045</v>
      </c>
      <c r="W73" s="1391"/>
      <c r="X73" s="1392">
        <f t="shared" si="71"/>
        <v>0</v>
      </c>
      <c r="Y73" s="1391"/>
      <c r="Z73" s="1392">
        <f t="shared" si="72"/>
        <v>0</v>
      </c>
      <c r="AA73" s="1390">
        <f t="shared" si="73"/>
        <v>0</v>
      </c>
      <c r="AB73" s="1515">
        <f t="shared" si="74"/>
        <v>15045</v>
      </c>
      <c r="AC73" s="1394">
        <f t="shared" si="75"/>
        <v>-37.612500000000004</v>
      </c>
      <c r="AD73" s="1515">
        <f t="shared" si="76"/>
        <v>15007.387500000001</v>
      </c>
      <c r="AE73" s="1392">
        <v>0</v>
      </c>
      <c r="AF73" s="1515">
        <f t="shared" si="77"/>
        <v>15007.387500000001</v>
      </c>
      <c r="AG73" s="1392"/>
      <c r="AH73" s="1392">
        <f t="shared" si="78"/>
        <v>15007.387500000001</v>
      </c>
      <c r="AI73" s="1515">
        <f t="shared" si="79"/>
        <v>1251</v>
      </c>
      <c r="AJ73" s="1393">
        <f t="shared" si="57"/>
        <v>32198.572145038139</v>
      </c>
      <c r="AK73" s="1393">
        <f t="shared" si="58"/>
        <v>2684</v>
      </c>
    </row>
    <row r="74" spans="1:37" ht="16.2" customHeight="1">
      <c r="A74" s="1176">
        <v>68</v>
      </c>
      <c r="B74" s="1177" t="s">
        <v>28</v>
      </c>
      <c r="C74" s="1197">
        <f>+'Table 8 Membership 2.1.14'!I70</f>
        <v>7</v>
      </c>
      <c r="D74" s="1198">
        <f>'Table 3 Levels 1&amp;2'!AL71</f>
        <v>6390.1644202560601</v>
      </c>
      <c r="E74" s="1199">
        <f t="shared" si="62"/>
        <v>44731.150941792424</v>
      </c>
      <c r="F74" s="1199">
        <f>'Table 3A Level 3'!C73</f>
        <v>798.7</v>
      </c>
      <c r="G74" s="1199">
        <f t="shared" si="63"/>
        <v>5590.9000000000005</v>
      </c>
      <c r="H74" s="1403">
        <f t="shared" si="64"/>
        <v>50322.050941792426</v>
      </c>
      <c r="I74" s="1200"/>
      <c r="J74" s="1200"/>
      <c r="K74" s="1201">
        <f t="shared" si="65"/>
        <v>0</v>
      </c>
      <c r="L74" s="1403">
        <f t="shared" si="59"/>
        <v>50322.050941792426</v>
      </c>
      <c r="M74" s="1423">
        <f t="shared" si="66"/>
        <v>-125.80512735448107</v>
      </c>
      <c r="N74" s="1403">
        <f t="shared" si="67"/>
        <v>50196.245814437942</v>
      </c>
      <c r="O74" s="1772">
        <v>0</v>
      </c>
      <c r="P74" s="1398">
        <f t="shared" si="60"/>
        <v>50196.245814437942</v>
      </c>
      <c r="Q74" s="1181"/>
      <c r="R74" s="1200">
        <f t="shared" si="68"/>
        <v>50196.245814437942</v>
      </c>
      <c r="S74" s="1545">
        <f t="shared" si="69"/>
        <v>4183</v>
      </c>
      <c r="T74" s="1557">
        <f t="shared" si="70"/>
        <v>50196.245814437942</v>
      </c>
      <c r="U74" s="1389">
        <f>'[9]FY2014-15 Initial'!$K75</f>
        <v>2669</v>
      </c>
      <c r="V74" s="1515">
        <f t="shared" si="61"/>
        <v>18683</v>
      </c>
      <c r="W74" s="1391"/>
      <c r="X74" s="1392">
        <f>W74*U74</f>
        <v>0</v>
      </c>
      <c r="Y74" s="1391"/>
      <c r="Z74" s="1392">
        <f t="shared" si="72"/>
        <v>0</v>
      </c>
      <c r="AA74" s="1390">
        <f t="shared" si="73"/>
        <v>0</v>
      </c>
      <c r="AB74" s="1515">
        <f t="shared" si="74"/>
        <v>18683</v>
      </c>
      <c r="AC74" s="1394">
        <f t="shared" si="75"/>
        <v>-46.707500000000003</v>
      </c>
      <c r="AD74" s="1515">
        <f t="shared" si="76"/>
        <v>18636.2925</v>
      </c>
      <c r="AE74" s="1392">
        <v>0</v>
      </c>
      <c r="AF74" s="1515">
        <f t="shared" si="77"/>
        <v>18636.2925</v>
      </c>
      <c r="AG74" s="1392"/>
      <c r="AH74" s="1392">
        <f t="shared" si="78"/>
        <v>18636.2925</v>
      </c>
      <c r="AI74" s="1515">
        <f t="shared" si="79"/>
        <v>1553</v>
      </c>
      <c r="AJ74" s="1393">
        <f t="shared" si="57"/>
        <v>68832.538314437945</v>
      </c>
      <c r="AK74" s="1393">
        <f t="shared" si="58"/>
        <v>5736</v>
      </c>
    </row>
    <row r="75" spans="1:37" ht="16.2" customHeight="1">
      <c r="A75" s="1190">
        <v>69</v>
      </c>
      <c r="B75" s="1191" t="s">
        <v>183</v>
      </c>
      <c r="C75" s="1192">
        <f>+'Table 8 Membership 2.1.14'!I71</f>
        <v>1</v>
      </c>
      <c r="D75" s="1193">
        <f>'Table 3 Levels 1&amp;2'!AL72</f>
        <v>5722.4947921281337</v>
      </c>
      <c r="E75" s="1194">
        <f t="shared" si="62"/>
        <v>5722.4947921281337</v>
      </c>
      <c r="F75" s="1194">
        <f>'Table 3A Level 3'!C74</f>
        <v>705.67</v>
      </c>
      <c r="G75" s="1194">
        <f t="shared" si="63"/>
        <v>705.67</v>
      </c>
      <c r="H75" s="1541">
        <f t="shared" si="64"/>
        <v>6428.1647921281337</v>
      </c>
      <c r="I75" s="1195"/>
      <c r="J75" s="1195"/>
      <c r="K75" s="1196">
        <f t="shared" si="65"/>
        <v>0</v>
      </c>
      <c r="L75" s="1541">
        <f t="shared" si="59"/>
        <v>6428.1647921281337</v>
      </c>
      <c r="M75" s="1405">
        <f t="shared" si="66"/>
        <v>-16.070411980320333</v>
      </c>
      <c r="N75" s="1541">
        <f t="shared" si="67"/>
        <v>6412.0943801478134</v>
      </c>
      <c r="O75" s="1773">
        <v>0</v>
      </c>
      <c r="P75" s="1547">
        <f t="shared" si="60"/>
        <v>6412.0943801478134</v>
      </c>
      <c r="Q75" s="634"/>
      <c r="R75" s="1195">
        <f t="shared" si="68"/>
        <v>6412.0943801478134</v>
      </c>
      <c r="S75" s="1551">
        <f t="shared" si="69"/>
        <v>534</v>
      </c>
      <c r="T75" s="1558">
        <f>+P75</f>
        <v>6412.0943801478134</v>
      </c>
      <c r="U75" s="653">
        <f>'[9]FY2014-15 Initial'!$K76</f>
        <v>3394</v>
      </c>
      <c r="V75" s="1517">
        <f t="shared" si="61"/>
        <v>3394</v>
      </c>
      <c r="W75" s="1407"/>
      <c r="X75" s="1408">
        <f t="shared" si="71"/>
        <v>0</v>
      </c>
      <c r="Y75" s="1407"/>
      <c r="Z75" s="1408">
        <f t="shared" si="72"/>
        <v>0</v>
      </c>
      <c r="AA75" s="1406">
        <f t="shared" si="73"/>
        <v>0</v>
      </c>
      <c r="AB75" s="1517">
        <f t="shared" si="74"/>
        <v>3394</v>
      </c>
      <c r="AC75" s="1410">
        <f t="shared" si="75"/>
        <v>-8.4849999999999994</v>
      </c>
      <c r="AD75" s="1517">
        <f t="shared" si="76"/>
        <v>3385.5149999999999</v>
      </c>
      <c r="AE75" s="1408">
        <v>0</v>
      </c>
      <c r="AF75" s="1517">
        <f t="shared" si="77"/>
        <v>3385.5149999999999</v>
      </c>
      <c r="AG75" s="643"/>
      <c r="AH75" s="1408">
        <f t="shared" si="78"/>
        <v>3385.5149999999999</v>
      </c>
      <c r="AI75" s="1528">
        <f t="shared" si="79"/>
        <v>282</v>
      </c>
      <c r="AJ75" s="1409">
        <f t="shared" si="57"/>
        <v>9797.6093801478128</v>
      </c>
      <c r="AK75" s="1409">
        <f t="shared" si="58"/>
        <v>816</v>
      </c>
    </row>
    <row r="76" spans="1:37" ht="16.2" customHeight="1" thickBot="1">
      <c r="A76" s="2221" t="s">
        <v>1045</v>
      </c>
      <c r="B76" s="2194"/>
      <c r="C76" s="470">
        <f>SUM(C7:C75)</f>
        <v>275</v>
      </c>
      <c r="D76" s="471">
        <f>'Table 3 Levels 1&amp;2'!AL73</f>
        <v>4479.9292126977662</v>
      </c>
      <c r="E76" s="480">
        <f>SUM(E7:E75)</f>
        <v>952269.60327482305</v>
      </c>
      <c r="F76" s="480">
        <f>'Table 3A Level 3'!C75</f>
        <v>704.64781030742063</v>
      </c>
      <c r="G76" s="480">
        <f t="shared" ref="G76:P76" si="80">SUM(G7:G75)</f>
        <v>220118.4975320338</v>
      </c>
      <c r="H76" s="1542">
        <f t="shared" si="80"/>
        <v>1172388.100806857</v>
      </c>
      <c r="I76" s="639">
        <f t="shared" ref="I76:K76" si="81">SUM(I7:I75)</f>
        <v>0</v>
      </c>
      <c r="J76" s="639">
        <f t="shared" si="81"/>
        <v>0</v>
      </c>
      <c r="K76" s="632">
        <f t="shared" si="81"/>
        <v>0</v>
      </c>
      <c r="L76" s="1564">
        <f>SUM(L7:L75)</f>
        <v>1172388.100806857</v>
      </c>
      <c r="M76" s="481">
        <f t="shared" si="80"/>
        <v>-2930.9702520171427</v>
      </c>
      <c r="N76" s="1542">
        <f t="shared" si="80"/>
        <v>1169457.1305548397</v>
      </c>
      <c r="O76" s="1774">
        <f t="shared" si="80"/>
        <v>-6040</v>
      </c>
      <c r="P76" s="1548">
        <f t="shared" si="80"/>
        <v>1163417.1305548397</v>
      </c>
      <c r="Q76" s="636"/>
      <c r="R76" s="657">
        <f>SUM(R7:R75)</f>
        <v>1163417.1305548397</v>
      </c>
      <c r="S76" s="1548">
        <f>SUM(S7:S75)</f>
        <v>96952</v>
      </c>
      <c r="T76" s="1559">
        <f t="shared" ref="T76" si="82">SUM(T7:T75)</f>
        <v>1163417.1305548397</v>
      </c>
      <c r="U76" s="658">
        <f>'[9]FY2014-15 Initial'!$K77</f>
        <v>4663</v>
      </c>
      <c r="V76" s="1518">
        <f t="shared" ref="V76:AK76" si="83">SUM(V7:V75)</f>
        <v>1901020</v>
      </c>
      <c r="W76" s="644">
        <f>SUM(W7:W75)</f>
        <v>0</v>
      </c>
      <c r="X76" s="645">
        <f>SUM(X7:X75)</f>
        <v>0</v>
      </c>
      <c r="Y76" s="646">
        <f t="shared" ref="Y76:AA76" si="84">SUM(Y7:Y75)</f>
        <v>0</v>
      </c>
      <c r="Z76" s="647">
        <f t="shared" si="84"/>
        <v>0</v>
      </c>
      <c r="AA76" s="633">
        <f t="shared" si="84"/>
        <v>0</v>
      </c>
      <c r="AB76" s="1524">
        <f>SUM(AB7:AB75)</f>
        <v>1901020</v>
      </c>
      <c r="AC76" s="482">
        <f t="shared" si="83"/>
        <v>-4752.55</v>
      </c>
      <c r="AD76" s="1518">
        <f t="shared" si="83"/>
        <v>1896267.4499999997</v>
      </c>
      <c r="AE76" s="660">
        <f t="shared" si="83"/>
        <v>0</v>
      </c>
      <c r="AF76" s="1518">
        <f t="shared" si="83"/>
        <v>1896267.4499999997</v>
      </c>
      <c r="AG76" s="660">
        <f t="shared" si="83"/>
        <v>0</v>
      </c>
      <c r="AH76" s="660">
        <f t="shared" si="83"/>
        <v>1896267.4499999997</v>
      </c>
      <c r="AI76" s="1518">
        <f t="shared" si="83"/>
        <v>158023</v>
      </c>
      <c r="AJ76" s="1532">
        <f t="shared" si="83"/>
        <v>3059684.5805548397</v>
      </c>
      <c r="AK76" s="1532">
        <f t="shared" si="83"/>
        <v>254975</v>
      </c>
    </row>
    <row r="77" spans="1:37" ht="16.2" customHeight="1" thickTop="1">
      <c r="A77" s="2222" t="s">
        <v>1039</v>
      </c>
      <c r="B77" s="2223"/>
      <c r="C77" s="1197"/>
      <c r="D77" s="1198"/>
      <c r="E77" s="1199"/>
      <c r="F77" s="1199"/>
      <c r="G77" s="1199"/>
      <c r="H77" s="1199"/>
      <c r="I77" s="1200"/>
      <c r="J77" s="1200"/>
      <c r="K77" s="1200"/>
      <c r="L77" s="1200"/>
      <c r="M77" s="1200"/>
      <c r="N77" s="1200"/>
      <c r="O77" s="1772"/>
      <c r="P77" s="1545">
        <f>+'Table 4 Level 4'!$E$97</f>
        <v>0</v>
      </c>
      <c r="Q77" s="1181"/>
      <c r="R77" s="1200">
        <f t="shared" ref="R77" si="85">P77-Q77</f>
        <v>0</v>
      </c>
      <c r="S77" s="1545">
        <f t="shared" ref="S77" si="86">ROUND(R77/12,0)</f>
        <v>0</v>
      </c>
      <c r="T77" s="1557">
        <f>+'Table 4 Level 4'!$E$97</f>
        <v>0</v>
      </c>
      <c r="U77" s="1424"/>
      <c r="V77" s="1200"/>
      <c r="W77" s="1200"/>
      <c r="X77" s="1200"/>
      <c r="Y77" s="1200"/>
      <c r="Z77" s="1200"/>
      <c r="AA77" s="1200"/>
      <c r="AB77" s="1200"/>
      <c r="AC77" s="1200"/>
      <c r="AD77" s="1200"/>
      <c r="AE77" s="1200"/>
      <c r="AF77" s="1200"/>
      <c r="AG77" s="1200"/>
      <c r="AH77" s="1200"/>
      <c r="AI77" s="1200"/>
      <c r="AJ77" s="1393">
        <f t="shared" ref="AJ77" si="87">T77+AF77</f>
        <v>0</v>
      </c>
      <c r="AK77" s="1393">
        <f t="shared" ref="AK77:AK81" si="88">S77+AI77</f>
        <v>0</v>
      </c>
    </row>
    <row r="78" spans="1:37" ht="16.2" customHeight="1">
      <c r="A78" s="2297" t="s">
        <v>1040</v>
      </c>
      <c r="B78" s="2298"/>
      <c r="C78" s="1197"/>
      <c r="D78" s="1198"/>
      <c r="E78" s="1199"/>
      <c r="F78" s="1199"/>
      <c r="G78" s="1199"/>
      <c r="H78" s="1199"/>
      <c r="I78" s="1200"/>
      <c r="J78" s="1200"/>
      <c r="K78" s="1200"/>
      <c r="L78" s="1200"/>
      <c r="M78" s="1200"/>
      <c r="N78" s="1200"/>
      <c r="O78" s="1772"/>
      <c r="P78" s="1388">
        <f>+'Table 4 Level 4'!$J$97</f>
        <v>0</v>
      </c>
      <c r="Q78" s="1181"/>
      <c r="R78" s="1200"/>
      <c r="S78" s="1388">
        <v>0</v>
      </c>
      <c r="T78" s="1557">
        <f>+'Table 4 Level 4'!$J$97</f>
        <v>0</v>
      </c>
      <c r="U78" s="1424"/>
      <c r="V78" s="1200"/>
      <c r="W78" s="1200"/>
      <c r="X78" s="1200"/>
      <c r="Y78" s="1200"/>
      <c r="Z78" s="1200"/>
      <c r="AA78" s="1200"/>
      <c r="AB78" s="1200"/>
      <c r="AC78" s="1200"/>
      <c r="AD78" s="1200"/>
      <c r="AE78" s="1200"/>
      <c r="AF78" s="1200"/>
      <c r="AG78" s="1200"/>
      <c r="AH78" s="1200"/>
      <c r="AI78" s="1200"/>
      <c r="AJ78" s="1393">
        <f>T78+AF78</f>
        <v>0</v>
      </c>
      <c r="AK78" s="1392"/>
    </row>
    <row r="79" spans="1:37" ht="16.2" customHeight="1">
      <c r="A79" s="2297" t="s">
        <v>1041</v>
      </c>
      <c r="B79" s="2298"/>
      <c r="C79" s="1197"/>
      <c r="D79" s="1198"/>
      <c r="E79" s="1199"/>
      <c r="F79" s="1199"/>
      <c r="G79" s="1199"/>
      <c r="H79" s="1199"/>
      <c r="I79" s="1200"/>
      <c r="J79" s="1200"/>
      <c r="K79" s="1200"/>
      <c r="L79" s="1200"/>
      <c r="M79" s="1200"/>
      <c r="N79" s="1200"/>
      <c r="O79" s="1772"/>
      <c r="P79" s="1388">
        <f>+'Table 4 Level 4'!$K$97</f>
        <v>0</v>
      </c>
      <c r="Q79" s="1181"/>
      <c r="R79" s="1200"/>
      <c r="S79" s="1388">
        <v>0</v>
      </c>
      <c r="T79" s="1557">
        <f>+'Table 4 Level 4'!$K$97</f>
        <v>0</v>
      </c>
      <c r="U79" s="1424"/>
      <c r="V79" s="1200"/>
      <c r="W79" s="1200"/>
      <c r="X79" s="1200"/>
      <c r="Y79" s="1200"/>
      <c r="Z79" s="1200"/>
      <c r="AA79" s="1200"/>
      <c r="AB79" s="1200"/>
      <c r="AC79" s="1200"/>
      <c r="AD79" s="1200"/>
      <c r="AE79" s="1200"/>
      <c r="AF79" s="1200"/>
      <c r="AG79" s="1200"/>
      <c r="AH79" s="1200"/>
      <c r="AI79" s="1200"/>
      <c r="AJ79" s="1393">
        <f t="shared" ref="AJ79:AJ81" si="89">T79+AF79</f>
        <v>0</v>
      </c>
      <c r="AK79" s="1392"/>
    </row>
    <row r="80" spans="1:37" ht="16.2" customHeight="1">
      <c r="A80" s="2297" t="s">
        <v>1042</v>
      </c>
      <c r="B80" s="2298"/>
      <c r="C80" s="1197"/>
      <c r="D80" s="1198"/>
      <c r="E80" s="1199"/>
      <c r="F80" s="1199"/>
      <c r="G80" s="1199"/>
      <c r="H80" s="1199"/>
      <c r="I80" s="1200"/>
      <c r="J80" s="1200"/>
      <c r="K80" s="1200"/>
      <c r="L80" s="1200"/>
      <c r="M80" s="1200"/>
      <c r="N80" s="1200"/>
      <c r="O80" s="1772"/>
      <c r="P80" s="1388">
        <f>+'Table 4 Level 4'!$L$97</f>
        <v>0</v>
      </c>
      <c r="Q80" s="1181"/>
      <c r="R80" s="1200"/>
      <c r="S80" s="1388">
        <v>0</v>
      </c>
      <c r="T80" s="1557">
        <f>+'Table 4 Level 4'!$L$97</f>
        <v>0</v>
      </c>
      <c r="U80" s="1424"/>
      <c r="V80" s="1200"/>
      <c r="W80" s="1200"/>
      <c r="X80" s="1200"/>
      <c r="Y80" s="1200"/>
      <c r="Z80" s="1200"/>
      <c r="AA80" s="1200"/>
      <c r="AB80" s="1200"/>
      <c r="AC80" s="1200"/>
      <c r="AD80" s="1200"/>
      <c r="AE80" s="1200"/>
      <c r="AF80" s="1200"/>
      <c r="AG80" s="1200"/>
      <c r="AH80" s="1200"/>
      <c r="AI80" s="1200"/>
      <c r="AJ80" s="1393">
        <f t="shared" si="89"/>
        <v>0</v>
      </c>
      <c r="AK80" s="1392"/>
    </row>
    <row r="81" spans="1:37" ht="16.2" customHeight="1">
      <c r="A81" s="2217" t="s">
        <v>1043</v>
      </c>
      <c r="B81" s="2218"/>
      <c r="C81" s="1411"/>
      <c r="D81" s="1412"/>
      <c r="E81" s="1413"/>
      <c r="F81" s="1413"/>
      <c r="G81" s="1413"/>
      <c r="H81" s="1413"/>
      <c r="I81" s="1414"/>
      <c r="J81" s="1414"/>
      <c r="K81" s="1414"/>
      <c r="L81" s="1414"/>
      <c r="M81" s="1414"/>
      <c r="N81" s="1414"/>
      <c r="O81" s="1775"/>
      <c r="P81" s="1550">
        <f>+'Table 4 Level 4'!$N$97</f>
        <v>7150</v>
      </c>
      <c r="Q81" s="1175"/>
      <c r="R81" s="1414">
        <f t="shared" ref="R81" si="90">P81-Q81</f>
        <v>7150</v>
      </c>
      <c r="S81" s="1550">
        <f t="shared" ref="S81" si="91">ROUND(R81/12,0)</f>
        <v>596</v>
      </c>
      <c r="T81" s="1550">
        <f>+'Table 4 Level 4'!$N$97</f>
        <v>7150</v>
      </c>
      <c r="U81" s="1415"/>
      <c r="V81" s="1414"/>
      <c r="W81" s="1414"/>
      <c r="X81" s="1414"/>
      <c r="Y81" s="1414"/>
      <c r="Z81" s="1414"/>
      <c r="AA81" s="1414"/>
      <c r="AB81" s="1414"/>
      <c r="AC81" s="1414"/>
      <c r="AD81" s="1414"/>
      <c r="AE81" s="1414"/>
      <c r="AF81" s="1414"/>
      <c r="AG81" s="1414"/>
      <c r="AH81" s="1414"/>
      <c r="AI81" s="1414"/>
      <c r="AJ81" s="1533">
        <f t="shared" si="89"/>
        <v>7150</v>
      </c>
      <c r="AK81" s="1533">
        <f t="shared" si="88"/>
        <v>596</v>
      </c>
    </row>
    <row r="82" spans="1:37" s="594" customFormat="1" ht="16.2" customHeight="1" thickBot="1">
      <c r="A82" s="2221" t="s">
        <v>1044</v>
      </c>
      <c r="B82" s="2194"/>
      <c r="C82" s="470">
        <f>SUM(C76:C81)</f>
        <v>275</v>
      </c>
      <c r="D82" s="471">
        <f>'Table 3 Levels 1&amp;2'!AL73</f>
        <v>4479.9292126977662</v>
      </c>
      <c r="E82" s="480">
        <f t="shared" ref="E82:AK82" si="92">SUM(E76:E81)</f>
        <v>952269.60327482305</v>
      </c>
      <c r="F82" s="480">
        <f t="shared" si="92"/>
        <v>704.64781030742063</v>
      </c>
      <c r="G82" s="480">
        <f t="shared" si="92"/>
        <v>220118.4975320338</v>
      </c>
      <c r="H82" s="471">
        <f t="shared" si="92"/>
        <v>1172388.100806857</v>
      </c>
      <c r="I82" s="639">
        <f t="shared" si="92"/>
        <v>0</v>
      </c>
      <c r="J82" s="639">
        <f t="shared" si="92"/>
        <v>0</v>
      </c>
      <c r="K82" s="639">
        <f t="shared" si="92"/>
        <v>0</v>
      </c>
      <c r="L82" s="1029">
        <f t="shared" si="92"/>
        <v>1172388.100806857</v>
      </c>
      <c r="M82" s="636">
        <f t="shared" si="92"/>
        <v>-2930.9702520171427</v>
      </c>
      <c r="N82" s="471">
        <f t="shared" si="92"/>
        <v>1169457.1305548397</v>
      </c>
      <c r="O82" s="1774">
        <f t="shared" si="92"/>
        <v>-6040</v>
      </c>
      <c r="P82" s="1548">
        <f t="shared" si="92"/>
        <v>1170567.1305548397</v>
      </c>
      <c r="Q82" s="636">
        <f t="shared" si="92"/>
        <v>0</v>
      </c>
      <c r="R82" s="657">
        <f t="shared" si="92"/>
        <v>1170567.1305548397</v>
      </c>
      <c r="S82" s="1548">
        <f t="shared" si="92"/>
        <v>97548</v>
      </c>
      <c r="T82" s="1559">
        <f t="shared" si="92"/>
        <v>1170567.1305548397</v>
      </c>
      <c r="U82" s="658">
        <f t="shared" si="92"/>
        <v>4663</v>
      </c>
      <c r="V82" s="660">
        <f t="shared" si="92"/>
        <v>1901020</v>
      </c>
      <c r="W82" s="644">
        <f t="shared" si="92"/>
        <v>0</v>
      </c>
      <c r="X82" s="645">
        <f t="shared" si="92"/>
        <v>0</v>
      </c>
      <c r="Y82" s="646">
        <f t="shared" si="92"/>
        <v>0</v>
      </c>
      <c r="Z82" s="647">
        <f t="shared" si="92"/>
        <v>0</v>
      </c>
      <c r="AA82" s="647">
        <f t="shared" si="92"/>
        <v>0</v>
      </c>
      <c r="AB82" s="645">
        <f t="shared" si="92"/>
        <v>1901020</v>
      </c>
      <c r="AC82" s="660">
        <f t="shared" si="92"/>
        <v>-4752.55</v>
      </c>
      <c r="AD82" s="660">
        <f t="shared" si="92"/>
        <v>1896267.4499999997</v>
      </c>
      <c r="AE82" s="660">
        <f t="shared" si="92"/>
        <v>0</v>
      </c>
      <c r="AF82" s="660">
        <f t="shared" si="92"/>
        <v>1896267.4499999997</v>
      </c>
      <c r="AG82" s="660">
        <f t="shared" si="92"/>
        <v>0</v>
      </c>
      <c r="AH82" s="660">
        <f t="shared" si="92"/>
        <v>1896267.4499999997</v>
      </c>
      <c r="AI82" s="660">
        <f t="shared" si="92"/>
        <v>158023</v>
      </c>
      <c r="AJ82" s="1532">
        <f t="shared" si="92"/>
        <v>3066834.5805548397</v>
      </c>
      <c r="AK82" s="1532">
        <f t="shared" si="92"/>
        <v>255571</v>
      </c>
    </row>
    <row r="83" spans="1:37" ht="13.8" thickTop="1"/>
  </sheetData>
  <mergeCells count="43">
    <mergeCell ref="AC1:AI1"/>
    <mergeCell ref="I2:K2"/>
    <mergeCell ref="A1:B4"/>
    <mergeCell ref="C3:C4"/>
    <mergeCell ref="D3:D4"/>
    <mergeCell ref="E3:E4"/>
    <mergeCell ref="H3:H4"/>
    <mergeCell ref="F3:F4"/>
    <mergeCell ref="C1:L1"/>
    <mergeCell ref="M1:T1"/>
    <mergeCell ref="AG3:AG4"/>
    <mergeCell ref="AH3:AH4"/>
    <mergeCell ref="AI3:AI4"/>
    <mergeCell ref="Z3:Z4"/>
    <mergeCell ref="W2:AA2"/>
    <mergeCell ref="AK1:AK4"/>
    <mergeCell ref="G3:G4"/>
    <mergeCell ref="N3:N4"/>
    <mergeCell ref="O3:O4"/>
    <mergeCell ref="P3:P4"/>
    <mergeCell ref="S3:S4"/>
    <mergeCell ref="AE3:AE4"/>
    <mergeCell ref="AF3:AF4"/>
    <mergeCell ref="U3:U4"/>
    <mergeCell ref="AD3:AD4"/>
    <mergeCell ref="W3:W4"/>
    <mergeCell ref="X3:X4"/>
    <mergeCell ref="AB3:AB4"/>
    <mergeCell ref="AJ1:AJ4"/>
    <mergeCell ref="Y3:Y4"/>
    <mergeCell ref="U1:AB1"/>
    <mergeCell ref="A82:B82"/>
    <mergeCell ref="A76:B76"/>
    <mergeCell ref="T3:T4"/>
    <mergeCell ref="A77:B77"/>
    <mergeCell ref="A78:B78"/>
    <mergeCell ref="A79:B79"/>
    <mergeCell ref="A80:B80"/>
    <mergeCell ref="A81:B81"/>
    <mergeCell ref="I3:I4"/>
    <mergeCell ref="J3:J4"/>
    <mergeCell ref="K3:K4"/>
    <mergeCell ref="L3:L4"/>
  </mergeCells>
  <printOptions horizontalCentered="1"/>
  <pageMargins left="0.3" right="0.3" top="0.75" bottom="0.75" header="0.3" footer="0.3"/>
  <pageSetup paperSize="5" scale="60" firstPageNumber="50" orientation="portrait" r:id="rId1"/>
  <headerFooter>
    <oddHeader xml:space="preserve">&amp;L&amp;"Arial,Bold"&amp;20&amp;K000000Table 5C1-A: FY2014-15 MFP Budget Letter 
Madison Prep Academy </oddHeader>
    <oddFooter>&amp;R&amp;P</oddFooter>
  </headerFooter>
  <colBreaks count="3" manualBreakCount="3">
    <brk id="12" max="81" man="1"/>
    <brk id="20" max="81" man="1"/>
    <brk id="28" max="81"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K86"/>
  <sheetViews>
    <sheetView view="pageBreakPreview" zoomScale="80" zoomScaleNormal="100" zoomScaleSheetLayoutView="80" workbookViewId="0">
      <pane xSplit="2" ySplit="6" topLeftCell="C7" activePane="bottomRight" state="frozen"/>
      <selection sqref="A1:H1"/>
      <selection pane="topRight" sqref="A1:H1"/>
      <selection pane="bottomLeft" sqref="A1:H1"/>
      <selection pane="bottomRight" sqref="A1:H1"/>
    </sheetView>
  </sheetViews>
  <sheetFormatPr defaultRowHeight="13.2"/>
  <cols>
    <col min="1" max="1" width="5" customWidth="1"/>
    <col min="2" max="2" width="37.6640625" customWidth="1"/>
    <col min="3" max="3" width="12.109375" bestFit="1" customWidth="1"/>
    <col min="4" max="4" width="13.6640625" bestFit="1" customWidth="1"/>
    <col min="5" max="5" width="10.109375" bestFit="1" customWidth="1"/>
    <col min="6" max="7" width="12.33203125" bestFit="1" customWidth="1"/>
    <col min="8" max="8" width="11.5546875" bestFit="1" customWidth="1"/>
    <col min="9" max="12" width="11.88671875" style="584" bestFit="1" customWidth="1"/>
    <col min="13" max="13" width="10.88671875" bestFit="1" customWidth="1"/>
    <col min="14" max="14" width="13.109375" customWidth="1"/>
    <col min="15" max="15" width="13.44140625" bestFit="1" customWidth="1"/>
    <col min="16" max="16" width="14.6640625" customWidth="1"/>
    <col min="17" max="18" width="14" style="586" customWidth="1"/>
    <col min="19" max="19" width="10.6640625" customWidth="1"/>
    <col min="20" max="20" width="14.6640625" style="594" customWidth="1"/>
    <col min="21" max="22" width="14.5546875" customWidth="1"/>
    <col min="23" max="24" width="11.6640625" style="586" customWidth="1"/>
    <col min="25" max="27" width="11.6640625" style="594" customWidth="1"/>
    <col min="28" max="28" width="14.44140625" style="586" bestFit="1" customWidth="1"/>
    <col min="29" max="29" width="10.5546875" customWidth="1"/>
    <col min="30" max="30" width="14.44140625" bestFit="1" customWidth="1"/>
    <col min="31" max="31" width="11.88671875" bestFit="1" customWidth="1"/>
    <col min="32" max="32" width="14.44140625" bestFit="1" customWidth="1"/>
    <col min="33" max="33" width="9.5546875" style="586" bestFit="1" customWidth="1"/>
    <col min="34" max="34" width="10.6640625" style="586" bestFit="1" customWidth="1"/>
    <col min="35" max="37" width="14.44140625" bestFit="1" customWidth="1"/>
  </cols>
  <sheetData>
    <row r="1" spans="1:37" ht="21.6" customHeight="1">
      <c r="A1" s="2314" t="s">
        <v>354</v>
      </c>
      <c r="B1" s="2315"/>
      <c r="C1" s="2319" t="s">
        <v>1089</v>
      </c>
      <c r="D1" s="2320"/>
      <c r="E1" s="2320"/>
      <c r="F1" s="2320"/>
      <c r="G1" s="2320"/>
      <c r="H1" s="2320"/>
      <c r="I1" s="2320"/>
      <c r="J1" s="2320"/>
      <c r="K1" s="2320"/>
      <c r="L1" s="2321"/>
      <c r="M1" s="2182" t="s">
        <v>1089</v>
      </c>
      <c r="N1" s="2183"/>
      <c r="O1" s="2183"/>
      <c r="P1" s="2183"/>
      <c r="Q1" s="2183"/>
      <c r="R1" s="2183"/>
      <c r="S1" s="2183"/>
      <c r="T1" s="2184"/>
      <c r="U1" s="2268" t="s">
        <v>1247</v>
      </c>
      <c r="V1" s="2266"/>
      <c r="W1" s="2266"/>
      <c r="X1" s="2266"/>
      <c r="Y1" s="2266"/>
      <c r="Z1" s="2266"/>
      <c r="AA1" s="2266"/>
      <c r="AB1" s="2267"/>
      <c r="AC1" s="2268" t="s">
        <v>1247</v>
      </c>
      <c r="AD1" s="2266"/>
      <c r="AE1" s="2266"/>
      <c r="AF1" s="2266"/>
      <c r="AG1" s="2266"/>
      <c r="AH1" s="2266"/>
      <c r="AI1" s="2267"/>
      <c r="AJ1" s="2302" t="s">
        <v>1272</v>
      </c>
      <c r="AK1" s="2302" t="s">
        <v>1273</v>
      </c>
    </row>
    <row r="2" spans="1:37" s="594" customFormat="1" ht="24.6" customHeight="1">
      <c r="A2" s="2233"/>
      <c r="B2" s="2234"/>
      <c r="C2" s="1565"/>
      <c r="D2" s="1566"/>
      <c r="E2" s="1566"/>
      <c r="F2" s="1566"/>
      <c r="G2" s="1566"/>
      <c r="H2" s="1566"/>
      <c r="I2" s="2334" t="s">
        <v>531</v>
      </c>
      <c r="J2" s="2335"/>
      <c r="K2" s="2336"/>
      <c r="L2" s="1567"/>
      <c r="M2" s="1565"/>
      <c r="N2" s="1566"/>
      <c r="O2" s="1566"/>
      <c r="P2" s="1566"/>
      <c r="Q2" s="1566"/>
      <c r="R2" s="1566"/>
      <c r="S2" s="1566"/>
      <c r="T2" s="1567"/>
      <c r="U2" s="1525"/>
      <c r="V2" s="1526"/>
      <c r="W2" s="2227" t="s">
        <v>531</v>
      </c>
      <c r="X2" s="2228"/>
      <c r="Y2" s="2228"/>
      <c r="Z2" s="2228"/>
      <c r="AA2" s="2229"/>
      <c r="AB2" s="1527"/>
      <c r="AC2" s="1525"/>
      <c r="AD2" s="1526"/>
      <c r="AE2" s="1526"/>
      <c r="AF2" s="1526"/>
      <c r="AG2" s="1526"/>
      <c r="AH2" s="1526"/>
      <c r="AI2" s="1527"/>
      <c r="AJ2" s="2303"/>
      <c r="AK2" s="2303"/>
    </row>
    <row r="3" spans="1:37" ht="148.94999999999999" customHeight="1">
      <c r="A3" s="2316"/>
      <c r="B3" s="2234"/>
      <c r="C3" s="2306" t="s">
        <v>933</v>
      </c>
      <c r="D3" s="2318" t="s">
        <v>1110</v>
      </c>
      <c r="E3" s="2318" t="s">
        <v>384</v>
      </c>
      <c r="F3" s="2306" t="s">
        <v>546</v>
      </c>
      <c r="G3" s="2306" t="s">
        <v>330</v>
      </c>
      <c r="H3" s="2306" t="s">
        <v>547</v>
      </c>
      <c r="I3" s="2327" t="s">
        <v>770</v>
      </c>
      <c r="J3" s="2327" t="s">
        <v>769</v>
      </c>
      <c r="K3" s="2327" t="s">
        <v>538</v>
      </c>
      <c r="L3" s="2300" t="s">
        <v>548</v>
      </c>
      <c r="M3" s="1496" t="s">
        <v>333</v>
      </c>
      <c r="N3" s="2306" t="s">
        <v>545</v>
      </c>
      <c r="O3" s="2307" t="s">
        <v>1036</v>
      </c>
      <c r="P3" s="2306" t="s">
        <v>1056</v>
      </c>
      <c r="Q3" s="2224" t="s">
        <v>760</v>
      </c>
      <c r="R3" s="2224" t="s">
        <v>761</v>
      </c>
      <c r="S3" s="2308" t="s">
        <v>544</v>
      </c>
      <c r="T3" s="2337" t="s">
        <v>1057</v>
      </c>
      <c r="U3" s="2309" t="s">
        <v>1267</v>
      </c>
      <c r="V3" s="1507" t="s">
        <v>1268</v>
      </c>
      <c r="W3" s="2312" t="s">
        <v>1253</v>
      </c>
      <c r="X3" s="2312" t="s">
        <v>1251</v>
      </c>
      <c r="Y3" s="2312" t="s">
        <v>1254</v>
      </c>
      <c r="Z3" s="2312" t="s">
        <v>1252</v>
      </c>
      <c r="AA3" s="1498" t="s">
        <v>551</v>
      </c>
      <c r="AB3" s="2313" t="s">
        <v>1255</v>
      </c>
      <c r="AC3" s="1507" t="s">
        <v>1094</v>
      </c>
      <c r="AD3" s="2309" t="s">
        <v>1256</v>
      </c>
      <c r="AE3" s="2307" t="s">
        <v>1036</v>
      </c>
      <c r="AF3" s="2309" t="s">
        <v>1271</v>
      </c>
      <c r="AG3" s="2322" t="s">
        <v>981</v>
      </c>
      <c r="AH3" s="2322" t="s">
        <v>761</v>
      </c>
      <c r="AI3" s="2322" t="s">
        <v>1242</v>
      </c>
      <c r="AJ3" s="2304"/>
      <c r="AK3" s="2304"/>
    </row>
    <row r="4" spans="1:37" ht="19.95" customHeight="1">
      <c r="A4" s="2317"/>
      <c r="B4" s="2236"/>
      <c r="C4" s="2301"/>
      <c r="D4" s="2318"/>
      <c r="E4" s="2318"/>
      <c r="F4" s="2301"/>
      <c r="G4" s="2301"/>
      <c r="H4" s="2301"/>
      <c r="I4" s="2251"/>
      <c r="J4" s="2251"/>
      <c r="K4" s="2251"/>
      <c r="L4" s="2301"/>
      <c r="M4" s="1568">
        <v>2.5000000000000001E-3</v>
      </c>
      <c r="N4" s="2301"/>
      <c r="O4" s="2251"/>
      <c r="P4" s="2301"/>
      <c r="Q4" s="2225"/>
      <c r="R4" s="2225"/>
      <c r="S4" s="2301"/>
      <c r="T4" s="2225"/>
      <c r="U4" s="2280"/>
      <c r="V4" s="1508"/>
      <c r="W4" s="2251"/>
      <c r="X4" s="2251"/>
      <c r="Y4" s="2251"/>
      <c r="Z4" s="2251"/>
      <c r="AA4" s="1494"/>
      <c r="AB4" s="2280" t="s">
        <v>537</v>
      </c>
      <c r="AC4" s="1570">
        <v>2.5000000000000001E-3</v>
      </c>
      <c r="AD4" s="2280"/>
      <c r="AE4" s="2251"/>
      <c r="AF4" s="2280"/>
      <c r="AG4" s="2323"/>
      <c r="AH4" s="2323"/>
      <c r="AI4" s="2323"/>
      <c r="AJ4" s="2305"/>
      <c r="AK4" s="2305"/>
    </row>
    <row r="5" spans="1:37" ht="14.25" customHeight="1">
      <c r="A5" s="463"/>
      <c r="B5" s="464"/>
      <c r="C5" s="465">
        <v>1</v>
      </c>
      <c r="D5" s="465">
        <f t="shared" ref="D5" si="0">C5+1</f>
        <v>2</v>
      </c>
      <c r="E5" s="465">
        <f>D5+1</f>
        <v>3</v>
      </c>
      <c r="F5" s="465">
        <f t="shared" ref="F5:H5" si="1">E5+1</f>
        <v>4</v>
      </c>
      <c r="G5" s="465">
        <f t="shared" si="1"/>
        <v>5</v>
      </c>
      <c r="H5" s="465">
        <f t="shared" si="1"/>
        <v>6</v>
      </c>
      <c r="I5" s="465">
        <f t="shared" ref="I5" si="2">H5+1</f>
        <v>7</v>
      </c>
      <c r="J5" s="465">
        <f t="shared" ref="J5" si="3">I5+1</f>
        <v>8</v>
      </c>
      <c r="K5" s="465">
        <f t="shared" ref="K5" si="4">J5+1</f>
        <v>9</v>
      </c>
      <c r="L5" s="465">
        <f t="shared" ref="L5" si="5">K5+1</f>
        <v>10</v>
      </c>
      <c r="M5" s="465">
        <f t="shared" ref="M5" si="6">L5+1</f>
        <v>11</v>
      </c>
      <c r="N5" s="465">
        <f t="shared" ref="N5" si="7">M5+1</f>
        <v>12</v>
      </c>
      <c r="O5" s="465">
        <f t="shared" ref="O5" si="8">N5+1</f>
        <v>13</v>
      </c>
      <c r="P5" s="465">
        <f t="shared" ref="P5" si="9">O5+1</f>
        <v>14</v>
      </c>
      <c r="Q5" s="465">
        <f t="shared" ref="Q5" si="10">P5+1</f>
        <v>15</v>
      </c>
      <c r="R5" s="465">
        <f t="shared" ref="R5" si="11">Q5+1</f>
        <v>16</v>
      </c>
      <c r="S5" s="465">
        <f t="shared" ref="S5" si="12">R5+1</f>
        <v>17</v>
      </c>
      <c r="T5" s="465">
        <f t="shared" ref="T5" si="13">S5+1</f>
        <v>18</v>
      </c>
      <c r="U5" s="465">
        <f t="shared" ref="U5" si="14">T5+1</f>
        <v>19</v>
      </c>
      <c r="V5" s="465">
        <f t="shared" ref="V5" si="15">U5+1</f>
        <v>20</v>
      </c>
      <c r="W5" s="465">
        <f t="shared" ref="W5" si="16">V5+1</f>
        <v>21</v>
      </c>
      <c r="X5" s="465">
        <f t="shared" ref="X5" si="17">W5+1</f>
        <v>22</v>
      </c>
      <c r="Y5" s="465">
        <f t="shared" ref="Y5" si="18">X5+1</f>
        <v>23</v>
      </c>
      <c r="Z5" s="465">
        <f t="shared" ref="Z5" si="19">Y5+1</f>
        <v>24</v>
      </c>
      <c r="AA5" s="465">
        <f t="shared" ref="AA5" si="20">Z5+1</f>
        <v>25</v>
      </c>
      <c r="AB5" s="465">
        <f t="shared" ref="AB5" si="21">AA5+1</f>
        <v>26</v>
      </c>
      <c r="AC5" s="465">
        <f t="shared" ref="AC5" si="22">AB5+1</f>
        <v>27</v>
      </c>
      <c r="AD5" s="465">
        <f t="shared" ref="AD5" si="23">AC5+1</f>
        <v>28</v>
      </c>
      <c r="AE5" s="465">
        <f t="shared" ref="AE5" si="24">AD5+1</f>
        <v>29</v>
      </c>
      <c r="AF5" s="465">
        <f t="shared" ref="AF5" si="25">AE5+1</f>
        <v>30</v>
      </c>
      <c r="AG5" s="465">
        <f t="shared" ref="AG5" si="26">AF5+1</f>
        <v>31</v>
      </c>
      <c r="AH5" s="465">
        <f t="shared" ref="AH5" si="27">AG5+1</f>
        <v>32</v>
      </c>
      <c r="AI5" s="465">
        <f t="shared" ref="AI5" si="28">AH5+1</f>
        <v>33</v>
      </c>
      <c r="AJ5" s="465">
        <f t="shared" ref="AJ5" si="29">AI5+1</f>
        <v>34</v>
      </c>
      <c r="AK5" s="465">
        <f t="shared" ref="AK5" si="30">AJ5+1</f>
        <v>35</v>
      </c>
    </row>
    <row r="6" spans="1:37" ht="27" hidden="1" customHeight="1">
      <c r="A6" s="472"/>
      <c r="B6" s="473"/>
      <c r="C6" s="473"/>
      <c r="D6" s="473"/>
      <c r="E6" s="473"/>
      <c r="F6" s="473"/>
      <c r="G6" s="473"/>
      <c r="H6" s="473"/>
      <c r="I6" s="585"/>
      <c r="J6" s="585"/>
      <c r="K6" s="585"/>
      <c r="L6" s="585"/>
      <c r="M6" s="473"/>
      <c r="N6" s="473"/>
      <c r="O6" s="473"/>
      <c r="P6" s="473"/>
      <c r="Q6" s="580"/>
      <c r="R6" s="580"/>
      <c r="S6" s="473"/>
      <c r="T6" s="1027"/>
      <c r="U6" s="473"/>
      <c r="V6" s="473"/>
      <c r="W6" s="580"/>
      <c r="X6" s="580"/>
      <c r="Y6" s="615"/>
      <c r="Z6" s="615"/>
      <c r="AA6" s="615"/>
      <c r="AB6" s="580"/>
      <c r="AC6" s="473"/>
      <c r="AD6" s="473"/>
      <c r="AE6" s="473"/>
      <c r="AF6" s="473"/>
      <c r="AG6" s="580"/>
      <c r="AH6" s="580"/>
      <c r="AI6" s="473"/>
      <c r="AJ6" s="473"/>
      <c r="AK6" s="473"/>
    </row>
    <row r="7" spans="1:37" ht="16.2" customHeight="1">
      <c r="A7" s="1183">
        <v>1</v>
      </c>
      <c r="B7" s="1184" t="s">
        <v>81</v>
      </c>
      <c r="C7" s="1185">
        <f>+'Table 8 Membership 2.1.14'!H3</f>
        <v>0</v>
      </c>
      <c r="D7" s="1186">
        <f>+'Table 5C1A-Madison Prep'!D7</f>
        <v>4765.8584413349836</v>
      </c>
      <c r="E7" s="1187">
        <f>C7*D7</f>
        <v>0</v>
      </c>
      <c r="F7" s="1187">
        <f>+'Table 5C1A-Madison Prep'!F7</f>
        <v>777.48</v>
      </c>
      <c r="G7" s="1187">
        <f>C7*F7</f>
        <v>0</v>
      </c>
      <c r="H7" s="1538">
        <f>E7+G7</f>
        <v>0</v>
      </c>
      <c r="I7" s="1188"/>
      <c r="J7" s="1188"/>
      <c r="K7" s="1189">
        <f>SUM(I7:J7)</f>
        <v>0</v>
      </c>
      <c r="L7" s="1538">
        <f t="shared" ref="L7:L38" si="31">H7+K7</f>
        <v>0</v>
      </c>
      <c r="M7" s="1372">
        <f>-(0.25%*L7)</f>
        <v>0</v>
      </c>
      <c r="N7" s="1538">
        <f>SUM(L7:M7)</f>
        <v>0</v>
      </c>
      <c r="O7" s="1186">
        <v>0</v>
      </c>
      <c r="P7" s="1544">
        <f>SUM(N7:O7)</f>
        <v>0</v>
      </c>
      <c r="Q7" s="1188"/>
      <c r="R7" s="1188">
        <f>P7-Q7</f>
        <v>0</v>
      </c>
      <c r="S7" s="1544">
        <f>ROUND(R7/12,0)</f>
        <v>0</v>
      </c>
      <c r="T7" s="1556">
        <f>+P7</f>
        <v>0</v>
      </c>
      <c r="U7" s="1373">
        <f>'Table 5C1A-Madison Prep'!U7</f>
        <v>2409</v>
      </c>
      <c r="V7" s="1514">
        <f t="shared" ref="V7:V38" si="32">C7*U7</f>
        <v>0</v>
      </c>
      <c r="W7" s="1375"/>
      <c r="X7" s="1376">
        <f>W7*U7</f>
        <v>0</v>
      </c>
      <c r="Y7" s="1375"/>
      <c r="Z7" s="1376">
        <f>+U7*Y7*0.5</f>
        <v>0</v>
      </c>
      <c r="AA7" s="1374">
        <f>+X7+Z7</f>
        <v>0</v>
      </c>
      <c r="AB7" s="1514">
        <f>V7+AA7</f>
        <v>0</v>
      </c>
      <c r="AC7" s="1378">
        <f>-(0.25%*AB7)</f>
        <v>0</v>
      </c>
      <c r="AD7" s="1514">
        <f>SUM(AB7:AC7)</f>
        <v>0</v>
      </c>
      <c r="AE7" s="1376">
        <v>0</v>
      </c>
      <c r="AF7" s="1514">
        <f>SUM(AD7:AE7)</f>
        <v>0</v>
      </c>
      <c r="AG7" s="1376"/>
      <c r="AH7" s="1376">
        <f>AF7-AG7</f>
        <v>0</v>
      </c>
      <c r="AI7" s="1514">
        <f>ROUND(AH7/12,0)</f>
        <v>0</v>
      </c>
      <c r="AJ7" s="1377">
        <f t="shared" ref="AJ7:AJ70" si="33">T7+AF7</f>
        <v>0</v>
      </c>
      <c r="AK7" s="1501">
        <f>S7+AI7</f>
        <v>0</v>
      </c>
    </row>
    <row r="8" spans="1:37" ht="16.2" customHeight="1">
      <c r="A8" s="1176">
        <v>2</v>
      </c>
      <c r="B8" s="1177" t="s">
        <v>82</v>
      </c>
      <c r="C8" s="1178">
        <f>+'Table 8 Membership 2.1.14'!H4</f>
        <v>0</v>
      </c>
      <c r="D8" s="1179">
        <f>+'Table 5C1A-Madison Prep'!D8</f>
        <v>6316.6266417386641</v>
      </c>
      <c r="E8" s="1180">
        <f t="shared" ref="E8:E71" si="34">C8*D8</f>
        <v>0</v>
      </c>
      <c r="F8" s="1180">
        <f>+'Table 5C1A-Madison Prep'!F8</f>
        <v>842.32</v>
      </c>
      <c r="G8" s="1180">
        <f t="shared" ref="G8:G71" si="35">C8*F8</f>
        <v>0</v>
      </c>
      <c r="H8" s="1539">
        <f t="shared" ref="H8:H71" si="36">E8+G8</f>
        <v>0</v>
      </c>
      <c r="I8" s="1181"/>
      <c r="J8" s="1181"/>
      <c r="K8" s="1182">
        <f t="shared" ref="K8:K71" si="37">SUM(I8:J8)</f>
        <v>0</v>
      </c>
      <c r="L8" s="1539">
        <f t="shared" si="31"/>
        <v>0</v>
      </c>
      <c r="M8" s="1388">
        <f t="shared" ref="M8:M71" si="38">-(0.25%*L8)</f>
        <v>0</v>
      </c>
      <c r="N8" s="1539">
        <f t="shared" ref="N8:N71" si="39">SUM(L8:M8)</f>
        <v>0</v>
      </c>
      <c r="O8" s="1179">
        <v>0</v>
      </c>
      <c r="P8" s="1545">
        <f t="shared" ref="P8:P71" si="40">SUM(N8:O8)</f>
        <v>0</v>
      </c>
      <c r="Q8" s="1181"/>
      <c r="R8" s="1181">
        <f t="shared" ref="R8:R71" si="41">P8-Q8</f>
        <v>0</v>
      </c>
      <c r="S8" s="1545">
        <f t="shared" ref="S8:S71" si="42">ROUND(R8/12,0)</f>
        <v>0</v>
      </c>
      <c r="T8" s="1557">
        <f t="shared" ref="T8:T71" si="43">+P8</f>
        <v>0</v>
      </c>
      <c r="U8" s="1389">
        <f>'Table 5C1A-Madison Prep'!U8</f>
        <v>2829</v>
      </c>
      <c r="V8" s="1515">
        <f t="shared" si="32"/>
        <v>0</v>
      </c>
      <c r="W8" s="1391"/>
      <c r="X8" s="1392">
        <f t="shared" ref="X8:X71" si="44">W8*U8</f>
        <v>0</v>
      </c>
      <c r="Y8" s="1391"/>
      <c r="Z8" s="1392">
        <f t="shared" ref="Z8:Z71" si="45">+U8*Y8*0.5</f>
        <v>0</v>
      </c>
      <c r="AA8" s="1390">
        <f t="shared" ref="AA8:AA71" si="46">+X8+Z8</f>
        <v>0</v>
      </c>
      <c r="AB8" s="1515">
        <f t="shared" ref="AB8:AB71" si="47">V8+AA8</f>
        <v>0</v>
      </c>
      <c r="AC8" s="1394">
        <f t="shared" ref="AC8:AC71" si="48">-(0.25%*AB8)</f>
        <v>0</v>
      </c>
      <c r="AD8" s="1515">
        <f t="shared" ref="AD8:AD71" si="49">SUM(AB8:AC8)</f>
        <v>0</v>
      </c>
      <c r="AE8" s="1392">
        <v>0</v>
      </c>
      <c r="AF8" s="1515">
        <f t="shared" ref="AF8:AF71" si="50">SUM(AD8:AE8)</f>
        <v>0</v>
      </c>
      <c r="AG8" s="1392"/>
      <c r="AH8" s="1392">
        <f t="shared" ref="AH8:AH71" si="51">AF8-AG8</f>
        <v>0</v>
      </c>
      <c r="AI8" s="1515">
        <f t="shared" ref="AI8:AI71" si="52">ROUND(AH8/12,0)</f>
        <v>0</v>
      </c>
      <c r="AJ8" s="1393">
        <f t="shared" si="33"/>
        <v>0</v>
      </c>
      <c r="AK8" s="1502">
        <f t="shared" ref="AK8:AK71" si="53">S8+AI8</f>
        <v>0</v>
      </c>
    </row>
    <row r="9" spans="1:37" ht="16.2" customHeight="1">
      <c r="A9" s="1176">
        <v>3</v>
      </c>
      <c r="B9" s="1177" t="s">
        <v>83</v>
      </c>
      <c r="C9" s="1178">
        <f>+'Table 8 Membership 2.1.14'!H5</f>
        <v>0</v>
      </c>
      <c r="D9" s="1179">
        <f>+'Table 5C1A-Madison Prep'!D9</f>
        <v>4155.1862027396819</v>
      </c>
      <c r="E9" s="1180">
        <f t="shared" si="34"/>
        <v>0</v>
      </c>
      <c r="F9" s="1180">
        <f>+'Table 5C1A-Madison Prep'!F9</f>
        <v>596.84</v>
      </c>
      <c r="G9" s="1180">
        <f t="shared" si="35"/>
        <v>0</v>
      </c>
      <c r="H9" s="1539">
        <f t="shared" si="36"/>
        <v>0</v>
      </c>
      <c r="I9" s="1181"/>
      <c r="J9" s="1181"/>
      <c r="K9" s="1182">
        <f t="shared" si="37"/>
        <v>0</v>
      </c>
      <c r="L9" s="1539">
        <f t="shared" si="31"/>
        <v>0</v>
      </c>
      <c r="M9" s="1388">
        <f t="shared" si="38"/>
        <v>0</v>
      </c>
      <c r="N9" s="1539">
        <f t="shared" si="39"/>
        <v>0</v>
      </c>
      <c r="O9" s="1179">
        <v>0</v>
      </c>
      <c r="P9" s="1545">
        <f t="shared" si="40"/>
        <v>0</v>
      </c>
      <c r="Q9" s="1181"/>
      <c r="R9" s="1181">
        <f t="shared" si="41"/>
        <v>0</v>
      </c>
      <c r="S9" s="1545">
        <f t="shared" si="42"/>
        <v>0</v>
      </c>
      <c r="T9" s="1557">
        <f t="shared" si="43"/>
        <v>0</v>
      </c>
      <c r="U9" s="1389">
        <f>'Table 5C1A-Madison Prep'!U9</f>
        <v>5770</v>
      </c>
      <c r="V9" s="1515">
        <f t="shared" si="32"/>
        <v>0</v>
      </c>
      <c r="W9" s="1391"/>
      <c r="X9" s="1392">
        <f t="shared" si="44"/>
        <v>0</v>
      </c>
      <c r="Y9" s="1391"/>
      <c r="Z9" s="1392">
        <f t="shared" si="45"/>
        <v>0</v>
      </c>
      <c r="AA9" s="1390">
        <f t="shared" si="46"/>
        <v>0</v>
      </c>
      <c r="AB9" s="1515">
        <f t="shared" si="47"/>
        <v>0</v>
      </c>
      <c r="AC9" s="1394">
        <f t="shared" si="48"/>
        <v>0</v>
      </c>
      <c r="AD9" s="1515">
        <f t="shared" si="49"/>
        <v>0</v>
      </c>
      <c r="AE9" s="1392">
        <v>0</v>
      </c>
      <c r="AF9" s="1515">
        <f t="shared" si="50"/>
        <v>0</v>
      </c>
      <c r="AG9" s="1392"/>
      <c r="AH9" s="1392">
        <f t="shared" si="51"/>
        <v>0</v>
      </c>
      <c r="AI9" s="1515">
        <f t="shared" si="52"/>
        <v>0</v>
      </c>
      <c r="AJ9" s="1393">
        <f t="shared" si="33"/>
        <v>0</v>
      </c>
      <c r="AK9" s="1502">
        <f t="shared" si="53"/>
        <v>0</v>
      </c>
    </row>
    <row r="10" spans="1:37" ht="16.2" customHeight="1">
      <c r="A10" s="1176">
        <v>4</v>
      </c>
      <c r="B10" s="1177" t="s">
        <v>84</v>
      </c>
      <c r="C10" s="1178">
        <f>+'Table 8 Membership 2.1.14'!H6</f>
        <v>0</v>
      </c>
      <c r="D10" s="1179">
        <f>+'Table 5C1A-Madison Prep'!D10</f>
        <v>6119.0581446878568</v>
      </c>
      <c r="E10" s="1180">
        <f t="shared" si="34"/>
        <v>0</v>
      </c>
      <c r="F10" s="1180">
        <f>+'Table 5C1A-Madison Prep'!F10</f>
        <v>585.76</v>
      </c>
      <c r="G10" s="1180">
        <f t="shared" si="35"/>
        <v>0</v>
      </c>
      <c r="H10" s="1539">
        <f t="shared" si="36"/>
        <v>0</v>
      </c>
      <c r="I10" s="1181"/>
      <c r="J10" s="1181"/>
      <c r="K10" s="1182">
        <f t="shared" si="37"/>
        <v>0</v>
      </c>
      <c r="L10" s="1539">
        <f t="shared" si="31"/>
        <v>0</v>
      </c>
      <c r="M10" s="1388">
        <f t="shared" si="38"/>
        <v>0</v>
      </c>
      <c r="N10" s="1539">
        <f t="shared" si="39"/>
        <v>0</v>
      </c>
      <c r="O10" s="1179">
        <v>0</v>
      </c>
      <c r="P10" s="1545">
        <f t="shared" si="40"/>
        <v>0</v>
      </c>
      <c r="Q10" s="1181"/>
      <c r="R10" s="1181">
        <f t="shared" si="41"/>
        <v>0</v>
      </c>
      <c r="S10" s="1545">
        <f t="shared" si="42"/>
        <v>0</v>
      </c>
      <c r="T10" s="1557">
        <f t="shared" si="43"/>
        <v>0</v>
      </c>
      <c r="U10" s="1389">
        <f>'Table 5C1A-Madison Prep'!U10</f>
        <v>3287</v>
      </c>
      <c r="V10" s="1515">
        <f t="shared" si="32"/>
        <v>0</v>
      </c>
      <c r="W10" s="1391"/>
      <c r="X10" s="1392">
        <f t="shared" si="44"/>
        <v>0</v>
      </c>
      <c r="Y10" s="1391"/>
      <c r="Z10" s="1392">
        <f t="shared" si="45"/>
        <v>0</v>
      </c>
      <c r="AA10" s="1390">
        <f t="shared" si="46"/>
        <v>0</v>
      </c>
      <c r="AB10" s="1515">
        <f t="shared" si="47"/>
        <v>0</v>
      </c>
      <c r="AC10" s="1394">
        <f t="shared" si="48"/>
        <v>0</v>
      </c>
      <c r="AD10" s="1515">
        <f t="shared" si="49"/>
        <v>0</v>
      </c>
      <c r="AE10" s="1392">
        <v>0</v>
      </c>
      <c r="AF10" s="1515">
        <f t="shared" si="50"/>
        <v>0</v>
      </c>
      <c r="AG10" s="1392"/>
      <c r="AH10" s="1392">
        <f t="shared" si="51"/>
        <v>0</v>
      </c>
      <c r="AI10" s="1515">
        <f t="shared" si="52"/>
        <v>0</v>
      </c>
      <c r="AJ10" s="1393">
        <f t="shared" si="33"/>
        <v>0</v>
      </c>
      <c r="AK10" s="1502">
        <f t="shared" si="53"/>
        <v>0</v>
      </c>
    </row>
    <row r="11" spans="1:37" ht="16.2" customHeight="1">
      <c r="A11" s="1168">
        <v>5</v>
      </c>
      <c r="B11" s="1169" t="s">
        <v>85</v>
      </c>
      <c r="C11" s="1170">
        <f>+'Table 8 Membership 2.1.14'!H7</f>
        <v>0</v>
      </c>
      <c r="D11" s="1171">
        <f>+'Table 5C1A-Madison Prep'!D11</f>
        <v>5268.940566009911</v>
      </c>
      <c r="E11" s="1172">
        <f t="shared" si="34"/>
        <v>0</v>
      </c>
      <c r="F11" s="1172">
        <f>+'Table 5C1A-Madison Prep'!F11</f>
        <v>555.91</v>
      </c>
      <c r="G11" s="1172">
        <f t="shared" si="35"/>
        <v>0</v>
      </c>
      <c r="H11" s="1540">
        <f t="shared" si="36"/>
        <v>0</v>
      </c>
      <c r="I11" s="1173"/>
      <c r="J11" s="1173"/>
      <c r="K11" s="1174">
        <f t="shared" si="37"/>
        <v>0</v>
      </c>
      <c r="L11" s="1540">
        <f t="shared" si="31"/>
        <v>0</v>
      </c>
      <c r="M11" s="1399">
        <f t="shared" si="38"/>
        <v>0</v>
      </c>
      <c r="N11" s="1540">
        <f t="shared" si="39"/>
        <v>0</v>
      </c>
      <c r="O11" s="1171">
        <v>0</v>
      </c>
      <c r="P11" s="1546">
        <f t="shared" si="40"/>
        <v>0</v>
      </c>
      <c r="Q11" s="1175"/>
      <c r="R11" s="1173">
        <f t="shared" si="41"/>
        <v>0</v>
      </c>
      <c r="S11" s="1550">
        <f t="shared" si="42"/>
        <v>0</v>
      </c>
      <c r="T11" s="1550">
        <f t="shared" si="43"/>
        <v>0</v>
      </c>
      <c r="U11" s="1382">
        <f>'Table 5C1A-Madison Prep'!U11</f>
        <v>1921</v>
      </c>
      <c r="V11" s="1516">
        <f t="shared" si="32"/>
        <v>0</v>
      </c>
      <c r="W11" s="1400"/>
      <c r="X11" s="1383">
        <f t="shared" si="44"/>
        <v>0</v>
      </c>
      <c r="Y11" s="1400"/>
      <c r="Z11" s="1383">
        <f t="shared" si="45"/>
        <v>0</v>
      </c>
      <c r="AA11" s="1384">
        <f t="shared" si="46"/>
        <v>0</v>
      </c>
      <c r="AB11" s="1516">
        <f t="shared" si="47"/>
        <v>0</v>
      </c>
      <c r="AC11" s="1402">
        <f t="shared" si="48"/>
        <v>0</v>
      </c>
      <c r="AD11" s="1516">
        <f t="shared" si="49"/>
        <v>0</v>
      </c>
      <c r="AE11" s="1383">
        <v>0</v>
      </c>
      <c r="AF11" s="1516">
        <f t="shared" si="50"/>
        <v>0</v>
      </c>
      <c r="AG11" s="1383"/>
      <c r="AH11" s="1383">
        <f t="shared" si="51"/>
        <v>0</v>
      </c>
      <c r="AI11" s="1516">
        <f t="shared" si="52"/>
        <v>0</v>
      </c>
      <c r="AJ11" s="1401">
        <f t="shared" si="33"/>
        <v>0</v>
      </c>
      <c r="AK11" s="1503">
        <f t="shared" si="53"/>
        <v>0</v>
      </c>
    </row>
    <row r="12" spans="1:37" ht="16.2" customHeight="1">
      <c r="A12" s="1183">
        <v>6</v>
      </c>
      <c r="B12" s="1184" t="s">
        <v>86</v>
      </c>
      <c r="C12" s="1185">
        <f>+'Table 8 Membership 2.1.14'!H8</f>
        <v>0</v>
      </c>
      <c r="D12" s="1186">
        <f>+'Table 5C1A-Madison Prep'!D12</f>
        <v>5378.5086124955869</v>
      </c>
      <c r="E12" s="1187">
        <f t="shared" si="34"/>
        <v>0</v>
      </c>
      <c r="F12" s="1187">
        <f>+'Table 5C1A-Madison Prep'!F12</f>
        <v>545.4799999999999</v>
      </c>
      <c r="G12" s="1187">
        <f t="shared" si="35"/>
        <v>0</v>
      </c>
      <c r="H12" s="1538">
        <f t="shared" si="36"/>
        <v>0</v>
      </c>
      <c r="I12" s="1188"/>
      <c r="J12" s="1188"/>
      <c r="K12" s="1189">
        <f t="shared" si="37"/>
        <v>0</v>
      </c>
      <c r="L12" s="1538">
        <f t="shared" si="31"/>
        <v>0</v>
      </c>
      <c r="M12" s="1372">
        <f t="shared" si="38"/>
        <v>0</v>
      </c>
      <c r="N12" s="1538">
        <f t="shared" si="39"/>
        <v>0</v>
      </c>
      <c r="O12" s="1186">
        <v>0</v>
      </c>
      <c r="P12" s="1544">
        <f t="shared" si="40"/>
        <v>0</v>
      </c>
      <c r="Q12" s="1188"/>
      <c r="R12" s="1188">
        <f t="shared" si="41"/>
        <v>0</v>
      </c>
      <c r="S12" s="1544">
        <f t="shared" si="42"/>
        <v>0</v>
      </c>
      <c r="T12" s="1556">
        <f t="shared" si="43"/>
        <v>0</v>
      </c>
      <c r="U12" s="1373">
        <f>'Table 5C1A-Madison Prep'!U12</f>
        <v>3807</v>
      </c>
      <c r="V12" s="1514">
        <f t="shared" si="32"/>
        <v>0</v>
      </c>
      <c r="W12" s="1375"/>
      <c r="X12" s="1376">
        <f t="shared" si="44"/>
        <v>0</v>
      </c>
      <c r="Y12" s="1375"/>
      <c r="Z12" s="1376">
        <f t="shared" si="45"/>
        <v>0</v>
      </c>
      <c r="AA12" s="1374">
        <f t="shared" si="46"/>
        <v>0</v>
      </c>
      <c r="AB12" s="1514">
        <f t="shared" si="47"/>
        <v>0</v>
      </c>
      <c r="AC12" s="1378">
        <f t="shared" si="48"/>
        <v>0</v>
      </c>
      <c r="AD12" s="1514">
        <f t="shared" si="49"/>
        <v>0</v>
      </c>
      <c r="AE12" s="1376">
        <v>0</v>
      </c>
      <c r="AF12" s="1514">
        <f t="shared" si="50"/>
        <v>0</v>
      </c>
      <c r="AG12" s="1376"/>
      <c r="AH12" s="1376">
        <f t="shared" si="51"/>
        <v>0</v>
      </c>
      <c r="AI12" s="1514">
        <f t="shared" si="52"/>
        <v>0</v>
      </c>
      <c r="AJ12" s="1377">
        <f t="shared" si="33"/>
        <v>0</v>
      </c>
      <c r="AK12" s="1501">
        <f t="shared" si="53"/>
        <v>0</v>
      </c>
    </row>
    <row r="13" spans="1:37" ht="16.2" customHeight="1">
      <c r="A13" s="1176">
        <v>7</v>
      </c>
      <c r="B13" s="1177" t="s">
        <v>87</v>
      </c>
      <c r="C13" s="1178">
        <f>+'Table 8 Membership 2.1.14'!H9</f>
        <v>0</v>
      </c>
      <c r="D13" s="1179">
        <f>+'Table 5C1A-Madison Prep'!D13</f>
        <v>2243.0031963470319</v>
      </c>
      <c r="E13" s="1180">
        <f t="shared" si="34"/>
        <v>0</v>
      </c>
      <c r="F13" s="1180">
        <f>+'Table 5C1A-Madison Prep'!F13</f>
        <v>756.91999999999985</v>
      </c>
      <c r="G13" s="1180">
        <f t="shared" si="35"/>
        <v>0</v>
      </c>
      <c r="H13" s="1539">
        <f t="shared" si="36"/>
        <v>0</v>
      </c>
      <c r="I13" s="1181"/>
      <c r="J13" s="1181"/>
      <c r="K13" s="1182">
        <f t="shared" si="37"/>
        <v>0</v>
      </c>
      <c r="L13" s="1539">
        <f t="shared" si="31"/>
        <v>0</v>
      </c>
      <c r="M13" s="1388">
        <f t="shared" si="38"/>
        <v>0</v>
      </c>
      <c r="N13" s="1539">
        <f t="shared" si="39"/>
        <v>0</v>
      </c>
      <c r="O13" s="1179">
        <v>0</v>
      </c>
      <c r="P13" s="1545">
        <f t="shared" si="40"/>
        <v>0</v>
      </c>
      <c r="Q13" s="1181"/>
      <c r="R13" s="1181">
        <f t="shared" si="41"/>
        <v>0</v>
      </c>
      <c r="S13" s="1545">
        <f t="shared" si="42"/>
        <v>0</v>
      </c>
      <c r="T13" s="1557">
        <f t="shared" si="43"/>
        <v>0</v>
      </c>
      <c r="U13" s="1389">
        <f>'Table 5C1A-Madison Prep'!U13</f>
        <v>11888</v>
      </c>
      <c r="V13" s="1515">
        <f t="shared" si="32"/>
        <v>0</v>
      </c>
      <c r="W13" s="1391"/>
      <c r="X13" s="1392">
        <f t="shared" si="44"/>
        <v>0</v>
      </c>
      <c r="Y13" s="1391"/>
      <c r="Z13" s="1392">
        <f t="shared" si="45"/>
        <v>0</v>
      </c>
      <c r="AA13" s="1390">
        <f t="shared" si="46"/>
        <v>0</v>
      </c>
      <c r="AB13" s="1515">
        <f t="shared" si="47"/>
        <v>0</v>
      </c>
      <c r="AC13" s="1394">
        <f t="shared" si="48"/>
        <v>0</v>
      </c>
      <c r="AD13" s="1515">
        <f t="shared" si="49"/>
        <v>0</v>
      </c>
      <c r="AE13" s="1392">
        <v>0</v>
      </c>
      <c r="AF13" s="1515">
        <f t="shared" si="50"/>
        <v>0</v>
      </c>
      <c r="AG13" s="1392"/>
      <c r="AH13" s="1392">
        <f t="shared" si="51"/>
        <v>0</v>
      </c>
      <c r="AI13" s="1515">
        <f t="shared" si="52"/>
        <v>0</v>
      </c>
      <c r="AJ13" s="1393">
        <f t="shared" si="33"/>
        <v>0</v>
      </c>
      <c r="AK13" s="1502">
        <f t="shared" si="53"/>
        <v>0</v>
      </c>
    </row>
    <row r="14" spans="1:37" ht="16.2" customHeight="1">
      <c r="A14" s="1176">
        <v>8</v>
      </c>
      <c r="B14" s="1177" t="s">
        <v>88</v>
      </c>
      <c r="C14" s="1178">
        <f>+'Table 8 Membership 2.1.14'!H10</f>
        <v>0</v>
      </c>
      <c r="D14" s="1179">
        <f>+'Table 5C1A-Madison Prep'!D14</f>
        <v>4669.802459558854</v>
      </c>
      <c r="E14" s="1180">
        <f t="shared" si="34"/>
        <v>0</v>
      </c>
      <c r="F14" s="1180">
        <f>+'Table 5C1A-Madison Prep'!F14</f>
        <v>725.76</v>
      </c>
      <c r="G14" s="1180">
        <f t="shared" si="35"/>
        <v>0</v>
      </c>
      <c r="H14" s="1539">
        <f t="shared" si="36"/>
        <v>0</v>
      </c>
      <c r="I14" s="1181"/>
      <c r="J14" s="1181"/>
      <c r="K14" s="1182">
        <f t="shared" si="37"/>
        <v>0</v>
      </c>
      <c r="L14" s="1539">
        <f t="shared" si="31"/>
        <v>0</v>
      </c>
      <c r="M14" s="1388">
        <f t="shared" si="38"/>
        <v>0</v>
      </c>
      <c r="N14" s="1539">
        <f t="shared" si="39"/>
        <v>0</v>
      </c>
      <c r="O14" s="1179">
        <v>0</v>
      </c>
      <c r="P14" s="1545">
        <f t="shared" si="40"/>
        <v>0</v>
      </c>
      <c r="Q14" s="1181"/>
      <c r="R14" s="1181">
        <f t="shared" si="41"/>
        <v>0</v>
      </c>
      <c r="S14" s="1545">
        <f t="shared" si="42"/>
        <v>0</v>
      </c>
      <c r="T14" s="1557">
        <f t="shared" si="43"/>
        <v>0</v>
      </c>
      <c r="U14" s="1389">
        <f>'Table 5C1A-Madison Prep'!U14</f>
        <v>4024</v>
      </c>
      <c r="V14" s="1515">
        <f t="shared" si="32"/>
        <v>0</v>
      </c>
      <c r="W14" s="1391"/>
      <c r="X14" s="1392">
        <f t="shared" si="44"/>
        <v>0</v>
      </c>
      <c r="Y14" s="1391"/>
      <c r="Z14" s="1392">
        <f t="shared" si="45"/>
        <v>0</v>
      </c>
      <c r="AA14" s="1390">
        <f t="shared" si="46"/>
        <v>0</v>
      </c>
      <c r="AB14" s="1515">
        <f t="shared" si="47"/>
        <v>0</v>
      </c>
      <c r="AC14" s="1394">
        <f t="shared" si="48"/>
        <v>0</v>
      </c>
      <c r="AD14" s="1515">
        <f t="shared" si="49"/>
        <v>0</v>
      </c>
      <c r="AE14" s="1392">
        <v>0</v>
      </c>
      <c r="AF14" s="1515">
        <f t="shared" si="50"/>
        <v>0</v>
      </c>
      <c r="AG14" s="1392"/>
      <c r="AH14" s="1392">
        <f t="shared" si="51"/>
        <v>0</v>
      </c>
      <c r="AI14" s="1515">
        <f t="shared" si="52"/>
        <v>0</v>
      </c>
      <c r="AJ14" s="1393">
        <f t="shared" si="33"/>
        <v>0</v>
      </c>
      <c r="AK14" s="1502">
        <f t="shared" si="53"/>
        <v>0</v>
      </c>
    </row>
    <row r="15" spans="1:37" ht="16.2" customHeight="1">
      <c r="A15" s="1176">
        <v>9</v>
      </c>
      <c r="B15" s="1177" t="s">
        <v>89</v>
      </c>
      <c r="C15" s="1178">
        <f>+'Table 8 Membership 2.1.14'!H11</f>
        <v>0</v>
      </c>
      <c r="D15" s="1179">
        <f>+'Table 5C1A-Madison Prep'!D15</f>
        <v>4632.4615072045008</v>
      </c>
      <c r="E15" s="1180">
        <f t="shared" si="34"/>
        <v>0</v>
      </c>
      <c r="F15" s="1180">
        <f>+'Table 5C1A-Madison Prep'!F15</f>
        <v>744.76</v>
      </c>
      <c r="G15" s="1180">
        <f t="shared" si="35"/>
        <v>0</v>
      </c>
      <c r="H15" s="1539">
        <f t="shared" si="36"/>
        <v>0</v>
      </c>
      <c r="I15" s="1181"/>
      <c r="J15" s="1181"/>
      <c r="K15" s="1182">
        <f t="shared" si="37"/>
        <v>0</v>
      </c>
      <c r="L15" s="1539">
        <f t="shared" si="31"/>
        <v>0</v>
      </c>
      <c r="M15" s="1388">
        <f t="shared" si="38"/>
        <v>0</v>
      </c>
      <c r="N15" s="1539">
        <f t="shared" si="39"/>
        <v>0</v>
      </c>
      <c r="O15" s="1179">
        <v>0</v>
      </c>
      <c r="P15" s="1545">
        <f t="shared" si="40"/>
        <v>0</v>
      </c>
      <c r="Q15" s="1181"/>
      <c r="R15" s="1181">
        <f t="shared" si="41"/>
        <v>0</v>
      </c>
      <c r="S15" s="1545">
        <f t="shared" si="42"/>
        <v>0</v>
      </c>
      <c r="T15" s="1557">
        <f t="shared" si="43"/>
        <v>0</v>
      </c>
      <c r="U15" s="1389">
        <f>'Table 5C1A-Madison Prep'!U15</f>
        <v>4828</v>
      </c>
      <c r="V15" s="1515">
        <f t="shared" si="32"/>
        <v>0</v>
      </c>
      <c r="W15" s="1391"/>
      <c r="X15" s="1392">
        <f t="shared" si="44"/>
        <v>0</v>
      </c>
      <c r="Y15" s="1391"/>
      <c r="Z15" s="1392">
        <f t="shared" si="45"/>
        <v>0</v>
      </c>
      <c r="AA15" s="1390">
        <f t="shared" si="46"/>
        <v>0</v>
      </c>
      <c r="AB15" s="1515">
        <f t="shared" si="47"/>
        <v>0</v>
      </c>
      <c r="AC15" s="1394">
        <f t="shared" si="48"/>
        <v>0</v>
      </c>
      <c r="AD15" s="1515">
        <f t="shared" si="49"/>
        <v>0</v>
      </c>
      <c r="AE15" s="1392">
        <v>0</v>
      </c>
      <c r="AF15" s="1515">
        <f t="shared" si="50"/>
        <v>0</v>
      </c>
      <c r="AG15" s="1392"/>
      <c r="AH15" s="1392">
        <f t="shared" si="51"/>
        <v>0</v>
      </c>
      <c r="AI15" s="1515">
        <f t="shared" si="52"/>
        <v>0</v>
      </c>
      <c r="AJ15" s="1393">
        <f t="shared" si="33"/>
        <v>0</v>
      </c>
      <c r="AK15" s="1502">
        <f t="shared" si="53"/>
        <v>0</v>
      </c>
    </row>
    <row r="16" spans="1:37" ht="16.2" customHeight="1">
      <c r="A16" s="1168">
        <v>10</v>
      </c>
      <c r="B16" s="1169" t="s">
        <v>90</v>
      </c>
      <c r="C16" s="1170">
        <f>+'Table 8 Membership 2.1.14'!H12</f>
        <v>0</v>
      </c>
      <c r="D16" s="1171">
        <f>+'Table 5C1A-Madison Prep'!D16</f>
        <v>4384.374733918472</v>
      </c>
      <c r="E16" s="1172">
        <f t="shared" si="34"/>
        <v>0</v>
      </c>
      <c r="F16" s="1172">
        <f>+'Table 5C1A-Madison Prep'!F16</f>
        <v>608.04000000000008</v>
      </c>
      <c r="G16" s="1172">
        <f t="shared" si="35"/>
        <v>0</v>
      </c>
      <c r="H16" s="1540">
        <f t="shared" si="36"/>
        <v>0</v>
      </c>
      <c r="I16" s="1173"/>
      <c r="J16" s="1173"/>
      <c r="K16" s="1174">
        <f t="shared" si="37"/>
        <v>0</v>
      </c>
      <c r="L16" s="1540">
        <f t="shared" si="31"/>
        <v>0</v>
      </c>
      <c r="M16" s="1399">
        <f t="shared" si="38"/>
        <v>0</v>
      </c>
      <c r="N16" s="1540">
        <f t="shared" si="39"/>
        <v>0</v>
      </c>
      <c r="O16" s="1171">
        <v>0</v>
      </c>
      <c r="P16" s="1546">
        <f t="shared" si="40"/>
        <v>0</v>
      </c>
      <c r="Q16" s="1175"/>
      <c r="R16" s="1173">
        <f t="shared" si="41"/>
        <v>0</v>
      </c>
      <c r="S16" s="1550">
        <f t="shared" si="42"/>
        <v>0</v>
      </c>
      <c r="T16" s="1550">
        <f t="shared" si="43"/>
        <v>0</v>
      </c>
      <c r="U16" s="1382">
        <f>'Table 5C1A-Madison Prep'!U16</f>
        <v>4565</v>
      </c>
      <c r="V16" s="1516">
        <f t="shared" si="32"/>
        <v>0</v>
      </c>
      <c r="W16" s="1400"/>
      <c r="X16" s="1383">
        <f t="shared" si="44"/>
        <v>0</v>
      </c>
      <c r="Y16" s="1400"/>
      <c r="Z16" s="1383">
        <f t="shared" si="45"/>
        <v>0</v>
      </c>
      <c r="AA16" s="1384">
        <f t="shared" si="46"/>
        <v>0</v>
      </c>
      <c r="AB16" s="1516">
        <f t="shared" si="47"/>
        <v>0</v>
      </c>
      <c r="AC16" s="1402">
        <f t="shared" si="48"/>
        <v>0</v>
      </c>
      <c r="AD16" s="1516">
        <f t="shared" si="49"/>
        <v>0</v>
      </c>
      <c r="AE16" s="1383">
        <v>0</v>
      </c>
      <c r="AF16" s="1516">
        <f t="shared" si="50"/>
        <v>0</v>
      </c>
      <c r="AG16" s="1383"/>
      <c r="AH16" s="1383">
        <f t="shared" si="51"/>
        <v>0</v>
      </c>
      <c r="AI16" s="1516">
        <f t="shared" si="52"/>
        <v>0</v>
      </c>
      <c r="AJ16" s="1401">
        <f t="shared" si="33"/>
        <v>0</v>
      </c>
      <c r="AK16" s="1503">
        <f t="shared" si="53"/>
        <v>0</v>
      </c>
    </row>
    <row r="17" spans="1:37" ht="16.2" customHeight="1">
      <c r="A17" s="1183">
        <v>11</v>
      </c>
      <c r="B17" s="1184" t="s">
        <v>91</v>
      </c>
      <c r="C17" s="1185">
        <f>+'Table 8 Membership 2.1.14'!H13</f>
        <v>0</v>
      </c>
      <c r="D17" s="1186">
        <f>+'Table 5C1A-Madison Prep'!D17</f>
        <v>7098.5372236353351</v>
      </c>
      <c r="E17" s="1187">
        <f t="shared" si="34"/>
        <v>0</v>
      </c>
      <c r="F17" s="1187">
        <f>+'Table 5C1A-Madison Prep'!F17</f>
        <v>706.55</v>
      </c>
      <c r="G17" s="1187">
        <f t="shared" si="35"/>
        <v>0</v>
      </c>
      <c r="H17" s="1538">
        <f t="shared" si="36"/>
        <v>0</v>
      </c>
      <c r="I17" s="1188"/>
      <c r="J17" s="1188"/>
      <c r="K17" s="1189">
        <f t="shared" si="37"/>
        <v>0</v>
      </c>
      <c r="L17" s="1538">
        <f t="shared" si="31"/>
        <v>0</v>
      </c>
      <c r="M17" s="1372">
        <f t="shared" si="38"/>
        <v>0</v>
      </c>
      <c r="N17" s="1538">
        <f t="shared" si="39"/>
        <v>0</v>
      </c>
      <c r="O17" s="1186">
        <v>0</v>
      </c>
      <c r="P17" s="1544">
        <f t="shared" si="40"/>
        <v>0</v>
      </c>
      <c r="Q17" s="1188"/>
      <c r="R17" s="1188">
        <f t="shared" si="41"/>
        <v>0</v>
      </c>
      <c r="S17" s="1544">
        <f t="shared" si="42"/>
        <v>0</v>
      </c>
      <c r="T17" s="1556">
        <f t="shared" si="43"/>
        <v>0</v>
      </c>
      <c r="U17" s="1373">
        <f>'Table 5C1A-Madison Prep'!U17</f>
        <v>3587</v>
      </c>
      <c r="V17" s="1514">
        <f t="shared" si="32"/>
        <v>0</v>
      </c>
      <c r="W17" s="1375"/>
      <c r="X17" s="1376">
        <f t="shared" si="44"/>
        <v>0</v>
      </c>
      <c r="Y17" s="1375"/>
      <c r="Z17" s="1376">
        <f t="shared" si="45"/>
        <v>0</v>
      </c>
      <c r="AA17" s="1374">
        <f t="shared" si="46"/>
        <v>0</v>
      </c>
      <c r="AB17" s="1514">
        <f t="shared" si="47"/>
        <v>0</v>
      </c>
      <c r="AC17" s="1378">
        <f t="shared" si="48"/>
        <v>0</v>
      </c>
      <c r="AD17" s="1514">
        <f t="shared" si="49"/>
        <v>0</v>
      </c>
      <c r="AE17" s="1376">
        <v>0</v>
      </c>
      <c r="AF17" s="1514">
        <f t="shared" si="50"/>
        <v>0</v>
      </c>
      <c r="AG17" s="1376"/>
      <c r="AH17" s="1376">
        <f t="shared" si="51"/>
        <v>0</v>
      </c>
      <c r="AI17" s="1514">
        <f t="shared" si="52"/>
        <v>0</v>
      </c>
      <c r="AJ17" s="1377">
        <f t="shared" si="33"/>
        <v>0</v>
      </c>
      <c r="AK17" s="1501">
        <f t="shared" si="53"/>
        <v>0</v>
      </c>
    </row>
    <row r="18" spans="1:37" ht="16.2" customHeight="1">
      <c r="A18" s="1176">
        <v>12</v>
      </c>
      <c r="B18" s="1177" t="s">
        <v>92</v>
      </c>
      <c r="C18" s="1178">
        <f>+'Table 8 Membership 2.1.14'!H14</f>
        <v>0</v>
      </c>
      <c r="D18" s="1179">
        <f>+'Table 5C1A-Madison Prep'!D18</f>
        <v>1666.6040983606558</v>
      </c>
      <c r="E18" s="1180">
        <f t="shared" si="34"/>
        <v>0</v>
      </c>
      <c r="F18" s="1180">
        <f>+'Table 5C1A-Madison Prep'!F18</f>
        <v>1063.31</v>
      </c>
      <c r="G18" s="1180">
        <f t="shared" si="35"/>
        <v>0</v>
      </c>
      <c r="H18" s="1539">
        <f t="shared" si="36"/>
        <v>0</v>
      </c>
      <c r="I18" s="1181"/>
      <c r="J18" s="1181"/>
      <c r="K18" s="1182">
        <f t="shared" si="37"/>
        <v>0</v>
      </c>
      <c r="L18" s="1539">
        <f t="shared" si="31"/>
        <v>0</v>
      </c>
      <c r="M18" s="1388">
        <f t="shared" si="38"/>
        <v>0</v>
      </c>
      <c r="N18" s="1539">
        <f t="shared" si="39"/>
        <v>0</v>
      </c>
      <c r="O18" s="1179">
        <v>0</v>
      </c>
      <c r="P18" s="1545">
        <f t="shared" si="40"/>
        <v>0</v>
      </c>
      <c r="Q18" s="1181"/>
      <c r="R18" s="1181">
        <f t="shared" si="41"/>
        <v>0</v>
      </c>
      <c r="S18" s="1545">
        <f t="shared" si="42"/>
        <v>0</v>
      </c>
      <c r="T18" s="1557">
        <f t="shared" si="43"/>
        <v>0</v>
      </c>
      <c r="U18" s="1389">
        <f>'Table 5C1A-Madison Prep'!U18</f>
        <v>8094</v>
      </c>
      <c r="V18" s="1515">
        <f t="shared" si="32"/>
        <v>0</v>
      </c>
      <c r="W18" s="1391"/>
      <c r="X18" s="1392">
        <f t="shared" si="44"/>
        <v>0</v>
      </c>
      <c r="Y18" s="1391"/>
      <c r="Z18" s="1392">
        <f t="shared" si="45"/>
        <v>0</v>
      </c>
      <c r="AA18" s="1390">
        <f t="shared" si="46"/>
        <v>0</v>
      </c>
      <c r="AB18" s="1515">
        <f t="shared" si="47"/>
        <v>0</v>
      </c>
      <c r="AC18" s="1394">
        <f t="shared" si="48"/>
        <v>0</v>
      </c>
      <c r="AD18" s="1515">
        <f t="shared" si="49"/>
        <v>0</v>
      </c>
      <c r="AE18" s="1392">
        <v>0</v>
      </c>
      <c r="AF18" s="1515">
        <f t="shared" si="50"/>
        <v>0</v>
      </c>
      <c r="AG18" s="1392"/>
      <c r="AH18" s="1392">
        <f t="shared" si="51"/>
        <v>0</v>
      </c>
      <c r="AI18" s="1515">
        <f t="shared" si="52"/>
        <v>0</v>
      </c>
      <c r="AJ18" s="1393">
        <f t="shared" si="33"/>
        <v>0</v>
      </c>
      <c r="AK18" s="1502">
        <f t="shared" si="53"/>
        <v>0</v>
      </c>
    </row>
    <row r="19" spans="1:37" ht="16.2" customHeight="1">
      <c r="A19" s="1176">
        <v>13</v>
      </c>
      <c r="B19" s="1177" t="s">
        <v>93</v>
      </c>
      <c r="C19" s="1178">
        <f>+'Table 8 Membership 2.1.14'!H15</f>
        <v>0</v>
      </c>
      <c r="D19" s="1179">
        <f>+'Table 5C1A-Madison Prep'!D19</f>
        <v>6433.6297758332212</v>
      </c>
      <c r="E19" s="1180">
        <f t="shared" si="34"/>
        <v>0</v>
      </c>
      <c r="F19" s="1180">
        <f>+'Table 5C1A-Madison Prep'!F19</f>
        <v>749.43000000000006</v>
      </c>
      <c r="G19" s="1180">
        <f t="shared" si="35"/>
        <v>0</v>
      </c>
      <c r="H19" s="1539">
        <f t="shared" si="36"/>
        <v>0</v>
      </c>
      <c r="I19" s="1181"/>
      <c r="J19" s="1181"/>
      <c r="K19" s="1182">
        <f t="shared" si="37"/>
        <v>0</v>
      </c>
      <c r="L19" s="1539">
        <f t="shared" si="31"/>
        <v>0</v>
      </c>
      <c r="M19" s="1388">
        <f t="shared" si="38"/>
        <v>0</v>
      </c>
      <c r="N19" s="1539">
        <f t="shared" si="39"/>
        <v>0</v>
      </c>
      <c r="O19" s="1179">
        <v>0</v>
      </c>
      <c r="P19" s="1545">
        <f t="shared" si="40"/>
        <v>0</v>
      </c>
      <c r="Q19" s="1181"/>
      <c r="R19" s="1181">
        <f t="shared" si="41"/>
        <v>0</v>
      </c>
      <c r="S19" s="1545">
        <f t="shared" si="42"/>
        <v>0</v>
      </c>
      <c r="T19" s="1557">
        <f t="shared" si="43"/>
        <v>0</v>
      </c>
      <c r="U19" s="1389">
        <f>'Table 5C1A-Madison Prep'!U19</f>
        <v>2842</v>
      </c>
      <c r="V19" s="1515">
        <f t="shared" si="32"/>
        <v>0</v>
      </c>
      <c r="W19" s="1391"/>
      <c r="X19" s="1392">
        <f t="shared" si="44"/>
        <v>0</v>
      </c>
      <c r="Y19" s="1391"/>
      <c r="Z19" s="1392">
        <f t="shared" si="45"/>
        <v>0</v>
      </c>
      <c r="AA19" s="1390">
        <f t="shared" si="46"/>
        <v>0</v>
      </c>
      <c r="AB19" s="1515">
        <f t="shared" si="47"/>
        <v>0</v>
      </c>
      <c r="AC19" s="1394">
        <f t="shared" si="48"/>
        <v>0</v>
      </c>
      <c r="AD19" s="1515">
        <f t="shared" si="49"/>
        <v>0</v>
      </c>
      <c r="AE19" s="1392">
        <v>0</v>
      </c>
      <c r="AF19" s="1515">
        <f t="shared" si="50"/>
        <v>0</v>
      </c>
      <c r="AG19" s="1392"/>
      <c r="AH19" s="1392">
        <f t="shared" si="51"/>
        <v>0</v>
      </c>
      <c r="AI19" s="1515">
        <f t="shared" si="52"/>
        <v>0</v>
      </c>
      <c r="AJ19" s="1393">
        <f t="shared" si="33"/>
        <v>0</v>
      </c>
      <c r="AK19" s="1502">
        <f t="shared" si="53"/>
        <v>0</v>
      </c>
    </row>
    <row r="20" spans="1:37" ht="16.2" customHeight="1">
      <c r="A20" s="1176">
        <v>14</v>
      </c>
      <c r="B20" s="1177" t="s">
        <v>94</v>
      </c>
      <c r="C20" s="1178">
        <f>+'Table 8 Membership 2.1.14'!H16</f>
        <v>2</v>
      </c>
      <c r="D20" s="1179">
        <f>+'Table 5C1A-Madison Prep'!D20</f>
        <v>5334.9509412500001</v>
      </c>
      <c r="E20" s="1180">
        <f t="shared" si="34"/>
        <v>10669.9018825</v>
      </c>
      <c r="F20" s="1180">
        <f>+'Table 5C1A-Madison Prep'!F20</f>
        <v>809.9799999999999</v>
      </c>
      <c r="G20" s="1180">
        <f t="shared" si="35"/>
        <v>1619.9599999999998</v>
      </c>
      <c r="H20" s="1539">
        <f t="shared" si="36"/>
        <v>12289.861882499999</v>
      </c>
      <c r="I20" s="1181"/>
      <c r="J20" s="1181"/>
      <c r="K20" s="1182">
        <f t="shared" si="37"/>
        <v>0</v>
      </c>
      <c r="L20" s="1539">
        <f t="shared" si="31"/>
        <v>12289.861882499999</v>
      </c>
      <c r="M20" s="1388">
        <f t="shared" si="38"/>
        <v>-30.72465470625</v>
      </c>
      <c r="N20" s="1539">
        <f t="shared" si="39"/>
        <v>12259.13722779375</v>
      </c>
      <c r="O20" s="1179">
        <v>0</v>
      </c>
      <c r="P20" s="1545">
        <f t="shared" si="40"/>
        <v>12259.13722779375</v>
      </c>
      <c r="Q20" s="1181"/>
      <c r="R20" s="1181">
        <f t="shared" si="41"/>
        <v>12259.13722779375</v>
      </c>
      <c r="S20" s="1545">
        <f t="shared" si="42"/>
        <v>1022</v>
      </c>
      <c r="T20" s="1557">
        <f t="shared" si="43"/>
        <v>12259.13722779375</v>
      </c>
      <c r="U20" s="1389">
        <f>'Table 5C1A-Madison Prep'!U20</f>
        <v>4205</v>
      </c>
      <c r="V20" s="1515">
        <f t="shared" si="32"/>
        <v>8410</v>
      </c>
      <c r="W20" s="1391"/>
      <c r="X20" s="1392">
        <f t="shared" si="44"/>
        <v>0</v>
      </c>
      <c r="Y20" s="1391"/>
      <c r="Z20" s="1392">
        <f t="shared" si="45"/>
        <v>0</v>
      </c>
      <c r="AA20" s="1390">
        <f t="shared" si="46"/>
        <v>0</v>
      </c>
      <c r="AB20" s="1515">
        <f t="shared" si="47"/>
        <v>8410</v>
      </c>
      <c r="AC20" s="1394">
        <f t="shared" si="48"/>
        <v>-21.025000000000002</v>
      </c>
      <c r="AD20" s="1515">
        <f t="shared" si="49"/>
        <v>8388.9750000000004</v>
      </c>
      <c r="AE20" s="1392">
        <v>0</v>
      </c>
      <c r="AF20" s="1515">
        <f t="shared" si="50"/>
        <v>8388.9750000000004</v>
      </c>
      <c r="AG20" s="1392"/>
      <c r="AH20" s="1392">
        <f t="shared" si="51"/>
        <v>8388.9750000000004</v>
      </c>
      <c r="AI20" s="1515">
        <f t="shared" si="52"/>
        <v>699</v>
      </c>
      <c r="AJ20" s="1393">
        <f t="shared" si="33"/>
        <v>20648.11222779375</v>
      </c>
      <c r="AK20" s="1502">
        <f t="shared" si="53"/>
        <v>1721</v>
      </c>
    </row>
    <row r="21" spans="1:37" ht="16.2" customHeight="1">
      <c r="A21" s="1168">
        <v>15</v>
      </c>
      <c r="B21" s="1169" t="s">
        <v>95</v>
      </c>
      <c r="C21" s="1170">
        <f>+'Table 8 Membership 2.1.14'!H17</f>
        <v>0</v>
      </c>
      <c r="D21" s="1171">
        <f>+'Table 5C1A-Madison Prep'!D21</f>
        <v>5749.8285214059952</v>
      </c>
      <c r="E21" s="1172">
        <f t="shared" si="34"/>
        <v>0</v>
      </c>
      <c r="F21" s="1172">
        <f>+'Table 5C1A-Madison Prep'!F21</f>
        <v>553.79999999999995</v>
      </c>
      <c r="G21" s="1172">
        <f t="shared" si="35"/>
        <v>0</v>
      </c>
      <c r="H21" s="1540">
        <f t="shared" si="36"/>
        <v>0</v>
      </c>
      <c r="I21" s="1173"/>
      <c r="J21" s="1173"/>
      <c r="K21" s="1174">
        <f t="shared" si="37"/>
        <v>0</v>
      </c>
      <c r="L21" s="1540">
        <f t="shared" si="31"/>
        <v>0</v>
      </c>
      <c r="M21" s="1399">
        <f t="shared" si="38"/>
        <v>0</v>
      </c>
      <c r="N21" s="1540">
        <f t="shared" si="39"/>
        <v>0</v>
      </c>
      <c r="O21" s="1171">
        <v>0</v>
      </c>
      <c r="P21" s="1546">
        <f t="shared" si="40"/>
        <v>0</v>
      </c>
      <c r="Q21" s="1175"/>
      <c r="R21" s="1173">
        <f t="shared" si="41"/>
        <v>0</v>
      </c>
      <c r="S21" s="1550">
        <f t="shared" si="42"/>
        <v>0</v>
      </c>
      <c r="T21" s="1550">
        <f t="shared" si="43"/>
        <v>0</v>
      </c>
      <c r="U21" s="1382">
        <f>'Table 5C1A-Madison Prep'!U21</f>
        <v>2535</v>
      </c>
      <c r="V21" s="1516">
        <f t="shared" si="32"/>
        <v>0</v>
      </c>
      <c r="W21" s="1400"/>
      <c r="X21" s="1383">
        <f t="shared" si="44"/>
        <v>0</v>
      </c>
      <c r="Y21" s="1400"/>
      <c r="Z21" s="1383">
        <f t="shared" si="45"/>
        <v>0</v>
      </c>
      <c r="AA21" s="1384">
        <f t="shared" si="46"/>
        <v>0</v>
      </c>
      <c r="AB21" s="1516">
        <f t="shared" si="47"/>
        <v>0</v>
      </c>
      <c r="AC21" s="1402">
        <f t="shared" si="48"/>
        <v>0</v>
      </c>
      <c r="AD21" s="1516">
        <f t="shared" si="49"/>
        <v>0</v>
      </c>
      <c r="AE21" s="1383">
        <v>0</v>
      </c>
      <c r="AF21" s="1516">
        <f t="shared" si="50"/>
        <v>0</v>
      </c>
      <c r="AG21" s="1383"/>
      <c r="AH21" s="1383">
        <f t="shared" si="51"/>
        <v>0</v>
      </c>
      <c r="AI21" s="1516">
        <f t="shared" si="52"/>
        <v>0</v>
      </c>
      <c r="AJ21" s="1401">
        <f t="shared" si="33"/>
        <v>0</v>
      </c>
      <c r="AK21" s="1503">
        <f t="shared" si="53"/>
        <v>0</v>
      </c>
    </row>
    <row r="22" spans="1:37" ht="16.2" customHeight="1">
      <c r="A22" s="1183">
        <v>16</v>
      </c>
      <c r="B22" s="1184" t="s">
        <v>96</v>
      </c>
      <c r="C22" s="1185">
        <f>+'Table 8 Membership 2.1.14'!H18</f>
        <v>0</v>
      </c>
      <c r="D22" s="1186">
        <f>+'Table 5C1A-Madison Prep'!D22</f>
        <v>1980.2494354342025</v>
      </c>
      <c r="E22" s="1187">
        <f t="shared" si="34"/>
        <v>0</v>
      </c>
      <c r="F22" s="1187">
        <f>+'Table 5C1A-Madison Prep'!F22</f>
        <v>686.73</v>
      </c>
      <c r="G22" s="1187">
        <f t="shared" si="35"/>
        <v>0</v>
      </c>
      <c r="H22" s="1538">
        <f t="shared" si="36"/>
        <v>0</v>
      </c>
      <c r="I22" s="1188"/>
      <c r="J22" s="1188"/>
      <c r="K22" s="1189">
        <f t="shared" si="37"/>
        <v>0</v>
      </c>
      <c r="L22" s="1538">
        <f t="shared" si="31"/>
        <v>0</v>
      </c>
      <c r="M22" s="1372">
        <f t="shared" si="38"/>
        <v>0</v>
      </c>
      <c r="N22" s="1538">
        <f t="shared" si="39"/>
        <v>0</v>
      </c>
      <c r="O22" s="1186">
        <v>0</v>
      </c>
      <c r="P22" s="1544">
        <f t="shared" si="40"/>
        <v>0</v>
      </c>
      <c r="Q22" s="1188"/>
      <c r="R22" s="1188">
        <f t="shared" si="41"/>
        <v>0</v>
      </c>
      <c r="S22" s="1544">
        <f t="shared" si="42"/>
        <v>0</v>
      </c>
      <c r="T22" s="1556">
        <f t="shared" si="43"/>
        <v>0</v>
      </c>
      <c r="U22" s="1373">
        <f>'Table 5C1A-Madison Prep'!U22</f>
        <v>12768</v>
      </c>
      <c r="V22" s="1514">
        <f t="shared" si="32"/>
        <v>0</v>
      </c>
      <c r="W22" s="1375"/>
      <c r="X22" s="1376">
        <f t="shared" si="44"/>
        <v>0</v>
      </c>
      <c r="Y22" s="1375"/>
      <c r="Z22" s="1376">
        <f t="shared" si="45"/>
        <v>0</v>
      </c>
      <c r="AA22" s="1374">
        <f t="shared" si="46"/>
        <v>0</v>
      </c>
      <c r="AB22" s="1514">
        <f t="shared" si="47"/>
        <v>0</v>
      </c>
      <c r="AC22" s="1378">
        <f t="shared" si="48"/>
        <v>0</v>
      </c>
      <c r="AD22" s="1514">
        <f t="shared" si="49"/>
        <v>0</v>
      </c>
      <c r="AE22" s="1376">
        <v>0</v>
      </c>
      <c r="AF22" s="1514">
        <f t="shared" si="50"/>
        <v>0</v>
      </c>
      <c r="AG22" s="1376"/>
      <c r="AH22" s="1376">
        <f t="shared" si="51"/>
        <v>0</v>
      </c>
      <c r="AI22" s="1514">
        <f t="shared" si="52"/>
        <v>0</v>
      </c>
      <c r="AJ22" s="1377">
        <f t="shared" si="33"/>
        <v>0</v>
      </c>
      <c r="AK22" s="1501">
        <f t="shared" si="53"/>
        <v>0</v>
      </c>
    </row>
    <row r="23" spans="1:37" ht="16.2" customHeight="1">
      <c r="A23" s="1176">
        <v>17</v>
      </c>
      <c r="B23" s="1177" t="s">
        <v>97</v>
      </c>
      <c r="C23" s="1178">
        <f>+'Table 8 Membership 2.1.14'!H19</f>
        <v>0</v>
      </c>
      <c r="D23" s="1179">
        <f>+'Table 5C1A-Madison Prep'!D23</f>
        <v>3363.5980368254495</v>
      </c>
      <c r="E23" s="1180">
        <f t="shared" si="34"/>
        <v>0</v>
      </c>
      <c r="F23" s="1180">
        <f>+'Table 5C1A-Madison Prep'!F23</f>
        <v>801.47762416806802</v>
      </c>
      <c r="G23" s="1180">
        <f t="shared" si="35"/>
        <v>0</v>
      </c>
      <c r="H23" s="1539">
        <f t="shared" si="36"/>
        <v>0</v>
      </c>
      <c r="I23" s="1181"/>
      <c r="J23" s="1181"/>
      <c r="K23" s="1182">
        <f t="shared" si="37"/>
        <v>0</v>
      </c>
      <c r="L23" s="1539">
        <f t="shared" si="31"/>
        <v>0</v>
      </c>
      <c r="M23" s="1388">
        <f t="shared" si="38"/>
        <v>0</v>
      </c>
      <c r="N23" s="1539">
        <f t="shared" si="39"/>
        <v>0</v>
      </c>
      <c r="O23" s="1179">
        <v>0</v>
      </c>
      <c r="P23" s="1545">
        <f t="shared" si="40"/>
        <v>0</v>
      </c>
      <c r="Q23" s="1181"/>
      <c r="R23" s="1181">
        <f t="shared" si="41"/>
        <v>0</v>
      </c>
      <c r="S23" s="1545">
        <f t="shared" si="42"/>
        <v>0</v>
      </c>
      <c r="T23" s="1557">
        <f t="shared" si="43"/>
        <v>0</v>
      </c>
      <c r="U23" s="1389">
        <f>'Table 5C1A-Madison Prep'!U23</f>
        <v>7050</v>
      </c>
      <c r="V23" s="1515">
        <f t="shared" si="32"/>
        <v>0</v>
      </c>
      <c r="W23" s="1391"/>
      <c r="X23" s="1392">
        <f t="shared" si="44"/>
        <v>0</v>
      </c>
      <c r="Y23" s="1391"/>
      <c r="Z23" s="1392">
        <f t="shared" si="45"/>
        <v>0</v>
      </c>
      <c r="AA23" s="1390">
        <f t="shared" si="46"/>
        <v>0</v>
      </c>
      <c r="AB23" s="1515">
        <f t="shared" si="47"/>
        <v>0</v>
      </c>
      <c r="AC23" s="1394">
        <f t="shared" si="48"/>
        <v>0</v>
      </c>
      <c r="AD23" s="1515">
        <f t="shared" si="49"/>
        <v>0</v>
      </c>
      <c r="AE23" s="1392">
        <v>0</v>
      </c>
      <c r="AF23" s="1515">
        <f t="shared" si="50"/>
        <v>0</v>
      </c>
      <c r="AG23" s="1392"/>
      <c r="AH23" s="1392">
        <f t="shared" si="51"/>
        <v>0</v>
      </c>
      <c r="AI23" s="1515">
        <f t="shared" si="52"/>
        <v>0</v>
      </c>
      <c r="AJ23" s="1393">
        <f t="shared" si="33"/>
        <v>0</v>
      </c>
      <c r="AK23" s="1502">
        <f t="shared" si="53"/>
        <v>0</v>
      </c>
    </row>
    <row r="24" spans="1:37" ht="16.2" customHeight="1">
      <c r="A24" s="1176">
        <v>18</v>
      </c>
      <c r="B24" s="1177" t="s">
        <v>98</v>
      </c>
      <c r="C24" s="1178">
        <f>+'Table 8 Membership 2.1.14'!H20</f>
        <v>0</v>
      </c>
      <c r="D24" s="1179">
        <f>+'Table 5C1A-Madison Prep'!D24</f>
        <v>6354.5533500475731</v>
      </c>
      <c r="E24" s="1180">
        <f t="shared" si="34"/>
        <v>0</v>
      </c>
      <c r="F24" s="1180">
        <f>+'Table 5C1A-Madison Prep'!F24</f>
        <v>845.94999999999993</v>
      </c>
      <c r="G24" s="1180">
        <f t="shared" si="35"/>
        <v>0</v>
      </c>
      <c r="H24" s="1539">
        <f t="shared" si="36"/>
        <v>0</v>
      </c>
      <c r="I24" s="1181"/>
      <c r="J24" s="1181"/>
      <c r="K24" s="1182">
        <f t="shared" si="37"/>
        <v>0</v>
      </c>
      <c r="L24" s="1539">
        <f t="shared" si="31"/>
        <v>0</v>
      </c>
      <c r="M24" s="1388">
        <f t="shared" si="38"/>
        <v>0</v>
      </c>
      <c r="N24" s="1539">
        <f t="shared" si="39"/>
        <v>0</v>
      </c>
      <c r="O24" s="1179">
        <v>0</v>
      </c>
      <c r="P24" s="1545">
        <f t="shared" si="40"/>
        <v>0</v>
      </c>
      <c r="Q24" s="1181"/>
      <c r="R24" s="1181">
        <f t="shared" si="41"/>
        <v>0</v>
      </c>
      <c r="S24" s="1545">
        <f t="shared" si="42"/>
        <v>0</v>
      </c>
      <c r="T24" s="1557">
        <f t="shared" si="43"/>
        <v>0</v>
      </c>
      <c r="U24" s="1389">
        <f>'Table 5C1A-Madison Prep'!U24</f>
        <v>2526</v>
      </c>
      <c r="V24" s="1515">
        <f t="shared" si="32"/>
        <v>0</v>
      </c>
      <c r="W24" s="1391"/>
      <c r="X24" s="1392">
        <f t="shared" si="44"/>
        <v>0</v>
      </c>
      <c r="Y24" s="1391"/>
      <c r="Z24" s="1392">
        <f t="shared" si="45"/>
        <v>0</v>
      </c>
      <c r="AA24" s="1390">
        <f t="shared" si="46"/>
        <v>0</v>
      </c>
      <c r="AB24" s="1515">
        <f t="shared" si="47"/>
        <v>0</v>
      </c>
      <c r="AC24" s="1394">
        <f t="shared" si="48"/>
        <v>0</v>
      </c>
      <c r="AD24" s="1515">
        <f t="shared" si="49"/>
        <v>0</v>
      </c>
      <c r="AE24" s="1392">
        <v>0</v>
      </c>
      <c r="AF24" s="1515">
        <f t="shared" si="50"/>
        <v>0</v>
      </c>
      <c r="AG24" s="1392"/>
      <c r="AH24" s="1392">
        <f t="shared" si="51"/>
        <v>0</v>
      </c>
      <c r="AI24" s="1515">
        <f t="shared" si="52"/>
        <v>0</v>
      </c>
      <c r="AJ24" s="1393">
        <f t="shared" si="33"/>
        <v>0</v>
      </c>
      <c r="AK24" s="1502">
        <f t="shared" si="53"/>
        <v>0</v>
      </c>
    </row>
    <row r="25" spans="1:37" ht="16.2" customHeight="1">
      <c r="A25" s="1176">
        <v>19</v>
      </c>
      <c r="B25" s="1177" t="s">
        <v>99</v>
      </c>
      <c r="C25" s="1178">
        <f>+'Table 8 Membership 2.1.14'!H21</f>
        <v>0</v>
      </c>
      <c r="D25" s="1179">
        <f>+'Table 5C1A-Madison Prep'!D25</f>
        <v>5314.3921869460446</v>
      </c>
      <c r="E25" s="1180">
        <f t="shared" si="34"/>
        <v>0</v>
      </c>
      <c r="F25" s="1180">
        <f>+'Table 5C1A-Madison Prep'!F25</f>
        <v>905.43</v>
      </c>
      <c r="G25" s="1180">
        <f t="shared" si="35"/>
        <v>0</v>
      </c>
      <c r="H25" s="1539">
        <f t="shared" si="36"/>
        <v>0</v>
      </c>
      <c r="I25" s="1181"/>
      <c r="J25" s="1181"/>
      <c r="K25" s="1182">
        <f t="shared" si="37"/>
        <v>0</v>
      </c>
      <c r="L25" s="1539">
        <f t="shared" si="31"/>
        <v>0</v>
      </c>
      <c r="M25" s="1388">
        <f t="shared" si="38"/>
        <v>0</v>
      </c>
      <c r="N25" s="1539">
        <f t="shared" si="39"/>
        <v>0</v>
      </c>
      <c r="O25" s="1179">
        <v>0</v>
      </c>
      <c r="P25" s="1545">
        <f t="shared" si="40"/>
        <v>0</v>
      </c>
      <c r="Q25" s="1181"/>
      <c r="R25" s="1181">
        <f t="shared" si="41"/>
        <v>0</v>
      </c>
      <c r="S25" s="1545">
        <f t="shared" si="42"/>
        <v>0</v>
      </c>
      <c r="T25" s="1557">
        <f t="shared" si="43"/>
        <v>0</v>
      </c>
      <c r="U25" s="1389">
        <f>'Table 5C1A-Madison Prep'!U25</f>
        <v>2908</v>
      </c>
      <c r="V25" s="1515">
        <f t="shared" si="32"/>
        <v>0</v>
      </c>
      <c r="W25" s="1391"/>
      <c r="X25" s="1392">
        <f t="shared" si="44"/>
        <v>0</v>
      </c>
      <c r="Y25" s="1391"/>
      <c r="Z25" s="1392">
        <f t="shared" si="45"/>
        <v>0</v>
      </c>
      <c r="AA25" s="1390">
        <f t="shared" si="46"/>
        <v>0</v>
      </c>
      <c r="AB25" s="1515">
        <f t="shared" si="47"/>
        <v>0</v>
      </c>
      <c r="AC25" s="1394">
        <f t="shared" si="48"/>
        <v>0</v>
      </c>
      <c r="AD25" s="1515">
        <f t="shared" si="49"/>
        <v>0</v>
      </c>
      <c r="AE25" s="1392">
        <v>0</v>
      </c>
      <c r="AF25" s="1515">
        <f t="shared" si="50"/>
        <v>0</v>
      </c>
      <c r="AG25" s="1392"/>
      <c r="AH25" s="1392">
        <f t="shared" si="51"/>
        <v>0</v>
      </c>
      <c r="AI25" s="1515">
        <f t="shared" si="52"/>
        <v>0</v>
      </c>
      <c r="AJ25" s="1393">
        <f t="shared" si="33"/>
        <v>0</v>
      </c>
      <c r="AK25" s="1502">
        <f t="shared" si="53"/>
        <v>0</v>
      </c>
    </row>
    <row r="26" spans="1:37" ht="16.2" customHeight="1">
      <c r="A26" s="1168">
        <v>20</v>
      </c>
      <c r="B26" s="1169" t="s">
        <v>100</v>
      </c>
      <c r="C26" s="1170">
        <f>+'Table 8 Membership 2.1.14'!H22</f>
        <v>0</v>
      </c>
      <c r="D26" s="1171">
        <f>+'Table 5C1A-Madison Prep'!D26</f>
        <v>5278.5201565562011</v>
      </c>
      <c r="E26" s="1172">
        <f t="shared" si="34"/>
        <v>0</v>
      </c>
      <c r="F26" s="1172">
        <f>+'Table 5C1A-Madison Prep'!F26</f>
        <v>586.16999999999996</v>
      </c>
      <c r="G26" s="1172">
        <f t="shared" si="35"/>
        <v>0</v>
      </c>
      <c r="H26" s="1540">
        <f t="shared" si="36"/>
        <v>0</v>
      </c>
      <c r="I26" s="1173"/>
      <c r="J26" s="1173"/>
      <c r="K26" s="1174">
        <f t="shared" si="37"/>
        <v>0</v>
      </c>
      <c r="L26" s="1540">
        <f t="shared" si="31"/>
        <v>0</v>
      </c>
      <c r="M26" s="1399">
        <f t="shared" si="38"/>
        <v>0</v>
      </c>
      <c r="N26" s="1540">
        <f t="shared" si="39"/>
        <v>0</v>
      </c>
      <c r="O26" s="1171">
        <v>0</v>
      </c>
      <c r="P26" s="1546">
        <f t="shared" si="40"/>
        <v>0</v>
      </c>
      <c r="Q26" s="1175"/>
      <c r="R26" s="1173">
        <f t="shared" si="41"/>
        <v>0</v>
      </c>
      <c r="S26" s="1550">
        <f t="shared" si="42"/>
        <v>0</v>
      </c>
      <c r="T26" s="1550">
        <f t="shared" si="43"/>
        <v>0</v>
      </c>
      <c r="U26" s="1382">
        <f>'Table 5C1A-Madison Prep'!U26</f>
        <v>2432</v>
      </c>
      <c r="V26" s="1516">
        <f t="shared" si="32"/>
        <v>0</v>
      </c>
      <c r="W26" s="1400"/>
      <c r="X26" s="1383">
        <f t="shared" si="44"/>
        <v>0</v>
      </c>
      <c r="Y26" s="1400"/>
      <c r="Z26" s="1383">
        <f t="shared" si="45"/>
        <v>0</v>
      </c>
      <c r="AA26" s="1384">
        <f t="shared" si="46"/>
        <v>0</v>
      </c>
      <c r="AB26" s="1516">
        <f t="shared" si="47"/>
        <v>0</v>
      </c>
      <c r="AC26" s="1402">
        <f t="shared" si="48"/>
        <v>0</v>
      </c>
      <c r="AD26" s="1516">
        <f t="shared" si="49"/>
        <v>0</v>
      </c>
      <c r="AE26" s="1383">
        <v>0</v>
      </c>
      <c r="AF26" s="1516">
        <f t="shared" si="50"/>
        <v>0</v>
      </c>
      <c r="AG26" s="1383"/>
      <c r="AH26" s="1383">
        <f t="shared" si="51"/>
        <v>0</v>
      </c>
      <c r="AI26" s="1516">
        <f t="shared" si="52"/>
        <v>0</v>
      </c>
      <c r="AJ26" s="1401">
        <f t="shared" si="33"/>
        <v>0</v>
      </c>
      <c r="AK26" s="1503">
        <f t="shared" si="53"/>
        <v>0</v>
      </c>
    </row>
    <row r="27" spans="1:37" ht="16.2" customHeight="1">
      <c r="A27" s="1183">
        <v>21</v>
      </c>
      <c r="B27" s="1184" t="s">
        <v>101</v>
      </c>
      <c r="C27" s="1185">
        <f>+'Table 8 Membership 2.1.14'!H23</f>
        <v>0</v>
      </c>
      <c r="D27" s="1186">
        <f>+'Table 5C1A-Madison Prep'!D27</f>
        <v>6082.3042295867763</v>
      </c>
      <c r="E27" s="1187">
        <f t="shared" si="34"/>
        <v>0</v>
      </c>
      <c r="F27" s="1187">
        <f>+'Table 5C1A-Madison Prep'!F27</f>
        <v>610.35</v>
      </c>
      <c r="G27" s="1187">
        <f t="shared" si="35"/>
        <v>0</v>
      </c>
      <c r="H27" s="1538">
        <f t="shared" si="36"/>
        <v>0</v>
      </c>
      <c r="I27" s="1188"/>
      <c r="J27" s="1188"/>
      <c r="K27" s="1189">
        <f t="shared" si="37"/>
        <v>0</v>
      </c>
      <c r="L27" s="1538">
        <f t="shared" si="31"/>
        <v>0</v>
      </c>
      <c r="M27" s="1372">
        <f t="shared" si="38"/>
        <v>0</v>
      </c>
      <c r="N27" s="1538">
        <f t="shared" si="39"/>
        <v>0</v>
      </c>
      <c r="O27" s="1186">
        <v>0</v>
      </c>
      <c r="P27" s="1544">
        <f t="shared" si="40"/>
        <v>0</v>
      </c>
      <c r="Q27" s="1188"/>
      <c r="R27" s="1188">
        <f t="shared" si="41"/>
        <v>0</v>
      </c>
      <c r="S27" s="1544">
        <f t="shared" si="42"/>
        <v>0</v>
      </c>
      <c r="T27" s="1556">
        <f t="shared" si="43"/>
        <v>0</v>
      </c>
      <c r="U27" s="1373">
        <f>'Table 5C1A-Madison Prep'!U27</f>
        <v>2460</v>
      </c>
      <c r="V27" s="1514">
        <f t="shared" si="32"/>
        <v>0</v>
      </c>
      <c r="W27" s="1375"/>
      <c r="X27" s="1376">
        <f t="shared" si="44"/>
        <v>0</v>
      </c>
      <c r="Y27" s="1375"/>
      <c r="Z27" s="1376">
        <f t="shared" si="45"/>
        <v>0</v>
      </c>
      <c r="AA27" s="1374">
        <f t="shared" si="46"/>
        <v>0</v>
      </c>
      <c r="AB27" s="1514">
        <f t="shared" si="47"/>
        <v>0</v>
      </c>
      <c r="AC27" s="1378">
        <f t="shared" si="48"/>
        <v>0</v>
      </c>
      <c r="AD27" s="1514">
        <f t="shared" si="49"/>
        <v>0</v>
      </c>
      <c r="AE27" s="1376">
        <v>0</v>
      </c>
      <c r="AF27" s="1514">
        <f t="shared" si="50"/>
        <v>0</v>
      </c>
      <c r="AG27" s="1376"/>
      <c r="AH27" s="1376">
        <f t="shared" si="51"/>
        <v>0</v>
      </c>
      <c r="AI27" s="1514">
        <f t="shared" si="52"/>
        <v>0</v>
      </c>
      <c r="AJ27" s="1377">
        <f t="shared" si="33"/>
        <v>0</v>
      </c>
      <c r="AK27" s="1501">
        <f t="shared" si="53"/>
        <v>0</v>
      </c>
    </row>
    <row r="28" spans="1:37" ht="16.2" customHeight="1">
      <c r="A28" s="1176">
        <v>22</v>
      </c>
      <c r="B28" s="1177" t="s">
        <v>102</v>
      </c>
      <c r="C28" s="1178">
        <f>+'Table 8 Membership 2.1.14'!H24</f>
        <v>0</v>
      </c>
      <c r="D28" s="1179">
        <f>+'Table 5C1A-Madison Prep'!D28</f>
        <v>6416.1099808195995</v>
      </c>
      <c r="E28" s="1180">
        <f t="shared" si="34"/>
        <v>0</v>
      </c>
      <c r="F28" s="1180">
        <f>+'Table 5C1A-Madison Prep'!F28</f>
        <v>496.36</v>
      </c>
      <c r="G28" s="1180">
        <f t="shared" si="35"/>
        <v>0</v>
      </c>
      <c r="H28" s="1539">
        <f t="shared" si="36"/>
        <v>0</v>
      </c>
      <c r="I28" s="1181"/>
      <c r="J28" s="1181"/>
      <c r="K28" s="1182">
        <f t="shared" si="37"/>
        <v>0</v>
      </c>
      <c r="L28" s="1539">
        <f t="shared" si="31"/>
        <v>0</v>
      </c>
      <c r="M28" s="1388">
        <f t="shared" si="38"/>
        <v>0</v>
      </c>
      <c r="N28" s="1539">
        <f t="shared" si="39"/>
        <v>0</v>
      </c>
      <c r="O28" s="1179">
        <v>0</v>
      </c>
      <c r="P28" s="1545">
        <f t="shared" si="40"/>
        <v>0</v>
      </c>
      <c r="Q28" s="1181"/>
      <c r="R28" s="1181">
        <f t="shared" si="41"/>
        <v>0</v>
      </c>
      <c r="S28" s="1545">
        <f t="shared" si="42"/>
        <v>0</v>
      </c>
      <c r="T28" s="1557">
        <f t="shared" si="43"/>
        <v>0</v>
      </c>
      <c r="U28" s="1389">
        <f>'Table 5C1A-Madison Prep'!U28</f>
        <v>1613</v>
      </c>
      <c r="V28" s="1515">
        <f t="shared" si="32"/>
        <v>0</v>
      </c>
      <c r="W28" s="1391"/>
      <c r="X28" s="1392">
        <f t="shared" si="44"/>
        <v>0</v>
      </c>
      <c r="Y28" s="1391"/>
      <c r="Z28" s="1392">
        <f t="shared" si="45"/>
        <v>0</v>
      </c>
      <c r="AA28" s="1390">
        <f t="shared" si="46"/>
        <v>0</v>
      </c>
      <c r="AB28" s="1515">
        <f t="shared" si="47"/>
        <v>0</v>
      </c>
      <c r="AC28" s="1394">
        <f t="shared" si="48"/>
        <v>0</v>
      </c>
      <c r="AD28" s="1515">
        <f t="shared" si="49"/>
        <v>0</v>
      </c>
      <c r="AE28" s="1392">
        <v>0</v>
      </c>
      <c r="AF28" s="1515">
        <f t="shared" si="50"/>
        <v>0</v>
      </c>
      <c r="AG28" s="1392"/>
      <c r="AH28" s="1392">
        <f t="shared" si="51"/>
        <v>0</v>
      </c>
      <c r="AI28" s="1515">
        <f t="shared" si="52"/>
        <v>0</v>
      </c>
      <c r="AJ28" s="1393">
        <f t="shared" si="33"/>
        <v>0</v>
      </c>
      <c r="AK28" s="1502">
        <f t="shared" si="53"/>
        <v>0</v>
      </c>
    </row>
    <row r="29" spans="1:37" ht="16.2" customHeight="1">
      <c r="A29" s="1176">
        <v>23</v>
      </c>
      <c r="B29" s="1177" t="s">
        <v>103</v>
      </c>
      <c r="C29" s="1178">
        <f>+'Table 8 Membership 2.1.14'!H25</f>
        <v>0</v>
      </c>
      <c r="D29" s="1179">
        <f>+'Table 5C1A-Madison Prep'!D29</f>
        <v>5011.0215265979159</v>
      </c>
      <c r="E29" s="1180">
        <f t="shared" si="34"/>
        <v>0</v>
      </c>
      <c r="F29" s="1180">
        <f>+'Table 5C1A-Madison Prep'!F29</f>
        <v>688.58</v>
      </c>
      <c r="G29" s="1180">
        <f t="shared" si="35"/>
        <v>0</v>
      </c>
      <c r="H29" s="1539">
        <f t="shared" si="36"/>
        <v>0</v>
      </c>
      <c r="I29" s="1181"/>
      <c r="J29" s="1181"/>
      <c r="K29" s="1182">
        <f t="shared" si="37"/>
        <v>0</v>
      </c>
      <c r="L29" s="1539">
        <f t="shared" si="31"/>
        <v>0</v>
      </c>
      <c r="M29" s="1388">
        <f t="shared" si="38"/>
        <v>0</v>
      </c>
      <c r="N29" s="1539">
        <f t="shared" si="39"/>
        <v>0</v>
      </c>
      <c r="O29" s="1179">
        <v>0</v>
      </c>
      <c r="P29" s="1545">
        <f t="shared" si="40"/>
        <v>0</v>
      </c>
      <c r="Q29" s="1181"/>
      <c r="R29" s="1181">
        <f t="shared" si="41"/>
        <v>0</v>
      </c>
      <c r="S29" s="1545">
        <f t="shared" si="42"/>
        <v>0</v>
      </c>
      <c r="T29" s="1557">
        <f t="shared" si="43"/>
        <v>0</v>
      </c>
      <c r="U29" s="1389">
        <f>'Table 5C1A-Madison Prep'!U29</f>
        <v>3473</v>
      </c>
      <c r="V29" s="1515">
        <f t="shared" si="32"/>
        <v>0</v>
      </c>
      <c r="W29" s="1391"/>
      <c r="X29" s="1392">
        <f t="shared" si="44"/>
        <v>0</v>
      </c>
      <c r="Y29" s="1391"/>
      <c r="Z29" s="1392">
        <f t="shared" si="45"/>
        <v>0</v>
      </c>
      <c r="AA29" s="1390">
        <f t="shared" si="46"/>
        <v>0</v>
      </c>
      <c r="AB29" s="1515">
        <f t="shared" si="47"/>
        <v>0</v>
      </c>
      <c r="AC29" s="1394">
        <f t="shared" si="48"/>
        <v>0</v>
      </c>
      <c r="AD29" s="1515">
        <f t="shared" si="49"/>
        <v>0</v>
      </c>
      <c r="AE29" s="1392">
        <v>0</v>
      </c>
      <c r="AF29" s="1515">
        <f t="shared" si="50"/>
        <v>0</v>
      </c>
      <c r="AG29" s="1392"/>
      <c r="AH29" s="1392">
        <f t="shared" si="51"/>
        <v>0</v>
      </c>
      <c r="AI29" s="1515">
        <f t="shared" si="52"/>
        <v>0</v>
      </c>
      <c r="AJ29" s="1393">
        <f t="shared" si="33"/>
        <v>0</v>
      </c>
      <c r="AK29" s="1502">
        <f t="shared" si="53"/>
        <v>0</v>
      </c>
    </row>
    <row r="30" spans="1:37" ht="16.2" customHeight="1">
      <c r="A30" s="1176">
        <v>24</v>
      </c>
      <c r="B30" s="1177" t="s">
        <v>104</v>
      </c>
      <c r="C30" s="1178">
        <f>+'Table 8 Membership 2.1.14'!H26</f>
        <v>0</v>
      </c>
      <c r="D30" s="1179">
        <f>+'Table 5C1A-Madison Prep'!D30</f>
        <v>2611.6740361576999</v>
      </c>
      <c r="E30" s="1180">
        <f t="shared" si="34"/>
        <v>0</v>
      </c>
      <c r="F30" s="1180">
        <f>+'Table 5C1A-Madison Prep'!F30</f>
        <v>854.24999999999989</v>
      </c>
      <c r="G30" s="1180">
        <f t="shared" si="35"/>
        <v>0</v>
      </c>
      <c r="H30" s="1539">
        <f t="shared" si="36"/>
        <v>0</v>
      </c>
      <c r="I30" s="1181"/>
      <c r="J30" s="1181"/>
      <c r="K30" s="1182">
        <f t="shared" si="37"/>
        <v>0</v>
      </c>
      <c r="L30" s="1539">
        <f t="shared" si="31"/>
        <v>0</v>
      </c>
      <c r="M30" s="1388">
        <f t="shared" si="38"/>
        <v>0</v>
      </c>
      <c r="N30" s="1539">
        <f t="shared" si="39"/>
        <v>0</v>
      </c>
      <c r="O30" s="1179">
        <v>0</v>
      </c>
      <c r="P30" s="1545">
        <f t="shared" si="40"/>
        <v>0</v>
      </c>
      <c r="Q30" s="1181"/>
      <c r="R30" s="1181">
        <f t="shared" si="41"/>
        <v>0</v>
      </c>
      <c r="S30" s="1545">
        <f t="shared" si="42"/>
        <v>0</v>
      </c>
      <c r="T30" s="1557">
        <f t="shared" si="43"/>
        <v>0</v>
      </c>
      <c r="U30" s="1389">
        <f>'Table 5C1A-Madison Prep'!U30</f>
        <v>10053</v>
      </c>
      <c r="V30" s="1515">
        <f t="shared" si="32"/>
        <v>0</v>
      </c>
      <c r="W30" s="1391"/>
      <c r="X30" s="1392">
        <f t="shared" si="44"/>
        <v>0</v>
      </c>
      <c r="Y30" s="1391"/>
      <c r="Z30" s="1392">
        <f t="shared" si="45"/>
        <v>0</v>
      </c>
      <c r="AA30" s="1390">
        <f t="shared" si="46"/>
        <v>0</v>
      </c>
      <c r="AB30" s="1515">
        <f t="shared" si="47"/>
        <v>0</v>
      </c>
      <c r="AC30" s="1394">
        <f t="shared" si="48"/>
        <v>0</v>
      </c>
      <c r="AD30" s="1515">
        <f t="shared" si="49"/>
        <v>0</v>
      </c>
      <c r="AE30" s="1392">
        <v>0</v>
      </c>
      <c r="AF30" s="1515">
        <f t="shared" si="50"/>
        <v>0</v>
      </c>
      <c r="AG30" s="1392"/>
      <c r="AH30" s="1392">
        <f t="shared" si="51"/>
        <v>0</v>
      </c>
      <c r="AI30" s="1515">
        <f t="shared" si="52"/>
        <v>0</v>
      </c>
      <c r="AJ30" s="1393">
        <f t="shared" si="33"/>
        <v>0</v>
      </c>
      <c r="AK30" s="1502">
        <f t="shared" si="53"/>
        <v>0</v>
      </c>
    </row>
    <row r="31" spans="1:37" ht="16.2" customHeight="1">
      <c r="A31" s="1168">
        <v>25</v>
      </c>
      <c r="B31" s="1169" t="s">
        <v>105</v>
      </c>
      <c r="C31" s="1170">
        <f>+'Table 8 Membership 2.1.14'!H27</f>
        <v>0</v>
      </c>
      <c r="D31" s="1171">
        <f>+'Table 5C1A-Madison Prep'!D31</f>
        <v>4173.0720274945697</v>
      </c>
      <c r="E31" s="1172">
        <f t="shared" si="34"/>
        <v>0</v>
      </c>
      <c r="F31" s="1172">
        <f>+'Table 5C1A-Madison Prep'!F31</f>
        <v>653.73</v>
      </c>
      <c r="G31" s="1172">
        <f t="shared" si="35"/>
        <v>0</v>
      </c>
      <c r="H31" s="1540">
        <f t="shared" si="36"/>
        <v>0</v>
      </c>
      <c r="I31" s="1173"/>
      <c r="J31" s="1173"/>
      <c r="K31" s="1174">
        <f t="shared" si="37"/>
        <v>0</v>
      </c>
      <c r="L31" s="1540">
        <f t="shared" si="31"/>
        <v>0</v>
      </c>
      <c r="M31" s="1399">
        <f t="shared" si="38"/>
        <v>0</v>
      </c>
      <c r="N31" s="1540">
        <f t="shared" si="39"/>
        <v>0</v>
      </c>
      <c r="O31" s="1171">
        <v>0</v>
      </c>
      <c r="P31" s="1546">
        <f t="shared" si="40"/>
        <v>0</v>
      </c>
      <c r="Q31" s="1175"/>
      <c r="R31" s="1173">
        <f t="shared" si="41"/>
        <v>0</v>
      </c>
      <c r="S31" s="1550">
        <f t="shared" si="42"/>
        <v>0</v>
      </c>
      <c r="T31" s="1550">
        <f t="shared" si="43"/>
        <v>0</v>
      </c>
      <c r="U31" s="1382">
        <f>'Table 5C1A-Madison Prep'!U31</f>
        <v>5073</v>
      </c>
      <c r="V31" s="1516">
        <f t="shared" si="32"/>
        <v>0</v>
      </c>
      <c r="W31" s="1400"/>
      <c r="X31" s="1383">
        <f t="shared" si="44"/>
        <v>0</v>
      </c>
      <c r="Y31" s="1400"/>
      <c r="Z31" s="1383">
        <f t="shared" si="45"/>
        <v>0</v>
      </c>
      <c r="AA31" s="1384">
        <f t="shared" si="46"/>
        <v>0</v>
      </c>
      <c r="AB31" s="1516">
        <f t="shared" si="47"/>
        <v>0</v>
      </c>
      <c r="AC31" s="1402">
        <f t="shared" si="48"/>
        <v>0</v>
      </c>
      <c r="AD31" s="1516">
        <f t="shared" si="49"/>
        <v>0</v>
      </c>
      <c r="AE31" s="1383">
        <v>0</v>
      </c>
      <c r="AF31" s="1516">
        <f t="shared" si="50"/>
        <v>0</v>
      </c>
      <c r="AG31" s="1383"/>
      <c r="AH31" s="1383">
        <f t="shared" si="51"/>
        <v>0</v>
      </c>
      <c r="AI31" s="1516">
        <f t="shared" si="52"/>
        <v>0</v>
      </c>
      <c r="AJ31" s="1401">
        <f t="shared" si="33"/>
        <v>0</v>
      </c>
      <c r="AK31" s="1503">
        <f t="shared" si="53"/>
        <v>0</v>
      </c>
    </row>
    <row r="32" spans="1:37" ht="16.2" customHeight="1">
      <c r="A32" s="1183">
        <v>26</v>
      </c>
      <c r="B32" s="1184" t="s">
        <v>106</v>
      </c>
      <c r="C32" s="1185">
        <f>+'Table 8 Membership 2.1.14'!H28</f>
        <v>0</v>
      </c>
      <c r="D32" s="1186">
        <f>+'Table 5C1A-Madison Prep'!D32</f>
        <v>3424.5649970570835</v>
      </c>
      <c r="E32" s="1187">
        <f t="shared" si="34"/>
        <v>0</v>
      </c>
      <c r="F32" s="1187">
        <f>+'Table 5C1A-Madison Prep'!F32</f>
        <v>836.83</v>
      </c>
      <c r="G32" s="1187">
        <f t="shared" si="35"/>
        <v>0</v>
      </c>
      <c r="H32" s="1538">
        <f t="shared" si="36"/>
        <v>0</v>
      </c>
      <c r="I32" s="1188"/>
      <c r="J32" s="1188"/>
      <c r="K32" s="1189">
        <f t="shared" si="37"/>
        <v>0</v>
      </c>
      <c r="L32" s="1538">
        <f t="shared" si="31"/>
        <v>0</v>
      </c>
      <c r="M32" s="1372">
        <f t="shared" si="38"/>
        <v>0</v>
      </c>
      <c r="N32" s="1538">
        <f t="shared" si="39"/>
        <v>0</v>
      </c>
      <c r="O32" s="1186">
        <v>0</v>
      </c>
      <c r="P32" s="1544">
        <f t="shared" si="40"/>
        <v>0</v>
      </c>
      <c r="Q32" s="1188"/>
      <c r="R32" s="1188">
        <f t="shared" si="41"/>
        <v>0</v>
      </c>
      <c r="S32" s="1544">
        <f t="shared" si="42"/>
        <v>0</v>
      </c>
      <c r="T32" s="1556">
        <f t="shared" si="43"/>
        <v>0</v>
      </c>
      <c r="U32" s="1373">
        <f>'Table 5C1A-Madison Prep'!U32</f>
        <v>5260</v>
      </c>
      <c r="V32" s="1514">
        <f t="shared" si="32"/>
        <v>0</v>
      </c>
      <c r="W32" s="1375"/>
      <c r="X32" s="1376">
        <f t="shared" si="44"/>
        <v>0</v>
      </c>
      <c r="Y32" s="1375"/>
      <c r="Z32" s="1376">
        <f t="shared" si="45"/>
        <v>0</v>
      </c>
      <c r="AA32" s="1374">
        <f t="shared" si="46"/>
        <v>0</v>
      </c>
      <c r="AB32" s="1514">
        <f t="shared" si="47"/>
        <v>0</v>
      </c>
      <c r="AC32" s="1378">
        <f t="shared" si="48"/>
        <v>0</v>
      </c>
      <c r="AD32" s="1514">
        <f t="shared" si="49"/>
        <v>0</v>
      </c>
      <c r="AE32" s="1376">
        <v>0</v>
      </c>
      <c r="AF32" s="1514">
        <f t="shared" si="50"/>
        <v>0</v>
      </c>
      <c r="AG32" s="1376"/>
      <c r="AH32" s="1376">
        <f t="shared" si="51"/>
        <v>0</v>
      </c>
      <c r="AI32" s="1514">
        <f t="shared" si="52"/>
        <v>0</v>
      </c>
      <c r="AJ32" s="1377">
        <f t="shared" si="33"/>
        <v>0</v>
      </c>
      <c r="AK32" s="1501">
        <f t="shared" si="53"/>
        <v>0</v>
      </c>
    </row>
    <row r="33" spans="1:37" ht="16.2" customHeight="1">
      <c r="A33" s="1176">
        <v>27</v>
      </c>
      <c r="B33" s="1177" t="s">
        <v>107</v>
      </c>
      <c r="C33" s="1178">
        <f>+'Table 8 Membership 2.1.14'!H29</f>
        <v>0</v>
      </c>
      <c r="D33" s="1179">
        <f>+'Table 5C1A-Madison Prep'!D33</f>
        <v>5804.9013839977006</v>
      </c>
      <c r="E33" s="1180">
        <f t="shared" si="34"/>
        <v>0</v>
      </c>
      <c r="F33" s="1180">
        <f>+'Table 5C1A-Madison Prep'!F33</f>
        <v>693.06</v>
      </c>
      <c r="G33" s="1180">
        <f t="shared" si="35"/>
        <v>0</v>
      </c>
      <c r="H33" s="1539">
        <f t="shared" si="36"/>
        <v>0</v>
      </c>
      <c r="I33" s="1181"/>
      <c r="J33" s="1181"/>
      <c r="K33" s="1182">
        <f t="shared" si="37"/>
        <v>0</v>
      </c>
      <c r="L33" s="1539">
        <f t="shared" si="31"/>
        <v>0</v>
      </c>
      <c r="M33" s="1388">
        <f t="shared" si="38"/>
        <v>0</v>
      </c>
      <c r="N33" s="1539">
        <f t="shared" si="39"/>
        <v>0</v>
      </c>
      <c r="O33" s="1179">
        <v>0</v>
      </c>
      <c r="P33" s="1545">
        <f t="shared" si="40"/>
        <v>0</v>
      </c>
      <c r="Q33" s="1181"/>
      <c r="R33" s="1181">
        <f t="shared" si="41"/>
        <v>0</v>
      </c>
      <c r="S33" s="1545">
        <f t="shared" si="42"/>
        <v>0</v>
      </c>
      <c r="T33" s="1557">
        <f t="shared" si="43"/>
        <v>0</v>
      </c>
      <c r="U33" s="1389">
        <f>'Table 5C1A-Madison Prep'!U33</f>
        <v>3169</v>
      </c>
      <c r="V33" s="1515">
        <f t="shared" si="32"/>
        <v>0</v>
      </c>
      <c r="W33" s="1391"/>
      <c r="X33" s="1392">
        <f t="shared" si="44"/>
        <v>0</v>
      </c>
      <c r="Y33" s="1391"/>
      <c r="Z33" s="1392">
        <f t="shared" si="45"/>
        <v>0</v>
      </c>
      <c r="AA33" s="1390">
        <f t="shared" si="46"/>
        <v>0</v>
      </c>
      <c r="AB33" s="1515">
        <f t="shared" si="47"/>
        <v>0</v>
      </c>
      <c r="AC33" s="1394">
        <f t="shared" si="48"/>
        <v>0</v>
      </c>
      <c r="AD33" s="1515">
        <f t="shared" si="49"/>
        <v>0</v>
      </c>
      <c r="AE33" s="1392">
        <v>0</v>
      </c>
      <c r="AF33" s="1515">
        <f t="shared" si="50"/>
        <v>0</v>
      </c>
      <c r="AG33" s="1392"/>
      <c r="AH33" s="1392">
        <f t="shared" si="51"/>
        <v>0</v>
      </c>
      <c r="AI33" s="1515">
        <f t="shared" si="52"/>
        <v>0</v>
      </c>
      <c r="AJ33" s="1393">
        <f t="shared" si="33"/>
        <v>0</v>
      </c>
      <c r="AK33" s="1502">
        <f t="shared" si="53"/>
        <v>0</v>
      </c>
    </row>
    <row r="34" spans="1:37" ht="16.2" customHeight="1">
      <c r="A34" s="1176">
        <v>28</v>
      </c>
      <c r="B34" s="1177" t="s">
        <v>108</v>
      </c>
      <c r="C34" s="1178">
        <f>+'Table 8 Membership 2.1.14'!H30</f>
        <v>0</v>
      </c>
      <c r="D34" s="1179">
        <f>+'Table 5C1A-Madison Prep'!D34</f>
        <v>3137.4158846568821</v>
      </c>
      <c r="E34" s="1180">
        <f t="shared" si="34"/>
        <v>0</v>
      </c>
      <c r="F34" s="1180">
        <f>+'Table 5C1A-Madison Prep'!F34</f>
        <v>694.4</v>
      </c>
      <c r="G34" s="1180">
        <f t="shared" si="35"/>
        <v>0</v>
      </c>
      <c r="H34" s="1539">
        <f t="shared" si="36"/>
        <v>0</v>
      </c>
      <c r="I34" s="1181"/>
      <c r="J34" s="1181"/>
      <c r="K34" s="1182">
        <f t="shared" si="37"/>
        <v>0</v>
      </c>
      <c r="L34" s="1539">
        <f t="shared" si="31"/>
        <v>0</v>
      </c>
      <c r="M34" s="1388">
        <f t="shared" si="38"/>
        <v>0</v>
      </c>
      <c r="N34" s="1539">
        <f t="shared" si="39"/>
        <v>0</v>
      </c>
      <c r="O34" s="1179">
        <v>0</v>
      </c>
      <c r="P34" s="1545">
        <f t="shared" si="40"/>
        <v>0</v>
      </c>
      <c r="Q34" s="1181"/>
      <c r="R34" s="1181">
        <f t="shared" si="41"/>
        <v>0</v>
      </c>
      <c r="S34" s="1545">
        <f t="shared" si="42"/>
        <v>0</v>
      </c>
      <c r="T34" s="1557">
        <f t="shared" si="43"/>
        <v>0</v>
      </c>
      <c r="U34" s="1389">
        <f>'Table 5C1A-Madison Prep'!U34</f>
        <v>5790</v>
      </c>
      <c r="V34" s="1515">
        <f t="shared" si="32"/>
        <v>0</v>
      </c>
      <c r="W34" s="1391"/>
      <c r="X34" s="1392">
        <f t="shared" si="44"/>
        <v>0</v>
      </c>
      <c r="Y34" s="1391"/>
      <c r="Z34" s="1392">
        <f t="shared" si="45"/>
        <v>0</v>
      </c>
      <c r="AA34" s="1390">
        <f t="shared" si="46"/>
        <v>0</v>
      </c>
      <c r="AB34" s="1515">
        <f t="shared" si="47"/>
        <v>0</v>
      </c>
      <c r="AC34" s="1394">
        <f t="shared" si="48"/>
        <v>0</v>
      </c>
      <c r="AD34" s="1515">
        <f t="shared" si="49"/>
        <v>0</v>
      </c>
      <c r="AE34" s="1392">
        <v>0</v>
      </c>
      <c r="AF34" s="1515">
        <f t="shared" si="50"/>
        <v>0</v>
      </c>
      <c r="AG34" s="1392"/>
      <c r="AH34" s="1392">
        <f t="shared" si="51"/>
        <v>0</v>
      </c>
      <c r="AI34" s="1515">
        <f t="shared" si="52"/>
        <v>0</v>
      </c>
      <c r="AJ34" s="1393">
        <f t="shared" si="33"/>
        <v>0</v>
      </c>
      <c r="AK34" s="1502">
        <f t="shared" si="53"/>
        <v>0</v>
      </c>
    </row>
    <row r="35" spans="1:37" ht="16.2" customHeight="1">
      <c r="A35" s="1176">
        <v>29</v>
      </c>
      <c r="B35" s="1177" t="s">
        <v>109</v>
      </c>
      <c r="C35" s="1178">
        <f>+'Table 8 Membership 2.1.14'!H31</f>
        <v>0</v>
      </c>
      <c r="D35" s="1179">
        <f>+'Table 5C1A-Madison Prep'!D35</f>
        <v>3839.0123210173724</v>
      </c>
      <c r="E35" s="1180">
        <f t="shared" si="34"/>
        <v>0</v>
      </c>
      <c r="F35" s="1180">
        <f>+'Table 5C1A-Madison Prep'!F35</f>
        <v>754.94999999999993</v>
      </c>
      <c r="G35" s="1180">
        <f t="shared" si="35"/>
        <v>0</v>
      </c>
      <c r="H35" s="1539">
        <f t="shared" si="36"/>
        <v>0</v>
      </c>
      <c r="I35" s="1181"/>
      <c r="J35" s="1181"/>
      <c r="K35" s="1182">
        <f t="shared" si="37"/>
        <v>0</v>
      </c>
      <c r="L35" s="1539">
        <f t="shared" si="31"/>
        <v>0</v>
      </c>
      <c r="M35" s="1388">
        <f t="shared" si="38"/>
        <v>0</v>
      </c>
      <c r="N35" s="1539">
        <f t="shared" si="39"/>
        <v>0</v>
      </c>
      <c r="O35" s="1179">
        <v>0</v>
      </c>
      <c r="P35" s="1545">
        <f t="shared" si="40"/>
        <v>0</v>
      </c>
      <c r="Q35" s="1181"/>
      <c r="R35" s="1181">
        <f t="shared" si="41"/>
        <v>0</v>
      </c>
      <c r="S35" s="1545">
        <f t="shared" si="42"/>
        <v>0</v>
      </c>
      <c r="T35" s="1557">
        <f t="shared" si="43"/>
        <v>0</v>
      </c>
      <c r="U35" s="1389">
        <f>'Table 5C1A-Madison Prep'!U35</f>
        <v>5069</v>
      </c>
      <c r="V35" s="1515">
        <f t="shared" si="32"/>
        <v>0</v>
      </c>
      <c r="W35" s="1391"/>
      <c r="X35" s="1392">
        <f t="shared" si="44"/>
        <v>0</v>
      </c>
      <c r="Y35" s="1391"/>
      <c r="Z35" s="1392">
        <f t="shared" si="45"/>
        <v>0</v>
      </c>
      <c r="AA35" s="1390">
        <f t="shared" si="46"/>
        <v>0</v>
      </c>
      <c r="AB35" s="1515">
        <f t="shared" si="47"/>
        <v>0</v>
      </c>
      <c r="AC35" s="1394">
        <f t="shared" si="48"/>
        <v>0</v>
      </c>
      <c r="AD35" s="1515">
        <f t="shared" si="49"/>
        <v>0</v>
      </c>
      <c r="AE35" s="1392">
        <v>0</v>
      </c>
      <c r="AF35" s="1515">
        <f t="shared" si="50"/>
        <v>0</v>
      </c>
      <c r="AG35" s="1392"/>
      <c r="AH35" s="1392">
        <f t="shared" si="51"/>
        <v>0</v>
      </c>
      <c r="AI35" s="1515">
        <f t="shared" si="52"/>
        <v>0</v>
      </c>
      <c r="AJ35" s="1393">
        <f t="shared" si="33"/>
        <v>0</v>
      </c>
      <c r="AK35" s="1502">
        <f t="shared" si="53"/>
        <v>0</v>
      </c>
    </row>
    <row r="36" spans="1:37" ht="16.2" customHeight="1">
      <c r="A36" s="1168">
        <v>30</v>
      </c>
      <c r="B36" s="1169" t="s">
        <v>110</v>
      </c>
      <c r="C36" s="1170">
        <f>+'Table 8 Membership 2.1.14'!H32</f>
        <v>0</v>
      </c>
      <c r="D36" s="1171">
        <f>+'Table 5C1A-Madison Prep'!D36</f>
        <v>5804.5327273996763</v>
      </c>
      <c r="E36" s="1172">
        <f t="shared" si="34"/>
        <v>0</v>
      </c>
      <c r="F36" s="1172">
        <f>+'Table 5C1A-Madison Prep'!F36</f>
        <v>727.17</v>
      </c>
      <c r="G36" s="1172">
        <f t="shared" si="35"/>
        <v>0</v>
      </c>
      <c r="H36" s="1540">
        <f t="shared" si="36"/>
        <v>0</v>
      </c>
      <c r="I36" s="1173"/>
      <c r="J36" s="1173"/>
      <c r="K36" s="1174">
        <f t="shared" si="37"/>
        <v>0</v>
      </c>
      <c r="L36" s="1540">
        <f t="shared" si="31"/>
        <v>0</v>
      </c>
      <c r="M36" s="1399">
        <f t="shared" si="38"/>
        <v>0</v>
      </c>
      <c r="N36" s="1540">
        <f t="shared" si="39"/>
        <v>0</v>
      </c>
      <c r="O36" s="1171">
        <v>0</v>
      </c>
      <c r="P36" s="1546">
        <f t="shared" si="40"/>
        <v>0</v>
      </c>
      <c r="Q36" s="1175"/>
      <c r="R36" s="1173">
        <f t="shared" si="41"/>
        <v>0</v>
      </c>
      <c r="S36" s="1550">
        <f t="shared" si="42"/>
        <v>0</v>
      </c>
      <c r="T36" s="1550">
        <f t="shared" si="43"/>
        <v>0</v>
      </c>
      <c r="U36" s="1382">
        <f>'Table 5C1A-Madison Prep'!U36</f>
        <v>3609</v>
      </c>
      <c r="V36" s="1516">
        <f t="shared" si="32"/>
        <v>0</v>
      </c>
      <c r="W36" s="1400"/>
      <c r="X36" s="1383">
        <f t="shared" si="44"/>
        <v>0</v>
      </c>
      <c r="Y36" s="1400"/>
      <c r="Z36" s="1383">
        <f t="shared" si="45"/>
        <v>0</v>
      </c>
      <c r="AA36" s="1384">
        <f t="shared" si="46"/>
        <v>0</v>
      </c>
      <c r="AB36" s="1516">
        <f t="shared" si="47"/>
        <v>0</v>
      </c>
      <c r="AC36" s="1402">
        <f t="shared" si="48"/>
        <v>0</v>
      </c>
      <c r="AD36" s="1516">
        <f t="shared" si="49"/>
        <v>0</v>
      </c>
      <c r="AE36" s="1383">
        <v>0</v>
      </c>
      <c r="AF36" s="1516">
        <f t="shared" si="50"/>
        <v>0</v>
      </c>
      <c r="AG36" s="1383"/>
      <c r="AH36" s="1383">
        <f t="shared" si="51"/>
        <v>0</v>
      </c>
      <c r="AI36" s="1516">
        <f t="shared" si="52"/>
        <v>0</v>
      </c>
      <c r="AJ36" s="1401">
        <f t="shared" si="33"/>
        <v>0</v>
      </c>
      <c r="AK36" s="1503">
        <f t="shared" si="53"/>
        <v>0</v>
      </c>
    </row>
    <row r="37" spans="1:37" ht="16.2" customHeight="1">
      <c r="A37" s="1183">
        <v>31</v>
      </c>
      <c r="B37" s="1184" t="s">
        <v>111</v>
      </c>
      <c r="C37" s="1185">
        <f>+'Table 8 Membership 2.1.14'!H33</f>
        <v>12</v>
      </c>
      <c r="D37" s="1186">
        <f>+'Table 5C1A-Madison Prep'!D37</f>
        <v>4520.6176716868531</v>
      </c>
      <c r="E37" s="1187">
        <f t="shared" si="34"/>
        <v>54247.412060242234</v>
      </c>
      <c r="F37" s="1187">
        <f>+'Table 5C1A-Madison Prep'!F37</f>
        <v>620.83000000000004</v>
      </c>
      <c r="G37" s="1187">
        <f t="shared" si="35"/>
        <v>7449.9600000000009</v>
      </c>
      <c r="H37" s="1538">
        <f t="shared" si="36"/>
        <v>61697.372060242233</v>
      </c>
      <c r="I37" s="1188"/>
      <c r="J37" s="1188"/>
      <c r="K37" s="1189">
        <f t="shared" si="37"/>
        <v>0</v>
      </c>
      <c r="L37" s="1538">
        <f t="shared" si="31"/>
        <v>61697.372060242233</v>
      </c>
      <c r="M37" s="1372">
        <f t="shared" si="38"/>
        <v>-154.24343015060558</v>
      </c>
      <c r="N37" s="1538">
        <f t="shared" si="39"/>
        <v>61543.128630091625</v>
      </c>
      <c r="O37" s="1186">
        <v>0</v>
      </c>
      <c r="P37" s="1544">
        <f t="shared" si="40"/>
        <v>61543.128630091625</v>
      </c>
      <c r="Q37" s="1188"/>
      <c r="R37" s="1188">
        <f t="shared" si="41"/>
        <v>61543.128630091625</v>
      </c>
      <c r="S37" s="1544">
        <f t="shared" si="42"/>
        <v>5129</v>
      </c>
      <c r="T37" s="1556">
        <f t="shared" si="43"/>
        <v>61543.128630091625</v>
      </c>
      <c r="U37" s="1373">
        <f>'Table 5C1A-Madison Prep'!U37</f>
        <v>5043</v>
      </c>
      <c r="V37" s="1514">
        <f t="shared" si="32"/>
        <v>60516</v>
      </c>
      <c r="W37" s="1375"/>
      <c r="X37" s="1376">
        <f t="shared" si="44"/>
        <v>0</v>
      </c>
      <c r="Y37" s="1375"/>
      <c r="Z37" s="1376">
        <f t="shared" si="45"/>
        <v>0</v>
      </c>
      <c r="AA37" s="1374">
        <f t="shared" si="46"/>
        <v>0</v>
      </c>
      <c r="AB37" s="1514">
        <f t="shared" si="47"/>
        <v>60516</v>
      </c>
      <c r="AC37" s="1378">
        <f t="shared" si="48"/>
        <v>-151.29</v>
      </c>
      <c r="AD37" s="1514">
        <f t="shared" si="49"/>
        <v>60364.71</v>
      </c>
      <c r="AE37" s="1376">
        <v>0</v>
      </c>
      <c r="AF37" s="1514">
        <f t="shared" si="50"/>
        <v>60364.71</v>
      </c>
      <c r="AG37" s="1376"/>
      <c r="AH37" s="1376">
        <f t="shared" si="51"/>
        <v>60364.71</v>
      </c>
      <c r="AI37" s="1514">
        <f t="shared" si="52"/>
        <v>5030</v>
      </c>
      <c r="AJ37" s="1377">
        <f t="shared" si="33"/>
        <v>121907.83863009163</v>
      </c>
      <c r="AK37" s="1501">
        <f t="shared" si="53"/>
        <v>10159</v>
      </c>
    </row>
    <row r="38" spans="1:37" ht="16.2" customHeight="1">
      <c r="A38" s="1176">
        <v>32</v>
      </c>
      <c r="B38" s="1177" t="s">
        <v>112</v>
      </c>
      <c r="C38" s="1178">
        <f>+'Table 8 Membership 2.1.14'!H34</f>
        <v>0</v>
      </c>
      <c r="D38" s="1179">
        <f>+'Table 5C1A-Madison Prep'!D38</f>
        <v>5652.819189061127</v>
      </c>
      <c r="E38" s="1180">
        <f t="shared" si="34"/>
        <v>0</v>
      </c>
      <c r="F38" s="1180">
        <f>+'Table 5C1A-Madison Prep'!F38</f>
        <v>559.77</v>
      </c>
      <c r="G38" s="1180">
        <f t="shared" si="35"/>
        <v>0</v>
      </c>
      <c r="H38" s="1539">
        <f t="shared" si="36"/>
        <v>0</v>
      </c>
      <c r="I38" s="1181"/>
      <c r="J38" s="1181"/>
      <c r="K38" s="1182">
        <f t="shared" si="37"/>
        <v>0</v>
      </c>
      <c r="L38" s="1539">
        <f t="shared" si="31"/>
        <v>0</v>
      </c>
      <c r="M38" s="1388">
        <f t="shared" si="38"/>
        <v>0</v>
      </c>
      <c r="N38" s="1539">
        <f t="shared" si="39"/>
        <v>0</v>
      </c>
      <c r="O38" s="1179">
        <v>0</v>
      </c>
      <c r="P38" s="1545">
        <f t="shared" si="40"/>
        <v>0</v>
      </c>
      <c r="Q38" s="1181"/>
      <c r="R38" s="1181">
        <f t="shared" si="41"/>
        <v>0</v>
      </c>
      <c r="S38" s="1545">
        <f t="shared" si="42"/>
        <v>0</v>
      </c>
      <c r="T38" s="1557">
        <f t="shared" si="43"/>
        <v>0</v>
      </c>
      <c r="U38" s="1389">
        <f>'Table 5C1A-Madison Prep'!U38</f>
        <v>2121</v>
      </c>
      <c r="V38" s="1515">
        <f t="shared" si="32"/>
        <v>0</v>
      </c>
      <c r="W38" s="1391"/>
      <c r="X38" s="1392">
        <f t="shared" si="44"/>
        <v>0</v>
      </c>
      <c r="Y38" s="1391"/>
      <c r="Z38" s="1392">
        <f t="shared" si="45"/>
        <v>0</v>
      </c>
      <c r="AA38" s="1390">
        <f t="shared" si="46"/>
        <v>0</v>
      </c>
      <c r="AB38" s="1515">
        <f t="shared" si="47"/>
        <v>0</v>
      </c>
      <c r="AC38" s="1394">
        <f t="shared" si="48"/>
        <v>0</v>
      </c>
      <c r="AD38" s="1515">
        <f t="shared" si="49"/>
        <v>0</v>
      </c>
      <c r="AE38" s="1392">
        <v>0</v>
      </c>
      <c r="AF38" s="1515">
        <f t="shared" si="50"/>
        <v>0</v>
      </c>
      <c r="AG38" s="1392"/>
      <c r="AH38" s="1392">
        <f t="shared" si="51"/>
        <v>0</v>
      </c>
      <c r="AI38" s="1515">
        <f t="shared" si="52"/>
        <v>0</v>
      </c>
      <c r="AJ38" s="1393">
        <f t="shared" si="33"/>
        <v>0</v>
      </c>
      <c r="AK38" s="1502">
        <f t="shared" si="53"/>
        <v>0</v>
      </c>
    </row>
    <row r="39" spans="1:37" ht="16.2" customHeight="1">
      <c r="A39" s="1176">
        <v>33</v>
      </c>
      <c r="B39" s="1177" t="s">
        <v>113</v>
      </c>
      <c r="C39" s="1178">
        <f>+'Table 8 Membership 2.1.14'!H35</f>
        <v>0</v>
      </c>
      <c r="D39" s="1179">
        <f>+'Table 5C1A-Madison Prep'!D39</f>
        <v>5456.2254558085233</v>
      </c>
      <c r="E39" s="1180">
        <f t="shared" si="34"/>
        <v>0</v>
      </c>
      <c r="F39" s="1180">
        <f>+'Table 5C1A-Madison Prep'!F39</f>
        <v>655.31000000000006</v>
      </c>
      <c r="G39" s="1180">
        <f t="shared" si="35"/>
        <v>0</v>
      </c>
      <c r="H39" s="1539">
        <f t="shared" si="36"/>
        <v>0</v>
      </c>
      <c r="I39" s="1181"/>
      <c r="J39" s="1181"/>
      <c r="K39" s="1182">
        <f t="shared" si="37"/>
        <v>0</v>
      </c>
      <c r="L39" s="1539">
        <f t="shared" ref="L39:L70" si="54">H39+K39</f>
        <v>0</v>
      </c>
      <c r="M39" s="1388">
        <f t="shared" si="38"/>
        <v>0</v>
      </c>
      <c r="N39" s="1539">
        <f t="shared" si="39"/>
        <v>0</v>
      </c>
      <c r="O39" s="1179">
        <v>0</v>
      </c>
      <c r="P39" s="1545">
        <f t="shared" si="40"/>
        <v>0</v>
      </c>
      <c r="Q39" s="1181"/>
      <c r="R39" s="1181">
        <f t="shared" si="41"/>
        <v>0</v>
      </c>
      <c r="S39" s="1545">
        <f t="shared" si="42"/>
        <v>0</v>
      </c>
      <c r="T39" s="1557">
        <f t="shared" si="43"/>
        <v>0</v>
      </c>
      <c r="U39" s="1389">
        <f>'Table 5C1A-Madison Prep'!U39</f>
        <v>3616</v>
      </c>
      <c r="V39" s="1515">
        <f t="shared" ref="V39:V70" si="55">C39*U39</f>
        <v>0</v>
      </c>
      <c r="W39" s="1391"/>
      <c r="X39" s="1392">
        <f t="shared" si="44"/>
        <v>0</v>
      </c>
      <c r="Y39" s="1391"/>
      <c r="Z39" s="1392">
        <f t="shared" si="45"/>
        <v>0</v>
      </c>
      <c r="AA39" s="1390">
        <f t="shared" si="46"/>
        <v>0</v>
      </c>
      <c r="AB39" s="1515">
        <f t="shared" si="47"/>
        <v>0</v>
      </c>
      <c r="AC39" s="1394">
        <f t="shared" si="48"/>
        <v>0</v>
      </c>
      <c r="AD39" s="1515">
        <f t="shared" si="49"/>
        <v>0</v>
      </c>
      <c r="AE39" s="1392">
        <v>0</v>
      </c>
      <c r="AF39" s="1515">
        <f t="shared" si="50"/>
        <v>0</v>
      </c>
      <c r="AG39" s="1392"/>
      <c r="AH39" s="1392">
        <f t="shared" si="51"/>
        <v>0</v>
      </c>
      <c r="AI39" s="1515">
        <f t="shared" si="52"/>
        <v>0</v>
      </c>
      <c r="AJ39" s="1393">
        <f t="shared" si="33"/>
        <v>0</v>
      </c>
      <c r="AK39" s="1502">
        <f t="shared" si="53"/>
        <v>0</v>
      </c>
    </row>
    <row r="40" spans="1:37" ht="16.2" customHeight="1">
      <c r="A40" s="1176">
        <v>34</v>
      </c>
      <c r="B40" s="1177" t="s">
        <v>114</v>
      </c>
      <c r="C40" s="1178">
        <f>+'Table 8 Membership 2.1.14'!H36</f>
        <v>0</v>
      </c>
      <c r="D40" s="1179">
        <f>+'Table 5C1A-Madison Prep'!D40</f>
        <v>6292.0976842789005</v>
      </c>
      <c r="E40" s="1180">
        <f t="shared" si="34"/>
        <v>0</v>
      </c>
      <c r="F40" s="1180">
        <f>+'Table 5C1A-Madison Prep'!F40</f>
        <v>644.11000000000013</v>
      </c>
      <c r="G40" s="1180">
        <f t="shared" si="35"/>
        <v>0</v>
      </c>
      <c r="H40" s="1539">
        <f t="shared" si="36"/>
        <v>0</v>
      </c>
      <c r="I40" s="1181"/>
      <c r="J40" s="1181"/>
      <c r="K40" s="1182">
        <f t="shared" si="37"/>
        <v>0</v>
      </c>
      <c r="L40" s="1539">
        <f t="shared" si="54"/>
        <v>0</v>
      </c>
      <c r="M40" s="1388">
        <f t="shared" si="38"/>
        <v>0</v>
      </c>
      <c r="N40" s="1539">
        <f t="shared" si="39"/>
        <v>0</v>
      </c>
      <c r="O40" s="1179">
        <v>0</v>
      </c>
      <c r="P40" s="1545">
        <f t="shared" si="40"/>
        <v>0</v>
      </c>
      <c r="Q40" s="1181"/>
      <c r="R40" s="1181">
        <f t="shared" si="41"/>
        <v>0</v>
      </c>
      <c r="S40" s="1545">
        <f t="shared" si="42"/>
        <v>0</v>
      </c>
      <c r="T40" s="1557">
        <f t="shared" si="43"/>
        <v>0</v>
      </c>
      <c r="U40" s="1389">
        <f>'Table 5C1A-Madison Prep'!U40</f>
        <v>2721</v>
      </c>
      <c r="V40" s="1515">
        <f t="shared" si="55"/>
        <v>0</v>
      </c>
      <c r="W40" s="1391"/>
      <c r="X40" s="1392">
        <f t="shared" si="44"/>
        <v>0</v>
      </c>
      <c r="Y40" s="1391"/>
      <c r="Z40" s="1392">
        <f t="shared" si="45"/>
        <v>0</v>
      </c>
      <c r="AA40" s="1390">
        <f t="shared" si="46"/>
        <v>0</v>
      </c>
      <c r="AB40" s="1515">
        <f t="shared" si="47"/>
        <v>0</v>
      </c>
      <c r="AC40" s="1394">
        <f t="shared" si="48"/>
        <v>0</v>
      </c>
      <c r="AD40" s="1515">
        <f t="shared" si="49"/>
        <v>0</v>
      </c>
      <c r="AE40" s="1392">
        <v>0</v>
      </c>
      <c r="AF40" s="1515">
        <f t="shared" si="50"/>
        <v>0</v>
      </c>
      <c r="AG40" s="1392"/>
      <c r="AH40" s="1392">
        <f t="shared" si="51"/>
        <v>0</v>
      </c>
      <c r="AI40" s="1515">
        <f t="shared" si="52"/>
        <v>0</v>
      </c>
      <c r="AJ40" s="1393">
        <f t="shared" si="33"/>
        <v>0</v>
      </c>
      <c r="AK40" s="1502">
        <f t="shared" si="53"/>
        <v>0</v>
      </c>
    </row>
    <row r="41" spans="1:37" ht="16.2" customHeight="1">
      <c r="A41" s="1168">
        <v>35</v>
      </c>
      <c r="B41" s="1169" t="s">
        <v>115</v>
      </c>
      <c r="C41" s="1170">
        <f>+'Table 8 Membership 2.1.14'!H37</f>
        <v>0</v>
      </c>
      <c r="D41" s="1171">
        <f>+'Table 5C1A-Madison Prep'!D41</f>
        <v>5166.2482060477605</v>
      </c>
      <c r="E41" s="1172">
        <f t="shared" si="34"/>
        <v>0</v>
      </c>
      <c r="F41" s="1172">
        <f>+'Table 5C1A-Madison Prep'!F41</f>
        <v>537.96</v>
      </c>
      <c r="G41" s="1172">
        <f t="shared" si="35"/>
        <v>0</v>
      </c>
      <c r="H41" s="1540">
        <f t="shared" si="36"/>
        <v>0</v>
      </c>
      <c r="I41" s="1173"/>
      <c r="J41" s="1173"/>
      <c r="K41" s="1174">
        <f t="shared" si="37"/>
        <v>0</v>
      </c>
      <c r="L41" s="1540">
        <f t="shared" si="54"/>
        <v>0</v>
      </c>
      <c r="M41" s="1399">
        <f t="shared" si="38"/>
        <v>0</v>
      </c>
      <c r="N41" s="1540">
        <f t="shared" si="39"/>
        <v>0</v>
      </c>
      <c r="O41" s="1171">
        <v>0</v>
      </c>
      <c r="P41" s="1546">
        <f t="shared" si="40"/>
        <v>0</v>
      </c>
      <c r="Q41" s="1175"/>
      <c r="R41" s="1173">
        <f t="shared" si="41"/>
        <v>0</v>
      </c>
      <c r="S41" s="1550">
        <f t="shared" si="42"/>
        <v>0</v>
      </c>
      <c r="T41" s="1550">
        <f t="shared" si="43"/>
        <v>0</v>
      </c>
      <c r="U41" s="1382">
        <f>'Table 5C1A-Madison Prep'!U41</f>
        <v>3255</v>
      </c>
      <c r="V41" s="1516">
        <f t="shared" si="55"/>
        <v>0</v>
      </c>
      <c r="W41" s="1400"/>
      <c r="X41" s="1383">
        <f t="shared" si="44"/>
        <v>0</v>
      </c>
      <c r="Y41" s="1400"/>
      <c r="Z41" s="1383">
        <f t="shared" si="45"/>
        <v>0</v>
      </c>
      <c r="AA41" s="1384">
        <f t="shared" si="46"/>
        <v>0</v>
      </c>
      <c r="AB41" s="1516">
        <f t="shared" si="47"/>
        <v>0</v>
      </c>
      <c r="AC41" s="1402">
        <f t="shared" si="48"/>
        <v>0</v>
      </c>
      <c r="AD41" s="1516">
        <f t="shared" si="49"/>
        <v>0</v>
      </c>
      <c r="AE41" s="1383">
        <v>0</v>
      </c>
      <c r="AF41" s="1516">
        <f t="shared" si="50"/>
        <v>0</v>
      </c>
      <c r="AG41" s="1383"/>
      <c r="AH41" s="1383">
        <f t="shared" si="51"/>
        <v>0</v>
      </c>
      <c r="AI41" s="1516">
        <f t="shared" si="52"/>
        <v>0</v>
      </c>
      <c r="AJ41" s="1401">
        <f t="shared" si="33"/>
        <v>0</v>
      </c>
      <c r="AK41" s="1503">
        <f t="shared" si="53"/>
        <v>0</v>
      </c>
    </row>
    <row r="42" spans="1:37" ht="16.2" customHeight="1">
      <c r="A42" s="1183">
        <v>36</v>
      </c>
      <c r="B42" s="1184" t="s">
        <v>116</v>
      </c>
      <c r="C42" s="1185">
        <f>+'Table 8 Membership 2.1.14'!H38</f>
        <v>0</v>
      </c>
      <c r="D42" s="1186">
        <f>+'Table 5C1A-Madison Prep'!D42</f>
        <v>3602.7009974327857</v>
      </c>
      <c r="E42" s="1187">
        <f t="shared" si="34"/>
        <v>0</v>
      </c>
      <c r="F42" s="1187">
        <f>+'Table 5C1A-Madison Prep'!F42</f>
        <v>746.0335616438357</v>
      </c>
      <c r="G42" s="1187">
        <f t="shared" si="35"/>
        <v>0</v>
      </c>
      <c r="H42" s="1538">
        <f t="shared" si="36"/>
        <v>0</v>
      </c>
      <c r="I42" s="1188"/>
      <c r="J42" s="1188"/>
      <c r="K42" s="1189">
        <f t="shared" si="37"/>
        <v>0</v>
      </c>
      <c r="L42" s="1538">
        <f t="shared" si="54"/>
        <v>0</v>
      </c>
      <c r="M42" s="1372">
        <f t="shared" si="38"/>
        <v>0</v>
      </c>
      <c r="N42" s="1538">
        <f t="shared" si="39"/>
        <v>0</v>
      </c>
      <c r="O42" s="1186">
        <v>0</v>
      </c>
      <c r="P42" s="1544">
        <f t="shared" si="40"/>
        <v>0</v>
      </c>
      <c r="Q42" s="1188"/>
      <c r="R42" s="1188">
        <f t="shared" si="41"/>
        <v>0</v>
      </c>
      <c r="S42" s="1544">
        <f t="shared" si="42"/>
        <v>0</v>
      </c>
      <c r="T42" s="1556">
        <f t="shared" si="43"/>
        <v>0</v>
      </c>
      <c r="U42" s="1373">
        <f>'Table 5C1A-Madison Prep'!U42</f>
        <v>5435</v>
      </c>
      <c r="V42" s="1514">
        <f t="shared" si="55"/>
        <v>0</v>
      </c>
      <c r="W42" s="1375"/>
      <c r="X42" s="1376">
        <f t="shared" si="44"/>
        <v>0</v>
      </c>
      <c r="Y42" s="1375"/>
      <c r="Z42" s="1376">
        <f t="shared" si="45"/>
        <v>0</v>
      </c>
      <c r="AA42" s="1374">
        <f t="shared" si="46"/>
        <v>0</v>
      </c>
      <c r="AB42" s="1514">
        <f t="shared" si="47"/>
        <v>0</v>
      </c>
      <c r="AC42" s="1378">
        <f t="shared" si="48"/>
        <v>0</v>
      </c>
      <c r="AD42" s="1514">
        <f t="shared" si="49"/>
        <v>0</v>
      </c>
      <c r="AE42" s="1376">
        <v>0</v>
      </c>
      <c r="AF42" s="1514">
        <f t="shared" si="50"/>
        <v>0</v>
      </c>
      <c r="AG42" s="1376"/>
      <c r="AH42" s="1376">
        <f t="shared" si="51"/>
        <v>0</v>
      </c>
      <c r="AI42" s="1514">
        <f t="shared" si="52"/>
        <v>0</v>
      </c>
      <c r="AJ42" s="1377">
        <f t="shared" si="33"/>
        <v>0</v>
      </c>
      <c r="AK42" s="1501">
        <f t="shared" si="53"/>
        <v>0</v>
      </c>
    </row>
    <row r="43" spans="1:37" ht="16.2" customHeight="1">
      <c r="A43" s="1176">
        <v>37</v>
      </c>
      <c r="B43" s="1177" t="s">
        <v>117</v>
      </c>
      <c r="C43" s="1178">
        <f>+'Table 8 Membership 2.1.14'!H39</f>
        <v>3</v>
      </c>
      <c r="D43" s="1179">
        <f>+'Table 5C1A-Madison Prep'!D43</f>
        <v>5665.3839260317691</v>
      </c>
      <c r="E43" s="1180">
        <f t="shared" si="34"/>
        <v>16996.151778095307</v>
      </c>
      <c r="F43" s="1180">
        <f>+'Table 5C1A-Madison Prep'!F43</f>
        <v>653.61</v>
      </c>
      <c r="G43" s="1180">
        <f t="shared" si="35"/>
        <v>1960.83</v>
      </c>
      <c r="H43" s="1539">
        <f t="shared" si="36"/>
        <v>18956.981778095309</v>
      </c>
      <c r="I43" s="1181"/>
      <c r="J43" s="1181"/>
      <c r="K43" s="1182">
        <f t="shared" si="37"/>
        <v>0</v>
      </c>
      <c r="L43" s="1539">
        <f t="shared" si="54"/>
        <v>18956.981778095309</v>
      </c>
      <c r="M43" s="1388">
        <f t="shared" si="38"/>
        <v>-47.392454445238272</v>
      </c>
      <c r="N43" s="1539">
        <f t="shared" si="39"/>
        <v>18909.589323650071</v>
      </c>
      <c r="O43" s="1179">
        <v>0</v>
      </c>
      <c r="P43" s="1545">
        <f t="shared" si="40"/>
        <v>18909.589323650071</v>
      </c>
      <c r="Q43" s="1181"/>
      <c r="R43" s="1181">
        <f t="shared" si="41"/>
        <v>18909.589323650071</v>
      </c>
      <c r="S43" s="1545">
        <f t="shared" si="42"/>
        <v>1576</v>
      </c>
      <c r="T43" s="1557">
        <f t="shared" si="43"/>
        <v>18909.589323650071</v>
      </c>
      <c r="U43" s="1389">
        <f>'Table 5C1A-Madison Prep'!U43</f>
        <v>3520</v>
      </c>
      <c r="V43" s="1515">
        <f t="shared" si="55"/>
        <v>10560</v>
      </c>
      <c r="W43" s="1391"/>
      <c r="X43" s="1392">
        <f t="shared" si="44"/>
        <v>0</v>
      </c>
      <c r="Y43" s="1391"/>
      <c r="Z43" s="1392">
        <f t="shared" si="45"/>
        <v>0</v>
      </c>
      <c r="AA43" s="1390">
        <f t="shared" si="46"/>
        <v>0</v>
      </c>
      <c r="AB43" s="1515">
        <f t="shared" si="47"/>
        <v>10560</v>
      </c>
      <c r="AC43" s="1394">
        <f t="shared" si="48"/>
        <v>-26.400000000000002</v>
      </c>
      <c r="AD43" s="1515">
        <f t="shared" si="49"/>
        <v>10533.6</v>
      </c>
      <c r="AE43" s="1392">
        <v>0</v>
      </c>
      <c r="AF43" s="1515">
        <f t="shared" si="50"/>
        <v>10533.6</v>
      </c>
      <c r="AG43" s="1392"/>
      <c r="AH43" s="1392">
        <f t="shared" si="51"/>
        <v>10533.6</v>
      </c>
      <c r="AI43" s="1515">
        <f t="shared" si="52"/>
        <v>878</v>
      </c>
      <c r="AJ43" s="1393">
        <f t="shared" si="33"/>
        <v>29443.189323650069</v>
      </c>
      <c r="AK43" s="1502">
        <f t="shared" si="53"/>
        <v>2454</v>
      </c>
    </row>
    <row r="44" spans="1:37" ht="16.2" customHeight="1">
      <c r="A44" s="1176">
        <v>38</v>
      </c>
      <c r="B44" s="1177" t="s">
        <v>118</v>
      </c>
      <c r="C44" s="1178">
        <f>+'Table 8 Membership 2.1.14'!H40</f>
        <v>0</v>
      </c>
      <c r="D44" s="1179">
        <f>+'Table 5C1A-Madison Prep'!D44</f>
        <v>2088.8017552916881</v>
      </c>
      <c r="E44" s="1180">
        <f t="shared" si="34"/>
        <v>0</v>
      </c>
      <c r="F44" s="1180">
        <f>+'Table 5C1A-Madison Prep'!F44</f>
        <v>829.92000000000007</v>
      </c>
      <c r="G44" s="1180">
        <f t="shared" si="35"/>
        <v>0</v>
      </c>
      <c r="H44" s="1539">
        <f t="shared" si="36"/>
        <v>0</v>
      </c>
      <c r="I44" s="1181"/>
      <c r="J44" s="1181"/>
      <c r="K44" s="1182">
        <f t="shared" si="37"/>
        <v>0</v>
      </c>
      <c r="L44" s="1539">
        <f t="shared" si="54"/>
        <v>0</v>
      </c>
      <c r="M44" s="1388">
        <f t="shared" si="38"/>
        <v>0</v>
      </c>
      <c r="N44" s="1539">
        <f t="shared" si="39"/>
        <v>0</v>
      </c>
      <c r="O44" s="1179">
        <v>0</v>
      </c>
      <c r="P44" s="1545">
        <f t="shared" si="40"/>
        <v>0</v>
      </c>
      <c r="Q44" s="1181"/>
      <c r="R44" s="1181">
        <f t="shared" si="41"/>
        <v>0</v>
      </c>
      <c r="S44" s="1545">
        <f t="shared" si="42"/>
        <v>0</v>
      </c>
      <c r="T44" s="1557">
        <f t="shared" si="43"/>
        <v>0</v>
      </c>
      <c r="U44" s="1389">
        <f>'Table 5C1A-Madison Prep'!U44</f>
        <v>11379</v>
      </c>
      <c r="V44" s="1515">
        <f t="shared" si="55"/>
        <v>0</v>
      </c>
      <c r="W44" s="1391"/>
      <c r="X44" s="1392">
        <f t="shared" si="44"/>
        <v>0</v>
      </c>
      <c r="Y44" s="1391"/>
      <c r="Z44" s="1392">
        <f t="shared" si="45"/>
        <v>0</v>
      </c>
      <c r="AA44" s="1390">
        <f t="shared" si="46"/>
        <v>0</v>
      </c>
      <c r="AB44" s="1515">
        <f t="shared" si="47"/>
        <v>0</v>
      </c>
      <c r="AC44" s="1394">
        <f t="shared" si="48"/>
        <v>0</v>
      </c>
      <c r="AD44" s="1515">
        <f t="shared" si="49"/>
        <v>0</v>
      </c>
      <c r="AE44" s="1392">
        <v>0</v>
      </c>
      <c r="AF44" s="1515">
        <f t="shared" si="50"/>
        <v>0</v>
      </c>
      <c r="AG44" s="1392"/>
      <c r="AH44" s="1392">
        <f t="shared" si="51"/>
        <v>0</v>
      </c>
      <c r="AI44" s="1515">
        <f t="shared" si="52"/>
        <v>0</v>
      </c>
      <c r="AJ44" s="1393">
        <f t="shared" si="33"/>
        <v>0</v>
      </c>
      <c r="AK44" s="1502">
        <f t="shared" si="53"/>
        <v>0</v>
      </c>
    </row>
    <row r="45" spans="1:37" ht="16.2" customHeight="1">
      <c r="A45" s="1176">
        <v>39</v>
      </c>
      <c r="B45" s="1177" t="s">
        <v>119</v>
      </c>
      <c r="C45" s="1178">
        <f>+'Table 8 Membership 2.1.14'!H41</f>
        <v>0</v>
      </c>
      <c r="D45" s="1179">
        <f>+'Table 5C1A-Madison Prep'!D45</f>
        <v>3656.9056809295676</v>
      </c>
      <c r="E45" s="1180">
        <f t="shared" si="34"/>
        <v>0</v>
      </c>
      <c r="F45" s="1180">
        <f>+'Table 5C1A-Madison Prep'!F45</f>
        <v>779.65573042776396</v>
      </c>
      <c r="G45" s="1180">
        <f t="shared" si="35"/>
        <v>0</v>
      </c>
      <c r="H45" s="1539">
        <f t="shared" si="36"/>
        <v>0</v>
      </c>
      <c r="I45" s="1181"/>
      <c r="J45" s="1181"/>
      <c r="K45" s="1182">
        <f t="shared" si="37"/>
        <v>0</v>
      </c>
      <c r="L45" s="1539">
        <f t="shared" si="54"/>
        <v>0</v>
      </c>
      <c r="M45" s="1388">
        <f t="shared" si="38"/>
        <v>0</v>
      </c>
      <c r="N45" s="1539">
        <f t="shared" si="39"/>
        <v>0</v>
      </c>
      <c r="O45" s="1179">
        <v>0</v>
      </c>
      <c r="P45" s="1545">
        <f t="shared" si="40"/>
        <v>0</v>
      </c>
      <c r="Q45" s="1181"/>
      <c r="R45" s="1181">
        <f t="shared" si="41"/>
        <v>0</v>
      </c>
      <c r="S45" s="1545">
        <f t="shared" si="42"/>
        <v>0</v>
      </c>
      <c r="T45" s="1557">
        <f t="shared" si="43"/>
        <v>0</v>
      </c>
      <c r="U45" s="1389">
        <f>'Table 5C1A-Madison Prep'!U45</f>
        <v>4955</v>
      </c>
      <c r="V45" s="1515">
        <f t="shared" si="55"/>
        <v>0</v>
      </c>
      <c r="W45" s="1391"/>
      <c r="X45" s="1392">
        <f t="shared" si="44"/>
        <v>0</v>
      </c>
      <c r="Y45" s="1391"/>
      <c r="Z45" s="1392">
        <f t="shared" si="45"/>
        <v>0</v>
      </c>
      <c r="AA45" s="1390">
        <f t="shared" si="46"/>
        <v>0</v>
      </c>
      <c r="AB45" s="1515">
        <f t="shared" si="47"/>
        <v>0</v>
      </c>
      <c r="AC45" s="1394">
        <f t="shared" si="48"/>
        <v>0</v>
      </c>
      <c r="AD45" s="1515">
        <f t="shared" si="49"/>
        <v>0</v>
      </c>
      <c r="AE45" s="1392">
        <v>0</v>
      </c>
      <c r="AF45" s="1515">
        <f t="shared" si="50"/>
        <v>0</v>
      </c>
      <c r="AG45" s="1392"/>
      <c r="AH45" s="1392">
        <f t="shared" si="51"/>
        <v>0</v>
      </c>
      <c r="AI45" s="1515">
        <f t="shared" si="52"/>
        <v>0</v>
      </c>
      <c r="AJ45" s="1393">
        <f t="shared" si="33"/>
        <v>0</v>
      </c>
      <c r="AK45" s="1502">
        <f t="shared" si="53"/>
        <v>0</v>
      </c>
    </row>
    <row r="46" spans="1:37" ht="16.2" customHeight="1">
      <c r="A46" s="1168">
        <v>40</v>
      </c>
      <c r="B46" s="1169" t="s">
        <v>120</v>
      </c>
      <c r="C46" s="1170">
        <f>+'Table 8 Membership 2.1.14'!H42</f>
        <v>0</v>
      </c>
      <c r="D46" s="1171">
        <f>+'Table 5C1A-Madison Prep'!D46</f>
        <v>5121.8110285698403</v>
      </c>
      <c r="E46" s="1172">
        <f t="shared" si="34"/>
        <v>0</v>
      </c>
      <c r="F46" s="1172">
        <f>+'Table 5C1A-Madison Prep'!F46</f>
        <v>700.2700000000001</v>
      </c>
      <c r="G46" s="1172">
        <f t="shared" si="35"/>
        <v>0</v>
      </c>
      <c r="H46" s="1540">
        <f t="shared" si="36"/>
        <v>0</v>
      </c>
      <c r="I46" s="1173"/>
      <c r="J46" s="1173"/>
      <c r="K46" s="1174">
        <f t="shared" si="37"/>
        <v>0</v>
      </c>
      <c r="L46" s="1540">
        <f t="shared" si="54"/>
        <v>0</v>
      </c>
      <c r="M46" s="1399">
        <f t="shared" si="38"/>
        <v>0</v>
      </c>
      <c r="N46" s="1540">
        <f t="shared" si="39"/>
        <v>0</v>
      </c>
      <c r="O46" s="1171">
        <v>0</v>
      </c>
      <c r="P46" s="1546">
        <f t="shared" si="40"/>
        <v>0</v>
      </c>
      <c r="Q46" s="1175"/>
      <c r="R46" s="1173">
        <f t="shared" si="41"/>
        <v>0</v>
      </c>
      <c r="S46" s="1550">
        <f t="shared" si="42"/>
        <v>0</v>
      </c>
      <c r="T46" s="1550">
        <f t="shared" si="43"/>
        <v>0</v>
      </c>
      <c r="U46" s="1382">
        <f>'Table 5C1A-Madison Prep'!U46</f>
        <v>3069</v>
      </c>
      <c r="V46" s="1516">
        <f t="shared" si="55"/>
        <v>0</v>
      </c>
      <c r="W46" s="1400"/>
      <c r="X46" s="1383">
        <f t="shared" si="44"/>
        <v>0</v>
      </c>
      <c r="Y46" s="1400"/>
      <c r="Z46" s="1383">
        <f t="shared" si="45"/>
        <v>0</v>
      </c>
      <c r="AA46" s="1384">
        <f t="shared" si="46"/>
        <v>0</v>
      </c>
      <c r="AB46" s="1516">
        <f t="shared" si="47"/>
        <v>0</v>
      </c>
      <c r="AC46" s="1402">
        <f t="shared" si="48"/>
        <v>0</v>
      </c>
      <c r="AD46" s="1516">
        <f t="shared" si="49"/>
        <v>0</v>
      </c>
      <c r="AE46" s="1383">
        <v>0</v>
      </c>
      <c r="AF46" s="1516">
        <f t="shared" si="50"/>
        <v>0</v>
      </c>
      <c r="AG46" s="1383"/>
      <c r="AH46" s="1383">
        <f t="shared" si="51"/>
        <v>0</v>
      </c>
      <c r="AI46" s="1516">
        <f t="shared" si="52"/>
        <v>0</v>
      </c>
      <c r="AJ46" s="1401">
        <f t="shared" si="33"/>
        <v>0</v>
      </c>
      <c r="AK46" s="1503">
        <f t="shared" si="53"/>
        <v>0</v>
      </c>
    </row>
    <row r="47" spans="1:37" ht="16.2" customHeight="1">
      <c r="A47" s="1183">
        <v>41</v>
      </c>
      <c r="B47" s="1184" t="s">
        <v>121</v>
      </c>
      <c r="C47" s="1185">
        <f>+'Table 8 Membership 2.1.14'!H43</f>
        <v>0</v>
      </c>
      <c r="D47" s="1186">
        <f>+'Table 5C1A-Madison Prep'!D47</f>
        <v>3291.1948574716475</v>
      </c>
      <c r="E47" s="1187">
        <f t="shared" si="34"/>
        <v>0</v>
      </c>
      <c r="F47" s="1187">
        <f>+'Table 5C1A-Madison Prep'!F47</f>
        <v>886.22</v>
      </c>
      <c r="G47" s="1187">
        <f t="shared" si="35"/>
        <v>0</v>
      </c>
      <c r="H47" s="1538">
        <f t="shared" si="36"/>
        <v>0</v>
      </c>
      <c r="I47" s="1188"/>
      <c r="J47" s="1188"/>
      <c r="K47" s="1189">
        <f t="shared" si="37"/>
        <v>0</v>
      </c>
      <c r="L47" s="1538">
        <f t="shared" si="54"/>
        <v>0</v>
      </c>
      <c r="M47" s="1372">
        <f t="shared" si="38"/>
        <v>0</v>
      </c>
      <c r="N47" s="1538">
        <f t="shared" si="39"/>
        <v>0</v>
      </c>
      <c r="O47" s="1186">
        <v>0</v>
      </c>
      <c r="P47" s="1544">
        <f t="shared" si="40"/>
        <v>0</v>
      </c>
      <c r="Q47" s="1188"/>
      <c r="R47" s="1188">
        <f t="shared" si="41"/>
        <v>0</v>
      </c>
      <c r="S47" s="1544">
        <f t="shared" si="42"/>
        <v>0</v>
      </c>
      <c r="T47" s="1556">
        <f t="shared" si="43"/>
        <v>0</v>
      </c>
      <c r="U47" s="1373">
        <f>'Table 5C1A-Madison Prep'!U47</f>
        <v>8478</v>
      </c>
      <c r="V47" s="1514">
        <f t="shared" si="55"/>
        <v>0</v>
      </c>
      <c r="W47" s="1375"/>
      <c r="X47" s="1376">
        <f t="shared" si="44"/>
        <v>0</v>
      </c>
      <c r="Y47" s="1375"/>
      <c r="Z47" s="1376">
        <f t="shared" si="45"/>
        <v>0</v>
      </c>
      <c r="AA47" s="1374">
        <f t="shared" si="46"/>
        <v>0</v>
      </c>
      <c r="AB47" s="1514">
        <f t="shared" si="47"/>
        <v>0</v>
      </c>
      <c r="AC47" s="1378">
        <f t="shared" si="48"/>
        <v>0</v>
      </c>
      <c r="AD47" s="1514">
        <f t="shared" si="49"/>
        <v>0</v>
      </c>
      <c r="AE47" s="1376">
        <v>0</v>
      </c>
      <c r="AF47" s="1514">
        <f t="shared" si="50"/>
        <v>0</v>
      </c>
      <c r="AG47" s="1376"/>
      <c r="AH47" s="1376">
        <f t="shared" si="51"/>
        <v>0</v>
      </c>
      <c r="AI47" s="1514">
        <f t="shared" si="52"/>
        <v>0</v>
      </c>
      <c r="AJ47" s="1377">
        <f t="shared" si="33"/>
        <v>0</v>
      </c>
      <c r="AK47" s="1501">
        <f t="shared" si="53"/>
        <v>0</v>
      </c>
    </row>
    <row r="48" spans="1:37" ht="16.2" customHeight="1">
      <c r="A48" s="1176">
        <v>42</v>
      </c>
      <c r="B48" s="1177" t="s">
        <v>122</v>
      </c>
      <c r="C48" s="1178">
        <f>+'Table 8 Membership 2.1.14'!H44</f>
        <v>0</v>
      </c>
      <c r="D48" s="1179">
        <f>+'Table 5C1A-Madison Prep'!D48</f>
        <v>5113.6077751368684</v>
      </c>
      <c r="E48" s="1180">
        <f t="shared" si="34"/>
        <v>0</v>
      </c>
      <c r="F48" s="1180">
        <f>+'Table 5C1A-Madison Prep'!F48</f>
        <v>534.28</v>
      </c>
      <c r="G48" s="1180">
        <f t="shared" si="35"/>
        <v>0</v>
      </c>
      <c r="H48" s="1539">
        <f t="shared" si="36"/>
        <v>0</v>
      </c>
      <c r="I48" s="1181"/>
      <c r="J48" s="1181"/>
      <c r="K48" s="1182">
        <f t="shared" si="37"/>
        <v>0</v>
      </c>
      <c r="L48" s="1539">
        <f t="shared" si="54"/>
        <v>0</v>
      </c>
      <c r="M48" s="1388">
        <f t="shared" si="38"/>
        <v>0</v>
      </c>
      <c r="N48" s="1539">
        <f t="shared" si="39"/>
        <v>0</v>
      </c>
      <c r="O48" s="1179">
        <v>0</v>
      </c>
      <c r="P48" s="1545">
        <f t="shared" si="40"/>
        <v>0</v>
      </c>
      <c r="Q48" s="1181"/>
      <c r="R48" s="1181">
        <f t="shared" si="41"/>
        <v>0</v>
      </c>
      <c r="S48" s="1545">
        <f t="shared" si="42"/>
        <v>0</v>
      </c>
      <c r="T48" s="1557">
        <f t="shared" si="43"/>
        <v>0</v>
      </c>
      <c r="U48" s="1389">
        <f>'Table 5C1A-Madison Prep'!U48</f>
        <v>3578</v>
      </c>
      <c r="V48" s="1515">
        <f t="shared" si="55"/>
        <v>0</v>
      </c>
      <c r="W48" s="1391"/>
      <c r="X48" s="1392">
        <f t="shared" si="44"/>
        <v>0</v>
      </c>
      <c r="Y48" s="1391"/>
      <c r="Z48" s="1392">
        <f t="shared" si="45"/>
        <v>0</v>
      </c>
      <c r="AA48" s="1390">
        <f t="shared" si="46"/>
        <v>0</v>
      </c>
      <c r="AB48" s="1515">
        <f t="shared" si="47"/>
        <v>0</v>
      </c>
      <c r="AC48" s="1394">
        <f t="shared" si="48"/>
        <v>0</v>
      </c>
      <c r="AD48" s="1515">
        <f t="shared" si="49"/>
        <v>0</v>
      </c>
      <c r="AE48" s="1392">
        <v>0</v>
      </c>
      <c r="AF48" s="1515">
        <f t="shared" si="50"/>
        <v>0</v>
      </c>
      <c r="AG48" s="1392"/>
      <c r="AH48" s="1392">
        <f t="shared" si="51"/>
        <v>0</v>
      </c>
      <c r="AI48" s="1515">
        <f t="shared" si="52"/>
        <v>0</v>
      </c>
      <c r="AJ48" s="1393">
        <f t="shared" si="33"/>
        <v>0</v>
      </c>
      <c r="AK48" s="1502">
        <f t="shared" si="53"/>
        <v>0</v>
      </c>
    </row>
    <row r="49" spans="1:37" ht="16.2" customHeight="1">
      <c r="A49" s="1176">
        <v>43</v>
      </c>
      <c r="B49" s="1177" t="s">
        <v>123</v>
      </c>
      <c r="C49" s="1178">
        <f>+'Table 8 Membership 2.1.14'!H45</f>
        <v>0</v>
      </c>
      <c r="D49" s="1179">
        <f>+'Table 5C1A-Madison Prep'!D49</f>
        <v>5788.74387205947</v>
      </c>
      <c r="E49" s="1180">
        <f t="shared" si="34"/>
        <v>0</v>
      </c>
      <c r="F49" s="1180">
        <f>+'Table 5C1A-Madison Prep'!F49</f>
        <v>574.6099999999999</v>
      </c>
      <c r="G49" s="1180">
        <f t="shared" si="35"/>
        <v>0</v>
      </c>
      <c r="H49" s="1539">
        <f t="shared" si="36"/>
        <v>0</v>
      </c>
      <c r="I49" s="1181"/>
      <c r="J49" s="1181"/>
      <c r="K49" s="1182">
        <f t="shared" si="37"/>
        <v>0</v>
      </c>
      <c r="L49" s="1539">
        <f t="shared" si="54"/>
        <v>0</v>
      </c>
      <c r="M49" s="1388">
        <f t="shared" si="38"/>
        <v>0</v>
      </c>
      <c r="N49" s="1539">
        <f t="shared" si="39"/>
        <v>0</v>
      </c>
      <c r="O49" s="1179">
        <v>0</v>
      </c>
      <c r="P49" s="1545">
        <f t="shared" si="40"/>
        <v>0</v>
      </c>
      <c r="Q49" s="1181"/>
      <c r="R49" s="1181">
        <f t="shared" si="41"/>
        <v>0</v>
      </c>
      <c r="S49" s="1545">
        <f t="shared" si="42"/>
        <v>0</v>
      </c>
      <c r="T49" s="1557">
        <f t="shared" si="43"/>
        <v>0</v>
      </c>
      <c r="U49" s="1389">
        <f>'Table 5C1A-Madison Prep'!U49</f>
        <v>3205</v>
      </c>
      <c r="V49" s="1515">
        <f t="shared" si="55"/>
        <v>0</v>
      </c>
      <c r="W49" s="1391"/>
      <c r="X49" s="1392">
        <f t="shared" si="44"/>
        <v>0</v>
      </c>
      <c r="Y49" s="1391"/>
      <c r="Z49" s="1392">
        <f t="shared" si="45"/>
        <v>0</v>
      </c>
      <c r="AA49" s="1390">
        <f t="shared" si="46"/>
        <v>0</v>
      </c>
      <c r="AB49" s="1515">
        <f t="shared" si="47"/>
        <v>0</v>
      </c>
      <c r="AC49" s="1394">
        <f t="shared" si="48"/>
        <v>0</v>
      </c>
      <c r="AD49" s="1515">
        <f t="shared" si="49"/>
        <v>0</v>
      </c>
      <c r="AE49" s="1392">
        <v>0</v>
      </c>
      <c r="AF49" s="1515">
        <f t="shared" si="50"/>
        <v>0</v>
      </c>
      <c r="AG49" s="1392"/>
      <c r="AH49" s="1392">
        <f t="shared" si="51"/>
        <v>0</v>
      </c>
      <c r="AI49" s="1515">
        <f t="shared" si="52"/>
        <v>0</v>
      </c>
      <c r="AJ49" s="1393">
        <f t="shared" si="33"/>
        <v>0</v>
      </c>
      <c r="AK49" s="1502">
        <f t="shared" si="53"/>
        <v>0</v>
      </c>
    </row>
    <row r="50" spans="1:37" ht="16.2" customHeight="1">
      <c r="A50" s="1176">
        <v>44</v>
      </c>
      <c r="B50" s="1177" t="s">
        <v>124</v>
      </c>
      <c r="C50" s="1178">
        <f>+'Table 8 Membership 2.1.14'!H46</f>
        <v>0</v>
      </c>
      <c r="D50" s="1179">
        <f>+'Table 5C1A-Madison Prep'!D50</f>
        <v>4897.5958151820359</v>
      </c>
      <c r="E50" s="1180">
        <f t="shared" si="34"/>
        <v>0</v>
      </c>
      <c r="F50" s="1180">
        <f>+'Table 5C1A-Madison Prep'!F50</f>
        <v>663.16000000000008</v>
      </c>
      <c r="G50" s="1180">
        <f t="shared" si="35"/>
        <v>0</v>
      </c>
      <c r="H50" s="1539">
        <f t="shared" si="36"/>
        <v>0</v>
      </c>
      <c r="I50" s="1181"/>
      <c r="J50" s="1181"/>
      <c r="K50" s="1182">
        <f t="shared" si="37"/>
        <v>0</v>
      </c>
      <c r="L50" s="1539">
        <f t="shared" si="54"/>
        <v>0</v>
      </c>
      <c r="M50" s="1388">
        <f t="shared" si="38"/>
        <v>0</v>
      </c>
      <c r="N50" s="1539">
        <f t="shared" si="39"/>
        <v>0</v>
      </c>
      <c r="O50" s="1179">
        <v>0</v>
      </c>
      <c r="P50" s="1545">
        <f t="shared" si="40"/>
        <v>0</v>
      </c>
      <c r="Q50" s="1181"/>
      <c r="R50" s="1181">
        <f t="shared" si="41"/>
        <v>0</v>
      </c>
      <c r="S50" s="1545">
        <f t="shared" si="42"/>
        <v>0</v>
      </c>
      <c r="T50" s="1557">
        <f t="shared" si="43"/>
        <v>0</v>
      </c>
      <c r="U50" s="1389">
        <f>'Table 5C1A-Madison Prep'!U50</f>
        <v>3719</v>
      </c>
      <c r="V50" s="1515">
        <f t="shared" si="55"/>
        <v>0</v>
      </c>
      <c r="W50" s="1391"/>
      <c r="X50" s="1392">
        <f t="shared" si="44"/>
        <v>0</v>
      </c>
      <c r="Y50" s="1391"/>
      <c r="Z50" s="1392">
        <f t="shared" si="45"/>
        <v>0</v>
      </c>
      <c r="AA50" s="1390">
        <f t="shared" si="46"/>
        <v>0</v>
      </c>
      <c r="AB50" s="1515">
        <f t="shared" si="47"/>
        <v>0</v>
      </c>
      <c r="AC50" s="1394">
        <f t="shared" si="48"/>
        <v>0</v>
      </c>
      <c r="AD50" s="1515">
        <f t="shared" si="49"/>
        <v>0</v>
      </c>
      <c r="AE50" s="1392">
        <v>0</v>
      </c>
      <c r="AF50" s="1515">
        <f t="shared" si="50"/>
        <v>0</v>
      </c>
      <c r="AG50" s="1392"/>
      <c r="AH50" s="1392">
        <f t="shared" si="51"/>
        <v>0</v>
      </c>
      <c r="AI50" s="1515">
        <f t="shared" si="52"/>
        <v>0</v>
      </c>
      <c r="AJ50" s="1393">
        <f t="shared" si="33"/>
        <v>0</v>
      </c>
      <c r="AK50" s="1502">
        <f t="shared" si="53"/>
        <v>0</v>
      </c>
    </row>
    <row r="51" spans="1:37" ht="16.2" customHeight="1">
      <c r="A51" s="1168">
        <v>45</v>
      </c>
      <c r="B51" s="1169" t="s">
        <v>125</v>
      </c>
      <c r="C51" s="1170">
        <f>+'Table 8 Membership 2.1.14'!H47</f>
        <v>0</v>
      </c>
      <c r="D51" s="1171">
        <f>+'Table 5C1A-Madison Prep'!D51</f>
        <v>2054.0472499469101</v>
      </c>
      <c r="E51" s="1172">
        <f t="shared" si="34"/>
        <v>0</v>
      </c>
      <c r="F51" s="1172">
        <f>+'Table 5C1A-Madison Prep'!F51</f>
        <v>753.96000000000015</v>
      </c>
      <c r="G51" s="1172">
        <f t="shared" si="35"/>
        <v>0</v>
      </c>
      <c r="H51" s="1540">
        <f t="shared" si="36"/>
        <v>0</v>
      </c>
      <c r="I51" s="1173"/>
      <c r="J51" s="1173"/>
      <c r="K51" s="1174">
        <f t="shared" si="37"/>
        <v>0</v>
      </c>
      <c r="L51" s="1540">
        <f t="shared" si="54"/>
        <v>0</v>
      </c>
      <c r="M51" s="1399">
        <f t="shared" si="38"/>
        <v>0</v>
      </c>
      <c r="N51" s="1540">
        <f t="shared" si="39"/>
        <v>0</v>
      </c>
      <c r="O51" s="1171">
        <v>0</v>
      </c>
      <c r="P51" s="1546">
        <f t="shared" si="40"/>
        <v>0</v>
      </c>
      <c r="Q51" s="1175"/>
      <c r="R51" s="1173">
        <f t="shared" si="41"/>
        <v>0</v>
      </c>
      <c r="S51" s="1550">
        <f t="shared" si="42"/>
        <v>0</v>
      </c>
      <c r="T51" s="1550">
        <f t="shared" si="43"/>
        <v>0</v>
      </c>
      <c r="U51" s="1382">
        <f>'Table 5C1A-Madison Prep'!U51</f>
        <v>12169</v>
      </c>
      <c r="V51" s="1516">
        <f t="shared" si="55"/>
        <v>0</v>
      </c>
      <c r="W51" s="1400"/>
      <c r="X51" s="1383">
        <f t="shared" si="44"/>
        <v>0</v>
      </c>
      <c r="Y51" s="1400"/>
      <c r="Z51" s="1383">
        <f t="shared" si="45"/>
        <v>0</v>
      </c>
      <c r="AA51" s="1384">
        <f t="shared" si="46"/>
        <v>0</v>
      </c>
      <c r="AB51" s="1516">
        <f t="shared" si="47"/>
        <v>0</v>
      </c>
      <c r="AC51" s="1402">
        <f t="shared" si="48"/>
        <v>0</v>
      </c>
      <c r="AD51" s="1516">
        <f t="shared" si="49"/>
        <v>0</v>
      </c>
      <c r="AE51" s="1383">
        <v>0</v>
      </c>
      <c r="AF51" s="1516">
        <f t="shared" si="50"/>
        <v>0</v>
      </c>
      <c r="AG51" s="1383"/>
      <c r="AH51" s="1383">
        <f t="shared" si="51"/>
        <v>0</v>
      </c>
      <c r="AI51" s="1516">
        <f t="shared" si="52"/>
        <v>0</v>
      </c>
      <c r="AJ51" s="1401">
        <f t="shared" si="33"/>
        <v>0</v>
      </c>
      <c r="AK51" s="1503">
        <f t="shared" si="53"/>
        <v>0</v>
      </c>
    </row>
    <row r="52" spans="1:37" ht="16.2" customHeight="1">
      <c r="A52" s="1183">
        <v>46</v>
      </c>
      <c r="B52" s="1184" t="s">
        <v>126</v>
      </c>
      <c r="C52" s="1185">
        <f>+'Table 8 Membership 2.1.14'!H48</f>
        <v>0</v>
      </c>
      <c r="D52" s="1186">
        <f>+'Table 5C1A-Madison Prep'!D52</f>
        <v>6051.2144468088381</v>
      </c>
      <c r="E52" s="1187">
        <f t="shared" si="34"/>
        <v>0</v>
      </c>
      <c r="F52" s="1187">
        <f>+'Table 5C1A-Madison Prep'!F52</f>
        <v>728.06</v>
      </c>
      <c r="G52" s="1187">
        <f t="shared" si="35"/>
        <v>0</v>
      </c>
      <c r="H52" s="1538">
        <f t="shared" si="36"/>
        <v>0</v>
      </c>
      <c r="I52" s="1188"/>
      <c r="J52" s="1188"/>
      <c r="K52" s="1189">
        <f t="shared" si="37"/>
        <v>0</v>
      </c>
      <c r="L52" s="1538">
        <f t="shared" si="54"/>
        <v>0</v>
      </c>
      <c r="M52" s="1372">
        <f t="shared" si="38"/>
        <v>0</v>
      </c>
      <c r="N52" s="1538">
        <f t="shared" si="39"/>
        <v>0</v>
      </c>
      <c r="O52" s="1186">
        <v>0</v>
      </c>
      <c r="P52" s="1544">
        <f t="shared" si="40"/>
        <v>0</v>
      </c>
      <c r="Q52" s="1188"/>
      <c r="R52" s="1188">
        <f t="shared" si="41"/>
        <v>0</v>
      </c>
      <c r="S52" s="1544">
        <f t="shared" si="42"/>
        <v>0</v>
      </c>
      <c r="T52" s="1556">
        <f t="shared" si="43"/>
        <v>0</v>
      </c>
      <c r="U52" s="1373">
        <f>'Table 5C1A-Madison Prep'!U52</f>
        <v>2713</v>
      </c>
      <c r="V52" s="1514">
        <f t="shared" si="55"/>
        <v>0</v>
      </c>
      <c r="W52" s="1375"/>
      <c r="X52" s="1376">
        <f t="shared" si="44"/>
        <v>0</v>
      </c>
      <c r="Y52" s="1375"/>
      <c r="Z52" s="1376">
        <f t="shared" si="45"/>
        <v>0</v>
      </c>
      <c r="AA52" s="1374">
        <f t="shared" si="46"/>
        <v>0</v>
      </c>
      <c r="AB52" s="1514">
        <f t="shared" si="47"/>
        <v>0</v>
      </c>
      <c r="AC52" s="1378">
        <f t="shared" si="48"/>
        <v>0</v>
      </c>
      <c r="AD52" s="1514">
        <f t="shared" si="49"/>
        <v>0</v>
      </c>
      <c r="AE52" s="1376">
        <v>0</v>
      </c>
      <c r="AF52" s="1514">
        <f t="shared" si="50"/>
        <v>0</v>
      </c>
      <c r="AG52" s="1376"/>
      <c r="AH52" s="1376">
        <f t="shared" si="51"/>
        <v>0</v>
      </c>
      <c r="AI52" s="1514">
        <f t="shared" si="52"/>
        <v>0</v>
      </c>
      <c r="AJ52" s="1377">
        <f t="shared" si="33"/>
        <v>0</v>
      </c>
      <c r="AK52" s="1501">
        <f t="shared" si="53"/>
        <v>0</v>
      </c>
    </row>
    <row r="53" spans="1:37" ht="16.2" customHeight="1">
      <c r="A53" s="1176">
        <v>47</v>
      </c>
      <c r="B53" s="1177" t="s">
        <v>127</v>
      </c>
      <c r="C53" s="1178">
        <f>+'Table 8 Membership 2.1.14'!H49</f>
        <v>0</v>
      </c>
      <c r="D53" s="1179">
        <f>+'Table 5C1A-Madison Prep'!D53</f>
        <v>2524.1485257646736</v>
      </c>
      <c r="E53" s="1180">
        <f t="shared" si="34"/>
        <v>0</v>
      </c>
      <c r="F53" s="1180">
        <f>+'Table 5C1A-Madison Prep'!F53</f>
        <v>910.76</v>
      </c>
      <c r="G53" s="1180">
        <f t="shared" si="35"/>
        <v>0</v>
      </c>
      <c r="H53" s="1539">
        <f t="shared" si="36"/>
        <v>0</v>
      </c>
      <c r="I53" s="1181"/>
      <c r="J53" s="1181"/>
      <c r="K53" s="1182">
        <f t="shared" si="37"/>
        <v>0</v>
      </c>
      <c r="L53" s="1539">
        <f t="shared" si="54"/>
        <v>0</v>
      </c>
      <c r="M53" s="1388">
        <f t="shared" si="38"/>
        <v>0</v>
      </c>
      <c r="N53" s="1539">
        <f t="shared" si="39"/>
        <v>0</v>
      </c>
      <c r="O53" s="1179">
        <v>0</v>
      </c>
      <c r="P53" s="1545">
        <f t="shared" si="40"/>
        <v>0</v>
      </c>
      <c r="Q53" s="1181"/>
      <c r="R53" s="1181">
        <f t="shared" si="41"/>
        <v>0</v>
      </c>
      <c r="S53" s="1545">
        <f t="shared" si="42"/>
        <v>0</v>
      </c>
      <c r="T53" s="1557">
        <f t="shared" si="43"/>
        <v>0</v>
      </c>
      <c r="U53" s="1389">
        <f>'Table 5C1A-Madison Prep'!U53</f>
        <v>11701</v>
      </c>
      <c r="V53" s="1515">
        <f t="shared" si="55"/>
        <v>0</v>
      </c>
      <c r="W53" s="1391"/>
      <c r="X53" s="1392">
        <f t="shared" si="44"/>
        <v>0</v>
      </c>
      <c r="Y53" s="1391"/>
      <c r="Z53" s="1392">
        <f t="shared" si="45"/>
        <v>0</v>
      </c>
      <c r="AA53" s="1390">
        <f t="shared" si="46"/>
        <v>0</v>
      </c>
      <c r="AB53" s="1515">
        <f t="shared" si="47"/>
        <v>0</v>
      </c>
      <c r="AC53" s="1394">
        <f t="shared" si="48"/>
        <v>0</v>
      </c>
      <c r="AD53" s="1515">
        <f t="shared" si="49"/>
        <v>0</v>
      </c>
      <c r="AE53" s="1392">
        <v>0</v>
      </c>
      <c r="AF53" s="1515">
        <f t="shared" si="50"/>
        <v>0</v>
      </c>
      <c r="AG53" s="1392"/>
      <c r="AH53" s="1392">
        <f t="shared" si="51"/>
        <v>0</v>
      </c>
      <c r="AI53" s="1515">
        <f t="shared" si="52"/>
        <v>0</v>
      </c>
      <c r="AJ53" s="1393">
        <f t="shared" si="33"/>
        <v>0</v>
      </c>
      <c r="AK53" s="1502">
        <f t="shared" si="53"/>
        <v>0</v>
      </c>
    </row>
    <row r="54" spans="1:37" ht="16.2" customHeight="1">
      <c r="A54" s="1176">
        <v>48</v>
      </c>
      <c r="B54" s="1177" t="s">
        <v>178</v>
      </c>
      <c r="C54" s="1178">
        <f>+'Table 8 Membership 2.1.14'!H50</f>
        <v>0</v>
      </c>
      <c r="D54" s="1179">
        <f>+'Table 5C1A-Madison Prep'!D54</f>
        <v>3983.3582529800719</v>
      </c>
      <c r="E54" s="1180">
        <f t="shared" si="34"/>
        <v>0</v>
      </c>
      <c r="F54" s="1180">
        <f>+'Table 5C1A-Madison Prep'!F54</f>
        <v>871.07</v>
      </c>
      <c r="G54" s="1180">
        <f t="shared" si="35"/>
        <v>0</v>
      </c>
      <c r="H54" s="1539">
        <f t="shared" si="36"/>
        <v>0</v>
      </c>
      <c r="I54" s="1181"/>
      <c r="J54" s="1181"/>
      <c r="K54" s="1182">
        <f t="shared" si="37"/>
        <v>0</v>
      </c>
      <c r="L54" s="1539">
        <f t="shared" si="54"/>
        <v>0</v>
      </c>
      <c r="M54" s="1388">
        <f t="shared" si="38"/>
        <v>0</v>
      </c>
      <c r="N54" s="1539">
        <f t="shared" si="39"/>
        <v>0</v>
      </c>
      <c r="O54" s="1179">
        <v>0</v>
      </c>
      <c r="P54" s="1545">
        <f t="shared" si="40"/>
        <v>0</v>
      </c>
      <c r="Q54" s="1181"/>
      <c r="R54" s="1181">
        <f t="shared" si="41"/>
        <v>0</v>
      </c>
      <c r="S54" s="1545">
        <f t="shared" si="42"/>
        <v>0</v>
      </c>
      <c r="T54" s="1557">
        <f t="shared" si="43"/>
        <v>0</v>
      </c>
      <c r="U54" s="1389">
        <f>'Table 5C1A-Madison Prep'!U54</f>
        <v>7338</v>
      </c>
      <c r="V54" s="1515">
        <f t="shared" si="55"/>
        <v>0</v>
      </c>
      <c r="W54" s="1391"/>
      <c r="X54" s="1392">
        <f t="shared" si="44"/>
        <v>0</v>
      </c>
      <c r="Y54" s="1391"/>
      <c r="Z54" s="1392">
        <f t="shared" si="45"/>
        <v>0</v>
      </c>
      <c r="AA54" s="1390">
        <f t="shared" si="46"/>
        <v>0</v>
      </c>
      <c r="AB54" s="1515">
        <f t="shared" si="47"/>
        <v>0</v>
      </c>
      <c r="AC54" s="1394">
        <f t="shared" si="48"/>
        <v>0</v>
      </c>
      <c r="AD54" s="1515">
        <f t="shared" si="49"/>
        <v>0</v>
      </c>
      <c r="AE54" s="1392">
        <v>0</v>
      </c>
      <c r="AF54" s="1515">
        <f t="shared" si="50"/>
        <v>0</v>
      </c>
      <c r="AG54" s="1392"/>
      <c r="AH54" s="1392">
        <f t="shared" si="51"/>
        <v>0</v>
      </c>
      <c r="AI54" s="1515">
        <f t="shared" si="52"/>
        <v>0</v>
      </c>
      <c r="AJ54" s="1393">
        <f t="shared" si="33"/>
        <v>0</v>
      </c>
      <c r="AK54" s="1502">
        <f t="shared" si="53"/>
        <v>0</v>
      </c>
    </row>
    <row r="55" spans="1:37" ht="16.2" customHeight="1">
      <c r="A55" s="1176">
        <v>49</v>
      </c>
      <c r="B55" s="1177" t="s">
        <v>128</v>
      </c>
      <c r="C55" s="1178">
        <f>+'Table 8 Membership 2.1.14'!H51</f>
        <v>0</v>
      </c>
      <c r="D55" s="1179">
        <f>+'Table 5C1A-Madison Prep'!D55</f>
        <v>4995.8755315659191</v>
      </c>
      <c r="E55" s="1180">
        <f t="shared" si="34"/>
        <v>0</v>
      </c>
      <c r="F55" s="1180">
        <f>+'Table 5C1A-Madison Prep'!F55</f>
        <v>574.43999999999994</v>
      </c>
      <c r="G55" s="1180">
        <f t="shared" si="35"/>
        <v>0</v>
      </c>
      <c r="H55" s="1539">
        <f t="shared" si="36"/>
        <v>0</v>
      </c>
      <c r="I55" s="1181"/>
      <c r="J55" s="1181"/>
      <c r="K55" s="1182">
        <f t="shared" si="37"/>
        <v>0</v>
      </c>
      <c r="L55" s="1539">
        <f t="shared" si="54"/>
        <v>0</v>
      </c>
      <c r="M55" s="1388">
        <f t="shared" si="38"/>
        <v>0</v>
      </c>
      <c r="N55" s="1539">
        <f t="shared" si="39"/>
        <v>0</v>
      </c>
      <c r="O55" s="1179">
        <v>0</v>
      </c>
      <c r="P55" s="1545">
        <f t="shared" si="40"/>
        <v>0</v>
      </c>
      <c r="Q55" s="1181"/>
      <c r="R55" s="1181">
        <f t="shared" si="41"/>
        <v>0</v>
      </c>
      <c r="S55" s="1545">
        <f t="shared" si="42"/>
        <v>0</v>
      </c>
      <c r="T55" s="1557">
        <f t="shared" si="43"/>
        <v>0</v>
      </c>
      <c r="U55" s="1389">
        <f>'Table 5C1A-Madison Prep'!U55</f>
        <v>2353</v>
      </c>
      <c r="V55" s="1515">
        <f t="shared" si="55"/>
        <v>0</v>
      </c>
      <c r="W55" s="1391"/>
      <c r="X55" s="1392">
        <f t="shared" si="44"/>
        <v>0</v>
      </c>
      <c r="Y55" s="1391"/>
      <c r="Z55" s="1392">
        <f t="shared" si="45"/>
        <v>0</v>
      </c>
      <c r="AA55" s="1390">
        <f t="shared" si="46"/>
        <v>0</v>
      </c>
      <c r="AB55" s="1515">
        <f t="shared" si="47"/>
        <v>0</v>
      </c>
      <c r="AC55" s="1394">
        <f t="shared" si="48"/>
        <v>0</v>
      </c>
      <c r="AD55" s="1515">
        <f t="shared" si="49"/>
        <v>0</v>
      </c>
      <c r="AE55" s="1392">
        <v>0</v>
      </c>
      <c r="AF55" s="1515">
        <f t="shared" si="50"/>
        <v>0</v>
      </c>
      <c r="AG55" s="1392"/>
      <c r="AH55" s="1392">
        <f t="shared" si="51"/>
        <v>0</v>
      </c>
      <c r="AI55" s="1515">
        <f t="shared" si="52"/>
        <v>0</v>
      </c>
      <c r="AJ55" s="1393">
        <f t="shared" si="33"/>
        <v>0</v>
      </c>
      <c r="AK55" s="1502">
        <f t="shared" si="53"/>
        <v>0</v>
      </c>
    </row>
    <row r="56" spans="1:37" ht="16.2" customHeight="1">
      <c r="A56" s="1168">
        <v>50</v>
      </c>
      <c r="B56" s="1169" t="s">
        <v>129</v>
      </c>
      <c r="C56" s="1170">
        <f>+'Table 8 Membership 2.1.14'!H52</f>
        <v>0</v>
      </c>
      <c r="D56" s="1171">
        <f>+'Table 5C1A-Madison Prep'!D56</f>
        <v>5177.6892722701677</v>
      </c>
      <c r="E56" s="1172">
        <f t="shared" si="34"/>
        <v>0</v>
      </c>
      <c r="F56" s="1172">
        <f>+'Table 5C1A-Madison Prep'!F56</f>
        <v>634.46</v>
      </c>
      <c r="G56" s="1172">
        <f t="shared" si="35"/>
        <v>0</v>
      </c>
      <c r="H56" s="1540">
        <f t="shared" si="36"/>
        <v>0</v>
      </c>
      <c r="I56" s="1173"/>
      <c r="J56" s="1173"/>
      <c r="K56" s="1174">
        <f t="shared" si="37"/>
        <v>0</v>
      </c>
      <c r="L56" s="1540">
        <f t="shared" si="54"/>
        <v>0</v>
      </c>
      <c r="M56" s="1399">
        <f t="shared" si="38"/>
        <v>0</v>
      </c>
      <c r="N56" s="1540">
        <f t="shared" si="39"/>
        <v>0</v>
      </c>
      <c r="O56" s="1171">
        <v>0</v>
      </c>
      <c r="P56" s="1546">
        <f t="shared" si="40"/>
        <v>0</v>
      </c>
      <c r="Q56" s="1175"/>
      <c r="R56" s="1173">
        <f t="shared" si="41"/>
        <v>0</v>
      </c>
      <c r="S56" s="1550">
        <f t="shared" si="42"/>
        <v>0</v>
      </c>
      <c r="T56" s="1550">
        <f t="shared" si="43"/>
        <v>0</v>
      </c>
      <c r="U56" s="1382">
        <f>'Table 5C1A-Madison Prep'!U56</f>
        <v>3510</v>
      </c>
      <c r="V56" s="1516">
        <f t="shared" si="55"/>
        <v>0</v>
      </c>
      <c r="W56" s="1400"/>
      <c r="X56" s="1383">
        <f t="shared" si="44"/>
        <v>0</v>
      </c>
      <c r="Y56" s="1400"/>
      <c r="Z56" s="1383">
        <f t="shared" si="45"/>
        <v>0</v>
      </c>
      <c r="AA56" s="1384">
        <f t="shared" si="46"/>
        <v>0</v>
      </c>
      <c r="AB56" s="1516">
        <f t="shared" si="47"/>
        <v>0</v>
      </c>
      <c r="AC56" s="1402">
        <f t="shared" si="48"/>
        <v>0</v>
      </c>
      <c r="AD56" s="1516">
        <f t="shared" si="49"/>
        <v>0</v>
      </c>
      <c r="AE56" s="1383">
        <v>0</v>
      </c>
      <c r="AF56" s="1516">
        <f t="shared" si="50"/>
        <v>0</v>
      </c>
      <c r="AG56" s="1383"/>
      <c r="AH56" s="1383">
        <f t="shared" si="51"/>
        <v>0</v>
      </c>
      <c r="AI56" s="1516">
        <f t="shared" si="52"/>
        <v>0</v>
      </c>
      <c r="AJ56" s="1401">
        <f t="shared" si="33"/>
        <v>0</v>
      </c>
      <c r="AK56" s="1503">
        <f t="shared" si="53"/>
        <v>0</v>
      </c>
    </row>
    <row r="57" spans="1:37" ht="16.2" customHeight="1">
      <c r="A57" s="1183">
        <v>51</v>
      </c>
      <c r="B57" s="1184" t="s">
        <v>130</v>
      </c>
      <c r="C57" s="1185">
        <f>+'Table 8 Membership 2.1.14'!H53</f>
        <v>0</v>
      </c>
      <c r="D57" s="1186">
        <f>+'Table 5C1A-Madison Prep'!D57</f>
        <v>4154.1928602178996</v>
      </c>
      <c r="E57" s="1187">
        <f t="shared" si="34"/>
        <v>0</v>
      </c>
      <c r="F57" s="1187">
        <f>+'Table 5C1A-Madison Prep'!F57</f>
        <v>706.66</v>
      </c>
      <c r="G57" s="1187">
        <f t="shared" si="35"/>
        <v>0</v>
      </c>
      <c r="H57" s="1538">
        <f t="shared" si="36"/>
        <v>0</v>
      </c>
      <c r="I57" s="1188"/>
      <c r="J57" s="1188"/>
      <c r="K57" s="1189">
        <f t="shared" si="37"/>
        <v>0</v>
      </c>
      <c r="L57" s="1538">
        <f t="shared" si="54"/>
        <v>0</v>
      </c>
      <c r="M57" s="1372">
        <f t="shared" si="38"/>
        <v>0</v>
      </c>
      <c r="N57" s="1538">
        <f t="shared" si="39"/>
        <v>0</v>
      </c>
      <c r="O57" s="1186">
        <v>0</v>
      </c>
      <c r="P57" s="1544">
        <f t="shared" si="40"/>
        <v>0</v>
      </c>
      <c r="Q57" s="1188"/>
      <c r="R57" s="1188">
        <f t="shared" si="41"/>
        <v>0</v>
      </c>
      <c r="S57" s="1544">
        <f t="shared" si="42"/>
        <v>0</v>
      </c>
      <c r="T57" s="1556">
        <f t="shared" si="43"/>
        <v>0</v>
      </c>
      <c r="U57" s="1373">
        <f>'Table 5C1A-Madison Prep'!U57</f>
        <v>4597</v>
      </c>
      <c r="V57" s="1514">
        <f t="shared" si="55"/>
        <v>0</v>
      </c>
      <c r="W57" s="1375"/>
      <c r="X57" s="1376">
        <f t="shared" si="44"/>
        <v>0</v>
      </c>
      <c r="Y57" s="1375"/>
      <c r="Z57" s="1376">
        <f t="shared" si="45"/>
        <v>0</v>
      </c>
      <c r="AA57" s="1374">
        <f t="shared" si="46"/>
        <v>0</v>
      </c>
      <c r="AB57" s="1514">
        <f t="shared" si="47"/>
        <v>0</v>
      </c>
      <c r="AC57" s="1378">
        <f t="shared" si="48"/>
        <v>0</v>
      </c>
      <c r="AD57" s="1514">
        <f t="shared" si="49"/>
        <v>0</v>
      </c>
      <c r="AE57" s="1376">
        <v>0</v>
      </c>
      <c r="AF57" s="1514">
        <f t="shared" si="50"/>
        <v>0</v>
      </c>
      <c r="AG57" s="1376"/>
      <c r="AH57" s="1376">
        <f t="shared" si="51"/>
        <v>0</v>
      </c>
      <c r="AI57" s="1514">
        <f t="shared" si="52"/>
        <v>0</v>
      </c>
      <c r="AJ57" s="1377">
        <f t="shared" si="33"/>
        <v>0</v>
      </c>
      <c r="AK57" s="1501">
        <f t="shared" si="53"/>
        <v>0</v>
      </c>
    </row>
    <row r="58" spans="1:37" ht="16.2" customHeight="1">
      <c r="A58" s="1176">
        <v>52</v>
      </c>
      <c r="B58" s="1177" t="s">
        <v>131</v>
      </c>
      <c r="C58" s="1178">
        <f>+'Table 8 Membership 2.1.14'!H54</f>
        <v>0</v>
      </c>
      <c r="D58" s="1179">
        <f>+'Table 5C1A-Madison Prep'!D58</f>
        <v>5062.2745845228173</v>
      </c>
      <c r="E58" s="1180">
        <f t="shared" si="34"/>
        <v>0</v>
      </c>
      <c r="F58" s="1180">
        <f>+'Table 5C1A-Madison Prep'!F58</f>
        <v>658.37</v>
      </c>
      <c r="G58" s="1180">
        <f t="shared" si="35"/>
        <v>0</v>
      </c>
      <c r="H58" s="1539">
        <f t="shared" si="36"/>
        <v>0</v>
      </c>
      <c r="I58" s="1181"/>
      <c r="J58" s="1181"/>
      <c r="K58" s="1182">
        <f t="shared" si="37"/>
        <v>0</v>
      </c>
      <c r="L58" s="1539">
        <f t="shared" si="54"/>
        <v>0</v>
      </c>
      <c r="M58" s="1388">
        <f t="shared" si="38"/>
        <v>0</v>
      </c>
      <c r="N58" s="1539">
        <f t="shared" si="39"/>
        <v>0</v>
      </c>
      <c r="O58" s="1179">
        <v>0</v>
      </c>
      <c r="P58" s="1545">
        <f t="shared" si="40"/>
        <v>0</v>
      </c>
      <c r="Q58" s="1181"/>
      <c r="R58" s="1181">
        <f t="shared" si="41"/>
        <v>0</v>
      </c>
      <c r="S58" s="1545">
        <f t="shared" si="42"/>
        <v>0</v>
      </c>
      <c r="T58" s="1557">
        <f t="shared" si="43"/>
        <v>0</v>
      </c>
      <c r="U58" s="1389">
        <f>'Table 5C1A-Madison Prep'!U58</f>
        <v>5212</v>
      </c>
      <c r="V58" s="1515">
        <f t="shared" si="55"/>
        <v>0</v>
      </c>
      <c r="W58" s="1391"/>
      <c r="X58" s="1392">
        <f t="shared" si="44"/>
        <v>0</v>
      </c>
      <c r="Y58" s="1391"/>
      <c r="Z58" s="1392">
        <f t="shared" si="45"/>
        <v>0</v>
      </c>
      <c r="AA58" s="1390">
        <f t="shared" si="46"/>
        <v>0</v>
      </c>
      <c r="AB58" s="1515">
        <f t="shared" si="47"/>
        <v>0</v>
      </c>
      <c r="AC58" s="1394">
        <f t="shared" si="48"/>
        <v>0</v>
      </c>
      <c r="AD58" s="1515">
        <f t="shared" si="49"/>
        <v>0</v>
      </c>
      <c r="AE58" s="1392">
        <v>0</v>
      </c>
      <c r="AF58" s="1515">
        <f t="shared" si="50"/>
        <v>0</v>
      </c>
      <c r="AG58" s="1392"/>
      <c r="AH58" s="1392">
        <f t="shared" si="51"/>
        <v>0</v>
      </c>
      <c r="AI58" s="1515">
        <f t="shared" si="52"/>
        <v>0</v>
      </c>
      <c r="AJ58" s="1393">
        <f t="shared" si="33"/>
        <v>0</v>
      </c>
      <c r="AK58" s="1502">
        <f t="shared" si="53"/>
        <v>0</v>
      </c>
    </row>
    <row r="59" spans="1:37" ht="16.2" customHeight="1">
      <c r="A59" s="1176">
        <v>53</v>
      </c>
      <c r="B59" s="1177" t="s">
        <v>132</v>
      </c>
      <c r="C59" s="1178">
        <f>+'Table 8 Membership 2.1.14'!H55</f>
        <v>0</v>
      </c>
      <c r="D59" s="1179">
        <f>+'Table 5C1A-Madison Prep'!D59</f>
        <v>5060.1508194045482</v>
      </c>
      <c r="E59" s="1180">
        <f t="shared" si="34"/>
        <v>0</v>
      </c>
      <c r="F59" s="1180">
        <f>+'Table 5C1A-Madison Prep'!F59</f>
        <v>689.74</v>
      </c>
      <c r="G59" s="1180">
        <f t="shared" si="35"/>
        <v>0</v>
      </c>
      <c r="H59" s="1539">
        <f t="shared" si="36"/>
        <v>0</v>
      </c>
      <c r="I59" s="1181"/>
      <c r="J59" s="1181"/>
      <c r="K59" s="1182">
        <f t="shared" si="37"/>
        <v>0</v>
      </c>
      <c r="L59" s="1539">
        <f t="shared" si="54"/>
        <v>0</v>
      </c>
      <c r="M59" s="1388">
        <f t="shared" si="38"/>
        <v>0</v>
      </c>
      <c r="N59" s="1539">
        <f t="shared" si="39"/>
        <v>0</v>
      </c>
      <c r="O59" s="1179">
        <v>0</v>
      </c>
      <c r="P59" s="1545">
        <f t="shared" si="40"/>
        <v>0</v>
      </c>
      <c r="Q59" s="1181"/>
      <c r="R59" s="1181">
        <f t="shared" si="41"/>
        <v>0</v>
      </c>
      <c r="S59" s="1545">
        <f t="shared" si="42"/>
        <v>0</v>
      </c>
      <c r="T59" s="1557">
        <f t="shared" si="43"/>
        <v>0</v>
      </c>
      <c r="U59" s="1389">
        <f>'Table 5C1A-Madison Prep'!U59</f>
        <v>2054</v>
      </c>
      <c r="V59" s="1515">
        <f t="shared" si="55"/>
        <v>0</v>
      </c>
      <c r="W59" s="1391"/>
      <c r="X59" s="1392">
        <f t="shared" si="44"/>
        <v>0</v>
      </c>
      <c r="Y59" s="1391"/>
      <c r="Z59" s="1392">
        <f t="shared" si="45"/>
        <v>0</v>
      </c>
      <c r="AA59" s="1390">
        <f t="shared" si="46"/>
        <v>0</v>
      </c>
      <c r="AB59" s="1515">
        <f t="shared" si="47"/>
        <v>0</v>
      </c>
      <c r="AC59" s="1394">
        <f t="shared" si="48"/>
        <v>0</v>
      </c>
      <c r="AD59" s="1515">
        <f t="shared" si="49"/>
        <v>0</v>
      </c>
      <c r="AE59" s="1392">
        <v>0</v>
      </c>
      <c r="AF59" s="1515">
        <f t="shared" si="50"/>
        <v>0</v>
      </c>
      <c r="AG59" s="1392"/>
      <c r="AH59" s="1392">
        <f t="shared" si="51"/>
        <v>0</v>
      </c>
      <c r="AI59" s="1515">
        <f t="shared" si="52"/>
        <v>0</v>
      </c>
      <c r="AJ59" s="1393">
        <f t="shared" si="33"/>
        <v>0</v>
      </c>
      <c r="AK59" s="1502">
        <f t="shared" si="53"/>
        <v>0</v>
      </c>
    </row>
    <row r="60" spans="1:37" ht="16.2" customHeight="1">
      <c r="A60" s="1176">
        <v>54</v>
      </c>
      <c r="B60" s="1177" t="s">
        <v>133</v>
      </c>
      <c r="C60" s="1178">
        <f>+'Table 8 Membership 2.1.14'!H56</f>
        <v>0</v>
      </c>
      <c r="D60" s="1179">
        <f>+'Table 5C1A-Madison Prep'!D60</f>
        <v>5867.0798370516713</v>
      </c>
      <c r="E60" s="1180">
        <f t="shared" si="34"/>
        <v>0</v>
      </c>
      <c r="F60" s="1180">
        <f>+'Table 5C1A-Madison Prep'!F60</f>
        <v>951.45</v>
      </c>
      <c r="G60" s="1180">
        <f t="shared" si="35"/>
        <v>0</v>
      </c>
      <c r="H60" s="1539">
        <f t="shared" si="36"/>
        <v>0</v>
      </c>
      <c r="I60" s="1181"/>
      <c r="J60" s="1181"/>
      <c r="K60" s="1182">
        <f t="shared" si="37"/>
        <v>0</v>
      </c>
      <c r="L60" s="1539">
        <f t="shared" si="54"/>
        <v>0</v>
      </c>
      <c r="M60" s="1388">
        <f t="shared" si="38"/>
        <v>0</v>
      </c>
      <c r="N60" s="1539">
        <f t="shared" si="39"/>
        <v>0</v>
      </c>
      <c r="O60" s="1179">
        <v>0</v>
      </c>
      <c r="P60" s="1545">
        <f t="shared" si="40"/>
        <v>0</v>
      </c>
      <c r="Q60" s="1181"/>
      <c r="R60" s="1181">
        <f t="shared" si="41"/>
        <v>0</v>
      </c>
      <c r="S60" s="1545">
        <f t="shared" si="42"/>
        <v>0</v>
      </c>
      <c r="T60" s="1557">
        <f t="shared" si="43"/>
        <v>0</v>
      </c>
      <c r="U60" s="1389">
        <f>'Table 5C1A-Madison Prep'!U60</f>
        <v>4116</v>
      </c>
      <c r="V60" s="1515">
        <f t="shared" si="55"/>
        <v>0</v>
      </c>
      <c r="W60" s="1391"/>
      <c r="X60" s="1392">
        <f t="shared" si="44"/>
        <v>0</v>
      </c>
      <c r="Y60" s="1391"/>
      <c r="Z60" s="1392">
        <f t="shared" si="45"/>
        <v>0</v>
      </c>
      <c r="AA60" s="1390">
        <f t="shared" si="46"/>
        <v>0</v>
      </c>
      <c r="AB60" s="1515">
        <f t="shared" si="47"/>
        <v>0</v>
      </c>
      <c r="AC60" s="1394">
        <f t="shared" si="48"/>
        <v>0</v>
      </c>
      <c r="AD60" s="1515">
        <f t="shared" si="49"/>
        <v>0</v>
      </c>
      <c r="AE60" s="1392">
        <v>0</v>
      </c>
      <c r="AF60" s="1515">
        <f t="shared" si="50"/>
        <v>0</v>
      </c>
      <c r="AG60" s="1392"/>
      <c r="AH60" s="1392">
        <f t="shared" si="51"/>
        <v>0</v>
      </c>
      <c r="AI60" s="1515">
        <f t="shared" si="52"/>
        <v>0</v>
      </c>
      <c r="AJ60" s="1393">
        <f t="shared" si="33"/>
        <v>0</v>
      </c>
      <c r="AK60" s="1502">
        <f t="shared" si="53"/>
        <v>0</v>
      </c>
    </row>
    <row r="61" spans="1:37" ht="16.2" customHeight="1">
      <c r="A61" s="1168">
        <v>55</v>
      </c>
      <c r="B61" s="1169" t="s">
        <v>134</v>
      </c>
      <c r="C61" s="1170">
        <f>+'Table 8 Membership 2.1.14'!H57</f>
        <v>0</v>
      </c>
      <c r="D61" s="1171">
        <f>+'Table 5C1A-Madison Prep'!D61</f>
        <v>4266.8225491298481</v>
      </c>
      <c r="E61" s="1172">
        <f t="shared" si="34"/>
        <v>0</v>
      </c>
      <c r="F61" s="1172">
        <f>+'Table 5C1A-Madison Prep'!F61</f>
        <v>795.14</v>
      </c>
      <c r="G61" s="1172">
        <f t="shared" si="35"/>
        <v>0</v>
      </c>
      <c r="H61" s="1540">
        <f t="shared" si="36"/>
        <v>0</v>
      </c>
      <c r="I61" s="1173"/>
      <c r="J61" s="1173"/>
      <c r="K61" s="1174">
        <f t="shared" si="37"/>
        <v>0</v>
      </c>
      <c r="L61" s="1540">
        <f t="shared" si="54"/>
        <v>0</v>
      </c>
      <c r="M61" s="1399">
        <f t="shared" si="38"/>
        <v>0</v>
      </c>
      <c r="N61" s="1540">
        <f t="shared" si="39"/>
        <v>0</v>
      </c>
      <c r="O61" s="1171">
        <v>0</v>
      </c>
      <c r="P61" s="1546">
        <f t="shared" si="40"/>
        <v>0</v>
      </c>
      <c r="Q61" s="1175"/>
      <c r="R61" s="1173">
        <f t="shared" si="41"/>
        <v>0</v>
      </c>
      <c r="S61" s="1550">
        <f t="shared" si="42"/>
        <v>0</v>
      </c>
      <c r="T61" s="1550">
        <f t="shared" si="43"/>
        <v>0</v>
      </c>
      <c r="U61" s="1382">
        <f>'Table 5C1A-Madison Prep'!U61</f>
        <v>3532</v>
      </c>
      <c r="V61" s="1516">
        <f t="shared" si="55"/>
        <v>0</v>
      </c>
      <c r="W61" s="1400"/>
      <c r="X61" s="1383">
        <f t="shared" si="44"/>
        <v>0</v>
      </c>
      <c r="Y61" s="1400"/>
      <c r="Z61" s="1383">
        <f t="shared" si="45"/>
        <v>0</v>
      </c>
      <c r="AA61" s="1384">
        <f t="shared" si="46"/>
        <v>0</v>
      </c>
      <c r="AB61" s="1516">
        <f t="shared" si="47"/>
        <v>0</v>
      </c>
      <c r="AC61" s="1402">
        <f t="shared" si="48"/>
        <v>0</v>
      </c>
      <c r="AD61" s="1516">
        <f t="shared" si="49"/>
        <v>0</v>
      </c>
      <c r="AE61" s="1383">
        <v>0</v>
      </c>
      <c r="AF61" s="1516">
        <f t="shared" si="50"/>
        <v>0</v>
      </c>
      <c r="AG61" s="1383"/>
      <c r="AH61" s="1383">
        <f t="shared" si="51"/>
        <v>0</v>
      </c>
      <c r="AI61" s="1516">
        <f t="shared" si="52"/>
        <v>0</v>
      </c>
      <c r="AJ61" s="1401">
        <f t="shared" si="33"/>
        <v>0</v>
      </c>
      <c r="AK61" s="1503">
        <f t="shared" si="53"/>
        <v>0</v>
      </c>
    </row>
    <row r="62" spans="1:37" ht="16.2" customHeight="1">
      <c r="A62" s="1183">
        <v>56</v>
      </c>
      <c r="B62" s="1184" t="s">
        <v>135</v>
      </c>
      <c r="C62" s="1185">
        <f>+'Table 8 Membership 2.1.14'!H58</f>
        <v>684</v>
      </c>
      <c r="D62" s="1186">
        <f>+'Table 5C1A-Madison Prep'!D62</f>
        <v>5028.4909408288286</v>
      </c>
      <c r="E62" s="1187">
        <f t="shared" si="34"/>
        <v>3439487.8035269189</v>
      </c>
      <c r="F62" s="1187">
        <f>+'Table 5C1A-Madison Prep'!F62</f>
        <v>614.66000000000008</v>
      </c>
      <c r="G62" s="1187">
        <f t="shared" si="35"/>
        <v>420427.44000000006</v>
      </c>
      <c r="H62" s="1538">
        <f t="shared" si="36"/>
        <v>3859915.2435269188</v>
      </c>
      <c r="I62" s="1188"/>
      <c r="J62" s="1188"/>
      <c r="K62" s="1189">
        <f t="shared" si="37"/>
        <v>0</v>
      </c>
      <c r="L62" s="1538">
        <f t="shared" si="54"/>
        <v>3859915.2435269188</v>
      </c>
      <c r="M62" s="1372">
        <f t="shared" si="38"/>
        <v>-9649.7881088172981</v>
      </c>
      <c r="N62" s="1538">
        <f t="shared" si="39"/>
        <v>3850265.4554181015</v>
      </c>
      <c r="O62" s="1186">
        <v>0</v>
      </c>
      <c r="P62" s="1544">
        <f t="shared" si="40"/>
        <v>3850265.4554181015</v>
      </c>
      <c r="Q62" s="1188"/>
      <c r="R62" s="1188">
        <f t="shared" si="41"/>
        <v>3850265.4554181015</v>
      </c>
      <c r="S62" s="1544">
        <f t="shared" si="42"/>
        <v>320855</v>
      </c>
      <c r="T62" s="1556">
        <f t="shared" si="43"/>
        <v>3850265.4554181015</v>
      </c>
      <c r="U62" s="1373">
        <f>'Table 5C1A-Madison Prep'!U62</f>
        <v>2865</v>
      </c>
      <c r="V62" s="1514">
        <f t="shared" si="55"/>
        <v>1959660</v>
      </c>
      <c r="W62" s="1375"/>
      <c r="X62" s="1376">
        <f t="shared" si="44"/>
        <v>0</v>
      </c>
      <c r="Y62" s="1375"/>
      <c r="Z62" s="1376">
        <f t="shared" si="45"/>
        <v>0</v>
      </c>
      <c r="AA62" s="1374">
        <f t="shared" si="46"/>
        <v>0</v>
      </c>
      <c r="AB62" s="1514">
        <f t="shared" si="47"/>
        <v>1959660</v>
      </c>
      <c r="AC62" s="1378">
        <f t="shared" si="48"/>
        <v>-4899.1500000000005</v>
      </c>
      <c r="AD62" s="1514">
        <f t="shared" si="49"/>
        <v>1954760.85</v>
      </c>
      <c r="AE62" s="1376">
        <v>0</v>
      </c>
      <c r="AF62" s="1514">
        <f t="shared" si="50"/>
        <v>1954760.85</v>
      </c>
      <c r="AG62" s="1376"/>
      <c r="AH62" s="1376">
        <f t="shared" si="51"/>
        <v>1954760.85</v>
      </c>
      <c r="AI62" s="1514">
        <f t="shared" si="52"/>
        <v>162897</v>
      </c>
      <c r="AJ62" s="1377">
        <f t="shared" si="33"/>
        <v>5805026.3054181021</v>
      </c>
      <c r="AK62" s="1501">
        <f t="shared" si="53"/>
        <v>483752</v>
      </c>
    </row>
    <row r="63" spans="1:37" ht="16.2" customHeight="1">
      <c r="A63" s="1176">
        <v>57</v>
      </c>
      <c r="B63" s="1177" t="s">
        <v>136</v>
      </c>
      <c r="C63" s="1178">
        <f>+'Table 8 Membership 2.1.14'!H59</f>
        <v>0</v>
      </c>
      <c r="D63" s="1179">
        <f>+'Table 5C1A-Madison Prep'!D63</f>
        <v>4625.9922979230687</v>
      </c>
      <c r="E63" s="1180">
        <f t="shared" si="34"/>
        <v>0</v>
      </c>
      <c r="F63" s="1180">
        <f>+'Table 5C1A-Madison Prep'!F63</f>
        <v>764.51</v>
      </c>
      <c r="G63" s="1180">
        <f t="shared" si="35"/>
        <v>0</v>
      </c>
      <c r="H63" s="1539">
        <f t="shared" si="36"/>
        <v>0</v>
      </c>
      <c r="I63" s="1181"/>
      <c r="J63" s="1181"/>
      <c r="K63" s="1182">
        <f t="shared" si="37"/>
        <v>0</v>
      </c>
      <c r="L63" s="1539">
        <f t="shared" si="54"/>
        <v>0</v>
      </c>
      <c r="M63" s="1388">
        <f t="shared" si="38"/>
        <v>0</v>
      </c>
      <c r="N63" s="1539">
        <f t="shared" si="39"/>
        <v>0</v>
      </c>
      <c r="O63" s="1179">
        <v>0</v>
      </c>
      <c r="P63" s="1545">
        <f t="shared" si="40"/>
        <v>0</v>
      </c>
      <c r="Q63" s="1181"/>
      <c r="R63" s="1181">
        <f t="shared" si="41"/>
        <v>0</v>
      </c>
      <c r="S63" s="1545">
        <f t="shared" si="42"/>
        <v>0</v>
      </c>
      <c r="T63" s="1557">
        <f t="shared" si="43"/>
        <v>0</v>
      </c>
      <c r="U63" s="1389">
        <f>'Table 5C1A-Madison Prep'!U63</f>
        <v>3395</v>
      </c>
      <c r="V63" s="1515">
        <f t="shared" si="55"/>
        <v>0</v>
      </c>
      <c r="W63" s="1391"/>
      <c r="X63" s="1392">
        <f t="shared" si="44"/>
        <v>0</v>
      </c>
      <c r="Y63" s="1391"/>
      <c r="Z63" s="1392">
        <f t="shared" si="45"/>
        <v>0</v>
      </c>
      <c r="AA63" s="1390">
        <f t="shared" si="46"/>
        <v>0</v>
      </c>
      <c r="AB63" s="1515">
        <f t="shared" si="47"/>
        <v>0</v>
      </c>
      <c r="AC63" s="1394">
        <f t="shared" si="48"/>
        <v>0</v>
      </c>
      <c r="AD63" s="1515">
        <f t="shared" si="49"/>
        <v>0</v>
      </c>
      <c r="AE63" s="1392">
        <v>0</v>
      </c>
      <c r="AF63" s="1515">
        <f t="shared" si="50"/>
        <v>0</v>
      </c>
      <c r="AG63" s="1392"/>
      <c r="AH63" s="1392">
        <f t="shared" si="51"/>
        <v>0</v>
      </c>
      <c r="AI63" s="1515">
        <f t="shared" si="52"/>
        <v>0</v>
      </c>
      <c r="AJ63" s="1393">
        <f t="shared" si="33"/>
        <v>0</v>
      </c>
      <c r="AK63" s="1502">
        <f t="shared" si="53"/>
        <v>0</v>
      </c>
    </row>
    <row r="64" spans="1:37" ht="16.2" customHeight="1">
      <c r="A64" s="1176">
        <v>58</v>
      </c>
      <c r="B64" s="1177" t="s">
        <v>137</v>
      </c>
      <c r="C64" s="1178">
        <f>+'Table 8 Membership 2.1.14'!H60</f>
        <v>0</v>
      </c>
      <c r="D64" s="1179">
        <f>+'Table 5C1A-Madison Prep'!D64</f>
        <v>5673.1129637882123</v>
      </c>
      <c r="E64" s="1180">
        <f t="shared" si="34"/>
        <v>0</v>
      </c>
      <c r="F64" s="1180">
        <f>+'Table 5C1A-Madison Prep'!F64</f>
        <v>697.04</v>
      </c>
      <c r="G64" s="1180">
        <f t="shared" si="35"/>
        <v>0</v>
      </c>
      <c r="H64" s="1539">
        <f t="shared" si="36"/>
        <v>0</v>
      </c>
      <c r="I64" s="1181"/>
      <c r="J64" s="1181"/>
      <c r="K64" s="1182">
        <f t="shared" si="37"/>
        <v>0</v>
      </c>
      <c r="L64" s="1539">
        <f t="shared" si="54"/>
        <v>0</v>
      </c>
      <c r="M64" s="1388">
        <f t="shared" si="38"/>
        <v>0</v>
      </c>
      <c r="N64" s="1539">
        <f t="shared" si="39"/>
        <v>0</v>
      </c>
      <c r="O64" s="1179">
        <v>0</v>
      </c>
      <c r="P64" s="1545">
        <f t="shared" si="40"/>
        <v>0</v>
      </c>
      <c r="Q64" s="1181"/>
      <c r="R64" s="1181">
        <f t="shared" si="41"/>
        <v>0</v>
      </c>
      <c r="S64" s="1545">
        <f t="shared" si="42"/>
        <v>0</v>
      </c>
      <c r="T64" s="1557">
        <f t="shared" si="43"/>
        <v>0</v>
      </c>
      <c r="U64" s="1389">
        <f>'Table 5C1A-Madison Prep'!U64</f>
        <v>2084</v>
      </c>
      <c r="V64" s="1515">
        <f t="shared" si="55"/>
        <v>0</v>
      </c>
      <c r="W64" s="1391"/>
      <c r="X64" s="1392">
        <f t="shared" si="44"/>
        <v>0</v>
      </c>
      <c r="Y64" s="1391"/>
      <c r="Z64" s="1392">
        <f t="shared" si="45"/>
        <v>0</v>
      </c>
      <c r="AA64" s="1390">
        <f t="shared" si="46"/>
        <v>0</v>
      </c>
      <c r="AB64" s="1515">
        <f t="shared" si="47"/>
        <v>0</v>
      </c>
      <c r="AC64" s="1394">
        <f t="shared" si="48"/>
        <v>0</v>
      </c>
      <c r="AD64" s="1515">
        <f t="shared" si="49"/>
        <v>0</v>
      </c>
      <c r="AE64" s="1392">
        <v>0</v>
      </c>
      <c r="AF64" s="1515">
        <f t="shared" si="50"/>
        <v>0</v>
      </c>
      <c r="AG64" s="1392"/>
      <c r="AH64" s="1392">
        <f t="shared" si="51"/>
        <v>0</v>
      </c>
      <c r="AI64" s="1515">
        <f t="shared" si="52"/>
        <v>0</v>
      </c>
      <c r="AJ64" s="1393">
        <f t="shared" si="33"/>
        <v>0</v>
      </c>
      <c r="AK64" s="1502">
        <f t="shared" si="53"/>
        <v>0</v>
      </c>
    </row>
    <row r="65" spans="1:37" ht="16.2" customHeight="1">
      <c r="A65" s="1176">
        <v>59</v>
      </c>
      <c r="B65" s="1177" t="s">
        <v>138</v>
      </c>
      <c r="C65" s="1178">
        <f>+'Table 8 Membership 2.1.14'!H61</f>
        <v>0</v>
      </c>
      <c r="D65" s="1179">
        <f>+'Table 5C1A-Madison Prep'!D65</f>
        <v>6621.946293521848</v>
      </c>
      <c r="E65" s="1180">
        <f t="shared" si="34"/>
        <v>0</v>
      </c>
      <c r="F65" s="1180">
        <f>+'Table 5C1A-Madison Prep'!F65</f>
        <v>689.52</v>
      </c>
      <c r="G65" s="1180">
        <f t="shared" si="35"/>
        <v>0</v>
      </c>
      <c r="H65" s="1539">
        <f t="shared" si="36"/>
        <v>0</v>
      </c>
      <c r="I65" s="1181"/>
      <c r="J65" s="1181"/>
      <c r="K65" s="1182">
        <f t="shared" si="37"/>
        <v>0</v>
      </c>
      <c r="L65" s="1539">
        <f t="shared" si="54"/>
        <v>0</v>
      </c>
      <c r="M65" s="1388">
        <f t="shared" si="38"/>
        <v>0</v>
      </c>
      <c r="N65" s="1539">
        <f t="shared" si="39"/>
        <v>0</v>
      </c>
      <c r="O65" s="1179">
        <v>0</v>
      </c>
      <c r="P65" s="1545">
        <f t="shared" si="40"/>
        <v>0</v>
      </c>
      <c r="Q65" s="1181"/>
      <c r="R65" s="1181">
        <f t="shared" si="41"/>
        <v>0</v>
      </c>
      <c r="S65" s="1545">
        <f t="shared" si="42"/>
        <v>0</v>
      </c>
      <c r="T65" s="1557">
        <f t="shared" si="43"/>
        <v>0</v>
      </c>
      <c r="U65" s="1389">
        <f>'Table 5C1A-Madison Prep'!U65</f>
        <v>1577</v>
      </c>
      <c r="V65" s="1515">
        <f t="shared" si="55"/>
        <v>0</v>
      </c>
      <c r="W65" s="1391"/>
      <c r="X65" s="1392">
        <f t="shared" si="44"/>
        <v>0</v>
      </c>
      <c r="Y65" s="1391"/>
      <c r="Z65" s="1392">
        <f t="shared" si="45"/>
        <v>0</v>
      </c>
      <c r="AA65" s="1390">
        <f t="shared" si="46"/>
        <v>0</v>
      </c>
      <c r="AB65" s="1515">
        <f t="shared" si="47"/>
        <v>0</v>
      </c>
      <c r="AC65" s="1394">
        <f t="shared" si="48"/>
        <v>0</v>
      </c>
      <c r="AD65" s="1515">
        <f t="shared" si="49"/>
        <v>0</v>
      </c>
      <c r="AE65" s="1392">
        <v>0</v>
      </c>
      <c r="AF65" s="1515">
        <f t="shared" si="50"/>
        <v>0</v>
      </c>
      <c r="AG65" s="1392"/>
      <c r="AH65" s="1392">
        <f t="shared" si="51"/>
        <v>0</v>
      </c>
      <c r="AI65" s="1515">
        <f t="shared" si="52"/>
        <v>0</v>
      </c>
      <c r="AJ65" s="1393">
        <f t="shared" si="33"/>
        <v>0</v>
      </c>
      <c r="AK65" s="1502">
        <f t="shared" si="53"/>
        <v>0</v>
      </c>
    </row>
    <row r="66" spans="1:37" ht="16.2" customHeight="1">
      <c r="A66" s="1168">
        <v>60</v>
      </c>
      <c r="B66" s="1169" t="s">
        <v>139</v>
      </c>
      <c r="C66" s="1170">
        <f>+'Table 8 Membership 2.1.14'!H62</f>
        <v>0</v>
      </c>
      <c r="D66" s="1171">
        <f>+'Table 5C1A-Madison Prep'!D66</f>
        <v>5301.224090063828</v>
      </c>
      <c r="E66" s="1172">
        <f t="shared" si="34"/>
        <v>0</v>
      </c>
      <c r="F66" s="1172">
        <f>+'Table 5C1A-Madison Prep'!F66</f>
        <v>594.04</v>
      </c>
      <c r="G66" s="1172">
        <f t="shared" si="35"/>
        <v>0</v>
      </c>
      <c r="H66" s="1540">
        <f t="shared" si="36"/>
        <v>0</v>
      </c>
      <c r="I66" s="1173"/>
      <c r="J66" s="1173"/>
      <c r="K66" s="1174">
        <f t="shared" si="37"/>
        <v>0</v>
      </c>
      <c r="L66" s="1540">
        <f t="shared" si="54"/>
        <v>0</v>
      </c>
      <c r="M66" s="1399">
        <f t="shared" si="38"/>
        <v>0</v>
      </c>
      <c r="N66" s="1540">
        <f t="shared" si="39"/>
        <v>0</v>
      </c>
      <c r="O66" s="1171">
        <v>0</v>
      </c>
      <c r="P66" s="1546">
        <f t="shared" si="40"/>
        <v>0</v>
      </c>
      <c r="Q66" s="1175"/>
      <c r="R66" s="1173">
        <f t="shared" si="41"/>
        <v>0</v>
      </c>
      <c r="S66" s="1550">
        <f t="shared" si="42"/>
        <v>0</v>
      </c>
      <c r="T66" s="1550">
        <f t="shared" si="43"/>
        <v>0</v>
      </c>
      <c r="U66" s="1382">
        <f>'Table 5C1A-Madison Prep'!U66</f>
        <v>3922</v>
      </c>
      <c r="V66" s="1516">
        <f t="shared" si="55"/>
        <v>0</v>
      </c>
      <c r="W66" s="1400"/>
      <c r="X66" s="1383">
        <f t="shared" si="44"/>
        <v>0</v>
      </c>
      <c r="Y66" s="1400"/>
      <c r="Z66" s="1383">
        <f t="shared" si="45"/>
        <v>0</v>
      </c>
      <c r="AA66" s="1384">
        <f t="shared" si="46"/>
        <v>0</v>
      </c>
      <c r="AB66" s="1516">
        <f t="shared" si="47"/>
        <v>0</v>
      </c>
      <c r="AC66" s="1402">
        <f t="shared" si="48"/>
        <v>0</v>
      </c>
      <c r="AD66" s="1516">
        <f t="shared" si="49"/>
        <v>0</v>
      </c>
      <c r="AE66" s="1383">
        <v>0</v>
      </c>
      <c r="AF66" s="1516">
        <f t="shared" si="50"/>
        <v>0</v>
      </c>
      <c r="AG66" s="1383"/>
      <c r="AH66" s="1383">
        <f t="shared" si="51"/>
        <v>0</v>
      </c>
      <c r="AI66" s="1516">
        <f t="shared" si="52"/>
        <v>0</v>
      </c>
      <c r="AJ66" s="1401">
        <f t="shared" si="33"/>
        <v>0</v>
      </c>
      <c r="AK66" s="1503">
        <f t="shared" si="53"/>
        <v>0</v>
      </c>
    </row>
    <row r="67" spans="1:37" ht="16.2" customHeight="1">
      <c r="A67" s="1183">
        <v>61</v>
      </c>
      <c r="B67" s="1184" t="s">
        <v>140</v>
      </c>
      <c r="C67" s="1185">
        <f>+'Table 8 Membership 2.1.14'!H63</f>
        <v>0</v>
      </c>
      <c r="D67" s="1186">
        <f>+'Table 5C1A-Madison Prep'!D67</f>
        <v>2854.1575356369185</v>
      </c>
      <c r="E67" s="1187">
        <f t="shared" si="34"/>
        <v>0</v>
      </c>
      <c r="F67" s="1187">
        <f>+'Table 5C1A-Madison Prep'!F67</f>
        <v>833.70999999999992</v>
      </c>
      <c r="G67" s="1187">
        <f t="shared" si="35"/>
        <v>0</v>
      </c>
      <c r="H67" s="1538">
        <f t="shared" si="36"/>
        <v>0</v>
      </c>
      <c r="I67" s="1188"/>
      <c r="J67" s="1188"/>
      <c r="K67" s="1189">
        <f t="shared" si="37"/>
        <v>0</v>
      </c>
      <c r="L67" s="1538">
        <f t="shared" si="54"/>
        <v>0</v>
      </c>
      <c r="M67" s="1372">
        <f t="shared" si="38"/>
        <v>0</v>
      </c>
      <c r="N67" s="1538">
        <f t="shared" si="39"/>
        <v>0</v>
      </c>
      <c r="O67" s="1186">
        <v>0</v>
      </c>
      <c r="P67" s="1544">
        <f t="shared" si="40"/>
        <v>0</v>
      </c>
      <c r="Q67" s="1188"/>
      <c r="R67" s="1188">
        <f t="shared" si="41"/>
        <v>0</v>
      </c>
      <c r="S67" s="1544">
        <f t="shared" si="42"/>
        <v>0</v>
      </c>
      <c r="T67" s="1556">
        <f t="shared" si="43"/>
        <v>0</v>
      </c>
      <c r="U67" s="1373">
        <f>'Table 5C1A-Madison Prep'!U67</f>
        <v>6745</v>
      </c>
      <c r="V67" s="1514">
        <f t="shared" si="55"/>
        <v>0</v>
      </c>
      <c r="W67" s="1375"/>
      <c r="X67" s="1376">
        <f t="shared" si="44"/>
        <v>0</v>
      </c>
      <c r="Y67" s="1375"/>
      <c r="Z67" s="1376">
        <f t="shared" si="45"/>
        <v>0</v>
      </c>
      <c r="AA67" s="1374">
        <f t="shared" si="46"/>
        <v>0</v>
      </c>
      <c r="AB67" s="1514">
        <f t="shared" si="47"/>
        <v>0</v>
      </c>
      <c r="AC67" s="1378">
        <f t="shared" si="48"/>
        <v>0</v>
      </c>
      <c r="AD67" s="1514">
        <f t="shared" si="49"/>
        <v>0</v>
      </c>
      <c r="AE67" s="1376">
        <v>0</v>
      </c>
      <c r="AF67" s="1514">
        <f t="shared" si="50"/>
        <v>0</v>
      </c>
      <c r="AG67" s="1376"/>
      <c r="AH67" s="1376">
        <f t="shared" si="51"/>
        <v>0</v>
      </c>
      <c r="AI67" s="1514">
        <f t="shared" si="52"/>
        <v>0</v>
      </c>
      <c r="AJ67" s="1377">
        <f t="shared" si="33"/>
        <v>0</v>
      </c>
      <c r="AK67" s="1501">
        <f t="shared" si="53"/>
        <v>0</v>
      </c>
    </row>
    <row r="68" spans="1:37" ht="16.2" customHeight="1">
      <c r="A68" s="1176">
        <v>62</v>
      </c>
      <c r="B68" s="1177" t="s">
        <v>141</v>
      </c>
      <c r="C68" s="1178">
        <f>+'Table 8 Membership 2.1.14'!H64</f>
        <v>0</v>
      </c>
      <c r="D68" s="1179">
        <f>+'Table 5C1A-Madison Prep'!D68</f>
        <v>5901.074538516008</v>
      </c>
      <c r="E68" s="1180">
        <f t="shared" si="34"/>
        <v>0</v>
      </c>
      <c r="F68" s="1180">
        <f>+'Table 5C1A-Madison Prep'!F68</f>
        <v>516.08000000000004</v>
      </c>
      <c r="G68" s="1180">
        <f t="shared" si="35"/>
        <v>0</v>
      </c>
      <c r="H68" s="1539">
        <f t="shared" si="36"/>
        <v>0</v>
      </c>
      <c r="I68" s="1181"/>
      <c r="J68" s="1181"/>
      <c r="K68" s="1182">
        <f t="shared" si="37"/>
        <v>0</v>
      </c>
      <c r="L68" s="1539">
        <f t="shared" si="54"/>
        <v>0</v>
      </c>
      <c r="M68" s="1388">
        <f t="shared" si="38"/>
        <v>0</v>
      </c>
      <c r="N68" s="1539">
        <f t="shared" si="39"/>
        <v>0</v>
      </c>
      <c r="O68" s="1179">
        <v>0</v>
      </c>
      <c r="P68" s="1545">
        <f t="shared" si="40"/>
        <v>0</v>
      </c>
      <c r="Q68" s="1181"/>
      <c r="R68" s="1181">
        <f t="shared" si="41"/>
        <v>0</v>
      </c>
      <c r="S68" s="1545">
        <f t="shared" si="42"/>
        <v>0</v>
      </c>
      <c r="T68" s="1557">
        <f t="shared" si="43"/>
        <v>0</v>
      </c>
      <c r="U68" s="1389">
        <f>'Table 5C1A-Madison Prep'!U68</f>
        <v>1908</v>
      </c>
      <c r="V68" s="1515">
        <f t="shared" si="55"/>
        <v>0</v>
      </c>
      <c r="W68" s="1391"/>
      <c r="X68" s="1392">
        <f t="shared" si="44"/>
        <v>0</v>
      </c>
      <c r="Y68" s="1391"/>
      <c r="Z68" s="1392">
        <f t="shared" si="45"/>
        <v>0</v>
      </c>
      <c r="AA68" s="1390">
        <f t="shared" si="46"/>
        <v>0</v>
      </c>
      <c r="AB68" s="1515">
        <f t="shared" si="47"/>
        <v>0</v>
      </c>
      <c r="AC68" s="1394">
        <f t="shared" si="48"/>
        <v>0</v>
      </c>
      <c r="AD68" s="1515">
        <f t="shared" si="49"/>
        <v>0</v>
      </c>
      <c r="AE68" s="1392">
        <v>0</v>
      </c>
      <c r="AF68" s="1515">
        <f t="shared" si="50"/>
        <v>0</v>
      </c>
      <c r="AG68" s="1392"/>
      <c r="AH68" s="1392">
        <f t="shared" si="51"/>
        <v>0</v>
      </c>
      <c r="AI68" s="1515">
        <f t="shared" si="52"/>
        <v>0</v>
      </c>
      <c r="AJ68" s="1393">
        <f t="shared" si="33"/>
        <v>0</v>
      </c>
      <c r="AK68" s="1502">
        <f t="shared" si="53"/>
        <v>0</v>
      </c>
    </row>
    <row r="69" spans="1:37" ht="16.2" customHeight="1">
      <c r="A69" s="1176">
        <v>63</v>
      </c>
      <c r="B69" s="1177" t="s">
        <v>142</v>
      </c>
      <c r="C69" s="1178">
        <f>+'Table 8 Membership 2.1.14'!H65</f>
        <v>0</v>
      </c>
      <c r="D69" s="1179">
        <f>+'Table 5C1A-Madison Prep'!D69</f>
        <v>4124.3813481848092</v>
      </c>
      <c r="E69" s="1180">
        <f t="shared" si="34"/>
        <v>0</v>
      </c>
      <c r="F69" s="1180">
        <f>+'Table 5C1A-Madison Prep'!F69</f>
        <v>756.79</v>
      </c>
      <c r="G69" s="1180">
        <f t="shared" si="35"/>
        <v>0</v>
      </c>
      <c r="H69" s="1539">
        <f t="shared" si="36"/>
        <v>0</v>
      </c>
      <c r="I69" s="1181"/>
      <c r="J69" s="1181"/>
      <c r="K69" s="1182">
        <f t="shared" si="37"/>
        <v>0</v>
      </c>
      <c r="L69" s="1539">
        <f t="shared" si="54"/>
        <v>0</v>
      </c>
      <c r="M69" s="1388">
        <f t="shared" si="38"/>
        <v>0</v>
      </c>
      <c r="N69" s="1539">
        <f t="shared" si="39"/>
        <v>0</v>
      </c>
      <c r="O69" s="1179">
        <v>0</v>
      </c>
      <c r="P69" s="1545">
        <f t="shared" si="40"/>
        <v>0</v>
      </c>
      <c r="Q69" s="1181"/>
      <c r="R69" s="1181">
        <f t="shared" si="41"/>
        <v>0</v>
      </c>
      <c r="S69" s="1545">
        <f t="shared" si="42"/>
        <v>0</v>
      </c>
      <c r="T69" s="1557">
        <f t="shared" si="43"/>
        <v>0</v>
      </c>
      <c r="U69" s="1389">
        <f>'Table 5C1A-Madison Prep'!U69</f>
        <v>7290</v>
      </c>
      <c r="V69" s="1515">
        <f t="shared" si="55"/>
        <v>0</v>
      </c>
      <c r="W69" s="1391"/>
      <c r="X69" s="1392">
        <f t="shared" si="44"/>
        <v>0</v>
      </c>
      <c r="Y69" s="1391"/>
      <c r="Z69" s="1392">
        <f t="shared" si="45"/>
        <v>0</v>
      </c>
      <c r="AA69" s="1390">
        <f t="shared" si="46"/>
        <v>0</v>
      </c>
      <c r="AB69" s="1515">
        <f t="shared" si="47"/>
        <v>0</v>
      </c>
      <c r="AC69" s="1394">
        <f t="shared" si="48"/>
        <v>0</v>
      </c>
      <c r="AD69" s="1515">
        <f t="shared" si="49"/>
        <v>0</v>
      </c>
      <c r="AE69" s="1392">
        <v>0</v>
      </c>
      <c r="AF69" s="1515">
        <f t="shared" si="50"/>
        <v>0</v>
      </c>
      <c r="AG69" s="1392"/>
      <c r="AH69" s="1392">
        <f t="shared" si="51"/>
        <v>0</v>
      </c>
      <c r="AI69" s="1515">
        <f t="shared" si="52"/>
        <v>0</v>
      </c>
      <c r="AJ69" s="1393">
        <f t="shared" si="33"/>
        <v>0</v>
      </c>
      <c r="AK69" s="1502">
        <f t="shared" si="53"/>
        <v>0</v>
      </c>
    </row>
    <row r="70" spans="1:37" ht="16.2" customHeight="1">
      <c r="A70" s="1176">
        <v>64</v>
      </c>
      <c r="B70" s="1177" t="s">
        <v>143</v>
      </c>
      <c r="C70" s="1178">
        <f>+'Table 8 Membership 2.1.14'!H66</f>
        <v>0</v>
      </c>
      <c r="D70" s="1179">
        <f>+'Table 5C1A-Madison Prep'!D70</f>
        <v>6277.8307532778254</v>
      </c>
      <c r="E70" s="1180">
        <f t="shared" si="34"/>
        <v>0</v>
      </c>
      <c r="F70" s="1180">
        <f>+'Table 5C1A-Madison Prep'!F70</f>
        <v>592.66</v>
      </c>
      <c r="G70" s="1180">
        <f t="shared" si="35"/>
        <v>0</v>
      </c>
      <c r="H70" s="1539">
        <f t="shared" si="36"/>
        <v>0</v>
      </c>
      <c r="I70" s="1181"/>
      <c r="J70" s="1181"/>
      <c r="K70" s="1182">
        <f t="shared" si="37"/>
        <v>0</v>
      </c>
      <c r="L70" s="1539">
        <f t="shared" si="54"/>
        <v>0</v>
      </c>
      <c r="M70" s="1388">
        <f t="shared" si="38"/>
        <v>0</v>
      </c>
      <c r="N70" s="1539">
        <f t="shared" si="39"/>
        <v>0</v>
      </c>
      <c r="O70" s="1179">
        <v>0</v>
      </c>
      <c r="P70" s="1545">
        <f t="shared" si="40"/>
        <v>0</v>
      </c>
      <c r="Q70" s="1181"/>
      <c r="R70" s="1181">
        <f t="shared" si="41"/>
        <v>0</v>
      </c>
      <c r="S70" s="1545">
        <f t="shared" si="42"/>
        <v>0</v>
      </c>
      <c r="T70" s="1557">
        <f t="shared" si="43"/>
        <v>0</v>
      </c>
      <c r="U70" s="1389">
        <f>'Table 5C1A-Madison Prep'!U70</f>
        <v>2721</v>
      </c>
      <c r="V70" s="1515">
        <f t="shared" si="55"/>
        <v>0</v>
      </c>
      <c r="W70" s="1391"/>
      <c r="X70" s="1392">
        <f t="shared" si="44"/>
        <v>0</v>
      </c>
      <c r="Y70" s="1391"/>
      <c r="Z70" s="1392">
        <f t="shared" si="45"/>
        <v>0</v>
      </c>
      <c r="AA70" s="1390">
        <f t="shared" si="46"/>
        <v>0</v>
      </c>
      <c r="AB70" s="1515">
        <f t="shared" si="47"/>
        <v>0</v>
      </c>
      <c r="AC70" s="1394">
        <f t="shared" si="48"/>
        <v>0</v>
      </c>
      <c r="AD70" s="1515">
        <f t="shared" si="49"/>
        <v>0</v>
      </c>
      <c r="AE70" s="1392">
        <v>0</v>
      </c>
      <c r="AF70" s="1515">
        <f t="shared" si="50"/>
        <v>0</v>
      </c>
      <c r="AG70" s="1392"/>
      <c r="AH70" s="1392">
        <f t="shared" si="51"/>
        <v>0</v>
      </c>
      <c r="AI70" s="1515">
        <f t="shared" si="52"/>
        <v>0</v>
      </c>
      <c r="AJ70" s="1393">
        <f t="shared" si="33"/>
        <v>0</v>
      </c>
      <c r="AK70" s="1502">
        <f t="shared" si="53"/>
        <v>0</v>
      </c>
    </row>
    <row r="71" spans="1:37" ht="16.2" customHeight="1">
      <c r="A71" s="1168">
        <v>65</v>
      </c>
      <c r="B71" s="1169" t="s">
        <v>144</v>
      </c>
      <c r="C71" s="1170">
        <f>+'Table 8 Membership 2.1.14'!H67</f>
        <v>3</v>
      </c>
      <c r="D71" s="1171">
        <f>+'Table 5C1A-Madison Prep'!D71</f>
        <v>4775.1605543943642</v>
      </c>
      <c r="E71" s="1172">
        <f t="shared" si="34"/>
        <v>14325.481663183093</v>
      </c>
      <c r="F71" s="1172">
        <f>+'Table 5C1A-Madison Prep'!F71</f>
        <v>829.12</v>
      </c>
      <c r="G71" s="1172">
        <f t="shared" si="35"/>
        <v>2487.36</v>
      </c>
      <c r="H71" s="1540">
        <f t="shared" si="36"/>
        <v>16812.841663183091</v>
      </c>
      <c r="I71" s="1173"/>
      <c r="J71" s="1173"/>
      <c r="K71" s="1174">
        <f t="shared" si="37"/>
        <v>0</v>
      </c>
      <c r="L71" s="1540">
        <f t="shared" ref="L71:L76" si="56">H71+K71</f>
        <v>16812.841663183091</v>
      </c>
      <c r="M71" s="1399">
        <f t="shared" si="38"/>
        <v>-42.032104157957733</v>
      </c>
      <c r="N71" s="1540">
        <f t="shared" si="39"/>
        <v>16770.809559025132</v>
      </c>
      <c r="O71" s="1171">
        <v>0</v>
      </c>
      <c r="P71" s="1546">
        <f t="shared" si="40"/>
        <v>16770.809559025132</v>
      </c>
      <c r="Q71" s="1175"/>
      <c r="R71" s="1173">
        <f t="shared" si="41"/>
        <v>16770.809559025132</v>
      </c>
      <c r="S71" s="1550">
        <f t="shared" si="42"/>
        <v>1398</v>
      </c>
      <c r="T71" s="1550">
        <f t="shared" si="43"/>
        <v>16770.809559025132</v>
      </c>
      <c r="U71" s="1382">
        <f>'Table 5C1A-Madison Prep'!U71</f>
        <v>5110</v>
      </c>
      <c r="V71" s="1516">
        <f t="shared" ref="V71:V75" si="57">C71*U71</f>
        <v>15330</v>
      </c>
      <c r="W71" s="1400"/>
      <c r="X71" s="1383">
        <f t="shared" si="44"/>
        <v>0</v>
      </c>
      <c r="Y71" s="1400"/>
      <c r="Z71" s="1383">
        <f t="shared" si="45"/>
        <v>0</v>
      </c>
      <c r="AA71" s="1384">
        <f t="shared" si="46"/>
        <v>0</v>
      </c>
      <c r="AB71" s="1516">
        <f t="shared" si="47"/>
        <v>15330</v>
      </c>
      <c r="AC71" s="1402">
        <f t="shared" si="48"/>
        <v>-38.325000000000003</v>
      </c>
      <c r="AD71" s="1516">
        <f t="shared" si="49"/>
        <v>15291.674999999999</v>
      </c>
      <c r="AE71" s="1383">
        <v>0</v>
      </c>
      <c r="AF71" s="1516">
        <f t="shared" si="50"/>
        <v>15291.674999999999</v>
      </c>
      <c r="AG71" s="1383"/>
      <c r="AH71" s="1383">
        <f t="shared" si="51"/>
        <v>15291.674999999999</v>
      </c>
      <c r="AI71" s="1516">
        <f t="shared" si="52"/>
        <v>1274</v>
      </c>
      <c r="AJ71" s="1401">
        <f t="shared" ref="AJ71:AJ75" si="58">T71+AF71</f>
        <v>32062.484559025132</v>
      </c>
      <c r="AK71" s="1503">
        <f t="shared" si="53"/>
        <v>2672</v>
      </c>
    </row>
    <row r="72" spans="1:37" ht="16.2" customHeight="1">
      <c r="A72" s="1183">
        <v>66</v>
      </c>
      <c r="B72" s="1184" t="s">
        <v>145</v>
      </c>
      <c r="C72" s="1185">
        <f>+'Table 8 Membership 2.1.14'!H68</f>
        <v>0</v>
      </c>
      <c r="D72" s="1186">
        <f>+'Table 5C1A-Madison Prep'!D72</f>
        <v>6564.0085433910035</v>
      </c>
      <c r="E72" s="1187">
        <f t="shared" ref="E72:E76" si="59">C72*D72</f>
        <v>0</v>
      </c>
      <c r="F72" s="1187">
        <f>+'Table 5C1A-Madison Prep'!F72</f>
        <v>730.06</v>
      </c>
      <c r="G72" s="1187">
        <f t="shared" ref="G72:G76" si="60">C72*F72</f>
        <v>0</v>
      </c>
      <c r="H72" s="1538">
        <f t="shared" ref="H72:H76" si="61">E72+G72</f>
        <v>0</v>
      </c>
      <c r="I72" s="1188"/>
      <c r="J72" s="1188"/>
      <c r="K72" s="1189">
        <f t="shared" ref="K72:K76" si="62">SUM(I72:J72)</f>
        <v>0</v>
      </c>
      <c r="L72" s="1538">
        <f t="shared" si="56"/>
        <v>0</v>
      </c>
      <c r="M72" s="1372">
        <f t="shared" ref="M72:M76" si="63">-(0.25%*L72)</f>
        <v>0</v>
      </c>
      <c r="N72" s="1538">
        <f t="shared" ref="N72:N76" si="64">SUM(L72:M72)</f>
        <v>0</v>
      </c>
      <c r="O72" s="1186">
        <v>0</v>
      </c>
      <c r="P72" s="1544">
        <f t="shared" ref="P72:P76" si="65">SUM(N72:O72)</f>
        <v>0</v>
      </c>
      <c r="Q72" s="1188"/>
      <c r="R72" s="1188">
        <f t="shared" ref="R72:R76" si="66">P72-Q72</f>
        <v>0</v>
      </c>
      <c r="S72" s="1544">
        <f t="shared" ref="S72:S76" si="67">ROUND(R72/12,0)</f>
        <v>0</v>
      </c>
      <c r="T72" s="1556">
        <f t="shared" ref="T72:T76" si="68">+P72</f>
        <v>0</v>
      </c>
      <c r="U72" s="1373">
        <f>'Table 5C1A-Madison Prep'!U72</f>
        <v>3369</v>
      </c>
      <c r="V72" s="1514">
        <f t="shared" si="57"/>
        <v>0</v>
      </c>
      <c r="W72" s="1375"/>
      <c r="X72" s="1376">
        <f t="shared" ref="X72:X75" si="69">W72*U72</f>
        <v>0</v>
      </c>
      <c r="Y72" s="1375"/>
      <c r="Z72" s="1376">
        <f t="shared" ref="Z72:Z75" si="70">+U72*Y72*0.5</f>
        <v>0</v>
      </c>
      <c r="AA72" s="1374">
        <f t="shared" ref="AA72:AA75" si="71">+X72+Z72</f>
        <v>0</v>
      </c>
      <c r="AB72" s="1514">
        <f t="shared" ref="AB72:AB75" si="72">V72+AA72</f>
        <v>0</v>
      </c>
      <c r="AC72" s="1378">
        <f t="shared" ref="AC72:AC75" si="73">-(0.25%*AB72)</f>
        <v>0</v>
      </c>
      <c r="AD72" s="1514">
        <f t="shared" ref="AD72:AD75" si="74">SUM(AB72:AC72)</f>
        <v>0</v>
      </c>
      <c r="AE72" s="1376">
        <v>0</v>
      </c>
      <c r="AF72" s="1514">
        <f t="shared" ref="AF72:AF75" si="75">SUM(AD72:AE72)</f>
        <v>0</v>
      </c>
      <c r="AG72" s="1376"/>
      <c r="AH72" s="1376">
        <f t="shared" ref="AH72:AH75" si="76">AF72-AG72</f>
        <v>0</v>
      </c>
      <c r="AI72" s="1514">
        <f t="shared" ref="AI72:AI75" si="77">ROUND(AH72/12,0)</f>
        <v>0</v>
      </c>
      <c r="AJ72" s="1377">
        <f t="shared" si="58"/>
        <v>0</v>
      </c>
      <c r="AK72" s="1501">
        <f t="shared" ref="AK72:AK75" si="78">S72+AI72</f>
        <v>0</v>
      </c>
    </row>
    <row r="73" spans="1:37" ht="16.2" customHeight="1">
      <c r="A73" s="1176">
        <v>67</v>
      </c>
      <c r="B73" s="1177" t="s">
        <v>30</v>
      </c>
      <c r="C73" s="1178">
        <f>+'Table 8 Membership 2.1.14'!H69</f>
        <v>0</v>
      </c>
      <c r="D73" s="1179">
        <f>+'Table 5C1A-Madison Prep'!D73</f>
        <v>5029.1467736134118</v>
      </c>
      <c r="E73" s="1180">
        <f t="shared" si="59"/>
        <v>0</v>
      </c>
      <c r="F73" s="1180">
        <f>+'Table 5C1A-Madison Prep'!F73</f>
        <v>715.61</v>
      </c>
      <c r="G73" s="1180">
        <f t="shared" si="60"/>
        <v>0</v>
      </c>
      <c r="H73" s="1539">
        <f t="shared" si="61"/>
        <v>0</v>
      </c>
      <c r="I73" s="1181"/>
      <c r="J73" s="1181"/>
      <c r="K73" s="1182">
        <f t="shared" si="62"/>
        <v>0</v>
      </c>
      <c r="L73" s="1539">
        <f t="shared" si="56"/>
        <v>0</v>
      </c>
      <c r="M73" s="1388">
        <f t="shared" si="63"/>
        <v>0</v>
      </c>
      <c r="N73" s="1539">
        <f t="shared" si="64"/>
        <v>0</v>
      </c>
      <c r="O73" s="1179">
        <v>0</v>
      </c>
      <c r="P73" s="1545">
        <f t="shared" si="65"/>
        <v>0</v>
      </c>
      <c r="Q73" s="1181"/>
      <c r="R73" s="1181">
        <f t="shared" si="66"/>
        <v>0</v>
      </c>
      <c r="S73" s="1545">
        <f t="shared" si="67"/>
        <v>0</v>
      </c>
      <c r="T73" s="1557">
        <f t="shared" si="68"/>
        <v>0</v>
      </c>
      <c r="U73" s="1389">
        <f>'Table 5C1A-Madison Prep'!U73</f>
        <v>5015</v>
      </c>
      <c r="V73" s="1515">
        <f t="shared" si="57"/>
        <v>0</v>
      </c>
      <c r="W73" s="1391"/>
      <c r="X73" s="1392">
        <f t="shared" si="69"/>
        <v>0</v>
      </c>
      <c r="Y73" s="1391"/>
      <c r="Z73" s="1392">
        <f t="shared" si="70"/>
        <v>0</v>
      </c>
      <c r="AA73" s="1390">
        <f t="shared" si="71"/>
        <v>0</v>
      </c>
      <c r="AB73" s="1515">
        <f t="shared" si="72"/>
        <v>0</v>
      </c>
      <c r="AC73" s="1394">
        <f t="shared" si="73"/>
        <v>0</v>
      </c>
      <c r="AD73" s="1515">
        <f t="shared" si="74"/>
        <v>0</v>
      </c>
      <c r="AE73" s="1392">
        <v>0</v>
      </c>
      <c r="AF73" s="1515">
        <f t="shared" si="75"/>
        <v>0</v>
      </c>
      <c r="AG73" s="1392"/>
      <c r="AH73" s="1392">
        <f t="shared" si="76"/>
        <v>0</v>
      </c>
      <c r="AI73" s="1515">
        <f t="shared" si="77"/>
        <v>0</v>
      </c>
      <c r="AJ73" s="1393">
        <f t="shared" si="58"/>
        <v>0</v>
      </c>
      <c r="AK73" s="1502">
        <f t="shared" si="78"/>
        <v>0</v>
      </c>
    </row>
    <row r="74" spans="1:37" ht="16.2" customHeight="1">
      <c r="A74" s="1176">
        <v>68</v>
      </c>
      <c r="B74" s="1177" t="s">
        <v>28</v>
      </c>
      <c r="C74" s="1178">
        <f>+'Table 8 Membership 2.1.14'!H70</f>
        <v>0</v>
      </c>
      <c r="D74" s="1179">
        <f>+'Table 5C1A-Madison Prep'!D74</f>
        <v>6390.1644202560601</v>
      </c>
      <c r="E74" s="1180">
        <f t="shared" si="59"/>
        <v>0</v>
      </c>
      <c r="F74" s="1180">
        <f>+'Table 5C1A-Madison Prep'!F74</f>
        <v>798.7</v>
      </c>
      <c r="G74" s="1180">
        <f t="shared" si="60"/>
        <v>0</v>
      </c>
      <c r="H74" s="1539">
        <f t="shared" si="61"/>
        <v>0</v>
      </c>
      <c r="I74" s="1181"/>
      <c r="J74" s="1181"/>
      <c r="K74" s="1182">
        <f t="shared" si="62"/>
        <v>0</v>
      </c>
      <c r="L74" s="1539">
        <f t="shared" si="56"/>
        <v>0</v>
      </c>
      <c r="M74" s="1388">
        <f t="shared" si="63"/>
        <v>0</v>
      </c>
      <c r="N74" s="1539">
        <f t="shared" si="64"/>
        <v>0</v>
      </c>
      <c r="O74" s="1179">
        <v>0</v>
      </c>
      <c r="P74" s="1545">
        <f t="shared" si="65"/>
        <v>0</v>
      </c>
      <c r="Q74" s="1181"/>
      <c r="R74" s="1181">
        <f t="shared" si="66"/>
        <v>0</v>
      </c>
      <c r="S74" s="1545">
        <f t="shared" si="67"/>
        <v>0</v>
      </c>
      <c r="T74" s="1557">
        <f t="shared" si="68"/>
        <v>0</v>
      </c>
      <c r="U74" s="1389">
        <f>'Table 5C1A-Madison Prep'!U74</f>
        <v>2669</v>
      </c>
      <c r="V74" s="1515">
        <f t="shared" si="57"/>
        <v>0</v>
      </c>
      <c r="W74" s="1391"/>
      <c r="X74" s="1392">
        <f t="shared" si="69"/>
        <v>0</v>
      </c>
      <c r="Y74" s="1391"/>
      <c r="Z74" s="1392">
        <f t="shared" si="70"/>
        <v>0</v>
      </c>
      <c r="AA74" s="1390">
        <f t="shared" si="71"/>
        <v>0</v>
      </c>
      <c r="AB74" s="1515">
        <f t="shared" si="72"/>
        <v>0</v>
      </c>
      <c r="AC74" s="1394">
        <f t="shared" si="73"/>
        <v>0</v>
      </c>
      <c r="AD74" s="1515">
        <f t="shared" si="74"/>
        <v>0</v>
      </c>
      <c r="AE74" s="1392">
        <v>0</v>
      </c>
      <c r="AF74" s="1515">
        <f t="shared" si="75"/>
        <v>0</v>
      </c>
      <c r="AG74" s="1392"/>
      <c r="AH74" s="1392">
        <f t="shared" si="76"/>
        <v>0</v>
      </c>
      <c r="AI74" s="1515">
        <f t="shared" si="77"/>
        <v>0</v>
      </c>
      <c r="AJ74" s="1393">
        <f t="shared" si="58"/>
        <v>0</v>
      </c>
      <c r="AK74" s="1502">
        <f t="shared" si="78"/>
        <v>0</v>
      </c>
    </row>
    <row r="75" spans="1:37" ht="16.2" customHeight="1">
      <c r="A75" s="1176">
        <v>69</v>
      </c>
      <c r="B75" s="1177" t="s">
        <v>183</v>
      </c>
      <c r="C75" s="1178">
        <f>+'Table 8 Membership 2.1.14'!H71</f>
        <v>0</v>
      </c>
      <c r="D75" s="1179">
        <f>+'Table 5C1A-Madison Prep'!D75</f>
        <v>5722.4947921281337</v>
      </c>
      <c r="E75" s="1180">
        <f t="shared" si="59"/>
        <v>0</v>
      </c>
      <c r="F75" s="1180">
        <f>+'Table 5C1A-Madison Prep'!F75</f>
        <v>705.67</v>
      </c>
      <c r="G75" s="1180">
        <f t="shared" si="60"/>
        <v>0</v>
      </c>
      <c r="H75" s="1539">
        <f t="shared" si="61"/>
        <v>0</v>
      </c>
      <c r="I75" s="1181"/>
      <c r="J75" s="1181"/>
      <c r="K75" s="1182">
        <f t="shared" si="62"/>
        <v>0</v>
      </c>
      <c r="L75" s="1539">
        <f t="shared" si="56"/>
        <v>0</v>
      </c>
      <c r="M75" s="1388">
        <f t="shared" si="63"/>
        <v>0</v>
      </c>
      <c r="N75" s="1539">
        <f t="shared" si="64"/>
        <v>0</v>
      </c>
      <c r="O75" s="1179">
        <v>0</v>
      </c>
      <c r="P75" s="1545">
        <f t="shared" si="65"/>
        <v>0</v>
      </c>
      <c r="Q75" s="1181"/>
      <c r="R75" s="1181">
        <f t="shared" si="66"/>
        <v>0</v>
      </c>
      <c r="S75" s="1545">
        <f t="shared" si="67"/>
        <v>0</v>
      </c>
      <c r="T75" s="1557">
        <f t="shared" si="68"/>
        <v>0</v>
      </c>
      <c r="U75" s="1389">
        <f>'Table 5C1A-Madison Prep'!U75</f>
        <v>3394</v>
      </c>
      <c r="V75" s="1515">
        <f t="shared" si="57"/>
        <v>0</v>
      </c>
      <c r="W75" s="1391"/>
      <c r="X75" s="1392">
        <f t="shared" si="69"/>
        <v>0</v>
      </c>
      <c r="Y75" s="1391"/>
      <c r="Z75" s="1392">
        <f t="shared" si="70"/>
        <v>0</v>
      </c>
      <c r="AA75" s="1390">
        <f t="shared" si="71"/>
        <v>0</v>
      </c>
      <c r="AB75" s="1515">
        <f t="shared" si="72"/>
        <v>0</v>
      </c>
      <c r="AC75" s="1394">
        <f t="shared" si="73"/>
        <v>0</v>
      </c>
      <c r="AD75" s="1515">
        <f t="shared" si="74"/>
        <v>0</v>
      </c>
      <c r="AE75" s="1392">
        <v>0</v>
      </c>
      <c r="AF75" s="1515">
        <f t="shared" si="75"/>
        <v>0</v>
      </c>
      <c r="AG75" s="1392"/>
      <c r="AH75" s="1392">
        <f t="shared" si="76"/>
        <v>0</v>
      </c>
      <c r="AI75" s="1515">
        <f t="shared" si="77"/>
        <v>0</v>
      </c>
      <c r="AJ75" s="1393">
        <f t="shared" si="58"/>
        <v>0</v>
      </c>
      <c r="AK75" s="1502">
        <f t="shared" si="78"/>
        <v>0</v>
      </c>
    </row>
    <row r="76" spans="1:37" s="594" customFormat="1" ht="16.2" customHeight="1">
      <c r="A76" s="1168"/>
      <c r="B76" s="1169" t="s">
        <v>345</v>
      </c>
      <c r="C76" s="1170">
        <f>+'Table 8 Membership 2.1.14'!H72</f>
        <v>1</v>
      </c>
      <c r="D76" s="1171">
        <f>+D62</f>
        <v>5028.4909408288286</v>
      </c>
      <c r="E76" s="1172">
        <f t="shared" si="59"/>
        <v>5028.4909408288286</v>
      </c>
      <c r="F76" s="1172">
        <f>+F62</f>
        <v>614.66000000000008</v>
      </c>
      <c r="G76" s="1172">
        <f t="shared" si="60"/>
        <v>614.66000000000008</v>
      </c>
      <c r="H76" s="1540">
        <f t="shared" si="61"/>
        <v>5643.1509408288284</v>
      </c>
      <c r="I76" s="1173"/>
      <c r="J76" s="1173"/>
      <c r="K76" s="1174">
        <f t="shared" si="62"/>
        <v>0</v>
      </c>
      <c r="L76" s="1540">
        <f t="shared" si="56"/>
        <v>5643.1509408288284</v>
      </c>
      <c r="M76" s="1399">
        <f t="shared" si="63"/>
        <v>-14.107877352072071</v>
      </c>
      <c r="N76" s="1540">
        <f t="shared" si="64"/>
        <v>5629.0430634767563</v>
      </c>
      <c r="O76" s="1171">
        <v>0</v>
      </c>
      <c r="P76" s="1546">
        <f t="shared" si="65"/>
        <v>5629.0430634767563</v>
      </c>
      <c r="Q76" s="1175"/>
      <c r="R76" s="1173">
        <f t="shared" si="66"/>
        <v>5629.0430634767563</v>
      </c>
      <c r="S76" s="1550">
        <f t="shared" si="67"/>
        <v>469</v>
      </c>
      <c r="T76" s="1972">
        <f t="shared" si="68"/>
        <v>5629.0430634767563</v>
      </c>
      <c r="U76" s="1382"/>
      <c r="V76" s="1516"/>
      <c r="W76" s="1400"/>
      <c r="X76" s="1383"/>
      <c r="Y76" s="1400"/>
      <c r="Z76" s="1383"/>
      <c r="AA76" s="1384"/>
      <c r="AB76" s="1516"/>
      <c r="AC76" s="1402"/>
      <c r="AD76" s="1516"/>
      <c r="AE76" s="1383"/>
      <c r="AF76" s="1516"/>
      <c r="AG76" s="1383"/>
      <c r="AH76" s="1383"/>
      <c r="AI76" s="1516"/>
      <c r="AJ76" s="1401">
        <f>T76+AF76</f>
        <v>5629.0430634767563</v>
      </c>
      <c r="AK76" s="1503">
        <f>S76+AI76</f>
        <v>469</v>
      </c>
    </row>
    <row r="77" spans="1:37" ht="16.2" customHeight="1" thickBot="1">
      <c r="A77" s="2221" t="s">
        <v>1045</v>
      </c>
      <c r="B77" s="2194"/>
      <c r="C77" s="1045">
        <f>SUM(C7:C76)</f>
        <v>705</v>
      </c>
      <c r="D77" s="1046">
        <f>+'Table 5C1A-Madison Prep'!D76</f>
        <v>4479.9292126977662</v>
      </c>
      <c r="E77" s="1047">
        <f>SUM(E7:E76)</f>
        <v>3540755.2418517685</v>
      </c>
      <c r="F77" s="1047">
        <f>+'Table 5C1A-Madison Prep'!F76</f>
        <v>704.64781030742063</v>
      </c>
      <c r="G77" s="1047">
        <f t="shared" ref="G77:T77" si="79">SUM(G7:G76)</f>
        <v>434560.21</v>
      </c>
      <c r="H77" s="1543">
        <f t="shared" si="79"/>
        <v>3975315.4518517684</v>
      </c>
      <c r="I77" s="1046">
        <f t="shared" ref="I77:K77" si="80">SUM(I7:I76)</f>
        <v>0</v>
      </c>
      <c r="J77" s="1046">
        <f t="shared" si="80"/>
        <v>0</v>
      </c>
      <c r="K77" s="1048">
        <f t="shared" si="80"/>
        <v>0</v>
      </c>
      <c r="L77" s="1543">
        <f>SUM(L7:L76)</f>
        <v>3975315.4518517684</v>
      </c>
      <c r="M77" s="1049">
        <f t="shared" si="79"/>
        <v>-9938.28862962942</v>
      </c>
      <c r="N77" s="1543">
        <f t="shared" si="79"/>
        <v>3965377.1632221388</v>
      </c>
      <c r="O77" s="1053">
        <f t="shared" si="79"/>
        <v>0</v>
      </c>
      <c r="P77" s="1543">
        <f t="shared" si="79"/>
        <v>3965377.1632221388</v>
      </c>
      <c r="Q77" s="1046">
        <f t="shared" si="79"/>
        <v>0</v>
      </c>
      <c r="R77" s="1046">
        <f t="shared" si="79"/>
        <v>3965377.1632221388</v>
      </c>
      <c r="S77" s="1543">
        <f t="shared" si="79"/>
        <v>330449</v>
      </c>
      <c r="T77" s="1973">
        <f t="shared" si="79"/>
        <v>3965377.1632221388</v>
      </c>
      <c r="U77" s="1050">
        <f>'Table 5C1A-Madison Prep'!U76</f>
        <v>4663</v>
      </c>
      <c r="V77" s="1569">
        <f t="shared" ref="V77:AI77" si="81">SUM(V7:V76)</f>
        <v>2054476</v>
      </c>
      <c r="W77" s="1054">
        <f>SUM(W7:W76)</f>
        <v>0</v>
      </c>
      <c r="X77" s="1055">
        <f>SUM(X7:X76)</f>
        <v>0</v>
      </c>
      <c r="Y77" s="1054">
        <f t="shared" ref="Y77:AA77" si="82">SUM(Y7:Y76)</f>
        <v>0</v>
      </c>
      <c r="Z77" s="1055">
        <f t="shared" si="82"/>
        <v>0</v>
      </c>
      <c r="AA77" s="1500">
        <f t="shared" si="82"/>
        <v>0</v>
      </c>
      <c r="AB77" s="1569">
        <f>SUM(AB7:AB76)</f>
        <v>2054476</v>
      </c>
      <c r="AC77" s="1051">
        <f t="shared" si="81"/>
        <v>-5136.1900000000005</v>
      </c>
      <c r="AD77" s="1569">
        <f t="shared" si="81"/>
        <v>2049339.81</v>
      </c>
      <c r="AE77" s="1056">
        <f t="shared" si="81"/>
        <v>0</v>
      </c>
      <c r="AF77" s="1569">
        <f t="shared" si="81"/>
        <v>2049339.81</v>
      </c>
      <c r="AG77" s="1056">
        <f t="shared" si="81"/>
        <v>0</v>
      </c>
      <c r="AH77" s="1056">
        <f t="shared" si="81"/>
        <v>2049339.81</v>
      </c>
      <c r="AI77" s="1569">
        <f t="shared" si="81"/>
        <v>170778</v>
      </c>
      <c r="AJ77" s="1504">
        <f>SUM(AJ7:AJ76)</f>
        <v>6014716.9732221393</v>
      </c>
      <c r="AK77" s="1504">
        <f>SUM(AK7:AK76)</f>
        <v>501227</v>
      </c>
    </row>
    <row r="78" spans="1:37" s="594" customFormat="1" ht="16.2" customHeight="1" thickTop="1">
      <c r="A78" s="2330" t="s">
        <v>1039</v>
      </c>
      <c r="B78" s="2331"/>
      <c r="C78" s="1970"/>
      <c r="D78" s="1198"/>
      <c r="E78" s="1198"/>
      <c r="F78" s="1198"/>
      <c r="G78" s="1198"/>
      <c r="H78" s="1198"/>
      <c r="I78" s="1200"/>
      <c r="J78" s="1200"/>
      <c r="K78" s="1200"/>
      <c r="L78" s="1198"/>
      <c r="M78" s="1423"/>
      <c r="N78" s="1198"/>
      <c r="O78" s="1198"/>
      <c r="P78" s="1398">
        <f>'Table 4 Level 4'!$E96</f>
        <v>0</v>
      </c>
      <c r="Q78" s="1181"/>
      <c r="R78" s="1200">
        <f t="shared" ref="R78" si="83">P78-Q78</f>
        <v>0</v>
      </c>
      <c r="S78" s="1545">
        <f t="shared" ref="S78" si="84">ROUND(R78/12,0)</f>
        <v>0</v>
      </c>
      <c r="T78" s="1557">
        <f>'Table 4 Level 4'!$E96</f>
        <v>0</v>
      </c>
      <c r="U78" s="1389"/>
      <c r="V78" s="1392"/>
      <c r="W78" s="1391"/>
      <c r="X78" s="1392"/>
      <c r="Y78" s="1391"/>
      <c r="Z78" s="1392"/>
      <c r="AA78" s="1392"/>
      <c r="AB78" s="1395"/>
      <c r="AC78" s="1392"/>
      <c r="AD78" s="1392"/>
      <c r="AE78" s="1392"/>
      <c r="AF78" s="1392"/>
      <c r="AG78" s="1392"/>
      <c r="AH78" s="1392"/>
      <c r="AI78" s="1392"/>
      <c r="AJ78" s="1505">
        <f t="shared" ref="AJ78:AJ82" si="85">T78+AF78</f>
        <v>0</v>
      </c>
      <c r="AK78" s="1505">
        <f t="shared" ref="AK78" si="86">S78+AI78</f>
        <v>0</v>
      </c>
    </row>
    <row r="79" spans="1:37" s="594" customFormat="1" ht="16.2" customHeight="1">
      <c r="A79" s="2332" t="s">
        <v>1040</v>
      </c>
      <c r="B79" s="2333"/>
      <c r="C79" s="1970"/>
      <c r="D79" s="1198"/>
      <c r="E79" s="1198"/>
      <c r="F79" s="1198"/>
      <c r="G79" s="1198"/>
      <c r="H79" s="1198"/>
      <c r="I79" s="1200"/>
      <c r="J79" s="1200"/>
      <c r="K79" s="1200"/>
      <c r="L79" s="1198"/>
      <c r="M79" s="1423"/>
      <c r="N79" s="1198"/>
      <c r="O79" s="1198"/>
      <c r="P79" s="1200">
        <v>0</v>
      </c>
      <c r="Q79" s="1181"/>
      <c r="R79" s="1200"/>
      <c r="S79" s="1181">
        <v>0</v>
      </c>
      <c r="T79" s="1557">
        <f>'Table 4 Level 4'!$J96</f>
        <v>0</v>
      </c>
      <c r="U79" s="1389"/>
      <c r="V79" s="1392"/>
      <c r="W79" s="1391"/>
      <c r="X79" s="1392"/>
      <c r="Y79" s="1391"/>
      <c r="Z79" s="1392"/>
      <c r="AA79" s="1392"/>
      <c r="AB79" s="1395"/>
      <c r="AC79" s="1392"/>
      <c r="AD79" s="1392"/>
      <c r="AE79" s="1392"/>
      <c r="AF79" s="1392"/>
      <c r="AG79" s="1392"/>
      <c r="AH79" s="1392"/>
      <c r="AI79" s="1392"/>
      <c r="AJ79" s="1505">
        <f t="shared" si="85"/>
        <v>0</v>
      </c>
      <c r="AK79" s="1395"/>
    </row>
    <row r="80" spans="1:37" s="594" customFormat="1" ht="16.2" customHeight="1">
      <c r="A80" s="2332" t="s">
        <v>1041</v>
      </c>
      <c r="B80" s="2333"/>
      <c r="C80" s="1970"/>
      <c r="D80" s="1198"/>
      <c r="E80" s="1198"/>
      <c r="F80" s="1198"/>
      <c r="G80" s="1198"/>
      <c r="H80" s="1198"/>
      <c r="I80" s="1200"/>
      <c r="J80" s="1200"/>
      <c r="K80" s="1200"/>
      <c r="L80" s="1198"/>
      <c r="M80" s="1423"/>
      <c r="N80" s="1198"/>
      <c r="O80" s="1198"/>
      <c r="P80" s="1200">
        <v>0</v>
      </c>
      <c r="Q80" s="1181"/>
      <c r="R80" s="1200"/>
      <c r="S80" s="1181">
        <v>0</v>
      </c>
      <c r="T80" s="1557">
        <f>'Table 4 Level 4'!$K96</f>
        <v>0</v>
      </c>
      <c r="U80" s="1389"/>
      <c r="V80" s="1392"/>
      <c r="W80" s="1391"/>
      <c r="X80" s="1392"/>
      <c r="Y80" s="1391"/>
      <c r="Z80" s="1392"/>
      <c r="AA80" s="1392"/>
      <c r="AB80" s="1395"/>
      <c r="AC80" s="1392"/>
      <c r="AD80" s="1392"/>
      <c r="AE80" s="1392"/>
      <c r="AF80" s="1392"/>
      <c r="AG80" s="1392"/>
      <c r="AH80" s="1392"/>
      <c r="AI80" s="1392"/>
      <c r="AJ80" s="1505">
        <f t="shared" si="85"/>
        <v>0</v>
      </c>
      <c r="AK80" s="1395"/>
    </row>
    <row r="81" spans="1:37" s="594" customFormat="1" ht="16.2" customHeight="1">
      <c r="A81" s="2332" t="s">
        <v>1042</v>
      </c>
      <c r="B81" s="2333"/>
      <c r="C81" s="1970"/>
      <c r="D81" s="1198"/>
      <c r="E81" s="1198"/>
      <c r="F81" s="1426"/>
      <c r="G81" s="1198"/>
      <c r="H81" s="1198"/>
      <c r="I81" s="1424"/>
      <c r="J81" s="1424"/>
      <c r="K81" s="1424"/>
      <c r="L81" s="1427"/>
      <c r="M81" s="1428"/>
      <c r="N81" s="1198"/>
      <c r="O81" s="1198"/>
      <c r="P81" s="1200">
        <v>0</v>
      </c>
      <c r="Q81" s="1181"/>
      <c r="R81" s="1200"/>
      <c r="S81" s="1181">
        <v>0</v>
      </c>
      <c r="T81" s="1557">
        <f>'Table 4 Level 4'!$L96</f>
        <v>0</v>
      </c>
      <c r="U81" s="1389"/>
      <c r="V81" s="1392"/>
      <c r="W81" s="1391"/>
      <c r="X81" s="1392"/>
      <c r="Y81" s="1391"/>
      <c r="Z81" s="1392"/>
      <c r="AA81" s="1392"/>
      <c r="AB81" s="1395"/>
      <c r="AC81" s="1392"/>
      <c r="AD81" s="1392"/>
      <c r="AE81" s="1392"/>
      <c r="AF81" s="1392"/>
      <c r="AG81" s="1392"/>
      <c r="AH81" s="1392"/>
      <c r="AI81" s="1392"/>
      <c r="AJ81" s="1505">
        <f t="shared" si="85"/>
        <v>0</v>
      </c>
      <c r="AK81" s="1395"/>
    </row>
    <row r="82" spans="1:37" s="594" customFormat="1" ht="16.2" customHeight="1">
      <c r="A82" s="2328" t="s">
        <v>1043</v>
      </c>
      <c r="B82" s="2329"/>
      <c r="C82" s="1971"/>
      <c r="D82" s="1193"/>
      <c r="E82" s="1193"/>
      <c r="F82" s="1193"/>
      <c r="G82" s="1193"/>
      <c r="H82" s="1193"/>
      <c r="I82" s="1195"/>
      <c r="J82" s="1195"/>
      <c r="K82" s="1195"/>
      <c r="L82" s="1193"/>
      <c r="M82" s="1405"/>
      <c r="N82" s="1193"/>
      <c r="O82" s="1193"/>
      <c r="P82" s="1547">
        <f>'Table 4 Level 4'!$N96</f>
        <v>4992</v>
      </c>
      <c r="Q82" s="1420"/>
      <c r="R82" s="1195">
        <f t="shared" ref="R82" si="87">P82-Q82</f>
        <v>4992</v>
      </c>
      <c r="S82" s="1552">
        <f t="shared" ref="S82" si="88">ROUND(R82/12,0)</f>
        <v>416</v>
      </c>
      <c r="T82" s="1552">
        <f>'Table 4 Level 4'!$N96</f>
        <v>4992</v>
      </c>
      <c r="U82" s="1418"/>
      <c r="V82" s="1408"/>
      <c r="W82" s="1407"/>
      <c r="X82" s="1408"/>
      <c r="Y82" s="1407"/>
      <c r="Z82" s="1408"/>
      <c r="AA82" s="1408"/>
      <c r="AB82" s="1416"/>
      <c r="AC82" s="1408"/>
      <c r="AD82" s="1408"/>
      <c r="AE82" s="1408"/>
      <c r="AF82" s="1408"/>
      <c r="AG82" s="1408"/>
      <c r="AH82" s="1408"/>
      <c r="AI82" s="1408"/>
      <c r="AJ82" s="1506">
        <f t="shared" si="85"/>
        <v>4992</v>
      </c>
      <c r="AK82" s="1506">
        <f t="shared" ref="AK82" si="89">S82+AI82</f>
        <v>416</v>
      </c>
    </row>
    <row r="83" spans="1:37" ht="16.2" customHeight="1" thickBot="1">
      <c r="A83" s="2221" t="s">
        <v>1044</v>
      </c>
      <c r="B83" s="2194"/>
      <c r="C83" s="1052">
        <f>SUM(C77:C82)</f>
        <v>705</v>
      </c>
      <c r="D83" s="1046">
        <f t="shared" ref="D83:AK83" si="90">SUM(D77:D82)</f>
        <v>4479.9292126977662</v>
      </c>
      <c r="E83" s="1046">
        <f t="shared" si="90"/>
        <v>3540755.2418517685</v>
      </c>
      <c r="F83" s="1046">
        <f t="shared" si="90"/>
        <v>704.64781030742063</v>
      </c>
      <c r="G83" s="1046">
        <f t="shared" si="90"/>
        <v>434560.21</v>
      </c>
      <c r="H83" s="1046">
        <f t="shared" si="90"/>
        <v>3975315.4518517684</v>
      </c>
      <c r="I83" s="1046">
        <f t="shared" si="90"/>
        <v>0</v>
      </c>
      <c r="J83" s="1046">
        <f t="shared" si="90"/>
        <v>0</v>
      </c>
      <c r="K83" s="1046">
        <f t="shared" si="90"/>
        <v>0</v>
      </c>
      <c r="L83" s="1046">
        <f t="shared" si="90"/>
        <v>3975315.4518517684</v>
      </c>
      <c r="M83" s="1049">
        <f t="shared" si="90"/>
        <v>-9938.28862962942</v>
      </c>
      <c r="N83" s="1046">
        <f t="shared" si="90"/>
        <v>3965377.1632221388</v>
      </c>
      <c r="O83" s="1053">
        <f t="shared" si="90"/>
        <v>0</v>
      </c>
      <c r="P83" s="1543">
        <f t="shared" si="90"/>
        <v>3970369.1632221388</v>
      </c>
      <c r="Q83" s="1046">
        <f t="shared" si="90"/>
        <v>0</v>
      </c>
      <c r="R83" s="1046">
        <f t="shared" si="90"/>
        <v>3970369.1632221388</v>
      </c>
      <c r="S83" s="1543">
        <f t="shared" si="90"/>
        <v>330865</v>
      </c>
      <c r="T83" s="1973">
        <f t="shared" si="90"/>
        <v>3970369.1632221388</v>
      </c>
      <c r="U83" s="1050">
        <f t="shared" si="90"/>
        <v>4663</v>
      </c>
      <c r="V83" s="1056">
        <f t="shared" si="90"/>
        <v>2054476</v>
      </c>
      <c r="W83" s="1054">
        <f t="shared" si="90"/>
        <v>0</v>
      </c>
      <c r="X83" s="1055">
        <f t="shared" si="90"/>
        <v>0</v>
      </c>
      <c r="Y83" s="1054">
        <f t="shared" si="90"/>
        <v>0</v>
      </c>
      <c r="Z83" s="1055">
        <f t="shared" si="90"/>
        <v>0</v>
      </c>
      <c r="AA83" s="1055">
        <f t="shared" si="90"/>
        <v>0</v>
      </c>
      <c r="AB83" s="1056">
        <f t="shared" si="90"/>
        <v>2054476</v>
      </c>
      <c r="AC83" s="1055">
        <f t="shared" si="90"/>
        <v>-5136.1900000000005</v>
      </c>
      <c r="AD83" s="1056">
        <f t="shared" si="90"/>
        <v>2049339.81</v>
      </c>
      <c r="AE83" s="1056">
        <f t="shared" si="90"/>
        <v>0</v>
      </c>
      <c r="AF83" s="1056">
        <f t="shared" si="90"/>
        <v>2049339.81</v>
      </c>
      <c r="AG83" s="1056">
        <f t="shared" si="90"/>
        <v>0</v>
      </c>
      <c r="AH83" s="1056">
        <f t="shared" si="90"/>
        <v>2049339.81</v>
      </c>
      <c r="AI83" s="1056">
        <f t="shared" si="90"/>
        <v>170778</v>
      </c>
      <c r="AJ83" s="1504">
        <f t="shared" si="90"/>
        <v>6019708.9732221393</v>
      </c>
      <c r="AK83" s="1504">
        <f t="shared" si="90"/>
        <v>501643</v>
      </c>
    </row>
    <row r="84" spans="1:37" ht="16.2" customHeight="1" thickTop="1"/>
    <row r="85" spans="1:37" ht="16.2" customHeight="1"/>
    <row r="86" spans="1:37" ht="16.2" customHeight="1"/>
  </sheetData>
  <mergeCells count="45">
    <mergeCell ref="U1:AB1"/>
    <mergeCell ref="AC1:AI1"/>
    <mergeCell ref="AG3:AG4"/>
    <mergeCell ref="AH3:AH4"/>
    <mergeCell ref="AI3:AI4"/>
    <mergeCell ref="Q3:Q4"/>
    <mergeCell ref="R3:R4"/>
    <mergeCell ref="AB3:AB4"/>
    <mergeCell ref="A1:B4"/>
    <mergeCell ref="L3:L4"/>
    <mergeCell ref="I2:K2"/>
    <mergeCell ref="W2:AA2"/>
    <mergeCell ref="W3:W4"/>
    <mergeCell ref="X3:X4"/>
    <mergeCell ref="P3:P4"/>
    <mergeCell ref="S3:S4"/>
    <mergeCell ref="U3:U4"/>
    <mergeCell ref="Y3:Y4"/>
    <mergeCell ref="Z3:Z4"/>
    <mergeCell ref="T3:T4"/>
    <mergeCell ref="C1:L1"/>
    <mergeCell ref="AJ1:AJ4"/>
    <mergeCell ref="AK1:AK4"/>
    <mergeCell ref="C3:C4"/>
    <mergeCell ref="D3:D4"/>
    <mergeCell ref="E3:E4"/>
    <mergeCell ref="F3:F4"/>
    <mergeCell ref="G3:G4"/>
    <mergeCell ref="AD3:AD4"/>
    <mergeCell ref="AE3:AE4"/>
    <mergeCell ref="AF3:AF4"/>
    <mergeCell ref="H3:H4"/>
    <mergeCell ref="N3:N4"/>
    <mergeCell ref="O3:O4"/>
    <mergeCell ref="I3:I4"/>
    <mergeCell ref="J3:J4"/>
    <mergeCell ref="M1:T1"/>
    <mergeCell ref="K3:K4"/>
    <mergeCell ref="A82:B82"/>
    <mergeCell ref="A83:B83"/>
    <mergeCell ref="A77:B77"/>
    <mergeCell ref="A78:B78"/>
    <mergeCell ref="A79:B79"/>
    <mergeCell ref="A80:B80"/>
    <mergeCell ref="A81:B81"/>
  </mergeCells>
  <printOptions horizontalCentered="1"/>
  <pageMargins left="0.3" right="0.3" top="0.75" bottom="0.75" header="0.3" footer="0.3"/>
  <pageSetup paperSize="5" scale="60" firstPageNumber="52" orientation="portrait" r:id="rId1"/>
  <headerFooter>
    <oddHeader>&amp;L&amp;"Arial,Bold"&amp;20&amp;K000000Table 5C1-B: FY2014-15 MFP Budget Letter 
D'Arbonne Woods Charter School</oddHeader>
    <oddFooter>&amp;R&amp;P</oddFooter>
  </headerFooter>
  <colBreaks count="3" manualBreakCount="3">
    <brk id="12" max="1048575" man="1"/>
    <brk id="20" max="1048575" man="1"/>
    <brk id="28" max="8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K86"/>
  <sheetViews>
    <sheetView view="pageBreakPreview" zoomScale="80" zoomScaleNormal="100" zoomScaleSheetLayoutView="80" workbookViewId="0">
      <pane xSplit="2" ySplit="6" topLeftCell="C7" activePane="bottomRight" state="frozen"/>
      <selection sqref="A1:H1"/>
      <selection pane="topRight" sqref="A1:H1"/>
      <selection pane="bottomLeft" sqref="A1:H1"/>
      <selection pane="bottomRight" sqref="A1:H1"/>
    </sheetView>
  </sheetViews>
  <sheetFormatPr defaultRowHeight="13.2"/>
  <cols>
    <col min="1" max="1" width="5" customWidth="1"/>
    <col min="2" max="2" width="37.6640625" customWidth="1"/>
    <col min="3" max="3" width="12.109375" bestFit="1" customWidth="1"/>
    <col min="4" max="4" width="13.6640625" bestFit="1" customWidth="1"/>
    <col min="5" max="5" width="10.109375" bestFit="1" customWidth="1"/>
    <col min="6" max="7" width="12.33203125" bestFit="1" customWidth="1"/>
    <col min="8" max="8" width="11.5546875" bestFit="1" customWidth="1"/>
    <col min="9" max="12" width="11.88671875" style="594" bestFit="1" customWidth="1"/>
    <col min="13" max="13" width="10.88671875" bestFit="1" customWidth="1"/>
    <col min="14" max="14" width="13.109375" customWidth="1"/>
    <col min="15" max="15" width="13.44140625" bestFit="1" customWidth="1"/>
    <col min="16" max="16" width="14.6640625" customWidth="1"/>
    <col min="17" max="18" width="14" style="594" customWidth="1"/>
    <col min="19" max="19" width="10.6640625" customWidth="1"/>
    <col min="20" max="20" width="14.88671875" style="594" customWidth="1"/>
    <col min="21" max="22" width="14.5546875" customWidth="1"/>
    <col min="23" max="27" width="11.6640625" style="594" customWidth="1"/>
    <col min="28" max="28" width="14.44140625" style="594" bestFit="1" customWidth="1"/>
    <col min="29" max="29" width="10.5546875" customWidth="1"/>
    <col min="30" max="30" width="14.44140625" bestFit="1" customWidth="1"/>
    <col min="31" max="31" width="11.88671875" bestFit="1" customWidth="1"/>
    <col min="32" max="32" width="14.44140625" bestFit="1" customWidth="1"/>
    <col min="33" max="33" width="9.5546875" style="594" bestFit="1" customWidth="1"/>
    <col min="34" max="34" width="10.6640625" style="594" bestFit="1" customWidth="1"/>
    <col min="35" max="37" width="14.44140625" bestFit="1" customWidth="1"/>
  </cols>
  <sheetData>
    <row r="1" spans="1:37" ht="21.6" customHeight="1">
      <c r="A1" s="2342" t="s">
        <v>1099</v>
      </c>
      <c r="B1" s="2343"/>
      <c r="C1" s="2319" t="s">
        <v>1089</v>
      </c>
      <c r="D1" s="2320"/>
      <c r="E1" s="2320"/>
      <c r="F1" s="2320"/>
      <c r="G1" s="2320"/>
      <c r="H1" s="2320"/>
      <c r="I1" s="2320"/>
      <c r="J1" s="2320"/>
      <c r="K1" s="2320"/>
      <c r="L1" s="2321"/>
      <c r="M1" s="2349" t="s">
        <v>1089</v>
      </c>
      <c r="N1" s="2350"/>
      <c r="O1" s="2350"/>
      <c r="P1" s="2350"/>
      <c r="Q1" s="2350"/>
      <c r="R1" s="2350"/>
      <c r="S1" s="2350"/>
      <c r="T1" s="2351"/>
      <c r="U1" s="2268" t="s">
        <v>1247</v>
      </c>
      <c r="V1" s="2266"/>
      <c r="W1" s="2266"/>
      <c r="X1" s="2266"/>
      <c r="Y1" s="2266"/>
      <c r="Z1" s="2266"/>
      <c r="AA1" s="2266"/>
      <c r="AB1" s="2267"/>
      <c r="AC1" s="2268" t="s">
        <v>1247</v>
      </c>
      <c r="AD1" s="2266"/>
      <c r="AE1" s="2266"/>
      <c r="AF1" s="2266"/>
      <c r="AG1" s="2266"/>
      <c r="AH1" s="2266"/>
      <c r="AI1" s="2267"/>
      <c r="AJ1" s="2302" t="s">
        <v>1272</v>
      </c>
      <c r="AK1" s="2302" t="s">
        <v>1273</v>
      </c>
    </row>
    <row r="2" spans="1:37" s="594" customFormat="1" ht="24.6" customHeight="1">
      <c r="A2" s="2344"/>
      <c r="B2" s="2345"/>
      <c r="C2" s="1565"/>
      <c r="D2" s="1566"/>
      <c r="E2" s="1566"/>
      <c r="F2" s="1566"/>
      <c r="G2" s="1566"/>
      <c r="H2" s="1566"/>
      <c r="I2" s="2334" t="s">
        <v>531</v>
      </c>
      <c r="J2" s="2335"/>
      <c r="K2" s="2336"/>
      <c r="L2" s="1567"/>
      <c r="M2" s="1565"/>
      <c r="N2" s="1566"/>
      <c r="O2" s="1566"/>
      <c r="P2" s="1566"/>
      <c r="Q2" s="1566"/>
      <c r="R2" s="1566"/>
      <c r="S2" s="1566"/>
      <c r="T2" s="1567"/>
      <c r="U2" s="1525"/>
      <c r="V2" s="1526"/>
      <c r="W2" s="2227" t="s">
        <v>531</v>
      </c>
      <c r="X2" s="2228"/>
      <c r="Y2" s="2228"/>
      <c r="Z2" s="2228"/>
      <c r="AA2" s="2229"/>
      <c r="AB2" s="1527"/>
      <c r="AC2" s="1525"/>
      <c r="AD2" s="1526"/>
      <c r="AE2" s="1526"/>
      <c r="AF2" s="1526"/>
      <c r="AG2" s="1526"/>
      <c r="AH2" s="1526"/>
      <c r="AI2" s="1527"/>
      <c r="AJ2" s="2303"/>
      <c r="AK2" s="2303"/>
    </row>
    <row r="3" spans="1:37" ht="148.94999999999999" customHeight="1">
      <c r="A3" s="2346"/>
      <c r="B3" s="2345"/>
      <c r="C3" s="2306" t="s">
        <v>933</v>
      </c>
      <c r="D3" s="2318" t="s">
        <v>1110</v>
      </c>
      <c r="E3" s="2318" t="s">
        <v>384</v>
      </c>
      <c r="F3" s="2306" t="s">
        <v>546</v>
      </c>
      <c r="G3" s="2306" t="s">
        <v>330</v>
      </c>
      <c r="H3" s="2306" t="s">
        <v>547</v>
      </c>
      <c r="I3" s="2327" t="s">
        <v>770</v>
      </c>
      <c r="J3" s="2327" t="s">
        <v>769</v>
      </c>
      <c r="K3" s="2327" t="s">
        <v>538</v>
      </c>
      <c r="L3" s="2300" t="s">
        <v>548</v>
      </c>
      <c r="M3" s="1496" t="s">
        <v>333</v>
      </c>
      <c r="N3" s="2306" t="s">
        <v>545</v>
      </c>
      <c r="O3" s="2307" t="s">
        <v>1036</v>
      </c>
      <c r="P3" s="2306" t="s">
        <v>1056</v>
      </c>
      <c r="Q3" s="1537" t="s">
        <v>760</v>
      </c>
      <c r="R3" s="1537" t="s">
        <v>761</v>
      </c>
      <c r="S3" s="2308" t="s">
        <v>544</v>
      </c>
      <c r="T3" s="2308" t="s">
        <v>1057</v>
      </c>
      <c r="U3" s="2309" t="s">
        <v>1267</v>
      </c>
      <c r="V3" s="1507" t="s">
        <v>1268</v>
      </c>
      <c r="W3" s="2312" t="s">
        <v>1253</v>
      </c>
      <c r="X3" s="2312" t="s">
        <v>1251</v>
      </c>
      <c r="Y3" s="2312" t="s">
        <v>1254</v>
      </c>
      <c r="Z3" s="2312" t="s">
        <v>1252</v>
      </c>
      <c r="AA3" s="1498" t="s">
        <v>551</v>
      </c>
      <c r="AB3" s="2313" t="s">
        <v>1269</v>
      </c>
      <c r="AC3" s="1507" t="s">
        <v>1094</v>
      </c>
      <c r="AD3" s="2309" t="s">
        <v>1270</v>
      </c>
      <c r="AE3" s="2307" t="s">
        <v>1036</v>
      </c>
      <c r="AF3" s="2309" t="s">
        <v>1271</v>
      </c>
      <c r="AG3" s="2322" t="s">
        <v>981</v>
      </c>
      <c r="AH3" s="2322" t="s">
        <v>761</v>
      </c>
      <c r="AI3" s="2322" t="s">
        <v>1242</v>
      </c>
      <c r="AJ3" s="2304"/>
      <c r="AK3" s="2304"/>
    </row>
    <row r="4" spans="1:37" ht="19.95" customHeight="1">
      <c r="A4" s="2347"/>
      <c r="B4" s="2348"/>
      <c r="C4" s="2301"/>
      <c r="D4" s="2318"/>
      <c r="E4" s="2318"/>
      <c r="F4" s="2301"/>
      <c r="G4" s="2301"/>
      <c r="H4" s="2301"/>
      <c r="I4" s="2251"/>
      <c r="J4" s="2251"/>
      <c r="K4" s="2251"/>
      <c r="L4" s="2301"/>
      <c r="M4" s="1568">
        <v>2.5000000000000001E-3</v>
      </c>
      <c r="N4" s="2301"/>
      <c r="O4" s="2251"/>
      <c r="P4" s="2301"/>
      <c r="Q4" s="1497"/>
      <c r="R4" s="1497"/>
      <c r="S4" s="2301"/>
      <c r="T4" s="2301"/>
      <c r="U4" s="2280"/>
      <c r="V4" s="1508"/>
      <c r="W4" s="2251"/>
      <c r="X4" s="2251"/>
      <c r="Y4" s="2251"/>
      <c r="Z4" s="2251"/>
      <c r="AA4" s="1494"/>
      <c r="AB4" s="2280" t="s">
        <v>537</v>
      </c>
      <c r="AC4" s="1570">
        <v>2.5000000000000001E-3</v>
      </c>
      <c r="AD4" s="2280"/>
      <c r="AE4" s="2251"/>
      <c r="AF4" s="2280"/>
      <c r="AG4" s="2323"/>
      <c r="AH4" s="2323"/>
      <c r="AI4" s="2323"/>
      <c r="AJ4" s="2305"/>
      <c r="AK4" s="2305"/>
    </row>
    <row r="5" spans="1:37" ht="14.25" customHeight="1">
      <c r="A5" s="463"/>
      <c r="B5" s="464"/>
      <c r="C5" s="465">
        <v>1</v>
      </c>
      <c r="D5" s="465">
        <f t="shared" ref="D5" si="0">C5+1</f>
        <v>2</v>
      </c>
      <c r="E5" s="465">
        <f>D5+1</f>
        <v>3</v>
      </c>
      <c r="F5" s="465">
        <f t="shared" ref="F5:AK5" si="1">E5+1</f>
        <v>4</v>
      </c>
      <c r="G5" s="465">
        <f t="shared" si="1"/>
        <v>5</v>
      </c>
      <c r="H5" s="465">
        <f t="shared" si="1"/>
        <v>6</v>
      </c>
      <c r="I5" s="465">
        <f t="shared" ref="I5" si="2">H5+1</f>
        <v>7</v>
      </c>
      <c r="J5" s="465">
        <f t="shared" ref="J5" si="3">I5+1</f>
        <v>8</v>
      </c>
      <c r="K5" s="465">
        <f t="shared" ref="K5" si="4">J5+1</f>
        <v>9</v>
      </c>
      <c r="L5" s="465">
        <f t="shared" ref="L5" si="5">K5+1</f>
        <v>10</v>
      </c>
      <c r="M5" s="465">
        <f t="shared" ref="M5" si="6">L5+1</f>
        <v>11</v>
      </c>
      <c r="N5" s="465">
        <f t="shared" si="1"/>
        <v>12</v>
      </c>
      <c r="O5" s="465">
        <f t="shared" si="1"/>
        <v>13</v>
      </c>
      <c r="P5" s="465">
        <f t="shared" si="1"/>
        <v>14</v>
      </c>
      <c r="Q5" s="465">
        <f t="shared" ref="Q5" si="7">P5+1</f>
        <v>15</v>
      </c>
      <c r="R5" s="465">
        <f t="shared" ref="R5" si="8">Q5+1</f>
        <v>16</v>
      </c>
      <c r="S5" s="465">
        <f t="shared" ref="S5" si="9">R5+1</f>
        <v>17</v>
      </c>
      <c r="T5" s="465">
        <f t="shared" ref="T5" si="10">S5+1</f>
        <v>18</v>
      </c>
      <c r="U5" s="465">
        <f t="shared" ref="U5" si="11">T5+1</f>
        <v>19</v>
      </c>
      <c r="V5" s="465">
        <f t="shared" si="1"/>
        <v>20</v>
      </c>
      <c r="W5" s="465">
        <f t="shared" ref="W5" si="12">V5+1</f>
        <v>21</v>
      </c>
      <c r="X5" s="465">
        <f t="shared" ref="X5" si="13">W5+1</f>
        <v>22</v>
      </c>
      <c r="Y5" s="465">
        <f t="shared" ref="Y5" si="14">X5+1</f>
        <v>23</v>
      </c>
      <c r="Z5" s="465">
        <f t="shared" ref="Z5" si="15">Y5+1</f>
        <v>24</v>
      </c>
      <c r="AA5" s="465">
        <f t="shared" ref="AA5" si="16">Z5+1</f>
        <v>25</v>
      </c>
      <c r="AB5" s="465">
        <f t="shared" ref="AB5" si="17">AA5+1</f>
        <v>26</v>
      </c>
      <c r="AC5" s="465">
        <f t="shared" ref="AC5" si="18">AB5+1</f>
        <v>27</v>
      </c>
      <c r="AD5" s="465">
        <f t="shared" si="1"/>
        <v>28</v>
      </c>
      <c r="AE5" s="465">
        <f t="shared" si="1"/>
        <v>29</v>
      </c>
      <c r="AF5" s="465">
        <f t="shared" si="1"/>
        <v>30</v>
      </c>
      <c r="AG5" s="465">
        <f t="shared" ref="AG5" si="19">AF5+1</f>
        <v>31</v>
      </c>
      <c r="AH5" s="465">
        <f t="shared" ref="AH5" si="20">AG5+1</f>
        <v>32</v>
      </c>
      <c r="AI5" s="465">
        <f t="shared" ref="AI5" si="21">AH5+1</f>
        <v>33</v>
      </c>
      <c r="AJ5" s="465">
        <f t="shared" si="1"/>
        <v>34</v>
      </c>
      <c r="AK5" s="465">
        <f t="shared" si="1"/>
        <v>35</v>
      </c>
    </row>
    <row r="6" spans="1:37" ht="27" hidden="1" customHeight="1">
      <c r="A6" s="472"/>
      <c r="B6" s="473"/>
      <c r="C6" s="473"/>
      <c r="D6" s="473"/>
      <c r="E6" s="473"/>
      <c r="F6" s="473"/>
      <c r="G6" s="473"/>
      <c r="H6" s="473"/>
      <c r="I6" s="615"/>
      <c r="J6" s="615"/>
      <c r="K6" s="615"/>
      <c r="L6" s="615"/>
      <c r="M6" s="473"/>
      <c r="N6" s="473"/>
      <c r="O6" s="473"/>
      <c r="P6" s="473"/>
      <c r="Q6" s="615"/>
      <c r="R6" s="615"/>
      <c r="S6" s="473"/>
      <c r="T6" s="473"/>
      <c r="U6" s="473"/>
      <c r="V6" s="473"/>
      <c r="W6" s="615"/>
      <c r="X6" s="615"/>
      <c r="Y6" s="615"/>
      <c r="Z6" s="615"/>
      <c r="AA6" s="615"/>
      <c r="AB6" s="615"/>
      <c r="AC6" s="473"/>
      <c r="AD6" s="473"/>
      <c r="AE6" s="473"/>
      <c r="AF6" s="473"/>
      <c r="AG6" s="615"/>
      <c r="AH6" s="615"/>
      <c r="AI6" s="473"/>
      <c r="AJ6" s="473"/>
      <c r="AK6" s="473"/>
    </row>
    <row r="7" spans="1:37" ht="16.2" customHeight="1">
      <c r="A7" s="1183">
        <v>1</v>
      </c>
      <c r="B7" s="1184" t="s">
        <v>81</v>
      </c>
      <c r="C7" s="1185">
        <f>+'Table 8 Membership 2.1.14'!K3</f>
        <v>0</v>
      </c>
      <c r="D7" s="1186">
        <f>+'Table 5C1A-Madison Prep'!D7</f>
        <v>4765.8584413349836</v>
      </c>
      <c r="E7" s="1187">
        <f>C7*D7</f>
        <v>0</v>
      </c>
      <c r="F7" s="1187">
        <f>+'Table 5C1A-Madison Prep'!F7</f>
        <v>777.48</v>
      </c>
      <c r="G7" s="1187">
        <f>C7*F7</f>
        <v>0</v>
      </c>
      <c r="H7" s="1538">
        <f>E7+G7</f>
        <v>0</v>
      </c>
      <c r="I7" s="1188"/>
      <c r="J7" s="1188"/>
      <c r="K7" s="1189">
        <f>SUM(I7:J7)</f>
        <v>0</v>
      </c>
      <c r="L7" s="1538">
        <f>+H7+K7</f>
        <v>0</v>
      </c>
      <c r="M7" s="1372">
        <f>-(0.25%*L7)</f>
        <v>0</v>
      </c>
      <c r="N7" s="1538">
        <f>SUM(L7:M7)</f>
        <v>0</v>
      </c>
      <c r="O7" s="1186">
        <v>0</v>
      </c>
      <c r="P7" s="1538">
        <f>SUM(N7:O7)</f>
        <v>0</v>
      </c>
      <c r="Q7" s="1186"/>
      <c r="R7" s="1186">
        <f>+P7-Q7</f>
        <v>0</v>
      </c>
      <c r="S7" s="1538">
        <f>ROUND(R7/12,0)</f>
        <v>0</v>
      </c>
      <c r="T7" s="1538">
        <f>+P7</f>
        <v>0</v>
      </c>
      <c r="U7" s="1381">
        <f>+'Table 5C1A-Madison Prep'!U7</f>
        <v>2409</v>
      </c>
      <c r="V7" s="1509">
        <f t="shared" ref="V7:V38" si="22">C7*U7</f>
        <v>0</v>
      </c>
      <c r="W7" s="1375"/>
      <c r="X7" s="1376">
        <f>+U7*W7</f>
        <v>0</v>
      </c>
      <c r="Y7" s="1375"/>
      <c r="Z7" s="1376">
        <f>+U7*Y7*0.5</f>
        <v>0</v>
      </c>
      <c r="AA7" s="1374">
        <f>+X7+Z7</f>
        <v>0</v>
      </c>
      <c r="AB7" s="1509">
        <f>+V7+AA7</f>
        <v>0</v>
      </c>
      <c r="AC7" s="1378">
        <f>-(0.25%*AB7)</f>
        <v>0</v>
      </c>
      <c r="AD7" s="1509">
        <f>SUM(AB7:AC7)</f>
        <v>0</v>
      </c>
      <c r="AE7" s="1379">
        <v>0</v>
      </c>
      <c r="AF7" s="1509">
        <f>SUM(AD7:AE7)</f>
        <v>0</v>
      </c>
      <c r="AG7" s="1376"/>
      <c r="AH7" s="1376">
        <f>+AF7-AG7</f>
        <v>0</v>
      </c>
      <c r="AI7" s="1514">
        <f t="shared" ref="AI7:AI70" si="23">ROUND(AH7/12,0)</f>
        <v>0</v>
      </c>
      <c r="AJ7" s="1530">
        <f>T7+AF7</f>
        <v>0</v>
      </c>
      <c r="AK7" s="1534">
        <f>S7+AI7</f>
        <v>0</v>
      </c>
    </row>
    <row r="8" spans="1:37" ht="16.2" customHeight="1">
      <c r="A8" s="1176">
        <v>2</v>
      </c>
      <c r="B8" s="1177" t="s">
        <v>82</v>
      </c>
      <c r="C8" s="1178">
        <f>+'Table 8 Membership 2.1.14'!K4</f>
        <v>0</v>
      </c>
      <c r="D8" s="1179">
        <f>+'Table 5C1A-Madison Prep'!D8</f>
        <v>6316.6266417386641</v>
      </c>
      <c r="E8" s="1180">
        <f t="shared" ref="E8:E71" si="24">C8*D8</f>
        <v>0</v>
      </c>
      <c r="F8" s="1180">
        <f>+'Table 5C1A-Madison Prep'!F8</f>
        <v>842.32</v>
      </c>
      <c r="G8" s="1180">
        <f t="shared" ref="G8:G71" si="25">C8*F8</f>
        <v>0</v>
      </c>
      <c r="H8" s="1539">
        <f t="shared" ref="H8:H71" si="26">E8+G8</f>
        <v>0</v>
      </c>
      <c r="I8" s="1181"/>
      <c r="J8" s="1181"/>
      <c r="K8" s="1182">
        <f t="shared" ref="K8:K71" si="27">SUM(I8:J8)</f>
        <v>0</v>
      </c>
      <c r="L8" s="1539">
        <f t="shared" ref="L8:L71" si="28">+H8+K8</f>
        <v>0</v>
      </c>
      <c r="M8" s="1388">
        <f t="shared" ref="M8:M71" si="29">-(0.25%*L8)</f>
        <v>0</v>
      </c>
      <c r="N8" s="1539">
        <f t="shared" ref="N8:N71" si="30">SUM(L8:M8)</f>
        <v>0</v>
      </c>
      <c r="O8" s="1179">
        <v>0</v>
      </c>
      <c r="P8" s="1539">
        <f t="shared" ref="P8:P71" si="31">SUM(N8:O8)</f>
        <v>0</v>
      </c>
      <c r="Q8" s="1179"/>
      <c r="R8" s="1179">
        <f t="shared" ref="R8:R71" si="32">+P8-Q8</f>
        <v>0</v>
      </c>
      <c r="S8" s="1539">
        <f t="shared" ref="S8:S71" si="33">ROUND(R8/12,0)</f>
        <v>0</v>
      </c>
      <c r="T8" s="1539">
        <f t="shared" ref="T8:T71" si="34">+P8</f>
        <v>0</v>
      </c>
      <c r="U8" s="1397">
        <f>+'Table 5C1A-Madison Prep'!U8</f>
        <v>2829</v>
      </c>
      <c r="V8" s="1510">
        <f t="shared" si="22"/>
        <v>0</v>
      </c>
      <c r="W8" s="1391"/>
      <c r="X8" s="1392">
        <f t="shared" ref="X8:X71" si="35">+U8*W8</f>
        <v>0</v>
      </c>
      <c r="Y8" s="1391"/>
      <c r="Z8" s="1392">
        <f t="shared" ref="Z8:Z71" si="36">+U8*Y8*0.5</f>
        <v>0</v>
      </c>
      <c r="AA8" s="1390">
        <f t="shared" ref="AA8:AA71" si="37">+X8+Z8</f>
        <v>0</v>
      </c>
      <c r="AB8" s="1510">
        <f t="shared" ref="AB8:AB71" si="38">+V8+AA8</f>
        <v>0</v>
      </c>
      <c r="AC8" s="1394">
        <f t="shared" ref="AC8:AC71" si="39">-(0.25%*AB8)</f>
        <v>0</v>
      </c>
      <c r="AD8" s="1510">
        <f t="shared" ref="AD8:AD71" si="40">SUM(AB8:AC8)</f>
        <v>0</v>
      </c>
      <c r="AE8" s="1395">
        <v>0</v>
      </c>
      <c r="AF8" s="1510">
        <f t="shared" ref="AF8:AF71" si="41">SUM(AD8:AE8)</f>
        <v>0</v>
      </c>
      <c r="AG8" s="1392"/>
      <c r="AH8" s="1392">
        <f t="shared" ref="AH8:AH71" si="42">+AF8-AG8</f>
        <v>0</v>
      </c>
      <c r="AI8" s="1515">
        <f t="shared" si="23"/>
        <v>0</v>
      </c>
      <c r="AJ8" s="1505">
        <f t="shared" ref="AJ8:AJ71" si="43">T8+AF8</f>
        <v>0</v>
      </c>
      <c r="AK8" s="1535">
        <f t="shared" ref="AK8:AK71" si="44">S8+AI8</f>
        <v>0</v>
      </c>
    </row>
    <row r="9" spans="1:37" ht="16.2" customHeight="1">
      <c r="A9" s="1176">
        <v>3</v>
      </c>
      <c r="B9" s="1177" t="s">
        <v>83</v>
      </c>
      <c r="C9" s="1178">
        <f>+'Table 8 Membership 2.1.14'!K5</f>
        <v>0</v>
      </c>
      <c r="D9" s="1179">
        <f>+'Table 5C1A-Madison Prep'!D9</f>
        <v>4155.1862027396819</v>
      </c>
      <c r="E9" s="1180">
        <f t="shared" si="24"/>
        <v>0</v>
      </c>
      <c r="F9" s="1180">
        <f>+'Table 5C1A-Madison Prep'!F9</f>
        <v>596.84</v>
      </c>
      <c r="G9" s="1180">
        <f t="shared" si="25"/>
        <v>0</v>
      </c>
      <c r="H9" s="1539">
        <f t="shared" si="26"/>
        <v>0</v>
      </c>
      <c r="I9" s="1181"/>
      <c r="J9" s="1181"/>
      <c r="K9" s="1182">
        <f t="shared" si="27"/>
        <v>0</v>
      </c>
      <c r="L9" s="1539">
        <f t="shared" si="28"/>
        <v>0</v>
      </c>
      <c r="M9" s="1388">
        <f t="shared" si="29"/>
        <v>0</v>
      </c>
      <c r="N9" s="1539">
        <f t="shared" si="30"/>
        <v>0</v>
      </c>
      <c r="O9" s="1179">
        <v>0</v>
      </c>
      <c r="P9" s="1539">
        <f t="shared" si="31"/>
        <v>0</v>
      </c>
      <c r="Q9" s="1179"/>
      <c r="R9" s="1179">
        <f t="shared" si="32"/>
        <v>0</v>
      </c>
      <c r="S9" s="1539">
        <f t="shared" si="33"/>
        <v>0</v>
      </c>
      <c r="T9" s="1539">
        <f t="shared" si="34"/>
        <v>0</v>
      </c>
      <c r="U9" s="1397">
        <f>+'Table 5C1A-Madison Prep'!U9</f>
        <v>5770</v>
      </c>
      <c r="V9" s="1510">
        <f t="shared" si="22"/>
        <v>0</v>
      </c>
      <c r="W9" s="1391"/>
      <c r="X9" s="1392">
        <f t="shared" si="35"/>
        <v>0</v>
      </c>
      <c r="Y9" s="1391"/>
      <c r="Z9" s="1392">
        <f t="shared" si="36"/>
        <v>0</v>
      </c>
      <c r="AA9" s="1390">
        <f t="shared" si="37"/>
        <v>0</v>
      </c>
      <c r="AB9" s="1510">
        <f t="shared" si="38"/>
        <v>0</v>
      </c>
      <c r="AC9" s="1394">
        <f t="shared" si="39"/>
        <v>0</v>
      </c>
      <c r="AD9" s="1510">
        <f t="shared" si="40"/>
        <v>0</v>
      </c>
      <c r="AE9" s="1395">
        <v>0</v>
      </c>
      <c r="AF9" s="1510">
        <f t="shared" si="41"/>
        <v>0</v>
      </c>
      <c r="AG9" s="1392"/>
      <c r="AH9" s="1392">
        <f t="shared" si="42"/>
        <v>0</v>
      </c>
      <c r="AI9" s="1515">
        <f t="shared" si="23"/>
        <v>0</v>
      </c>
      <c r="AJ9" s="1505">
        <f t="shared" si="43"/>
        <v>0</v>
      </c>
      <c r="AK9" s="1535">
        <f t="shared" si="44"/>
        <v>0</v>
      </c>
    </row>
    <row r="10" spans="1:37" ht="16.2" customHeight="1">
      <c r="A10" s="1176">
        <v>4</v>
      </c>
      <c r="B10" s="1177" t="s">
        <v>84</v>
      </c>
      <c r="C10" s="1178">
        <f>+'Table 8 Membership 2.1.14'!K6</f>
        <v>0</v>
      </c>
      <c r="D10" s="1179">
        <f>+'Table 5C1A-Madison Prep'!D10</f>
        <v>6119.0581446878568</v>
      </c>
      <c r="E10" s="1180">
        <f t="shared" si="24"/>
        <v>0</v>
      </c>
      <c r="F10" s="1180">
        <f>+'Table 5C1A-Madison Prep'!F10</f>
        <v>585.76</v>
      </c>
      <c r="G10" s="1180">
        <f t="shared" si="25"/>
        <v>0</v>
      </c>
      <c r="H10" s="1539">
        <f t="shared" si="26"/>
        <v>0</v>
      </c>
      <c r="I10" s="1181"/>
      <c r="J10" s="1181"/>
      <c r="K10" s="1182">
        <f t="shared" si="27"/>
        <v>0</v>
      </c>
      <c r="L10" s="1539">
        <f t="shared" si="28"/>
        <v>0</v>
      </c>
      <c r="M10" s="1388">
        <f t="shared" si="29"/>
        <v>0</v>
      </c>
      <c r="N10" s="1539">
        <f t="shared" si="30"/>
        <v>0</v>
      </c>
      <c r="O10" s="1179">
        <v>0</v>
      </c>
      <c r="P10" s="1539">
        <f t="shared" si="31"/>
        <v>0</v>
      </c>
      <c r="Q10" s="1179"/>
      <c r="R10" s="1179">
        <f t="shared" si="32"/>
        <v>0</v>
      </c>
      <c r="S10" s="1539">
        <f t="shared" si="33"/>
        <v>0</v>
      </c>
      <c r="T10" s="1539">
        <f t="shared" si="34"/>
        <v>0</v>
      </c>
      <c r="U10" s="1397">
        <f>+'Table 5C1A-Madison Prep'!U10</f>
        <v>3287</v>
      </c>
      <c r="V10" s="1510">
        <f t="shared" si="22"/>
        <v>0</v>
      </c>
      <c r="W10" s="1391"/>
      <c r="X10" s="1392">
        <f t="shared" si="35"/>
        <v>0</v>
      </c>
      <c r="Y10" s="1391"/>
      <c r="Z10" s="1392">
        <f t="shared" si="36"/>
        <v>0</v>
      </c>
      <c r="AA10" s="1390">
        <f t="shared" si="37"/>
        <v>0</v>
      </c>
      <c r="AB10" s="1510">
        <f t="shared" si="38"/>
        <v>0</v>
      </c>
      <c r="AC10" s="1394">
        <f t="shared" si="39"/>
        <v>0</v>
      </c>
      <c r="AD10" s="1510">
        <f t="shared" si="40"/>
        <v>0</v>
      </c>
      <c r="AE10" s="1395">
        <v>0</v>
      </c>
      <c r="AF10" s="1510">
        <f t="shared" si="41"/>
        <v>0</v>
      </c>
      <c r="AG10" s="1392"/>
      <c r="AH10" s="1392">
        <f t="shared" si="42"/>
        <v>0</v>
      </c>
      <c r="AI10" s="1515">
        <f t="shared" si="23"/>
        <v>0</v>
      </c>
      <c r="AJ10" s="1505">
        <f t="shared" si="43"/>
        <v>0</v>
      </c>
      <c r="AK10" s="1535">
        <f t="shared" si="44"/>
        <v>0</v>
      </c>
    </row>
    <row r="11" spans="1:37" ht="16.2" customHeight="1">
      <c r="A11" s="1168">
        <v>5</v>
      </c>
      <c r="B11" s="1169" t="s">
        <v>85</v>
      </c>
      <c r="C11" s="1170">
        <f>+'Table 8 Membership 2.1.14'!K7</f>
        <v>0</v>
      </c>
      <c r="D11" s="1171">
        <f>+'Table 5C1A-Madison Prep'!D11</f>
        <v>5268.940566009911</v>
      </c>
      <c r="E11" s="1172">
        <f t="shared" si="24"/>
        <v>0</v>
      </c>
      <c r="F11" s="1172">
        <f>+'Table 5C1A-Madison Prep'!F11</f>
        <v>555.91</v>
      </c>
      <c r="G11" s="1172">
        <f t="shared" si="25"/>
        <v>0</v>
      </c>
      <c r="H11" s="1540">
        <f t="shared" si="26"/>
        <v>0</v>
      </c>
      <c r="I11" s="1173"/>
      <c r="J11" s="1173"/>
      <c r="K11" s="1174">
        <f t="shared" si="27"/>
        <v>0</v>
      </c>
      <c r="L11" s="1540">
        <f t="shared" si="28"/>
        <v>0</v>
      </c>
      <c r="M11" s="1399">
        <f t="shared" si="29"/>
        <v>0</v>
      </c>
      <c r="N11" s="1540">
        <f t="shared" si="30"/>
        <v>0</v>
      </c>
      <c r="O11" s="1171">
        <v>0</v>
      </c>
      <c r="P11" s="1540">
        <f t="shared" si="31"/>
        <v>0</v>
      </c>
      <c r="Q11" s="1171"/>
      <c r="R11" s="1171">
        <f t="shared" si="32"/>
        <v>0</v>
      </c>
      <c r="S11" s="1540">
        <f t="shared" si="33"/>
        <v>0</v>
      </c>
      <c r="T11" s="1540">
        <f t="shared" si="34"/>
        <v>0</v>
      </c>
      <c r="U11" s="1387">
        <f>+'Table 5C1A-Madison Prep'!U11</f>
        <v>1921</v>
      </c>
      <c r="V11" s="1511">
        <f t="shared" si="22"/>
        <v>0</v>
      </c>
      <c r="W11" s="1400"/>
      <c r="X11" s="1383">
        <f t="shared" si="35"/>
        <v>0</v>
      </c>
      <c r="Y11" s="1400"/>
      <c r="Z11" s="1383">
        <f t="shared" si="36"/>
        <v>0</v>
      </c>
      <c r="AA11" s="1384">
        <f t="shared" si="37"/>
        <v>0</v>
      </c>
      <c r="AB11" s="1511">
        <f t="shared" si="38"/>
        <v>0</v>
      </c>
      <c r="AC11" s="1402">
        <f t="shared" si="39"/>
        <v>0</v>
      </c>
      <c r="AD11" s="1511">
        <f t="shared" si="40"/>
        <v>0</v>
      </c>
      <c r="AE11" s="1385">
        <v>0</v>
      </c>
      <c r="AF11" s="1511">
        <f t="shared" si="41"/>
        <v>0</v>
      </c>
      <c r="AG11" s="1383"/>
      <c r="AH11" s="1383">
        <f t="shared" si="42"/>
        <v>0</v>
      </c>
      <c r="AI11" s="1516">
        <f t="shared" si="23"/>
        <v>0</v>
      </c>
      <c r="AJ11" s="1531">
        <f t="shared" si="43"/>
        <v>0</v>
      </c>
      <c r="AK11" s="1536">
        <f t="shared" si="44"/>
        <v>0</v>
      </c>
    </row>
    <row r="12" spans="1:37" ht="16.2" customHeight="1">
      <c r="A12" s="1183">
        <v>6</v>
      </c>
      <c r="B12" s="1184" t="s">
        <v>86</v>
      </c>
      <c r="C12" s="1185">
        <f>+'Table 8 Membership 2.1.14'!K8</f>
        <v>0</v>
      </c>
      <c r="D12" s="1186">
        <f>+'Table 5C1A-Madison Prep'!D12</f>
        <v>5378.5086124955869</v>
      </c>
      <c r="E12" s="1187">
        <f t="shared" si="24"/>
        <v>0</v>
      </c>
      <c r="F12" s="1187">
        <f>+'Table 5C1A-Madison Prep'!F12</f>
        <v>545.4799999999999</v>
      </c>
      <c r="G12" s="1187">
        <f t="shared" si="25"/>
        <v>0</v>
      </c>
      <c r="H12" s="1538">
        <f t="shared" si="26"/>
        <v>0</v>
      </c>
      <c r="I12" s="1188"/>
      <c r="J12" s="1188"/>
      <c r="K12" s="1189">
        <f t="shared" si="27"/>
        <v>0</v>
      </c>
      <c r="L12" s="1538">
        <f t="shared" si="28"/>
        <v>0</v>
      </c>
      <c r="M12" s="1372">
        <f t="shared" si="29"/>
        <v>0</v>
      </c>
      <c r="N12" s="1538">
        <f t="shared" si="30"/>
        <v>0</v>
      </c>
      <c r="O12" s="1186">
        <v>0</v>
      </c>
      <c r="P12" s="1538">
        <f t="shared" si="31"/>
        <v>0</v>
      </c>
      <c r="Q12" s="1186"/>
      <c r="R12" s="1186">
        <f t="shared" si="32"/>
        <v>0</v>
      </c>
      <c r="S12" s="1538">
        <f t="shared" si="33"/>
        <v>0</v>
      </c>
      <c r="T12" s="1538">
        <f t="shared" si="34"/>
        <v>0</v>
      </c>
      <c r="U12" s="1381">
        <f>+'Table 5C1A-Madison Prep'!U12</f>
        <v>3807</v>
      </c>
      <c r="V12" s="1509">
        <f t="shared" si="22"/>
        <v>0</v>
      </c>
      <c r="W12" s="1375"/>
      <c r="X12" s="1376">
        <f t="shared" si="35"/>
        <v>0</v>
      </c>
      <c r="Y12" s="1375"/>
      <c r="Z12" s="1376">
        <f t="shared" si="36"/>
        <v>0</v>
      </c>
      <c r="AA12" s="1374">
        <f t="shared" si="37"/>
        <v>0</v>
      </c>
      <c r="AB12" s="1509">
        <f t="shared" si="38"/>
        <v>0</v>
      </c>
      <c r="AC12" s="1378">
        <f t="shared" si="39"/>
        <v>0</v>
      </c>
      <c r="AD12" s="1509">
        <f t="shared" si="40"/>
        <v>0</v>
      </c>
      <c r="AE12" s="1379">
        <v>0</v>
      </c>
      <c r="AF12" s="1509">
        <f t="shared" si="41"/>
        <v>0</v>
      </c>
      <c r="AG12" s="1376"/>
      <c r="AH12" s="1376">
        <f t="shared" si="42"/>
        <v>0</v>
      </c>
      <c r="AI12" s="1514">
        <f t="shared" si="23"/>
        <v>0</v>
      </c>
      <c r="AJ12" s="1530">
        <f t="shared" si="43"/>
        <v>0</v>
      </c>
      <c r="AK12" s="1534">
        <f t="shared" si="44"/>
        <v>0</v>
      </c>
    </row>
    <row r="13" spans="1:37" ht="16.2" customHeight="1">
      <c r="A13" s="1176">
        <v>7</v>
      </c>
      <c r="B13" s="1177" t="s">
        <v>87</v>
      </c>
      <c r="C13" s="1178">
        <f>+'Table 8 Membership 2.1.14'!K9</f>
        <v>0</v>
      </c>
      <c r="D13" s="1179">
        <f>+'Table 5C1A-Madison Prep'!D13</f>
        <v>2243.0031963470319</v>
      </c>
      <c r="E13" s="1180">
        <f t="shared" si="24"/>
        <v>0</v>
      </c>
      <c r="F13" s="1180">
        <f>+'Table 5C1A-Madison Prep'!F13</f>
        <v>756.91999999999985</v>
      </c>
      <c r="G13" s="1180">
        <f t="shared" si="25"/>
        <v>0</v>
      </c>
      <c r="H13" s="1539">
        <f t="shared" si="26"/>
        <v>0</v>
      </c>
      <c r="I13" s="1181"/>
      <c r="J13" s="1181"/>
      <c r="K13" s="1182">
        <f t="shared" si="27"/>
        <v>0</v>
      </c>
      <c r="L13" s="1539">
        <f t="shared" si="28"/>
        <v>0</v>
      </c>
      <c r="M13" s="1388">
        <f t="shared" si="29"/>
        <v>0</v>
      </c>
      <c r="N13" s="1539">
        <f t="shared" si="30"/>
        <v>0</v>
      </c>
      <c r="O13" s="1179">
        <v>0</v>
      </c>
      <c r="P13" s="1539">
        <f t="shared" si="31"/>
        <v>0</v>
      </c>
      <c r="Q13" s="1179"/>
      <c r="R13" s="1179">
        <f t="shared" si="32"/>
        <v>0</v>
      </c>
      <c r="S13" s="1539">
        <f t="shared" si="33"/>
        <v>0</v>
      </c>
      <c r="T13" s="1539">
        <f t="shared" si="34"/>
        <v>0</v>
      </c>
      <c r="U13" s="1397">
        <f>+'Table 5C1A-Madison Prep'!U13</f>
        <v>11888</v>
      </c>
      <c r="V13" s="1510">
        <f t="shared" si="22"/>
        <v>0</v>
      </c>
      <c r="W13" s="1391"/>
      <c r="X13" s="1392">
        <f t="shared" si="35"/>
        <v>0</v>
      </c>
      <c r="Y13" s="1391"/>
      <c r="Z13" s="1392">
        <f t="shared" si="36"/>
        <v>0</v>
      </c>
      <c r="AA13" s="1390">
        <f t="shared" si="37"/>
        <v>0</v>
      </c>
      <c r="AB13" s="1510">
        <f t="shared" si="38"/>
        <v>0</v>
      </c>
      <c r="AC13" s="1394">
        <f t="shared" si="39"/>
        <v>0</v>
      </c>
      <c r="AD13" s="1510">
        <f t="shared" si="40"/>
        <v>0</v>
      </c>
      <c r="AE13" s="1395">
        <v>0</v>
      </c>
      <c r="AF13" s="1510">
        <f t="shared" si="41"/>
        <v>0</v>
      </c>
      <c r="AG13" s="1392"/>
      <c r="AH13" s="1392">
        <f t="shared" si="42"/>
        <v>0</v>
      </c>
      <c r="AI13" s="1515">
        <f t="shared" si="23"/>
        <v>0</v>
      </c>
      <c r="AJ13" s="1505">
        <f t="shared" si="43"/>
        <v>0</v>
      </c>
      <c r="AK13" s="1535">
        <f t="shared" si="44"/>
        <v>0</v>
      </c>
    </row>
    <row r="14" spans="1:37" ht="16.2" customHeight="1">
      <c r="A14" s="1176">
        <v>8</v>
      </c>
      <c r="B14" s="1177" t="s">
        <v>88</v>
      </c>
      <c r="C14" s="1178">
        <f>+'Table 8 Membership 2.1.14'!K10</f>
        <v>0</v>
      </c>
      <c r="D14" s="1179">
        <f>+'Table 5C1A-Madison Prep'!D14</f>
        <v>4669.802459558854</v>
      </c>
      <c r="E14" s="1180">
        <f t="shared" si="24"/>
        <v>0</v>
      </c>
      <c r="F14" s="1180">
        <f>+'Table 5C1A-Madison Prep'!F14</f>
        <v>725.76</v>
      </c>
      <c r="G14" s="1180">
        <f t="shared" si="25"/>
        <v>0</v>
      </c>
      <c r="H14" s="1539">
        <f t="shared" si="26"/>
        <v>0</v>
      </c>
      <c r="I14" s="1181"/>
      <c r="J14" s="1181"/>
      <c r="K14" s="1182">
        <f t="shared" si="27"/>
        <v>0</v>
      </c>
      <c r="L14" s="1539">
        <f t="shared" si="28"/>
        <v>0</v>
      </c>
      <c r="M14" s="1388">
        <f t="shared" si="29"/>
        <v>0</v>
      </c>
      <c r="N14" s="1539">
        <f t="shared" si="30"/>
        <v>0</v>
      </c>
      <c r="O14" s="1179">
        <v>0</v>
      </c>
      <c r="P14" s="1539">
        <f t="shared" si="31"/>
        <v>0</v>
      </c>
      <c r="Q14" s="1179"/>
      <c r="R14" s="1179">
        <f t="shared" si="32"/>
        <v>0</v>
      </c>
      <c r="S14" s="1539">
        <f t="shared" si="33"/>
        <v>0</v>
      </c>
      <c r="T14" s="1539">
        <f t="shared" si="34"/>
        <v>0</v>
      </c>
      <c r="U14" s="1397">
        <f>+'Table 5C1A-Madison Prep'!U14</f>
        <v>4024</v>
      </c>
      <c r="V14" s="1510">
        <f t="shared" si="22"/>
        <v>0</v>
      </c>
      <c r="W14" s="1391"/>
      <c r="X14" s="1392">
        <f t="shared" si="35"/>
        <v>0</v>
      </c>
      <c r="Y14" s="1391"/>
      <c r="Z14" s="1392">
        <f t="shared" si="36"/>
        <v>0</v>
      </c>
      <c r="AA14" s="1390">
        <f t="shared" si="37"/>
        <v>0</v>
      </c>
      <c r="AB14" s="1510">
        <f t="shared" si="38"/>
        <v>0</v>
      </c>
      <c r="AC14" s="1394">
        <f t="shared" si="39"/>
        <v>0</v>
      </c>
      <c r="AD14" s="1510">
        <f t="shared" si="40"/>
        <v>0</v>
      </c>
      <c r="AE14" s="1395">
        <v>0</v>
      </c>
      <c r="AF14" s="1510">
        <f t="shared" si="41"/>
        <v>0</v>
      </c>
      <c r="AG14" s="1392"/>
      <c r="AH14" s="1392">
        <f t="shared" si="42"/>
        <v>0</v>
      </c>
      <c r="AI14" s="1515">
        <f t="shared" si="23"/>
        <v>0</v>
      </c>
      <c r="AJ14" s="1505">
        <f t="shared" si="43"/>
        <v>0</v>
      </c>
      <c r="AK14" s="1535">
        <f t="shared" si="44"/>
        <v>0</v>
      </c>
    </row>
    <row r="15" spans="1:37" ht="16.2" customHeight="1">
      <c r="A15" s="1176">
        <v>9</v>
      </c>
      <c r="B15" s="1177" t="s">
        <v>89</v>
      </c>
      <c r="C15" s="1178">
        <f>+'Table 8 Membership 2.1.14'!K11</f>
        <v>0</v>
      </c>
      <c r="D15" s="1179">
        <f>+'Table 5C1A-Madison Prep'!D15</f>
        <v>4632.4615072045008</v>
      </c>
      <c r="E15" s="1180">
        <f t="shared" si="24"/>
        <v>0</v>
      </c>
      <c r="F15" s="1180">
        <f>+'Table 5C1A-Madison Prep'!F15</f>
        <v>744.76</v>
      </c>
      <c r="G15" s="1180">
        <f t="shared" si="25"/>
        <v>0</v>
      </c>
      <c r="H15" s="1539">
        <f t="shared" si="26"/>
        <v>0</v>
      </c>
      <c r="I15" s="1181"/>
      <c r="J15" s="1181"/>
      <c r="K15" s="1182">
        <f t="shared" si="27"/>
        <v>0</v>
      </c>
      <c r="L15" s="1539">
        <f t="shared" si="28"/>
        <v>0</v>
      </c>
      <c r="M15" s="1388">
        <f t="shared" si="29"/>
        <v>0</v>
      </c>
      <c r="N15" s="1539">
        <f t="shared" si="30"/>
        <v>0</v>
      </c>
      <c r="O15" s="1179">
        <v>0</v>
      </c>
      <c r="P15" s="1539">
        <f t="shared" si="31"/>
        <v>0</v>
      </c>
      <c r="Q15" s="1179"/>
      <c r="R15" s="1179">
        <f t="shared" si="32"/>
        <v>0</v>
      </c>
      <c r="S15" s="1539">
        <f t="shared" si="33"/>
        <v>0</v>
      </c>
      <c r="T15" s="1539">
        <f t="shared" si="34"/>
        <v>0</v>
      </c>
      <c r="U15" s="1397">
        <f>+'Table 5C1A-Madison Prep'!U15</f>
        <v>4828</v>
      </c>
      <c r="V15" s="1510">
        <f t="shared" si="22"/>
        <v>0</v>
      </c>
      <c r="W15" s="1391"/>
      <c r="X15" s="1392">
        <f t="shared" si="35"/>
        <v>0</v>
      </c>
      <c r="Y15" s="1391"/>
      <c r="Z15" s="1392">
        <f t="shared" si="36"/>
        <v>0</v>
      </c>
      <c r="AA15" s="1390">
        <f t="shared" si="37"/>
        <v>0</v>
      </c>
      <c r="AB15" s="1510">
        <f t="shared" si="38"/>
        <v>0</v>
      </c>
      <c r="AC15" s="1394">
        <f t="shared" si="39"/>
        <v>0</v>
      </c>
      <c r="AD15" s="1510">
        <f t="shared" si="40"/>
        <v>0</v>
      </c>
      <c r="AE15" s="1395">
        <v>0</v>
      </c>
      <c r="AF15" s="1510">
        <f t="shared" si="41"/>
        <v>0</v>
      </c>
      <c r="AG15" s="1392"/>
      <c r="AH15" s="1392">
        <f t="shared" si="42"/>
        <v>0</v>
      </c>
      <c r="AI15" s="1515">
        <f t="shared" si="23"/>
        <v>0</v>
      </c>
      <c r="AJ15" s="1505">
        <f t="shared" si="43"/>
        <v>0</v>
      </c>
      <c r="AK15" s="1535">
        <f t="shared" si="44"/>
        <v>0</v>
      </c>
    </row>
    <row r="16" spans="1:37" ht="16.2" customHeight="1">
      <c r="A16" s="1168">
        <v>10</v>
      </c>
      <c r="B16" s="1169" t="s">
        <v>90</v>
      </c>
      <c r="C16" s="1170">
        <f>+'Table 8 Membership 2.1.14'!K12</f>
        <v>0</v>
      </c>
      <c r="D16" s="1171">
        <f>+'Table 5C1A-Madison Prep'!D16</f>
        <v>4384.374733918472</v>
      </c>
      <c r="E16" s="1172">
        <f t="shared" si="24"/>
        <v>0</v>
      </c>
      <c r="F16" s="1172">
        <f>+'Table 5C1A-Madison Prep'!F16</f>
        <v>608.04000000000008</v>
      </c>
      <c r="G16" s="1172">
        <f t="shared" si="25"/>
        <v>0</v>
      </c>
      <c r="H16" s="1540">
        <f t="shared" si="26"/>
        <v>0</v>
      </c>
      <c r="I16" s="1173"/>
      <c r="J16" s="1173"/>
      <c r="K16" s="1174">
        <f t="shared" si="27"/>
        <v>0</v>
      </c>
      <c r="L16" s="1540">
        <f t="shared" si="28"/>
        <v>0</v>
      </c>
      <c r="M16" s="1399">
        <f t="shared" si="29"/>
        <v>0</v>
      </c>
      <c r="N16" s="1540">
        <f t="shared" si="30"/>
        <v>0</v>
      </c>
      <c r="O16" s="1171">
        <v>0</v>
      </c>
      <c r="P16" s="1540">
        <f t="shared" si="31"/>
        <v>0</v>
      </c>
      <c r="Q16" s="1171"/>
      <c r="R16" s="1171">
        <f t="shared" si="32"/>
        <v>0</v>
      </c>
      <c r="S16" s="1540">
        <f t="shared" si="33"/>
        <v>0</v>
      </c>
      <c r="T16" s="1540">
        <f t="shared" si="34"/>
        <v>0</v>
      </c>
      <c r="U16" s="1387">
        <f>+'Table 5C1A-Madison Prep'!U16</f>
        <v>4565</v>
      </c>
      <c r="V16" s="1511">
        <f t="shared" si="22"/>
        <v>0</v>
      </c>
      <c r="W16" s="1400"/>
      <c r="X16" s="1383">
        <f t="shared" si="35"/>
        <v>0</v>
      </c>
      <c r="Y16" s="1400"/>
      <c r="Z16" s="1383">
        <f t="shared" si="36"/>
        <v>0</v>
      </c>
      <c r="AA16" s="1384">
        <f t="shared" si="37"/>
        <v>0</v>
      </c>
      <c r="AB16" s="1511">
        <f t="shared" si="38"/>
        <v>0</v>
      </c>
      <c r="AC16" s="1402">
        <f t="shared" si="39"/>
        <v>0</v>
      </c>
      <c r="AD16" s="1511">
        <f t="shared" si="40"/>
        <v>0</v>
      </c>
      <c r="AE16" s="1385">
        <v>0</v>
      </c>
      <c r="AF16" s="1511">
        <f t="shared" si="41"/>
        <v>0</v>
      </c>
      <c r="AG16" s="1383"/>
      <c r="AH16" s="1383">
        <f t="shared" si="42"/>
        <v>0</v>
      </c>
      <c r="AI16" s="1516">
        <f t="shared" si="23"/>
        <v>0</v>
      </c>
      <c r="AJ16" s="1531">
        <f t="shared" si="43"/>
        <v>0</v>
      </c>
      <c r="AK16" s="1536">
        <f t="shared" si="44"/>
        <v>0</v>
      </c>
    </row>
    <row r="17" spans="1:37" ht="16.2" customHeight="1">
      <c r="A17" s="1183">
        <v>11</v>
      </c>
      <c r="B17" s="1184" t="s">
        <v>91</v>
      </c>
      <c r="C17" s="1185">
        <f>+'Table 8 Membership 2.1.14'!K13</f>
        <v>0</v>
      </c>
      <c r="D17" s="1186">
        <f>+'Table 5C1A-Madison Prep'!D17</f>
        <v>7098.5372236353351</v>
      </c>
      <c r="E17" s="1187">
        <f t="shared" si="24"/>
        <v>0</v>
      </c>
      <c r="F17" s="1187">
        <f>+'Table 5C1A-Madison Prep'!F17</f>
        <v>706.55</v>
      </c>
      <c r="G17" s="1187">
        <f t="shared" si="25"/>
        <v>0</v>
      </c>
      <c r="H17" s="1538">
        <f t="shared" si="26"/>
        <v>0</v>
      </c>
      <c r="I17" s="1188"/>
      <c r="J17" s="1188"/>
      <c r="K17" s="1189">
        <f t="shared" si="27"/>
        <v>0</v>
      </c>
      <c r="L17" s="1538">
        <f t="shared" si="28"/>
        <v>0</v>
      </c>
      <c r="M17" s="1372">
        <f t="shared" si="29"/>
        <v>0</v>
      </c>
      <c r="N17" s="1538">
        <f t="shared" si="30"/>
        <v>0</v>
      </c>
      <c r="O17" s="1186">
        <v>0</v>
      </c>
      <c r="P17" s="1538">
        <f t="shared" si="31"/>
        <v>0</v>
      </c>
      <c r="Q17" s="1186"/>
      <c r="R17" s="1186">
        <f t="shared" si="32"/>
        <v>0</v>
      </c>
      <c r="S17" s="1538">
        <f t="shared" si="33"/>
        <v>0</v>
      </c>
      <c r="T17" s="1538">
        <f t="shared" si="34"/>
        <v>0</v>
      </c>
      <c r="U17" s="1381">
        <f>+'Table 5C1A-Madison Prep'!U17</f>
        <v>3587</v>
      </c>
      <c r="V17" s="1509">
        <f t="shared" si="22"/>
        <v>0</v>
      </c>
      <c r="W17" s="1375"/>
      <c r="X17" s="1376">
        <f t="shared" si="35"/>
        <v>0</v>
      </c>
      <c r="Y17" s="1375"/>
      <c r="Z17" s="1376">
        <f t="shared" si="36"/>
        <v>0</v>
      </c>
      <c r="AA17" s="1374">
        <f t="shared" si="37"/>
        <v>0</v>
      </c>
      <c r="AB17" s="1509">
        <f t="shared" si="38"/>
        <v>0</v>
      </c>
      <c r="AC17" s="1378">
        <f t="shared" si="39"/>
        <v>0</v>
      </c>
      <c r="AD17" s="1509">
        <f t="shared" si="40"/>
        <v>0</v>
      </c>
      <c r="AE17" s="1379">
        <v>0</v>
      </c>
      <c r="AF17" s="1509">
        <f t="shared" si="41"/>
        <v>0</v>
      </c>
      <c r="AG17" s="1376"/>
      <c r="AH17" s="1376">
        <f t="shared" si="42"/>
        <v>0</v>
      </c>
      <c r="AI17" s="1514">
        <f t="shared" si="23"/>
        <v>0</v>
      </c>
      <c r="AJ17" s="1530">
        <f t="shared" si="43"/>
        <v>0</v>
      </c>
      <c r="AK17" s="1534">
        <f t="shared" si="44"/>
        <v>0</v>
      </c>
    </row>
    <row r="18" spans="1:37" ht="16.2" customHeight="1">
      <c r="A18" s="1176">
        <v>12</v>
      </c>
      <c r="B18" s="1177" t="s">
        <v>92</v>
      </c>
      <c r="C18" s="1178">
        <f>+'Table 8 Membership 2.1.14'!K14</f>
        <v>0</v>
      </c>
      <c r="D18" s="1179">
        <f>+'Table 5C1A-Madison Prep'!D18</f>
        <v>1666.6040983606558</v>
      </c>
      <c r="E18" s="1180">
        <f t="shared" si="24"/>
        <v>0</v>
      </c>
      <c r="F18" s="1180">
        <f>+'Table 5C1A-Madison Prep'!F18</f>
        <v>1063.31</v>
      </c>
      <c r="G18" s="1180">
        <f t="shared" si="25"/>
        <v>0</v>
      </c>
      <c r="H18" s="1539">
        <f t="shared" si="26"/>
        <v>0</v>
      </c>
      <c r="I18" s="1181"/>
      <c r="J18" s="1181"/>
      <c r="K18" s="1182">
        <f t="shared" si="27"/>
        <v>0</v>
      </c>
      <c r="L18" s="1539">
        <f t="shared" si="28"/>
        <v>0</v>
      </c>
      <c r="M18" s="1388">
        <f t="shared" si="29"/>
        <v>0</v>
      </c>
      <c r="N18" s="1539">
        <f t="shared" si="30"/>
        <v>0</v>
      </c>
      <c r="O18" s="1179">
        <v>0</v>
      </c>
      <c r="P18" s="1539">
        <f t="shared" si="31"/>
        <v>0</v>
      </c>
      <c r="Q18" s="1179"/>
      <c r="R18" s="1179">
        <f t="shared" si="32"/>
        <v>0</v>
      </c>
      <c r="S18" s="1539">
        <f t="shared" si="33"/>
        <v>0</v>
      </c>
      <c r="T18" s="1539">
        <f t="shared" si="34"/>
        <v>0</v>
      </c>
      <c r="U18" s="1397">
        <f>+'Table 5C1A-Madison Prep'!U18</f>
        <v>8094</v>
      </c>
      <c r="V18" s="1510">
        <f t="shared" si="22"/>
        <v>0</v>
      </c>
      <c r="W18" s="1391"/>
      <c r="X18" s="1392">
        <f t="shared" si="35"/>
        <v>0</v>
      </c>
      <c r="Y18" s="1391"/>
      <c r="Z18" s="1392">
        <f t="shared" si="36"/>
        <v>0</v>
      </c>
      <c r="AA18" s="1390">
        <f t="shared" si="37"/>
        <v>0</v>
      </c>
      <c r="AB18" s="1510">
        <f t="shared" si="38"/>
        <v>0</v>
      </c>
      <c r="AC18" s="1394">
        <f t="shared" si="39"/>
        <v>0</v>
      </c>
      <c r="AD18" s="1510">
        <f t="shared" si="40"/>
        <v>0</v>
      </c>
      <c r="AE18" s="1395">
        <v>0</v>
      </c>
      <c r="AF18" s="1510">
        <f t="shared" si="41"/>
        <v>0</v>
      </c>
      <c r="AG18" s="1392"/>
      <c r="AH18" s="1392">
        <f t="shared" si="42"/>
        <v>0</v>
      </c>
      <c r="AI18" s="1515">
        <f t="shared" si="23"/>
        <v>0</v>
      </c>
      <c r="AJ18" s="1505">
        <f t="shared" si="43"/>
        <v>0</v>
      </c>
      <c r="AK18" s="1535">
        <f t="shared" si="44"/>
        <v>0</v>
      </c>
    </row>
    <row r="19" spans="1:37" ht="16.2" customHeight="1">
      <c r="A19" s="1176">
        <v>13</v>
      </c>
      <c r="B19" s="1177" t="s">
        <v>93</v>
      </c>
      <c r="C19" s="1178">
        <f>+'Table 8 Membership 2.1.14'!K15</f>
        <v>0</v>
      </c>
      <c r="D19" s="1179">
        <f>+'Table 5C1A-Madison Prep'!D19</f>
        <v>6433.6297758332212</v>
      </c>
      <c r="E19" s="1180">
        <f t="shared" si="24"/>
        <v>0</v>
      </c>
      <c r="F19" s="1180">
        <f>+'Table 5C1A-Madison Prep'!F19</f>
        <v>749.43000000000006</v>
      </c>
      <c r="G19" s="1180">
        <f t="shared" si="25"/>
        <v>0</v>
      </c>
      <c r="H19" s="1539">
        <f t="shared" si="26"/>
        <v>0</v>
      </c>
      <c r="I19" s="1181"/>
      <c r="J19" s="1181"/>
      <c r="K19" s="1182">
        <f t="shared" si="27"/>
        <v>0</v>
      </c>
      <c r="L19" s="1539">
        <f t="shared" si="28"/>
        <v>0</v>
      </c>
      <c r="M19" s="1388">
        <f t="shared" si="29"/>
        <v>0</v>
      </c>
      <c r="N19" s="1539">
        <f t="shared" si="30"/>
        <v>0</v>
      </c>
      <c r="O19" s="1179">
        <v>0</v>
      </c>
      <c r="P19" s="1539">
        <f t="shared" si="31"/>
        <v>0</v>
      </c>
      <c r="Q19" s="1179"/>
      <c r="R19" s="1179">
        <f t="shared" si="32"/>
        <v>0</v>
      </c>
      <c r="S19" s="1539">
        <f t="shared" si="33"/>
        <v>0</v>
      </c>
      <c r="T19" s="1539">
        <f t="shared" si="34"/>
        <v>0</v>
      </c>
      <c r="U19" s="1397">
        <f>+'Table 5C1A-Madison Prep'!U19</f>
        <v>2842</v>
      </c>
      <c r="V19" s="1510">
        <f t="shared" si="22"/>
        <v>0</v>
      </c>
      <c r="W19" s="1391"/>
      <c r="X19" s="1392">
        <f t="shared" si="35"/>
        <v>0</v>
      </c>
      <c r="Y19" s="1391"/>
      <c r="Z19" s="1392">
        <f t="shared" si="36"/>
        <v>0</v>
      </c>
      <c r="AA19" s="1390">
        <f t="shared" si="37"/>
        <v>0</v>
      </c>
      <c r="AB19" s="1510">
        <f t="shared" si="38"/>
        <v>0</v>
      </c>
      <c r="AC19" s="1394">
        <f t="shared" si="39"/>
        <v>0</v>
      </c>
      <c r="AD19" s="1510">
        <f t="shared" si="40"/>
        <v>0</v>
      </c>
      <c r="AE19" s="1395">
        <v>0</v>
      </c>
      <c r="AF19" s="1510">
        <f t="shared" si="41"/>
        <v>0</v>
      </c>
      <c r="AG19" s="1392"/>
      <c r="AH19" s="1392">
        <f t="shared" si="42"/>
        <v>0</v>
      </c>
      <c r="AI19" s="1515">
        <f t="shared" si="23"/>
        <v>0</v>
      </c>
      <c r="AJ19" s="1505">
        <f t="shared" si="43"/>
        <v>0</v>
      </c>
      <c r="AK19" s="1535">
        <f t="shared" si="44"/>
        <v>0</v>
      </c>
    </row>
    <row r="20" spans="1:37" ht="16.2" customHeight="1">
      <c r="A20" s="1176">
        <v>14</v>
      </c>
      <c r="B20" s="1177" t="s">
        <v>94</v>
      </c>
      <c r="C20" s="1178">
        <f>+'Table 8 Membership 2.1.14'!K16</f>
        <v>0</v>
      </c>
      <c r="D20" s="1179">
        <f>+'Table 5C1A-Madison Prep'!D20</f>
        <v>5334.9509412500001</v>
      </c>
      <c r="E20" s="1180">
        <f t="shared" si="24"/>
        <v>0</v>
      </c>
      <c r="F20" s="1180">
        <f>+'Table 5C1A-Madison Prep'!F20</f>
        <v>809.9799999999999</v>
      </c>
      <c r="G20" s="1180">
        <f t="shared" si="25"/>
        <v>0</v>
      </c>
      <c r="H20" s="1539">
        <f t="shared" si="26"/>
        <v>0</v>
      </c>
      <c r="I20" s="1181"/>
      <c r="J20" s="1181"/>
      <c r="K20" s="1182">
        <f t="shared" si="27"/>
        <v>0</v>
      </c>
      <c r="L20" s="1539">
        <f t="shared" si="28"/>
        <v>0</v>
      </c>
      <c r="M20" s="1388">
        <f t="shared" si="29"/>
        <v>0</v>
      </c>
      <c r="N20" s="1539">
        <f t="shared" si="30"/>
        <v>0</v>
      </c>
      <c r="O20" s="1179">
        <v>0</v>
      </c>
      <c r="P20" s="1539">
        <f t="shared" si="31"/>
        <v>0</v>
      </c>
      <c r="Q20" s="1179"/>
      <c r="R20" s="1179">
        <f t="shared" si="32"/>
        <v>0</v>
      </c>
      <c r="S20" s="1539">
        <f t="shared" si="33"/>
        <v>0</v>
      </c>
      <c r="T20" s="1539">
        <f t="shared" si="34"/>
        <v>0</v>
      </c>
      <c r="U20" s="1397">
        <f>+'Table 5C1A-Madison Prep'!U20</f>
        <v>4205</v>
      </c>
      <c r="V20" s="1510">
        <f t="shared" si="22"/>
        <v>0</v>
      </c>
      <c r="W20" s="1391"/>
      <c r="X20" s="1392">
        <f t="shared" si="35"/>
        <v>0</v>
      </c>
      <c r="Y20" s="1391"/>
      <c r="Z20" s="1392">
        <f t="shared" si="36"/>
        <v>0</v>
      </c>
      <c r="AA20" s="1390">
        <f t="shared" si="37"/>
        <v>0</v>
      </c>
      <c r="AB20" s="1510">
        <f t="shared" si="38"/>
        <v>0</v>
      </c>
      <c r="AC20" s="1394">
        <f t="shared" si="39"/>
        <v>0</v>
      </c>
      <c r="AD20" s="1510">
        <f t="shared" si="40"/>
        <v>0</v>
      </c>
      <c r="AE20" s="1395">
        <v>0</v>
      </c>
      <c r="AF20" s="1510">
        <f t="shared" si="41"/>
        <v>0</v>
      </c>
      <c r="AG20" s="1392"/>
      <c r="AH20" s="1392">
        <f t="shared" si="42"/>
        <v>0</v>
      </c>
      <c r="AI20" s="1515">
        <f t="shared" si="23"/>
        <v>0</v>
      </c>
      <c r="AJ20" s="1505">
        <f t="shared" si="43"/>
        <v>0</v>
      </c>
      <c r="AK20" s="1535">
        <f t="shared" si="44"/>
        <v>0</v>
      </c>
    </row>
    <row r="21" spans="1:37" ht="16.2" customHeight="1">
      <c r="A21" s="1168">
        <v>15</v>
      </c>
      <c r="B21" s="1169" t="s">
        <v>95</v>
      </c>
      <c r="C21" s="1170">
        <f>+'Table 8 Membership 2.1.14'!K17</f>
        <v>0</v>
      </c>
      <c r="D21" s="1171">
        <f>+'Table 5C1A-Madison Prep'!D21</f>
        <v>5749.8285214059952</v>
      </c>
      <c r="E21" s="1172">
        <f t="shared" si="24"/>
        <v>0</v>
      </c>
      <c r="F21" s="1172">
        <f>+'Table 5C1A-Madison Prep'!F21</f>
        <v>553.79999999999995</v>
      </c>
      <c r="G21" s="1172">
        <f t="shared" si="25"/>
        <v>0</v>
      </c>
      <c r="H21" s="1540">
        <f t="shared" si="26"/>
        <v>0</v>
      </c>
      <c r="I21" s="1173"/>
      <c r="J21" s="1173"/>
      <c r="K21" s="1174">
        <f t="shared" si="27"/>
        <v>0</v>
      </c>
      <c r="L21" s="1540">
        <f t="shared" si="28"/>
        <v>0</v>
      </c>
      <c r="M21" s="1399">
        <f t="shared" si="29"/>
        <v>0</v>
      </c>
      <c r="N21" s="1540">
        <f t="shared" si="30"/>
        <v>0</v>
      </c>
      <c r="O21" s="1171">
        <v>0</v>
      </c>
      <c r="P21" s="1540">
        <f t="shared" si="31"/>
        <v>0</v>
      </c>
      <c r="Q21" s="1171"/>
      <c r="R21" s="1171">
        <f t="shared" si="32"/>
        <v>0</v>
      </c>
      <c r="S21" s="1540">
        <f t="shared" si="33"/>
        <v>0</v>
      </c>
      <c r="T21" s="1540">
        <f t="shared" si="34"/>
        <v>0</v>
      </c>
      <c r="U21" s="1387">
        <f>+'Table 5C1A-Madison Prep'!U21</f>
        <v>2535</v>
      </c>
      <c r="V21" s="1511">
        <f t="shared" si="22"/>
        <v>0</v>
      </c>
      <c r="W21" s="1400"/>
      <c r="X21" s="1383">
        <f t="shared" si="35"/>
        <v>0</v>
      </c>
      <c r="Y21" s="1400"/>
      <c r="Z21" s="1383">
        <f t="shared" si="36"/>
        <v>0</v>
      </c>
      <c r="AA21" s="1384">
        <f t="shared" si="37"/>
        <v>0</v>
      </c>
      <c r="AB21" s="1511">
        <f t="shared" si="38"/>
        <v>0</v>
      </c>
      <c r="AC21" s="1402">
        <f t="shared" si="39"/>
        <v>0</v>
      </c>
      <c r="AD21" s="1511">
        <f t="shared" si="40"/>
        <v>0</v>
      </c>
      <c r="AE21" s="1385">
        <v>0</v>
      </c>
      <c r="AF21" s="1511">
        <f t="shared" si="41"/>
        <v>0</v>
      </c>
      <c r="AG21" s="1383"/>
      <c r="AH21" s="1383">
        <f t="shared" si="42"/>
        <v>0</v>
      </c>
      <c r="AI21" s="1516">
        <f t="shared" si="23"/>
        <v>0</v>
      </c>
      <c r="AJ21" s="1531">
        <f t="shared" si="43"/>
        <v>0</v>
      </c>
      <c r="AK21" s="1536">
        <f t="shared" si="44"/>
        <v>0</v>
      </c>
    </row>
    <row r="22" spans="1:37" ht="16.2" customHeight="1">
      <c r="A22" s="1183">
        <v>16</v>
      </c>
      <c r="B22" s="1184" t="s">
        <v>96</v>
      </c>
      <c r="C22" s="1185">
        <f>+'Table 8 Membership 2.1.14'!K18</f>
        <v>0</v>
      </c>
      <c r="D22" s="1186">
        <f>+'Table 5C1A-Madison Prep'!D22</f>
        <v>1980.2494354342025</v>
      </c>
      <c r="E22" s="1187">
        <f t="shared" si="24"/>
        <v>0</v>
      </c>
      <c r="F22" s="1187">
        <f>+'Table 5C1A-Madison Prep'!F22</f>
        <v>686.73</v>
      </c>
      <c r="G22" s="1187">
        <f t="shared" si="25"/>
        <v>0</v>
      </c>
      <c r="H22" s="1538">
        <f t="shared" si="26"/>
        <v>0</v>
      </c>
      <c r="I22" s="1188"/>
      <c r="J22" s="1188"/>
      <c r="K22" s="1189">
        <f t="shared" si="27"/>
        <v>0</v>
      </c>
      <c r="L22" s="1538">
        <f t="shared" si="28"/>
        <v>0</v>
      </c>
      <c r="M22" s="1372">
        <f t="shared" si="29"/>
        <v>0</v>
      </c>
      <c r="N22" s="1538">
        <f t="shared" si="30"/>
        <v>0</v>
      </c>
      <c r="O22" s="1186">
        <v>0</v>
      </c>
      <c r="P22" s="1538">
        <f t="shared" si="31"/>
        <v>0</v>
      </c>
      <c r="Q22" s="1186"/>
      <c r="R22" s="1186">
        <f t="shared" si="32"/>
        <v>0</v>
      </c>
      <c r="S22" s="1538">
        <f t="shared" si="33"/>
        <v>0</v>
      </c>
      <c r="T22" s="1538">
        <f t="shared" si="34"/>
        <v>0</v>
      </c>
      <c r="U22" s="1381">
        <f>+'Table 5C1A-Madison Prep'!U22</f>
        <v>12768</v>
      </c>
      <c r="V22" s="1509">
        <f t="shared" si="22"/>
        <v>0</v>
      </c>
      <c r="W22" s="1375"/>
      <c r="X22" s="1376">
        <f t="shared" si="35"/>
        <v>0</v>
      </c>
      <c r="Y22" s="1375"/>
      <c r="Z22" s="1376">
        <f t="shared" si="36"/>
        <v>0</v>
      </c>
      <c r="AA22" s="1374">
        <f t="shared" si="37"/>
        <v>0</v>
      </c>
      <c r="AB22" s="1509">
        <f t="shared" si="38"/>
        <v>0</v>
      </c>
      <c r="AC22" s="1378">
        <f t="shared" si="39"/>
        <v>0</v>
      </c>
      <c r="AD22" s="1509">
        <f t="shared" si="40"/>
        <v>0</v>
      </c>
      <c r="AE22" s="1379">
        <v>0</v>
      </c>
      <c r="AF22" s="1509">
        <f t="shared" si="41"/>
        <v>0</v>
      </c>
      <c r="AG22" s="1376"/>
      <c r="AH22" s="1376">
        <f t="shared" si="42"/>
        <v>0</v>
      </c>
      <c r="AI22" s="1514">
        <f t="shared" si="23"/>
        <v>0</v>
      </c>
      <c r="AJ22" s="1530">
        <f t="shared" si="43"/>
        <v>0</v>
      </c>
      <c r="AK22" s="1534">
        <f t="shared" si="44"/>
        <v>0</v>
      </c>
    </row>
    <row r="23" spans="1:37" ht="16.2" customHeight="1">
      <c r="A23" s="1176">
        <v>17</v>
      </c>
      <c r="B23" s="1177" t="s">
        <v>97</v>
      </c>
      <c r="C23" s="1178">
        <f>+'Table 8 Membership 2.1.14'!K19</f>
        <v>0</v>
      </c>
      <c r="D23" s="1179">
        <f>+'Table 5C1A-Madison Prep'!D23</f>
        <v>3363.5980368254495</v>
      </c>
      <c r="E23" s="1180">
        <f t="shared" si="24"/>
        <v>0</v>
      </c>
      <c r="F23" s="1180">
        <f>+'Table 5C1A-Madison Prep'!F23</f>
        <v>801.47762416806802</v>
      </c>
      <c r="G23" s="1180">
        <f t="shared" si="25"/>
        <v>0</v>
      </c>
      <c r="H23" s="1539">
        <f t="shared" si="26"/>
        <v>0</v>
      </c>
      <c r="I23" s="1181"/>
      <c r="J23" s="1181"/>
      <c r="K23" s="1182">
        <f t="shared" si="27"/>
        <v>0</v>
      </c>
      <c r="L23" s="1539">
        <f t="shared" si="28"/>
        <v>0</v>
      </c>
      <c r="M23" s="1388">
        <f t="shared" si="29"/>
        <v>0</v>
      </c>
      <c r="N23" s="1539">
        <f t="shared" si="30"/>
        <v>0</v>
      </c>
      <c r="O23" s="1179">
        <v>0</v>
      </c>
      <c r="P23" s="1539">
        <f t="shared" si="31"/>
        <v>0</v>
      </c>
      <c r="Q23" s="1179"/>
      <c r="R23" s="1179">
        <f t="shared" si="32"/>
        <v>0</v>
      </c>
      <c r="S23" s="1539">
        <f t="shared" si="33"/>
        <v>0</v>
      </c>
      <c r="T23" s="1539">
        <f t="shared" si="34"/>
        <v>0</v>
      </c>
      <c r="U23" s="1397">
        <f>+'Table 5C1A-Madison Prep'!U23</f>
        <v>7050</v>
      </c>
      <c r="V23" s="1510">
        <f t="shared" si="22"/>
        <v>0</v>
      </c>
      <c r="W23" s="1391"/>
      <c r="X23" s="1392">
        <f t="shared" si="35"/>
        <v>0</v>
      </c>
      <c r="Y23" s="1391"/>
      <c r="Z23" s="1392">
        <f t="shared" si="36"/>
        <v>0</v>
      </c>
      <c r="AA23" s="1390">
        <f t="shared" si="37"/>
        <v>0</v>
      </c>
      <c r="AB23" s="1510">
        <f t="shared" si="38"/>
        <v>0</v>
      </c>
      <c r="AC23" s="1394">
        <f t="shared" si="39"/>
        <v>0</v>
      </c>
      <c r="AD23" s="1510">
        <f t="shared" si="40"/>
        <v>0</v>
      </c>
      <c r="AE23" s="1395">
        <v>0</v>
      </c>
      <c r="AF23" s="1510">
        <f t="shared" si="41"/>
        <v>0</v>
      </c>
      <c r="AG23" s="1392"/>
      <c r="AH23" s="1392">
        <f t="shared" si="42"/>
        <v>0</v>
      </c>
      <c r="AI23" s="1515">
        <f t="shared" si="23"/>
        <v>0</v>
      </c>
      <c r="AJ23" s="1505">
        <f t="shared" si="43"/>
        <v>0</v>
      </c>
      <c r="AK23" s="1535">
        <f t="shared" si="44"/>
        <v>0</v>
      </c>
    </row>
    <row r="24" spans="1:37" ht="16.2" customHeight="1">
      <c r="A24" s="1176">
        <v>18</v>
      </c>
      <c r="B24" s="1177" t="s">
        <v>98</v>
      </c>
      <c r="C24" s="1178">
        <f>+'Table 8 Membership 2.1.14'!K20</f>
        <v>0</v>
      </c>
      <c r="D24" s="1179">
        <f>+'Table 5C1A-Madison Prep'!D24</f>
        <v>6354.5533500475731</v>
      </c>
      <c r="E24" s="1180">
        <f t="shared" si="24"/>
        <v>0</v>
      </c>
      <c r="F24" s="1180">
        <f>+'Table 5C1A-Madison Prep'!F24</f>
        <v>845.94999999999993</v>
      </c>
      <c r="G24" s="1180">
        <f t="shared" si="25"/>
        <v>0</v>
      </c>
      <c r="H24" s="1539">
        <f t="shared" si="26"/>
        <v>0</v>
      </c>
      <c r="I24" s="1181"/>
      <c r="J24" s="1181"/>
      <c r="K24" s="1182">
        <f t="shared" si="27"/>
        <v>0</v>
      </c>
      <c r="L24" s="1539">
        <f t="shared" si="28"/>
        <v>0</v>
      </c>
      <c r="M24" s="1388">
        <f t="shared" si="29"/>
        <v>0</v>
      </c>
      <c r="N24" s="1539">
        <f t="shared" si="30"/>
        <v>0</v>
      </c>
      <c r="O24" s="1179">
        <v>0</v>
      </c>
      <c r="P24" s="1539">
        <f t="shared" si="31"/>
        <v>0</v>
      </c>
      <c r="Q24" s="1179"/>
      <c r="R24" s="1179">
        <f t="shared" si="32"/>
        <v>0</v>
      </c>
      <c r="S24" s="1539">
        <f t="shared" si="33"/>
        <v>0</v>
      </c>
      <c r="T24" s="1539">
        <f t="shared" si="34"/>
        <v>0</v>
      </c>
      <c r="U24" s="1397">
        <f>+'Table 5C1A-Madison Prep'!U24</f>
        <v>2526</v>
      </c>
      <c r="V24" s="1510">
        <f t="shared" si="22"/>
        <v>0</v>
      </c>
      <c r="W24" s="1391"/>
      <c r="X24" s="1392">
        <f t="shared" si="35"/>
        <v>0</v>
      </c>
      <c r="Y24" s="1391"/>
      <c r="Z24" s="1392">
        <f t="shared" si="36"/>
        <v>0</v>
      </c>
      <c r="AA24" s="1390">
        <f t="shared" si="37"/>
        <v>0</v>
      </c>
      <c r="AB24" s="1510">
        <f t="shared" si="38"/>
        <v>0</v>
      </c>
      <c r="AC24" s="1394">
        <f t="shared" si="39"/>
        <v>0</v>
      </c>
      <c r="AD24" s="1510">
        <f t="shared" si="40"/>
        <v>0</v>
      </c>
      <c r="AE24" s="1395">
        <v>0</v>
      </c>
      <c r="AF24" s="1510">
        <f t="shared" si="41"/>
        <v>0</v>
      </c>
      <c r="AG24" s="1392"/>
      <c r="AH24" s="1392">
        <f t="shared" si="42"/>
        <v>0</v>
      </c>
      <c r="AI24" s="1515">
        <f t="shared" si="23"/>
        <v>0</v>
      </c>
      <c r="AJ24" s="1505">
        <f t="shared" si="43"/>
        <v>0</v>
      </c>
      <c r="AK24" s="1535">
        <f t="shared" si="44"/>
        <v>0</v>
      </c>
    </row>
    <row r="25" spans="1:37" ht="16.2" customHeight="1">
      <c r="A25" s="1176">
        <v>19</v>
      </c>
      <c r="B25" s="1177" t="s">
        <v>99</v>
      </c>
      <c r="C25" s="1178">
        <f>+'Table 8 Membership 2.1.14'!K21</f>
        <v>0</v>
      </c>
      <c r="D25" s="1179">
        <f>+'Table 5C1A-Madison Prep'!D25</f>
        <v>5314.3921869460446</v>
      </c>
      <c r="E25" s="1180">
        <f t="shared" si="24"/>
        <v>0</v>
      </c>
      <c r="F25" s="1180">
        <f>+'Table 5C1A-Madison Prep'!F25</f>
        <v>905.43</v>
      </c>
      <c r="G25" s="1180">
        <f t="shared" si="25"/>
        <v>0</v>
      </c>
      <c r="H25" s="1539">
        <f t="shared" si="26"/>
        <v>0</v>
      </c>
      <c r="I25" s="1181"/>
      <c r="J25" s="1181"/>
      <c r="K25" s="1182">
        <f t="shared" si="27"/>
        <v>0</v>
      </c>
      <c r="L25" s="1539">
        <f t="shared" si="28"/>
        <v>0</v>
      </c>
      <c r="M25" s="1388">
        <f t="shared" si="29"/>
        <v>0</v>
      </c>
      <c r="N25" s="1539">
        <f t="shared" si="30"/>
        <v>0</v>
      </c>
      <c r="O25" s="1179">
        <v>0</v>
      </c>
      <c r="P25" s="1539">
        <f t="shared" si="31"/>
        <v>0</v>
      </c>
      <c r="Q25" s="1179"/>
      <c r="R25" s="1179">
        <f t="shared" si="32"/>
        <v>0</v>
      </c>
      <c r="S25" s="1539">
        <f t="shared" si="33"/>
        <v>0</v>
      </c>
      <c r="T25" s="1539">
        <f t="shared" si="34"/>
        <v>0</v>
      </c>
      <c r="U25" s="1397">
        <f>+'Table 5C1A-Madison Prep'!U25</f>
        <v>2908</v>
      </c>
      <c r="V25" s="1510">
        <f t="shared" si="22"/>
        <v>0</v>
      </c>
      <c r="W25" s="1391"/>
      <c r="X25" s="1392">
        <f t="shared" si="35"/>
        <v>0</v>
      </c>
      <c r="Y25" s="1391"/>
      <c r="Z25" s="1392">
        <f t="shared" si="36"/>
        <v>0</v>
      </c>
      <c r="AA25" s="1390">
        <f t="shared" si="37"/>
        <v>0</v>
      </c>
      <c r="AB25" s="1510">
        <f t="shared" si="38"/>
        <v>0</v>
      </c>
      <c r="AC25" s="1394">
        <f t="shared" si="39"/>
        <v>0</v>
      </c>
      <c r="AD25" s="1510">
        <f t="shared" si="40"/>
        <v>0</v>
      </c>
      <c r="AE25" s="1395">
        <v>0</v>
      </c>
      <c r="AF25" s="1510">
        <f t="shared" si="41"/>
        <v>0</v>
      </c>
      <c r="AG25" s="1392"/>
      <c r="AH25" s="1392">
        <f t="shared" si="42"/>
        <v>0</v>
      </c>
      <c r="AI25" s="1515">
        <f t="shared" si="23"/>
        <v>0</v>
      </c>
      <c r="AJ25" s="1505">
        <f t="shared" si="43"/>
        <v>0</v>
      </c>
      <c r="AK25" s="1535">
        <f t="shared" si="44"/>
        <v>0</v>
      </c>
    </row>
    <row r="26" spans="1:37" ht="16.2" customHeight="1">
      <c r="A26" s="1168">
        <v>20</v>
      </c>
      <c r="B26" s="1169" t="s">
        <v>100</v>
      </c>
      <c r="C26" s="1170">
        <f>+'Table 8 Membership 2.1.14'!K22</f>
        <v>0</v>
      </c>
      <c r="D26" s="1171">
        <f>+'Table 5C1A-Madison Prep'!D26</f>
        <v>5278.5201565562011</v>
      </c>
      <c r="E26" s="1172">
        <f t="shared" si="24"/>
        <v>0</v>
      </c>
      <c r="F26" s="1172">
        <f>+'Table 5C1A-Madison Prep'!F26</f>
        <v>586.16999999999996</v>
      </c>
      <c r="G26" s="1172">
        <f t="shared" si="25"/>
        <v>0</v>
      </c>
      <c r="H26" s="1540">
        <f t="shared" si="26"/>
        <v>0</v>
      </c>
      <c r="I26" s="1173"/>
      <c r="J26" s="1173"/>
      <c r="K26" s="1174">
        <f t="shared" si="27"/>
        <v>0</v>
      </c>
      <c r="L26" s="1540">
        <f t="shared" si="28"/>
        <v>0</v>
      </c>
      <c r="M26" s="1399">
        <f t="shared" si="29"/>
        <v>0</v>
      </c>
      <c r="N26" s="1540">
        <f t="shared" si="30"/>
        <v>0</v>
      </c>
      <c r="O26" s="1171">
        <v>0</v>
      </c>
      <c r="P26" s="1540">
        <f t="shared" si="31"/>
        <v>0</v>
      </c>
      <c r="Q26" s="1171"/>
      <c r="R26" s="1171">
        <f t="shared" si="32"/>
        <v>0</v>
      </c>
      <c r="S26" s="1540">
        <f t="shared" si="33"/>
        <v>0</v>
      </c>
      <c r="T26" s="1540">
        <f t="shared" si="34"/>
        <v>0</v>
      </c>
      <c r="U26" s="1387">
        <f>+'Table 5C1A-Madison Prep'!U26</f>
        <v>2432</v>
      </c>
      <c r="V26" s="1511">
        <f t="shared" si="22"/>
        <v>0</v>
      </c>
      <c r="W26" s="1400"/>
      <c r="X26" s="1383">
        <f t="shared" si="35"/>
        <v>0</v>
      </c>
      <c r="Y26" s="1400"/>
      <c r="Z26" s="1383">
        <f t="shared" si="36"/>
        <v>0</v>
      </c>
      <c r="AA26" s="1384">
        <f t="shared" si="37"/>
        <v>0</v>
      </c>
      <c r="AB26" s="1511">
        <f t="shared" si="38"/>
        <v>0</v>
      </c>
      <c r="AC26" s="1402">
        <f t="shared" si="39"/>
        <v>0</v>
      </c>
      <c r="AD26" s="1511">
        <f t="shared" si="40"/>
        <v>0</v>
      </c>
      <c r="AE26" s="1385">
        <v>0</v>
      </c>
      <c r="AF26" s="1511">
        <f t="shared" si="41"/>
        <v>0</v>
      </c>
      <c r="AG26" s="1383"/>
      <c r="AH26" s="1383">
        <f t="shared" si="42"/>
        <v>0</v>
      </c>
      <c r="AI26" s="1516">
        <f t="shared" si="23"/>
        <v>0</v>
      </c>
      <c r="AJ26" s="1531">
        <f t="shared" si="43"/>
        <v>0</v>
      </c>
      <c r="AK26" s="1536">
        <f t="shared" si="44"/>
        <v>0</v>
      </c>
    </row>
    <row r="27" spans="1:37" ht="16.2" customHeight="1">
      <c r="A27" s="1183">
        <v>21</v>
      </c>
      <c r="B27" s="1184" t="s">
        <v>101</v>
      </c>
      <c r="C27" s="1185">
        <f>+'Table 8 Membership 2.1.14'!K23</f>
        <v>0</v>
      </c>
      <c r="D27" s="1186">
        <f>+'Table 5C1A-Madison Prep'!D27</f>
        <v>6082.3042295867763</v>
      </c>
      <c r="E27" s="1187">
        <f t="shared" si="24"/>
        <v>0</v>
      </c>
      <c r="F27" s="1187">
        <f>+'Table 5C1A-Madison Prep'!F27</f>
        <v>610.35</v>
      </c>
      <c r="G27" s="1187">
        <f t="shared" si="25"/>
        <v>0</v>
      </c>
      <c r="H27" s="1538">
        <f t="shared" si="26"/>
        <v>0</v>
      </c>
      <c r="I27" s="1188"/>
      <c r="J27" s="1188"/>
      <c r="K27" s="1189">
        <f t="shared" si="27"/>
        <v>0</v>
      </c>
      <c r="L27" s="1538">
        <f t="shared" si="28"/>
        <v>0</v>
      </c>
      <c r="M27" s="1372">
        <f t="shared" si="29"/>
        <v>0</v>
      </c>
      <c r="N27" s="1538">
        <f t="shared" si="30"/>
        <v>0</v>
      </c>
      <c r="O27" s="1186">
        <v>0</v>
      </c>
      <c r="P27" s="1538">
        <f t="shared" si="31"/>
        <v>0</v>
      </c>
      <c r="Q27" s="1186"/>
      <c r="R27" s="1186">
        <f t="shared" si="32"/>
        <v>0</v>
      </c>
      <c r="S27" s="1538">
        <f t="shared" si="33"/>
        <v>0</v>
      </c>
      <c r="T27" s="1538">
        <f t="shared" si="34"/>
        <v>0</v>
      </c>
      <c r="U27" s="1381">
        <f>+'Table 5C1A-Madison Prep'!U27</f>
        <v>2460</v>
      </c>
      <c r="V27" s="1509">
        <f t="shared" si="22"/>
        <v>0</v>
      </c>
      <c r="W27" s="1375"/>
      <c r="X27" s="1376">
        <f t="shared" si="35"/>
        <v>0</v>
      </c>
      <c r="Y27" s="1375"/>
      <c r="Z27" s="1376">
        <f t="shared" si="36"/>
        <v>0</v>
      </c>
      <c r="AA27" s="1374">
        <f t="shared" si="37"/>
        <v>0</v>
      </c>
      <c r="AB27" s="1509">
        <f t="shared" si="38"/>
        <v>0</v>
      </c>
      <c r="AC27" s="1378">
        <f t="shared" si="39"/>
        <v>0</v>
      </c>
      <c r="AD27" s="1509">
        <f t="shared" si="40"/>
        <v>0</v>
      </c>
      <c r="AE27" s="1379">
        <v>0</v>
      </c>
      <c r="AF27" s="1509">
        <f t="shared" si="41"/>
        <v>0</v>
      </c>
      <c r="AG27" s="1376"/>
      <c r="AH27" s="1376">
        <f t="shared" si="42"/>
        <v>0</v>
      </c>
      <c r="AI27" s="1514">
        <f t="shared" si="23"/>
        <v>0</v>
      </c>
      <c r="AJ27" s="1530">
        <f t="shared" si="43"/>
        <v>0</v>
      </c>
      <c r="AK27" s="1534">
        <f t="shared" si="44"/>
        <v>0</v>
      </c>
    </row>
    <row r="28" spans="1:37" ht="16.2" customHeight="1">
      <c r="A28" s="1176">
        <v>22</v>
      </c>
      <c r="B28" s="1177" t="s">
        <v>102</v>
      </c>
      <c r="C28" s="1178">
        <f>+'Table 8 Membership 2.1.14'!K24</f>
        <v>0</v>
      </c>
      <c r="D28" s="1179">
        <f>+'Table 5C1A-Madison Prep'!D28</f>
        <v>6416.1099808195995</v>
      </c>
      <c r="E28" s="1180">
        <f t="shared" si="24"/>
        <v>0</v>
      </c>
      <c r="F28" s="1180">
        <f>+'Table 5C1A-Madison Prep'!F28</f>
        <v>496.36</v>
      </c>
      <c r="G28" s="1180">
        <f t="shared" si="25"/>
        <v>0</v>
      </c>
      <c r="H28" s="1539">
        <f t="shared" si="26"/>
        <v>0</v>
      </c>
      <c r="I28" s="1181"/>
      <c r="J28" s="1181"/>
      <c r="K28" s="1182">
        <f t="shared" si="27"/>
        <v>0</v>
      </c>
      <c r="L28" s="1539">
        <f t="shared" si="28"/>
        <v>0</v>
      </c>
      <c r="M28" s="1388">
        <f t="shared" si="29"/>
        <v>0</v>
      </c>
      <c r="N28" s="1539">
        <f t="shared" si="30"/>
        <v>0</v>
      </c>
      <c r="O28" s="1179">
        <v>0</v>
      </c>
      <c r="P28" s="1539">
        <f t="shared" si="31"/>
        <v>0</v>
      </c>
      <c r="Q28" s="1179"/>
      <c r="R28" s="1179">
        <f t="shared" si="32"/>
        <v>0</v>
      </c>
      <c r="S28" s="1539">
        <f t="shared" si="33"/>
        <v>0</v>
      </c>
      <c r="T28" s="1539">
        <f t="shared" si="34"/>
        <v>0</v>
      </c>
      <c r="U28" s="1397">
        <f>+'Table 5C1A-Madison Prep'!U28</f>
        <v>1613</v>
      </c>
      <c r="V28" s="1510">
        <f t="shared" si="22"/>
        <v>0</v>
      </c>
      <c r="W28" s="1391"/>
      <c r="X28" s="1392">
        <f t="shared" si="35"/>
        <v>0</v>
      </c>
      <c r="Y28" s="1391"/>
      <c r="Z28" s="1392">
        <f t="shared" si="36"/>
        <v>0</v>
      </c>
      <c r="AA28" s="1390">
        <f t="shared" si="37"/>
        <v>0</v>
      </c>
      <c r="AB28" s="1510">
        <f t="shared" si="38"/>
        <v>0</v>
      </c>
      <c r="AC28" s="1394">
        <f t="shared" si="39"/>
        <v>0</v>
      </c>
      <c r="AD28" s="1510">
        <f t="shared" si="40"/>
        <v>0</v>
      </c>
      <c r="AE28" s="1395">
        <v>0</v>
      </c>
      <c r="AF28" s="1510">
        <f t="shared" si="41"/>
        <v>0</v>
      </c>
      <c r="AG28" s="1392"/>
      <c r="AH28" s="1392">
        <f t="shared" si="42"/>
        <v>0</v>
      </c>
      <c r="AI28" s="1515">
        <f t="shared" si="23"/>
        <v>0</v>
      </c>
      <c r="AJ28" s="1505">
        <f t="shared" si="43"/>
        <v>0</v>
      </c>
      <c r="AK28" s="1535">
        <f t="shared" si="44"/>
        <v>0</v>
      </c>
    </row>
    <row r="29" spans="1:37" ht="16.2" customHeight="1">
      <c r="A29" s="1176">
        <v>23</v>
      </c>
      <c r="B29" s="1177" t="s">
        <v>103</v>
      </c>
      <c r="C29" s="1178">
        <f>+'Table 8 Membership 2.1.14'!K25</f>
        <v>0</v>
      </c>
      <c r="D29" s="1179">
        <f>+'Table 5C1A-Madison Prep'!D29</f>
        <v>5011.0215265979159</v>
      </c>
      <c r="E29" s="1180">
        <f t="shared" si="24"/>
        <v>0</v>
      </c>
      <c r="F29" s="1180">
        <f>+'Table 5C1A-Madison Prep'!F29</f>
        <v>688.58</v>
      </c>
      <c r="G29" s="1180">
        <f t="shared" si="25"/>
        <v>0</v>
      </c>
      <c r="H29" s="1539">
        <f t="shared" si="26"/>
        <v>0</v>
      </c>
      <c r="I29" s="1181"/>
      <c r="J29" s="1181"/>
      <c r="K29" s="1182">
        <f t="shared" si="27"/>
        <v>0</v>
      </c>
      <c r="L29" s="1539">
        <f t="shared" si="28"/>
        <v>0</v>
      </c>
      <c r="M29" s="1388">
        <f t="shared" si="29"/>
        <v>0</v>
      </c>
      <c r="N29" s="1539">
        <f t="shared" si="30"/>
        <v>0</v>
      </c>
      <c r="O29" s="1179">
        <v>0</v>
      </c>
      <c r="P29" s="1539">
        <f t="shared" si="31"/>
        <v>0</v>
      </c>
      <c r="Q29" s="1179"/>
      <c r="R29" s="1179">
        <f t="shared" si="32"/>
        <v>0</v>
      </c>
      <c r="S29" s="1539">
        <f t="shared" si="33"/>
        <v>0</v>
      </c>
      <c r="T29" s="1539">
        <f t="shared" si="34"/>
        <v>0</v>
      </c>
      <c r="U29" s="1397">
        <f>+'Table 5C1A-Madison Prep'!U29</f>
        <v>3473</v>
      </c>
      <c r="V29" s="1510">
        <f t="shared" si="22"/>
        <v>0</v>
      </c>
      <c r="W29" s="1391"/>
      <c r="X29" s="1392">
        <f t="shared" si="35"/>
        <v>0</v>
      </c>
      <c r="Y29" s="1391"/>
      <c r="Z29" s="1392">
        <f t="shared" si="36"/>
        <v>0</v>
      </c>
      <c r="AA29" s="1390">
        <f t="shared" si="37"/>
        <v>0</v>
      </c>
      <c r="AB29" s="1510">
        <f t="shared" si="38"/>
        <v>0</v>
      </c>
      <c r="AC29" s="1394">
        <f t="shared" si="39"/>
        <v>0</v>
      </c>
      <c r="AD29" s="1510">
        <f t="shared" si="40"/>
        <v>0</v>
      </c>
      <c r="AE29" s="1395">
        <v>0</v>
      </c>
      <c r="AF29" s="1510">
        <f t="shared" si="41"/>
        <v>0</v>
      </c>
      <c r="AG29" s="1392"/>
      <c r="AH29" s="1392">
        <f t="shared" si="42"/>
        <v>0</v>
      </c>
      <c r="AI29" s="1515">
        <f t="shared" si="23"/>
        <v>0</v>
      </c>
      <c r="AJ29" s="1505">
        <f t="shared" si="43"/>
        <v>0</v>
      </c>
      <c r="AK29" s="1535">
        <f t="shared" si="44"/>
        <v>0</v>
      </c>
    </row>
    <row r="30" spans="1:37" ht="16.2" customHeight="1">
      <c r="A30" s="1176">
        <v>24</v>
      </c>
      <c r="B30" s="1177" t="s">
        <v>104</v>
      </c>
      <c r="C30" s="1178">
        <f>+'Table 8 Membership 2.1.14'!K26</f>
        <v>0</v>
      </c>
      <c r="D30" s="1179">
        <f>+'Table 5C1A-Madison Prep'!D30</f>
        <v>2611.6740361576999</v>
      </c>
      <c r="E30" s="1180">
        <f t="shared" si="24"/>
        <v>0</v>
      </c>
      <c r="F30" s="1180">
        <f>+'Table 5C1A-Madison Prep'!F30</f>
        <v>854.24999999999989</v>
      </c>
      <c r="G30" s="1180">
        <f t="shared" si="25"/>
        <v>0</v>
      </c>
      <c r="H30" s="1539">
        <f t="shared" si="26"/>
        <v>0</v>
      </c>
      <c r="I30" s="1181"/>
      <c r="J30" s="1181"/>
      <c r="K30" s="1182">
        <f t="shared" si="27"/>
        <v>0</v>
      </c>
      <c r="L30" s="1539">
        <f t="shared" si="28"/>
        <v>0</v>
      </c>
      <c r="M30" s="1388">
        <f t="shared" si="29"/>
        <v>0</v>
      </c>
      <c r="N30" s="1539">
        <f t="shared" si="30"/>
        <v>0</v>
      </c>
      <c r="O30" s="1179">
        <v>0</v>
      </c>
      <c r="P30" s="1539">
        <f t="shared" si="31"/>
        <v>0</v>
      </c>
      <c r="Q30" s="1179"/>
      <c r="R30" s="1179">
        <f t="shared" si="32"/>
        <v>0</v>
      </c>
      <c r="S30" s="1539">
        <f t="shared" si="33"/>
        <v>0</v>
      </c>
      <c r="T30" s="1539">
        <f t="shared" si="34"/>
        <v>0</v>
      </c>
      <c r="U30" s="1397">
        <f>+'Table 5C1A-Madison Prep'!U30</f>
        <v>10053</v>
      </c>
      <c r="V30" s="1510">
        <f t="shared" si="22"/>
        <v>0</v>
      </c>
      <c r="W30" s="1391"/>
      <c r="X30" s="1392">
        <f t="shared" si="35"/>
        <v>0</v>
      </c>
      <c r="Y30" s="1391"/>
      <c r="Z30" s="1392">
        <f t="shared" si="36"/>
        <v>0</v>
      </c>
      <c r="AA30" s="1390">
        <f t="shared" si="37"/>
        <v>0</v>
      </c>
      <c r="AB30" s="1510">
        <f t="shared" si="38"/>
        <v>0</v>
      </c>
      <c r="AC30" s="1394">
        <f t="shared" si="39"/>
        <v>0</v>
      </c>
      <c r="AD30" s="1510">
        <f t="shared" si="40"/>
        <v>0</v>
      </c>
      <c r="AE30" s="1395">
        <v>0</v>
      </c>
      <c r="AF30" s="1510">
        <f t="shared" si="41"/>
        <v>0</v>
      </c>
      <c r="AG30" s="1392"/>
      <c r="AH30" s="1392">
        <f t="shared" si="42"/>
        <v>0</v>
      </c>
      <c r="AI30" s="1515">
        <f t="shared" si="23"/>
        <v>0</v>
      </c>
      <c r="AJ30" s="1505">
        <f t="shared" si="43"/>
        <v>0</v>
      </c>
      <c r="AK30" s="1535">
        <f t="shared" si="44"/>
        <v>0</v>
      </c>
    </row>
    <row r="31" spans="1:37" ht="16.2" customHeight="1">
      <c r="A31" s="1168">
        <v>25</v>
      </c>
      <c r="B31" s="1169" t="s">
        <v>105</v>
      </c>
      <c r="C31" s="1170">
        <f>+'Table 8 Membership 2.1.14'!K27</f>
        <v>0</v>
      </c>
      <c r="D31" s="1171">
        <f>+'Table 5C1A-Madison Prep'!D31</f>
        <v>4173.0720274945697</v>
      </c>
      <c r="E31" s="1172">
        <f t="shared" si="24"/>
        <v>0</v>
      </c>
      <c r="F31" s="1172">
        <f>+'Table 5C1A-Madison Prep'!F31</f>
        <v>653.73</v>
      </c>
      <c r="G31" s="1172">
        <f t="shared" si="25"/>
        <v>0</v>
      </c>
      <c r="H31" s="1540">
        <f t="shared" si="26"/>
        <v>0</v>
      </c>
      <c r="I31" s="1173"/>
      <c r="J31" s="1173"/>
      <c r="K31" s="1174">
        <f t="shared" si="27"/>
        <v>0</v>
      </c>
      <c r="L31" s="1540">
        <f t="shared" si="28"/>
        <v>0</v>
      </c>
      <c r="M31" s="1399">
        <f t="shared" si="29"/>
        <v>0</v>
      </c>
      <c r="N31" s="1540">
        <f t="shared" si="30"/>
        <v>0</v>
      </c>
      <c r="O31" s="1171">
        <v>0</v>
      </c>
      <c r="P31" s="1540">
        <f t="shared" si="31"/>
        <v>0</v>
      </c>
      <c r="Q31" s="1171"/>
      <c r="R31" s="1171">
        <f t="shared" si="32"/>
        <v>0</v>
      </c>
      <c r="S31" s="1540">
        <f t="shared" si="33"/>
        <v>0</v>
      </c>
      <c r="T31" s="1540">
        <f t="shared" si="34"/>
        <v>0</v>
      </c>
      <c r="U31" s="1387">
        <f>+'Table 5C1A-Madison Prep'!U31</f>
        <v>5073</v>
      </c>
      <c r="V31" s="1511">
        <f t="shared" si="22"/>
        <v>0</v>
      </c>
      <c r="W31" s="1400"/>
      <c r="X31" s="1383">
        <f t="shared" si="35"/>
        <v>0</v>
      </c>
      <c r="Y31" s="1400"/>
      <c r="Z31" s="1383">
        <f t="shared" si="36"/>
        <v>0</v>
      </c>
      <c r="AA31" s="1384">
        <f t="shared" si="37"/>
        <v>0</v>
      </c>
      <c r="AB31" s="1511">
        <f t="shared" si="38"/>
        <v>0</v>
      </c>
      <c r="AC31" s="1402">
        <f t="shared" si="39"/>
        <v>0</v>
      </c>
      <c r="AD31" s="1511">
        <f t="shared" si="40"/>
        <v>0</v>
      </c>
      <c r="AE31" s="1385">
        <v>0</v>
      </c>
      <c r="AF31" s="1511">
        <f t="shared" si="41"/>
        <v>0</v>
      </c>
      <c r="AG31" s="1383"/>
      <c r="AH31" s="1383">
        <f t="shared" si="42"/>
        <v>0</v>
      </c>
      <c r="AI31" s="1516">
        <f t="shared" si="23"/>
        <v>0</v>
      </c>
      <c r="AJ31" s="1531">
        <f t="shared" si="43"/>
        <v>0</v>
      </c>
      <c r="AK31" s="1536">
        <f t="shared" si="44"/>
        <v>0</v>
      </c>
    </row>
    <row r="32" spans="1:37" ht="16.2" customHeight="1">
      <c r="A32" s="1183">
        <v>26</v>
      </c>
      <c r="B32" s="1184" t="s">
        <v>106</v>
      </c>
      <c r="C32" s="1185">
        <f>+'Table 8 Membership 2.1.14'!K28</f>
        <v>58</v>
      </c>
      <c r="D32" s="1186">
        <f>+'Table 5C1A-Madison Prep'!D32</f>
        <v>3424.5649970570835</v>
      </c>
      <c r="E32" s="1187">
        <f t="shared" si="24"/>
        <v>198624.76982931086</v>
      </c>
      <c r="F32" s="1187">
        <f>+'Table 5C1A-Madison Prep'!F32</f>
        <v>836.83</v>
      </c>
      <c r="G32" s="1187">
        <f t="shared" si="25"/>
        <v>48536.14</v>
      </c>
      <c r="H32" s="1538">
        <f t="shared" si="26"/>
        <v>247160.90982931084</v>
      </c>
      <c r="I32" s="1188"/>
      <c r="J32" s="1188"/>
      <c r="K32" s="1189">
        <f t="shared" si="27"/>
        <v>0</v>
      </c>
      <c r="L32" s="1538">
        <f t="shared" si="28"/>
        <v>247160.90982931084</v>
      </c>
      <c r="M32" s="1372">
        <f t="shared" si="29"/>
        <v>-617.90227457327717</v>
      </c>
      <c r="N32" s="1538">
        <f t="shared" si="30"/>
        <v>246543.00755473756</v>
      </c>
      <c r="O32" s="1186">
        <v>0</v>
      </c>
      <c r="P32" s="1538">
        <f t="shared" si="31"/>
        <v>246543.00755473756</v>
      </c>
      <c r="Q32" s="1186"/>
      <c r="R32" s="1186">
        <f t="shared" si="32"/>
        <v>246543.00755473756</v>
      </c>
      <c r="S32" s="1538">
        <f t="shared" si="33"/>
        <v>20545</v>
      </c>
      <c r="T32" s="1538">
        <f t="shared" si="34"/>
        <v>246543.00755473756</v>
      </c>
      <c r="U32" s="1381">
        <f>+'Table 5C1A-Madison Prep'!U32</f>
        <v>5260</v>
      </c>
      <c r="V32" s="1509">
        <f t="shared" si="22"/>
        <v>305080</v>
      </c>
      <c r="W32" s="1375"/>
      <c r="X32" s="1376">
        <f t="shared" si="35"/>
        <v>0</v>
      </c>
      <c r="Y32" s="1375"/>
      <c r="Z32" s="1376">
        <f t="shared" si="36"/>
        <v>0</v>
      </c>
      <c r="AA32" s="1374">
        <f t="shared" si="37"/>
        <v>0</v>
      </c>
      <c r="AB32" s="1509">
        <f t="shared" si="38"/>
        <v>305080</v>
      </c>
      <c r="AC32" s="1378">
        <f t="shared" si="39"/>
        <v>-762.7</v>
      </c>
      <c r="AD32" s="1509">
        <f t="shared" si="40"/>
        <v>304317.3</v>
      </c>
      <c r="AE32" s="1379">
        <v>0</v>
      </c>
      <c r="AF32" s="1509">
        <f t="shared" si="41"/>
        <v>304317.3</v>
      </c>
      <c r="AG32" s="1376"/>
      <c r="AH32" s="1376">
        <f t="shared" si="42"/>
        <v>304317.3</v>
      </c>
      <c r="AI32" s="1514">
        <f t="shared" si="23"/>
        <v>25360</v>
      </c>
      <c r="AJ32" s="1530">
        <f t="shared" si="43"/>
        <v>550860.30755473755</v>
      </c>
      <c r="AK32" s="1534">
        <f t="shared" si="44"/>
        <v>45905</v>
      </c>
    </row>
    <row r="33" spans="1:37" ht="16.2" customHeight="1">
      <c r="A33" s="1176">
        <v>27</v>
      </c>
      <c r="B33" s="1177" t="s">
        <v>107</v>
      </c>
      <c r="C33" s="1178">
        <f>+'Table 8 Membership 2.1.14'!K29</f>
        <v>0</v>
      </c>
      <c r="D33" s="1179">
        <f>+'Table 5C1A-Madison Prep'!D33</f>
        <v>5804.9013839977006</v>
      </c>
      <c r="E33" s="1180">
        <f t="shared" si="24"/>
        <v>0</v>
      </c>
      <c r="F33" s="1180">
        <f>+'Table 5C1A-Madison Prep'!F33</f>
        <v>693.06</v>
      </c>
      <c r="G33" s="1180">
        <f t="shared" si="25"/>
        <v>0</v>
      </c>
      <c r="H33" s="1539">
        <f t="shared" si="26"/>
        <v>0</v>
      </c>
      <c r="I33" s="1181"/>
      <c r="J33" s="1181"/>
      <c r="K33" s="1182">
        <f t="shared" si="27"/>
        <v>0</v>
      </c>
      <c r="L33" s="1539">
        <f t="shared" si="28"/>
        <v>0</v>
      </c>
      <c r="M33" s="1388">
        <f t="shared" si="29"/>
        <v>0</v>
      </c>
      <c r="N33" s="1539">
        <f t="shared" si="30"/>
        <v>0</v>
      </c>
      <c r="O33" s="1179">
        <v>0</v>
      </c>
      <c r="P33" s="1539">
        <f t="shared" si="31"/>
        <v>0</v>
      </c>
      <c r="Q33" s="1179"/>
      <c r="R33" s="1179">
        <f t="shared" si="32"/>
        <v>0</v>
      </c>
      <c r="S33" s="1539">
        <f t="shared" si="33"/>
        <v>0</v>
      </c>
      <c r="T33" s="1539">
        <f t="shared" si="34"/>
        <v>0</v>
      </c>
      <c r="U33" s="1397">
        <f>+'Table 5C1A-Madison Prep'!U33</f>
        <v>3169</v>
      </c>
      <c r="V33" s="1510">
        <f t="shared" si="22"/>
        <v>0</v>
      </c>
      <c r="W33" s="1391"/>
      <c r="X33" s="1392">
        <f t="shared" si="35"/>
        <v>0</v>
      </c>
      <c r="Y33" s="1391"/>
      <c r="Z33" s="1392">
        <f t="shared" si="36"/>
        <v>0</v>
      </c>
      <c r="AA33" s="1390">
        <f t="shared" si="37"/>
        <v>0</v>
      </c>
      <c r="AB33" s="1510">
        <f t="shared" si="38"/>
        <v>0</v>
      </c>
      <c r="AC33" s="1394">
        <f t="shared" si="39"/>
        <v>0</v>
      </c>
      <c r="AD33" s="1510">
        <f t="shared" si="40"/>
        <v>0</v>
      </c>
      <c r="AE33" s="1395">
        <v>0</v>
      </c>
      <c r="AF33" s="1510">
        <f t="shared" si="41"/>
        <v>0</v>
      </c>
      <c r="AG33" s="1392"/>
      <c r="AH33" s="1392">
        <f t="shared" si="42"/>
        <v>0</v>
      </c>
      <c r="AI33" s="1515">
        <f t="shared" si="23"/>
        <v>0</v>
      </c>
      <c r="AJ33" s="1505">
        <f t="shared" si="43"/>
        <v>0</v>
      </c>
      <c r="AK33" s="1535">
        <f t="shared" si="44"/>
        <v>0</v>
      </c>
    </row>
    <row r="34" spans="1:37" ht="16.2" customHeight="1">
      <c r="A34" s="1176">
        <v>28</v>
      </c>
      <c r="B34" s="1177" t="s">
        <v>108</v>
      </c>
      <c r="C34" s="1178">
        <f>+'Table 8 Membership 2.1.14'!K30</f>
        <v>0</v>
      </c>
      <c r="D34" s="1179">
        <f>+'Table 5C1A-Madison Prep'!D34</f>
        <v>3137.4158846568821</v>
      </c>
      <c r="E34" s="1180">
        <f t="shared" si="24"/>
        <v>0</v>
      </c>
      <c r="F34" s="1180">
        <f>+'Table 5C1A-Madison Prep'!F34</f>
        <v>694.4</v>
      </c>
      <c r="G34" s="1180">
        <f t="shared" si="25"/>
        <v>0</v>
      </c>
      <c r="H34" s="1539">
        <f t="shared" si="26"/>
        <v>0</v>
      </c>
      <c r="I34" s="1181"/>
      <c r="J34" s="1181"/>
      <c r="K34" s="1182">
        <f t="shared" si="27"/>
        <v>0</v>
      </c>
      <c r="L34" s="1539">
        <f t="shared" si="28"/>
        <v>0</v>
      </c>
      <c r="M34" s="1388">
        <f t="shared" si="29"/>
        <v>0</v>
      </c>
      <c r="N34" s="1539">
        <f t="shared" si="30"/>
        <v>0</v>
      </c>
      <c r="O34" s="1179">
        <v>0</v>
      </c>
      <c r="P34" s="1539">
        <f t="shared" si="31"/>
        <v>0</v>
      </c>
      <c r="Q34" s="1179"/>
      <c r="R34" s="1179">
        <f t="shared" si="32"/>
        <v>0</v>
      </c>
      <c r="S34" s="1539">
        <f t="shared" si="33"/>
        <v>0</v>
      </c>
      <c r="T34" s="1539">
        <f t="shared" si="34"/>
        <v>0</v>
      </c>
      <c r="U34" s="1397">
        <f>+'Table 5C1A-Madison Prep'!U34</f>
        <v>5790</v>
      </c>
      <c r="V34" s="1510">
        <f t="shared" si="22"/>
        <v>0</v>
      </c>
      <c r="W34" s="1391"/>
      <c r="X34" s="1392">
        <f t="shared" si="35"/>
        <v>0</v>
      </c>
      <c r="Y34" s="1391"/>
      <c r="Z34" s="1392">
        <f t="shared" si="36"/>
        <v>0</v>
      </c>
      <c r="AA34" s="1390">
        <f t="shared" si="37"/>
        <v>0</v>
      </c>
      <c r="AB34" s="1510">
        <f t="shared" si="38"/>
        <v>0</v>
      </c>
      <c r="AC34" s="1394">
        <f t="shared" si="39"/>
        <v>0</v>
      </c>
      <c r="AD34" s="1510">
        <f t="shared" si="40"/>
        <v>0</v>
      </c>
      <c r="AE34" s="1395">
        <v>0</v>
      </c>
      <c r="AF34" s="1510">
        <f t="shared" si="41"/>
        <v>0</v>
      </c>
      <c r="AG34" s="1392"/>
      <c r="AH34" s="1392">
        <f t="shared" si="42"/>
        <v>0</v>
      </c>
      <c r="AI34" s="1515">
        <f t="shared" si="23"/>
        <v>0</v>
      </c>
      <c r="AJ34" s="1505">
        <f t="shared" si="43"/>
        <v>0</v>
      </c>
      <c r="AK34" s="1535">
        <f t="shared" si="44"/>
        <v>0</v>
      </c>
    </row>
    <row r="35" spans="1:37" ht="16.2" customHeight="1">
      <c r="A35" s="1176">
        <v>29</v>
      </c>
      <c r="B35" s="1177" t="s">
        <v>109</v>
      </c>
      <c r="C35" s="1178">
        <f>+'Table 8 Membership 2.1.14'!K31</f>
        <v>0</v>
      </c>
      <c r="D35" s="1179">
        <f>+'Table 5C1A-Madison Prep'!D35</f>
        <v>3839.0123210173724</v>
      </c>
      <c r="E35" s="1180">
        <f t="shared" si="24"/>
        <v>0</v>
      </c>
      <c r="F35" s="1180">
        <f>+'Table 5C1A-Madison Prep'!F35</f>
        <v>754.94999999999993</v>
      </c>
      <c r="G35" s="1180">
        <f t="shared" si="25"/>
        <v>0</v>
      </c>
      <c r="H35" s="1539">
        <f t="shared" si="26"/>
        <v>0</v>
      </c>
      <c r="I35" s="1181"/>
      <c r="J35" s="1181"/>
      <c r="K35" s="1182">
        <f t="shared" si="27"/>
        <v>0</v>
      </c>
      <c r="L35" s="1539">
        <f t="shared" si="28"/>
        <v>0</v>
      </c>
      <c r="M35" s="1388">
        <f t="shared" si="29"/>
        <v>0</v>
      </c>
      <c r="N35" s="1539">
        <f t="shared" si="30"/>
        <v>0</v>
      </c>
      <c r="O35" s="1179">
        <v>0</v>
      </c>
      <c r="P35" s="1539">
        <f t="shared" si="31"/>
        <v>0</v>
      </c>
      <c r="Q35" s="1179"/>
      <c r="R35" s="1179">
        <f t="shared" si="32"/>
        <v>0</v>
      </c>
      <c r="S35" s="1539">
        <f t="shared" si="33"/>
        <v>0</v>
      </c>
      <c r="T35" s="1539">
        <f t="shared" si="34"/>
        <v>0</v>
      </c>
      <c r="U35" s="1397">
        <f>+'Table 5C1A-Madison Prep'!U35</f>
        <v>5069</v>
      </c>
      <c r="V35" s="1510">
        <f t="shared" si="22"/>
        <v>0</v>
      </c>
      <c r="W35" s="1391"/>
      <c r="X35" s="1392">
        <f t="shared" si="35"/>
        <v>0</v>
      </c>
      <c r="Y35" s="1391"/>
      <c r="Z35" s="1392">
        <f t="shared" si="36"/>
        <v>0</v>
      </c>
      <c r="AA35" s="1390">
        <f t="shared" si="37"/>
        <v>0</v>
      </c>
      <c r="AB35" s="1510">
        <f t="shared" si="38"/>
        <v>0</v>
      </c>
      <c r="AC35" s="1394">
        <f t="shared" si="39"/>
        <v>0</v>
      </c>
      <c r="AD35" s="1510">
        <f t="shared" si="40"/>
        <v>0</v>
      </c>
      <c r="AE35" s="1395">
        <v>0</v>
      </c>
      <c r="AF35" s="1510">
        <f t="shared" si="41"/>
        <v>0</v>
      </c>
      <c r="AG35" s="1392"/>
      <c r="AH35" s="1392">
        <f t="shared" si="42"/>
        <v>0</v>
      </c>
      <c r="AI35" s="1515">
        <f t="shared" si="23"/>
        <v>0</v>
      </c>
      <c r="AJ35" s="1505">
        <f t="shared" si="43"/>
        <v>0</v>
      </c>
      <c r="AK35" s="1535">
        <f t="shared" si="44"/>
        <v>0</v>
      </c>
    </row>
    <row r="36" spans="1:37" ht="16.2" customHeight="1">
      <c r="A36" s="1168">
        <v>30</v>
      </c>
      <c r="B36" s="1169" t="s">
        <v>110</v>
      </c>
      <c r="C36" s="1170">
        <f>+'Table 8 Membership 2.1.14'!K32</f>
        <v>0</v>
      </c>
      <c r="D36" s="1171">
        <f>+'Table 5C1A-Madison Prep'!D36</f>
        <v>5804.5327273996763</v>
      </c>
      <c r="E36" s="1172">
        <f t="shared" si="24"/>
        <v>0</v>
      </c>
      <c r="F36" s="1172">
        <f>+'Table 5C1A-Madison Prep'!F36</f>
        <v>727.17</v>
      </c>
      <c r="G36" s="1172">
        <f t="shared" si="25"/>
        <v>0</v>
      </c>
      <c r="H36" s="1540">
        <f t="shared" si="26"/>
        <v>0</v>
      </c>
      <c r="I36" s="1173"/>
      <c r="J36" s="1173"/>
      <c r="K36" s="1174">
        <f t="shared" si="27"/>
        <v>0</v>
      </c>
      <c r="L36" s="1540">
        <f t="shared" si="28"/>
        <v>0</v>
      </c>
      <c r="M36" s="1399">
        <f t="shared" si="29"/>
        <v>0</v>
      </c>
      <c r="N36" s="1540">
        <f t="shared" si="30"/>
        <v>0</v>
      </c>
      <c r="O36" s="1171">
        <v>0</v>
      </c>
      <c r="P36" s="1540">
        <f t="shared" si="31"/>
        <v>0</v>
      </c>
      <c r="Q36" s="1171"/>
      <c r="R36" s="1171">
        <f t="shared" si="32"/>
        <v>0</v>
      </c>
      <c r="S36" s="1540">
        <f t="shared" si="33"/>
        <v>0</v>
      </c>
      <c r="T36" s="1540">
        <f t="shared" si="34"/>
        <v>0</v>
      </c>
      <c r="U36" s="1387">
        <f>+'Table 5C1A-Madison Prep'!U36</f>
        <v>3609</v>
      </c>
      <c r="V36" s="1511">
        <f t="shared" si="22"/>
        <v>0</v>
      </c>
      <c r="W36" s="1400"/>
      <c r="X36" s="1383">
        <f t="shared" si="35"/>
        <v>0</v>
      </c>
      <c r="Y36" s="1400"/>
      <c r="Z36" s="1383">
        <f t="shared" si="36"/>
        <v>0</v>
      </c>
      <c r="AA36" s="1384">
        <f t="shared" si="37"/>
        <v>0</v>
      </c>
      <c r="AB36" s="1511">
        <f t="shared" si="38"/>
        <v>0</v>
      </c>
      <c r="AC36" s="1402">
        <f t="shared" si="39"/>
        <v>0</v>
      </c>
      <c r="AD36" s="1511">
        <f t="shared" si="40"/>
        <v>0</v>
      </c>
      <c r="AE36" s="1385">
        <v>0</v>
      </c>
      <c r="AF36" s="1511">
        <f t="shared" si="41"/>
        <v>0</v>
      </c>
      <c r="AG36" s="1383"/>
      <c r="AH36" s="1383">
        <f t="shared" si="42"/>
        <v>0</v>
      </c>
      <c r="AI36" s="1516">
        <f t="shared" si="23"/>
        <v>0</v>
      </c>
      <c r="AJ36" s="1531">
        <f t="shared" si="43"/>
        <v>0</v>
      </c>
      <c r="AK36" s="1536">
        <f t="shared" si="44"/>
        <v>0</v>
      </c>
    </row>
    <row r="37" spans="1:37" ht="16.2" customHeight="1">
      <c r="A37" s="1183">
        <v>31</v>
      </c>
      <c r="B37" s="1184" t="s">
        <v>111</v>
      </c>
      <c r="C37" s="1185">
        <f>+'Table 8 Membership 2.1.14'!K33</f>
        <v>0</v>
      </c>
      <c r="D37" s="1186">
        <f>+'Table 5C1A-Madison Prep'!D37</f>
        <v>4520.6176716868531</v>
      </c>
      <c r="E37" s="1187">
        <f t="shared" si="24"/>
        <v>0</v>
      </c>
      <c r="F37" s="1187">
        <f>+'Table 5C1A-Madison Prep'!F37</f>
        <v>620.83000000000004</v>
      </c>
      <c r="G37" s="1187">
        <f t="shared" si="25"/>
        <v>0</v>
      </c>
      <c r="H37" s="1538">
        <f t="shared" si="26"/>
        <v>0</v>
      </c>
      <c r="I37" s="1188"/>
      <c r="J37" s="1188"/>
      <c r="K37" s="1189">
        <f t="shared" si="27"/>
        <v>0</v>
      </c>
      <c r="L37" s="1538">
        <f t="shared" si="28"/>
        <v>0</v>
      </c>
      <c r="M37" s="1372">
        <f t="shared" si="29"/>
        <v>0</v>
      </c>
      <c r="N37" s="1538">
        <f t="shared" si="30"/>
        <v>0</v>
      </c>
      <c r="O37" s="1186">
        <v>0</v>
      </c>
      <c r="P37" s="1538">
        <f t="shared" si="31"/>
        <v>0</v>
      </c>
      <c r="Q37" s="1186"/>
      <c r="R37" s="1186">
        <f t="shared" si="32"/>
        <v>0</v>
      </c>
      <c r="S37" s="1538">
        <f t="shared" si="33"/>
        <v>0</v>
      </c>
      <c r="T37" s="1538">
        <f t="shared" si="34"/>
        <v>0</v>
      </c>
      <c r="U37" s="1381">
        <f>+'Table 5C1A-Madison Prep'!U37</f>
        <v>5043</v>
      </c>
      <c r="V37" s="1509">
        <f t="shared" si="22"/>
        <v>0</v>
      </c>
      <c r="W37" s="1375"/>
      <c r="X37" s="1376">
        <f t="shared" si="35"/>
        <v>0</v>
      </c>
      <c r="Y37" s="1375"/>
      <c r="Z37" s="1376">
        <f t="shared" si="36"/>
        <v>0</v>
      </c>
      <c r="AA37" s="1374">
        <f t="shared" si="37"/>
        <v>0</v>
      </c>
      <c r="AB37" s="1509">
        <f t="shared" si="38"/>
        <v>0</v>
      </c>
      <c r="AC37" s="1378">
        <f t="shared" si="39"/>
        <v>0</v>
      </c>
      <c r="AD37" s="1509">
        <f t="shared" si="40"/>
        <v>0</v>
      </c>
      <c r="AE37" s="1379">
        <v>0</v>
      </c>
      <c r="AF37" s="1509">
        <f t="shared" si="41"/>
        <v>0</v>
      </c>
      <c r="AG37" s="1376"/>
      <c r="AH37" s="1376">
        <f t="shared" si="42"/>
        <v>0</v>
      </c>
      <c r="AI37" s="1514">
        <f t="shared" si="23"/>
        <v>0</v>
      </c>
      <c r="AJ37" s="1530">
        <f t="shared" si="43"/>
        <v>0</v>
      </c>
      <c r="AK37" s="1534">
        <f t="shared" si="44"/>
        <v>0</v>
      </c>
    </row>
    <row r="38" spans="1:37" ht="16.2" customHeight="1">
      <c r="A38" s="1176">
        <v>32</v>
      </c>
      <c r="B38" s="1177" t="s">
        <v>112</v>
      </c>
      <c r="C38" s="1178">
        <f>+'Table 8 Membership 2.1.14'!K34</f>
        <v>0</v>
      </c>
      <c r="D38" s="1179">
        <f>+'Table 5C1A-Madison Prep'!D38</f>
        <v>5652.819189061127</v>
      </c>
      <c r="E38" s="1180">
        <f t="shared" si="24"/>
        <v>0</v>
      </c>
      <c r="F38" s="1180">
        <f>+'Table 5C1A-Madison Prep'!F38</f>
        <v>559.77</v>
      </c>
      <c r="G38" s="1180">
        <f t="shared" si="25"/>
        <v>0</v>
      </c>
      <c r="H38" s="1539">
        <f t="shared" si="26"/>
        <v>0</v>
      </c>
      <c r="I38" s="1181"/>
      <c r="J38" s="1181"/>
      <c r="K38" s="1182">
        <f t="shared" si="27"/>
        <v>0</v>
      </c>
      <c r="L38" s="1539">
        <f t="shared" si="28"/>
        <v>0</v>
      </c>
      <c r="M38" s="1388">
        <f t="shared" si="29"/>
        <v>0</v>
      </c>
      <c r="N38" s="1539">
        <f t="shared" si="30"/>
        <v>0</v>
      </c>
      <c r="O38" s="1179">
        <v>0</v>
      </c>
      <c r="P38" s="1539">
        <f t="shared" si="31"/>
        <v>0</v>
      </c>
      <c r="Q38" s="1179"/>
      <c r="R38" s="1179">
        <f t="shared" si="32"/>
        <v>0</v>
      </c>
      <c r="S38" s="1539">
        <f t="shared" si="33"/>
        <v>0</v>
      </c>
      <c r="T38" s="1539">
        <f t="shared" si="34"/>
        <v>0</v>
      </c>
      <c r="U38" s="1397">
        <f>+'Table 5C1A-Madison Prep'!U38</f>
        <v>2121</v>
      </c>
      <c r="V38" s="1510">
        <f t="shared" si="22"/>
        <v>0</v>
      </c>
      <c r="W38" s="1391"/>
      <c r="X38" s="1392">
        <f t="shared" si="35"/>
        <v>0</v>
      </c>
      <c r="Y38" s="1391"/>
      <c r="Z38" s="1392">
        <f t="shared" si="36"/>
        <v>0</v>
      </c>
      <c r="AA38" s="1390">
        <f t="shared" si="37"/>
        <v>0</v>
      </c>
      <c r="AB38" s="1510">
        <f t="shared" si="38"/>
        <v>0</v>
      </c>
      <c r="AC38" s="1394">
        <f t="shared" si="39"/>
        <v>0</v>
      </c>
      <c r="AD38" s="1510">
        <f t="shared" si="40"/>
        <v>0</v>
      </c>
      <c r="AE38" s="1395">
        <v>0</v>
      </c>
      <c r="AF38" s="1510">
        <f t="shared" si="41"/>
        <v>0</v>
      </c>
      <c r="AG38" s="1392"/>
      <c r="AH38" s="1392">
        <f t="shared" si="42"/>
        <v>0</v>
      </c>
      <c r="AI38" s="1515">
        <f t="shared" si="23"/>
        <v>0</v>
      </c>
      <c r="AJ38" s="1505">
        <f t="shared" si="43"/>
        <v>0</v>
      </c>
      <c r="AK38" s="1535">
        <f t="shared" si="44"/>
        <v>0</v>
      </c>
    </row>
    <row r="39" spans="1:37" ht="16.2" customHeight="1">
      <c r="A39" s="1176">
        <v>33</v>
      </c>
      <c r="B39" s="1177" t="s">
        <v>113</v>
      </c>
      <c r="C39" s="1178">
        <f>+'Table 8 Membership 2.1.14'!K35</f>
        <v>0</v>
      </c>
      <c r="D39" s="1179">
        <f>+'Table 5C1A-Madison Prep'!D39</f>
        <v>5456.2254558085233</v>
      </c>
      <c r="E39" s="1180">
        <f t="shared" si="24"/>
        <v>0</v>
      </c>
      <c r="F39" s="1180">
        <f>+'Table 5C1A-Madison Prep'!F39</f>
        <v>655.31000000000006</v>
      </c>
      <c r="G39" s="1180">
        <f t="shared" si="25"/>
        <v>0</v>
      </c>
      <c r="H39" s="1539">
        <f t="shared" si="26"/>
        <v>0</v>
      </c>
      <c r="I39" s="1181"/>
      <c r="J39" s="1181"/>
      <c r="K39" s="1182">
        <f t="shared" si="27"/>
        <v>0</v>
      </c>
      <c r="L39" s="1539">
        <f t="shared" si="28"/>
        <v>0</v>
      </c>
      <c r="M39" s="1388">
        <f t="shared" si="29"/>
        <v>0</v>
      </c>
      <c r="N39" s="1539">
        <f t="shared" si="30"/>
        <v>0</v>
      </c>
      <c r="O39" s="1179">
        <v>0</v>
      </c>
      <c r="P39" s="1539">
        <f t="shared" si="31"/>
        <v>0</v>
      </c>
      <c r="Q39" s="1179"/>
      <c r="R39" s="1179">
        <f t="shared" si="32"/>
        <v>0</v>
      </c>
      <c r="S39" s="1539">
        <f t="shared" si="33"/>
        <v>0</v>
      </c>
      <c r="T39" s="1539">
        <f t="shared" si="34"/>
        <v>0</v>
      </c>
      <c r="U39" s="1397">
        <f>+'Table 5C1A-Madison Prep'!U39</f>
        <v>3616</v>
      </c>
      <c r="V39" s="1510">
        <f t="shared" ref="V39:V70" si="45">C39*U39</f>
        <v>0</v>
      </c>
      <c r="W39" s="1391"/>
      <c r="X39" s="1392">
        <f t="shared" si="35"/>
        <v>0</v>
      </c>
      <c r="Y39" s="1391"/>
      <c r="Z39" s="1392">
        <f t="shared" si="36"/>
        <v>0</v>
      </c>
      <c r="AA39" s="1390">
        <f t="shared" si="37"/>
        <v>0</v>
      </c>
      <c r="AB39" s="1510">
        <f t="shared" si="38"/>
        <v>0</v>
      </c>
      <c r="AC39" s="1394">
        <f t="shared" si="39"/>
        <v>0</v>
      </c>
      <c r="AD39" s="1510">
        <f t="shared" si="40"/>
        <v>0</v>
      </c>
      <c r="AE39" s="1395">
        <v>0</v>
      </c>
      <c r="AF39" s="1510">
        <f t="shared" si="41"/>
        <v>0</v>
      </c>
      <c r="AG39" s="1392"/>
      <c r="AH39" s="1392">
        <f t="shared" si="42"/>
        <v>0</v>
      </c>
      <c r="AI39" s="1515">
        <f t="shared" si="23"/>
        <v>0</v>
      </c>
      <c r="AJ39" s="1505">
        <f t="shared" si="43"/>
        <v>0</v>
      </c>
      <c r="AK39" s="1535">
        <f t="shared" si="44"/>
        <v>0</v>
      </c>
    </row>
    <row r="40" spans="1:37" ht="16.2" customHeight="1">
      <c r="A40" s="1176">
        <v>34</v>
      </c>
      <c r="B40" s="1177" t="s">
        <v>114</v>
      </c>
      <c r="C40" s="1178">
        <f>+'Table 8 Membership 2.1.14'!K36</f>
        <v>0</v>
      </c>
      <c r="D40" s="1179">
        <f>+'Table 5C1A-Madison Prep'!D40</f>
        <v>6292.0976842789005</v>
      </c>
      <c r="E40" s="1180">
        <f t="shared" si="24"/>
        <v>0</v>
      </c>
      <c r="F40" s="1180">
        <f>+'Table 5C1A-Madison Prep'!F40</f>
        <v>644.11000000000013</v>
      </c>
      <c r="G40" s="1180">
        <f t="shared" si="25"/>
        <v>0</v>
      </c>
      <c r="H40" s="1539">
        <f t="shared" si="26"/>
        <v>0</v>
      </c>
      <c r="I40" s="1181"/>
      <c r="J40" s="1181"/>
      <c r="K40" s="1182">
        <f t="shared" si="27"/>
        <v>0</v>
      </c>
      <c r="L40" s="1539">
        <f t="shared" si="28"/>
        <v>0</v>
      </c>
      <c r="M40" s="1388">
        <f t="shared" si="29"/>
        <v>0</v>
      </c>
      <c r="N40" s="1539">
        <f t="shared" si="30"/>
        <v>0</v>
      </c>
      <c r="O40" s="1179">
        <v>0</v>
      </c>
      <c r="P40" s="1539">
        <f t="shared" si="31"/>
        <v>0</v>
      </c>
      <c r="Q40" s="1179"/>
      <c r="R40" s="1179">
        <f t="shared" si="32"/>
        <v>0</v>
      </c>
      <c r="S40" s="1539">
        <f t="shared" si="33"/>
        <v>0</v>
      </c>
      <c r="T40" s="1539">
        <f t="shared" si="34"/>
        <v>0</v>
      </c>
      <c r="U40" s="1397">
        <f>+'Table 5C1A-Madison Prep'!U40</f>
        <v>2721</v>
      </c>
      <c r="V40" s="1510">
        <f t="shared" si="45"/>
        <v>0</v>
      </c>
      <c r="W40" s="1391"/>
      <c r="X40" s="1392">
        <f t="shared" si="35"/>
        <v>0</v>
      </c>
      <c r="Y40" s="1391"/>
      <c r="Z40" s="1392">
        <f t="shared" si="36"/>
        <v>0</v>
      </c>
      <c r="AA40" s="1390">
        <f t="shared" si="37"/>
        <v>0</v>
      </c>
      <c r="AB40" s="1510">
        <f t="shared" si="38"/>
        <v>0</v>
      </c>
      <c r="AC40" s="1394">
        <f t="shared" si="39"/>
        <v>0</v>
      </c>
      <c r="AD40" s="1510">
        <f t="shared" si="40"/>
        <v>0</v>
      </c>
      <c r="AE40" s="1395">
        <v>0</v>
      </c>
      <c r="AF40" s="1510">
        <f t="shared" si="41"/>
        <v>0</v>
      </c>
      <c r="AG40" s="1392"/>
      <c r="AH40" s="1392">
        <f t="shared" si="42"/>
        <v>0</v>
      </c>
      <c r="AI40" s="1515">
        <f t="shared" si="23"/>
        <v>0</v>
      </c>
      <c r="AJ40" s="1505">
        <f t="shared" si="43"/>
        <v>0</v>
      </c>
      <c r="AK40" s="1535">
        <f t="shared" si="44"/>
        <v>0</v>
      </c>
    </row>
    <row r="41" spans="1:37" ht="16.2" customHeight="1">
      <c r="A41" s="1168">
        <v>35</v>
      </c>
      <c r="B41" s="1169" t="s">
        <v>115</v>
      </c>
      <c r="C41" s="1170">
        <f>+'Table 8 Membership 2.1.14'!K37</f>
        <v>0</v>
      </c>
      <c r="D41" s="1171">
        <f>+'Table 5C1A-Madison Prep'!D41</f>
        <v>5166.2482060477605</v>
      </c>
      <c r="E41" s="1172">
        <f t="shared" si="24"/>
        <v>0</v>
      </c>
      <c r="F41" s="1172">
        <f>+'Table 5C1A-Madison Prep'!F41</f>
        <v>537.96</v>
      </c>
      <c r="G41" s="1172">
        <f t="shared" si="25"/>
        <v>0</v>
      </c>
      <c r="H41" s="1540">
        <f t="shared" si="26"/>
        <v>0</v>
      </c>
      <c r="I41" s="1173"/>
      <c r="J41" s="1173"/>
      <c r="K41" s="1174">
        <f t="shared" si="27"/>
        <v>0</v>
      </c>
      <c r="L41" s="1540">
        <f t="shared" si="28"/>
        <v>0</v>
      </c>
      <c r="M41" s="1399">
        <f t="shared" si="29"/>
        <v>0</v>
      </c>
      <c r="N41" s="1540">
        <f t="shared" si="30"/>
        <v>0</v>
      </c>
      <c r="O41" s="1171">
        <v>0</v>
      </c>
      <c r="P41" s="1540">
        <f t="shared" si="31"/>
        <v>0</v>
      </c>
      <c r="Q41" s="1171"/>
      <c r="R41" s="1171">
        <f t="shared" si="32"/>
        <v>0</v>
      </c>
      <c r="S41" s="1540">
        <f t="shared" si="33"/>
        <v>0</v>
      </c>
      <c r="T41" s="1540">
        <f t="shared" si="34"/>
        <v>0</v>
      </c>
      <c r="U41" s="1387">
        <f>+'Table 5C1A-Madison Prep'!U41</f>
        <v>3255</v>
      </c>
      <c r="V41" s="1511">
        <f t="shared" si="45"/>
        <v>0</v>
      </c>
      <c r="W41" s="1400"/>
      <c r="X41" s="1383">
        <f t="shared" si="35"/>
        <v>0</v>
      </c>
      <c r="Y41" s="1400"/>
      <c r="Z41" s="1383">
        <f t="shared" si="36"/>
        <v>0</v>
      </c>
      <c r="AA41" s="1384">
        <f t="shared" si="37"/>
        <v>0</v>
      </c>
      <c r="AB41" s="1511">
        <f t="shared" si="38"/>
        <v>0</v>
      </c>
      <c r="AC41" s="1402">
        <f t="shared" si="39"/>
        <v>0</v>
      </c>
      <c r="AD41" s="1511">
        <f t="shared" si="40"/>
        <v>0</v>
      </c>
      <c r="AE41" s="1385">
        <v>0</v>
      </c>
      <c r="AF41" s="1511">
        <f t="shared" si="41"/>
        <v>0</v>
      </c>
      <c r="AG41" s="1383"/>
      <c r="AH41" s="1383">
        <f t="shared" si="42"/>
        <v>0</v>
      </c>
      <c r="AI41" s="1516">
        <f t="shared" si="23"/>
        <v>0</v>
      </c>
      <c r="AJ41" s="1531">
        <f t="shared" si="43"/>
        <v>0</v>
      </c>
      <c r="AK41" s="1536">
        <f t="shared" si="44"/>
        <v>0</v>
      </c>
    </row>
    <row r="42" spans="1:37" ht="16.2" customHeight="1">
      <c r="A42" s="1183">
        <v>36</v>
      </c>
      <c r="B42" s="1184" t="s">
        <v>116</v>
      </c>
      <c r="C42" s="1185">
        <f>+'Table 8 Membership 2.1.14'!K38</f>
        <v>399</v>
      </c>
      <c r="D42" s="1186">
        <f>+'Table 5C1A-Madison Prep'!D42</f>
        <v>3602.7009974327857</v>
      </c>
      <c r="E42" s="1187">
        <f t="shared" si="24"/>
        <v>1437477.6979756814</v>
      </c>
      <c r="F42" s="1187">
        <f>+'Table 5C1A-Madison Prep'!F42</f>
        <v>746.0335616438357</v>
      </c>
      <c r="G42" s="1187">
        <f t="shared" si="25"/>
        <v>297667.39109589043</v>
      </c>
      <c r="H42" s="1538">
        <f t="shared" si="26"/>
        <v>1735145.0890715718</v>
      </c>
      <c r="I42" s="1188"/>
      <c r="J42" s="1188"/>
      <c r="K42" s="1189">
        <f t="shared" si="27"/>
        <v>0</v>
      </c>
      <c r="L42" s="1538">
        <f t="shared" si="28"/>
        <v>1735145.0890715718</v>
      </c>
      <c r="M42" s="1372">
        <f t="shared" si="29"/>
        <v>-4337.8627226789295</v>
      </c>
      <c r="N42" s="1538">
        <f t="shared" si="30"/>
        <v>1730807.2263488928</v>
      </c>
      <c r="O42" s="1186">
        <v>0</v>
      </c>
      <c r="P42" s="1538">
        <f t="shared" si="31"/>
        <v>1730807.2263488928</v>
      </c>
      <c r="Q42" s="1186"/>
      <c r="R42" s="1186">
        <f t="shared" si="32"/>
        <v>1730807.2263488928</v>
      </c>
      <c r="S42" s="1538">
        <f t="shared" si="33"/>
        <v>144234</v>
      </c>
      <c r="T42" s="1538">
        <f t="shared" si="34"/>
        <v>1730807.2263488928</v>
      </c>
      <c r="U42" s="1768">
        <f>+'[9]FY2014-15 Initial'!$D$43</f>
        <v>4670</v>
      </c>
      <c r="V42" s="1509">
        <f t="shared" si="45"/>
        <v>1863330</v>
      </c>
      <c r="W42" s="1375"/>
      <c r="X42" s="1376">
        <f t="shared" si="35"/>
        <v>0</v>
      </c>
      <c r="Y42" s="1375"/>
      <c r="Z42" s="1376">
        <f t="shared" si="36"/>
        <v>0</v>
      </c>
      <c r="AA42" s="1374">
        <f t="shared" si="37"/>
        <v>0</v>
      </c>
      <c r="AB42" s="1509">
        <f t="shared" si="38"/>
        <v>1863330</v>
      </c>
      <c r="AC42" s="1378">
        <f t="shared" si="39"/>
        <v>-4658.3249999999998</v>
      </c>
      <c r="AD42" s="1509">
        <f t="shared" si="40"/>
        <v>1858671.675</v>
      </c>
      <c r="AE42" s="1379">
        <v>0</v>
      </c>
      <c r="AF42" s="1509">
        <f t="shared" si="41"/>
        <v>1858671.675</v>
      </c>
      <c r="AG42" s="1376"/>
      <c r="AH42" s="1376">
        <f t="shared" si="42"/>
        <v>1858671.675</v>
      </c>
      <c r="AI42" s="1514">
        <f t="shared" si="23"/>
        <v>154889</v>
      </c>
      <c r="AJ42" s="1530">
        <f t="shared" si="43"/>
        <v>3589478.9013488926</v>
      </c>
      <c r="AK42" s="1534">
        <f t="shared" si="44"/>
        <v>299123</v>
      </c>
    </row>
    <row r="43" spans="1:37" ht="16.2" customHeight="1">
      <c r="A43" s="1176">
        <v>37</v>
      </c>
      <c r="B43" s="1177" t="s">
        <v>117</v>
      </c>
      <c r="C43" s="1178">
        <f>+'Table 8 Membership 2.1.14'!K39</f>
        <v>0</v>
      </c>
      <c r="D43" s="1179">
        <f>+'Table 5C1A-Madison Prep'!D43</f>
        <v>5665.3839260317691</v>
      </c>
      <c r="E43" s="1180">
        <f t="shared" si="24"/>
        <v>0</v>
      </c>
      <c r="F43" s="1180">
        <f>+'Table 5C1A-Madison Prep'!F43</f>
        <v>653.61</v>
      </c>
      <c r="G43" s="1180">
        <f t="shared" si="25"/>
        <v>0</v>
      </c>
      <c r="H43" s="1539">
        <f t="shared" si="26"/>
        <v>0</v>
      </c>
      <c r="I43" s="1181"/>
      <c r="J43" s="1181"/>
      <c r="K43" s="1182">
        <f t="shared" si="27"/>
        <v>0</v>
      </c>
      <c r="L43" s="1539">
        <f t="shared" si="28"/>
        <v>0</v>
      </c>
      <c r="M43" s="1388">
        <f t="shared" si="29"/>
        <v>0</v>
      </c>
      <c r="N43" s="1539">
        <f t="shared" si="30"/>
        <v>0</v>
      </c>
      <c r="O43" s="1179">
        <v>0</v>
      </c>
      <c r="P43" s="1539">
        <f t="shared" si="31"/>
        <v>0</v>
      </c>
      <c r="Q43" s="1179"/>
      <c r="R43" s="1179">
        <f t="shared" si="32"/>
        <v>0</v>
      </c>
      <c r="S43" s="1539">
        <f t="shared" si="33"/>
        <v>0</v>
      </c>
      <c r="T43" s="1539">
        <f t="shared" si="34"/>
        <v>0</v>
      </c>
      <c r="U43" s="1397">
        <f>+'Table 5C1A-Madison Prep'!U43</f>
        <v>3520</v>
      </c>
      <c r="V43" s="1510">
        <f t="shared" si="45"/>
        <v>0</v>
      </c>
      <c r="W43" s="1391"/>
      <c r="X43" s="1392">
        <f t="shared" si="35"/>
        <v>0</v>
      </c>
      <c r="Y43" s="1391"/>
      <c r="Z43" s="1392">
        <f t="shared" si="36"/>
        <v>0</v>
      </c>
      <c r="AA43" s="1390">
        <f t="shared" si="37"/>
        <v>0</v>
      </c>
      <c r="AB43" s="1510">
        <f t="shared" si="38"/>
        <v>0</v>
      </c>
      <c r="AC43" s="1394">
        <f t="shared" si="39"/>
        <v>0</v>
      </c>
      <c r="AD43" s="1510">
        <f t="shared" si="40"/>
        <v>0</v>
      </c>
      <c r="AE43" s="1395">
        <v>0</v>
      </c>
      <c r="AF43" s="1510">
        <f t="shared" si="41"/>
        <v>0</v>
      </c>
      <c r="AG43" s="1392"/>
      <c r="AH43" s="1392">
        <f t="shared" si="42"/>
        <v>0</v>
      </c>
      <c r="AI43" s="1515">
        <f t="shared" si="23"/>
        <v>0</v>
      </c>
      <c r="AJ43" s="1505">
        <f t="shared" si="43"/>
        <v>0</v>
      </c>
      <c r="AK43" s="1535">
        <f t="shared" si="44"/>
        <v>0</v>
      </c>
    </row>
    <row r="44" spans="1:37" ht="16.2" customHeight="1">
      <c r="A44" s="1176">
        <v>38</v>
      </c>
      <c r="B44" s="1177" t="s">
        <v>118</v>
      </c>
      <c r="C44" s="1178">
        <f>+'Table 8 Membership 2.1.14'!K40</f>
        <v>0</v>
      </c>
      <c r="D44" s="1179">
        <f>+'Table 5C1A-Madison Prep'!D44</f>
        <v>2088.8017552916881</v>
      </c>
      <c r="E44" s="1180">
        <f t="shared" si="24"/>
        <v>0</v>
      </c>
      <c r="F44" s="1180">
        <f>+'Table 5C1A-Madison Prep'!F44</f>
        <v>829.92000000000007</v>
      </c>
      <c r="G44" s="1180">
        <f t="shared" si="25"/>
        <v>0</v>
      </c>
      <c r="H44" s="1539">
        <f t="shared" si="26"/>
        <v>0</v>
      </c>
      <c r="I44" s="1181"/>
      <c r="J44" s="1181"/>
      <c r="K44" s="1182">
        <f t="shared" si="27"/>
        <v>0</v>
      </c>
      <c r="L44" s="1539">
        <f t="shared" si="28"/>
        <v>0</v>
      </c>
      <c r="M44" s="1388">
        <f t="shared" si="29"/>
        <v>0</v>
      </c>
      <c r="N44" s="1539">
        <f t="shared" si="30"/>
        <v>0</v>
      </c>
      <c r="O44" s="1179">
        <v>0</v>
      </c>
      <c r="P44" s="1539">
        <f t="shared" si="31"/>
        <v>0</v>
      </c>
      <c r="Q44" s="1179"/>
      <c r="R44" s="1179">
        <f t="shared" si="32"/>
        <v>0</v>
      </c>
      <c r="S44" s="1539">
        <f t="shared" si="33"/>
        <v>0</v>
      </c>
      <c r="T44" s="1539">
        <f t="shared" si="34"/>
        <v>0</v>
      </c>
      <c r="U44" s="1397">
        <f>+'Table 5C1A-Madison Prep'!U44</f>
        <v>11379</v>
      </c>
      <c r="V44" s="1510">
        <f t="shared" si="45"/>
        <v>0</v>
      </c>
      <c r="W44" s="1391"/>
      <c r="X44" s="1392">
        <f t="shared" si="35"/>
        <v>0</v>
      </c>
      <c r="Y44" s="1391"/>
      <c r="Z44" s="1392">
        <f t="shared" si="36"/>
        <v>0</v>
      </c>
      <c r="AA44" s="1390">
        <f t="shared" si="37"/>
        <v>0</v>
      </c>
      <c r="AB44" s="1510">
        <f t="shared" si="38"/>
        <v>0</v>
      </c>
      <c r="AC44" s="1394">
        <f t="shared" si="39"/>
        <v>0</v>
      </c>
      <c r="AD44" s="1510">
        <f t="shared" si="40"/>
        <v>0</v>
      </c>
      <c r="AE44" s="1395">
        <v>0</v>
      </c>
      <c r="AF44" s="1510">
        <f t="shared" si="41"/>
        <v>0</v>
      </c>
      <c r="AG44" s="1392"/>
      <c r="AH44" s="1392">
        <f t="shared" si="42"/>
        <v>0</v>
      </c>
      <c r="AI44" s="1515">
        <f t="shared" si="23"/>
        <v>0</v>
      </c>
      <c r="AJ44" s="1505">
        <f t="shared" si="43"/>
        <v>0</v>
      </c>
      <c r="AK44" s="1535">
        <f t="shared" si="44"/>
        <v>0</v>
      </c>
    </row>
    <row r="45" spans="1:37" ht="16.2" customHeight="1">
      <c r="A45" s="1176">
        <v>39</v>
      </c>
      <c r="B45" s="1177" t="s">
        <v>119</v>
      </c>
      <c r="C45" s="1178">
        <f>+'Table 8 Membership 2.1.14'!K41</f>
        <v>0</v>
      </c>
      <c r="D45" s="1179">
        <f>+'Table 5C1A-Madison Prep'!D45</f>
        <v>3656.9056809295676</v>
      </c>
      <c r="E45" s="1180">
        <f t="shared" si="24"/>
        <v>0</v>
      </c>
      <c r="F45" s="1180">
        <f>+'Table 5C1A-Madison Prep'!F45</f>
        <v>779.65573042776396</v>
      </c>
      <c r="G45" s="1180">
        <f t="shared" si="25"/>
        <v>0</v>
      </c>
      <c r="H45" s="1539">
        <f t="shared" si="26"/>
        <v>0</v>
      </c>
      <c r="I45" s="1181"/>
      <c r="J45" s="1181"/>
      <c r="K45" s="1182">
        <f t="shared" si="27"/>
        <v>0</v>
      </c>
      <c r="L45" s="1539">
        <f t="shared" si="28"/>
        <v>0</v>
      </c>
      <c r="M45" s="1388">
        <f t="shared" si="29"/>
        <v>0</v>
      </c>
      <c r="N45" s="1539">
        <f t="shared" si="30"/>
        <v>0</v>
      </c>
      <c r="O45" s="1179">
        <v>0</v>
      </c>
      <c r="P45" s="1539">
        <f t="shared" si="31"/>
        <v>0</v>
      </c>
      <c r="Q45" s="1179"/>
      <c r="R45" s="1179">
        <f t="shared" si="32"/>
        <v>0</v>
      </c>
      <c r="S45" s="1539">
        <f t="shared" si="33"/>
        <v>0</v>
      </c>
      <c r="T45" s="1539">
        <f t="shared" si="34"/>
        <v>0</v>
      </c>
      <c r="U45" s="1397">
        <f>+'Table 5C1A-Madison Prep'!U45</f>
        <v>4955</v>
      </c>
      <c r="V45" s="1510">
        <f t="shared" si="45"/>
        <v>0</v>
      </c>
      <c r="W45" s="1391"/>
      <c r="X45" s="1392">
        <f t="shared" si="35"/>
        <v>0</v>
      </c>
      <c r="Y45" s="1391"/>
      <c r="Z45" s="1392">
        <f t="shared" si="36"/>
        <v>0</v>
      </c>
      <c r="AA45" s="1390">
        <f t="shared" si="37"/>
        <v>0</v>
      </c>
      <c r="AB45" s="1510">
        <f t="shared" si="38"/>
        <v>0</v>
      </c>
      <c r="AC45" s="1394">
        <f t="shared" si="39"/>
        <v>0</v>
      </c>
      <c r="AD45" s="1510">
        <f t="shared" si="40"/>
        <v>0</v>
      </c>
      <c r="AE45" s="1395">
        <v>0</v>
      </c>
      <c r="AF45" s="1510">
        <f t="shared" si="41"/>
        <v>0</v>
      </c>
      <c r="AG45" s="1392"/>
      <c r="AH45" s="1392">
        <f t="shared" si="42"/>
        <v>0</v>
      </c>
      <c r="AI45" s="1515">
        <f t="shared" si="23"/>
        <v>0</v>
      </c>
      <c r="AJ45" s="1505">
        <f t="shared" si="43"/>
        <v>0</v>
      </c>
      <c r="AK45" s="1535">
        <f t="shared" si="44"/>
        <v>0</v>
      </c>
    </row>
    <row r="46" spans="1:37" ht="16.2" customHeight="1">
      <c r="A46" s="1168">
        <v>40</v>
      </c>
      <c r="B46" s="1169" t="s">
        <v>120</v>
      </c>
      <c r="C46" s="1170">
        <f>+'Table 8 Membership 2.1.14'!K42</f>
        <v>0</v>
      </c>
      <c r="D46" s="1171">
        <f>+'Table 5C1A-Madison Prep'!D46</f>
        <v>5121.8110285698403</v>
      </c>
      <c r="E46" s="1172">
        <f t="shared" si="24"/>
        <v>0</v>
      </c>
      <c r="F46" s="1172">
        <f>+'Table 5C1A-Madison Prep'!F46</f>
        <v>700.2700000000001</v>
      </c>
      <c r="G46" s="1172">
        <f t="shared" si="25"/>
        <v>0</v>
      </c>
      <c r="H46" s="1540">
        <f t="shared" si="26"/>
        <v>0</v>
      </c>
      <c r="I46" s="1173"/>
      <c r="J46" s="1173"/>
      <c r="K46" s="1174">
        <f t="shared" si="27"/>
        <v>0</v>
      </c>
      <c r="L46" s="1540">
        <f t="shared" si="28"/>
        <v>0</v>
      </c>
      <c r="M46" s="1399">
        <f t="shared" si="29"/>
        <v>0</v>
      </c>
      <c r="N46" s="1540">
        <f t="shared" si="30"/>
        <v>0</v>
      </c>
      <c r="O46" s="1171">
        <v>0</v>
      </c>
      <c r="P46" s="1540">
        <f t="shared" si="31"/>
        <v>0</v>
      </c>
      <c r="Q46" s="1171"/>
      <c r="R46" s="1171">
        <f t="shared" si="32"/>
        <v>0</v>
      </c>
      <c r="S46" s="1540">
        <f t="shared" si="33"/>
        <v>0</v>
      </c>
      <c r="T46" s="1540">
        <f t="shared" si="34"/>
        <v>0</v>
      </c>
      <c r="U46" s="1387">
        <f>+'Table 5C1A-Madison Prep'!U46</f>
        <v>3069</v>
      </c>
      <c r="V46" s="1511">
        <f t="shared" si="45"/>
        <v>0</v>
      </c>
      <c r="W46" s="1400"/>
      <c r="X46" s="1383">
        <f t="shared" si="35"/>
        <v>0</v>
      </c>
      <c r="Y46" s="1400"/>
      <c r="Z46" s="1383">
        <f t="shared" si="36"/>
        <v>0</v>
      </c>
      <c r="AA46" s="1384">
        <f t="shared" si="37"/>
        <v>0</v>
      </c>
      <c r="AB46" s="1511">
        <f t="shared" si="38"/>
        <v>0</v>
      </c>
      <c r="AC46" s="1402">
        <f t="shared" si="39"/>
        <v>0</v>
      </c>
      <c r="AD46" s="1511">
        <f t="shared" si="40"/>
        <v>0</v>
      </c>
      <c r="AE46" s="1385">
        <v>0</v>
      </c>
      <c r="AF46" s="1511">
        <f t="shared" si="41"/>
        <v>0</v>
      </c>
      <c r="AG46" s="1383"/>
      <c r="AH46" s="1383">
        <f t="shared" si="42"/>
        <v>0</v>
      </c>
      <c r="AI46" s="1516">
        <f t="shared" si="23"/>
        <v>0</v>
      </c>
      <c r="AJ46" s="1531">
        <f t="shared" si="43"/>
        <v>0</v>
      </c>
      <c r="AK46" s="1536">
        <f t="shared" si="44"/>
        <v>0</v>
      </c>
    </row>
    <row r="47" spans="1:37" ht="16.2" customHeight="1">
      <c r="A47" s="1183">
        <v>41</v>
      </c>
      <c r="B47" s="1184" t="s">
        <v>121</v>
      </c>
      <c r="C47" s="1185">
        <f>+'Table 8 Membership 2.1.14'!K43</f>
        <v>0</v>
      </c>
      <c r="D47" s="1186">
        <f>+'Table 5C1A-Madison Prep'!D47</f>
        <v>3291.1948574716475</v>
      </c>
      <c r="E47" s="1187">
        <f t="shared" si="24"/>
        <v>0</v>
      </c>
      <c r="F47" s="1187">
        <f>+'Table 5C1A-Madison Prep'!F47</f>
        <v>886.22</v>
      </c>
      <c r="G47" s="1187">
        <f t="shared" si="25"/>
        <v>0</v>
      </c>
      <c r="H47" s="1538">
        <f t="shared" si="26"/>
        <v>0</v>
      </c>
      <c r="I47" s="1188"/>
      <c r="J47" s="1188"/>
      <c r="K47" s="1189">
        <f t="shared" si="27"/>
        <v>0</v>
      </c>
      <c r="L47" s="1538">
        <f t="shared" si="28"/>
        <v>0</v>
      </c>
      <c r="M47" s="1372">
        <f t="shared" si="29"/>
        <v>0</v>
      </c>
      <c r="N47" s="1538">
        <f t="shared" si="30"/>
        <v>0</v>
      </c>
      <c r="O47" s="1186">
        <v>0</v>
      </c>
      <c r="P47" s="1538">
        <f t="shared" si="31"/>
        <v>0</v>
      </c>
      <c r="Q47" s="1186"/>
      <c r="R47" s="1186">
        <f t="shared" si="32"/>
        <v>0</v>
      </c>
      <c r="S47" s="1538">
        <f t="shared" si="33"/>
        <v>0</v>
      </c>
      <c r="T47" s="1538">
        <f t="shared" si="34"/>
        <v>0</v>
      </c>
      <c r="U47" s="1381">
        <f>+'Table 5C1A-Madison Prep'!U47</f>
        <v>8478</v>
      </c>
      <c r="V47" s="1509">
        <f t="shared" si="45"/>
        <v>0</v>
      </c>
      <c r="W47" s="1375"/>
      <c r="X47" s="1376">
        <f t="shared" si="35"/>
        <v>0</v>
      </c>
      <c r="Y47" s="1375"/>
      <c r="Z47" s="1376">
        <f t="shared" si="36"/>
        <v>0</v>
      </c>
      <c r="AA47" s="1374">
        <f t="shared" si="37"/>
        <v>0</v>
      </c>
      <c r="AB47" s="1509">
        <f t="shared" si="38"/>
        <v>0</v>
      </c>
      <c r="AC47" s="1378">
        <f t="shared" si="39"/>
        <v>0</v>
      </c>
      <c r="AD47" s="1509">
        <f t="shared" si="40"/>
        <v>0</v>
      </c>
      <c r="AE47" s="1379">
        <v>0</v>
      </c>
      <c r="AF47" s="1509">
        <f t="shared" si="41"/>
        <v>0</v>
      </c>
      <c r="AG47" s="1376"/>
      <c r="AH47" s="1376">
        <f t="shared" si="42"/>
        <v>0</v>
      </c>
      <c r="AI47" s="1514">
        <f t="shared" si="23"/>
        <v>0</v>
      </c>
      <c r="AJ47" s="1530">
        <f t="shared" si="43"/>
        <v>0</v>
      </c>
      <c r="AK47" s="1534">
        <f t="shared" si="44"/>
        <v>0</v>
      </c>
    </row>
    <row r="48" spans="1:37" ht="16.2" customHeight="1">
      <c r="A48" s="1176">
        <v>42</v>
      </c>
      <c r="B48" s="1177" t="s">
        <v>122</v>
      </c>
      <c r="C48" s="1178">
        <f>+'Table 8 Membership 2.1.14'!K44</f>
        <v>0</v>
      </c>
      <c r="D48" s="1179">
        <f>+'Table 5C1A-Madison Prep'!D48</f>
        <v>5113.6077751368684</v>
      </c>
      <c r="E48" s="1180">
        <f t="shared" si="24"/>
        <v>0</v>
      </c>
      <c r="F48" s="1180">
        <f>+'Table 5C1A-Madison Prep'!F48</f>
        <v>534.28</v>
      </c>
      <c r="G48" s="1180">
        <f t="shared" si="25"/>
        <v>0</v>
      </c>
      <c r="H48" s="1539">
        <f t="shared" si="26"/>
        <v>0</v>
      </c>
      <c r="I48" s="1181"/>
      <c r="J48" s="1181"/>
      <c r="K48" s="1182">
        <f t="shared" si="27"/>
        <v>0</v>
      </c>
      <c r="L48" s="1539">
        <f t="shared" si="28"/>
        <v>0</v>
      </c>
      <c r="M48" s="1388">
        <f t="shared" si="29"/>
        <v>0</v>
      </c>
      <c r="N48" s="1539">
        <f t="shared" si="30"/>
        <v>0</v>
      </c>
      <c r="O48" s="1179">
        <v>0</v>
      </c>
      <c r="P48" s="1539">
        <f t="shared" si="31"/>
        <v>0</v>
      </c>
      <c r="Q48" s="1179"/>
      <c r="R48" s="1179">
        <f t="shared" si="32"/>
        <v>0</v>
      </c>
      <c r="S48" s="1539">
        <f t="shared" si="33"/>
        <v>0</v>
      </c>
      <c r="T48" s="1539">
        <f t="shared" si="34"/>
        <v>0</v>
      </c>
      <c r="U48" s="1397">
        <f>+'Table 5C1A-Madison Prep'!U48</f>
        <v>3578</v>
      </c>
      <c r="V48" s="1510">
        <f t="shared" si="45"/>
        <v>0</v>
      </c>
      <c r="W48" s="1391"/>
      <c r="X48" s="1392">
        <f t="shared" si="35"/>
        <v>0</v>
      </c>
      <c r="Y48" s="1391"/>
      <c r="Z48" s="1392">
        <f t="shared" si="36"/>
        <v>0</v>
      </c>
      <c r="AA48" s="1390">
        <f t="shared" si="37"/>
        <v>0</v>
      </c>
      <c r="AB48" s="1510">
        <f t="shared" si="38"/>
        <v>0</v>
      </c>
      <c r="AC48" s="1394">
        <f t="shared" si="39"/>
        <v>0</v>
      </c>
      <c r="AD48" s="1510">
        <f t="shared" si="40"/>
        <v>0</v>
      </c>
      <c r="AE48" s="1395">
        <v>0</v>
      </c>
      <c r="AF48" s="1510">
        <f t="shared" si="41"/>
        <v>0</v>
      </c>
      <c r="AG48" s="1392"/>
      <c r="AH48" s="1392">
        <f t="shared" si="42"/>
        <v>0</v>
      </c>
      <c r="AI48" s="1515">
        <f t="shared" si="23"/>
        <v>0</v>
      </c>
      <c r="AJ48" s="1505">
        <f t="shared" si="43"/>
        <v>0</v>
      </c>
      <c r="AK48" s="1535">
        <f t="shared" si="44"/>
        <v>0</v>
      </c>
    </row>
    <row r="49" spans="1:37" ht="16.2" customHeight="1">
      <c r="A49" s="1176">
        <v>43</v>
      </c>
      <c r="B49" s="1177" t="s">
        <v>123</v>
      </c>
      <c r="C49" s="1178">
        <f>+'Table 8 Membership 2.1.14'!K45</f>
        <v>0</v>
      </c>
      <c r="D49" s="1179">
        <f>+'Table 5C1A-Madison Prep'!D49</f>
        <v>5788.74387205947</v>
      </c>
      <c r="E49" s="1180">
        <f t="shared" si="24"/>
        <v>0</v>
      </c>
      <c r="F49" s="1180">
        <f>+'Table 5C1A-Madison Prep'!F49</f>
        <v>574.6099999999999</v>
      </c>
      <c r="G49" s="1180">
        <f t="shared" si="25"/>
        <v>0</v>
      </c>
      <c r="H49" s="1539">
        <f t="shared" si="26"/>
        <v>0</v>
      </c>
      <c r="I49" s="1181"/>
      <c r="J49" s="1181"/>
      <c r="K49" s="1182">
        <f t="shared" si="27"/>
        <v>0</v>
      </c>
      <c r="L49" s="1539">
        <f t="shared" si="28"/>
        <v>0</v>
      </c>
      <c r="M49" s="1388">
        <f t="shared" si="29"/>
        <v>0</v>
      </c>
      <c r="N49" s="1539">
        <f t="shared" si="30"/>
        <v>0</v>
      </c>
      <c r="O49" s="1179">
        <v>0</v>
      </c>
      <c r="P49" s="1539">
        <f t="shared" si="31"/>
        <v>0</v>
      </c>
      <c r="Q49" s="1179"/>
      <c r="R49" s="1179">
        <f t="shared" si="32"/>
        <v>0</v>
      </c>
      <c r="S49" s="1539">
        <f t="shared" si="33"/>
        <v>0</v>
      </c>
      <c r="T49" s="1539">
        <f t="shared" si="34"/>
        <v>0</v>
      </c>
      <c r="U49" s="1397">
        <f>+'Table 5C1A-Madison Prep'!U49</f>
        <v>3205</v>
      </c>
      <c r="V49" s="1510">
        <f t="shared" si="45"/>
        <v>0</v>
      </c>
      <c r="W49" s="1391"/>
      <c r="X49" s="1392">
        <f t="shared" si="35"/>
        <v>0</v>
      </c>
      <c r="Y49" s="1391"/>
      <c r="Z49" s="1392">
        <f t="shared" si="36"/>
        <v>0</v>
      </c>
      <c r="AA49" s="1390">
        <f t="shared" si="37"/>
        <v>0</v>
      </c>
      <c r="AB49" s="1510">
        <f t="shared" si="38"/>
        <v>0</v>
      </c>
      <c r="AC49" s="1394">
        <f t="shared" si="39"/>
        <v>0</v>
      </c>
      <c r="AD49" s="1510">
        <f t="shared" si="40"/>
        <v>0</v>
      </c>
      <c r="AE49" s="1395">
        <v>0</v>
      </c>
      <c r="AF49" s="1510">
        <f t="shared" si="41"/>
        <v>0</v>
      </c>
      <c r="AG49" s="1392"/>
      <c r="AH49" s="1392">
        <f t="shared" si="42"/>
        <v>0</v>
      </c>
      <c r="AI49" s="1515">
        <f t="shared" si="23"/>
        <v>0</v>
      </c>
      <c r="AJ49" s="1505">
        <f t="shared" si="43"/>
        <v>0</v>
      </c>
      <c r="AK49" s="1535">
        <f t="shared" si="44"/>
        <v>0</v>
      </c>
    </row>
    <row r="50" spans="1:37" ht="16.2" customHeight="1">
      <c r="A50" s="1176">
        <v>44</v>
      </c>
      <c r="B50" s="1177" t="s">
        <v>124</v>
      </c>
      <c r="C50" s="1178">
        <f>+'Table 8 Membership 2.1.14'!K46</f>
        <v>2</v>
      </c>
      <c r="D50" s="1179">
        <f>+'Table 5C1A-Madison Prep'!D50</f>
        <v>4897.5958151820359</v>
      </c>
      <c r="E50" s="1180">
        <f t="shared" si="24"/>
        <v>9795.1916303640719</v>
      </c>
      <c r="F50" s="1180">
        <f>+'Table 5C1A-Madison Prep'!F50</f>
        <v>663.16000000000008</v>
      </c>
      <c r="G50" s="1180">
        <f t="shared" si="25"/>
        <v>1326.3200000000002</v>
      </c>
      <c r="H50" s="1539">
        <f t="shared" si="26"/>
        <v>11121.511630364072</v>
      </c>
      <c r="I50" s="1181"/>
      <c r="J50" s="1181"/>
      <c r="K50" s="1182">
        <f t="shared" si="27"/>
        <v>0</v>
      </c>
      <c r="L50" s="1539">
        <f t="shared" si="28"/>
        <v>11121.511630364072</v>
      </c>
      <c r="M50" s="1388">
        <f t="shared" si="29"/>
        <v>-27.803779075910178</v>
      </c>
      <c r="N50" s="1539">
        <f t="shared" si="30"/>
        <v>11093.707851288162</v>
      </c>
      <c r="O50" s="1179">
        <v>0</v>
      </c>
      <c r="P50" s="1539">
        <f t="shared" si="31"/>
        <v>11093.707851288162</v>
      </c>
      <c r="Q50" s="1179"/>
      <c r="R50" s="1179">
        <f t="shared" si="32"/>
        <v>11093.707851288162</v>
      </c>
      <c r="S50" s="1539">
        <f t="shared" si="33"/>
        <v>924</v>
      </c>
      <c r="T50" s="1539">
        <f t="shared" si="34"/>
        <v>11093.707851288162</v>
      </c>
      <c r="U50" s="1397">
        <f>+'Table 5C1A-Madison Prep'!U50</f>
        <v>3719</v>
      </c>
      <c r="V50" s="1510">
        <f t="shared" si="45"/>
        <v>7438</v>
      </c>
      <c r="W50" s="1391"/>
      <c r="X50" s="1392">
        <f t="shared" si="35"/>
        <v>0</v>
      </c>
      <c r="Y50" s="1391"/>
      <c r="Z50" s="1392">
        <f t="shared" si="36"/>
        <v>0</v>
      </c>
      <c r="AA50" s="1390">
        <f t="shared" si="37"/>
        <v>0</v>
      </c>
      <c r="AB50" s="1510">
        <f t="shared" si="38"/>
        <v>7438</v>
      </c>
      <c r="AC50" s="1394">
        <f t="shared" si="39"/>
        <v>-18.594999999999999</v>
      </c>
      <c r="AD50" s="1510">
        <f t="shared" si="40"/>
        <v>7419.4049999999997</v>
      </c>
      <c r="AE50" s="1395">
        <v>0</v>
      </c>
      <c r="AF50" s="1510">
        <f t="shared" si="41"/>
        <v>7419.4049999999997</v>
      </c>
      <c r="AG50" s="1392"/>
      <c r="AH50" s="1392">
        <f t="shared" si="42"/>
        <v>7419.4049999999997</v>
      </c>
      <c r="AI50" s="1515">
        <f t="shared" si="23"/>
        <v>618</v>
      </c>
      <c r="AJ50" s="1505">
        <f t="shared" si="43"/>
        <v>18513.112851288162</v>
      </c>
      <c r="AK50" s="1535">
        <f t="shared" si="44"/>
        <v>1542</v>
      </c>
    </row>
    <row r="51" spans="1:37" ht="16.2" customHeight="1">
      <c r="A51" s="1168">
        <v>45</v>
      </c>
      <c r="B51" s="1169" t="s">
        <v>125</v>
      </c>
      <c r="C51" s="1170">
        <f>+'Table 8 Membership 2.1.14'!K47</f>
        <v>0</v>
      </c>
      <c r="D51" s="1171">
        <f>+'Table 5C1A-Madison Prep'!D51</f>
        <v>2054.0472499469101</v>
      </c>
      <c r="E51" s="1172">
        <f t="shared" si="24"/>
        <v>0</v>
      </c>
      <c r="F51" s="1172">
        <f>+'Table 5C1A-Madison Prep'!F51</f>
        <v>753.96000000000015</v>
      </c>
      <c r="G51" s="1172">
        <f t="shared" si="25"/>
        <v>0</v>
      </c>
      <c r="H51" s="1540">
        <f t="shared" si="26"/>
        <v>0</v>
      </c>
      <c r="I51" s="1173"/>
      <c r="J51" s="1173"/>
      <c r="K51" s="1174">
        <f t="shared" si="27"/>
        <v>0</v>
      </c>
      <c r="L51" s="1540">
        <f t="shared" si="28"/>
        <v>0</v>
      </c>
      <c r="M51" s="1399">
        <f t="shared" si="29"/>
        <v>0</v>
      </c>
      <c r="N51" s="1540">
        <f t="shared" si="30"/>
        <v>0</v>
      </c>
      <c r="O51" s="1171">
        <v>0</v>
      </c>
      <c r="P51" s="1540">
        <f t="shared" si="31"/>
        <v>0</v>
      </c>
      <c r="Q51" s="1171"/>
      <c r="R51" s="1171">
        <f t="shared" si="32"/>
        <v>0</v>
      </c>
      <c r="S51" s="1540">
        <f t="shared" si="33"/>
        <v>0</v>
      </c>
      <c r="T51" s="1540">
        <f t="shared" si="34"/>
        <v>0</v>
      </c>
      <c r="U51" s="1387">
        <f>+'Table 5C1A-Madison Prep'!U51</f>
        <v>12169</v>
      </c>
      <c r="V51" s="1511">
        <f t="shared" si="45"/>
        <v>0</v>
      </c>
      <c r="W51" s="1400"/>
      <c r="X51" s="1383">
        <f t="shared" si="35"/>
        <v>0</v>
      </c>
      <c r="Y51" s="1400"/>
      <c r="Z51" s="1383">
        <f t="shared" si="36"/>
        <v>0</v>
      </c>
      <c r="AA51" s="1384">
        <f t="shared" si="37"/>
        <v>0</v>
      </c>
      <c r="AB51" s="1511">
        <f t="shared" si="38"/>
        <v>0</v>
      </c>
      <c r="AC51" s="1402">
        <f t="shared" si="39"/>
        <v>0</v>
      </c>
      <c r="AD51" s="1511">
        <f t="shared" si="40"/>
        <v>0</v>
      </c>
      <c r="AE51" s="1385">
        <v>0</v>
      </c>
      <c r="AF51" s="1511">
        <f t="shared" si="41"/>
        <v>0</v>
      </c>
      <c r="AG51" s="1383"/>
      <c r="AH51" s="1383">
        <f t="shared" si="42"/>
        <v>0</v>
      </c>
      <c r="AI51" s="1516">
        <f t="shared" si="23"/>
        <v>0</v>
      </c>
      <c r="AJ51" s="1531">
        <f t="shared" si="43"/>
        <v>0</v>
      </c>
      <c r="AK51" s="1536">
        <f t="shared" si="44"/>
        <v>0</v>
      </c>
    </row>
    <row r="52" spans="1:37" ht="16.2" customHeight="1">
      <c r="A52" s="1183">
        <v>46</v>
      </c>
      <c r="B52" s="1184" t="s">
        <v>126</v>
      </c>
      <c r="C52" s="1185">
        <f>+'Table 8 Membership 2.1.14'!K48</f>
        <v>0</v>
      </c>
      <c r="D52" s="1186">
        <f>+'Table 5C1A-Madison Prep'!D52</f>
        <v>6051.2144468088381</v>
      </c>
      <c r="E52" s="1187">
        <f t="shared" si="24"/>
        <v>0</v>
      </c>
      <c r="F52" s="1187">
        <f>+'Table 5C1A-Madison Prep'!F52</f>
        <v>728.06</v>
      </c>
      <c r="G52" s="1187">
        <f t="shared" si="25"/>
        <v>0</v>
      </c>
      <c r="H52" s="1538">
        <f t="shared" si="26"/>
        <v>0</v>
      </c>
      <c r="I52" s="1188"/>
      <c r="J52" s="1188"/>
      <c r="K52" s="1189">
        <f t="shared" si="27"/>
        <v>0</v>
      </c>
      <c r="L52" s="1538">
        <f t="shared" si="28"/>
        <v>0</v>
      </c>
      <c r="M52" s="1372">
        <f t="shared" si="29"/>
        <v>0</v>
      </c>
      <c r="N52" s="1538">
        <f t="shared" si="30"/>
        <v>0</v>
      </c>
      <c r="O52" s="1186">
        <v>0</v>
      </c>
      <c r="P52" s="1538">
        <f t="shared" si="31"/>
        <v>0</v>
      </c>
      <c r="Q52" s="1186"/>
      <c r="R52" s="1186">
        <f t="shared" si="32"/>
        <v>0</v>
      </c>
      <c r="S52" s="1538">
        <f t="shared" si="33"/>
        <v>0</v>
      </c>
      <c r="T52" s="1538">
        <f t="shared" si="34"/>
        <v>0</v>
      </c>
      <c r="U52" s="1381">
        <f>+'Table 5C1A-Madison Prep'!U52</f>
        <v>2713</v>
      </c>
      <c r="V52" s="1509">
        <f t="shared" si="45"/>
        <v>0</v>
      </c>
      <c r="W52" s="1375"/>
      <c r="X52" s="1376">
        <f t="shared" si="35"/>
        <v>0</v>
      </c>
      <c r="Y52" s="1375"/>
      <c r="Z52" s="1376">
        <f t="shared" si="36"/>
        <v>0</v>
      </c>
      <c r="AA52" s="1374">
        <f t="shared" si="37"/>
        <v>0</v>
      </c>
      <c r="AB52" s="1509">
        <f t="shared" si="38"/>
        <v>0</v>
      </c>
      <c r="AC52" s="1378">
        <f t="shared" si="39"/>
        <v>0</v>
      </c>
      <c r="AD52" s="1509">
        <f t="shared" si="40"/>
        <v>0</v>
      </c>
      <c r="AE52" s="1379">
        <v>0</v>
      </c>
      <c r="AF52" s="1509">
        <f t="shared" si="41"/>
        <v>0</v>
      </c>
      <c r="AG52" s="1376"/>
      <c r="AH52" s="1376">
        <f t="shared" si="42"/>
        <v>0</v>
      </c>
      <c r="AI52" s="1514">
        <f t="shared" si="23"/>
        <v>0</v>
      </c>
      <c r="AJ52" s="1530">
        <f t="shared" si="43"/>
        <v>0</v>
      </c>
      <c r="AK52" s="1534">
        <f t="shared" si="44"/>
        <v>0</v>
      </c>
    </row>
    <row r="53" spans="1:37" ht="16.2" customHeight="1">
      <c r="A53" s="1176">
        <v>47</v>
      </c>
      <c r="B53" s="1177" t="s">
        <v>127</v>
      </c>
      <c r="C53" s="1178">
        <f>+'Table 8 Membership 2.1.14'!K49</f>
        <v>0</v>
      </c>
      <c r="D53" s="1179">
        <f>+'Table 5C1A-Madison Prep'!D53</f>
        <v>2524.1485257646736</v>
      </c>
      <c r="E53" s="1180">
        <f t="shared" si="24"/>
        <v>0</v>
      </c>
      <c r="F53" s="1180">
        <f>+'Table 5C1A-Madison Prep'!F53</f>
        <v>910.76</v>
      </c>
      <c r="G53" s="1180">
        <f t="shared" si="25"/>
        <v>0</v>
      </c>
      <c r="H53" s="1539">
        <f t="shared" si="26"/>
        <v>0</v>
      </c>
      <c r="I53" s="1181"/>
      <c r="J53" s="1181"/>
      <c r="K53" s="1182">
        <f t="shared" si="27"/>
        <v>0</v>
      </c>
      <c r="L53" s="1539">
        <f t="shared" si="28"/>
        <v>0</v>
      </c>
      <c r="M53" s="1388">
        <f t="shared" si="29"/>
        <v>0</v>
      </c>
      <c r="N53" s="1539">
        <f t="shared" si="30"/>
        <v>0</v>
      </c>
      <c r="O53" s="1179">
        <v>0</v>
      </c>
      <c r="P53" s="1539">
        <f t="shared" si="31"/>
        <v>0</v>
      </c>
      <c r="Q53" s="1179"/>
      <c r="R53" s="1179">
        <f t="shared" si="32"/>
        <v>0</v>
      </c>
      <c r="S53" s="1539">
        <f t="shared" si="33"/>
        <v>0</v>
      </c>
      <c r="T53" s="1539">
        <f t="shared" si="34"/>
        <v>0</v>
      </c>
      <c r="U53" s="1397">
        <f>+'Table 5C1A-Madison Prep'!U53</f>
        <v>11701</v>
      </c>
      <c r="V53" s="1510">
        <f t="shared" si="45"/>
        <v>0</v>
      </c>
      <c r="W53" s="1391"/>
      <c r="X53" s="1392">
        <f t="shared" si="35"/>
        <v>0</v>
      </c>
      <c r="Y53" s="1391"/>
      <c r="Z53" s="1392">
        <f t="shared" si="36"/>
        <v>0</v>
      </c>
      <c r="AA53" s="1390">
        <f t="shared" si="37"/>
        <v>0</v>
      </c>
      <c r="AB53" s="1510">
        <f t="shared" si="38"/>
        <v>0</v>
      </c>
      <c r="AC53" s="1394">
        <f t="shared" si="39"/>
        <v>0</v>
      </c>
      <c r="AD53" s="1510">
        <f t="shared" si="40"/>
        <v>0</v>
      </c>
      <c r="AE53" s="1395">
        <v>0</v>
      </c>
      <c r="AF53" s="1510">
        <f t="shared" si="41"/>
        <v>0</v>
      </c>
      <c r="AG53" s="1392"/>
      <c r="AH53" s="1392">
        <f t="shared" si="42"/>
        <v>0</v>
      </c>
      <c r="AI53" s="1515">
        <f t="shared" si="23"/>
        <v>0</v>
      </c>
      <c r="AJ53" s="1505">
        <f t="shared" si="43"/>
        <v>0</v>
      </c>
      <c r="AK53" s="1535">
        <f t="shared" si="44"/>
        <v>0</v>
      </c>
    </row>
    <row r="54" spans="1:37" ht="16.2" customHeight="1">
      <c r="A54" s="1176">
        <v>48</v>
      </c>
      <c r="B54" s="1177" t="s">
        <v>178</v>
      </c>
      <c r="C54" s="1178">
        <f>+'Table 8 Membership 2.1.14'!K50</f>
        <v>2</v>
      </c>
      <c r="D54" s="1179">
        <f>+'Table 5C1A-Madison Prep'!D54</f>
        <v>3983.3582529800719</v>
      </c>
      <c r="E54" s="1180">
        <f t="shared" si="24"/>
        <v>7966.7165059601439</v>
      </c>
      <c r="F54" s="1180">
        <f>+'Table 5C1A-Madison Prep'!F54</f>
        <v>871.07</v>
      </c>
      <c r="G54" s="1180">
        <f t="shared" si="25"/>
        <v>1742.14</v>
      </c>
      <c r="H54" s="1539">
        <f t="shared" si="26"/>
        <v>9708.8565059601442</v>
      </c>
      <c r="I54" s="1181"/>
      <c r="J54" s="1181"/>
      <c r="K54" s="1182">
        <f t="shared" si="27"/>
        <v>0</v>
      </c>
      <c r="L54" s="1539">
        <f t="shared" si="28"/>
        <v>9708.8565059601442</v>
      </c>
      <c r="M54" s="1388">
        <f t="shared" si="29"/>
        <v>-24.272141264900363</v>
      </c>
      <c r="N54" s="1539">
        <f t="shared" si="30"/>
        <v>9684.5843646952435</v>
      </c>
      <c r="O54" s="1179">
        <v>0</v>
      </c>
      <c r="P54" s="1539">
        <f t="shared" si="31"/>
        <v>9684.5843646952435</v>
      </c>
      <c r="Q54" s="1179"/>
      <c r="R54" s="1179">
        <f t="shared" si="32"/>
        <v>9684.5843646952435</v>
      </c>
      <c r="S54" s="1539">
        <f t="shared" si="33"/>
        <v>807</v>
      </c>
      <c r="T54" s="1539">
        <f t="shared" si="34"/>
        <v>9684.5843646952435</v>
      </c>
      <c r="U54" s="1397">
        <f>+'Table 5C1A-Madison Prep'!U54</f>
        <v>7338</v>
      </c>
      <c r="V54" s="1510">
        <f t="shared" si="45"/>
        <v>14676</v>
      </c>
      <c r="W54" s="1391"/>
      <c r="X54" s="1392">
        <f t="shared" si="35"/>
        <v>0</v>
      </c>
      <c r="Y54" s="1391"/>
      <c r="Z54" s="1392">
        <f t="shared" si="36"/>
        <v>0</v>
      </c>
      <c r="AA54" s="1390">
        <f t="shared" si="37"/>
        <v>0</v>
      </c>
      <c r="AB54" s="1510">
        <f t="shared" si="38"/>
        <v>14676</v>
      </c>
      <c r="AC54" s="1394">
        <f t="shared" si="39"/>
        <v>-36.69</v>
      </c>
      <c r="AD54" s="1510">
        <f t="shared" si="40"/>
        <v>14639.31</v>
      </c>
      <c r="AE54" s="1395">
        <v>0</v>
      </c>
      <c r="AF54" s="1510">
        <f t="shared" si="41"/>
        <v>14639.31</v>
      </c>
      <c r="AG54" s="1392"/>
      <c r="AH54" s="1392">
        <f t="shared" si="42"/>
        <v>14639.31</v>
      </c>
      <c r="AI54" s="1515">
        <f t="shared" si="23"/>
        <v>1220</v>
      </c>
      <c r="AJ54" s="1505">
        <f t="shared" si="43"/>
        <v>24323.894364695243</v>
      </c>
      <c r="AK54" s="1535">
        <f t="shared" si="44"/>
        <v>2027</v>
      </c>
    </row>
    <row r="55" spans="1:37" ht="16.2" customHeight="1">
      <c r="A55" s="1176">
        <v>49</v>
      </c>
      <c r="B55" s="1177" t="s">
        <v>128</v>
      </c>
      <c r="C55" s="1178">
        <f>+'Table 8 Membership 2.1.14'!K51</f>
        <v>0</v>
      </c>
      <c r="D55" s="1179">
        <f>+'Table 5C1A-Madison Prep'!D55</f>
        <v>4995.8755315659191</v>
      </c>
      <c r="E55" s="1180">
        <f t="shared" si="24"/>
        <v>0</v>
      </c>
      <c r="F55" s="1180">
        <f>+'Table 5C1A-Madison Prep'!F55</f>
        <v>574.43999999999994</v>
      </c>
      <c r="G55" s="1180">
        <f t="shared" si="25"/>
        <v>0</v>
      </c>
      <c r="H55" s="1539">
        <f t="shared" si="26"/>
        <v>0</v>
      </c>
      <c r="I55" s="1181"/>
      <c r="J55" s="1181"/>
      <c r="K55" s="1182">
        <f t="shared" si="27"/>
        <v>0</v>
      </c>
      <c r="L55" s="1539">
        <f t="shared" si="28"/>
        <v>0</v>
      </c>
      <c r="M55" s="1388">
        <f t="shared" si="29"/>
        <v>0</v>
      </c>
      <c r="N55" s="1539">
        <f t="shared" si="30"/>
        <v>0</v>
      </c>
      <c r="O55" s="1179">
        <v>0</v>
      </c>
      <c r="P55" s="1539">
        <f t="shared" si="31"/>
        <v>0</v>
      </c>
      <c r="Q55" s="1179"/>
      <c r="R55" s="1179">
        <f t="shared" si="32"/>
        <v>0</v>
      </c>
      <c r="S55" s="1539">
        <f t="shared" si="33"/>
        <v>0</v>
      </c>
      <c r="T55" s="1539">
        <f t="shared" si="34"/>
        <v>0</v>
      </c>
      <c r="U55" s="1397">
        <f>+'Table 5C1A-Madison Prep'!U55</f>
        <v>2353</v>
      </c>
      <c r="V55" s="1510">
        <f t="shared" si="45"/>
        <v>0</v>
      </c>
      <c r="W55" s="1391"/>
      <c r="X55" s="1392">
        <f t="shared" si="35"/>
        <v>0</v>
      </c>
      <c r="Y55" s="1391"/>
      <c r="Z55" s="1392">
        <f t="shared" si="36"/>
        <v>0</v>
      </c>
      <c r="AA55" s="1390">
        <f t="shared" si="37"/>
        <v>0</v>
      </c>
      <c r="AB55" s="1510">
        <f t="shared" si="38"/>
        <v>0</v>
      </c>
      <c r="AC55" s="1394">
        <f t="shared" si="39"/>
        <v>0</v>
      </c>
      <c r="AD55" s="1510">
        <f t="shared" si="40"/>
        <v>0</v>
      </c>
      <c r="AE55" s="1395">
        <v>0</v>
      </c>
      <c r="AF55" s="1510">
        <f t="shared" si="41"/>
        <v>0</v>
      </c>
      <c r="AG55" s="1392"/>
      <c r="AH55" s="1392">
        <f t="shared" si="42"/>
        <v>0</v>
      </c>
      <c r="AI55" s="1515">
        <f t="shared" si="23"/>
        <v>0</v>
      </c>
      <c r="AJ55" s="1505">
        <f t="shared" si="43"/>
        <v>0</v>
      </c>
      <c r="AK55" s="1535">
        <f t="shared" si="44"/>
        <v>0</v>
      </c>
    </row>
    <row r="56" spans="1:37" ht="16.2" customHeight="1">
      <c r="A56" s="1168">
        <v>50</v>
      </c>
      <c r="B56" s="1169" t="s">
        <v>129</v>
      </c>
      <c r="C56" s="1170">
        <f>+'Table 8 Membership 2.1.14'!K52</f>
        <v>0</v>
      </c>
      <c r="D56" s="1171">
        <f>+'Table 5C1A-Madison Prep'!D56</f>
        <v>5177.6892722701677</v>
      </c>
      <c r="E56" s="1172">
        <f t="shared" si="24"/>
        <v>0</v>
      </c>
      <c r="F56" s="1172">
        <f>+'Table 5C1A-Madison Prep'!F56</f>
        <v>634.46</v>
      </c>
      <c r="G56" s="1172">
        <f t="shared" si="25"/>
        <v>0</v>
      </c>
      <c r="H56" s="1540">
        <f t="shared" si="26"/>
        <v>0</v>
      </c>
      <c r="I56" s="1173"/>
      <c r="J56" s="1173"/>
      <c r="K56" s="1174">
        <f t="shared" si="27"/>
        <v>0</v>
      </c>
      <c r="L56" s="1540">
        <f t="shared" si="28"/>
        <v>0</v>
      </c>
      <c r="M56" s="1399">
        <f t="shared" si="29"/>
        <v>0</v>
      </c>
      <c r="N56" s="1540">
        <f t="shared" si="30"/>
        <v>0</v>
      </c>
      <c r="O56" s="1171">
        <v>0</v>
      </c>
      <c r="P56" s="1540">
        <f t="shared" si="31"/>
        <v>0</v>
      </c>
      <c r="Q56" s="1171"/>
      <c r="R56" s="1171">
        <f t="shared" si="32"/>
        <v>0</v>
      </c>
      <c r="S56" s="1540">
        <f t="shared" si="33"/>
        <v>0</v>
      </c>
      <c r="T56" s="1540">
        <f t="shared" si="34"/>
        <v>0</v>
      </c>
      <c r="U56" s="1387">
        <f>+'Table 5C1A-Madison Prep'!U56</f>
        <v>3510</v>
      </c>
      <c r="V56" s="1511">
        <f t="shared" si="45"/>
        <v>0</v>
      </c>
      <c r="W56" s="1400"/>
      <c r="X56" s="1383">
        <f t="shared" si="35"/>
        <v>0</v>
      </c>
      <c r="Y56" s="1400"/>
      <c r="Z56" s="1383">
        <f t="shared" si="36"/>
        <v>0</v>
      </c>
      <c r="AA56" s="1384">
        <f t="shared" si="37"/>
        <v>0</v>
      </c>
      <c r="AB56" s="1511">
        <f t="shared" si="38"/>
        <v>0</v>
      </c>
      <c r="AC56" s="1402">
        <f t="shared" si="39"/>
        <v>0</v>
      </c>
      <c r="AD56" s="1511">
        <f t="shared" si="40"/>
        <v>0</v>
      </c>
      <c r="AE56" s="1385">
        <v>0</v>
      </c>
      <c r="AF56" s="1511">
        <f t="shared" si="41"/>
        <v>0</v>
      </c>
      <c r="AG56" s="1383"/>
      <c r="AH56" s="1383">
        <f t="shared" si="42"/>
        <v>0</v>
      </c>
      <c r="AI56" s="1516">
        <f t="shared" si="23"/>
        <v>0</v>
      </c>
      <c r="AJ56" s="1531">
        <f t="shared" si="43"/>
        <v>0</v>
      </c>
      <c r="AK56" s="1536">
        <f t="shared" si="44"/>
        <v>0</v>
      </c>
    </row>
    <row r="57" spans="1:37" ht="16.2" customHeight="1">
      <c r="A57" s="1183">
        <v>51</v>
      </c>
      <c r="B57" s="1184" t="s">
        <v>130</v>
      </c>
      <c r="C57" s="1185">
        <f>+'Table 8 Membership 2.1.14'!K53</f>
        <v>0</v>
      </c>
      <c r="D57" s="1186">
        <f>+'Table 5C1A-Madison Prep'!D57</f>
        <v>4154.1928602178996</v>
      </c>
      <c r="E57" s="1187">
        <f t="shared" si="24"/>
        <v>0</v>
      </c>
      <c r="F57" s="1187">
        <f>+'Table 5C1A-Madison Prep'!F57</f>
        <v>706.66</v>
      </c>
      <c r="G57" s="1187">
        <f t="shared" si="25"/>
        <v>0</v>
      </c>
      <c r="H57" s="1538">
        <f t="shared" si="26"/>
        <v>0</v>
      </c>
      <c r="I57" s="1188"/>
      <c r="J57" s="1188"/>
      <c r="K57" s="1189">
        <f t="shared" si="27"/>
        <v>0</v>
      </c>
      <c r="L57" s="1538">
        <f t="shared" si="28"/>
        <v>0</v>
      </c>
      <c r="M57" s="1372">
        <f t="shared" si="29"/>
        <v>0</v>
      </c>
      <c r="N57" s="1538">
        <f t="shared" si="30"/>
        <v>0</v>
      </c>
      <c r="O57" s="1186">
        <v>0</v>
      </c>
      <c r="P57" s="1538">
        <f t="shared" si="31"/>
        <v>0</v>
      </c>
      <c r="Q57" s="1186"/>
      <c r="R57" s="1186">
        <f t="shared" si="32"/>
        <v>0</v>
      </c>
      <c r="S57" s="1538">
        <f t="shared" si="33"/>
        <v>0</v>
      </c>
      <c r="T57" s="1538">
        <f t="shared" si="34"/>
        <v>0</v>
      </c>
      <c r="U57" s="1381">
        <f>+'Table 5C1A-Madison Prep'!U57</f>
        <v>4597</v>
      </c>
      <c r="V57" s="1509">
        <f t="shared" si="45"/>
        <v>0</v>
      </c>
      <c r="W57" s="1375"/>
      <c r="X57" s="1376">
        <f t="shared" si="35"/>
        <v>0</v>
      </c>
      <c r="Y57" s="1375"/>
      <c r="Z57" s="1376">
        <f t="shared" si="36"/>
        <v>0</v>
      </c>
      <c r="AA57" s="1374">
        <f t="shared" si="37"/>
        <v>0</v>
      </c>
      <c r="AB57" s="1509">
        <f t="shared" si="38"/>
        <v>0</v>
      </c>
      <c r="AC57" s="1378">
        <f t="shared" si="39"/>
        <v>0</v>
      </c>
      <c r="AD57" s="1509">
        <f t="shared" si="40"/>
        <v>0</v>
      </c>
      <c r="AE57" s="1379">
        <v>0</v>
      </c>
      <c r="AF57" s="1509">
        <f t="shared" si="41"/>
        <v>0</v>
      </c>
      <c r="AG57" s="1376"/>
      <c r="AH57" s="1376">
        <f t="shared" si="42"/>
        <v>0</v>
      </c>
      <c r="AI57" s="1514">
        <f t="shared" si="23"/>
        <v>0</v>
      </c>
      <c r="AJ57" s="1530">
        <f t="shared" si="43"/>
        <v>0</v>
      </c>
      <c r="AK57" s="1534">
        <f t="shared" si="44"/>
        <v>0</v>
      </c>
    </row>
    <row r="58" spans="1:37" ht="16.2" customHeight="1">
      <c r="A58" s="1176">
        <v>52</v>
      </c>
      <c r="B58" s="1177" t="s">
        <v>131</v>
      </c>
      <c r="C58" s="1178">
        <f>+'Table 8 Membership 2.1.14'!K54</f>
        <v>0</v>
      </c>
      <c r="D58" s="1179">
        <f>+'Table 5C1A-Madison Prep'!D58</f>
        <v>5062.2745845228173</v>
      </c>
      <c r="E58" s="1180">
        <f t="shared" si="24"/>
        <v>0</v>
      </c>
      <c r="F58" s="1180">
        <f>+'Table 5C1A-Madison Prep'!F58</f>
        <v>658.37</v>
      </c>
      <c r="G58" s="1180">
        <f t="shared" si="25"/>
        <v>0</v>
      </c>
      <c r="H58" s="1539">
        <f t="shared" si="26"/>
        <v>0</v>
      </c>
      <c r="I58" s="1181"/>
      <c r="J58" s="1181"/>
      <c r="K58" s="1182">
        <f t="shared" si="27"/>
        <v>0</v>
      </c>
      <c r="L58" s="1539">
        <f t="shared" si="28"/>
        <v>0</v>
      </c>
      <c r="M58" s="1388">
        <f t="shared" si="29"/>
        <v>0</v>
      </c>
      <c r="N58" s="1539">
        <f t="shared" si="30"/>
        <v>0</v>
      </c>
      <c r="O58" s="1179">
        <v>0</v>
      </c>
      <c r="P58" s="1539">
        <f t="shared" si="31"/>
        <v>0</v>
      </c>
      <c r="Q58" s="1179"/>
      <c r="R58" s="1179">
        <f t="shared" si="32"/>
        <v>0</v>
      </c>
      <c r="S58" s="1539">
        <f t="shared" si="33"/>
        <v>0</v>
      </c>
      <c r="T58" s="1539">
        <f t="shared" si="34"/>
        <v>0</v>
      </c>
      <c r="U58" s="1397">
        <f>+'Table 5C1A-Madison Prep'!U58</f>
        <v>5212</v>
      </c>
      <c r="V58" s="1510">
        <f t="shared" si="45"/>
        <v>0</v>
      </c>
      <c r="W58" s="1391"/>
      <c r="X58" s="1392">
        <f t="shared" si="35"/>
        <v>0</v>
      </c>
      <c r="Y58" s="1391"/>
      <c r="Z58" s="1392">
        <f t="shared" si="36"/>
        <v>0</v>
      </c>
      <c r="AA58" s="1390">
        <f t="shared" si="37"/>
        <v>0</v>
      </c>
      <c r="AB58" s="1510">
        <f t="shared" si="38"/>
        <v>0</v>
      </c>
      <c r="AC58" s="1394">
        <f t="shared" si="39"/>
        <v>0</v>
      </c>
      <c r="AD58" s="1510">
        <f t="shared" si="40"/>
        <v>0</v>
      </c>
      <c r="AE58" s="1395">
        <v>0</v>
      </c>
      <c r="AF58" s="1510">
        <f t="shared" si="41"/>
        <v>0</v>
      </c>
      <c r="AG58" s="1392"/>
      <c r="AH58" s="1392">
        <f t="shared" si="42"/>
        <v>0</v>
      </c>
      <c r="AI58" s="1515">
        <f t="shared" si="23"/>
        <v>0</v>
      </c>
      <c r="AJ58" s="1505">
        <f t="shared" si="43"/>
        <v>0</v>
      </c>
      <c r="AK58" s="1535">
        <f t="shared" si="44"/>
        <v>0</v>
      </c>
    </row>
    <row r="59" spans="1:37" ht="16.2" customHeight="1">
      <c r="A59" s="1176">
        <v>53</v>
      </c>
      <c r="B59" s="1177" t="s">
        <v>132</v>
      </c>
      <c r="C59" s="1178">
        <f>+'Table 8 Membership 2.1.14'!K55</f>
        <v>0</v>
      </c>
      <c r="D59" s="1179">
        <f>+'Table 5C1A-Madison Prep'!D59</f>
        <v>5060.1508194045482</v>
      </c>
      <c r="E59" s="1180">
        <f t="shared" si="24"/>
        <v>0</v>
      </c>
      <c r="F59" s="1180">
        <f>+'Table 5C1A-Madison Prep'!F59</f>
        <v>689.74</v>
      </c>
      <c r="G59" s="1180">
        <f t="shared" si="25"/>
        <v>0</v>
      </c>
      <c r="H59" s="1539">
        <f t="shared" si="26"/>
        <v>0</v>
      </c>
      <c r="I59" s="1181"/>
      <c r="J59" s="1181"/>
      <c r="K59" s="1182">
        <f t="shared" si="27"/>
        <v>0</v>
      </c>
      <c r="L59" s="1539">
        <f t="shared" si="28"/>
        <v>0</v>
      </c>
      <c r="M59" s="1388">
        <f t="shared" si="29"/>
        <v>0</v>
      </c>
      <c r="N59" s="1539">
        <f t="shared" si="30"/>
        <v>0</v>
      </c>
      <c r="O59" s="1179">
        <v>0</v>
      </c>
      <c r="P59" s="1539">
        <f t="shared" si="31"/>
        <v>0</v>
      </c>
      <c r="Q59" s="1179"/>
      <c r="R59" s="1179">
        <f t="shared" si="32"/>
        <v>0</v>
      </c>
      <c r="S59" s="1539">
        <f t="shared" si="33"/>
        <v>0</v>
      </c>
      <c r="T59" s="1539">
        <f t="shared" si="34"/>
        <v>0</v>
      </c>
      <c r="U59" s="1397">
        <f>+'Table 5C1A-Madison Prep'!U59</f>
        <v>2054</v>
      </c>
      <c r="V59" s="1510">
        <f t="shared" si="45"/>
        <v>0</v>
      </c>
      <c r="W59" s="1391"/>
      <c r="X59" s="1392">
        <f t="shared" si="35"/>
        <v>0</v>
      </c>
      <c r="Y59" s="1391"/>
      <c r="Z59" s="1392">
        <f t="shared" si="36"/>
        <v>0</v>
      </c>
      <c r="AA59" s="1390">
        <f t="shared" si="37"/>
        <v>0</v>
      </c>
      <c r="AB59" s="1510">
        <f t="shared" si="38"/>
        <v>0</v>
      </c>
      <c r="AC59" s="1394">
        <f t="shared" si="39"/>
        <v>0</v>
      </c>
      <c r="AD59" s="1510">
        <f t="shared" si="40"/>
        <v>0</v>
      </c>
      <c r="AE59" s="1395">
        <v>0</v>
      </c>
      <c r="AF59" s="1510">
        <f t="shared" si="41"/>
        <v>0</v>
      </c>
      <c r="AG59" s="1392"/>
      <c r="AH59" s="1392">
        <f t="shared" si="42"/>
        <v>0</v>
      </c>
      <c r="AI59" s="1515">
        <f t="shared" si="23"/>
        <v>0</v>
      </c>
      <c r="AJ59" s="1505">
        <f t="shared" si="43"/>
        <v>0</v>
      </c>
      <c r="AK59" s="1535">
        <f t="shared" si="44"/>
        <v>0</v>
      </c>
    </row>
    <row r="60" spans="1:37" ht="16.2" customHeight="1">
      <c r="A60" s="1176">
        <v>54</v>
      </c>
      <c r="B60" s="1177" t="s">
        <v>133</v>
      </c>
      <c r="C60" s="1178">
        <f>+'Table 8 Membership 2.1.14'!K56</f>
        <v>0</v>
      </c>
      <c r="D60" s="1179">
        <f>+'Table 5C1A-Madison Prep'!D60</f>
        <v>5867.0798370516713</v>
      </c>
      <c r="E60" s="1180">
        <f t="shared" si="24"/>
        <v>0</v>
      </c>
      <c r="F60" s="1180">
        <f>+'Table 5C1A-Madison Prep'!F60</f>
        <v>951.45</v>
      </c>
      <c r="G60" s="1180">
        <f t="shared" si="25"/>
        <v>0</v>
      </c>
      <c r="H60" s="1539">
        <f t="shared" si="26"/>
        <v>0</v>
      </c>
      <c r="I60" s="1181"/>
      <c r="J60" s="1181"/>
      <c r="K60" s="1182">
        <f t="shared" si="27"/>
        <v>0</v>
      </c>
      <c r="L60" s="1539">
        <f t="shared" si="28"/>
        <v>0</v>
      </c>
      <c r="M60" s="1388">
        <f t="shared" si="29"/>
        <v>0</v>
      </c>
      <c r="N60" s="1539">
        <f t="shared" si="30"/>
        <v>0</v>
      </c>
      <c r="O60" s="1179">
        <v>0</v>
      </c>
      <c r="P60" s="1539">
        <f t="shared" si="31"/>
        <v>0</v>
      </c>
      <c r="Q60" s="1179"/>
      <c r="R60" s="1179">
        <f t="shared" si="32"/>
        <v>0</v>
      </c>
      <c r="S60" s="1539">
        <f t="shared" si="33"/>
        <v>0</v>
      </c>
      <c r="T60" s="1539">
        <f t="shared" si="34"/>
        <v>0</v>
      </c>
      <c r="U60" s="1397">
        <f>+'Table 5C1A-Madison Prep'!U60</f>
        <v>4116</v>
      </c>
      <c r="V60" s="1510">
        <f t="shared" si="45"/>
        <v>0</v>
      </c>
      <c r="W60" s="1391"/>
      <c r="X60" s="1392">
        <f t="shared" si="35"/>
        <v>0</v>
      </c>
      <c r="Y60" s="1391"/>
      <c r="Z60" s="1392">
        <f t="shared" si="36"/>
        <v>0</v>
      </c>
      <c r="AA60" s="1390">
        <f t="shared" si="37"/>
        <v>0</v>
      </c>
      <c r="AB60" s="1510">
        <f t="shared" si="38"/>
        <v>0</v>
      </c>
      <c r="AC60" s="1394">
        <f t="shared" si="39"/>
        <v>0</v>
      </c>
      <c r="AD60" s="1510">
        <f t="shared" si="40"/>
        <v>0</v>
      </c>
      <c r="AE60" s="1395">
        <v>0</v>
      </c>
      <c r="AF60" s="1510">
        <f t="shared" si="41"/>
        <v>0</v>
      </c>
      <c r="AG60" s="1392"/>
      <c r="AH60" s="1392">
        <f t="shared" si="42"/>
        <v>0</v>
      </c>
      <c r="AI60" s="1515">
        <f t="shared" si="23"/>
        <v>0</v>
      </c>
      <c r="AJ60" s="1505">
        <f t="shared" si="43"/>
        <v>0</v>
      </c>
      <c r="AK60" s="1535">
        <f t="shared" si="44"/>
        <v>0</v>
      </c>
    </row>
    <row r="61" spans="1:37" ht="16.2" customHeight="1">
      <c r="A61" s="1168">
        <v>55</v>
      </c>
      <c r="B61" s="1169" t="s">
        <v>134</v>
      </c>
      <c r="C61" s="1170">
        <f>+'Table 8 Membership 2.1.14'!K57</f>
        <v>0</v>
      </c>
      <c r="D61" s="1171">
        <f>+'Table 5C1A-Madison Prep'!D61</f>
        <v>4266.8225491298481</v>
      </c>
      <c r="E61" s="1172">
        <f t="shared" si="24"/>
        <v>0</v>
      </c>
      <c r="F61" s="1172">
        <f>+'Table 5C1A-Madison Prep'!F61</f>
        <v>795.14</v>
      </c>
      <c r="G61" s="1172">
        <f t="shared" si="25"/>
        <v>0</v>
      </c>
      <c r="H61" s="1540">
        <f t="shared" si="26"/>
        <v>0</v>
      </c>
      <c r="I61" s="1173"/>
      <c r="J61" s="1173"/>
      <c r="K61" s="1174">
        <f t="shared" si="27"/>
        <v>0</v>
      </c>
      <c r="L61" s="1540">
        <f t="shared" si="28"/>
        <v>0</v>
      </c>
      <c r="M61" s="1399">
        <f t="shared" si="29"/>
        <v>0</v>
      </c>
      <c r="N61" s="1540">
        <f t="shared" si="30"/>
        <v>0</v>
      </c>
      <c r="O61" s="1171">
        <v>0</v>
      </c>
      <c r="P61" s="1540">
        <f t="shared" si="31"/>
        <v>0</v>
      </c>
      <c r="Q61" s="1171"/>
      <c r="R61" s="1171">
        <f t="shared" si="32"/>
        <v>0</v>
      </c>
      <c r="S61" s="1540">
        <f t="shared" si="33"/>
        <v>0</v>
      </c>
      <c r="T61" s="1540">
        <f t="shared" si="34"/>
        <v>0</v>
      </c>
      <c r="U61" s="1387">
        <f>+'Table 5C1A-Madison Prep'!U61</f>
        <v>3532</v>
      </c>
      <c r="V61" s="1511">
        <f t="shared" si="45"/>
        <v>0</v>
      </c>
      <c r="W61" s="1400"/>
      <c r="X61" s="1383">
        <f t="shared" si="35"/>
        <v>0</v>
      </c>
      <c r="Y61" s="1400"/>
      <c r="Z61" s="1383">
        <f t="shared" si="36"/>
        <v>0</v>
      </c>
      <c r="AA61" s="1384">
        <f t="shared" si="37"/>
        <v>0</v>
      </c>
      <c r="AB61" s="1511">
        <f t="shared" si="38"/>
        <v>0</v>
      </c>
      <c r="AC61" s="1402">
        <f t="shared" si="39"/>
        <v>0</v>
      </c>
      <c r="AD61" s="1511">
        <f t="shared" si="40"/>
        <v>0</v>
      </c>
      <c r="AE61" s="1385">
        <v>0</v>
      </c>
      <c r="AF61" s="1511">
        <f t="shared" si="41"/>
        <v>0</v>
      </c>
      <c r="AG61" s="1383"/>
      <c r="AH61" s="1383">
        <f t="shared" si="42"/>
        <v>0</v>
      </c>
      <c r="AI61" s="1516">
        <f t="shared" si="23"/>
        <v>0</v>
      </c>
      <c r="AJ61" s="1531">
        <f t="shared" si="43"/>
        <v>0</v>
      </c>
      <c r="AK61" s="1536">
        <f t="shared" si="44"/>
        <v>0</v>
      </c>
    </row>
    <row r="62" spans="1:37" ht="16.2" customHeight="1">
      <c r="A62" s="1183">
        <v>56</v>
      </c>
      <c r="B62" s="1184" t="s">
        <v>135</v>
      </c>
      <c r="C62" s="1185">
        <f>+'Table 8 Membership 2.1.14'!K58</f>
        <v>0</v>
      </c>
      <c r="D62" s="1186">
        <f>+'Table 5C1A-Madison Prep'!D62</f>
        <v>5028.4909408288286</v>
      </c>
      <c r="E62" s="1187">
        <f t="shared" si="24"/>
        <v>0</v>
      </c>
      <c r="F62" s="1187">
        <f>+'Table 5C1A-Madison Prep'!F62</f>
        <v>614.66000000000008</v>
      </c>
      <c r="G62" s="1187">
        <f t="shared" si="25"/>
        <v>0</v>
      </c>
      <c r="H62" s="1538">
        <f t="shared" si="26"/>
        <v>0</v>
      </c>
      <c r="I62" s="1188"/>
      <c r="J62" s="1188"/>
      <c r="K62" s="1189">
        <f t="shared" si="27"/>
        <v>0</v>
      </c>
      <c r="L62" s="1538">
        <f t="shared" si="28"/>
        <v>0</v>
      </c>
      <c r="M62" s="1372">
        <f t="shared" si="29"/>
        <v>0</v>
      </c>
      <c r="N62" s="1538">
        <f t="shared" si="30"/>
        <v>0</v>
      </c>
      <c r="O62" s="1186">
        <v>0</v>
      </c>
      <c r="P62" s="1538">
        <f t="shared" si="31"/>
        <v>0</v>
      </c>
      <c r="Q62" s="1186"/>
      <c r="R62" s="1186">
        <f t="shared" si="32"/>
        <v>0</v>
      </c>
      <c r="S62" s="1538">
        <f t="shared" si="33"/>
        <v>0</v>
      </c>
      <c r="T62" s="1538">
        <f t="shared" si="34"/>
        <v>0</v>
      </c>
      <c r="U62" s="1381">
        <f>+'Table 5C1A-Madison Prep'!U62</f>
        <v>2865</v>
      </c>
      <c r="V62" s="1509">
        <f t="shared" si="45"/>
        <v>0</v>
      </c>
      <c r="W62" s="1375"/>
      <c r="X62" s="1376">
        <f t="shared" si="35"/>
        <v>0</v>
      </c>
      <c r="Y62" s="1375"/>
      <c r="Z62" s="1376">
        <f t="shared" si="36"/>
        <v>0</v>
      </c>
      <c r="AA62" s="1374">
        <f t="shared" si="37"/>
        <v>0</v>
      </c>
      <c r="AB62" s="1509">
        <f t="shared" si="38"/>
        <v>0</v>
      </c>
      <c r="AC62" s="1378">
        <f t="shared" si="39"/>
        <v>0</v>
      </c>
      <c r="AD62" s="1509">
        <f t="shared" si="40"/>
        <v>0</v>
      </c>
      <c r="AE62" s="1379">
        <v>0</v>
      </c>
      <c r="AF62" s="1509">
        <f t="shared" si="41"/>
        <v>0</v>
      </c>
      <c r="AG62" s="1376"/>
      <c r="AH62" s="1376">
        <f t="shared" si="42"/>
        <v>0</v>
      </c>
      <c r="AI62" s="1514">
        <f t="shared" si="23"/>
        <v>0</v>
      </c>
      <c r="AJ62" s="1530">
        <f t="shared" si="43"/>
        <v>0</v>
      </c>
      <c r="AK62" s="1534">
        <f t="shared" si="44"/>
        <v>0</v>
      </c>
    </row>
    <row r="63" spans="1:37" ht="16.2" customHeight="1">
      <c r="A63" s="1176">
        <v>57</v>
      </c>
      <c r="B63" s="1177" t="s">
        <v>136</v>
      </c>
      <c r="C63" s="1178">
        <f>+'Table 8 Membership 2.1.14'!K59</f>
        <v>0</v>
      </c>
      <c r="D63" s="1179">
        <f>+'Table 5C1A-Madison Prep'!D63</f>
        <v>4625.9922979230687</v>
      </c>
      <c r="E63" s="1180">
        <f t="shared" si="24"/>
        <v>0</v>
      </c>
      <c r="F63" s="1180">
        <f>+'Table 5C1A-Madison Prep'!F63</f>
        <v>764.51</v>
      </c>
      <c r="G63" s="1180">
        <f t="shared" si="25"/>
        <v>0</v>
      </c>
      <c r="H63" s="1539">
        <f t="shared" si="26"/>
        <v>0</v>
      </c>
      <c r="I63" s="1181"/>
      <c r="J63" s="1181"/>
      <c r="K63" s="1182">
        <f t="shared" si="27"/>
        <v>0</v>
      </c>
      <c r="L63" s="1539">
        <f t="shared" si="28"/>
        <v>0</v>
      </c>
      <c r="M63" s="1388">
        <f t="shared" si="29"/>
        <v>0</v>
      </c>
      <c r="N63" s="1539">
        <f t="shared" si="30"/>
        <v>0</v>
      </c>
      <c r="O63" s="1179">
        <v>0</v>
      </c>
      <c r="P63" s="1539">
        <f t="shared" si="31"/>
        <v>0</v>
      </c>
      <c r="Q63" s="1179"/>
      <c r="R63" s="1179">
        <f t="shared" si="32"/>
        <v>0</v>
      </c>
      <c r="S63" s="1539">
        <f t="shared" si="33"/>
        <v>0</v>
      </c>
      <c r="T63" s="1539">
        <f t="shared" si="34"/>
        <v>0</v>
      </c>
      <c r="U63" s="1397">
        <f>+'Table 5C1A-Madison Prep'!U63</f>
        <v>3395</v>
      </c>
      <c r="V63" s="1510">
        <f t="shared" si="45"/>
        <v>0</v>
      </c>
      <c r="W63" s="1391"/>
      <c r="X63" s="1392">
        <f t="shared" si="35"/>
        <v>0</v>
      </c>
      <c r="Y63" s="1391"/>
      <c r="Z63" s="1392">
        <f t="shared" si="36"/>
        <v>0</v>
      </c>
      <c r="AA63" s="1390">
        <f t="shared" si="37"/>
        <v>0</v>
      </c>
      <c r="AB63" s="1510">
        <f t="shared" si="38"/>
        <v>0</v>
      </c>
      <c r="AC63" s="1394">
        <f t="shared" si="39"/>
        <v>0</v>
      </c>
      <c r="AD63" s="1510">
        <f t="shared" si="40"/>
        <v>0</v>
      </c>
      <c r="AE63" s="1395">
        <v>0</v>
      </c>
      <c r="AF63" s="1510">
        <f t="shared" si="41"/>
        <v>0</v>
      </c>
      <c r="AG63" s="1392"/>
      <c r="AH63" s="1392">
        <f t="shared" si="42"/>
        <v>0</v>
      </c>
      <c r="AI63" s="1515">
        <f t="shared" si="23"/>
        <v>0</v>
      </c>
      <c r="AJ63" s="1505">
        <f t="shared" si="43"/>
        <v>0</v>
      </c>
      <c r="AK63" s="1535">
        <f t="shared" si="44"/>
        <v>0</v>
      </c>
    </row>
    <row r="64" spans="1:37" ht="16.2" customHeight="1">
      <c r="A64" s="1176">
        <v>58</v>
      </c>
      <c r="B64" s="1177" t="s">
        <v>137</v>
      </c>
      <c r="C64" s="1178">
        <f>+'Table 8 Membership 2.1.14'!K60</f>
        <v>0</v>
      </c>
      <c r="D64" s="1179">
        <f>+'Table 5C1A-Madison Prep'!D64</f>
        <v>5673.1129637882123</v>
      </c>
      <c r="E64" s="1180">
        <f t="shared" si="24"/>
        <v>0</v>
      </c>
      <c r="F64" s="1180">
        <f>+'Table 5C1A-Madison Prep'!F64</f>
        <v>697.04</v>
      </c>
      <c r="G64" s="1180">
        <f t="shared" si="25"/>
        <v>0</v>
      </c>
      <c r="H64" s="1539">
        <f t="shared" si="26"/>
        <v>0</v>
      </c>
      <c r="I64" s="1181"/>
      <c r="J64" s="1181"/>
      <c r="K64" s="1182">
        <f t="shared" si="27"/>
        <v>0</v>
      </c>
      <c r="L64" s="1539">
        <f t="shared" si="28"/>
        <v>0</v>
      </c>
      <c r="M64" s="1388">
        <f t="shared" si="29"/>
        <v>0</v>
      </c>
      <c r="N64" s="1539">
        <f t="shared" si="30"/>
        <v>0</v>
      </c>
      <c r="O64" s="1179">
        <v>0</v>
      </c>
      <c r="P64" s="1539">
        <f t="shared" si="31"/>
        <v>0</v>
      </c>
      <c r="Q64" s="1179"/>
      <c r="R64" s="1179">
        <f t="shared" si="32"/>
        <v>0</v>
      </c>
      <c r="S64" s="1539">
        <f t="shared" si="33"/>
        <v>0</v>
      </c>
      <c r="T64" s="1539">
        <f t="shared" si="34"/>
        <v>0</v>
      </c>
      <c r="U64" s="1397">
        <f>+'Table 5C1A-Madison Prep'!U64</f>
        <v>2084</v>
      </c>
      <c r="V64" s="1510">
        <f t="shared" si="45"/>
        <v>0</v>
      </c>
      <c r="W64" s="1391"/>
      <c r="X64" s="1392">
        <f t="shared" si="35"/>
        <v>0</v>
      </c>
      <c r="Y64" s="1391"/>
      <c r="Z64" s="1392">
        <f t="shared" si="36"/>
        <v>0</v>
      </c>
      <c r="AA64" s="1390">
        <f t="shared" si="37"/>
        <v>0</v>
      </c>
      <c r="AB64" s="1510">
        <f t="shared" si="38"/>
        <v>0</v>
      </c>
      <c r="AC64" s="1394">
        <f t="shared" si="39"/>
        <v>0</v>
      </c>
      <c r="AD64" s="1510">
        <f t="shared" si="40"/>
        <v>0</v>
      </c>
      <c r="AE64" s="1395">
        <v>0</v>
      </c>
      <c r="AF64" s="1510">
        <f t="shared" si="41"/>
        <v>0</v>
      </c>
      <c r="AG64" s="1392"/>
      <c r="AH64" s="1392">
        <f t="shared" si="42"/>
        <v>0</v>
      </c>
      <c r="AI64" s="1515">
        <f t="shared" si="23"/>
        <v>0</v>
      </c>
      <c r="AJ64" s="1505">
        <f t="shared" si="43"/>
        <v>0</v>
      </c>
      <c r="AK64" s="1535">
        <f t="shared" si="44"/>
        <v>0</v>
      </c>
    </row>
    <row r="65" spans="1:37" ht="16.2" customHeight="1">
      <c r="A65" s="1176">
        <v>59</v>
      </c>
      <c r="B65" s="1177" t="s">
        <v>138</v>
      </c>
      <c r="C65" s="1178">
        <f>+'Table 8 Membership 2.1.14'!K61</f>
        <v>0</v>
      </c>
      <c r="D65" s="1179">
        <f>+'Table 5C1A-Madison Prep'!D65</f>
        <v>6621.946293521848</v>
      </c>
      <c r="E65" s="1180">
        <f t="shared" si="24"/>
        <v>0</v>
      </c>
      <c r="F65" s="1180">
        <f>+'Table 5C1A-Madison Prep'!F65</f>
        <v>689.52</v>
      </c>
      <c r="G65" s="1180">
        <f t="shared" si="25"/>
        <v>0</v>
      </c>
      <c r="H65" s="1539">
        <f t="shared" si="26"/>
        <v>0</v>
      </c>
      <c r="I65" s="1181"/>
      <c r="J65" s="1181"/>
      <c r="K65" s="1182">
        <f t="shared" si="27"/>
        <v>0</v>
      </c>
      <c r="L65" s="1539">
        <f t="shared" si="28"/>
        <v>0</v>
      </c>
      <c r="M65" s="1388">
        <f t="shared" si="29"/>
        <v>0</v>
      </c>
      <c r="N65" s="1539">
        <f t="shared" si="30"/>
        <v>0</v>
      </c>
      <c r="O65" s="1179">
        <v>0</v>
      </c>
      <c r="P65" s="1539">
        <f t="shared" si="31"/>
        <v>0</v>
      </c>
      <c r="Q65" s="1179"/>
      <c r="R65" s="1179">
        <f t="shared" si="32"/>
        <v>0</v>
      </c>
      <c r="S65" s="1539">
        <f t="shared" si="33"/>
        <v>0</v>
      </c>
      <c r="T65" s="1539">
        <f t="shared" si="34"/>
        <v>0</v>
      </c>
      <c r="U65" s="1397">
        <f>+'Table 5C1A-Madison Prep'!U65</f>
        <v>1577</v>
      </c>
      <c r="V65" s="1510">
        <f t="shared" si="45"/>
        <v>0</v>
      </c>
      <c r="W65" s="1391"/>
      <c r="X65" s="1392">
        <f t="shared" si="35"/>
        <v>0</v>
      </c>
      <c r="Y65" s="1391"/>
      <c r="Z65" s="1392">
        <f t="shared" si="36"/>
        <v>0</v>
      </c>
      <c r="AA65" s="1390">
        <f t="shared" si="37"/>
        <v>0</v>
      </c>
      <c r="AB65" s="1510">
        <f t="shared" si="38"/>
        <v>0</v>
      </c>
      <c r="AC65" s="1394">
        <f t="shared" si="39"/>
        <v>0</v>
      </c>
      <c r="AD65" s="1510">
        <f t="shared" si="40"/>
        <v>0</v>
      </c>
      <c r="AE65" s="1395">
        <v>0</v>
      </c>
      <c r="AF65" s="1510">
        <f t="shared" si="41"/>
        <v>0</v>
      </c>
      <c r="AG65" s="1392"/>
      <c r="AH65" s="1392">
        <f t="shared" si="42"/>
        <v>0</v>
      </c>
      <c r="AI65" s="1515">
        <f t="shared" si="23"/>
        <v>0</v>
      </c>
      <c r="AJ65" s="1505">
        <f t="shared" si="43"/>
        <v>0</v>
      </c>
      <c r="AK65" s="1535">
        <f t="shared" si="44"/>
        <v>0</v>
      </c>
    </row>
    <row r="66" spans="1:37" ht="16.2" customHeight="1">
      <c r="A66" s="1168">
        <v>60</v>
      </c>
      <c r="B66" s="1169" t="s">
        <v>139</v>
      </c>
      <c r="C66" s="1170">
        <f>+'Table 8 Membership 2.1.14'!K62</f>
        <v>0</v>
      </c>
      <c r="D66" s="1171">
        <f>+'Table 5C1A-Madison Prep'!D66</f>
        <v>5301.224090063828</v>
      </c>
      <c r="E66" s="1172">
        <f t="shared" si="24"/>
        <v>0</v>
      </c>
      <c r="F66" s="1172">
        <f>+'Table 5C1A-Madison Prep'!F66</f>
        <v>594.04</v>
      </c>
      <c r="G66" s="1172">
        <f t="shared" si="25"/>
        <v>0</v>
      </c>
      <c r="H66" s="1540">
        <f t="shared" si="26"/>
        <v>0</v>
      </c>
      <c r="I66" s="1173"/>
      <c r="J66" s="1173"/>
      <c r="K66" s="1174">
        <f t="shared" si="27"/>
        <v>0</v>
      </c>
      <c r="L66" s="1540">
        <f t="shared" si="28"/>
        <v>0</v>
      </c>
      <c r="M66" s="1399">
        <f t="shared" si="29"/>
        <v>0</v>
      </c>
      <c r="N66" s="1540">
        <f t="shared" si="30"/>
        <v>0</v>
      </c>
      <c r="O66" s="1171">
        <v>0</v>
      </c>
      <c r="P66" s="1540">
        <f t="shared" si="31"/>
        <v>0</v>
      </c>
      <c r="Q66" s="1171"/>
      <c r="R66" s="1171">
        <f t="shared" si="32"/>
        <v>0</v>
      </c>
      <c r="S66" s="1540">
        <f t="shared" si="33"/>
        <v>0</v>
      </c>
      <c r="T66" s="1540">
        <f t="shared" si="34"/>
        <v>0</v>
      </c>
      <c r="U66" s="1387">
        <f>+'Table 5C1A-Madison Prep'!U66</f>
        <v>3922</v>
      </c>
      <c r="V66" s="1511">
        <f t="shared" si="45"/>
        <v>0</v>
      </c>
      <c r="W66" s="1400"/>
      <c r="X66" s="1383">
        <f t="shared" si="35"/>
        <v>0</v>
      </c>
      <c r="Y66" s="1400"/>
      <c r="Z66" s="1383">
        <f t="shared" si="36"/>
        <v>0</v>
      </c>
      <c r="AA66" s="1384">
        <f t="shared" si="37"/>
        <v>0</v>
      </c>
      <c r="AB66" s="1511">
        <f t="shared" si="38"/>
        <v>0</v>
      </c>
      <c r="AC66" s="1402">
        <f t="shared" si="39"/>
        <v>0</v>
      </c>
      <c r="AD66" s="1511">
        <f t="shared" si="40"/>
        <v>0</v>
      </c>
      <c r="AE66" s="1385">
        <v>0</v>
      </c>
      <c r="AF66" s="1511">
        <f t="shared" si="41"/>
        <v>0</v>
      </c>
      <c r="AG66" s="1383"/>
      <c r="AH66" s="1383">
        <f t="shared" si="42"/>
        <v>0</v>
      </c>
      <c r="AI66" s="1516">
        <f t="shared" si="23"/>
        <v>0</v>
      </c>
      <c r="AJ66" s="1531">
        <f t="shared" si="43"/>
        <v>0</v>
      </c>
      <c r="AK66" s="1536">
        <f t="shared" si="44"/>
        <v>0</v>
      </c>
    </row>
    <row r="67" spans="1:37" ht="16.2" customHeight="1">
      <c r="A67" s="1183">
        <v>61</v>
      </c>
      <c r="B67" s="1184" t="s">
        <v>140</v>
      </c>
      <c r="C67" s="1185">
        <f>+'Table 8 Membership 2.1.14'!K63</f>
        <v>0</v>
      </c>
      <c r="D67" s="1186">
        <f>+'Table 5C1A-Madison Prep'!D67</f>
        <v>2854.1575356369185</v>
      </c>
      <c r="E67" s="1187">
        <f t="shared" si="24"/>
        <v>0</v>
      </c>
      <c r="F67" s="1187">
        <f>+'Table 5C1A-Madison Prep'!F67</f>
        <v>833.70999999999992</v>
      </c>
      <c r="G67" s="1187">
        <f t="shared" si="25"/>
        <v>0</v>
      </c>
      <c r="H67" s="1538">
        <f t="shared" si="26"/>
        <v>0</v>
      </c>
      <c r="I67" s="1188"/>
      <c r="J67" s="1188"/>
      <c r="K67" s="1189">
        <f t="shared" si="27"/>
        <v>0</v>
      </c>
      <c r="L67" s="1538">
        <f t="shared" si="28"/>
        <v>0</v>
      </c>
      <c r="M67" s="1372">
        <f t="shared" si="29"/>
        <v>0</v>
      </c>
      <c r="N67" s="1538">
        <f t="shared" si="30"/>
        <v>0</v>
      </c>
      <c r="O67" s="1186">
        <v>0</v>
      </c>
      <c r="P67" s="1538">
        <f t="shared" si="31"/>
        <v>0</v>
      </c>
      <c r="Q67" s="1186"/>
      <c r="R67" s="1186">
        <f t="shared" si="32"/>
        <v>0</v>
      </c>
      <c r="S67" s="1538">
        <f t="shared" si="33"/>
        <v>0</v>
      </c>
      <c r="T67" s="1538">
        <f t="shared" si="34"/>
        <v>0</v>
      </c>
      <c r="U67" s="1381">
        <f>+'Table 5C1A-Madison Prep'!U67</f>
        <v>6745</v>
      </c>
      <c r="V67" s="1509">
        <f t="shared" si="45"/>
        <v>0</v>
      </c>
      <c r="W67" s="1375"/>
      <c r="X67" s="1376">
        <f t="shared" si="35"/>
        <v>0</v>
      </c>
      <c r="Y67" s="1375"/>
      <c r="Z67" s="1376">
        <f t="shared" si="36"/>
        <v>0</v>
      </c>
      <c r="AA67" s="1374">
        <f t="shared" si="37"/>
        <v>0</v>
      </c>
      <c r="AB67" s="1509">
        <f t="shared" si="38"/>
        <v>0</v>
      </c>
      <c r="AC67" s="1378">
        <f t="shared" si="39"/>
        <v>0</v>
      </c>
      <c r="AD67" s="1509">
        <f t="shared" si="40"/>
        <v>0</v>
      </c>
      <c r="AE67" s="1379">
        <v>0</v>
      </c>
      <c r="AF67" s="1509">
        <f t="shared" si="41"/>
        <v>0</v>
      </c>
      <c r="AG67" s="1376"/>
      <c r="AH67" s="1376">
        <f t="shared" si="42"/>
        <v>0</v>
      </c>
      <c r="AI67" s="1514">
        <f t="shared" si="23"/>
        <v>0</v>
      </c>
      <c r="AJ67" s="1530">
        <f t="shared" si="43"/>
        <v>0</v>
      </c>
      <c r="AK67" s="1534">
        <f t="shared" si="44"/>
        <v>0</v>
      </c>
    </row>
    <row r="68" spans="1:37" ht="16.2" customHeight="1">
      <c r="A68" s="1176">
        <v>62</v>
      </c>
      <c r="B68" s="1177" t="s">
        <v>141</v>
      </c>
      <c r="C68" s="1178">
        <f>+'Table 8 Membership 2.1.14'!K64</f>
        <v>0</v>
      </c>
      <c r="D68" s="1179">
        <f>+'Table 5C1A-Madison Prep'!D68</f>
        <v>5901.074538516008</v>
      </c>
      <c r="E68" s="1180">
        <f t="shared" si="24"/>
        <v>0</v>
      </c>
      <c r="F68" s="1180">
        <f>+'Table 5C1A-Madison Prep'!F68</f>
        <v>516.08000000000004</v>
      </c>
      <c r="G68" s="1180">
        <f t="shared" si="25"/>
        <v>0</v>
      </c>
      <c r="H68" s="1539">
        <f t="shared" si="26"/>
        <v>0</v>
      </c>
      <c r="I68" s="1181"/>
      <c r="J68" s="1181"/>
      <c r="K68" s="1182">
        <f t="shared" si="27"/>
        <v>0</v>
      </c>
      <c r="L68" s="1539">
        <f t="shared" si="28"/>
        <v>0</v>
      </c>
      <c r="M68" s="1388">
        <f t="shared" si="29"/>
        <v>0</v>
      </c>
      <c r="N68" s="1539">
        <f t="shared" si="30"/>
        <v>0</v>
      </c>
      <c r="O68" s="1179">
        <v>0</v>
      </c>
      <c r="P68" s="1539">
        <f t="shared" si="31"/>
        <v>0</v>
      </c>
      <c r="Q68" s="1179"/>
      <c r="R68" s="1179">
        <f t="shared" si="32"/>
        <v>0</v>
      </c>
      <c r="S68" s="1539">
        <f t="shared" si="33"/>
        <v>0</v>
      </c>
      <c r="T68" s="1539">
        <f t="shared" si="34"/>
        <v>0</v>
      </c>
      <c r="U68" s="1397">
        <f>+'Table 5C1A-Madison Prep'!U68</f>
        <v>1908</v>
      </c>
      <c r="V68" s="1510">
        <f t="shared" si="45"/>
        <v>0</v>
      </c>
      <c r="W68" s="1391"/>
      <c r="X68" s="1392">
        <f t="shared" si="35"/>
        <v>0</v>
      </c>
      <c r="Y68" s="1391"/>
      <c r="Z68" s="1392">
        <f t="shared" si="36"/>
        <v>0</v>
      </c>
      <c r="AA68" s="1390">
        <f t="shared" si="37"/>
        <v>0</v>
      </c>
      <c r="AB68" s="1510">
        <f t="shared" si="38"/>
        <v>0</v>
      </c>
      <c r="AC68" s="1394">
        <f t="shared" si="39"/>
        <v>0</v>
      </c>
      <c r="AD68" s="1510">
        <f t="shared" si="40"/>
        <v>0</v>
      </c>
      <c r="AE68" s="1395">
        <v>0</v>
      </c>
      <c r="AF68" s="1510">
        <f t="shared" si="41"/>
        <v>0</v>
      </c>
      <c r="AG68" s="1392"/>
      <c r="AH68" s="1392">
        <f t="shared" si="42"/>
        <v>0</v>
      </c>
      <c r="AI68" s="1515">
        <f t="shared" si="23"/>
        <v>0</v>
      </c>
      <c r="AJ68" s="1505">
        <f t="shared" si="43"/>
        <v>0</v>
      </c>
      <c r="AK68" s="1535">
        <f t="shared" si="44"/>
        <v>0</v>
      </c>
    </row>
    <row r="69" spans="1:37" ht="16.2" customHeight="1">
      <c r="A69" s="1176">
        <v>63</v>
      </c>
      <c r="B69" s="1177" t="s">
        <v>142</v>
      </c>
      <c r="C69" s="1178">
        <f>+'Table 8 Membership 2.1.14'!K65</f>
        <v>0</v>
      </c>
      <c r="D69" s="1179">
        <f>+'Table 5C1A-Madison Prep'!D69</f>
        <v>4124.3813481848092</v>
      </c>
      <c r="E69" s="1180">
        <f t="shared" si="24"/>
        <v>0</v>
      </c>
      <c r="F69" s="1180">
        <f>+'Table 5C1A-Madison Prep'!F69</f>
        <v>756.79</v>
      </c>
      <c r="G69" s="1180">
        <f t="shared" si="25"/>
        <v>0</v>
      </c>
      <c r="H69" s="1539">
        <f t="shared" si="26"/>
        <v>0</v>
      </c>
      <c r="I69" s="1181"/>
      <c r="J69" s="1181"/>
      <c r="K69" s="1182">
        <f t="shared" si="27"/>
        <v>0</v>
      </c>
      <c r="L69" s="1539">
        <f t="shared" si="28"/>
        <v>0</v>
      </c>
      <c r="M69" s="1388">
        <f t="shared" si="29"/>
        <v>0</v>
      </c>
      <c r="N69" s="1539">
        <f t="shared" si="30"/>
        <v>0</v>
      </c>
      <c r="O69" s="1179">
        <v>0</v>
      </c>
      <c r="P69" s="1539">
        <f t="shared" si="31"/>
        <v>0</v>
      </c>
      <c r="Q69" s="1179"/>
      <c r="R69" s="1179">
        <f t="shared" si="32"/>
        <v>0</v>
      </c>
      <c r="S69" s="1539">
        <f t="shared" si="33"/>
        <v>0</v>
      </c>
      <c r="T69" s="1539">
        <f t="shared" si="34"/>
        <v>0</v>
      </c>
      <c r="U69" s="1397">
        <f>+'Table 5C1A-Madison Prep'!U69</f>
        <v>7290</v>
      </c>
      <c r="V69" s="1510">
        <f t="shared" si="45"/>
        <v>0</v>
      </c>
      <c r="W69" s="1391"/>
      <c r="X69" s="1392">
        <f t="shared" si="35"/>
        <v>0</v>
      </c>
      <c r="Y69" s="1391"/>
      <c r="Z69" s="1392">
        <f t="shared" si="36"/>
        <v>0</v>
      </c>
      <c r="AA69" s="1390">
        <f t="shared" si="37"/>
        <v>0</v>
      </c>
      <c r="AB69" s="1510">
        <f t="shared" si="38"/>
        <v>0</v>
      </c>
      <c r="AC69" s="1394">
        <f t="shared" si="39"/>
        <v>0</v>
      </c>
      <c r="AD69" s="1510">
        <f t="shared" si="40"/>
        <v>0</v>
      </c>
      <c r="AE69" s="1395">
        <v>0</v>
      </c>
      <c r="AF69" s="1510">
        <f t="shared" si="41"/>
        <v>0</v>
      </c>
      <c r="AG69" s="1392"/>
      <c r="AH69" s="1392">
        <f t="shared" si="42"/>
        <v>0</v>
      </c>
      <c r="AI69" s="1515">
        <f t="shared" si="23"/>
        <v>0</v>
      </c>
      <c r="AJ69" s="1505">
        <f t="shared" si="43"/>
        <v>0</v>
      </c>
      <c r="AK69" s="1535">
        <f t="shared" si="44"/>
        <v>0</v>
      </c>
    </row>
    <row r="70" spans="1:37" ht="16.2" customHeight="1">
      <c r="A70" s="1176">
        <v>64</v>
      </c>
      <c r="B70" s="1177" t="s">
        <v>143</v>
      </c>
      <c r="C70" s="1178">
        <f>+'Table 8 Membership 2.1.14'!K66</f>
        <v>0</v>
      </c>
      <c r="D70" s="1179">
        <f>+'Table 5C1A-Madison Prep'!D70</f>
        <v>6277.8307532778254</v>
      </c>
      <c r="E70" s="1180">
        <f t="shared" si="24"/>
        <v>0</v>
      </c>
      <c r="F70" s="1180">
        <f>+'Table 5C1A-Madison Prep'!F70</f>
        <v>592.66</v>
      </c>
      <c r="G70" s="1180">
        <f t="shared" si="25"/>
        <v>0</v>
      </c>
      <c r="H70" s="1539">
        <f t="shared" si="26"/>
        <v>0</v>
      </c>
      <c r="I70" s="1181"/>
      <c r="J70" s="1181"/>
      <c r="K70" s="1182">
        <f t="shared" si="27"/>
        <v>0</v>
      </c>
      <c r="L70" s="1539">
        <f t="shared" si="28"/>
        <v>0</v>
      </c>
      <c r="M70" s="1388">
        <f t="shared" si="29"/>
        <v>0</v>
      </c>
      <c r="N70" s="1539">
        <f t="shared" si="30"/>
        <v>0</v>
      </c>
      <c r="O70" s="1179">
        <v>0</v>
      </c>
      <c r="P70" s="1539">
        <f t="shared" si="31"/>
        <v>0</v>
      </c>
      <c r="Q70" s="1179"/>
      <c r="R70" s="1179">
        <f t="shared" si="32"/>
        <v>0</v>
      </c>
      <c r="S70" s="1539">
        <f t="shared" si="33"/>
        <v>0</v>
      </c>
      <c r="T70" s="1539">
        <f t="shared" si="34"/>
        <v>0</v>
      </c>
      <c r="U70" s="1397">
        <f>+'Table 5C1A-Madison Prep'!U70</f>
        <v>2721</v>
      </c>
      <c r="V70" s="1510">
        <f t="shared" si="45"/>
        <v>0</v>
      </c>
      <c r="W70" s="1391"/>
      <c r="X70" s="1392">
        <f t="shared" si="35"/>
        <v>0</v>
      </c>
      <c r="Y70" s="1391"/>
      <c r="Z70" s="1392">
        <f t="shared" si="36"/>
        <v>0</v>
      </c>
      <c r="AA70" s="1390">
        <f t="shared" si="37"/>
        <v>0</v>
      </c>
      <c r="AB70" s="1510">
        <f t="shared" si="38"/>
        <v>0</v>
      </c>
      <c r="AC70" s="1394">
        <f t="shared" si="39"/>
        <v>0</v>
      </c>
      <c r="AD70" s="1510">
        <f t="shared" si="40"/>
        <v>0</v>
      </c>
      <c r="AE70" s="1395">
        <v>0</v>
      </c>
      <c r="AF70" s="1510">
        <f t="shared" si="41"/>
        <v>0</v>
      </c>
      <c r="AG70" s="1392"/>
      <c r="AH70" s="1392">
        <f t="shared" si="42"/>
        <v>0</v>
      </c>
      <c r="AI70" s="1515">
        <f t="shared" si="23"/>
        <v>0</v>
      </c>
      <c r="AJ70" s="1505">
        <f t="shared" si="43"/>
        <v>0</v>
      </c>
      <c r="AK70" s="1535">
        <f t="shared" si="44"/>
        <v>0</v>
      </c>
    </row>
    <row r="71" spans="1:37" ht="16.2" customHeight="1">
      <c r="A71" s="1168">
        <v>65</v>
      </c>
      <c r="B71" s="1169" t="s">
        <v>144</v>
      </c>
      <c r="C71" s="1170">
        <f>+'Table 8 Membership 2.1.14'!K67</f>
        <v>0</v>
      </c>
      <c r="D71" s="1171">
        <f>+'Table 5C1A-Madison Prep'!D71</f>
        <v>4775.1605543943642</v>
      </c>
      <c r="E71" s="1172">
        <f t="shared" si="24"/>
        <v>0</v>
      </c>
      <c r="F71" s="1172">
        <f>+'Table 5C1A-Madison Prep'!F71</f>
        <v>829.12</v>
      </c>
      <c r="G71" s="1172">
        <f t="shared" si="25"/>
        <v>0</v>
      </c>
      <c r="H71" s="1540">
        <f t="shared" si="26"/>
        <v>0</v>
      </c>
      <c r="I71" s="1173"/>
      <c r="J71" s="1173"/>
      <c r="K71" s="1174">
        <f t="shared" si="27"/>
        <v>0</v>
      </c>
      <c r="L71" s="1540">
        <f t="shared" si="28"/>
        <v>0</v>
      </c>
      <c r="M71" s="1399">
        <f t="shared" si="29"/>
        <v>0</v>
      </c>
      <c r="N71" s="1540">
        <f t="shared" si="30"/>
        <v>0</v>
      </c>
      <c r="O71" s="1171">
        <v>0</v>
      </c>
      <c r="P71" s="1540">
        <f t="shared" si="31"/>
        <v>0</v>
      </c>
      <c r="Q71" s="1171"/>
      <c r="R71" s="1171">
        <f t="shared" si="32"/>
        <v>0</v>
      </c>
      <c r="S71" s="1540">
        <f t="shared" si="33"/>
        <v>0</v>
      </c>
      <c r="T71" s="1540">
        <f t="shared" si="34"/>
        <v>0</v>
      </c>
      <c r="U71" s="1387">
        <f>+'Table 5C1A-Madison Prep'!U71</f>
        <v>5110</v>
      </c>
      <c r="V71" s="1511">
        <f t="shared" ref="V71:V75" si="46">C71*U71</f>
        <v>0</v>
      </c>
      <c r="W71" s="1400"/>
      <c r="X71" s="1383">
        <f t="shared" si="35"/>
        <v>0</v>
      </c>
      <c r="Y71" s="1400"/>
      <c r="Z71" s="1383">
        <f t="shared" si="36"/>
        <v>0</v>
      </c>
      <c r="AA71" s="1384">
        <f t="shared" si="37"/>
        <v>0</v>
      </c>
      <c r="AB71" s="1511">
        <f t="shared" si="38"/>
        <v>0</v>
      </c>
      <c r="AC71" s="1402">
        <f t="shared" si="39"/>
        <v>0</v>
      </c>
      <c r="AD71" s="1511">
        <f t="shared" si="40"/>
        <v>0</v>
      </c>
      <c r="AE71" s="1385">
        <v>0</v>
      </c>
      <c r="AF71" s="1511">
        <f t="shared" si="41"/>
        <v>0</v>
      </c>
      <c r="AG71" s="1383"/>
      <c r="AH71" s="1383">
        <f t="shared" si="42"/>
        <v>0</v>
      </c>
      <c r="AI71" s="1516">
        <f t="shared" ref="AI71:AI74" si="47">ROUND(AH71/12,0)</f>
        <v>0</v>
      </c>
      <c r="AJ71" s="1531">
        <f t="shared" si="43"/>
        <v>0</v>
      </c>
      <c r="AK71" s="1536">
        <f t="shared" si="44"/>
        <v>0</v>
      </c>
    </row>
    <row r="72" spans="1:37" ht="16.2" customHeight="1">
      <c r="A72" s="1176">
        <v>66</v>
      </c>
      <c r="B72" s="1177" t="s">
        <v>145</v>
      </c>
      <c r="C72" s="1197">
        <f>+'Table 8 Membership 2.1.14'!K68</f>
        <v>0</v>
      </c>
      <c r="D72" s="1198">
        <f>+'Table 5C1A-Madison Prep'!D72</f>
        <v>6564.0085433910035</v>
      </c>
      <c r="E72" s="1199">
        <f t="shared" ref="E72:E75" si="48">C72*D72</f>
        <v>0</v>
      </c>
      <c r="F72" s="1199">
        <f>+'Table 5C1A-Madison Prep'!F72</f>
        <v>730.06</v>
      </c>
      <c r="G72" s="1199">
        <f t="shared" ref="G72:G75" si="49">C72*F72</f>
        <v>0</v>
      </c>
      <c r="H72" s="1403">
        <f t="shared" ref="H72:H75" si="50">E72+G72</f>
        <v>0</v>
      </c>
      <c r="I72" s="1200"/>
      <c r="J72" s="1200"/>
      <c r="K72" s="1201">
        <f t="shared" ref="K72:K75" si="51">SUM(I72:J72)</f>
        <v>0</v>
      </c>
      <c r="L72" s="1403">
        <f t="shared" ref="L72:L75" si="52">+H72+K72</f>
        <v>0</v>
      </c>
      <c r="M72" s="1423">
        <f t="shared" ref="M72:M75" si="53">-(0.25%*L72)</f>
        <v>0</v>
      </c>
      <c r="N72" s="1403">
        <f t="shared" ref="N72:N75" si="54">SUM(L72:M72)</f>
        <v>0</v>
      </c>
      <c r="O72" s="1198">
        <v>0</v>
      </c>
      <c r="P72" s="1403">
        <f t="shared" ref="P72:P75" si="55">SUM(N72:O72)</f>
        <v>0</v>
      </c>
      <c r="Q72" s="1198"/>
      <c r="R72" s="1198">
        <f t="shared" ref="R72:R75" si="56">+P72-Q72</f>
        <v>0</v>
      </c>
      <c r="S72" s="1403">
        <f t="shared" ref="S72:S75" si="57">ROUND(R72/12,0)</f>
        <v>0</v>
      </c>
      <c r="T72" s="1403">
        <f t="shared" ref="T72:T75" si="58">+P72</f>
        <v>0</v>
      </c>
      <c r="U72" s="1397">
        <f>+'Table 5C1A-Madison Prep'!U72</f>
        <v>3369</v>
      </c>
      <c r="V72" s="1510">
        <f t="shared" si="46"/>
        <v>0</v>
      </c>
      <c r="W72" s="1391"/>
      <c r="X72" s="1392">
        <f t="shared" ref="X72:X75" si="59">+U72*W72</f>
        <v>0</v>
      </c>
      <c r="Y72" s="1391"/>
      <c r="Z72" s="1392">
        <f t="shared" ref="Z72:Z75" si="60">+U72*Y72*0.5</f>
        <v>0</v>
      </c>
      <c r="AA72" s="1390">
        <f t="shared" ref="AA72:AA75" si="61">+X72+Z72</f>
        <v>0</v>
      </c>
      <c r="AB72" s="1510">
        <f t="shared" ref="AB72:AB75" si="62">+V72+AA72</f>
        <v>0</v>
      </c>
      <c r="AC72" s="1394">
        <f t="shared" ref="AC72:AC75" si="63">-(0.25%*AB72)</f>
        <v>0</v>
      </c>
      <c r="AD72" s="1510">
        <f t="shared" ref="AD72:AD75" si="64">SUM(AB72:AC72)</f>
        <v>0</v>
      </c>
      <c r="AE72" s="1395">
        <v>0</v>
      </c>
      <c r="AF72" s="1510">
        <f t="shared" ref="AF72:AF75" si="65">SUM(AD72:AE72)</f>
        <v>0</v>
      </c>
      <c r="AG72" s="1392"/>
      <c r="AH72" s="1392">
        <f t="shared" ref="AH72:AH75" si="66">+AF72-AG72</f>
        <v>0</v>
      </c>
      <c r="AI72" s="1515">
        <f t="shared" si="47"/>
        <v>0</v>
      </c>
      <c r="AJ72" s="1505">
        <f t="shared" ref="AJ72:AJ75" si="67">T72+AF72</f>
        <v>0</v>
      </c>
      <c r="AK72" s="1505">
        <f t="shared" ref="AK72:AK75" si="68">S72+AI72</f>
        <v>0</v>
      </c>
    </row>
    <row r="73" spans="1:37" ht="16.2" customHeight="1">
      <c r="A73" s="1176">
        <v>67</v>
      </c>
      <c r="B73" s="1177" t="s">
        <v>30</v>
      </c>
      <c r="C73" s="1197">
        <f>+'Table 8 Membership 2.1.14'!K69</f>
        <v>0</v>
      </c>
      <c r="D73" s="1198">
        <f>+'Table 5C1A-Madison Prep'!D73</f>
        <v>5029.1467736134118</v>
      </c>
      <c r="E73" s="1199">
        <f t="shared" si="48"/>
        <v>0</v>
      </c>
      <c r="F73" s="1199">
        <f>+'Table 5C1A-Madison Prep'!F73</f>
        <v>715.61</v>
      </c>
      <c r="G73" s="1199">
        <f t="shared" si="49"/>
        <v>0</v>
      </c>
      <c r="H73" s="1403">
        <f t="shared" si="50"/>
        <v>0</v>
      </c>
      <c r="I73" s="1200"/>
      <c r="J73" s="1200"/>
      <c r="K73" s="1201">
        <f t="shared" si="51"/>
        <v>0</v>
      </c>
      <c r="L73" s="1403">
        <f t="shared" si="52"/>
        <v>0</v>
      </c>
      <c r="M73" s="1423">
        <f t="shared" si="53"/>
        <v>0</v>
      </c>
      <c r="N73" s="1403">
        <f t="shared" si="54"/>
        <v>0</v>
      </c>
      <c r="O73" s="1198">
        <v>0</v>
      </c>
      <c r="P73" s="1403">
        <f t="shared" si="55"/>
        <v>0</v>
      </c>
      <c r="Q73" s="1198"/>
      <c r="R73" s="1198">
        <f t="shared" si="56"/>
        <v>0</v>
      </c>
      <c r="S73" s="1403">
        <f t="shared" si="57"/>
        <v>0</v>
      </c>
      <c r="T73" s="1403">
        <f t="shared" si="58"/>
        <v>0</v>
      </c>
      <c r="U73" s="1397">
        <f>+'Table 5C1A-Madison Prep'!U73</f>
        <v>5015</v>
      </c>
      <c r="V73" s="1510">
        <f t="shared" si="46"/>
        <v>0</v>
      </c>
      <c r="W73" s="1391"/>
      <c r="X73" s="1392">
        <f t="shared" si="59"/>
        <v>0</v>
      </c>
      <c r="Y73" s="1391"/>
      <c r="Z73" s="1392">
        <f t="shared" si="60"/>
        <v>0</v>
      </c>
      <c r="AA73" s="1390">
        <f t="shared" si="61"/>
        <v>0</v>
      </c>
      <c r="AB73" s="1510">
        <f t="shared" si="62"/>
        <v>0</v>
      </c>
      <c r="AC73" s="1394">
        <f t="shared" si="63"/>
        <v>0</v>
      </c>
      <c r="AD73" s="1510">
        <f t="shared" si="64"/>
        <v>0</v>
      </c>
      <c r="AE73" s="1395">
        <v>0</v>
      </c>
      <c r="AF73" s="1510">
        <f t="shared" si="65"/>
        <v>0</v>
      </c>
      <c r="AG73" s="1392"/>
      <c r="AH73" s="1392">
        <f t="shared" si="66"/>
        <v>0</v>
      </c>
      <c r="AI73" s="1515">
        <f t="shared" si="47"/>
        <v>0</v>
      </c>
      <c r="AJ73" s="1505">
        <f t="shared" si="67"/>
        <v>0</v>
      </c>
      <c r="AK73" s="1505">
        <f t="shared" si="68"/>
        <v>0</v>
      </c>
    </row>
    <row r="74" spans="1:37" ht="16.2" customHeight="1">
      <c r="A74" s="1176">
        <v>68</v>
      </c>
      <c r="B74" s="1177" t="s">
        <v>28</v>
      </c>
      <c r="C74" s="1197">
        <f>+'Table 8 Membership 2.1.14'!K70</f>
        <v>0</v>
      </c>
      <c r="D74" s="1198">
        <f>+'Table 5C1A-Madison Prep'!D74</f>
        <v>6390.1644202560601</v>
      </c>
      <c r="E74" s="1199">
        <f t="shared" si="48"/>
        <v>0</v>
      </c>
      <c r="F74" s="1199">
        <f>+'Table 5C1A-Madison Prep'!F74</f>
        <v>798.7</v>
      </c>
      <c r="G74" s="1199">
        <f t="shared" si="49"/>
        <v>0</v>
      </c>
      <c r="H74" s="1403">
        <f t="shared" si="50"/>
        <v>0</v>
      </c>
      <c r="I74" s="1200"/>
      <c r="J74" s="1200"/>
      <c r="K74" s="1201">
        <f t="shared" si="51"/>
        <v>0</v>
      </c>
      <c r="L74" s="1403">
        <f t="shared" si="52"/>
        <v>0</v>
      </c>
      <c r="M74" s="1423">
        <f t="shared" si="53"/>
        <v>0</v>
      </c>
      <c r="N74" s="1403">
        <f t="shared" si="54"/>
        <v>0</v>
      </c>
      <c r="O74" s="1198">
        <v>0</v>
      </c>
      <c r="P74" s="1403">
        <f t="shared" si="55"/>
        <v>0</v>
      </c>
      <c r="Q74" s="1198"/>
      <c r="R74" s="1198">
        <f t="shared" si="56"/>
        <v>0</v>
      </c>
      <c r="S74" s="1403">
        <f t="shared" si="57"/>
        <v>0</v>
      </c>
      <c r="T74" s="1403">
        <f t="shared" si="58"/>
        <v>0</v>
      </c>
      <c r="U74" s="1397">
        <f>+'Table 5C1A-Madison Prep'!U74</f>
        <v>2669</v>
      </c>
      <c r="V74" s="1510">
        <f t="shared" si="46"/>
        <v>0</v>
      </c>
      <c r="W74" s="1391"/>
      <c r="X74" s="1392">
        <f t="shared" si="59"/>
        <v>0</v>
      </c>
      <c r="Y74" s="1391"/>
      <c r="Z74" s="1392">
        <f t="shared" si="60"/>
        <v>0</v>
      </c>
      <c r="AA74" s="1390">
        <f t="shared" si="61"/>
        <v>0</v>
      </c>
      <c r="AB74" s="1510">
        <f t="shared" si="62"/>
        <v>0</v>
      </c>
      <c r="AC74" s="1394">
        <f t="shared" si="63"/>
        <v>0</v>
      </c>
      <c r="AD74" s="1510">
        <f t="shared" si="64"/>
        <v>0</v>
      </c>
      <c r="AE74" s="1395">
        <v>0</v>
      </c>
      <c r="AF74" s="1510">
        <f t="shared" si="65"/>
        <v>0</v>
      </c>
      <c r="AG74" s="1392"/>
      <c r="AH74" s="1392">
        <f t="shared" si="66"/>
        <v>0</v>
      </c>
      <c r="AI74" s="1515">
        <f t="shared" si="47"/>
        <v>0</v>
      </c>
      <c r="AJ74" s="1505">
        <f t="shared" si="67"/>
        <v>0</v>
      </c>
      <c r="AK74" s="1505">
        <f t="shared" si="68"/>
        <v>0</v>
      </c>
    </row>
    <row r="75" spans="1:37" ht="16.2" customHeight="1">
      <c r="A75" s="1190">
        <v>69</v>
      </c>
      <c r="B75" s="1191" t="s">
        <v>183</v>
      </c>
      <c r="C75" s="1192">
        <f>+'Table 8 Membership 2.1.14'!K71</f>
        <v>0</v>
      </c>
      <c r="D75" s="1193">
        <f>+'Table 5C1A-Madison Prep'!D75</f>
        <v>5722.4947921281337</v>
      </c>
      <c r="E75" s="1194">
        <f t="shared" si="48"/>
        <v>0</v>
      </c>
      <c r="F75" s="1194">
        <f>+'Table 5C1A-Madison Prep'!F75</f>
        <v>705.67</v>
      </c>
      <c r="G75" s="1194">
        <f t="shared" si="49"/>
        <v>0</v>
      </c>
      <c r="H75" s="1541">
        <f t="shared" si="50"/>
        <v>0</v>
      </c>
      <c r="I75" s="1195"/>
      <c r="J75" s="1195"/>
      <c r="K75" s="1196">
        <f t="shared" si="51"/>
        <v>0</v>
      </c>
      <c r="L75" s="1541">
        <f t="shared" si="52"/>
        <v>0</v>
      </c>
      <c r="M75" s="1405">
        <f t="shared" si="53"/>
        <v>0</v>
      </c>
      <c r="N75" s="1541">
        <f t="shared" si="54"/>
        <v>0</v>
      </c>
      <c r="O75" s="1193">
        <v>0</v>
      </c>
      <c r="P75" s="1541">
        <f t="shared" si="55"/>
        <v>0</v>
      </c>
      <c r="Q75" s="1193"/>
      <c r="R75" s="1193">
        <f t="shared" si="56"/>
        <v>0</v>
      </c>
      <c r="S75" s="1541">
        <f t="shared" si="57"/>
        <v>0</v>
      </c>
      <c r="T75" s="1541">
        <f t="shared" si="58"/>
        <v>0</v>
      </c>
      <c r="U75" s="474">
        <f>+'Table 5C1A-Madison Prep'!U75</f>
        <v>3394</v>
      </c>
      <c r="V75" s="1512">
        <f t="shared" si="46"/>
        <v>0</v>
      </c>
      <c r="W75" s="1407"/>
      <c r="X75" s="1408">
        <f t="shared" si="59"/>
        <v>0</v>
      </c>
      <c r="Y75" s="1407"/>
      <c r="Z75" s="1408">
        <f t="shared" si="60"/>
        <v>0</v>
      </c>
      <c r="AA75" s="1406">
        <f t="shared" si="61"/>
        <v>0</v>
      </c>
      <c r="AB75" s="1512">
        <f t="shared" si="62"/>
        <v>0</v>
      </c>
      <c r="AC75" s="1410">
        <f t="shared" si="63"/>
        <v>0</v>
      </c>
      <c r="AD75" s="1512">
        <f t="shared" si="64"/>
        <v>0</v>
      </c>
      <c r="AE75" s="1416">
        <v>0</v>
      </c>
      <c r="AF75" s="1512">
        <f t="shared" si="65"/>
        <v>0</v>
      </c>
      <c r="AG75" s="1408"/>
      <c r="AH75" s="1408">
        <f t="shared" si="66"/>
        <v>0</v>
      </c>
      <c r="AI75" s="1528">
        <f>ROUND(AH75/12,0)</f>
        <v>0</v>
      </c>
      <c r="AJ75" s="1506">
        <f t="shared" si="67"/>
        <v>0</v>
      </c>
      <c r="AK75" s="1506">
        <f t="shared" si="68"/>
        <v>0</v>
      </c>
    </row>
    <row r="76" spans="1:37" ht="16.2" customHeight="1" thickBot="1">
      <c r="A76" s="2221" t="s">
        <v>1045</v>
      </c>
      <c r="B76" s="2194"/>
      <c r="C76" s="470">
        <f>SUM(C7:C75)</f>
        <v>461</v>
      </c>
      <c r="D76" s="471">
        <f>+'Table 5C1A-Madison Prep'!D76</f>
        <v>4479.9292126977662</v>
      </c>
      <c r="E76" s="480">
        <f>SUM(E7:E75)</f>
        <v>1653864.3759413166</v>
      </c>
      <c r="F76" s="480">
        <f>+'Table 5C1A-Madison Prep'!F76</f>
        <v>704.64781030742063</v>
      </c>
      <c r="G76" s="480">
        <f t="shared" ref="G76:R76" si="69">SUM(G7:G75)</f>
        <v>349271.99109589047</v>
      </c>
      <c r="H76" s="1542">
        <f t="shared" si="69"/>
        <v>2003136.3670372069</v>
      </c>
      <c r="I76" s="640">
        <f t="shared" si="69"/>
        <v>0</v>
      </c>
      <c r="J76" s="640">
        <f t="shared" si="69"/>
        <v>0</v>
      </c>
      <c r="K76" s="616">
        <f t="shared" si="69"/>
        <v>0</v>
      </c>
      <c r="L76" s="1560">
        <f t="shared" si="69"/>
        <v>2003136.3670372069</v>
      </c>
      <c r="M76" s="481">
        <f t="shared" si="69"/>
        <v>-5007.8409175930174</v>
      </c>
      <c r="N76" s="1542">
        <f t="shared" si="69"/>
        <v>1998128.5261196138</v>
      </c>
      <c r="O76" s="636">
        <f t="shared" si="69"/>
        <v>0</v>
      </c>
      <c r="P76" s="1542">
        <f t="shared" si="69"/>
        <v>1998128.5261196138</v>
      </c>
      <c r="Q76" s="663">
        <f t="shared" si="69"/>
        <v>0</v>
      </c>
      <c r="R76" s="663">
        <f t="shared" si="69"/>
        <v>1998128.5261196138</v>
      </c>
      <c r="S76" s="1542">
        <f>SUM(S7:S75)</f>
        <v>166510</v>
      </c>
      <c r="T76" s="1542">
        <f>SUM(T7:T75)</f>
        <v>1998128.5261196138</v>
      </c>
      <c r="U76" s="475">
        <f>+'Table 5C1A-Madison Prep'!U76</f>
        <v>4663</v>
      </c>
      <c r="V76" s="1513">
        <f t="shared" ref="V76:AK76" si="70">SUM(V7:V75)</f>
        <v>2190524</v>
      </c>
      <c r="W76" s="646">
        <f t="shared" si="70"/>
        <v>0</v>
      </c>
      <c r="X76" s="647">
        <f t="shared" si="70"/>
        <v>0</v>
      </c>
      <c r="Y76" s="646">
        <f t="shared" si="70"/>
        <v>0</v>
      </c>
      <c r="Z76" s="647">
        <f t="shared" si="70"/>
        <v>0</v>
      </c>
      <c r="AA76" s="633">
        <f t="shared" si="70"/>
        <v>0</v>
      </c>
      <c r="AB76" s="1519">
        <f t="shared" si="70"/>
        <v>2190524</v>
      </c>
      <c r="AC76" s="482">
        <f t="shared" si="70"/>
        <v>-5476.3099999999995</v>
      </c>
      <c r="AD76" s="1513">
        <f t="shared" si="70"/>
        <v>2185047.69</v>
      </c>
      <c r="AE76" s="664">
        <f t="shared" si="70"/>
        <v>0</v>
      </c>
      <c r="AF76" s="1513">
        <f t="shared" si="70"/>
        <v>2185047.69</v>
      </c>
      <c r="AG76" s="647">
        <f t="shared" si="70"/>
        <v>0</v>
      </c>
      <c r="AH76" s="647">
        <f t="shared" si="70"/>
        <v>2185047.69</v>
      </c>
      <c r="AI76" s="1518">
        <f t="shared" si="70"/>
        <v>182087</v>
      </c>
      <c r="AJ76" s="1532">
        <f t="shared" si="70"/>
        <v>4183176.2161196135</v>
      </c>
      <c r="AK76" s="1532">
        <f t="shared" si="70"/>
        <v>348597</v>
      </c>
    </row>
    <row r="77" spans="1:37" s="594" customFormat="1" ht="16.2" customHeight="1" thickTop="1">
      <c r="A77" s="2330" t="s">
        <v>1039</v>
      </c>
      <c r="B77" s="2338"/>
      <c r="C77" s="1425"/>
      <c r="D77" s="1198"/>
      <c r="E77" s="1198"/>
      <c r="F77" s="1198"/>
      <c r="G77" s="1198"/>
      <c r="H77" s="1198"/>
      <c r="I77" s="1200"/>
      <c r="J77" s="1200"/>
      <c r="K77" s="1200"/>
      <c r="L77" s="1198"/>
      <c r="M77" s="1200"/>
      <c r="N77" s="1198"/>
      <c r="O77" s="1198"/>
      <c r="P77" s="1403">
        <f>'Table 4 Level 4'!$E99</f>
        <v>0</v>
      </c>
      <c r="Q77" s="1198"/>
      <c r="R77" s="1198">
        <f t="shared" ref="R77" si="71">+P77-Q77</f>
        <v>0</v>
      </c>
      <c r="S77" s="1403">
        <f t="shared" ref="S77" si="72">ROUND(R77/12,0)</f>
        <v>0</v>
      </c>
      <c r="T77" s="1403">
        <f>'Table 4 Level 4'!$E99</f>
        <v>0</v>
      </c>
      <c r="U77" s="1397"/>
      <c r="V77" s="1395"/>
      <c r="W77" s="1391"/>
      <c r="X77" s="1392"/>
      <c r="Y77" s="1391"/>
      <c r="Z77" s="1392"/>
      <c r="AA77" s="1392"/>
      <c r="AB77" s="1395"/>
      <c r="AC77" s="1392"/>
      <c r="AD77" s="1395"/>
      <c r="AE77" s="1395"/>
      <c r="AF77" s="1395"/>
      <c r="AG77" s="1392"/>
      <c r="AH77" s="1392"/>
      <c r="AI77" s="1392"/>
      <c r="AJ77" s="1505">
        <f t="shared" ref="AJ77:AJ81" si="73">T77+AF77</f>
        <v>0</v>
      </c>
      <c r="AK77" s="1505">
        <f t="shared" ref="AK77:AK81" si="74">S77+AI77</f>
        <v>0</v>
      </c>
    </row>
    <row r="78" spans="1:37" s="594" customFormat="1" ht="16.2" customHeight="1">
      <c r="A78" s="2332" t="s">
        <v>1040</v>
      </c>
      <c r="B78" s="2339"/>
      <c r="C78" s="1425"/>
      <c r="D78" s="1198"/>
      <c r="E78" s="1198"/>
      <c r="F78" s="1198"/>
      <c r="G78" s="1198"/>
      <c r="H78" s="1198"/>
      <c r="I78" s="1200"/>
      <c r="J78" s="1200"/>
      <c r="K78" s="1200"/>
      <c r="L78" s="1198"/>
      <c r="M78" s="1200"/>
      <c r="N78" s="1198"/>
      <c r="O78" s="1198"/>
      <c r="P78" s="1198">
        <v>0</v>
      </c>
      <c r="Q78" s="1198"/>
      <c r="R78" s="1198"/>
      <c r="S78" s="1198">
        <v>0</v>
      </c>
      <c r="T78" s="1403">
        <f>'Table 4 Level 4'!$J99</f>
        <v>0</v>
      </c>
      <c r="U78" s="1397"/>
      <c r="V78" s="1395"/>
      <c r="W78" s="1391"/>
      <c r="X78" s="1392"/>
      <c r="Y78" s="1391"/>
      <c r="Z78" s="1392"/>
      <c r="AA78" s="1392"/>
      <c r="AB78" s="1395"/>
      <c r="AC78" s="1392"/>
      <c r="AD78" s="1395"/>
      <c r="AE78" s="1395"/>
      <c r="AF78" s="1395"/>
      <c r="AG78" s="1392"/>
      <c r="AH78" s="1392"/>
      <c r="AI78" s="1392"/>
      <c r="AJ78" s="1505">
        <f t="shared" si="73"/>
        <v>0</v>
      </c>
      <c r="AK78" s="1395"/>
    </row>
    <row r="79" spans="1:37" s="594" customFormat="1" ht="16.2" customHeight="1">
      <c r="A79" s="2332" t="s">
        <v>1041</v>
      </c>
      <c r="B79" s="2339"/>
      <c r="C79" s="1425"/>
      <c r="D79" s="1198"/>
      <c r="E79" s="1198"/>
      <c r="F79" s="1198"/>
      <c r="G79" s="1198"/>
      <c r="H79" s="1198"/>
      <c r="I79" s="1200"/>
      <c r="J79" s="1200"/>
      <c r="K79" s="1200"/>
      <c r="L79" s="1198"/>
      <c r="M79" s="1200"/>
      <c r="N79" s="1198"/>
      <c r="O79" s="1198"/>
      <c r="P79" s="1198">
        <v>0</v>
      </c>
      <c r="Q79" s="1198"/>
      <c r="R79" s="1198"/>
      <c r="S79" s="1198">
        <v>0</v>
      </c>
      <c r="T79" s="1403">
        <f>'Table 4 Level 4'!$K99</f>
        <v>0</v>
      </c>
      <c r="U79" s="1397"/>
      <c r="V79" s="1395"/>
      <c r="W79" s="1391"/>
      <c r="X79" s="1392"/>
      <c r="Y79" s="1391"/>
      <c r="Z79" s="1392"/>
      <c r="AA79" s="1392"/>
      <c r="AB79" s="1395"/>
      <c r="AC79" s="1392"/>
      <c r="AD79" s="1395"/>
      <c r="AE79" s="1395"/>
      <c r="AF79" s="1395"/>
      <c r="AG79" s="1392"/>
      <c r="AH79" s="1392"/>
      <c r="AI79" s="1392"/>
      <c r="AJ79" s="1505">
        <f t="shared" si="73"/>
        <v>0</v>
      </c>
      <c r="AK79" s="1395"/>
    </row>
    <row r="80" spans="1:37" s="594" customFormat="1" ht="16.2" customHeight="1">
      <c r="A80" s="2332" t="s">
        <v>1042</v>
      </c>
      <c r="B80" s="2339"/>
      <c r="C80" s="1425"/>
      <c r="D80" s="1198"/>
      <c r="E80" s="1198"/>
      <c r="F80" s="1198"/>
      <c r="G80" s="1198"/>
      <c r="H80" s="1198"/>
      <c r="I80" s="1200"/>
      <c r="J80" s="1200"/>
      <c r="K80" s="1200"/>
      <c r="L80" s="1198"/>
      <c r="M80" s="1200"/>
      <c r="N80" s="1198"/>
      <c r="O80" s="1198"/>
      <c r="P80" s="1198">
        <v>0</v>
      </c>
      <c r="Q80" s="1198"/>
      <c r="R80" s="1198"/>
      <c r="S80" s="1198">
        <v>0</v>
      </c>
      <c r="T80" s="1403">
        <f>'Table 4 Level 4'!$L99</f>
        <v>0</v>
      </c>
      <c r="U80" s="1397"/>
      <c r="V80" s="1395"/>
      <c r="W80" s="1391"/>
      <c r="X80" s="1392"/>
      <c r="Y80" s="1391"/>
      <c r="Z80" s="1392"/>
      <c r="AA80" s="1392"/>
      <c r="AB80" s="1395"/>
      <c r="AC80" s="1392"/>
      <c r="AD80" s="1395"/>
      <c r="AE80" s="1395"/>
      <c r="AF80" s="1395"/>
      <c r="AG80" s="1392"/>
      <c r="AH80" s="1392"/>
      <c r="AI80" s="1392"/>
      <c r="AJ80" s="1505">
        <f t="shared" si="73"/>
        <v>0</v>
      </c>
      <c r="AK80" s="1395"/>
    </row>
    <row r="81" spans="1:37" s="594" customFormat="1" ht="16.2" customHeight="1">
      <c r="A81" s="2340" t="s">
        <v>1043</v>
      </c>
      <c r="B81" s="2341"/>
      <c r="C81" s="1417"/>
      <c r="D81" s="1193"/>
      <c r="E81" s="1193"/>
      <c r="F81" s="1193"/>
      <c r="G81" s="1193"/>
      <c r="H81" s="1193"/>
      <c r="I81" s="1195"/>
      <c r="J81" s="1195"/>
      <c r="K81" s="1195"/>
      <c r="L81" s="1193"/>
      <c r="M81" s="1195"/>
      <c r="N81" s="1193"/>
      <c r="O81" s="1193"/>
      <c r="P81" s="1541">
        <f>'Table 4 Level 4'!$N99</f>
        <v>11986</v>
      </c>
      <c r="Q81" s="1193"/>
      <c r="R81" s="1193">
        <f t="shared" ref="R81" si="75">+P81-Q81</f>
        <v>11986</v>
      </c>
      <c r="S81" s="1541">
        <f t="shared" ref="S81" si="76">ROUND(R81/12,0)</f>
        <v>999</v>
      </c>
      <c r="T81" s="1541">
        <f>'Table 4 Level 4'!$N99</f>
        <v>11986</v>
      </c>
      <c r="U81" s="1422"/>
      <c r="V81" s="1416"/>
      <c r="W81" s="1407"/>
      <c r="X81" s="1408"/>
      <c r="Y81" s="1407"/>
      <c r="Z81" s="1408"/>
      <c r="AA81" s="1408"/>
      <c r="AB81" s="1416"/>
      <c r="AC81" s="1408"/>
      <c r="AD81" s="1416"/>
      <c r="AE81" s="1416"/>
      <c r="AF81" s="1416"/>
      <c r="AG81" s="1408"/>
      <c r="AH81" s="1408"/>
      <c r="AI81" s="1408"/>
      <c r="AJ81" s="1506">
        <f t="shared" si="73"/>
        <v>11986</v>
      </c>
      <c r="AK81" s="1506">
        <f t="shared" si="74"/>
        <v>999</v>
      </c>
    </row>
    <row r="82" spans="1:37" s="594" customFormat="1" ht="16.2" customHeight="1" thickBot="1">
      <c r="A82" s="2221" t="s">
        <v>1044</v>
      </c>
      <c r="B82" s="2194"/>
      <c r="C82" s="1052">
        <f>SUM(C76:C81)</f>
        <v>461</v>
      </c>
      <c r="D82" s="1046">
        <f t="shared" ref="D82:AK82" si="77">SUM(D76:D81)</f>
        <v>4479.9292126977662</v>
      </c>
      <c r="E82" s="1046">
        <f t="shared" si="77"/>
        <v>1653864.3759413166</v>
      </c>
      <c r="F82" s="1046">
        <f t="shared" si="77"/>
        <v>704.64781030742063</v>
      </c>
      <c r="G82" s="1046">
        <f t="shared" si="77"/>
        <v>349271.99109589047</v>
      </c>
      <c r="H82" s="1046">
        <f t="shared" si="77"/>
        <v>2003136.3670372069</v>
      </c>
      <c r="I82" s="1053">
        <f t="shared" si="77"/>
        <v>0</v>
      </c>
      <c r="J82" s="1053">
        <f t="shared" si="77"/>
        <v>0</v>
      </c>
      <c r="K82" s="1053">
        <f t="shared" si="77"/>
        <v>0</v>
      </c>
      <c r="L82" s="1046">
        <f t="shared" si="77"/>
        <v>2003136.3670372069</v>
      </c>
      <c r="M82" s="1053">
        <f t="shared" si="77"/>
        <v>-5007.8409175930174</v>
      </c>
      <c r="N82" s="1046">
        <f t="shared" si="77"/>
        <v>1998128.5261196138</v>
      </c>
      <c r="O82" s="1053">
        <f t="shared" si="77"/>
        <v>0</v>
      </c>
      <c r="P82" s="1543">
        <f t="shared" si="77"/>
        <v>2010114.5261196138</v>
      </c>
      <c r="Q82" s="1046">
        <f t="shared" si="77"/>
        <v>0</v>
      </c>
      <c r="R82" s="1046">
        <f t="shared" si="77"/>
        <v>2010114.5261196138</v>
      </c>
      <c r="S82" s="1543">
        <f t="shared" si="77"/>
        <v>167509</v>
      </c>
      <c r="T82" s="1543">
        <f t="shared" si="77"/>
        <v>2010114.5261196138</v>
      </c>
      <c r="U82" s="1050">
        <f t="shared" si="77"/>
        <v>4663</v>
      </c>
      <c r="V82" s="1056">
        <f t="shared" si="77"/>
        <v>2190524</v>
      </c>
      <c r="W82" s="1057">
        <f t="shared" si="77"/>
        <v>0</v>
      </c>
      <c r="X82" s="1055">
        <f t="shared" si="77"/>
        <v>0</v>
      </c>
      <c r="Y82" s="1057">
        <f t="shared" si="77"/>
        <v>0</v>
      </c>
      <c r="Z82" s="1055">
        <f t="shared" si="77"/>
        <v>0</v>
      </c>
      <c r="AA82" s="1055">
        <f t="shared" si="77"/>
        <v>0</v>
      </c>
      <c r="AB82" s="1056">
        <f t="shared" si="77"/>
        <v>2190524</v>
      </c>
      <c r="AC82" s="1055">
        <f t="shared" si="77"/>
        <v>-5476.3099999999995</v>
      </c>
      <c r="AD82" s="1056">
        <f t="shared" si="77"/>
        <v>2185047.69</v>
      </c>
      <c r="AE82" s="1056">
        <f t="shared" si="77"/>
        <v>0</v>
      </c>
      <c r="AF82" s="1056">
        <f t="shared" si="77"/>
        <v>2185047.69</v>
      </c>
      <c r="AG82" s="1055">
        <f t="shared" si="77"/>
        <v>0</v>
      </c>
      <c r="AH82" s="1055">
        <f t="shared" si="77"/>
        <v>2185047.69</v>
      </c>
      <c r="AI82" s="1055">
        <f t="shared" si="77"/>
        <v>182087</v>
      </c>
      <c r="AJ82" s="1504">
        <f t="shared" si="77"/>
        <v>4195162.2161196135</v>
      </c>
      <c r="AK82" s="1504">
        <f t="shared" si="77"/>
        <v>349596</v>
      </c>
    </row>
    <row r="83" spans="1:37" ht="16.2" customHeight="1" thickTop="1"/>
    <row r="84" spans="1:37" ht="16.2" customHeight="1"/>
    <row r="85" spans="1:37" ht="16.2" customHeight="1"/>
    <row r="86" spans="1:37" ht="16.2" customHeight="1"/>
  </sheetData>
  <mergeCells count="43">
    <mergeCell ref="AG3:AG4"/>
    <mergeCell ref="AH3:AH4"/>
    <mergeCell ref="AI3:AI4"/>
    <mergeCell ref="U1:AB1"/>
    <mergeCell ref="AC1:AI1"/>
    <mergeCell ref="U3:U4"/>
    <mergeCell ref="AB3:AB4"/>
    <mergeCell ref="A1:B4"/>
    <mergeCell ref="K3:K4"/>
    <mergeCell ref="L3:L4"/>
    <mergeCell ref="W2:AA2"/>
    <mergeCell ref="W3:W4"/>
    <mergeCell ref="X3:X4"/>
    <mergeCell ref="Y3:Y4"/>
    <mergeCell ref="Z3:Z4"/>
    <mergeCell ref="C1:L1"/>
    <mergeCell ref="M1:T1"/>
    <mergeCell ref="P3:P4"/>
    <mergeCell ref="S3:S4"/>
    <mergeCell ref="T3:T4"/>
    <mergeCell ref="AJ1:AJ4"/>
    <mergeCell ref="AK1:AK4"/>
    <mergeCell ref="C3:C4"/>
    <mergeCell ref="D3:D4"/>
    <mergeCell ref="E3:E4"/>
    <mergeCell ref="F3:F4"/>
    <mergeCell ref="G3:G4"/>
    <mergeCell ref="AD3:AD4"/>
    <mergeCell ref="AE3:AE4"/>
    <mergeCell ref="AF3:AF4"/>
    <mergeCell ref="H3:H4"/>
    <mergeCell ref="N3:N4"/>
    <mergeCell ref="O3:O4"/>
    <mergeCell ref="I2:K2"/>
    <mergeCell ref="I3:I4"/>
    <mergeCell ref="J3:J4"/>
    <mergeCell ref="A82:B82"/>
    <mergeCell ref="A76:B76"/>
    <mergeCell ref="A77:B77"/>
    <mergeCell ref="A78:B78"/>
    <mergeCell ref="A79:B79"/>
    <mergeCell ref="A80:B80"/>
    <mergeCell ref="A81:B81"/>
  </mergeCells>
  <printOptions horizontalCentered="1"/>
  <pageMargins left="0.33" right="0.35" top="0.75" bottom="0.75" header="0.3" footer="0.3"/>
  <pageSetup paperSize="5" scale="60" firstPageNumber="54" orientation="portrait" r:id="rId1"/>
  <headerFooter>
    <oddHeader>&amp;L&amp;"Arial,Bold"&amp;20&amp;K000000Table 5C1-C: FY2014-15 MFP Budget Letter  
International High School of New Orleans</oddHeader>
    <oddFooter>&amp;R&amp;P</oddFooter>
  </headerFooter>
  <colBreaks count="3" manualBreakCount="3">
    <brk id="12" max="1048575" man="1"/>
    <brk id="20" max="1048575" man="1"/>
    <brk id="28" max="81"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97"/>
  <sheetViews>
    <sheetView showGridLines="0" view="pageBreakPreview" zoomScale="80" zoomScaleNormal="80" zoomScaleSheetLayoutView="80" workbookViewId="0">
      <pane xSplit="3" ySplit="9" topLeftCell="D76" activePane="bottomRight" state="frozen"/>
      <selection activeCell="B3" sqref="B3:B5"/>
      <selection pane="topRight" activeCell="B3" sqref="B3:B5"/>
      <selection pane="bottomLeft" activeCell="B3" sqref="B3:B5"/>
      <selection pane="bottomRight" activeCell="D24" sqref="D24"/>
    </sheetView>
  </sheetViews>
  <sheetFormatPr defaultRowHeight="13.2"/>
  <cols>
    <col min="1" max="1" width="4.33203125" customWidth="1"/>
    <col min="2" max="2" width="6.44140625" customWidth="1"/>
    <col min="3" max="3" width="63.6640625" customWidth="1"/>
    <col min="4" max="4" width="20" bestFit="1" customWidth="1"/>
    <col min="5" max="5" width="17.44140625" customWidth="1"/>
    <col min="6" max="6" width="1.6640625" customWidth="1"/>
    <col min="7" max="7" width="17" bestFit="1" customWidth="1"/>
    <col min="8" max="8" width="12.88671875" customWidth="1"/>
    <col min="9" max="9" width="3" customWidth="1"/>
    <col min="10" max="10" width="11.6640625" bestFit="1" customWidth="1"/>
    <col min="11" max="11" width="9.88671875" bestFit="1" customWidth="1"/>
  </cols>
  <sheetData>
    <row r="1" spans="1:10" ht="7.5" customHeight="1"/>
    <row r="2" spans="1:10" ht="24" customHeight="1">
      <c r="A2" s="1996" t="s">
        <v>606</v>
      </c>
      <c r="B2" s="1997"/>
      <c r="C2" s="1997"/>
      <c r="D2" s="1997"/>
      <c r="E2" s="1997"/>
      <c r="F2" s="1997"/>
      <c r="G2" s="1997"/>
      <c r="H2" s="1997"/>
    </row>
    <row r="3" spans="1:10" ht="29.25" customHeight="1">
      <c r="A3" s="1998" t="s">
        <v>589</v>
      </c>
      <c r="B3" s="1998"/>
      <c r="C3" s="1998"/>
      <c r="D3" s="1998"/>
      <c r="E3" s="1998"/>
      <c r="F3" s="1998"/>
      <c r="G3" s="1998"/>
      <c r="H3" s="1998"/>
    </row>
    <row r="4" spans="1:10" ht="6.75" customHeight="1" thickBot="1">
      <c r="A4" s="1999"/>
      <c r="B4" s="2000"/>
      <c r="C4" s="2000"/>
      <c r="D4" s="2000"/>
      <c r="E4" s="2000"/>
      <c r="F4" s="2000"/>
      <c r="G4" s="2000"/>
      <c r="H4" s="2000"/>
      <c r="J4" s="379"/>
    </row>
    <row r="5" spans="1:10" s="29" customFormat="1" ht="12" customHeight="1" thickTop="1">
      <c r="A5" s="19"/>
      <c r="B5" s="20"/>
      <c r="C5" s="32"/>
      <c r="D5" s="2032" t="s">
        <v>529</v>
      </c>
      <c r="E5" s="2041" t="s">
        <v>607</v>
      </c>
      <c r="F5" s="2042"/>
      <c r="G5" s="2035" t="s">
        <v>600</v>
      </c>
      <c r="H5" s="2038" t="s">
        <v>19</v>
      </c>
    </row>
    <row r="6" spans="1:10" ht="24" customHeight="1">
      <c r="A6" s="144"/>
      <c r="B6" s="138"/>
      <c r="C6" s="139"/>
      <c r="D6" s="2033"/>
      <c r="E6" s="2043"/>
      <c r="F6" s="2044"/>
      <c r="G6" s="2036"/>
      <c r="H6" s="2039"/>
    </row>
    <row r="7" spans="1:10" s="29" customFormat="1" ht="20.100000000000001" customHeight="1">
      <c r="A7" s="144"/>
      <c r="B7" s="138"/>
      <c r="C7" s="33"/>
      <c r="D7" s="2033"/>
      <c r="E7" s="2043"/>
      <c r="F7" s="2044"/>
      <c r="G7" s="2036"/>
      <c r="H7" s="2039"/>
    </row>
    <row r="8" spans="1:10" s="29" customFormat="1" ht="27.75" customHeight="1" thickBot="1">
      <c r="A8" s="145"/>
      <c r="B8" s="21"/>
      <c r="C8" s="94" t="s">
        <v>164</v>
      </c>
      <c r="D8" s="2034"/>
      <c r="E8" s="2045"/>
      <c r="F8" s="2046"/>
      <c r="G8" s="2037"/>
      <c r="H8" s="2040"/>
    </row>
    <row r="9" spans="1:10" s="29" customFormat="1" ht="18.75" customHeight="1" thickTop="1" thickBot="1">
      <c r="A9" s="146" t="s">
        <v>156</v>
      </c>
      <c r="B9" s="41" t="s">
        <v>147</v>
      </c>
      <c r="C9" s="42"/>
      <c r="D9" s="383">
        <v>3855</v>
      </c>
      <c r="E9" s="383">
        <f>'Table 3 Levels 1&amp;2'!Q73</f>
        <v>3961</v>
      </c>
      <c r="F9" s="384"/>
      <c r="G9" s="176">
        <f>E9-D9</f>
        <v>106</v>
      </c>
      <c r="H9" s="289">
        <f t="shared" ref="H9:H24" si="0">ROUND((E9/D9)-1,4)</f>
        <v>2.75E-2</v>
      </c>
    </row>
    <row r="10" spans="1:10" s="29" customFormat="1" ht="32.25" customHeight="1">
      <c r="A10" s="378" t="s">
        <v>157</v>
      </c>
      <c r="B10" s="2048" t="s">
        <v>514</v>
      </c>
      <c r="C10" s="2049"/>
      <c r="D10" s="675">
        <v>940547.9</v>
      </c>
      <c r="E10" s="515">
        <f>E12+E20+E21+E22+E23+E24</f>
        <v>947660</v>
      </c>
      <c r="F10" s="516"/>
      <c r="G10" s="517">
        <f>E10-D10</f>
        <v>7112.0999999999767</v>
      </c>
      <c r="H10" s="290">
        <f t="shared" si="0"/>
        <v>7.6E-3</v>
      </c>
    </row>
    <row r="11" spans="1:10" s="29" customFormat="1" ht="21.75" customHeight="1">
      <c r="A11" s="147"/>
      <c r="B11" s="25" t="s">
        <v>148</v>
      </c>
      <c r="C11" s="24" t="s">
        <v>372</v>
      </c>
      <c r="D11" s="385"/>
      <c r="E11" s="385"/>
      <c r="F11" s="386"/>
      <c r="G11" s="114"/>
      <c r="H11" s="291"/>
    </row>
    <row r="12" spans="1:10" s="29" customFormat="1" ht="31.5" customHeight="1">
      <c r="A12" s="147"/>
      <c r="B12" s="518" t="s">
        <v>344</v>
      </c>
      <c r="C12" s="519" t="s">
        <v>515</v>
      </c>
      <c r="D12" s="513">
        <v>673908</v>
      </c>
      <c r="E12" s="513">
        <f>'Table 3 Levels 1&amp;2'!C73</f>
        <v>678570</v>
      </c>
      <c r="F12" s="514"/>
      <c r="G12" s="164">
        <f t="shared" ref="G12:G24" si="1">E12-D12</f>
        <v>4662</v>
      </c>
      <c r="H12" s="291">
        <f t="shared" si="0"/>
        <v>6.8999999999999999E-3</v>
      </c>
    </row>
    <row r="13" spans="1:10" s="29" customFormat="1" ht="21.75" customHeight="1">
      <c r="A13" s="147"/>
      <c r="B13" s="512" t="s">
        <v>339</v>
      </c>
      <c r="C13" s="24" t="s">
        <v>305</v>
      </c>
      <c r="D13" s="385">
        <v>1767</v>
      </c>
      <c r="E13" s="385">
        <f>'Table 5A1_Labs'!C7</f>
        <v>1982</v>
      </c>
      <c r="F13" s="386"/>
      <c r="G13" s="114">
        <f t="shared" si="1"/>
        <v>215</v>
      </c>
      <c r="H13" s="291">
        <f t="shared" si="0"/>
        <v>0.1217</v>
      </c>
    </row>
    <row r="14" spans="1:10" s="29" customFormat="1" ht="18" customHeight="1">
      <c r="A14" s="147"/>
      <c r="B14" s="512" t="s">
        <v>340</v>
      </c>
      <c r="C14" s="24" t="s">
        <v>306</v>
      </c>
      <c r="D14" s="385">
        <v>319.92208399999993</v>
      </c>
      <c r="E14" s="385">
        <f>'Table 5A3_OJJ'!C75</f>
        <v>278.73464700000005</v>
      </c>
      <c r="F14" s="386"/>
      <c r="G14" s="114">
        <f t="shared" si="1"/>
        <v>-41.187436999999875</v>
      </c>
      <c r="H14" s="291">
        <f t="shared" si="0"/>
        <v>-0.12870000000000001</v>
      </c>
    </row>
    <row r="15" spans="1:10" s="29" customFormat="1" ht="18" customHeight="1">
      <c r="A15" s="147"/>
      <c r="B15" s="512" t="s">
        <v>341</v>
      </c>
      <c r="C15" s="24" t="s">
        <v>513</v>
      </c>
      <c r="D15" s="385">
        <v>1644</v>
      </c>
      <c r="E15" s="385">
        <f>'Table 5C1I-LA Key Academy'!C76+'Table 5C1J-Jefferson Chamber'!C76+'Table 5C1K-Tallulah Charter'!C76+'Table 5C1L-Northshore Charter'!C76+'Table 5C1M-B.R. Charter'!C76+'Table 5C1N-Delta Charter'!C76</f>
        <v>1453</v>
      </c>
      <c r="F15" s="386"/>
      <c r="G15" s="114">
        <f t="shared" si="1"/>
        <v>-191</v>
      </c>
      <c r="H15" s="291">
        <f t="shared" si="0"/>
        <v>-0.1162</v>
      </c>
    </row>
    <row r="16" spans="1:10" s="29" customFormat="1" ht="18" customHeight="1">
      <c r="A16" s="147"/>
      <c r="B16" s="512" t="s">
        <v>342</v>
      </c>
      <c r="C16" s="24" t="s">
        <v>313</v>
      </c>
      <c r="D16" s="385">
        <v>275</v>
      </c>
      <c r="E16" s="385">
        <v>275</v>
      </c>
      <c r="F16" s="386"/>
      <c r="G16" s="114">
        <f t="shared" si="1"/>
        <v>0</v>
      </c>
      <c r="H16" s="291">
        <f t="shared" si="0"/>
        <v>0</v>
      </c>
    </row>
    <row r="17" spans="1:8" s="29" customFormat="1" ht="18" customHeight="1">
      <c r="A17" s="147"/>
      <c r="B17" s="512" t="s">
        <v>343</v>
      </c>
      <c r="C17" s="24" t="s">
        <v>314</v>
      </c>
      <c r="D17" s="385">
        <v>114</v>
      </c>
      <c r="E17" s="385">
        <v>114</v>
      </c>
      <c r="F17" s="386"/>
      <c r="G17" s="114">
        <f t="shared" si="1"/>
        <v>0</v>
      </c>
      <c r="H17" s="291">
        <f t="shared" si="0"/>
        <v>0</v>
      </c>
    </row>
    <row r="18" spans="1:8" s="29" customFormat="1" ht="18" customHeight="1">
      <c r="A18" s="147"/>
      <c r="B18" s="561" t="s">
        <v>519</v>
      </c>
      <c r="C18" s="562" t="s">
        <v>520</v>
      </c>
      <c r="D18" s="674">
        <v>4306</v>
      </c>
      <c r="E18" s="559">
        <f>'Table 5A2- Legacy Type 2'!C15</f>
        <v>4518</v>
      </c>
      <c r="F18" s="560"/>
      <c r="G18" s="114">
        <f t="shared" si="1"/>
        <v>212</v>
      </c>
      <c r="H18" s="291"/>
    </row>
    <row r="19" spans="1:8" s="29" customFormat="1" ht="18" customHeight="1">
      <c r="A19" s="147"/>
      <c r="B19" s="512" t="s">
        <v>521</v>
      </c>
      <c r="C19" s="24" t="s">
        <v>304</v>
      </c>
      <c r="D19" s="513">
        <v>682333.92208399996</v>
      </c>
      <c r="E19" s="513">
        <f>SUM(E12:E18)</f>
        <v>687190.73464699998</v>
      </c>
      <c r="F19" s="514"/>
      <c r="G19" s="164">
        <f t="shared" si="1"/>
        <v>4856.8125630000141</v>
      </c>
      <c r="H19" s="291">
        <f t="shared" si="0"/>
        <v>7.1000000000000004E-3</v>
      </c>
    </row>
    <row r="20" spans="1:8" s="29" customFormat="1" ht="18.75" customHeight="1">
      <c r="A20" s="147"/>
      <c r="B20" s="168" t="s">
        <v>149</v>
      </c>
      <c r="C20" s="24" t="s">
        <v>371</v>
      </c>
      <c r="D20" s="385">
        <v>100693</v>
      </c>
      <c r="E20" s="385">
        <f>'Table 3 Levels 1&amp;2'!E73</f>
        <v>101540</v>
      </c>
      <c r="F20" s="386"/>
      <c r="G20" s="114">
        <f t="shared" si="1"/>
        <v>847</v>
      </c>
      <c r="H20" s="292">
        <f t="shared" si="0"/>
        <v>8.3999999999999995E-3</v>
      </c>
    </row>
    <row r="21" spans="1:8" s="29" customFormat="1" ht="18.75" customHeight="1">
      <c r="A21" s="147"/>
      <c r="B21" s="25" t="s">
        <v>150</v>
      </c>
      <c r="C21" s="24" t="s">
        <v>368</v>
      </c>
      <c r="D21" s="385">
        <v>13368</v>
      </c>
      <c r="E21" s="385">
        <f>'Table 3 Levels 1&amp;2'!G73</f>
        <v>13240</v>
      </c>
      <c r="F21" s="386"/>
      <c r="G21" s="114">
        <f t="shared" si="1"/>
        <v>-128</v>
      </c>
      <c r="H21" s="291">
        <f t="shared" si="0"/>
        <v>-9.5999999999999992E-3</v>
      </c>
    </row>
    <row r="22" spans="1:8" s="29" customFormat="1" ht="18.75" customHeight="1">
      <c r="A22" s="147"/>
      <c r="B22" s="25" t="s">
        <v>151</v>
      </c>
      <c r="C22" s="24" t="s">
        <v>373</v>
      </c>
      <c r="D22" s="385">
        <v>121906.5</v>
      </c>
      <c r="E22" s="385">
        <f>'Table 3 Levels 1&amp;2'!I73</f>
        <v>123435</v>
      </c>
      <c r="F22" s="386"/>
      <c r="G22" s="114">
        <f t="shared" si="1"/>
        <v>1528.5</v>
      </c>
      <c r="H22" s="291">
        <f t="shared" si="0"/>
        <v>1.2500000000000001E-2</v>
      </c>
    </row>
    <row r="23" spans="1:8" s="29" customFormat="1" ht="18.75" customHeight="1">
      <c r="A23" s="147"/>
      <c r="B23" s="25" t="s">
        <v>152</v>
      </c>
      <c r="C23" s="24" t="s">
        <v>369</v>
      </c>
      <c r="D23" s="385">
        <v>17447.400000000005</v>
      </c>
      <c r="E23" s="385">
        <f>'Table 3 Levels 1&amp;2'!K73</f>
        <v>17713</v>
      </c>
      <c r="F23" s="386"/>
      <c r="G23" s="114">
        <f t="shared" si="1"/>
        <v>265.59999999999491</v>
      </c>
      <c r="H23" s="291">
        <f t="shared" si="0"/>
        <v>1.52E-2</v>
      </c>
    </row>
    <row r="24" spans="1:8" s="29" customFormat="1" ht="16.2" thickBot="1">
      <c r="A24" s="148"/>
      <c r="B24" s="543" t="s">
        <v>153</v>
      </c>
      <c r="C24" s="387" t="s">
        <v>165</v>
      </c>
      <c r="D24" s="388">
        <v>13225</v>
      </c>
      <c r="E24" s="388">
        <f>'Table 3 Levels 1&amp;2'!N73</f>
        <v>13162</v>
      </c>
      <c r="F24" s="389"/>
      <c r="G24" s="390">
        <f t="shared" si="1"/>
        <v>-63</v>
      </c>
      <c r="H24" s="295">
        <f t="shared" si="0"/>
        <v>-4.7999999999999996E-3</v>
      </c>
    </row>
    <row r="25" spans="1:8" s="29" customFormat="1" ht="15.6">
      <c r="A25" s="147" t="s">
        <v>158</v>
      </c>
      <c r="B25" s="22" t="s">
        <v>154</v>
      </c>
      <c r="C25" s="27"/>
      <c r="D25" s="409">
        <v>3625812169</v>
      </c>
      <c r="E25" s="409">
        <f>'Table 3 Levels 1&amp;2'!R73</f>
        <v>3753681260</v>
      </c>
      <c r="F25" s="410"/>
      <c r="G25" s="23">
        <f t="shared" ref="G25:G37" si="2">E25-D25</f>
        <v>127869091</v>
      </c>
      <c r="H25" s="291">
        <f t="shared" ref="H25:H37" si="3">ROUND((E25/D25)-1,4)</f>
        <v>3.5299999999999998E-2</v>
      </c>
    </row>
    <row r="26" spans="1:8" s="29" customFormat="1" ht="21.75" customHeight="1">
      <c r="A26" s="147"/>
      <c r="B26" s="68" t="s">
        <v>148</v>
      </c>
      <c r="C26" s="69" t="s">
        <v>374</v>
      </c>
      <c r="D26" s="411">
        <v>2356737142.75</v>
      </c>
      <c r="E26" s="411">
        <f>'Table 3 Levels 1&amp;2'!U73</f>
        <v>2439942287</v>
      </c>
      <c r="F26" s="412"/>
      <c r="G26" s="70">
        <f t="shared" si="2"/>
        <v>83205144.25</v>
      </c>
      <c r="H26" s="294">
        <f t="shared" si="3"/>
        <v>3.5299999999999998E-2</v>
      </c>
    </row>
    <row r="27" spans="1:8" s="29" customFormat="1" ht="18.75" customHeight="1" thickBot="1">
      <c r="A27" s="148"/>
      <c r="B27" s="43" t="s">
        <v>149</v>
      </c>
      <c r="C27" s="44" t="s">
        <v>375</v>
      </c>
      <c r="D27" s="413">
        <v>1269075026.25</v>
      </c>
      <c r="E27" s="413">
        <f>'Table 3 Levels 1&amp;2'!T73</f>
        <v>1313738973</v>
      </c>
      <c r="F27" s="414"/>
      <c r="G27" s="45">
        <f t="shared" si="2"/>
        <v>44663946.75</v>
      </c>
      <c r="H27" s="293">
        <f t="shared" si="3"/>
        <v>3.5200000000000002E-2</v>
      </c>
    </row>
    <row r="28" spans="1:8" s="29" customFormat="1" ht="18.75" customHeight="1">
      <c r="A28" s="149" t="s">
        <v>159</v>
      </c>
      <c r="B28" s="22" t="s">
        <v>166</v>
      </c>
      <c r="C28" s="59"/>
      <c r="D28" s="409">
        <v>3078646125.5</v>
      </c>
      <c r="E28" s="409">
        <f>'Table 7 Local Revenue'!AQ77</f>
        <v>3227058931.5</v>
      </c>
      <c r="F28" s="410"/>
      <c r="G28" s="23">
        <f t="shared" si="2"/>
        <v>148412806</v>
      </c>
      <c r="H28" s="291">
        <f t="shared" si="3"/>
        <v>4.82E-2</v>
      </c>
    </row>
    <row r="29" spans="1:8" s="29" customFormat="1" ht="19.5" customHeight="1">
      <c r="A29" s="147"/>
      <c r="B29" s="28" t="s">
        <v>148</v>
      </c>
      <c r="C29" s="22" t="s">
        <v>195</v>
      </c>
      <c r="D29" s="415">
        <v>33628503076.299995</v>
      </c>
      <c r="E29" s="415">
        <f>'Table 7 Local Revenue'!H77</f>
        <v>35814070376.900002</v>
      </c>
      <c r="F29" s="416"/>
      <c r="G29" s="23">
        <f t="shared" si="2"/>
        <v>2185567300.6000061</v>
      </c>
      <c r="H29" s="291">
        <f t="shared" si="3"/>
        <v>6.5000000000000002E-2</v>
      </c>
    </row>
    <row r="30" spans="1:8" s="29" customFormat="1" ht="18.75" customHeight="1">
      <c r="A30" s="147"/>
      <c r="B30" s="28" t="s">
        <v>149</v>
      </c>
      <c r="C30" s="22" t="s">
        <v>196</v>
      </c>
      <c r="D30" s="415">
        <v>83696655339.525009</v>
      </c>
      <c r="E30" s="415">
        <f>'Table 7 Local Revenue'!AM77</f>
        <v>86095616017.25</v>
      </c>
      <c r="F30" s="416"/>
      <c r="G30" s="23">
        <f t="shared" si="2"/>
        <v>2398960677.7249908</v>
      </c>
      <c r="H30" s="291">
        <f t="shared" si="3"/>
        <v>2.87E-2</v>
      </c>
    </row>
    <row r="31" spans="1:8" s="29" customFormat="1" ht="18.75" customHeight="1">
      <c r="A31" s="147"/>
      <c r="B31" s="28" t="s">
        <v>150</v>
      </c>
      <c r="C31" s="22" t="s">
        <v>167</v>
      </c>
      <c r="D31" s="391" t="s">
        <v>516</v>
      </c>
      <c r="E31" s="391" t="s">
        <v>604</v>
      </c>
      <c r="F31" s="417"/>
      <c r="G31" s="112"/>
      <c r="H31" s="291"/>
    </row>
    <row r="32" spans="1:8" s="29" customFormat="1" ht="15.6">
      <c r="A32" s="147"/>
      <c r="B32" s="28" t="s">
        <v>151</v>
      </c>
      <c r="C32" s="22" t="s">
        <v>168</v>
      </c>
      <c r="D32" s="392" t="s">
        <v>517</v>
      </c>
      <c r="E32" s="392" t="s">
        <v>605</v>
      </c>
      <c r="F32" s="418"/>
      <c r="G32" s="111"/>
      <c r="H32" s="291"/>
    </row>
    <row r="33" spans="1:11" s="29" customFormat="1" ht="15.6">
      <c r="A33" s="147"/>
      <c r="B33" s="28" t="s">
        <v>152</v>
      </c>
      <c r="C33" s="22" t="s">
        <v>169</v>
      </c>
      <c r="D33" s="415">
        <v>1371935890</v>
      </c>
      <c r="E33" s="415">
        <f>'Table 7 Local Revenue'!AE77</f>
        <v>1475705348</v>
      </c>
      <c r="F33" s="416"/>
      <c r="G33" s="23">
        <f t="shared" si="2"/>
        <v>103769458</v>
      </c>
      <c r="H33" s="291">
        <f t="shared" si="3"/>
        <v>7.5600000000000001E-2</v>
      </c>
    </row>
    <row r="34" spans="1:11" s="29" customFormat="1" ht="18.75" customHeight="1">
      <c r="A34" s="147"/>
      <c r="B34" s="28" t="s">
        <v>153</v>
      </c>
      <c r="C34" s="22" t="s">
        <v>170</v>
      </c>
      <c r="D34" s="415">
        <v>1669272600</v>
      </c>
      <c r="E34" s="415">
        <f>'Table 7 Local Revenue'!AI77</f>
        <v>1714025872</v>
      </c>
      <c r="F34" s="416"/>
      <c r="G34" s="23">
        <f t="shared" si="2"/>
        <v>44753272</v>
      </c>
      <c r="H34" s="291">
        <f t="shared" si="3"/>
        <v>2.6800000000000001E-2</v>
      </c>
    </row>
    <row r="35" spans="1:11" s="29" customFormat="1" ht="18.75" customHeight="1" thickBot="1">
      <c r="A35" s="148"/>
      <c r="B35" s="46" t="s">
        <v>171</v>
      </c>
      <c r="C35" s="47" t="s">
        <v>172</v>
      </c>
      <c r="D35" s="413">
        <v>37437635.5</v>
      </c>
      <c r="E35" s="413">
        <f>'Table 7 Local Revenue'!AP77</f>
        <v>37327711.5</v>
      </c>
      <c r="F35" s="414"/>
      <c r="G35" s="48">
        <f t="shared" si="2"/>
        <v>-109924</v>
      </c>
      <c r="H35" s="295">
        <f t="shared" si="3"/>
        <v>-2.8999999999999998E-3</v>
      </c>
    </row>
    <row r="36" spans="1:11" s="29" customFormat="1" ht="18.75" customHeight="1">
      <c r="A36" s="147" t="s">
        <v>160</v>
      </c>
      <c r="B36" s="26" t="s">
        <v>155</v>
      </c>
      <c r="C36" s="22"/>
      <c r="D36" s="409">
        <v>1119541066.3200002</v>
      </c>
      <c r="E36" s="409">
        <f>'Table 3 Levels 1&amp;2'!AC73</f>
        <v>1175854531.9599998</v>
      </c>
      <c r="F36" s="410"/>
      <c r="G36" s="23">
        <f t="shared" si="2"/>
        <v>56313465.639999628</v>
      </c>
      <c r="H36" s="291">
        <f t="shared" si="3"/>
        <v>5.0299999999999997E-2</v>
      </c>
    </row>
    <row r="37" spans="1:11" s="29" customFormat="1" ht="23.25" customHeight="1" thickBot="1">
      <c r="A37" s="150"/>
      <c r="B37" s="68" t="s">
        <v>148</v>
      </c>
      <c r="C37" s="71" t="s">
        <v>197</v>
      </c>
      <c r="D37" s="419">
        <v>430268294.70514941</v>
      </c>
      <c r="E37" s="419">
        <f>'Table 3 Levels 1&amp;2'!AE73</f>
        <v>455353340.86032325</v>
      </c>
      <c r="F37" s="420"/>
      <c r="G37" s="70">
        <f t="shared" si="2"/>
        <v>25085046.155173838</v>
      </c>
      <c r="H37" s="294">
        <f t="shared" si="3"/>
        <v>5.8299999999999998E-2</v>
      </c>
    </row>
    <row r="38" spans="1:11" s="29" customFormat="1" ht="18.75" customHeight="1" thickBot="1">
      <c r="A38" s="151" t="s">
        <v>180</v>
      </c>
      <c r="B38" s="72" t="s">
        <v>386</v>
      </c>
      <c r="C38" s="73"/>
      <c r="D38" s="421">
        <v>2787005437.4551497</v>
      </c>
      <c r="E38" s="421">
        <f>E26+E37</f>
        <v>2895295627.8603234</v>
      </c>
      <c r="F38" s="422"/>
      <c r="G38" s="74">
        <f>E38-D38</f>
        <v>108290190.40517378</v>
      </c>
      <c r="H38" s="296">
        <f>ROUND((E38/D38)-1,4)</f>
        <v>3.8899999999999997E-2</v>
      </c>
    </row>
    <row r="39" spans="1:11" s="29" customFormat="1" ht="27.75" customHeight="1">
      <c r="A39" s="152" t="s">
        <v>161</v>
      </c>
      <c r="B39" s="2050" t="s">
        <v>370</v>
      </c>
      <c r="C39" s="2051"/>
      <c r="D39" s="423">
        <v>623185581.67210746</v>
      </c>
      <c r="E39" s="423" t="e">
        <f>E40+E41+E42+E43</f>
        <v>#REF!</v>
      </c>
      <c r="F39" s="424"/>
      <c r="G39" s="268" t="e">
        <f>E39-D39</f>
        <v>#REF!</v>
      </c>
      <c r="H39" s="297" t="e">
        <f>ROUND((E39/D39)-1,4)</f>
        <v>#REF!</v>
      </c>
    </row>
    <row r="40" spans="1:11" s="29" customFormat="1" ht="27" customHeight="1">
      <c r="A40" s="153"/>
      <c r="B40" s="203" t="s">
        <v>148</v>
      </c>
      <c r="C40" s="132" t="s">
        <v>297</v>
      </c>
      <c r="D40" s="425">
        <v>474761850.67210752</v>
      </c>
      <c r="E40" s="425">
        <f>+'Table 3A Level 3'!D75</f>
        <v>478152864.64030641</v>
      </c>
      <c r="F40" s="426"/>
      <c r="G40" s="64">
        <f>E40-D40</f>
        <v>3391013.9681988955</v>
      </c>
      <c r="H40" s="298">
        <f>ROUND((E40/D40)-1,4)</f>
        <v>7.1000000000000004E-3</v>
      </c>
    </row>
    <row r="41" spans="1:11" s="29" customFormat="1" ht="27" customHeight="1">
      <c r="A41" s="153"/>
      <c r="B41" s="203" t="s">
        <v>149</v>
      </c>
      <c r="C41" s="161" t="s">
        <v>29</v>
      </c>
      <c r="D41" s="553">
        <v>4240000</v>
      </c>
      <c r="E41" s="553" t="e">
        <f>'Table 3A Level 3'!#REF!</f>
        <v>#REF!</v>
      </c>
      <c r="F41" s="554"/>
      <c r="G41" s="64" t="e">
        <f>E41-D41</f>
        <v>#REF!</v>
      </c>
      <c r="H41" s="298"/>
    </row>
    <row r="42" spans="1:11" s="29" customFormat="1" ht="18" customHeight="1">
      <c r="A42" s="153"/>
      <c r="B42" s="203" t="s">
        <v>150</v>
      </c>
      <c r="C42" s="161" t="s">
        <v>176</v>
      </c>
      <c r="D42" s="427">
        <v>67390800</v>
      </c>
      <c r="E42" s="427">
        <f>'Table 3A Level 3'!N75</f>
        <v>67857000</v>
      </c>
      <c r="F42" s="428"/>
      <c r="G42" s="163">
        <f t="shared" ref="G42:G47" si="4">E42-D42</f>
        <v>466200</v>
      </c>
      <c r="H42" s="298">
        <f t="shared" ref="H42:H81" si="5">ROUND((E42/D42)-1,4)</f>
        <v>6.8999999999999999E-3</v>
      </c>
    </row>
    <row r="43" spans="1:11" s="29" customFormat="1" ht="18" customHeight="1">
      <c r="A43" s="153"/>
      <c r="B43" s="203" t="s">
        <v>151</v>
      </c>
      <c r="C43" s="161" t="s">
        <v>189</v>
      </c>
      <c r="D43" s="429">
        <v>76792931</v>
      </c>
      <c r="E43" s="429">
        <f>SUM(E44:E47)</f>
        <v>76792938</v>
      </c>
      <c r="F43" s="430"/>
      <c r="G43" s="163">
        <f t="shared" si="4"/>
        <v>7</v>
      </c>
      <c r="H43" s="298">
        <f t="shared" si="5"/>
        <v>0</v>
      </c>
    </row>
    <row r="44" spans="1:11" s="29" customFormat="1" ht="18" customHeight="1">
      <c r="A44" s="153"/>
      <c r="B44" s="266"/>
      <c r="C44" s="307" t="s">
        <v>215</v>
      </c>
      <c r="D44" s="431">
        <v>38336714</v>
      </c>
      <c r="E44" s="431">
        <f>'Table 3A Level 3'!F75</f>
        <v>38336714</v>
      </c>
      <c r="F44" s="432"/>
      <c r="G44" s="308">
        <f t="shared" si="4"/>
        <v>0</v>
      </c>
      <c r="H44" s="309">
        <f t="shared" si="5"/>
        <v>0</v>
      </c>
    </row>
    <row r="45" spans="1:11" s="29" customFormat="1" ht="18" customHeight="1">
      <c r="A45" s="153"/>
      <c r="B45" s="266"/>
      <c r="C45" s="307" t="s">
        <v>216</v>
      </c>
      <c r="D45" s="433">
        <v>38456219</v>
      </c>
      <c r="E45" s="433">
        <f>'Table 3A Level 3'!G75</f>
        <v>38456219</v>
      </c>
      <c r="F45" s="434"/>
      <c r="G45" s="308">
        <f t="shared" si="4"/>
        <v>0</v>
      </c>
      <c r="H45" s="309">
        <f t="shared" si="5"/>
        <v>0</v>
      </c>
      <c r="K45" s="352"/>
    </row>
    <row r="46" spans="1:11" s="29" customFormat="1" ht="26.25" customHeight="1">
      <c r="A46" s="153"/>
      <c r="B46" s="266"/>
      <c r="C46" s="312" t="s">
        <v>326</v>
      </c>
      <c r="D46" s="433">
        <v>-27297127</v>
      </c>
      <c r="E46" s="433">
        <f>'Table 3A Level 3'!H75+'Table 3A Level 3'!J75</f>
        <v>-31016823</v>
      </c>
      <c r="F46" s="434"/>
      <c r="G46" s="313">
        <f t="shared" si="4"/>
        <v>-3719696</v>
      </c>
      <c r="H46" s="314">
        <f t="shared" si="5"/>
        <v>0.1363</v>
      </c>
      <c r="K46" s="352"/>
    </row>
    <row r="47" spans="1:11" s="29" customFormat="1" ht="18" customHeight="1" thickBot="1">
      <c r="A47" s="153"/>
      <c r="B47" s="265"/>
      <c r="C47" s="161" t="s">
        <v>217</v>
      </c>
      <c r="D47" s="544">
        <v>27297125</v>
      </c>
      <c r="E47" s="544">
        <f>'Table 3A Level 3'!L75</f>
        <v>31016828</v>
      </c>
      <c r="F47" s="545"/>
      <c r="G47" s="162">
        <f t="shared" si="4"/>
        <v>3719703</v>
      </c>
      <c r="H47" s="298">
        <f t="shared" si="5"/>
        <v>0.1363</v>
      </c>
    </row>
    <row r="48" spans="1:11" s="29" customFormat="1" ht="17.25" customHeight="1">
      <c r="A48" s="360" t="s">
        <v>389</v>
      </c>
      <c r="B48" s="214" t="s">
        <v>390</v>
      </c>
      <c r="C48" s="215"/>
      <c r="D48" s="435">
        <v>3410191019.1272573</v>
      </c>
      <c r="E48" s="435" t="e">
        <f>E38+E39</f>
        <v>#REF!</v>
      </c>
      <c r="F48" s="436"/>
      <c r="G48" s="358" t="e">
        <f t="shared" ref="G48:G49" si="6">E48-D48</f>
        <v>#REF!</v>
      </c>
      <c r="H48" s="359" t="e">
        <f t="shared" si="5"/>
        <v>#REF!</v>
      </c>
    </row>
    <row r="49" spans="1:8" s="29" customFormat="1" ht="16.2" thickBot="1">
      <c r="A49" s="154"/>
      <c r="B49" s="75"/>
      <c r="C49" s="76" t="s">
        <v>193</v>
      </c>
      <c r="D49" s="397">
        <v>5060.3213185290233</v>
      </c>
      <c r="E49" s="397">
        <f>'Table 3 Levels 1&amp;2'!AP73</f>
        <v>5184.5770230051867</v>
      </c>
      <c r="F49" s="398"/>
      <c r="G49" s="211">
        <f t="shared" si="6"/>
        <v>124.25570447616337</v>
      </c>
      <c r="H49" s="299">
        <f t="shared" si="5"/>
        <v>2.46E-2</v>
      </c>
    </row>
    <row r="50" spans="1:8" s="29" customFormat="1" ht="15.6">
      <c r="A50" s="158" t="s">
        <v>58</v>
      </c>
      <c r="B50" s="2052" t="s">
        <v>310</v>
      </c>
      <c r="C50" s="2052"/>
      <c r="D50" s="538"/>
      <c r="E50" s="539"/>
      <c r="F50" s="540"/>
      <c r="G50" s="136"/>
      <c r="H50" s="300"/>
    </row>
    <row r="51" spans="1:8" s="29" customFormat="1" ht="17.25" customHeight="1">
      <c r="A51" s="155"/>
      <c r="B51" s="135" t="s">
        <v>181</v>
      </c>
      <c r="C51" s="69"/>
      <c r="D51" s="70">
        <v>8804529.524108069</v>
      </c>
      <c r="E51" s="395">
        <f>E53+E52</f>
        <v>10135624.988301862</v>
      </c>
      <c r="F51" s="396"/>
      <c r="G51" s="70">
        <f t="shared" ref="G51:G72" si="7">E51-D51</f>
        <v>1331095.464193793</v>
      </c>
      <c r="H51" s="294">
        <f t="shared" si="5"/>
        <v>0.1512</v>
      </c>
    </row>
    <row r="52" spans="1:8" s="29" customFormat="1" ht="19.5" customHeight="1">
      <c r="A52" s="156"/>
      <c r="B52" s="258" t="s">
        <v>148</v>
      </c>
      <c r="C52" s="259" t="s">
        <v>308</v>
      </c>
      <c r="D52" s="260">
        <v>6827673.2776208175</v>
      </c>
      <c r="E52" s="399">
        <f>'Table 5A1_Labs'!H5</f>
        <v>7089844.7710780669</v>
      </c>
      <c r="F52" s="400"/>
      <c r="G52" s="260">
        <f t="shared" si="7"/>
        <v>262171.49345724937</v>
      </c>
      <c r="H52" s="301">
        <f t="shared" si="5"/>
        <v>3.8399999999999997E-2</v>
      </c>
    </row>
    <row r="53" spans="1:8" s="29" customFormat="1" ht="15.6">
      <c r="A53" s="156"/>
      <c r="B53" s="141" t="s">
        <v>149</v>
      </c>
      <c r="C53" s="134" t="s">
        <v>309</v>
      </c>
      <c r="D53" s="261">
        <v>1976856.2464872522</v>
      </c>
      <c r="E53" s="437">
        <f>'Table 5A1_Labs'!H6</f>
        <v>3045780.2172237961</v>
      </c>
      <c r="F53" s="446"/>
      <c r="G53" s="401">
        <f t="shared" si="7"/>
        <v>1068923.9707365439</v>
      </c>
      <c r="H53" s="302">
        <f t="shared" si="5"/>
        <v>0.54069999999999996</v>
      </c>
    </row>
    <row r="54" spans="1:8" s="29" customFormat="1" ht="15.6">
      <c r="A54" s="158" t="s">
        <v>271</v>
      </c>
      <c r="B54" s="142" t="s">
        <v>69</v>
      </c>
      <c r="C54" s="137"/>
      <c r="D54" s="70">
        <v>139045412.87759766</v>
      </c>
      <c r="E54" s="438" t="e">
        <f>SUM(E55:E59)</f>
        <v>#REF!</v>
      </c>
      <c r="F54" s="447"/>
      <c r="G54" s="402" t="e">
        <f t="shared" si="7"/>
        <v>#REF!</v>
      </c>
      <c r="H54" s="294" t="e">
        <f t="shared" si="5"/>
        <v>#REF!</v>
      </c>
    </row>
    <row r="55" spans="1:8" s="29" customFormat="1" ht="15.6">
      <c r="A55" s="156"/>
      <c r="B55" s="258" t="s">
        <v>148</v>
      </c>
      <c r="C55" s="259" t="s">
        <v>116</v>
      </c>
      <c r="D55" s="260">
        <v>123394251.94473901</v>
      </c>
      <c r="E55" s="393">
        <f>'Table 5B1_RSD_Orleans'!H72</f>
        <v>126490559.3146013</v>
      </c>
      <c r="F55" s="448"/>
      <c r="G55" s="394">
        <f t="shared" si="7"/>
        <v>3096307.3698622882</v>
      </c>
      <c r="H55" s="301">
        <f t="shared" si="5"/>
        <v>2.5100000000000001E-2</v>
      </c>
    </row>
    <row r="56" spans="1:8" s="29" customFormat="1" ht="15.6">
      <c r="A56" s="156"/>
      <c r="B56" s="262" t="s">
        <v>149</v>
      </c>
      <c r="C56" s="263" t="s">
        <v>97</v>
      </c>
      <c r="D56" s="264">
        <v>9249495.699129818</v>
      </c>
      <c r="E56" s="439">
        <f>'Table 5B2_RSD_LA'!H12</f>
        <v>8842455.9961088095</v>
      </c>
      <c r="F56" s="449"/>
      <c r="G56" s="403">
        <f t="shared" si="7"/>
        <v>-407039.70302100852</v>
      </c>
      <c r="H56" s="303">
        <f t="shared" si="5"/>
        <v>-4.3999999999999997E-2</v>
      </c>
    </row>
    <row r="57" spans="1:8" s="29" customFormat="1" ht="15.6">
      <c r="A57" s="156"/>
      <c r="B57" s="262" t="s">
        <v>150</v>
      </c>
      <c r="C57" s="263" t="s">
        <v>119</v>
      </c>
      <c r="D57" s="264">
        <v>1020939.4737288136</v>
      </c>
      <c r="E57" s="439" t="e">
        <f>'Table 5B2_RSD_LA'!#REF!</f>
        <v>#REF!</v>
      </c>
      <c r="F57" s="449"/>
      <c r="G57" s="403" t="e">
        <f t="shared" si="7"/>
        <v>#REF!</v>
      </c>
      <c r="H57" s="303" t="e">
        <f t="shared" si="5"/>
        <v>#REF!</v>
      </c>
    </row>
    <row r="58" spans="1:8" s="29" customFormat="1" ht="15.6">
      <c r="A58" s="156"/>
      <c r="B58" s="262" t="s">
        <v>151</v>
      </c>
      <c r="C58" s="263" t="s">
        <v>89</v>
      </c>
      <c r="D58" s="264">
        <v>3366945.8</v>
      </c>
      <c r="E58" s="439">
        <f>'Table 5B2_RSD_LA'!H15</f>
        <v>2731628.08</v>
      </c>
      <c r="F58" s="449"/>
      <c r="G58" s="403">
        <f t="shared" si="7"/>
        <v>-635317.71999999974</v>
      </c>
      <c r="H58" s="303">
        <f t="shared" si="5"/>
        <v>-0.18870000000000001</v>
      </c>
    </row>
    <row r="59" spans="1:8" s="29" customFormat="1" ht="15.6">
      <c r="A59" s="156"/>
      <c r="B59" s="141" t="s">
        <v>152</v>
      </c>
      <c r="C59" s="134" t="s">
        <v>126</v>
      </c>
      <c r="D59" s="356">
        <v>2013779.96</v>
      </c>
      <c r="E59" s="440" t="e">
        <f>'Table 5B2_RSD_LA'!#REF!</f>
        <v>#REF!</v>
      </c>
      <c r="F59" s="446"/>
      <c r="G59" s="404" t="e">
        <f t="shared" si="7"/>
        <v>#REF!</v>
      </c>
      <c r="H59" s="357" t="e">
        <f t="shared" si="5"/>
        <v>#REF!</v>
      </c>
    </row>
    <row r="60" spans="1:8" s="29" customFormat="1" ht="15.6">
      <c r="A60" s="158" t="s">
        <v>162</v>
      </c>
      <c r="B60" s="142" t="s">
        <v>325</v>
      </c>
      <c r="C60" s="137"/>
      <c r="D60" s="70">
        <v>25581124.437763676</v>
      </c>
      <c r="E60" s="441">
        <f>'Table 5C1A-Madison Prep'!H76+'Table 5C1B-DArbonne'!H77+'Table 5C1C-Intl_VIBE'!H76+'Table 5C1D-NOMMA'!H76+'Table 5C1E-LFNO'!H76+'Table 5C1F-Lake Charles Charter'!H76+'Table 5C2 - LA Virtual Admy'!H75+'Table 5C3 - LA Connections EBR'!H75+'Table 5C1G-JS Clark Academy'!H76+'Table 5C1H-Southwest LA Charter'!H76</f>
        <v>33170669.043608073</v>
      </c>
      <c r="F60" s="455"/>
      <c r="G60" s="402">
        <f t="shared" si="7"/>
        <v>7589544.6058443971</v>
      </c>
      <c r="H60" s="294">
        <f t="shared" si="5"/>
        <v>0.29670000000000002</v>
      </c>
    </row>
    <row r="61" spans="1:8" s="29" customFormat="1" ht="15.6">
      <c r="A61" s="158" t="s">
        <v>357</v>
      </c>
      <c r="B61" s="142" t="s">
        <v>324</v>
      </c>
      <c r="C61" s="137"/>
      <c r="D61" s="70">
        <v>8605242.3658612631</v>
      </c>
      <c r="E61" s="441">
        <f>'Table 5C1I-LA Key Academy'!H76+'Table 5C1J-Jefferson Chamber'!H76+'Table 5C1K-Tallulah Charter'!H76+'Table 5C1L-Northshore Charter'!H76+'Table 5C1M-B.R. Charter'!H76+'Table 5C1N-Delta Charter'!H76</f>
        <v>7920159.689878732</v>
      </c>
      <c r="F61" s="455"/>
      <c r="G61" s="402">
        <f t="shared" si="7"/>
        <v>-685082.67598253116</v>
      </c>
      <c r="H61" s="294">
        <f t="shared" si="5"/>
        <v>-7.9600000000000004E-2</v>
      </c>
    </row>
    <row r="62" spans="1:8" s="29" customFormat="1" ht="15.6">
      <c r="A62" s="158" t="s">
        <v>73</v>
      </c>
      <c r="B62" s="142" t="s">
        <v>272</v>
      </c>
      <c r="C62" s="137"/>
      <c r="D62" s="70">
        <v>2551347.2230397677</v>
      </c>
      <c r="E62" s="442">
        <f>'Table 5A3_OJJ'!G75</f>
        <v>2285941.4773492529</v>
      </c>
      <c r="F62" s="455"/>
      <c r="G62" s="402">
        <f t="shared" si="7"/>
        <v>-265405.7456905148</v>
      </c>
      <c r="H62" s="294">
        <f t="shared" si="5"/>
        <v>-0.104</v>
      </c>
    </row>
    <row r="63" spans="1:8" s="29" customFormat="1" ht="15.6">
      <c r="A63" s="158" t="s">
        <v>75</v>
      </c>
      <c r="B63" s="142" t="s">
        <v>59</v>
      </c>
      <c r="C63" s="137"/>
      <c r="D63" s="70">
        <v>656000</v>
      </c>
      <c r="E63" s="442" t="e">
        <f>#REF!</f>
        <v>#REF!</v>
      </c>
      <c r="F63" s="455"/>
      <c r="G63" s="402" t="e">
        <f>E63-D63</f>
        <v>#REF!</v>
      </c>
      <c r="H63" s="294" t="e">
        <f>ROUND((E63/D63)-1,4)</f>
        <v>#REF!</v>
      </c>
    </row>
    <row r="64" spans="1:8" s="377" customFormat="1" ht="15.6">
      <c r="A64" s="486" t="s">
        <v>75</v>
      </c>
      <c r="B64" s="487" t="s">
        <v>327</v>
      </c>
      <c r="C64" s="488"/>
      <c r="D64" s="489">
        <v>42532078</v>
      </c>
      <c r="E64" s="490">
        <f>'Table 5A2- Legacy Type 2'!H15</f>
        <v>45971989</v>
      </c>
      <c r="F64" s="491"/>
      <c r="G64" s="492">
        <f t="shared" si="7"/>
        <v>3439911</v>
      </c>
      <c r="H64" s="493">
        <f t="shared" si="5"/>
        <v>8.09E-2</v>
      </c>
    </row>
    <row r="65" spans="1:8" s="377" customFormat="1" ht="15.6">
      <c r="A65" s="486" t="s">
        <v>218</v>
      </c>
      <c r="B65" s="487" t="s">
        <v>312</v>
      </c>
      <c r="C65" s="488"/>
      <c r="D65" s="489">
        <v>1391634.9147581414</v>
      </c>
      <c r="E65" s="490" t="e">
        <f>'Table 5A1_Labs'!#REF!</f>
        <v>#REF!</v>
      </c>
      <c r="F65" s="491"/>
      <c r="G65" s="492" t="e">
        <f t="shared" si="7"/>
        <v>#REF!</v>
      </c>
      <c r="H65" s="493" t="e">
        <f t="shared" si="5"/>
        <v>#REF!</v>
      </c>
    </row>
    <row r="66" spans="1:8" s="377" customFormat="1" ht="16.2" thickBot="1">
      <c r="A66" s="486" t="s">
        <v>222</v>
      </c>
      <c r="B66" s="487" t="s">
        <v>315</v>
      </c>
      <c r="C66" s="488"/>
      <c r="D66" s="489">
        <v>576895.92829973868</v>
      </c>
      <c r="E66" s="490" t="e">
        <f>'Table 5A1_Labs'!#REF!</f>
        <v>#REF!</v>
      </c>
      <c r="F66" s="491"/>
      <c r="G66" s="492" t="e">
        <f t="shared" si="7"/>
        <v>#REF!</v>
      </c>
      <c r="H66" s="493" t="e">
        <f t="shared" si="5"/>
        <v>#REF!</v>
      </c>
    </row>
    <row r="67" spans="1:8" s="29" customFormat="1" ht="16.2" thickBot="1">
      <c r="A67" s="157" t="s">
        <v>323</v>
      </c>
      <c r="B67" s="83" t="s">
        <v>366</v>
      </c>
      <c r="C67" s="78"/>
      <c r="D67" s="77">
        <f>D48+D51+D54+D60+D61+D62+D63+D64+D65+D66</f>
        <v>3639935284.3986859</v>
      </c>
      <c r="E67" s="443" t="e">
        <f>E48+E51+E54+E60+E61+E62+E63+E64+E65+E66</f>
        <v>#REF!</v>
      </c>
      <c r="F67" s="450"/>
      <c r="G67" s="405" t="e">
        <f t="shared" si="7"/>
        <v>#REF!</v>
      </c>
      <c r="H67" s="304" t="e">
        <f t="shared" si="5"/>
        <v>#REF!</v>
      </c>
    </row>
    <row r="68" spans="1:8" s="29" customFormat="1" ht="23.25" customHeight="1">
      <c r="A68" s="158" t="s">
        <v>331</v>
      </c>
      <c r="B68" s="69" t="s">
        <v>74</v>
      </c>
      <c r="C68" s="69"/>
      <c r="D68" s="496">
        <f>SUM(D69:D80)</f>
        <v>-198092496.82924637</v>
      </c>
      <c r="E68" s="438">
        <f>SUM(E69:F80)</f>
        <v>-202418008.73198149</v>
      </c>
      <c r="F68" s="447"/>
      <c r="G68" s="402">
        <f t="shared" si="7"/>
        <v>-4325511.9027351141</v>
      </c>
      <c r="H68" s="305">
        <f t="shared" si="5"/>
        <v>2.18E-2</v>
      </c>
    </row>
    <row r="69" spans="1:8" s="29" customFormat="1" ht="20.25" customHeight="1">
      <c r="A69" s="147"/>
      <c r="B69" s="28" t="s">
        <v>148</v>
      </c>
      <c r="C69" s="22" t="s">
        <v>307</v>
      </c>
      <c r="D69" s="497">
        <v>-2392245.0927018928</v>
      </c>
      <c r="E69" s="444">
        <f>'Table 2_State Distrib and Adjs'!F76</f>
        <v>-1136862.7891616581</v>
      </c>
      <c r="F69" s="451"/>
      <c r="G69" s="406">
        <f t="shared" si="7"/>
        <v>1255382.3035402347</v>
      </c>
      <c r="H69" s="291">
        <f t="shared" si="5"/>
        <v>-0.52480000000000004</v>
      </c>
    </row>
    <row r="70" spans="1:8" s="29" customFormat="1" ht="20.25" customHeight="1">
      <c r="A70" s="147"/>
      <c r="B70" s="160" t="s">
        <v>149</v>
      </c>
      <c r="C70" s="220" t="s">
        <v>211</v>
      </c>
      <c r="D70" s="498">
        <v>2515.1664215795245</v>
      </c>
      <c r="E70" s="444">
        <f>'Table 5A1_Labs'!M7</f>
        <v>0</v>
      </c>
      <c r="F70" s="526"/>
      <c r="G70" s="406">
        <f t="shared" si="7"/>
        <v>-2515.1664215795245</v>
      </c>
      <c r="H70" s="291">
        <f t="shared" si="5"/>
        <v>-1</v>
      </c>
    </row>
    <row r="71" spans="1:8" s="29" customFormat="1" ht="20.25" customHeight="1">
      <c r="A71" s="147"/>
      <c r="B71" s="160" t="s">
        <v>150</v>
      </c>
      <c r="C71" s="494" t="s">
        <v>220</v>
      </c>
      <c r="D71" s="499">
        <v>-984537.11062668241</v>
      </c>
      <c r="E71" s="444">
        <f>'Table 5B1_RSD_Orleans'!Q72+'Table 5B2_RSD_LA'!Q17</f>
        <v>-260927.30211523161</v>
      </c>
      <c r="F71" s="526"/>
      <c r="G71" s="406">
        <f t="shared" si="7"/>
        <v>723609.80851145077</v>
      </c>
      <c r="H71" s="291">
        <f t="shared" si="5"/>
        <v>-0.73499999999999999</v>
      </c>
    </row>
    <row r="72" spans="1:8" s="29" customFormat="1" ht="20.25" customHeight="1">
      <c r="A72" s="147"/>
      <c r="B72" s="160" t="s">
        <v>151</v>
      </c>
      <c r="C72" s="494" t="s">
        <v>328</v>
      </c>
      <c r="D72" s="499">
        <v>-45508.371878513033</v>
      </c>
      <c r="E72" s="444">
        <f>'Table 5C1A-Madison Prep'!O76+'Table 5C1B-DArbonne'!O77+'Table 5C1C-Intl_VIBE'!O76+'Table 5C1D-NOMMA'!O76+'Table 5C1E-LFNO'!O76+'Table 5C1F-Lake Charles Charter'!O76+'Table 5C2 - LA Virtual Admy'!P75+'Table 5C3 - LA Connections EBR'!P75+'Table 5C1G-JS Clark Academy'!O76</f>
        <v>-16085.534132571483</v>
      </c>
      <c r="F72" s="526"/>
      <c r="G72" s="406">
        <f t="shared" si="7"/>
        <v>29422.83774594155</v>
      </c>
      <c r="H72" s="291">
        <f t="shared" si="5"/>
        <v>-0.64649999999999996</v>
      </c>
    </row>
    <row r="73" spans="1:8" s="29" customFormat="1" ht="20.25" customHeight="1">
      <c r="A73" s="147"/>
      <c r="B73" s="160" t="s">
        <v>152</v>
      </c>
      <c r="C73" s="494" t="s">
        <v>522</v>
      </c>
      <c r="D73" s="525">
        <v>-4508.0545995861094</v>
      </c>
      <c r="E73" s="437">
        <f>'Table 5A2- Legacy Type 2'!O15</f>
        <v>-10072</v>
      </c>
      <c r="F73" s="526"/>
      <c r="G73" s="406"/>
      <c r="H73" s="291"/>
    </row>
    <row r="74" spans="1:8" s="29" customFormat="1" ht="20.25" customHeight="1">
      <c r="A74" s="147"/>
      <c r="B74" s="160" t="s">
        <v>153</v>
      </c>
      <c r="C74" s="220" t="s">
        <v>346</v>
      </c>
      <c r="D74" s="525">
        <v>0</v>
      </c>
      <c r="E74" s="437">
        <f>'Table 5A3_OJJ'!H75</f>
        <v>0</v>
      </c>
      <c r="F74" s="452"/>
      <c r="G74" s="406"/>
      <c r="H74" s="291"/>
    </row>
    <row r="75" spans="1:8" s="29" customFormat="1" ht="20.25" customHeight="1">
      <c r="A75" s="147"/>
      <c r="B75" s="168" t="s">
        <v>171</v>
      </c>
      <c r="C75" s="563" t="s">
        <v>221</v>
      </c>
      <c r="D75" s="564">
        <v>0</v>
      </c>
      <c r="E75" s="565">
        <v>0</v>
      </c>
      <c r="F75" s="453"/>
      <c r="G75" s="407">
        <f t="shared" ref="G75:G82" si="8">E75-D75</f>
        <v>0</v>
      </c>
      <c r="H75" s="291" t="e">
        <f t="shared" si="5"/>
        <v>#DIV/0!</v>
      </c>
    </row>
    <row r="76" spans="1:8" s="29" customFormat="1" ht="20.25" customHeight="1">
      <c r="A76" s="147"/>
      <c r="B76" s="485" t="s">
        <v>322</v>
      </c>
      <c r="C76" s="495" t="s">
        <v>336</v>
      </c>
      <c r="D76" s="500"/>
      <c r="E76" s="445"/>
      <c r="F76" s="453"/>
      <c r="G76" s="407"/>
      <c r="H76" s="291"/>
    </row>
    <row r="77" spans="1:8" s="29" customFormat="1" ht="20.25" customHeight="1">
      <c r="A77" s="147"/>
      <c r="B77" s="141"/>
      <c r="C77" s="501" t="s">
        <v>337</v>
      </c>
      <c r="D77" s="502">
        <v>-139045413</v>
      </c>
      <c r="E77" s="503">
        <f>'Table 2_State Distrib and Adjs'!O76</f>
        <v>-138064643.39071012</v>
      </c>
      <c r="F77" s="504"/>
      <c r="G77" s="505">
        <f t="shared" si="8"/>
        <v>980769.60928988457</v>
      </c>
      <c r="H77" s="506">
        <f>ROUND((E77/D77)-1,4)</f>
        <v>-7.1000000000000004E-3</v>
      </c>
    </row>
    <row r="78" spans="1:8" s="29" customFormat="1" ht="20.25" customHeight="1">
      <c r="A78" s="147"/>
      <c r="B78" s="141"/>
      <c r="C78" s="507" t="s">
        <v>338</v>
      </c>
      <c r="D78" s="508">
        <v>-26777558</v>
      </c>
      <c r="E78" s="527">
        <f>'Table 2_State Distrib and Adjs'!P76+'Table 2_State Distrib and Adjs'!Q76+'Table 2_State Distrib and Adjs'!R76+'Table 2_State Distrib and Adjs'!S76+'Table 2_State Distrib and Adjs'!T76+'Table 2_State Distrib and Adjs'!U76+'Table 2_State Distrib and Adjs'!AD76+'Table 2_State Distrib and Adjs'!AE76+'Table 2_State Distrib and Adjs'!V76+'Table 2_State Distrib and Adjs'!W76</f>
        <v>-34769258.025983199</v>
      </c>
      <c r="F78" s="509"/>
      <c r="G78" s="510">
        <f t="shared" si="8"/>
        <v>-7991700.0259831995</v>
      </c>
      <c r="H78" s="511">
        <f t="shared" ref="H78" si="9">ROUND((E78/D78)-1,4)</f>
        <v>0.2984</v>
      </c>
    </row>
    <row r="79" spans="1:8" s="29" customFormat="1" ht="20.25" customHeight="1">
      <c r="A79" s="147"/>
      <c r="B79" s="541"/>
      <c r="C79" s="542" t="s">
        <v>512</v>
      </c>
      <c r="D79" s="498">
        <v>-8605242.3658612631</v>
      </c>
      <c r="E79" s="537">
        <f>-E61</f>
        <v>-7920159.689878732</v>
      </c>
      <c r="F79" s="526"/>
      <c r="G79" s="510">
        <f t="shared" si="8"/>
        <v>685082.67598253116</v>
      </c>
      <c r="H79" s="576">
        <v>0</v>
      </c>
    </row>
    <row r="80" spans="1:8" s="29" customFormat="1" ht="20.25" customHeight="1" thickBot="1">
      <c r="A80" s="147"/>
      <c r="B80" s="485">
        <v>9</v>
      </c>
      <c r="C80" s="567" t="s">
        <v>530</v>
      </c>
      <c r="D80" s="572">
        <v>-20240000</v>
      </c>
      <c r="E80" s="573">
        <v>-20240000</v>
      </c>
      <c r="F80" s="574"/>
      <c r="G80" s="575"/>
      <c r="H80" s="293"/>
    </row>
    <row r="81" spans="1:11" s="29" customFormat="1" ht="23.25" customHeight="1" thickBot="1">
      <c r="A81" s="255" t="s">
        <v>332</v>
      </c>
      <c r="B81" s="2029" t="s">
        <v>367</v>
      </c>
      <c r="C81" s="2053"/>
      <c r="D81" s="568">
        <f>D67+D68</f>
        <v>3441842787.5694394</v>
      </c>
      <c r="E81" s="569" t="e">
        <f>E67+E68</f>
        <v>#REF!</v>
      </c>
      <c r="F81" s="476"/>
      <c r="G81" s="570" t="e">
        <f t="shared" si="8"/>
        <v>#REF!</v>
      </c>
      <c r="H81" s="571" t="e">
        <f t="shared" si="5"/>
        <v>#REF!</v>
      </c>
    </row>
    <row r="82" spans="1:11" s="252" customFormat="1" ht="24" customHeight="1" thickBot="1">
      <c r="A82" s="310" t="s">
        <v>334</v>
      </c>
      <c r="B82" s="2031" t="s">
        <v>347</v>
      </c>
      <c r="C82" s="2054"/>
      <c r="D82" s="311">
        <v>3441025205</v>
      </c>
      <c r="E82" s="311">
        <v>3441025205</v>
      </c>
      <c r="F82" s="454"/>
      <c r="G82" s="483">
        <f t="shared" si="8"/>
        <v>0</v>
      </c>
      <c r="H82" s="484"/>
    </row>
    <row r="83" spans="1:11" s="29" customFormat="1" ht="18.75" customHeight="1" thickBot="1">
      <c r="A83" s="381" t="s">
        <v>335</v>
      </c>
      <c r="B83" s="30" t="s">
        <v>348</v>
      </c>
      <c r="C83" s="30"/>
      <c r="D83" s="31">
        <f>D81-D82</f>
        <v>817582.56943941116</v>
      </c>
      <c r="E83" s="457" t="e">
        <f>E81-E82</f>
        <v>#REF!</v>
      </c>
      <c r="F83" s="456"/>
      <c r="G83" s="408" t="e">
        <f>E83-D83</f>
        <v>#REF!</v>
      </c>
      <c r="H83" s="306"/>
    </row>
    <row r="84" spans="1:11" s="29" customFormat="1" ht="19.5" customHeight="1" thickTop="1">
      <c r="A84" s="460"/>
      <c r="B84" s="2047"/>
      <c r="C84" s="2047"/>
      <c r="D84" s="2047"/>
      <c r="E84" s="2047"/>
      <c r="F84" s="2047"/>
      <c r="G84" s="2047"/>
      <c r="H84" s="2047"/>
    </row>
    <row r="85" spans="1:11" ht="4.5" customHeight="1">
      <c r="A85" s="382"/>
      <c r="B85" s="382"/>
      <c r="C85" s="382"/>
      <c r="D85" s="165"/>
      <c r="E85" s="254"/>
      <c r="F85" s="254"/>
    </row>
    <row r="86" spans="1:11" ht="17.25" customHeight="1">
      <c r="D86" s="50"/>
      <c r="E86" s="253">
        <f>'Table 3 Levels 1&amp;2'!V73</f>
        <v>0.65</v>
      </c>
      <c r="F86" s="253"/>
      <c r="G86" s="253">
        <f>'Table 3 Levels 1&amp;2'!W73</f>
        <v>0.35</v>
      </c>
      <c r="J86" s="328"/>
    </row>
    <row r="87" spans="1:11" s="250" customFormat="1" ht="17.25" customHeight="1">
      <c r="B87" s="251"/>
      <c r="C87" s="325"/>
      <c r="D87" s="50"/>
      <c r="E87" s="50"/>
      <c r="F87" s="50"/>
      <c r="G87"/>
      <c r="H87"/>
      <c r="I87"/>
    </row>
    <row r="88" spans="1:11" s="250" customFormat="1" ht="17.25" customHeight="1">
      <c r="A88"/>
      <c r="B88"/>
      <c r="C88" s="169"/>
      <c r="D88" s="50"/>
      <c r="E88"/>
      <c r="F88"/>
      <c r="G88"/>
      <c r="H88"/>
      <c r="I88"/>
      <c r="J88" s="329"/>
      <c r="K88"/>
    </row>
    <row r="89" spans="1:11" ht="17.25" customHeight="1">
      <c r="B89" s="351"/>
      <c r="C89" s="529"/>
      <c r="D89" s="50"/>
      <c r="E89" s="2"/>
      <c r="F89" s="2"/>
      <c r="J89" s="50"/>
    </row>
    <row r="90" spans="1:11" ht="17.25" customHeight="1">
      <c r="C90" s="530">
        <v>-327635</v>
      </c>
      <c r="D90" s="352" t="s">
        <v>358</v>
      </c>
      <c r="E90" s="2"/>
      <c r="F90" s="2"/>
      <c r="J90" s="50"/>
    </row>
    <row r="91" spans="1:11" ht="17.25" customHeight="1">
      <c r="C91" s="531">
        <v>-693043</v>
      </c>
      <c r="D91" s="50" t="s">
        <v>359</v>
      </c>
      <c r="E91" s="533"/>
      <c r="F91" s="533"/>
      <c r="G91" s="533"/>
      <c r="H91" s="533"/>
      <c r="J91" s="50"/>
    </row>
    <row r="92" spans="1:11" ht="10.5" customHeight="1">
      <c r="C92" s="40">
        <v>-200000</v>
      </c>
      <c r="D92" t="s">
        <v>360</v>
      </c>
      <c r="E92" s="533"/>
      <c r="F92" s="533"/>
      <c r="G92" s="533"/>
      <c r="H92" s="533"/>
      <c r="J92" s="328"/>
      <c r="K92" s="2"/>
    </row>
    <row r="93" spans="1:11">
      <c r="C93" s="40">
        <v>-159978</v>
      </c>
      <c r="D93" s="50" t="s">
        <v>361</v>
      </c>
      <c r="E93" s="167"/>
      <c r="F93" s="167"/>
      <c r="J93" s="50"/>
    </row>
    <row r="94" spans="1:11">
      <c r="C94" s="40">
        <v>-127058</v>
      </c>
      <c r="D94" s="50" t="s">
        <v>362</v>
      </c>
      <c r="E94" s="40"/>
      <c r="F94" s="40"/>
    </row>
    <row r="95" spans="1:11">
      <c r="C95" s="532">
        <v>-934040</v>
      </c>
      <c r="D95" s="50" t="s">
        <v>363</v>
      </c>
      <c r="E95" s="40"/>
      <c r="F95" s="40"/>
    </row>
    <row r="96" spans="1:11">
      <c r="C96" s="40">
        <f>SUM(C90:C95)</f>
        <v>-2441754</v>
      </c>
      <c r="E96" s="40"/>
      <c r="F96" s="40"/>
    </row>
    <row r="97" spans="3:7">
      <c r="C97" s="40"/>
      <c r="G97" s="60"/>
    </row>
  </sheetData>
  <mergeCells count="13">
    <mergeCell ref="B84:H84"/>
    <mergeCell ref="B10:C10"/>
    <mergeCell ref="B39:C39"/>
    <mergeCell ref="B50:C50"/>
    <mergeCell ref="B81:C81"/>
    <mergeCell ref="B82:C82"/>
    <mergeCell ref="A2:H2"/>
    <mergeCell ref="A3:H3"/>
    <mergeCell ref="A4:H4"/>
    <mergeCell ref="D5:D8"/>
    <mergeCell ref="G5:G8"/>
    <mergeCell ref="H5:H8"/>
    <mergeCell ref="E5:F8"/>
  </mergeCells>
  <printOptions horizontalCentered="1"/>
  <pageMargins left="0.25" right="0.25" top="0.19" bottom="0.16" header="0.17" footer="0.16"/>
  <pageSetup paperSize="5" scale="70" orientation="portrait" useFirstPageNumber="1" r:id="rId1"/>
  <headerFooter alignWithMargins="0">
    <oddFooter>&amp;R&amp;12&amp;P</oddFooter>
  </headerFooter>
  <rowBreaks count="1" manualBreakCount="1">
    <brk id="67" max="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K86"/>
  <sheetViews>
    <sheetView view="pageBreakPreview" zoomScale="80" zoomScaleNormal="100" zoomScaleSheetLayoutView="80" workbookViewId="0">
      <pane xSplit="2" ySplit="6" topLeftCell="C7" activePane="bottomRight" state="frozen"/>
      <selection sqref="A1:H1"/>
      <selection pane="topRight" sqref="A1:H1"/>
      <selection pane="bottomLeft" sqref="A1:H1"/>
      <selection pane="bottomRight" sqref="A1:H1"/>
    </sheetView>
  </sheetViews>
  <sheetFormatPr defaultRowHeight="13.2"/>
  <cols>
    <col min="1" max="1" width="5" customWidth="1"/>
    <col min="2" max="2" width="37.6640625" customWidth="1"/>
    <col min="3" max="3" width="12.109375" bestFit="1" customWidth="1"/>
    <col min="4" max="4" width="13.6640625" bestFit="1" customWidth="1"/>
    <col min="5" max="5" width="10.109375" bestFit="1" customWidth="1"/>
    <col min="6" max="7" width="12.33203125" bestFit="1" customWidth="1"/>
    <col min="8" max="8" width="11.5546875" bestFit="1" customWidth="1"/>
    <col min="9" max="12" width="11.88671875" style="587" bestFit="1" customWidth="1"/>
    <col min="13" max="13" width="10.88671875" bestFit="1" customWidth="1"/>
    <col min="14" max="14" width="13.109375" customWidth="1"/>
    <col min="15" max="15" width="13.44140625" bestFit="1" customWidth="1"/>
    <col min="16" max="16" width="14.6640625" customWidth="1"/>
    <col min="17" max="18" width="14" style="589" customWidth="1"/>
    <col min="19" max="19" width="10.6640625" customWidth="1"/>
    <col min="20" max="20" width="14.88671875" style="594" customWidth="1"/>
    <col min="21" max="22" width="14.5546875" customWidth="1"/>
    <col min="23" max="24" width="11.6640625" style="589" customWidth="1"/>
    <col min="25" max="27" width="11.6640625" style="594" customWidth="1"/>
    <col min="28" max="28" width="14.44140625" style="589" bestFit="1" customWidth="1"/>
    <col min="29" max="29" width="10.5546875" customWidth="1"/>
    <col min="30" max="30" width="14.44140625" bestFit="1" customWidth="1"/>
    <col min="31" max="31" width="11.88671875" bestFit="1" customWidth="1"/>
    <col min="32" max="32" width="14.44140625" bestFit="1" customWidth="1"/>
    <col min="33" max="33" width="9.5546875" style="590" bestFit="1" customWidth="1"/>
    <col min="34" max="34" width="10.6640625" style="590" bestFit="1" customWidth="1"/>
    <col min="35" max="37" width="14.44140625" bestFit="1" customWidth="1"/>
  </cols>
  <sheetData>
    <row r="1" spans="1:37" ht="21.6" customHeight="1">
      <c r="A1" s="2353" t="s">
        <v>353</v>
      </c>
      <c r="B1" s="2354"/>
      <c r="C1" s="2319" t="s">
        <v>1089</v>
      </c>
      <c r="D1" s="2320"/>
      <c r="E1" s="2320"/>
      <c r="F1" s="2320"/>
      <c r="G1" s="2320"/>
      <c r="H1" s="2320"/>
      <c r="I1" s="2320"/>
      <c r="J1" s="2320"/>
      <c r="K1" s="2320"/>
      <c r="L1" s="2321"/>
      <c r="M1" s="2349" t="s">
        <v>1089</v>
      </c>
      <c r="N1" s="2350"/>
      <c r="O1" s="2350"/>
      <c r="P1" s="2350"/>
      <c r="Q1" s="2350"/>
      <c r="R1" s="2350"/>
      <c r="S1" s="2350"/>
      <c r="T1" s="2351"/>
      <c r="U1" s="2268" t="s">
        <v>1247</v>
      </c>
      <c r="V1" s="2266"/>
      <c r="W1" s="2266"/>
      <c r="X1" s="2266"/>
      <c r="Y1" s="2266"/>
      <c r="Z1" s="2266"/>
      <c r="AA1" s="2266"/>
      <c r="AB1" s="2267"/>
      <c r="AC1" s="2268" t="s">
        <v>1247</v>
      </c>
      <c r="AD1" s="2266"/>
      <c r="AE1" s="2266"/>
      <c r="AF1" s="2266"/>
      <c r="AG1" s="2266"/>
      <c r="AH1" s="2266"/>
      <c r="AI1" s="2267"/>
      <c r="AJ1" s="2302" t="s">
        <v>1272</v>
      </c>
      <c r="AK1" s="2302" t="s">
        <v>1273</v>
      </c>
    </row>
    <row r="2" spans="1:37" s="594" customFormat="1" ht="24.6" customHeight="1">
      <c r="A2" s="2355"/>
      <c r="B2" s="2356"/>
      <c r="C2" s="1565"/>
      <c r="D2" s="1566"/>
      <c r="E2" s="1566"/>
      <c r="F2" s="1566"/>
      <c r="G2" s="1566"/>
      <c r="H2" s="1566"/>
      <c r="I2" s="2334" t="s">
        <v>531</v>
      </c>
      <c r="J2" s="2335"/>
      <c r="K2" s="2336"/>
      <c r="L2" s="1567"/>
      <c r="M2" s="1565"/>
      <c r="N2" s="1566"/>
      <c r="O2" s="1566"/>
      <c r="P2" s="1566"/>
      <c r="Q2" s="1566"/>
      <c r="R2" s="1566"/>
      <c r="S2" s="1566"/>
      <c r="T2" s="1567"/>
      <c r="U2" s="1525"/>
      <c r="V2" s="1526"/>
      <c r="W2" s="2227" t="s">
        <v>531</v>
      </c>
      <c r="X2" s="2228"/>
      <c r="Y2" s="2228"/>
      <c r="Z2" s="2228"/>
      <c r="AA2" s="2229"/>
      <c r="AB2" s="1527"/>
      <c r="AC2" s="1525"/>
      <c r="AD2" s="1526"/>
      <c r="AE2" s="1526"/>
      <c r="AF2" s="1526"/>
      <c r="AG2" s="1526"/>
      <c r="AH2" s="1526"/>
      <c r="AI2" s="1527"/>
      <c r="AJ2" s="2303"/>
      <c r="AK2" s="2303"/>
    </row>
    <row r="3" spans="1:37" ht="148.94999999999999" customHeight="1">
      <c r="A3" s="2357"/>
      <c r="B3" s="2356"/>
      <c r="C3" s="2306" t="s">
        <v>933</v>
      </c>
      <c r="D3" s="2318" t="s">
        <v>1110</v>
      </c>
      <c r="E3" s="2318" t="s">
        <v>384</v>
      </c>
      <c r="F3" s="2306" t="s">
        <v>546</v>
      </c>
      <c r="G3" s="2306" t="s">
        <v>330</v>
      </c>
      <c r="H3" s="2306" t="s">
        <v>547</v>
      </c>
      <c r="I3" s="2352" t="s">
        <v>770</v>
      </c>
      <c r="J3" s="2352" t="s">
        <v>769</v>
      </c>
      <c r="K3" s="2352" t="s">
        <v>538</v>
      </c>
      <c r="L3" s="2300" t="s">
        <v>548</v>
      </c>
      <c r="M3" s="1496" t="s">
        <v>333</v>
      </c>
      <c r="N3" s="2306" t="s">
        <v>545</v>
      </c>
      <c r="O3" s="2307" t="s">
        <v>1036</v>
      </c>
      <c r="P3" s="2306" t="s">
        <v>1056</v>
      </c>
      <c r="Q3" s="1537" t="s">
        <v>760</v>
      </c>
      <c r="R3" s="1537" t="s">
        <v>761</v>
      </c>
      <c r="S3" s="2308" t="s">
        <v>544</v>
      </c>
      <c r="T3" s="2308" t="s">
        <v>1057</v>
      </c>
      <c r="U3" s="2309" t="s">
        <v>1267</v>
      </c>
      <c r="V3" s="1507" t="s">
        <v>1268</v>
      </c>
      <c r="W3" s="2312" t="s">
        <v>1253</v>
      </c>
      <c r="X3" s="2312" t="s">
        <v>1251</v>
      </c>
      <c r="Y3" s="2312" t="s">
        <v>1254</v>
      </c>
      <c r="Z3" s="2312" t="s">
        <v>1252</v>
      </c>
      <c r="AA3" s="1498" t="s">
        <v>551</v>
      </c>
      <c r="AB3" s="2313" t="s">
        <v>1269</v>
      </c>
      <c r="AC3" s="1507" t="s">
        <v>1094</v>
      </c>
      <c r="AD3" s="2309" t="s">
        <v>1270</v>
      </c>
      <c r="AE3" s="2307" t="s">
        <v>1036</v>
      </c>
      <c r="AF3" s="2309" t="s">
        <v>1271</v>
      </c>
      <c r="AG3" s="2322" t="s">
        <v>981</v>
      </c>
      <c r="AH3" s="2322" t="s">
        <v>761</v>
      </c>
      <c r="AI3" s="2322" t="s">
        <v>1242</v>
      </c>
      <c r="AJ3" s="2304"/>
      <c r="AK3" s="2304"/>
    </row>
    <row r="4" spans="1:37" ht="19.95" customHeight="1">
      <c r="A4" s="2358"/>
      <c r="B4" s="2359"/>
      <c r="C4" s="2301"/>
      <c r="D4" s="2318"/>
      <c r="E4" s="2318"/>
      <c r="F4" s="2301"/>
      <c r="G4" s="2301"/>
      <c r="H4" s="2301"/>
      <c r="I4" s="2251"/>
      <c r="J4" s="2251"/>
      <c r="K4" s="2251"/>
      <c r="L4" s="2301"/>
      <c r="M4" s="1568">
        <v>2.5000000000000001E-3</v>
      </c>
      <c r="N4" s="2301"/>
      <c r="O4" s="2251"/>
      <c r="P4" s="2301"/>
      <c r="Q4" s="1497"/>
      <c r="R4" s="1497"/>
      <c r="S4" s="2301"/>
      <c r="T4" s="2301"/>
      <c r="U4" s="2280"/>
      <c r="V4" s="1508"/>
      <c r="W4" s="2251"/>
      <c r="X4" s="2251"/>
      <c r="Y4" s="2251"/>
      <c r="Z4" s="2251"/>
      <c r="AA4" s="1494"/>
      <c r="AB4" s="2280" t="s">
        <v>537</v>
      </c>
      <c r="AC4" s="1570">
        <v>2.5000000000000001E-3</v>
      </c>
      <c r="AD4" s="2280"/>
      <c r="AE4" s="2251"/>
      <c r="AF4" s="2280"/>
      <c r="AG4" s="2323"/>
      <c r="AH4" s="2323"/>
      <c r="AI4" s="2323"/>
      <c r="AJ4" s="2305"/>
      <c r="AK4" s="2305"/>
    </row>
    <row r="5" spans="1:37" ht="14.25" customHeight="1">
      <c r="A5" s="463"/>
      <c r="B5" s="464"/>
      <c r="C5" s="465">
        <v>1</v>
      </c>
      <c r="D5" s="465">
        <f t="shared" ref="D5" si="0">C5+1</f>
        <v>2</v>
      </c>
      <c r="E5" s="465">
        <f>D5+1</f>
        <v>3</v>
      </c>
      <c r="F5" s="465">
        <f t="shared" ref="F5:H5" si="1">E5+1</f>
        <v>4</v>
      </c>
      <c r="G5" s="465">
        <f t="shared" si="1"/>
        <v>5</v>
      </c>
      <c r="H5" s="465">
        <f t="shared" si="1"/>
        <v>6</v>
      </c>
      <c r="I5" s="465">
        <f t="shared" ref="I5" si="2">H5+1</f>
        <v>7</v>
      </c>
      <c r="J5" s="465">
        <f t="shared" ref="J5" si="3">I5+1</f>
        <v>8</v>
      </c>
      <c r="K5" s="465">
        <f t="shared" ref="K5" si="4">J5+1</f>
        <v>9</v>
      </c>
      <c r="L5" s="465">
        <f t="shared" ref="L5" si="5">K5+1</f>
        <v>10</v>
      </c>
      <c r="M5" s="465">
        <f t="shared" ref="M5" si="6">L5+1</f>
        <v>11</v>
      </c>
      <c r="N5" s="465">
        <f t="shared" ref="N5" si="7">M5+1</f>
        <v>12</v>
      </c>
      <c r="O5" s="465">
        <f t="shared" ref="O5" si="8">N5+1</f>
        <v>13</v>
      </c>
      <c r="P5" s="465">
        <f t="shared" ref="P5" si="9">O5+1</f>
        <v>14</v>
      </c>
      <c r="Q5" s="465">
        <f t="shared" ref="Q5" si="10">P5+1</f>
        <v>15</v>
      </c>
      <c r="R5" s="465">
        <f t="shared" ref="R5" si="11">Q5+1</f>
        <v>16</v>
      </c>
      <c r="S5" s="465">
        <f t="shared" ref="S5" si="12">R5+1</f>
        <v>17</v>
      </c>
      <c r="T5" s="465">
        <f t="shared" ref="T5" si="13">S5+1</f>
        <v>18</v>
      </c>
      <c r="U5" s="465">
        <f t="shared" ref="U5" si="14">T5+1</f>
        <v>19</v>
      </c>
      <c r="V5" s="465">
        <f t="shared" ref="V5" si="15">U5+1</f>
        <v>20</v>
      </c>
      <c r="W5" s="465">
        <f t="shared" ref="W5" si="16">V5+1</f>
        <v>21</v>
      </c>
      <c r="X5" s="465">
        <f t="shared" ref="X5" si="17">W5+1</f>
        <v>22</v>
      </c>
      <c r="Y5" s="465">
        <f t="shared" ref="Y5" si="18">X5+1</f>
        <v>23</v>
      </c>
      <c r="Z5" s="465">
        <f t="shared" ref="Z5" si="19">Y5+1</f>
        <v>24</v>
      </c>
      <c r="AA5" s="465">
        <f t="shared" ref="AA5" si="20">Z5+1</f>
        <v>25</v>
      </c>
      <c r="AB5" s="465">
        <f t="shared" ref="AB5" si="21">AA5+1</f>
        <v>26</v>
      </c>
      <c r="AC5" s="465">
        <f t="shared" ref="AC5" si="22">AB5+1</f>
        <v>27</v>
      </c>
      <c r="AD5" s="465">
        <f t="shared" ref="AD5" si="23">AC5+1</f>
        <v>28</v>
      </c>
      <c r="AE5" s="465">
        <f t="shared" ref="AE5" si="24">AD5+1</f>
        <v>29</v>
      </c>
      <c r="AF5" s="465">
        <f t="shared" ref="AF5" si="25">AE5+1</f>
        <v>30</v>
      </c>
      <c r="AG5" s="465">
        <f t="shared" ref="AG5" si="26">AF5+1</f>
        <v>31</v>
      </c>
      <c r="AH5" s="465">
        <f t="shared" ref="AH5" si="27">AG5+1</f>
        <v>32</v>
      </c>
      <c r="AI5" s="465">
        <f t="shared" ref="AI5" si="28">AH5+1</f>
        <v>33</v>
      </c>
      <c r="AJ5" s="465">
        <f t="shared" ref="AJ5" si="29">AI5+1</f>
        <v>34</v>
      </c>
      <c r="AK5" s="465">
        <f t="shared" ref="AK5" si="30">AJ5+1</f>
        <v>35</v>
      </c>
    </row>
    <row r="6" spans="1:37" ht="27" hidden="1" customHeight="1">
      <c r="A6" s="472"/>
      <c r="B6" s="473"/>
      <c r="C6" s="473"/>
      <c r="D6" s="473"/>
      <c r="E6" s="473"/>
      <c r="F6" s="473"/>
      <c r="G6" s="473"/>
      <c r="H6" s="473"/>
      <c r="I6" s="577"/>
      <c r="J6" s="577"/>
      <c r="K6" s="577"/>
      <c r="L6" s="577"/>
      <c r="M6" s="473"/>
      <c r="N6" s="473"/>
      <c r="O6" s="473"/>
      <c r="P6" s="473"/>
      <c r="Q6" s="588"/>
      <c r="R6" s="588"/>
      <c r="S6" s="473"/>
      <c r="T6" s="473"/>
      <c r="U6" s="473"/>
      <c r="V6" s="473"/>
      <c r="W6" s="588"/>
      <c r="X6" s="588"/>
      <c r="Y6" s="615"/>
      <c r="Z6" s="615"/>
      <c r="AA6" s="615"/>
      <c r="AB6" s="588"/>
      <c r="AC6" s="473"/>
      <c r="AD6" s="473"/>
      <c r="AE6" s="473"/>
      <c r="AF6" s="473"/>
      <c r="AG6" s="591"/>
      <c r="AH6" s="591"/>
      <c r="AI6" s="473"/>
      <c r="AJ6" s="473"/>
      <c r="AK6" s="473"/>
    </row>
    <row r="7" spans="1:37" ht="16.2" customHeight="1">
      <c r="A7" s="1183">
        <v>1</v>
      </c>
      <c r="B7" s="1184" t="s">
        <v>81</v>
      </c>
      <c r="C7" s="1185">
        <f>+'Table 8 Membership 2.1.14'!O3</f>
        <v>0</v>
      </c>
      <c r="D7" s="1186">
        <f>+'Table 5C1A-Madison Prep'!D7</f>
        <v>4765.8584413349836</v>
      </c>
      <c r="E7" s="1187">
        <f>C7*D7</f>
        <v>0</v>
      </c>
      <c r="F7" s="1187">
        <f>+'Table 5C1A-Madison Prep'!F7</f>
        <v>777.48</v>
      </c>
      <c r="G7" s="1187">
        <f>C7*F7</f>
        <v>0</v>
      </c>
      <c r="H7" s="1538">
        <f>E7+G7</f>
        <v>0</v>
      </c>
      <c r="I7" s="1188"/>
      <c r="J7" s="1188"/>
      <c r="K7" s="1189">
        <f>SUM(I7:J7)</f>
        <v>0</v>
      </c>
      <c r="L7" s="1538">
        <f t="shared" ref="L7:L38" si="31">H7+K7</f>
        <v>0</v>
      </c>
      <c r="M7" s="1372">
        <f>-(0.25%*L7)</f>
        <v>0</v>
      </c>
      <c r="N7" s="1538">
        <f>SUM(L7:M7)</f>
        <v>0</v>
      </c>
      <c r="O7" s="1186">
        <v>0</v>
      </c>
      <c r="P7" s="1544">
        <f>SUM(N7:O7)</f>
        <v>0</v>
      </c>
      <c r="Q7" s="1188"/>
      <c r="R7" s="1188">
        <f>P7-Q7</f>
        <v>0</v>
      </c>
      <c r="S7" s="1544">
        <f>ROUND(R7/12,0)</f>
        <v>0</v>
      </c>
      <c r="T7" s="1544">
        <f>+P7</f>
        <v>0</v>
      </c>
      <c r="U7" s="1373">
        <f>'Table 5C1A-Madison Prep'!U7</f>
        <v>2409</v>
      </c>
      <c r="V7" s="1514">
        <f t="shared" ref="V7:V38" si="32">C7*U7</f>
        <v>0</v>
      </c>
      <c r="W7" s="1375"/>
      <c r="X7" s="1376">
        <f>W7*U7</f>
        <v>0</v>
      </c>
      <c r="Y7" s="1375"/>
      <c r="Z7" s="1376">
        <f>+U7*Y7*0.5</f>
        <v>0</v>
      </c>
      <c r="AA7" s="1374">
        <f t="shared" ref="AA7:AA49" si="33">+X7+Z7</f>
        <v>0</v>
      </c>
      <c r="AB7" s="1509">
        <f>X7+V7</f>
        <v>0</v>
      </c>
      <c r="AC7" s="1378">
        <f>-(0.25%*AB7)</f>
        <v>0</v>
      </c>
      <c r="AD7" s="1509">
        <f>SUM(AB7:AC7)</f>
        <v>0</v>
      </c>
      <c r="AE7" s="1379">
        <v>0</v>
      </c>
      <c r="AF7" s="1509">
        <f>SUM(AD7:AE7)</f>
        <v>0</v>
      </c>
      <c r="AG7" s="1376"/>
      <c r="AH7" s="1376">
        <f>AF7-AG7</f>
        <v>0</v>
      </c>
      <c r="AI7" s="1514">
        <f>ROUND(AH7/12,0)</f>
        <v>0</v>
      </c>
      <c r="AJ7" s="1530">
        <f>T7+AF7</f>
        <v>0</v>
      </c>
      <c r="AK7" s="1534">
        <f>S7+AI7</f>
        <v>0</v>
      </c>
    </row>
    <row r="8" spans="1:37" ht="16.2" customHeight="1">
      <c r="A8" s="1176">
        <v>2</v>
      </c>
      <c r="B8" s="1177" t="s">
        <v>82</v>
      </c>
      <c r="C8" s="1178">
        <f>+'Table 8 Membership 2.1.14'!O4</f>
        <v>0</v>
      </c>
      <c r="D8" s="1179">
        <f>+'Table 5C1A-Madison Prep'!D8</f>
        <v>6316.6266417386641</v>
      </c>
      <c r="E8" s="1180">
        <f t="shared" ref="E8:E71" si="34">C8*D8</f>
        <v>0</v>
      </c>
      <c r="F8" s="1180">
        <f>+'Table 5C1A-Madison Prep'!F8</f>
        <v>842.32</v>
      </c>
      <c r="G8" s="1180">
        <f t="shared" ref="G8:G71" si="35">C8*F8</f>
        <v>0</v>
      </c>
      <c r="H8" s="1539">
        <f t="shared" ref="H8:H71" si="36">E8+G8</f>
        <v>0</v>
      </c>
      <c r="I8" s="1181"/>
      <c r="J8" s="1181"/>
      <c r="K8" s="1182">
        <f t="shared" ref="K8:K71" si="37">SUM(I8:J8)</f>
        <v>0</v>
      </c>
      <c r="L8" s="1539">
        <f t="shared" si="31"/>
        <v>0</v>
      </c>
      <c r="M8" s="1388">
        <f t="shared" ref="M8:M71" si="38">-(0.25%*L8)</f>
        <v>0</v>
      </c>
      <c r="N8" s="1539">
        <f>SUM(L8:M8)</f>
        <v>0</v>
      </c>
      <c r="O8" s="1179">
        <v>0</v>
      </c>
      <c r="P8" s="1545">
        <f t="shared" ref="P8:P71" si="39">SUM(N8:O8)</f>
        <v>0</v>
      </c>
      <c r="Q8" s="1181"/>
      <c r="R8" s="1181">
        <f t="shared" ref="R8:R71" si="40">P8-Q8</f>
        <v>0</v>
      </c>
      <c r="S8" s="1545">
        <f t="shared" ref="S8:S71" si="41">ROUND(R8/12,0)</f>
        <v>0</v>
      </c>
      <c r="T8" s="1545">
        <f t="shared" ref="T8:T71" si="42">+P8</f>
        <v>0</v>
      </c>
      <c r="U8" s="1389">
        <f>'Table 5C1A-Madison Prep'!U8</f>
        <v>2829</v>
      </c>
      <c r="V8" s="1515">
        <f t="shared" si="32"/>
        <v>0</v>
      </c>
      <c r="W8" s="1391"/>
      <c r="X8" s="1392">
        <f t="shared" ref="X8:X71" si="43">W8*U8</f>
        <v>0</v>
      </c>
      <c r="Y8" s="1391"/>
      <c r="Z8" s="1392">
        <f t="shared" ref="Z8:Z71" si="44">+U8*Y8*0.5</f>
        <v>0</v>
      </c>
      <c r="AA8" s="1390">
        <f t="shared" si="33"/>
        <v>0</v>
      </c>
      <c r="AB8" s="1510">
        <f t="shared" ref="AB8:AB49" si="45">X8+V8</f>
        <v>0</v>
      </c>
      <c r="AC8" s="1394">
        <f t="shared" ref="AC8:AC71" si="46">-(0.25%*AB8)</f>
        <v>0</v>
      </c>
      <c r="AD8" s="1510">
        <f t="shared" ref="AD8:AD71" si="47">SUM(AB8:AC8)</f>
        <v>0</v>
      </c>
      <c r="AE8" s="1395">
        <v>0</v>
      </c>
      <c r="AF8" s="1510">
        <f t="shared" ref="AF8:AF71" si="48">SUM(AD8:AE8)</f>
        <v>0</v>
      </c>
      <c r="AG8" s="1392"/>
      <c r="AH8" s="1392">
        <f t="shared" ref="AH8:AH71" si="49">AF8-AG8</f>
        <v>0</v>
      </c>
      <c r="AI8" s="1515">
        <f t="shared" ref="AI8:AI71" si="50">ROUND(AH8/12,0)</f>
        <v>0</v>
      </c>
      <c r="AJ8" s="1505">
        <f t="shared" ref="AJ8:AJ71" si="51">T8+AF8</f>
        <v>0</v>
      </c>
      <c r="AK8" s="1535">
        <f t="shared" ref="AK8:AK71" si="52">S8+AI8</f>
        <v>0</v>
      </c>
    </row>
    <row r="9" spans="1:37" ht="16.2" customHeight="1">
      <c r="A9" s="1176">
        <v>3</v>
      </c>
      <c r="B9" s="1177" t="s">
        <v>83</v>
      </c>
      <c r="C9" s="1178">
        <f>+'Table 8 Membership 2.1.14'!O5</f>
        <v>0</v>
      </c>
      <c r="D9" s="1179">
        <f>+'Table 5C1A-Madison Prep'!D9</f>
        <v>4155.1862027396819</v>
      </c>
      <c r="E9" s="1180">
        <f t="shared" si="34"/>
        <v>0</v>
      </c>
      <c r="F9" s="1180">
        <f>+'Table 5C1A-Madison Prep'!F9</f>
        <v>596.84</v>
      </c>
      <c r="G9" s="1180">
        <f t="shared" si="35"/>
        <v>0</v>
      </c>
      <c r="H9" s="1539">
        <f t="shared" si="36"/>
        <v>0</v>
      </c>
      <c r="I9" s="1181"/>
      <c r="J9" s="1181"/>
      <c r="K9" s="1182">
        <f t="shared" si="37"/>
        <v>0</v>
      </c>
      <c r="L9" s="1539">
        <f t="shared" si="31"/>
        <v>0</v>
      </c>
      <c r="M9" s="1388">
        <f t="shared" si="38"/>
        <v>0</v>
      </c>
      <c r="N9" s="1539">
        <f t="shared" ref="N9:N71" si="53">SUM(L9:M9)</f>
        <v>0</v>
      </c>
      <c r="O9" s="1179">
        <v>0</v>
      </c>
      <c r="P9" s="1545">
        <f t="shared" si="39"/>
        <v>0</v>
      </c>
      <c r="Q9" s="1181"/>
      <c r="R9" s="1181">
        <f t="shared" si="40"/>
        <v>0</v>
      </c>
      <c r="S9" s="1545">
        <f t="shared" si="41"/>
        <v>0</v>
      </c>
      <c r="T9" s="1545">
        <f t="shared" si="42"/>
        <v>0</v>
      </c>
      <c r="U9" s="1389">
        <f>'Table 5C1A-Madison Prep'!U9</f>
        <v>5770</v>
      </c>
      <c r="V9" s="1515">
        <f t="shared" si="32"/>
        <v>0</v>
      </c>
      <c r="W9" s="1391"/>
      <c r="X9" s="1392">
        <f t="shared" si="43"/>
        <v>0</v>
      </c>
      <c r="Y9" s="1391"/>
      <c r="Z9" s="1392">
        <f t="shared" si="44"/>
        <v>0</v>
      </c>
      <c r="AA9" s="1390">
        <f t="shared" si="33"/>
        <v>0</v>
      </c>
      <c r="AB9" s="1510">
        <f t="shared" si="45"/>
        <v>0</v>
      </c>
      <c r="AC9" s="1394">
        <f t="shared" si="46"/>
        <v>0</v>
      </c>
      <c r="AD9" s="1510">
        <f t="shared" si="47"/>
        <v>0</v>
      </c>
      <c r="AE9" s="1395">
        <v>0</v>
      </c>
      <c r="AF9" s="1510">
        <f t="shared" si="48"/>
        <v>0</v>
      </c>
      <c r="AG9" s="1392"/>
      <c r="AH9" s="1392">
        <f t="shared" si="49"/>
        <v>0</v>
      </c>
      <c r="AI9" s="1515">
        <f t="shared" si="50"/>
        <v>0</v>
      </c>
      <c r="AJ9" s="1505">
        <f t="shared" si="51"/>
        <v>0</v>
      </c>
      <c r="AK9" s="1535">
        <f t="shared" si="52"/>
        <v>0</v>
      </c>
    </row>
    <row r="10" spans="1:37" ht="16.2" customHeight="1">
      <c r="A10" s="1176">
        <v>4</v>
      </c>
      <c r="B10" s="1177" t="s">
        <v>84</v>
      </c>
      <c r="C10" s="1178">
        <f>+'Table 8 Membership 2.1.14'!O6</f>
        <v>0</v>
      </c>
      <c r="D10" s="1179">
        <f>+'Table 5C1A-Madison Prep'!D10</f>
        <v>6119.0581446878568</v>
      </c>
      <c r="E10" s="1180">
        <f t="shared" si="34"/>
        <v>0</v>
      </c>
      <c r="F10" s="1180">
        <f>+'Table 5C1A-Madison Prep'!F10</f>
        <v>585.76</v>
      </c>
      <c r="G10" s="1180">
        <f t="shared" si="35"/>
        <v>0</v>
      </c>
      <c r="H10" s="1539">
        <f t="shared" si="36"/>
        <v>0</v>
      </c>
      <c r="I10" s="1181"/>
      <c r="J10" s="1181"/>
      <c r="K10" s="1182">
        <f t="shared" si="37"/>
        <v>0</v>
      </c>
      <c r="L10" s="1539">
        <f t="shared" si="31"/>
        <v>0</v>
      </c>
      <c r="M10" s="1388">
        <f t="shared" si="38"/>
        <v>0</v>
      </c>
      <c r="N10" s="1539">
        <f t="shared" si="53"/>
        <v>0</v>
      </c>
      <c r="O10" s="1179">
        <v>0</v>
      </c>
      <c r="P10" s="1545">
        <f t="shared" si="39"/>
        <v>0</v>
      </c>
      <c r="Q10" s="1181"/>
      <c r="R10" s="1181">
        <f t="shared" si="40"/>
        <v>0</v>
      </c>
      <c r="S10" s="1545">
        <f t="shared" si="41"/>
        <v>0</v>
      </c>
      <c r="T10" s="1545">
        <f t="shared" si="42"/>
        <v>0</v>
      </c>
      <c r="U10" s="1389">
        <f>'Table 5C1A-Madison Prep'!U10</f>
        <v>3287</v>
      </c>
      <c r="V10" s="1515">
        <f t="shared" si="32"/>
        <v>0</v>
      </c>
      <c r="W10" s="1391"/>
      <c r="X10" s="1392">
        <f t="shared" si="43"/>
        <v>0</v>
      </c>
      <c r="Y10" s="1391"/>
      <c r="Z10" s="1392">
        <f t="shared" si="44"/>
        <v>0</v>
      </c>
      <c r="AA10" s="1390">
        <f t="shared" si="33"/>
        <v>0</v>
      </c>
      <c r="AB10" s="1510">
        <f t="shared" si="45"/>
        <v>0</v>
      </c>
      <c r="AC10" s="1394">
        <f t="shared" si="46"/>
        <v>0</v>
      </c>
      <c r="AD10" s="1510">
        <f t="shared" si="47"/>
        <v>0</v>
      </c>
      <c r="AE10" s="1395">
        <v>0</v>
      </c>
      <c r="AF10" s="1510">
        <f t="shared" si="48"/>
        <v>0</v>
      </c>
      <c r="AG10" s="1392"/>
      <c r="AH10" s="1392">
        <f t="shared" si="49"/>
        <v>0</v>
      </c>
      <c r="AI10" s="1515">
        <f t="shared" si="50"/>
        <v>0</v>
      </c>
      <c r="AJ10" s="1505">
        <f t="shared" si="51"/>
        <v>0</v>
      </c>
      <c r="AK10" s="1535">
        <f t="shared" si="52"/>
        <v>0</v>
      </c>
    </row>
    <row r="11" spans="1:37" ht="16.2" customHeight="1">
      <c r="A11" s="1168">
        <v>5</v>
      </c>
      <c r="B11" s="1169" t="s">
        <v>85</v>
      </c>
      <c r="C11" s="1170">
        <f>+'Table 8 Membership 2.1.14'!O7</f>
        <v>0</v>
      </c>
      <c r="D11" s="1171">
        <f>+'Table 5C1A-Madison Prep'!D11</f>
        <v>5268.940566009911</v>
      </c>
      <c r="E11" s="1172">
        <f t="shared" si="34"/>
        <v>0</v>
      </c>
      <c r="F11" s="1172">
        <f>+'Table 5C1A-Madison Prep'!F11</f>
        <v>555.91</v>
      </c>
      <c r="G11" s="1172">
        <f t="shared" si="35"/>
        <v>0</v>
      </c>
      <c r="H11" s="1540">
        <f t="shared" si="36"/>
        <v>0</v>
      </c>
      <c r="I11" s="1173"/>
      <c r="J11" s="1173"/>
      <c r="K11" s="1174">
        <f t="shared" si="37"/>
        <v>0</v>
      </c>
      <c r="L11" s="1540">
        <f t="shared" si="31"/>
        <v>0</v>
      </c>
      <c r="M11" s="1399">
        <f t="shared" si="38"/>
        <v>0</v>
      </c>
      <c r="N11" s="1540">
        <f t="shared" si="53"/>
        <v>0</v>
      </c>
      <c r="O11" s="1171">
        <v>0</v>
      </c>
      <c r="P11" s="1546">
        <f t="shared" si="39"/>
        <v>0</v>
      </c>
      <c r="Q11" s="1175"/>
      <c r="R11" s="1173">
        <f t="shared" si="40"/>
        <v>0</v>
      </c>
      <c r="S11" s="1550">
        <f t="shared" si="41"/>
        <v>0</v>
      </c>
      <c r="T11" s="1550">
        <f t="shared" si="42"/>
        <v>0</v>
      </c>
      <c r="U11" s="1382">
        <f>'Table 5C1A-Madison Prep'!U11</f>
        <v>1921</v>
      </c>
      <c r="V11" s="1516">
        <f t="shared" si="32"/>
        <v>0</v>
      </c>
      <c r="W11" s="1400"/>
      <c r="X11" s="1383">
        <f t="shared" si="43"/>
        <v>0</v>
      </c>
      <c r="Y11" s="1400"/>
      <c r="Z11" s="1383">
        <f t="shared" si="44"/>
        <v>0</v>
      </c>
      <c r="AA11" s="1384">
        <f t="shared" si="33"/>
        <v>0</v>
      </c>
      <c r="AB11" s="1511">
        <f t="shared" si="45"/>
        <v>0</v>
      </c>
      <c r="AC11" s="1402">
        <f t="shared" si="46"/>
        <v>0</v>
      </c>
      <c r="AD11" s="1511">
        <f t="shared" si="47"/>
        <v>0</v>
      </c>
      <c r="AE11" s="1385">
        <v>0</v>
      </c>
      <c r="AF11" s="1511">
        <f t="shared" si="48"/>
        <v>0</v>
      </c>
      <c r="AG11" s="1383"/>
      <c r="AH11" s="1383">
        <f t="shared" si="49"/>
        <v>0</v>
      </c>
      <c r="AI11" s="1516">
        <f t="shared" si="50"/>
        <v>0</v>
      </c>
      <c r="AJ11" s="1531">
        <f t="shared" si="51"/>
        <v>0</v>
      </c>
      <c r="AK11" s="1536">
        <f t="shared" si="52"/>
        <v>0</v>
      </c>
    </row>
    <row r="12" spans="1:37" ht="16.2" customHeight="1">
      <c r="A12" s="1183">
        <v>6</v>
      </c>
      <c r="B12" s="1184" t="s">
        <v>86</v>
      </c>
      <c r="C12" s="1185">
        <f>+'Table 8 Membership 2.1.14'!O8</f>
        <v>0</v>
      </c>
      <c r="D12" s="1186">
        <f>+'Table 5C1A-Madison Prep'!D12</f>
        <v>5378.5086124955869</v>
      </c>
      <c r="E12" s="1187">
        <f t="shared" si="34"/>
        <v>0</v>
      </c>
      <c r="F12" s="1187">
        <f>+'Table 5C1A-Madison Prep'!F12</f>
        <v>545.4799999999999</v>
      </c>
      <c r="G12" s="1187">
        <f t="shared" si="35"/>
        <v>0</v>
      </c>
      <c r="H12" s="1538">
        <f t="shared" si="36"/>
        <v>0</v>
      </c>
      <c r="I12" s="1188"/>
      <c r="J12" s="1188"/>
      <c r="K12" s="1189">
        <f t="shared" si="37"/>
        <v>0</v>
      </c>
      <c r="L12" s="1538">
        <f t="shared" si="31"/>
        <v>0</v>
      </c>
      <c r="M12" s="1372">
        <f t="shared" si="38"/>
        <v>0</v>
      </c>
      <c r="N12" s="1538">
        <f t="shared" si="53"/>
        <v>0</v>
      </c>
      <c r="O12" s="1186">
        <v>0</v>
      </c>
      <c r="P12" s="1544">
        <f t="shared" si="39"/>
        <v>0</v>
      </c>
      <c r="Q12" s="1188"/>
      <c r="R12" s="1188">
        <f t="shared" si="40"/>
        <v>0</v>
      </c>
      <c r="S12" s="1544">
        <f t="shared" si="41"/>
        <v>0</v>
      </c>
      <c r="T12" s="1544">
        <f t="shared" si="42"/>
        <v>0</v>
      </c>
      <c r="U12" s="1373">
        <f>'Table 5C1A-Madison Prep'!U12</f>
        <v>3807</v>
      </c>
      <c r="V12" s="1514">
        <f t="shared" si="32"/>
        <v>0</v>
      </c>
      <c r="W12" s="1375"/>
      <c r="X12" s="1376">
        <f t="shared" si="43"/>
        <v>0</v>
      </c>
      <c r="Y12" s="1375"/>
      <c r="Z12" s="1376">
        <f t="shared" si="44"/>
        <v>0</v>
      </c>
      <c r="AA12" s="1374">
        <f t="shared" si="33"/>
        <v>0</v>
      </c>
      <c r="AB12" s="1509">
        <f t="shared" si="45"/>
        <v>0</v>
      </c>
      <c r="AC12" s="1378">
        <f t="shared" si="46"/>
        <v>0</v>
      </c>
      <c r="AD12" s="1509">
        <f t="shared" si="47"/>
        <v>0</v>
      </c>
      <c r="AE12" s="1379">
        <v>0</v>
      </c>
      <c r="AF12" s="1509">
        <f t="shared" si="48"/>
        <v>0</v>
      </c>
      <c r="AG12" s="1376"/>
      <c r="AH12" s="1376">
        <f t="shared" si="49"/>
        <v>0</v>
      </c>
      <c r="AI12" s="1514">
        <f t="shared" si="50"/>
        <v>0</v>
      </c>
      <c r="AJ12" s="1530">
        <f t="shared" si="51"/>
        <v>0</v>
      </c>
      <c r="AK12" s="1534">
        <f t="shared" si="52"/>
        <v>0</v>
      </c>
    </row>
    <row r="13" spans="1:37" ht="16.2" customHeight="1">
      <c r="A13" s="1176">
        <v>7</v>
      </c>
      <c r="B13" s="1177" t="s">
        <v>87</v>
      </c>
      <c r="C13" s="1178">
        <f>+'Table 8 Membership 2.1.14'!O9</f>
        <v>0</v>
      </c>
      <c r="D13" s="1179">
        <f>+'Table 5C1A-Madison Prep'!D13</f>
        <v>2243.0031963470319</v>
      </c>
      <c r="E13" s="1180">
        <f t="shared" si="34"/>
        <v>0</v>
      </c>
      <c r="F13" s="1180">
        <f>+'Table 5C1A-Madison Prep'!F13</f>
        <v>756.91999999999985</v>
      </c>
      <c r="G13" s="1180">
        <f t="shared" si="35"/>
        <v>0</v>
      </c>
      <c r="H13" s="1539">
        <f t="shared" si="36"/>
        <v>0</v>
      </c>
      <c r="I13" s="1181"/>
      <c r="J13" s="1181"/>
      <c r="K13" s="1182">
        <f t="shared" si="37"/>
        <v>0</v>
      </c>
      <c r="L13" s="1539">
        <f t="shared" si="31"/>
        <v>0</v>
      </c>
      <c r="M13" s="1388">
        <f t="shared" si="38"/>
        <v>0</v>
      </c>
      <c r="N13" s="1539">
        <f t="shared" si="53"/>
        <v>0</v>
      </c>
      <c r="O13" s="1179">
        <v>0</v>
      </c>
      <c r="P13" s="1545">
        <f t="shared" si="39"/>
        <v>0</v>
      </c>
      <c r="Q13" s="1181"/>
      <c r="R13" s="1181">
        <f t="shared" si="40"/>
        <v>0</v>
      </c>
      <c r="S13" s="1545">
        <f t="shared" si="41"/>
        <v>0</v>
      </c>
      <c r="T13" s="1545">
        <f t="shared" si="42"/>
        <v>0</v>
      </c>
      <c r="U13" s="1389">
        <f>'Table 5C1A-Madison Prep'!U13</f>
        <v>11888</v>
      </c>
      <c r="V13" s="1515">
        <f t="shared" si="32"/>
        <v>0</v>
      </c>
      <c r="W13" s="1391"/>
      <c r="X13" s="1392">
        <f t="shared" si="43"/>
        <v>0</v>
      </c>
      <c r="Y13" s="1391"/>
      <c r="Z13" s="1392">
        <f t="shared" si="44"/>
        <v>0</v>
      </c>
      <c r="AA13" s="1390">
        <f t="shared" si="33"/>
        <v>0</v>
      </c>
      <c r="AB13" s="1510">
        <f t="shared" si="45"/>
        <v>0</v>
      </c>
      <c r="AC13" s="1394">
        <f t="shared" si="46"/>
        <v>0</v>
      </c>
      <c r="AD13" s="1510">
        <f t="shared" si="47"/>
        <v>0</v>
      </c>
      <c r="AE13" s="1395">
        <v>0</v>
      </c>
      <c r="AF13" s="1510">
        <f t="shared" si="48"/>
        <v>0</v>
      </c>
      <c r="AG13" s="1392"/>
      <c r="AH13" s="1392">
        <f t="shared" si="49"/>
        <v>0</v>
      </c>
      <c r="AI13" s="1515">
        <f t="shared" si="50"/>
        <v>0</v>
      </c>
      <c r="AJ13" s="1505">
        <f t="shared" si="51"/>
        <v>0</v>
      </c>
      <c r="AK13" s="1535">
        <f t="shared" si="52"/>
        <v>0</v>
      </c>
    </row>
    <row r="14" spans="1:37" ht="16.2" customHeight="1">
      <c r="A14" s="1176">
        <v>8</v>
      </c>
      <c r="B14" s="1177" t="s">
        <v>88</v>
      </c>
      <c r="C14" s="1178">
        <f>+'Table 8 Membership 2.1.14'!O10</f>
        <v>0</v>
      </c>
      <c r="D14" s="1179">
        <f>+'Table 5C1A-Madison Prep'!D14</f>
        <v>4669.802459558854</v>
      </c>
      <c r="E14" s="1180">
        <f t="shared" si="34"/>
        <v>0</v>
      </c>
      <c r="F14" s="1180">
        <f>+'Table 5C1A-Madison Prep'!F14</f>
        <v>725.76</v>
      </c>
      <c r="G14" s="1180">
        <f t="shared" si="35"/>
        <v>0</v>
      </c>
      <c r="H14" s="1539">
        <f t="shared" si="36"/>
        <v>0</v>
      </c>
      <c r="I14" s="1181"/>
      <c r="J14" s="1181"/>
      <c r="K14" s="1182">
        <f t="shared" si="37"/>
        <v>0</v>
      </c>
      <c r="L14" s="1539">
        <f t="shared" si="31"/>
        <v>0</v>
      </c>
      <c r="M14" s="1388">
        <f t="shared" si="38"/>
        <v>0</v>
      </c>
      <c r="N14" s="1539">
        <f t="shared" si="53"/>
        <v>0</v>
      </c>
      <c r="O14" s="1179">
        <v>0</v>
      </c>
      <c r="P14" s="1545">
        <f t="shared" si="39"/>
        <v>0</v>
      </c>
      <c r="Q14" s="1181"/>
      <c r="R14" s="1181">
        <f t="shared" si="40"/>
        <v>0</v>
      </c>
      <c r="S14" s="1545">
        <f t="shared" si="41"/>
        <v>0</v>
      </c>
      <c r="T14" s="1545">
        <f t="shared" si="42"/>
        <v>0</v>
      </c>
      <c r="U14" s="1389">
        <f>'Table 5C1A-Madison Prep'!U14</f>
        <v>4024</v>
      </c>
      <c r="V14" s="1515">
        <f t="shared" si="32"/>
        <v>0</v>
      </c>
      <c r="W14" s="1391"/>
      <c r="X14" s="1392">
        <f t="shared" si="43"/>
        <v>0</v>
      </c>
      <c r="Y14" s="1391"/>
      <c r="Z14" s="1392">
        <f t="shared" si="44"/>
        <v>0</v>
      </c>
      <c r="AA14" s="1390">
        <f t="shared" si="33"/>
        <v>0</v>
      </c>
      <c r="AB14" s="1510">
        <f t="shared" si="45"/>
        <v>0</v>
      </c>
      <c r="AC14" s="1394">
        <f t="shared" si="46"/>
        <v>0</v>
      </c>
      <c r="AD14" s="1510">
        <f t="shared" si="47"/>
        <v>0</v>
      </c>
      <c r="AE14" s="1395">
        <v>0</v>
      </c>
      <c r="AF14" s="1510">
        <f t="shared" si="48"/>
        <v>0</v>
      </c>
      <c r="AG14" s="1392"/>
      <c r="AH14" s="1392">
        <f t="shared" si="49"/>
        <v>0</v>
      </c>
      <c r="AI14" s="1515">
        <f t="shared" si="50"/>
        <v>0</v>
      </c>
      <c r="AJ14" s="1505">
        <f t="shared" si="51"/>
        <v>0</v>
      </c>
      <c r="AK14" s="1535">
        <f t="shared" si="52"/>
        <v>0</v>
      </c>
    </row>
    <row r="15" spans="1:37" ht="16.2" customHeight="1">
      <c r="A15" s="1176">
        <v>9</v>
      </c>
      <c r="B15" s="1177" t="s">
        <v>89</v>
      </c>
      <c r="C15" s="1178">
        <f>+'Table 8 Membership 2.1.14'!O11</f>
        <v>0</v>
      </c>
      <c r="D15" s="1179">
        <f>+'Table 5C1A-Madison Prep'!D15</f>
        <v>4632.4615072045008</v>
      </c>
      <c r="E15" s="1180">
        <f t="shared" si="34"/>
        <v>0</v>
      </c>
      <c r="F15" s="1180">
        <f>+'Table 5C1A-Madison Prep'!F15</f>
        <v>744.76</v>
      </c>
      <c r="G15" s="1180">
        <f t="shared" si="35"/>
        <v>0</v>
      </c>
      <c r="H15" s="1539">
        <f t="shared" si="36"/>
        <v>0</v>
      </c>
      <c r="I15" s="1181"/>
      <c r="J15" s="1181"/>
      <c r="K15" s="1182">
        <f t="shared" si="37"/>
        <v>0</v>
      </c>
      <c r="L15" s="1539">
        <f t="shared" si="31"/>
        <v>0</v>
      </c>
      <c r="M15" s="1388">
        <f t="shared" si="38"/>
        <v>0</v>
      </c>
      <c r="N15" s="1539">
        <f t="shared" si="53"/>
        <v>0</v>
      </c>
      <c r="O15" s="1179">
        <v>0</v>
      </c>
      <c r="P15" s="1545">
        <f t="shared" si="39"/>
        <v>0</v>
      </c>
      <c r="Q15" s="1181"/>
      <c r="R15" s="1181">
        <f t="shared" si="40"/>
        <v>0</v>
      </c>
      <c r="S15" s="1545">
        <f t="shared" si="41"/>
        <v>0</v>
      </c>
      <c r="T15" s="1545">
        <f t="shared" si="42"/>
        <v>0</v>
      </c>
      <c r="U15" s="1389">
        <f>'Table 5C1A-Madison Prep'!U15</f>
        <v>4828</v>
      </c>
      <c r="V15" s="1515">
        <f t="shared" si="32"/>
        <v>0</v>
      </c>
      <c r="W15" s="1391"/>
      <c r="X15" s="1392">
        <f t="shared" si="43"/>
        <v>0</v>
      </c>
      <c r="Y15" s="1391"/>
      <c r="Z15" s="1392">
        <f t="shared" si="44"/>
        <v>0</v>
      </c>
      <c r="AA15" s="1390">
        <f t="shared" si="33"/>
        <v>0</v>
      </c>
      <c r="AB15" s="1510">
        <f t="shared" si="45"/>
        <v>0</v>
      </c>
      <c r="AC15" s="1394">
        <f t="shared" si="46"/>
        <v>0</v>
      </c>
      <c r="AD15" s="1510">
        <f t="shared" si="47"/>
        <v>0</v>
      </c>
      <c r="AE15" s="1395">
        <v>0</v>
      </c>
      <c r="AF15" s="1510">
        <f t="shared" si="48"/>
        <v>0</v>
      </c>
      <c r="AG15" s="1392"/>
      <c r="AH15" s="1392">
        <f t="shared" si="49"/>
        <v>0</v>
      </c>
      <c r="AI15" s="1515">
        <f t="shared" si="50"/>
        <v>0</v>
      </c>
      <c r="AJ15" s="1505">
        <f t="shared" si="51"/>
        <v>0</v>
      </c>
      <c r="AK15" s="1535">
        <f t="shared" si="52"/>
        <v>0</v>
      </c>
    </row>
    <row r="16" spans="1:37" ht="16.2" customHeight="1">
      <c r="A16" s="1168">
        <v>10</v>
      </c>
      <c r="B16" s="1169" t="s">
        <v>90</v>
      </c>
      <c r="C16" s="1170">
        <f>+'Table 8 Membership 2.1.14'!O12</f>
        <v>0</v>
      </c>
      <c r="D16" s="1171">
        <f>+'Table 5C1A-Madison Prep'!D16</f>
        <v>4384.374733918472</v>
      </c>
      <c r="E16" s="1172">
        <f t="shared" si="34"/>
        <v>0</v>
      </c>
      <c r="F16" s="1172">
        <f>+'Table 5C1A-Madison Prep'!F16</f>
        <v>608.04000000000008</v>
      </c>
      <c r="G16" s="1172">
        <f t="shared" si="35"/>
        <v>0</v>
      </c>
      <c r="H16" s="1540">
        <f t="shared" si="36"/>
        <v>0</v>
      </c>
      <c r="I16" s="1173"/>
      <c r="J16" s="1173"/>
      <c r="K16" s="1174">
        <f t="shared" si="37"/>
        <v>0</v>
      </c>
      <c r="L16" s="1540">
        <f t="shared" si="31"/>
        <v>0</v>
      </c>
      <c r="M16" s="1399">
        <f t="shared" si="38"/>
        <v>0</v>
      </c>
      <c r="N16" s="1540">
        <f t="shared" si="53"/>
        <v>0</v>
      </c>
      <c r="O16" s="1171">
        <v>0</v>
      </c>
      <c r="P16" s="1546">
        <f t="shared" si="39"/>
        <v>0</v>
      </c>
      <c r="Q16" s="1175"/>
      <c r="R16" s="1173">
        <f t="shared" si="40"/>
        <v>0</v>
      </c>
      <c r="S16" s="1550">
        <f t="shared" si="41"/>
        <v>0</v>
      </c>
      <c r="T16" s="1550">
        <f t="shared" si="42"/>
        <v>0</v>
      </c>
      <c r="U16" s="1382">
        <f>'Table 5C1A-Madison Prep'!U16</f>
        <v>4565</v>
      </c>
      <c r="V16" s="1516">
        <f t="shared" si="32"/>
        <v>0</v>
      </c>
      <c r="W16" s="1400"/>
      <c r="X16" s="1383">
        <f t="shared" si="43"/>
        <v>0</v>
      </c>
      <c r="Y16" s="1400"/>
      <c r="Z16" s="1383">
        <f t="shared" si="44"/>
        <v>0</v>
      </c>
      <c r="AA16" s="1384">
        <f t="shared" si="33"/>
        <v>0</v>
      </c>
      <c r="AB16" s="1511">
        <f t="shared" si="45"/>
        <v>0</v>
      </c>
      <c r="AC16" s="1402">
        <f t="shared" si="46"/>
        <v>0</v>
      </c>
      <c r="AD16" s="1511">
        <f t="shared" si="47"/>
        <v>0</v>
      </c>
      <c r="AE16" s="1385">
        <v>0</v>
      </c>
      <c r="AF16" s="1511">
        <f t="shared" si="48"/>
        <v>0</v>
      </c>
      <c r="AG16" s="1383"/>
      <c r="AH16" s="1383">
        <f t="shared" si="49"/>
        <v>0</v>
      </c>
      <c r="AI16" s="1516">
        <f t="shared" si="50"/>
        <v>0</v>
      </c>
      <c r="AJ16" s="1531">
        <f t="shared" si="51"/>
        <v>0</v>
      </c>
      <c r="AK16" s="1536">
        <f t="shared" si="52"/>
        <v>0</v>
      </c>
    </row>
    <row r="17" spans="1:37" ht="16.2" customHeight="1">
      <c r="A17" s="1183">
        <v>11</v>
      </c>
      <c r="B17" s="1184" t="s">
        <v>91</v>
      </c>
      <c r="C17" s="1185">
        <f>+'Table 8 Membership 2.1.14'!O13</f>
        <v>0</v>
      </c>
      <c r="D17" s="1186">
        <f>+'Table 5C1A-Madison Prep'!D17</f>
        <v>7098.5372236353351</v>
      </c>
      <c r="E17" s="1187">
        <f t="shared" si="34"/>
        <v>0</v>
      </c>
      <c r="F17" s="1187">
        <f>+'Table 5C1A-Madison Prep'!F17</f>
        <v>706.55</v>
      </c>
      <c r="G17" s="1187">
        <f t="shared" si="35"/>
        <v>0</v>
      </c>
      <c r="H17" s="1538">
        <f t="shared" si="36"/>
        <v>0</v>
      </c>
      <c r="I17" s="1188"/>
      <c r="J17" s="1188"/>
      <c r="K17" s="1189">
        <f t="shared" si="37"/>
        <v>0</v>
      </c>
      <c r="L17" s="1538">
        <f t="shared" si="31"/>
        <v>0</v>
      </c>
      <c r="M17" s="1372">
        <f t="shared" si="38"/>
        <v>0</v>
      </c>
      <c r="N17" s="1538">
        <f t="shared" si="53"/>
        <v>0</v>
      </c>
      <c r="O17" s="1186">
        <v>0</v>
      </c>
      <c r="P17" s="1544">
        <f t="shared" si="39"/>
        <v>0</v>
      </c>
      <c r="Q17" s="1188"/>
      <c r="R17" s="1188">
        <f t="shared" si="40"/>
        <v>0</v>
      </c>
      <c r="S17" s="1544">
        <f t="shared" si="41"/>
        <v>0</v>
      </c>
      <c r="T17" s="1544">
        <f t="shared" si="42"/>
        <v>0</v>
      </c>
      <c r="U17" s="1373">
        <f>'Table 5C1A-Madison Prep'!U17</f>
        <v>3587</v>
      </c>
      <c r="V17" s="1514">
        <f t="shared" si="32"/>
        <v>0</v>
      </c>
      <c r="W17" s="1375"/>
      <c r="X17" s="1376">
        <f t="shared" si="43"/>
        <v>0</v>
      </c>
      <c r="Y17" s="1375"/>
      <c r="Z17" s="1376">
        <f t="shared" si="44"/>
        <v>0</v>
      </c>
      <c r="AA17" s="1374">
        <f t="shared" si="33"/>
        <v>0</v>
      </c>
      <c r="AB17" s="1509">
        <f t="shared" si="45"/>
        <v>0</v>
      </c>
      <c r="AC17" s="1378">
        <f t="shared" si="46"/>
        <v>0</v>
      </c>
      <c r="AD17" s="1509">
        <f t="shared" si="47"/>
        <v>0</v>
      </c>
      <c r="AE17" s="1379">
        <v>0</v>
      </c>
      <c r="AF17" s="1509">
        <f t="shared" si="48"/>
        <v>0</v>
      </c>
      <c r="AG17" s="1376"/>
      <c r="AH17" s="1376">
        <f t="shared" si="49"/>
        <v>0</v>
      </c>
      <c r="AI17" s="1514">
        <f t="shared" si="50"/>
        <v>0</v>
      </c>
      <c r="AJ17" s="1530">
        <f t="shared" si="51"/>
        <v>0</v>
      </c>
      <c r="AK17" s="1534">
        <f t="shared" si="52"/>
        <v>0</v>
      </c>
    </row>
    <row r="18" spans="1:37" ht="16.2" customHeight="1">
      <c r="A18" s="1176">
        <v>12</v>
      </c>
      <c r="B18" s="1177" t="s">
        <v>92</v>
      </c>
      <c r="C18" s="1178">
        <f>+'Table 8 Membership 2.1.14'!O14</f>
        <v>0</v>
      </c>
      <c r="D18" s="1179">
        <f>+'Table 5C1A-Madison Prep'!D18</f>
        <v>1666.6040983606558</v>
      </c>
      <c r="E18" s="1180">
        <f t="shared" si="34"/>
        <v>0</v>
      </c>
      <c r="F18" s="1180">
        <f>+'Table 5C1A-Madison Prep'!F18</f>
        <v>1063.31</v>
      </c>
      <c r="G18" s="1180">
        <f t="shared" si="35"/>
        <v>0</v>
      </c>
      <c r="H18" s="1539">
        <f t="shared" si="36"/>
        <v>0</v>
      </c>
      <c r="I18" s="1181"/>
      <c r="J18" s="1181"/>
      <c r="K18" s="1182">
        <f t="shared" si="37"/>
        <v>0</v>
      </c>
      <c r="L18" s="1539">
        <f t="shared" si="31"/>
        <v>0</v>
      </c>
      <c r="M18" s="1388">
        <f t="shared" si="38"/>
        <v>0</v>
      </c>
      <c r="N18" s="1539">
        <f t="shared" si="53"/>
        <v>0</v>
      </c>
      <c r="O18" s="1179">
        <v>0</v>
      </c>
      <c r="P18" s="1545">
        <f t="shared" si="39"/>
        <v>0</v>
      </c>
      <c r="Q18" s="1181"/>
      <c r="R18" s="1181">
        <f t="shared" si="40"/>
        <v>0</v>
      </c>
      <c r="S18" s="1545">
        <f t="shared" si="41"/>
        <v>0</v>
      </c>
      <c r="T18" s="1545">
        <f t="shared" si="42"/>
        <v>0</v>
      </c>
      <c r="U18" s="1389">
        <f>'Table 5C1A-Madison Prep'!U18</f>
        <v>8094</v>
      </c>
      <c r="V18" s="1515">
        <f t="shared" si="32"/>
        <v>0</v>
      </c>
      <c r="W18" s="1391"/>
      <c r="X18" s="1392">
        <f t="shared" si="43"/>
        <v>0</v>
      </c>
      <c r="Y18" s="1391"/>
      <c r="Z18" s="1392">
        <f t="shared" si="44"/>
        <v>0</v>
      </c>
      <c r="AA18" s="1390">
        <f t="shared" si="33"/>
        <v>0</v>
      </c>
      <c r="AB18" s="1510">
        <f t="shared" si="45"/>
        <v>0</v>
      </c>
      <c r="AC18" s="1394">
        <f t="shared" si="46"/>
        <v>0</v>
      </c>
      <c r="AD18" s="1510">
        <f t="shared" si="47"/>
        <v>0</v>
      </c>
      <c r="AE18" s="1395">
        <v>0</v>
      </c>
      <c r="AF18" s="1510">
        <f t="shared" si="48"/>
        <v>0</v>
      </c>
      <c r="AG18" s="1392"/>
      <c r="AH18" s="1392">
        <f t="shared" si="49"/>
        <v>0</v>
      </c>
      <c r="AI18" s="1515">
        <f t="shared" si="50"/>
        <v>0</v>
      </c>
      <c r="AJ18" s="1505">
        <f t="shared" si="51"/>
        <v>0</v>
      </c>
      <c r="AK18" s="1535">
        <f t="shared" si="52"/>
        <v>0</v>
      </c>
    </row>
    <row r="19" spans="1:37" ht="16.2" customHeight="1">
      <c r="A19" s="1176">
        <v>13</v>
      </c>
      <c r="B19" s="1177" t="s">
        <v>93</v>
      </c>
      <c r="C19" s="1178">
        <f>+'Table 8 Membership 2.1.14'!O15</f>
        <v>0</v>
      </c>
      <c r="D19" s="1179">
        <f>+'Table 5C1A-Madison Prep'!D19</f>
        <v>6433.6297758332212</v>
      </c>
      <c r="E19" s="1180">
        <f t="shared" si="34"/>
        <v>0</v>
      </c>
      <c r="F19" s="1180">
        <f>+'Table 5C1A-Madison Prep'!F19</f>
        <v>749.43000000000006</v>
      </c>
      <c r="G19" s="1180">
        <f t="shared" si="35"/>
        <v>0</v>
      </c>
      <c r="H19" s="1539">
        <f t="shared" si="36"/>
        <v>0</v>
      </c>
      <c r="I19" s="1181"/>
      <c r="J19" s="1181"/>
      <c r="K19" s="1182">
        <f t="shared" si="37"/>
        <v>0</v>
      </c>
      <c r="L19" s="1539">
        <f t="shared" si="31"/>
        <v>0</v>
      </c>
      <c r="M19" s="1388">
        <f t="shared" si="38"/>
        <v>0</v>
      </c>
      <c r="N19" s="1539">
        <f t="shared" si="53"/>
        <v>0</v>
      </c>
      <c r="O19" s="1179">
        <v>0</v>
      </c>
      <c r="P19" s="1545">
        <f t="shared" si="39"/>
        <v>0</v>
      </c>
      <c r="Q19" s="1181"/>
      <c r="R19" s="1181">
        <f t="shared" si="40"/>
        <v>0</v>
      </c>
      <c r="S19" s="1545">
        <f t="shared" si="41"/>
        <v>0</v>
      </c>
      <c r="T19" s="1545">
        <f t="shared" si="42"/>
        <v>0</v>
      </c>
      <c r="U19" s="1389">
        <f>'Table 5C1A-Madison Prep'!U19</f>
        <v>2842</v>
      </c>
      <c r="V19" s="1515">
        <f t="shared" si="32"/>
        <v>0</v>
      </c>
      <c r="W19" s="1391"/>
      <c r="X19" s="1392">
        <f t="shared" si="43"/>
        <v>0</v>
      </c>
      <c r="Y19" s="1391"/>
      <c r="Z19" s="1392">
        <f t="shared" si="44"/>
        <v>0</v>
      </c>
      <c r="AA19" s="1390">
        <f t="shared" si="33"/>
        <v>0</v>
      </c>
      <c r="AB19" s="1510">
        <f t="shared" si="45"/>
        <v>0</v>
      </c>
      <c r="AC19" s="1394">
        <f t="shared" si="46"/>
        <v>0</v>
      </c>
      <c r="AD19" s="1510">
        <f t="shared" si="47"/>
        <v>0</v>
      </c>
      <c r="AE19" s="1395">
        <v>0</v>
      </c>
      <c r="AF19" s="1510">
        <f t="shared" si="48"/>
        <v>0</v>
      </c>
      <c r="AG19" s="1392"/>
      <c r="AH19" s="1392">
        <f t="shared" si="49"/>
        <v>0</v>
      </c>
      <c r="AI19" s="1515">
        <f t="shared" si="50"/>
        <v>0</v>
      </c>
      <c r="AJ19" s="1505">
        <f t="shared" si="51"/>
        <v>0</v>
      </c>
      <c r="AK19" s="1535">
        <f t="shared" si="52"/>
        <v>0</v>
      </c>
    </row>
    <row r="20" spans="1:37" ht="16.2" customHeight="1">
      <c r="A20" s="1176">
        <v>14</v>
      </c>
      <c r="B20" s="1177" t="s">
        <v>94</v>
      </c>
      <c r="C20" s="1178">
        <f>+'Table 8 Membership 2.1.14'!O16</f>
        <v>0</v>
      </c>
      <c r="D20" s="1179">
        <f>+'Table 5C1A-Madison Prep'!D20</f>
        <v>5334.9509412500001</v>
      </c>
      <c r="E20" s="1180">
        <f t="shared" si="34"/>
        <v>0</v>
      </c>
      <c r="F20" s="1180">
        <f>+'Table 5C1A-Madison Prep'!F20</f>
        <v>809.9799999999999</v>
      </c>
      <c r="G20" s="1180">
        <f t="shared" si="35"/>
        <v>0</v>
      </c>
      <c r="H20" s="1539">
        <f t="shared" si="36"/>
        <v>0</v>
      </c>
      <c r="I20" s="1181"/>
      <c r="J20" s="1181"/>
      <c r="K20" s="1182">
        <f t="shared" si="37"/>
        <v>0</v>
      </c>
      <c r="L20" s="1539">
        <f t="shared" si="31"/>
        <v>0</v>
      </c>
      <c r="M20" s="1388">
        <f t="shared" si="38"/>
        <v>0</v>
      </c>
      <c r="N20" s="1539">
        <f t="shared" si="53"/>
        <v>0</v>
      </c>
      <c r="O20" s="1179">
        <v>0</v>
      </c>
      <c r="P20" s="1545">
        <f t="shared" si="39"/>
        <v>0</v>
      </c>
      <c r="Q20" s="1181"/>
      <c r="R20" s="1181">
        <f t="shared" si="40"/>
        <v>0</v>
      </c>
      <c r="S20" s="1545">
        <f t="shared" si="41"/>
        <v>0</v>
      </c>
      <c r="T20" s="1545">
        <f t="shared" si="42"/>
        <v>0</v>
      </c>
      <c r="U20" s="1389">
        <f>'Table 5C1A-Madison Prep'!U20</f>
        <v>4205</v>
      </c>
      <c r="V20" s="1515">
        <f t="shared" si="32"/>
        <v>0</v>
      </c>
      <c r="W20" s="1391"/>
      <c r="X20" s="1392">
        <f t="shared" si="43"/>
        <v>0</v>
      </c>
      <c r="Y20" s="1391"/>
      <c r="Z20" s="1392">
        <f t="shared" si="44"/>
        <v>0</v>
      </c>
      <c r="AA20" s="1390">
        <f t="shared" si="33"/>
        <v>0</v>
      </c>
      <c r="AB20" s="1510">
        <f t="shared" si="45"/>
        <v>0</v>
      </c>
      <c r="AC20" s="1394">
        <f t="shared" si="46"/>
        <v>0</v>
      </c>
      <c r="AD20" s="1510">
        <f t="shared" si="47"/>
        <v>0</v>
      </c>
      <c r="AE20" s="1395">
        <v>0</v>
      </c>
      <c r="AF20" s="1510">
        <f t="shared" si="48"/>
        <v>0</v>
      </c>
      <c r="AG20" s="1392"/>
      <c r="AH20" s="1392">
        <f t="shared" si="49"/>
        <v>0</v>
      </c>
      <c r="AI20" s="1515">
        <f t="shared" si="50"/>
        <v>0</v>
      </c>
      <c r="AJ20" s="1505">
        <f t="shared" si="51"/>
        <v>0</v>
      </c>
      <c r="AK20" s="1535">
        <f t="shared" si="52"/>
        <v>0</v>
      </c>
    </row>
    <row r="21" spans="1:37" ht="16.2" customHeight="1">
      <c r="A21" s="1168">
        <v>15</v>
      </c>
      <c r="B21" s="1169" t="s">
        <v>95</v>
      </c>
      <c r="C21" s="1170">
        <f>+'Table 8 Membership 2.1.14'!O17</f>
        <v>0</v>
      </c>
      <c r="D21" s="1171">
        <f>+'Table 5C1A-Madison Prep'!D21</f>
        <v>5749.8285214059952</v>
      </c>
      <c r="E21" s="1172">
        <f t="shared" si="34"/>
        <v>0</v>
      </c>
      <c r="F21" s="1172">
        <f>+'Table 5C1A-Madison Prep'!F21</f>
        <v>553.79999999999995</v>
      </c>
      <c r="G21" s="1172">
        <f t="shared" si="35"/>
        <v>0</v>
      </c>
      <c r="H21" s="1540">
        <f t="shared" si="36"/>
        <v>0</v>
      </c>
      <c r="I21" s="1173"/>
      <c r="J21" s="1173"/>
      <c r="K21" s="1174">
        <f t="shared" si="37"/>
        <v>0</v>
      </c>
      <c r="L21" s="1540">
        <f t="shared" si="31"/>
        <v>0</v>
      </c>
      <c r="M21" s="1399">
        <f t="shared" si="38"/>
        <v>0</v>
      </c>
      <c r="N21" s="1540">
        <f t="shared" si="53"/>
        <v>0</v>
      </c>
      <c r="O21" s="1171">
        <v>0</v>
      </c>
      <c r="P21" s="1546">
        <f t="shared" si="39"/>
        <v>0</v>
      </c>
      <c r="Q21" s="1175"/>
      <c r="R21" s="1173">
        <f t="shared" si="40"/>
        <v>0</v>
      </c>
      <c r="S21" s="1550">
        <f t="shared" si="41"/>
        <v>0</v>
      </c>
      <c r="T21" s="1550">
        <f t="shared" si="42"/>
        <v>0</v>
      </c>
      <c r="U21" s="1382">
        <f>'Table 5C1A-Madison Prep'!U21</f>
        <v>2535</v>
      </c>
      <c r="V21" s="1516">
        <f t="shared" si="32"/>
        <v>0</v>
      </c>
      <c r="W21" s="1400"/>
      <c r="X21" s="1383">
        <f t="shared" si="43"/>
        <v>0</v>
      </c>
      <c r="Y21" s="1400"/>
      <c r="Z21" s="1383">
        <f t="shared" si="44"/>
        <v>0</v>
      </c>
      <c r="AA21" s="1384">
        <f t="shared" si="33"/>
        <v>0</v>
      </c>
      <c r="AB21" s="1511">
        <f t="shared" si="45"/>
        <v>0</v>
      </c>
      <c r="AC21" s="1402">
        <f t="shared" si="46"/>
        <v>0</v>
      </c>
      <c r="AD21" s="1511">
        <f t="shared" si="47"/>
        <v>0</v>
      </c>
      <c r="AE21" s="1385">
        <v>0</v>
      </c>
      <c r="AF21" s="1511">
        <f t="shared" si="48"/>
        <v>0</v>
      </c>
      <c r="AG21" s="1383"/>
      <c r="AH21" s="1383">
        <f t="shared" si="49"/>
        <v>0</v>
      </c>
      <c r="AI21" s="1516">
        <f t="shared" si="50"/>
        <v>0</v>
      </c>
      <c r="AJ21" s="1531">
        <f t="shared" si="51"/>
        <v>0</v>
      </c>
      <c r="AK21" s="1536">
        <f t="shared" si="52"/>
        <v>0</v>
      </c>
    </row>
    <row r="22" spans="1:37" ht="16.2" customHeight="1">
      <c r="A22" s="1183">
        <v>16</v>
      </c>
      <c r="B22" s="1184" t="s">
        <v>96</v>
      </c>
      <c r="C22" s="1185">
        <f>+'Table 8 Membership 2.1.14'!O18</f>
        <v>0</v>
      </c>
      <c r="D22" s="1186">
        <f>+'Table 5C1A-Madison Prep'!D22</f>
        <v>1980.2494354342025</v>
      </c>
      <c r="E22" s="1187">
        <f t="shared" si="34"/>
        <v>0</v>
      </c>
      <c r="F22" s="1187">
        <f>+'Table 5C1A-Madison Prep'!F22</f>
        <v>686.73</v>
      </c>
      <c r="G22" s="1187">
        <f t="shared" si="35"/>
        <v>0</v>
      </c>
      <c r="H22" s="1538">
        <f t="shared" si="36"/>
        <v>0</v>
      </c>
      <c r="I22" s="1188"/>
      <c r="J22" s="1188"/>
      <c r="K22" s="1189">
        <f t="shared" si="37"/>
        <v>0</v>
      </c>
      <c r="L22" s="1538">
        <f t="shared" si="31"/>
        <v>0</v>
      </c>
      <c r="M22" s="1372">
        <f t="shared" si="38"/>
        <v>0</v>
      </c>
      <c r="N22" s="1538">
        <f t="shared" si="53"/>
        <v>0</v>
      </c>
      <c r="O22" s="1186">
        <v>0</v>
      </c>
      <c r="P22" s="1544">
        <f t="shared" si="39"/>
        <v>0</v>
      </c>
      <c r="Q22" s="1188"/>
      <c r="R22" s="1188">
        <f t="shared" si="40"/>
        <v>0</v>
      </c>
      <c r="S22" s="1544">
        <f t="shared" si="41"/>
        <v>0</v>
      </c>
      <c r="T22" s="1544">
        <f t="shared" si="42"/>
        <v>0</v>
      </c>
      <c r="U22" s="1373">
        <f>'Table 5C1A-Madison Prep'!U22</f>
        <v>12768</v>
      </c>
      <c r="V22" s="1514">
        <f t="shared" si="32"/>
        <v>0</v>
      </c>
      <c r="W22" s="1375"/>
      <c r="X22" s="1376">
        <f t="shared" si="43"/>
        <v>0</v>
      </c>
      <c r="Y22" s="1375"/>
      <c r="Z22" s="1376">
        <f t="shared" si="44"/>
        <v>0</v>
      </c>
      <c r="AA22" s="1374">
        <f t="shared" si="33"/>
        <v>0</v>
      </c>
      <c r="AB22" s="1509">
        <f t="shared" si="45"/>
        <v>0</v>
      </c>
      <c r="AC22" s="1378">
        <f t="shared" si="46"/>
        <v>0</v>
      </c>
      <c r="AD22" s="1509">
        <f t="shared" si="47"/>
        <v>0</v>
      </c>
      <c r="AE22" s="1379">
        <v>0</v>
      </c>
      <c r="AF22" s="1509">
        <f t="shared" si="48"/>
        <v>0</v>
      </c>
      <c r="AG22" s="1376"/>
      <c r="AH22" s="1376">
        <f t="shared" si="49"/>
        <v>0</v>
      </c>
      <c r="AI22" s="1514">
        <f t="shared" si="50"/>
        <v>0</v>
      </c>
      <c r="AJ22" s="1530">
        <f t="shared" si="51"/>
        <v>0</v>
      </c>
      <c r="AK22" s="1534">
        <f t="shared" si="52"/>
        <v>0</v>
      </c>
    </row>
    <row r="23" spans="1:37" ht="16.2" customHeight="1">
      <c r="A23" s="1176">
        <v>17</v>
      </c>
      <c r="B23" s="1177" t="s">
        <v>97</v>
      </c>
      <c r="C23" s="1178">
        <f>+'Table 8 Membership 2.1.14'!O19</f>
        <v>0</v>
      </c>
      <c r="D23" s="1179">
        <f>+'Table 5C1A-Madison Prep'!D23</f>
        <v>3363.5980368254495</v>
      </c>
      <c r="E23" s="1180">
        <f t="shared" si="34"/>
        <v>0</v>
      </c>
      <c r="F23" s="1180">
        <f>+'Table 5C1A-Madison Prep'!F23</f>
        <v>801.47762416806802</v>
      </c>
      <c r="G23" s="1180">
        <f t="shared" si="35"/>
        <v>0</v>
      </c>
      <c r="H23" s="1539">
        <f t="shared" si="36"/>
        <v>0</v>
      </c>
      <c r="I23" s="1181"/>
      <c r="J23" s="1181"/>
      <c r="K23" s="1182">
        <f t="shared" si="37"/>
        <v>0</v>
      </c>
      <c r="L23" s="1539">
        <f t="shared" si="31"/>
        <v>0</v>
      </c>
      <c r="M23" s="1388">
        <f t="shared" si="38"/>
        <v>0</v>
      </c>
      <c r="N23" s="1539">
        <f t="shared" si="53"/>
        <v>0</v>
      </c>
      <c r="O23" s="1179">
        <v>0</v>
      </c>
      <c r="P23" s="1545">
        <f t="shared" si="39"/>
        <v>0</v>
      </c>
      <c r="Q23" s="1181"/>
      <c r="R23" s="1181">
        <f t="shared" si="40"/>
        <v>0</v>
      </c>
      <c r="S23" s="1545">
        <f t="shared" si="41"/>
        <v>0</v>
      </c>
      <c r="T23" s="1545">
        <f t="shared" si="42"/>
        <v>0</v>
      </c>
      <c r="U23" s="1389">
        <f>'Table 5C1A-Madison Prep'!U23</f>
        <v>7050</v>
      </c>
      <c r="V23" s="1515">
        <f t="shared" si="32"/>
        <v>0</v>
      </c>
      <c r="W23" s="1391"/>
      <c r="X23" s="1392">
        <f t="shared" si="43"/>
        <v>0</v>
      </c>
      <c r="Y23" s="1391"/>
      <c r="Z23" s="1392">
        <f t="shared" si="44"/>
        <v>0</v>
      </c>
      <c r="AA23" s="1390">
        <f t="shared" si="33"/>
        <v>0</v>
      </c>
      <c r="AB23" s="1510">
        <f t="shared" si="45"/>
        <v>0</v>
      </c>
      <c r="AC23" s="1394">
        <f t="shared" si="46"/>
        <v>0</v>
      </c>
      <c r="AD23" s="1510">
        <f t="shared" si="47"/>
        <v>0</v>
      </c>
      <c r="AE23" s="1395">
        <v>0</v>
      </c>
      <c r="AF23" s="1510">
        <f t="shared" si="48"/>
        <v>0</v>
      </c>
      <c r="AG23" s="1392"/>
      <c r="AH23" s="1392">
        <f t="shared" si="49"/>
        <v>0</v>
      </c>
      <c r="AI23" s="1515">
        <f t="shared" si="50"/>
        <v>0</v>
      </c>
      <c r="AJ23" s="1505">
        <f t="shared" si="51"/>
        <v>0</v>
      </c>
      <c r="AK23" s="1535">
        <f t="shared" si="52"/>
        <v>0</v>
      </c>
    </row>
    <row r="24" spans="1:37" ht="16.2" customHeight="1">
      <c r="A24" s="1176">
        <v>18</v>
      </c>
      <c r="B24" s="1177" t="s">
        <v>98</v>
      </c>
      <c r="C24" s="1178">
        <f>+'Table 8 Membership 2.1.14'!O20</f>
        <v>0</v>
      </c>
      <c r="D24" s="1179">
        <f>+'Table 5C1A-Madison Prep'!D24</f>
        <v>6354.5533500475731</v>
      </c>
      <c r="E24" s="1180">
        <f t="shared" si="34"/>
        <v>0</v>
      </c>
      <c r="F24" s="1180">
        <f>+'Table 5C1A-Madison Prep'!F24</f>
        <v>845.94999999999993</v>
      </c>
      <c r="G24" s="1180">
        <f t="shared" si="35"/>
        <v>0</v>
      </c>
      <c r="H24" s="1539">
        <f t="shared" si="36"/>
        <v>0</v>
      </c>
      <c r="I24" s="1181"/>
      <c r="J24" s="1181"/>
      <c r="K24" s="1182">
        <f t="shared" si="37"/>
        <v>0</v>
      </c>
      <c r="L24" s="1539">
        <f t="shared" si="31"/>
        <v>0</v>
      </c>
      <c r="M24" s="1388">
        <f t="shared" si="38"/>
        <v>0</v>
      </c>
      <c r="N24" s="1539">
        <f t="shared" si="53"/>
        <v>0</v>
      </c>
      <c r="O24" s="1179">
        <v>0</v>
      </c>
      <c r="P24" s="1545">
        <f t="shared" si="39"/>
        <v>0</v>
      </c>
      <c r="Q24" s="1181"/>
      <c r="R24" s="1181">
        <f t="shared" si="40"/>
        <v>0</v>
      </c>
      <c r="S24" s="1545">
        <f t="shared" si="41"/>
        <v>0</v>
      </c>
      <c r="T24" s="1545">
        <f t="shared" si="42"/>
        <v>0</v>
      </c>
      <c r="U24" s="1389">
        <f>'Table 5C1A-Madison Prep'!U24</f>
        <v>2526</v>
      </c>
      <c r="V24" s="1515">
        <f t="shared" si="32"/>
        <v>0</v>
      </c>
      <c r="W24" s="1391"/>
      <c r="X24" s="1392">
        <f t="shared" si="43"/>
        <v>0</v>
      </c>
      <c r="Y24" s="1391"/>
      <c r="Z24" s="1392">
        <f t="shared" si="44"/>
        <v>0</v>
      </c>
      <c r="AA24" s="1390">
        <f t="shared" si="33"/>
        <v>0</v>
      </c>
      <c r="AB24" s="1510">
        <f t="shared" si="45"/>
        <v>0</v>
      </c>
      <c r="AC24" s="1394">
        <f t="shared" si="46"/>
        <v>0</v>
      </c>
      <c r="AD24" s="1510">
        <f t="shared" si="47"/>
        <v>0</v>
      </c>
      <c r="AE24" s="1395">
        <v>0</v>
      </c>
      <c r="AF24" s="1510">
        <f t="shared" si="48"/>
        <v>0</v>
      </c>
      <c r="AG24" s="1392"/>
      <c r="AH24" s="1392">
        <f t="shared" si="49"/>
        <v>0</v>
      </c>
      <c r="AI24" s="1515">
        <f t="shared" si="50"/>
        <v>0</v>
      </c>
      <c r="AJ24" s="1505">
        <f t="shared" si="51"/>
        <v>0</v>
      </c>
      <c r="AK24" s="1535">
        <f t="shared" si="52"/>
        <v>0</v>
      </c>
    </row>
    <row r="25" spans="1:37" ht="16.2" customHeight="1">
      <c r="A25" s="1176">
        <v>19</v>
      </c>
      <c r="B25" s="1177" t="s">
        <v>99</v>
      </c>
      <c r="C25" s="1178">
        <f>+'Table 8 Membership 2.1.14'!O21</f>
        <v>0</v>
      </c>
      <c r="D25" s="1179">
        <f>+'Table 5C1A-Madison Prep'!D25</f>
        <v>5314.3921869460446</v>
      </c>
      <c r="E25" s="1180">
        <f t="shared" si="34"/>
        <v>0</v>
      </c>
      <c r="F25" s="1180">
        <f>+'Table 5C1A-Madison Prep'!F25</f>
        <v>905.43</v>
      </c>
      <c r="G25" s="1180">
        <f t="shared" si="35"/>
        <v>0</v>
      </c>
      <c r="H25" s="1539">
        <f t="shared" si="36"/>
        <v>0</v>
      </c>
      <c r="I25" s="1181"/>
      <c r="J25" s="1181"/>
      <c r="K25" s="1182">
        <f t="shared" si="37"/>
        <v>0</v>
      </c>
      <c r="L25" s="1539">
        <f t="shared" si="31"/>
        <v>0</v>
      </c>
      <c r="M25" s="1388">
        <f t="shared" si="38"/>
        <v>0</v>
      </c>
      <c r="N25" s="1539">
        <f t="shared" si="53"/>
        <v>0</v>
      </c>
      <c r="O25" s="1179">
        <v>0</v>
      </c>
      <c r="P25" s="1545">
        <f t="shared" si="39"/>
        <v>0</v>
      </c>
      <c r="Q25" s="1181"/>
      <c r="R25" s="1181">
        <f t="shared" si="40"/>
        <v>0</v>
      </c>
      <c r="S25" s="1545">
        <f t="shared" si="41"/>
        <v>0</v>
      </c>
      <c r="T25" s="1545">
        <f t="shared" si="42"/>
        <v>0</v>
      </c>
      <c r="U25" s="1389">
        <f>'Table 5C1A-Madison Prep'!U25</f>
        <v>2908</v>
      </c>
      <c r="V25" s="1515">
        <f t="shared" si="32"/>
        <v>0</v>
      </c>
      <c r="W25" s="1391"/>
      <c r="X25" s="1392">
        <f t="shared" si="43"/>
        <v>0</v>
      </c>
      <c r="Y25" s="1391"/>
      <c r="Z25" s="1392">
        <f t="shared" si="44"/>
        <v>0</v>
      </c>
      <c r="AA25" s="1390">
        <f t="shared" si="33"/>
        <v>0</v>
      </c>
      <c r="AB25" s="1510">
        <f t="shared" si="45"/>
        <v>0</v>
      </c>
      <c r="AC25" s="1394">
        <f t="shared" si="46"/>
        <v>0</v>
      </c>
      <c r="AD25" s="1510">
        <f t="shared" si="47"/>
        <v>0</v>
      </c>
      <c r="AE25" s="1395">
        <v>0</v>
      </c>
      <c r="AF25" s="1510">
        <f t="shared" si="48"/>
        <v>0</v>
      </c>
      <c r="AG25" s="1392"/>
      <c r="AH25" s="1392">
        <f t="shared" si="49"/>
        <v>0</v>
      </c>
      <c r="AI25" s="1515">
        <f t="shared" si="50"/>
        <v>0</v>
      </c>
      <c r="AJ25" s="1505">
        <f t="shared" si="51"/>
        <v>0</v>
      </c>
      <c r="AK25" s="1535">
        <f t="shared" si="52"/>
        <v>0</v>
      </c>
    </row>
    <row r="26" spans="1:37" ht="16.2" customHeight="1">
      <c r="A26" s="1168">
        <v>20</v>
      </c>
      <c r="B26" s="1169" t="s">
        <v>100</v>
      </c>
      <c r="C26" s="1170">
        <f>+'Table 8 Membership 2.1.14'!O22</f>
        <v>0</v>
      </c>
      <c r="D26" s="1171">
        <f>+'Table 5C1A-Madison Prep'!D26</f>
        <v>5278.5201565562011</v>
      </c>
      <c r="E26" s="1172">
        <f t="shared" si="34"/>
        <v>0</v>
      </c>
      <c r="F26" s="1172">
        <f>+'Table 5C1A-Madison Prep'!F26</f>
        <v>586.16999999999996</v>
      </c>
      <c r="G26" s="1172">
        <f t="shared" si="35"/>
        <v>0</v>
      </c>
      <c r="H26" s="1540">
        <f t="shared" si="36"/>
        <v>0</v>
      </c>
      <c r="I26" s="1173"/>
      <c r="J26" s="1173"/>
      <c r="K26" s="1174">
        <f t="shared" si="37"/>
        <v>0</v>
      </c>
      <c r="L26" s="1540">
        <f t="shared" si="31"/>
        <v>0</v>
      </c>
      <c r="M26" s="1399">
        <f t="shared" si="38"/>
        <v>0</v>
      </c>
      <c r="N26" s="1540">
        <f t="shared" si="53"/>
        <v>0</v>
      </c>
      <c r="O26" s="1171">
        <v>0</v>
      </c>
      <c r="P26" s="1546">
        <f t="shared" si="39"/>
        <v>0</v>
      </c>
      <c r="Q26" s="1175"/>
      <c r="R26" s="1173">
        <f t="shared" si="40"/>
        <v>0</v>
      </c>
      <c r="S26" s="1550">
        <f t="shared" si="41"/>
        <v>0</v>
      </c>
      <c r="T26" s="1550">
        <f t="shared" si="42"/>
        <v>0</v>
      </c>
      <c r="U26" s="1382">
        <f>'Table 5C1A-Madison Prep'!U26</f>
        <v>2432</v>
      </c>
      <c r="V26" s="1516">
        <f t="shared" si="32"/>
        <v>0</v>
      </c>
      <c r="W26" s="1400"/>
      <c r="X26" s="1383">
        <f t="shared" si="43"/>
        <v>0</v>
      </c>
      <c r="Y26" s="1400"/>
      <c r="Z26" s="1383">
        <f t="shared" si="44"/>
        <v>0</v>
      </c>
      <c r="AA26" s="1384">
        <f t="shared" si="33"/>
        <v>0</v>
      </c>
      <c r="AB26" s="1511">
        <f t="shared" si="45"/>
        <v>0</v>
      </c>
      <c r="AC26" s="1402">
        <f t="shared" si="46"/>
        <v>0</v>
      </c>
      <c r="AD26" s="1511">
        <f t="shared" si="47"/>
        <v>0</v>
      </c>
      <c r="AE26" s="1385">
        <v>0</v>
      </c>
      <c r="AF26" s="1511">
        <f t="shared" si="48"/>
        <v>0</v>
      </c>
      <c r="AG26" s="1383"/>
      <c r="AH26" s="1383">
        <f t="shared" si="49"/>
        <v>0</v>
      </c>
      <c r="AI26" s="1516">
        <f t="shared" si="50"/>
        <v>0</v>
      </c>
      <c r="AJ26" s="1531">
        <f t="shared" si="51"/>
        <v>0</v>
      </c>
      <c r="AK26" s="1536">
        <f t="shared" si="52"/>
        <v>0</v>
      </c>
    </row>
    <row r="27" spans="1:37" ht="16.2" customHeight="1">
      <c r="A27" s="1183">
        <v>21</v>
      </c>
      <c r="B27" s="1184" t="s">
        <v>101</v>
      </c>
      <c r="C27" s="1185">
        <f>+'Table 8 Membership 2.1.14'!O23</f>
        <v>0</v>
      </c>
      <c r="D27" s="1186">
        <f>+'Table 5C1A-Madison Prep'!D27</f>
        <v>6082.3042295867763</v>
      </c>
      <c r="E27" s="1187">
        <f t="shared" si="34"/>
        <v>0</v>
      </c>
      <c r="F27" s="1187">
        <f>+'Table 5C1A-Madison Prep'!F27</f>
        <v>610.35</v>
      </c>
      <c r="G27" s="1187">
        <f t="shared" si="35"/>
        <v>0</v>
      </c>
      <c r="H27" s="1538">
        <f t="shared" si="36"/>
        <v>0</v>
      </c>
      <c r="I27" s="1188"/>
      <c r="J27" s="1188"/>
      <c r="K27" s="1189">
        <f t="shared" si="37"/>
        <v>0</v>
      </c>
      <c r="L27" s="1538">
        <f t="shared" si="31"/>
        <v>0</v>
      </c>
      <c r="M27" s="1372">
        <f t="shared" si="38"/>
        <v>0</v>
      </c>
      <c r="N27" s="1538">
        <f t="shared" si="53"/>
        <v>0</v>
      </c>
      <c r="O27" s="1186">
        <v>0</v>
      </c>
      <c r="P27" s="1544">
        <f t="shared" si="39"/>
        <v>0</v>
      </c>
      <c r="Q27" s="1188"/>
      <c r="R27" s="1188">
        <f t="shared" si="40"/>
        <v>0</v>
      </c>
      <c r="S27" s="1544">
        <f t="shared" si="41"/>
        <v>0</v>
      </c>
      <c r="T27" s="1544">
        <f t="shared" si="42"/>
        <v>0</v>
      </c>
      <c r="U27" s="1373">
        <f>'Table 5C1A-Madison Prep'!U27</f>
        <v>2460</v>
      </c>
      <c r="V27" s="1514">
        <f t="shared" si="32"/>
        <v>0</v>
      </c>
      <c r="W27" s="1375"/>
      <c r="X27" s="1376">
        <f t="shared" si="43"/>
        <v>0</v>
      </c>
      <c r="Y27" s="1375"/>
      <c r="Z27" s="1376">
        <f t="shared" si="44"/>
        <v>0</v>
      </c>
      <c r="AA27" s="1374">
        <f t="shared" si="33"/>
        <v>0</v>
      </c>
      <c r="AB27" s="1509">
        <f t="shared" si="45"/>
        <v>0</v>
      </c>
      <c r="AC27" s="1378">
        <f t="shared" si="46"/>
        <v>0</v>
      </c>
      <c r="AD27" s="1509">
        <f t="shared" si="47"/>
        <v>0</v>
      </c>
      <c r="AE27" s="1379">
        <v>0</v>
      </c>
      <c r="AF27" s="1509">
        <f t="shared" si="48"/>
        <v>0</v>
      </c>
      <c r="AG27" s="1376"/>
      <c r="AH27" s="1376">
        <f t="shared" si="49"/>
        <v>0</v>
      </c>
      <c r="AI27" s="1514">
        <f t="shared" si="50"/>
        <v>0</v>
      </c>
      <c r="AJ27" s="1530">
        <f t="shared" si="51"/>
        <v>0</v>
      </c>
      <c r="AK27" s="1534">
        <f t="shared" si="52"/>
        <v>0</v>
      </c>
    </row>
    <row r="28" spans="1:37" ht="16.2" customHeight="1">
      <c r="A28" s="1176">
        <v>22</v>
      </c>
      <c r="B28" s="1177" t="s">
        <v>102</v>
      </c>
      <c r="C28" s="1178">
        <f>+'Table 8 Membership 2.1.14'!O24</f>
        <v>0</v>
      </c>
      <c r="D28" s="1179">
        <f>+'Table 5C1A-Madison Prep'!D28</f>
        <v>6416.1099808195995</v>
      </c>
      <c r="E28" s="1180">
        <f t="shared" si="34"/>
        <v>0</v>
      </c>
      <c r="F28" s="1180">
        <f>+'Table 5C1A-Madison Prep'!F28</f>
        <v>496.36</v>
      </c>
      <c r="G28" s="1180">
        <f t="shared" si="35"/>
        <v>0</v>
      </c>
      <c r="H28" s="1539">
        <f t="shared" si="36"/>
        <v>0</v>
      </c>
      <c r="I28" s="1181"/>
      <c r="J28" s="1181"/>
      <c r="K28" s="1182">
        <f t="shared" si="37"/>
        <v>0</v>
      </c>
      <c r="L28" s="1539">
        <f t="shared" si="31"/>
        <v>0</v>
      </c>
      <c r="M28" s="1388">
        <f t="shared" si="38"/>
        <v>0</v>
      </c>
      <c r="N28" s="1539">
        <f t="shared" si="53"/>
        <v>0</v>
      </c>
      <c r="O28" s="1179">
        <v>0</v>
      </c>
      <c r="P28" s="1545">
        <f t="shared" si="39"/>
        <v>0</v>
      </c>
      <c r="Q28" s="1181"/>
      <c r="R28" s="1181">
        <f t="shared" si="40"/>
        <v>0</v>
      </c>
      <c r="S28" s="1545">
        <f t="shared" si="41"/>
        <v>0</v>
      </c>
      <c r="T28" s="1545">
        <f t="shared" si="42"/>
        <v>0</v>
      </c>
      <c r="U28" s="1389">
        <f>'Table 5C1A-Madison Prep'!U28</f>
        <v>1613</v>
      </c>
      <c r="V28" s="1515">
        <f t="shared" si="32"/>
        <v>0</v>
      </c>
      <c r="W28" s="1391"/>
      <c r="X28" s="1392">
        <f t="shared" si="43"/>
        <v>0</v>
      </c>
      <c r="Y28" s="1391"/>
      <c r="Z28" s="1392">
        <f t="shared" si="44"/>
        <v>0</v>
      </c>
      <c r="AA28" s="1390">
        <f t="shared" si="33"/>
        <v>0</v>
      </c>
      <c r="AB28" s="1510">
        <f t="shared" si="45"/>
        <v>0</v>
      </c>
      <c r="AC28" s="1394">
        <f t="shared" si="46"/>
        <v>0</v>
      </c>
      <c r="AD28" s="1510">
        <f t="shared" si="47"/>
        <v>0</v>
      </c>
      <c r="AE28" s="1395">
        <v>0</v>
      </c>
      <c r="AF28" s="1510">
        <f t="shared" si="48"/>
        <v>0</v>
      </c>
      <c r="AG28" s="1392"/>
      <c r="AH28" s="1392">
        <f t="shared" si="49"/>
        <v>0</v>
      </c>
      <c r="AI28" s="1515">
        <f t="shared" si="50"/>
        <v>0</v>
      </c>
      <c r="AJ28" s="1505">
        <f t="shared" si="51"/>
        <v>0</v>
      </c>
      <c r="AK28" s="1535">
        <f t="shared" si="52"/>
        <v>0</v>
      </c>
    </row>
    <row r="29" spans="1:37" ht="16.2" customHeight="1">
      <c r="A29" s="1176">
        <v>23</v>
      </c>
      <c r="B29" s="1177" t="s">
        <v>103</v>
      </c>
      <c r="C29" s="1178">
        <f>+'Table 8 Membership 2.1.14'!O25</f>
        <v>0</v>
      </c>
      <c r="D29" s="1179">
        <f>+'Table 5C1A-Madison Prep'!D29</f>
        <v>5011.0215265979159</v>
      </c>
      <c r="E29" s="1180">
        <f t="shared" si="34"/>
        <v>0</v>
      </c>
      <c r="F29" s="1180">
        <f>+'Table 5C1A-Madison Prep'!F29</f>
        <v>688.58</v>
      </c>
      <c r="G29" s="1180">
        <f t="shared" si="35"/>
        <v>0</v>
      </c>
      <c r="H29" s="1539">
        <f t="shared" si="36"/>
        <v>0</v>
      </c>
      <c r="I29" s="1181"/>
      <c r="J29" s="1181"/>
      <c r="K29" s="1182">
        <f t="shared" si="37"/>
        <v>0</v>
      </c>
      <c r="L29" s="1539">
        <f t="shared" si="31"/>
        <v>0</v>
      </c>
      <c r="M29" s="1388">
        <f t="shared" si="38"/>
        <v>0</v>
      </c>
      <c r="N29" s="1539">
        <f t="shared" si="53"/>
        <v>0</v>
      </c>
      <c r="O29" s="1179">
        <v>0</v>
      </c>
      <c r="P29" s="1545">
        <f t="shared" si="39"/>
        <v>0</v>
      </c>
      <c r="Q29" s="1181"/>
      <c r="R29" s="1181">
        <f t="shared" si="40"/>
        <v>0</v>
      </c>
      <c r="S29" s="1545">
        <f t="shared" si="41"/>
        <v>0</v>
      </c>
      <c r="T29" s="1545">
        <f t="shared" si="42"/>
        <v>0</v>
      </c>
      <c r="U29" s="1389">
        <f>'Table 5C1A-Madison Prep'!U29</f>
        <v>3473</v>
      </c>
      <c r="V29" s="1515">
        <f t="shared" si="32"/>
        <v>0</v>
      </c>
      <c r="W29" s="1391"/>
      <c r="X29" s="1392">
        <f t="shared" si="43"/>
        <v>0</v>
      </c>
      <c r="Y29" s="1391"/>
      <c r="Z29" s="1392">
        <f t="shared" si="44"/>
        <v>0</v>
      </c>
      <c r="AA29" s="1390">
        <f t="shared" si="33"/>
        <v>0</v>
      </c>
      <c r="AB29" s="1510">
        <f t="shared" si="45"/>
        <v>0</v>
      </c>
      <c r="AC29" s="1394">
        <f t="shared" si="46"/>
        <v>0</v>
      </c>
      <c r="AD29" s="1510">
        <f t="shared" si="47"/>
        <v>0</v>
      </c>
      <c r="AE29" s="1395">
        <v>0</v>
      </c>
      <c r="AF29" s="1510">
        <f t="shared" si="48"/>
        <v>0</v>
      </c>
      <c r="AG29" s="1392"/>
      <c r="AH29" s="1392">
        <f t="shared" si="49"/>
        <v>0</v>
      </c>
      <c r="AI29" s="1515">
        <f t="shared" si="50"/>
        <v>0</v>
      </c>
      <c r="AJ29" s="1505">
        <f t="shared" si="51"/>
        <v>0</v>
      </c>
      <c r="AK29" s="1535">
        <f t="shared" si="52"/>
        <v>0</v>
      </c>
    </row>
    <row r="30" spans="1:37" ht="16.2" customHeight="1">
      <c r="A30" s="1176">
        <v>24</v>
      </c>
      <c r="B30" s="1177" t="s">
        <v>104</v>
      </c>
      <c r="C30" s="1178">
        <f>+'Table 8 Membership 2.1.14'!O26</f>
        <v>0</v>
      </c>
      <c r="D30" s="1179">
        <f>+'Table 5C1A-Madison Prep'!D30</f>
        <v>2611.6740361576999</v>
      </c>
      <c r="E30" s="1180">
        <f t="shared" si="34"/>
        <v>0</v>
      </c>
      <c r="F30" s="1180">
        <f>+'Table 5C1A-Madison Prep'!F30</f>
        <v>854.24999999999989</v>
      </c>
      <c r="G30" s="1180">
        <f t="shared" si="35"/>
        <v>0</v>
      </c>
      <c r="H30" s="1539">
        <f t="shared" si="36"/>
        <v>0</v>
      </c>
      <c r="I30" s="1181"/>
      <c r="J30" s="1181"/>
      <c r="K30" s="1182">
        <f t="shared" si="37"/>
        <v>0</v>
      </c>
      <c r="L30" s="1539">
        <f t="shared" si="31"/>
        <v>0</v>
      </c>
      <c r="M30" s="1388">
        <f t="shared" si="38"/>
        <v>0</v>
      </c>
      <c r="N30" s="1539">
        <f t="shared" si="53"/>
        <v>0</v>
      </c>
      <c r="O30" s="1179">
        <v>0</v>
      </c>
      <c r="P30" s="1545">
        <f t="shared" si="39"/>
        <v>0</v>
      </c>
      <c r="Q30" s="1181"/>
      <c r="R30" s="1181">
        <f t="shared" si="40"/>
        <v>0</v>
      </c>
      <c r="S30" s="1545">
        <f t="shared" si="41"/>
        <v>0</v>
      </c>
      <c r="T30" s="1545">
        <f t="shared" si="42"/>
        <v>0</v>
      </c>
      <c r="U30" s="1389">
        <f>'Table 5C1A-Madison Prep'!U30</f>
        <v>10053</v>
      </c>
      <c r="V30" s="1515">
        <f t="shared" si="32"/>
        <v>0</v>
      </c>
      <c r="W30" s="1391"/>
      <c r="X30" s="1392">
        <f t="shared" si="43"/>
        <v>0</v>
      </c>
      <c r="Y30" s="1391"/>
      <c r="Z30" s="1392">
        <f t="shared" si="44"/>
        <v>0</v>
      </c>
      <c r="AA30" s="1390">
        <f t="shared" si="33"/>
        <v>0</v>
      </c>
      <c r="AB30" s="1510">
        <f t="shared" si="45"/>
        <v>0</v>
      </c>
      <c r="AC30" s="1394">
        <f t="shared" si="46"/>
        <v>0</v>
      </c>
      <c r="AD30" s="1510">
        <f t="shared" si="47"/>
        <v>0</v>
      </c>
      <c r="AE30" s="1395">
        <v>0</v>
      </c>
      <c r="AF30" s="1510">
        <f t="shared" si="48"/>
        <v>0</v>
      </c>
      <c r="AG30" s="1392"/>
      <c r="AH30" s="1392">
        <f t="shared" si="49"/>
        <v>0</v>
      </c>
      <c r="AI30" s="1515">
        <f t="shared" si="50"/>
        <v>0</v>
      </c>
      <c r="AJ30" s="1505">
        <f t="shared" si="51"/>
        <v>0</v>
      </c>
      <c r="AK30" s="1535">
        <f t="shared" si="52"/>
        <v>0</v>
      </c>
    </row>
    <row r="31" spans="1:37" ht="16.2" customHeight="1">
      <c r="A31" s="1168">
        <v>25</v>
      </c>
      <c r="B31" s="1169" t="s">
        <v>105</v>
      </c>
      <c r="C31" s="1170">
        <f>+'Table 8 Membership 2.1.14'!O27</f>
        <v>0</v>
      </c>
      <c r="D31" s="1171">
        <f>+'Table 5C1A-Madison Prep'!D31</f>
        <v>4173.0720274945697</v>
      </c>
      <c r="E31" s="1172">
        <f t="shared" si="34"/>
        <v>0</v>
      </c>
      <c r="F31" s="1172">
        <f>+'Table 5C1A-Madison Prep'!F31</f>
        <v>653.73</v>
      </c>
      <c r="G31" s="1172">
        <f t="shared" si="35"/>
        <v>0</v>
      </c>
      <c r="H31" s="1540">
        <f t="shared" si="36"/>
        <v>0</v>
      </c>
      <c r="I31" s="1173"/>
      <c r="J31" s="1173"/>
      <c r="K31" s="1174">
        <f t="shared" si="37"/>
        <v>0</v>
      </c>
      <c r="L31" s="1540">
        <f t="shared" si="31"/>
        <v>0</v>
      </c>
      <c r="M31" s="1399">
        <f t="shared" si="38"/>
        <v>0</v>
      </c>
      <c r="N31" s="1540">
        <f t="shared" si="53"/>
        <v>0</v>
      </c>
      <c r="O31" s="1171">
        <v>0</v>
      </c>
      <c r="P31" s="1546">
        <f t="shared" si="39"/>
        <v>0</v>
      </c>
      <c r="Q31" s="1175"/>
      <c r="R31" s="1173">
        <f t="shared" si="40"/>
        <v>0</v>
      </c>
      <c r="S31" s="1550">
        <f t="shared" si="41"/>
        <v>0</v>
      </c>
      <c r="T31" s="1550">
        <f t="shared" si="42"/>
        <v>0</v>
      </c>
      <c r="U31" s="1382">
        <f>'Table 5C1A-Madison Prep'!U31</f>
        <v>5073</v>
      </c>
      <c r="V31" s="1516">
        <f t="shared" si="32"/>
        <v>0</v>
      </c>
      <c r="W31" s="1400"/>
      <c r="X31" s="1383">
        <f t="shared" si="43"/>
        <v>0</v>
      </c>
      <c r="Y31" s="1400"/>
      <c r="Z31" s="1383">
        <f t="shared" si="44"/>
        <v>0</v>
      </c>
      <c r="AA31" s="1384">
        <f t="shared" si="33"/>
        <v>0</v>
      </c>
      <c r="AB31" s="1511">
        <f t="shared" si="45"/>
        <v>0</v>
      </c>
      <c r="AC31" s="1402">
        <f t="shared" si="46"/>
        <v>0</v>
      </c>
      <c r="AD31" s="1511">
        <f t="shared" si="47"/>
        <v>0</v>
      </c>
      <c r="AE31" s="1385">
        <v>0</v>
      </c>
      <c r="AF31" s="1511">
        <f t="shared" si="48"/>
        <v>0</v>
      </c>
      <c r="AG31" s="1383"/>
      <c r="AH31" s="1383">
        <f t="shared" si="49"/>
        <v>0</v>
      </c>
      <c r="AI31" s="1516">
        <f t="shared" si="50"/>
        <v>0</v>
      </c>
      <c r="AJ31" s="1531">
        <f t="shared" si="51"/>
        <v>0</v>
      </c>
      <c r="AK31" s="1536">
        <f t="shared" si="52"/>
        <v>0</v>
      </c>
    </row>
    <row r="32" spans="1:37" ht="16.2" customHeight="1">
      <c r="A32" s="1183">
        <v>26</v>
      </c>
      <c r="B32" s="1184" t="s">
        <v>106</v>
      </c>
      <c r="C32" s="1185">
        <f>+'Table 8 Membership 2.1.14'!O28</f>
        <v>191</v>
      </c>
      <c r="D32" s="1186">
        <f>+'Table 5C1A-Madison Prep'!D32</f>
        <v>3424.5649970570835</v>
      </c>
      <c r="E32" s="1187">
        <f t="shared" si="34"/>
        <v>654091.91443790297</v>
      </c>
      <c r="F32" s="1187">
        <f>+'Table 5C1A-Madison Prep'!F32</f>
        <v>836.83</v>
      </c>
      <c r="G32" s="1187">
        <f t="shared" si="35"/>
        <v>159834.53</v>
      </c>
      <c r="H32" s="1538">
        <f t="shared" si="36"/>
        <v>813926.444437903</v>
      </c>
      <c r="I32" s="1188"/>
      <c r="J32" s="1188"/>
      <c r="K32" s="1189">
        <f t="shared" si="37"/>
        <v>0</v>
      </c>
      <c r="L32" s="1538">
        <f t="shared" si="31"/>
        <v>813926.444437903</v>
      </c>
      <c r="M32" s="1372">
        <f t="shared" si="38"/>
        <v>-2034.8161110947576</v>
      </c>
      <c r="N32" s="1538">
        <f t="shared" si="53"/>
        <v>811891.62832680822</v>
      </c>
      <c r="O32" s="1186">
        <v>0</v>
      </c>
      <c r="P32" s="1544">
        <f t="shared" si="39"/>
        <v>811891.62832680822</v>
      </c>
      <c r="Q32" s="1188"/>
      <c r="R32" s="1188">
        <f t="shared" si="40"/>
        <v>811891.62832680822</v>
      </c>
      <c r="S32" s="1544">
        <f t="shared" si="41"/>
        <v>67658</v>
      </c>
      <c r="T32" s="1544">
        <f t="shared" si="42"/>
        <v>811891.62832680822</v>
      </c>
      <c r="U32" s="1373">
        <f>'Table 5C1A-Madison Prep'!U32</f>
        <v>5260</v>
      </c>
      <c r="V32" s="1514">
        <f t="shared" si="32"/>
        <v>1004660</v>
      </c>
      <c r="W32" s="1375"/>
      <c r="X32" s="1376">
        <f t="shared" si="43"/>
        <v>0</v>
      </c>
      <c r="Y32" s="1375"/>
      <c r="Z32" s="1376">
        <f t="shared" si="44"/>
        <v>0</v>
      </c>
      <c r="AA32" s="1374">
        <f t="shared" si="33"/>
        <v>0</v>
      </c>
      <c r="AB32" s="1509">
        <f t="shared" si="45"/>
        <v>1004660</v>
      </c>
      <c r="AC32" s="1378">
        <f t="shared" si="46"/>
        <v>-2511.65</v>
      </c>
      <c r="AD32" s="1509">
        <f t="shared" si="47"/>
        <v>1002148.35</v>
      </c>
      <c r="AE32" s="1379">
        <v>0</v>
      </c>
      <c r="AF32" s="1509">
        <f t="shared" si="48"/>
        <v>1002148.35</v>
      </c>
      <c r="AG32" s="1376"/>
      <c r="AH32" s="1376">
        <f t="shared" si="49"/>
        <v>1002148.35</v>
      </c>
      <c r="AI32" s="1514">
        <f t="shared" si="50"/>
        <v>83512</v>
      </c>
      <c r="AJ32" s="1530">
        <f t="shared" si="51"/>
        <v>1814039.9783268082</v>
      </c>
      <c r="AK32" s="1534">
        <f t="shared" si="52"/>
        <v>151170</v>
      </c>
    </row>
    <row r="33" spans="1:37" ht="16.2" customHeight="1">
      <c r="A33" s="1176">
        <v>27</v>
      </c>
      <c r="B33" s="1177" t="s">
        <v>107</v>
      </c>
      <c r="C33" s="1178">
        <f>+'Table 8 Membership 2.1.14'!O29</f>
        <v>0</v>
      </c>
      <c r="D33" s="1179">
        <f>+'Table 5C1A-Madison Prep'!D33</f>
        <v>5804.9013839977006</v>
      </c>
      <c r="E33" s="1180">
        <f t="shared" si="34"/>
        <v>0</v>
      </c>
      <c r="F33" s="1180">
        <f>+'Table 5C1A-Madison Prep'!F33</f>
        <v>693.06</v>
      </c>
      <c r="G33" s="1180">
        <f t="shared" si="35"/>
        <v>0</v>
      </c>
      <c r="H33" s="1539">
        <f t="shared" si="36"/>
        <v>0</v>
      </c>
      <c r="I33" s="1181"/>
      <c r="J33" s="1181"/>
      <c r="K33" s="1182">
        <f t="shared" si="37"/>
        <v>0</v>
      </c>
      <c r="L33" s="1539">
        <f t="shared" si="31"/>
        <v>0</v>
      </c>
      <c r="M33" s="1388">
        <f t="shared" si="38"/>
        <v>0</v>
      </c>
      <c r="N33" s="1539">
        <f t="shared" si="53"/>
        <v>0</v>
      </c>
      <c r="O33" s="1179">
        <v>0</v>
      </c>
      <c r="P33" s="1545">
        <f t="shared" si="39"/>
        <v>0</v>
      </c>
      <c r="Q33" s="1181"/>
      <c r="R33" s="1181">
        <f t="shared" si="40"/>
        <v>0</v>
      </c>
      <c r="S33" s="1545">
        <f t="shared" si="41"/>
        <v>0</v>
      </c>
      <c r="T33" s="1545">
        <f t="shared" si="42"/>
        <v>0</v>
      </c>
      <c r="U33" s="1389">
        <f>'Table 5C1A-Madison Prep'!U33</f>
        <v>3169</v>
      </c>
      <c r="V33" s="1515">
        <f t="shared" si="32"/>
        <v>0</v>
      </c>
      <c r="W33" s="1391"/>
      <c r="X33" s="1392">
        <f t="shared" si="43"/>
        <v>0</v>
      </c>
      <c r="Y33" s="1391"/>
      <c r="Z33" s="1392">
        <f t="shared" si="44"/>
        <v>0</v>
      </c>
      <c r="AA33" s="1390">
        <f t="shared" si="33"/>
        <v>0</v>
      </c>
      <c r="AB33" s="1510">
        <f t="shared" si="45"/>
        <v>0</v>
      </c>
      <c r="AC33" s="1394">
        <f t="shared" si="46"/>
        <v>0</v>
      </c>
      <c r="AD33" s="1510">
        <f t="shared" si="47"/>
        <v>0</v>
      </c>
      <c r="AE33" s="1395">
        <v>0</v>
      </c>
      <c r="AF33" s="1510">
        <f t="shared" si="48"/>
        <v>0</v>
      </c>
      <c r="AG33" s="1392"/>
      <c r="AH33" s="1392">
        <f t="shared" si="49"/>
        <v>0</v>
      </c>
      <c r="AI33" s="1515">
        <f t="shared" si="50"/>
        <v>0</v>
      </c>
      <c r="AJ33" s="1505">
        <f t="shared" si="51"/>
        <v>0</v>
      </c>
      <c r="AK33" s="1535">
        <f t="shared" si="52"/>
        <v>0</v>
      </c>
    </row>
    <row r="34" spans="1:37" ht="16.2" customHeight="1">
      <c r="A34" s="1176">
        <v>28</v>
      </c>
      <c r="B34" s="1177" t="s">
        <v>108</v>
      </c>
      <c r="C34" s="1178">
        <f>+'Table 8 Membership 2.1.14'!O30</f>
        <v>0</v>
      </c>
      <c r="D34" s="1179">
        <f>+'Table 5C1A-Madison Prep'!D34</f>
        <v>3137.4158846568821</v>
      </c>
      <c r="E34" s="1180">
        <f t="shared" si="34"/>
        <v>0</v>
      </c>
      <c r="F34" s="1180">
        <f>+'Table 5C1A-Madison Prep'!F34</f>
        <v>694.4</v>
      </c>
      <c r="G34" s="1180">
        <f t="shared" si="35"/>
        <v>0</v>
      </c>
      <c r="H34" s="1539">
        <f t="shared" si="36"/>
        <v>0</v>
      </c>
      <c r="I34" s="1181"/>
      <c r="J34" s="1181"/>
      <c r="K34" s="1182">
        <f t="shared" si="37"/>
        <v>0</v>
      </c>
      <c r="L34" s="1539">
        <f t="shared" si="31"/>
        <v>0</v>
      </c>
      <c r="M34" s="1388">
        <f t="shared" si="38"/>
        <v>0</v>
      </c>
      <c r="N34" s="1539">
        <f t="shared" si="53"/>
        <v>0</v>
      </c>
      <c r="O34" s="1179">
        <v>0</v>
      </c>
      <c r="P34" s="1545">
        <f t="shared" si="39"/>
        <v>0</v>
      </c>
      <c r="Q34" s="1181"/>
      <c r="R34" s="1181">
        <f t="shared" si="40"/>
        <v>0</v>
      </c>
      <c r="S34" s="1545">
        <f t="shared" si="41"/>
        <v>0</v>
      </c>
      <c r="T34" s="1545">
        <f t="shared" si="42"/>
        <v>0</v>
      </c>
      <c r="U34" s="1389">
        <f>'Table 5C1A-Madison Prep'!U34</f>
        <v>5790</v>
      </c>
      <c r="V34" s="1515">
        <f t="shared" si="32"/>
        <v>0</v>
      </c>
      <c r="W34" s="1391"/>
      <c r="X34" s="1392">
        <f t="shared" si="43"/>
        <v>0</v>
      </c>
      <c r="Y34" s="1391"/>
      <c r="Z34" s="1392">
        <f t="shared" si="44"/>
        <v>0</v>
      </c>
      <c r="AA34" s="1390">
        <f t="shared" si="33"/>
        <v>0</v>
      </c>
      <c r="AB34" s="1510">
        <f t="shared" si="45"/>
        <v>0</v>
      </c>
      <c r="AC34" s="1394">
        <f t="shared" si="46"/>
        <v>0</v>
      </c>
      <c r="AD34" s="1510">
        <f t="shared" si="47"/>
        <v>0</v>
      </c>
      <c r="AE34" s="1395">
        <v>0</v>
      </c>
      <c r="AF34" s="1510">
        <f t="shared" si="48"/>
        <v>0</v>
      </c>
      <c r="AG34" s="1392"/>
      <c r="AH34" s="1392">
        <f t="shared" si="49"/>
        <v>0</v>
      </c>
      <c r="AI34" s="1515">
        <f t="shared" si="50"/>
        <v>0</v>
      </c>
      <c r="AJ34" s="1505">
        <f t="shared" si="51"/>
        <v>0</v>
      </c>
      <c r="AK34" s="1535">
        <f t="shared" si="52"/>
        <v>0</v>
      </c>
    </row>
    <row r="35" spans="1:37" ht="16.2" customHeight="1">
      <c r="A35" s="1176">
        <v>29</v>
      </c>
      <c r="B35" s="1177" t="s">
        <v>109</v>
      </c>
      <c r="C35" s="1178">
        <f>+'Table 8 Membership 2.1.14'!O31</f>
        <v>0</v>
      </c>
      <c r="D35" s="1179">
        <f>+'Table 5C1A-Madison Prep'!D35</f>
        <v>3839.0123210173724</v>
      </c>
      <c r="E35" s="1180">
        <f t="shared" si="34"/>
        <v>0</v>
      </c>
      <c r="F35" s="1180">
        <f>+'Table 5C1A-Madison Prep'!F35</f>
        <v>754.94999999999993</v>
      </c>
      <c r="G35" s="1180">
        <f t="shared" si="35"/>
        <v>0</v>
      </c>
      <c r="H35" s="1539">
        <f t="shared" si="36"/>
        <v>0</v>
      </c>
      <c r="I35" s="1181"/>
      <c r="J35" s="1181"/>
      <c r="K35" s="1182">
        <f t="shared" si="37"/>
        <v>0</v>
      </c>
      <c r="L35" s="1539">
        <f t="shared" si="31"/>
        <v>0</v>
      </c>
      <c r="M35" s="1388">
        <f t="shared" si="38"/>
        <v>0</v>
      </c>
      <c r="N35" s="1539">
        <f t="shared" si="53"/>
        <v>0</v>
      </c>
      <c r="O35" s="1179">
        <v>0</v>
      </c>
      <c r="P35" s="1545">
        <f t="shared" si="39"/>
        <v>0</v>
      </c>
      <c r="Q35" s="1181"/>
      <c r="R35" s="1181">
        <f t="shared" si="40"/>
        <v>0</v>
      </c>
      <c r="S35" s="1545">
        <f t="shared" si="41"/>
        <v>0</v>
      </c>
      <c r="T35" s="1545">
        <f t="shared" si="42"/>
        <v>0</v>
      </c>
      <c r="U35" s="1389">
        <f>'Table 5C1A-Madison Prep'!U35</f>
        <v>5069</v>
      </c>
      <c r="V35" s="1515">
        <f t="shared" si="32"/>
        <v>0</v>
      </c>
      <c r="W35" s="1391"/>
      <c r="X35" s="1392">
        <f t="shared" si="43"/>
        <v>0</v>
      </c>
      <c r="Y35" s="1391"/>
      <c r="Z35" s="1392">
        <f t="shared" si="44"/>
        <v>0</v>
      </c>
      <c r="AA35" s="1390">
        <f t="shared" si="33"/>
        <v>0</v>
      </c>
      <c r="AB35" s="1510">
        <f t="shared" si="45"/>
        <v>0</v>
      </c>
      <c r="AC35" s="1394">
        <f t="shared" si="46"/>
        <v>0</v>
      </c>
      <c r="AD35" s="1510">
        <f t="shared" si="47"/>
        <v>0</v>
      </c>
      <c r="AE35" s="1395">
        <v>0</v>
      </c>
      <c r="AF35" s="1510">
        <f t="shared" si="48"/>
        <v>0</v>
      </c>
      <c r="AG35" s="1392"/>
      <c r="AH35" s="1392">
        <f t="shared" si="49"/>
        <v>0</v>
      </c>
      <c r="AI35" s="1515">
        <f t="shared" si="50"/>
        <v>0</v>
      </c>
      <c r="AJ35" s="1505">
        <f t="shared" si="51"/>
        <v>0</v>
      </c>
      <c r="AK35" s="1535">
        <f t="shared" si="52"/>
        <v>0</v>
      </c>
    </row>
    <row r="36" spans="1:37" ht="16.2" customHeight="1">
      <c r="A36" s="1168">
        <v>30</v>
      </c>
      <c r="B36" s="1169" t="s">
        <v>110</v>
      </c>
      <c r="C36" s="1170">
        <f>+'Table 8 Membership 2.1.14'!O32</f>
        <v>0</v>
      </c>
      <c r="D36" s="1171">
        <f>+'Table 5C1A-Madison Prep'!D36</f>
        <v>5804.5327273996763</v>
      </c>
      <c r="E36" s="1172">
        <f t="shared" si="34"/>
        <v>0</v>
      </c>
      <c r="F36" s="1172">
        <f>+'Table 5C1A-Madison Prep'!F36</f>
        <v>727.17</v>
      </c>
      <c r="G36" s="1172">
        <f t="shared" si="35"/>
        <v>0</v>
      </c>
      <c r="H36" s="1540">
        <f t="shared" si="36"/>
        <v>0</v>
      </c>
      <c r="I36" s="1173"/>
      <c r="J36" s="1173"/>
      <c r="K36" s="1174">
        <f t="shared" si="37"/>
        <v>0</v>
      </c>
      <c r="L36" s="1540">
        <f t="shared" si="31"/>
        <v>0</v>
      </c>
      <c r="M36" s="1399">
        <f t="shared" si="38"/>
        <v>0</v>
      </c>
      <c r="N36" s="1540">
        <f t="shared" si="53"/>
        <v>0</v>
      </c>
      <c r="O36" s="1171">
        <v>0</v>
      </c>
      <c r="P36" s="1546">
        <f t="shared" si="39"/>
        <v>0</v>
      </c>
      <c r="Q36" s="1175"/>
      <c r="R36" s="1173">
        <f t="shared" si="40"/>
        <v>0</v>
      </c>
      <c r="S36" s="1550">
        <f t="shared" si="41"/>
        <v>0</v>
      </c>
      <c r="T36" s="1550">
        <f t="shared" si="42"/>
        <v>0</v>
      </c>
      <c r="U36" s="1382">
        <f>'Table 5C1A-Madison Prep'!U36</f>
        <v>3609</v>
      </c>
      <c r="V36" s="1516">
        <f t="shared" si="32"/>
        <v>0</v>
      </c>
      <c r="W36" s="1400"/>
      <c r="X36" s="1383">
        <f t="shared" si="43"/>
        <v>0</v>
      </c>
      <c r="Y36" s="1400"/>
      <c r="Z36" s="1383">
        <f t="shared" si="44"/>
        <v>0</v>
      </c>
      <c r="AA36" s="1384">
        <f t="shared" si="33"/>
        <v>0</v>
      </c>
      <c r="AB36" s="1511">
        <f t="shared" si="45"/>
        <v>0</v>
      </c>
      <c r="AC36" s="1402">
        <f t="shared" si="46"/>
        <v>0</v>
      </c>
      <c r="AD36" s="1511">
        <f t="shared" si="47"/>
        <v>0</v>
      </c>
      <c r="AE36" s="1385">
        <v>0</v>
      </c>
      <c r="AF36" s="1511">
        <f t="shared" si="48"/>
        <v>0</v>
      </c>
      <c r="AG36" s="1383"/>
      <c r="AH36" s="1383">
        <f t="shared" si="49"/>
        <v>0</v>
      </c>
      <c r="AI36" s="1516">
        <f t="shared" si="50"/>
        <v>0</v>
      </c>
      <c r="AJ36" s="1531">
        <f t="shared" si="51"/>
        <v>0</v>
      </c>
      <c r="AK36" s="1536">
        <f t="shared" si="52"/>
        <v>0</v>
      </c>
    </row>
    <row r="37" spans="1:37" ht="16.2" customHeight="1">
      <c r="A37" s="1183">
        <v>31</v>
      </c>
      <c r="B37" s="1184" t="s">
        <v>111</v>
      </c>
      <c r="C37" s="1185">
        <f>+'Table 8 Membership 2.1.14'!O33</f>
        <v>0</v>
      </c>
      <c r="D37" s="1186">
        <f>+'Table 5C1A-Madison Prep'!D37</f>
        <v>4520.6176716868531</v>
      </c>
      <c r="E37" s="1187">
        <f t="shared" si="34"/>
        <v>0</v>
      </c>
      <c r="F37" s="1187">
        <f>+'Table 5C1A-Madison Prep'!F37</f>
        <v>620.83000000000004</v>
      </c>
      <c r="G37" s="1187">
        <f t="shared" si="35"/>
        <v>0</v>
      </c>
      <c r="H37" s="1538">
        <f t="shared" si="36"/>
        <v>0</v>
      </c>
      <c r="I37" s="1188"/>
      <c r="J37" s="1188"/>
      <c r="K37" s="1189">
        <f t="shared" si="37"/>
        <v>0</v>
      </c>
      <c r="L37" s="1538">
        <f t="shared" si="31"/>
        <v>0</v>
      </c>
      <c r="M37" s="1372">
        <f t="shared" si="38"/>
        <v>0</v>
      </c>
      <c r="N37" s="1538">
        <f t="shared" si="53"/>
        <v>0</v>
      </c>
      <c r="O37" s="1186">
        <v>0</v>
      </c>
      <c r="P37" s="1544">
        <f t="shared" si="39"/>
        <v>0</v>
      </c>
      <c r="Q37" s="1188"/>
      <c r="R37" s="1188">
        <f t="shared" si="40"/>
        <v>0</v>
      </c>
      <c r="S37" s="1544">
        <f t="shared" si="41"/>
        <v>0</v>
      </c>
      <c r="T37" s="1544">
        <f t="shared" si="42"/>
        <v>0</v>
      </c>
      <c r="U37" s="1373">
        <f>'Table 5C1A-Madison Prep'!U37</f>
        <v>5043</v>
      </c>
      <c r="V37" s="1514">
        <f t="shared" si="32"/>
        <v>0</v>
      </c>
      <c r="W37" s="1375"/>
      <c r="X37" s="1376">
        <f t="shared" si="43"/>
        <v>0</v>
      </c>
      <c r="Y37" s="1375"/>
      <c r="Z37" s="1376">
        <f t="shared" si="44"/>
        <v>0</v>
      </c>
      <c r="AA37" s="1374">
        <f t="shared" si="33"/>
        <v>0</v>
      </c>
      <c r="AB37" s="1509">
        <f t="shared" si="45"/>
        <v>0</v>
      </c>
      <c r="AC37" s="1378">
        <f t="shared" si="46"/>
        <v>0</v>
      </c>
      <c r="AD37" s="1509">
        <f t="shared" si="47"/>
        <v>0</v>
      </c>
      <c r="AE37" s="1379">
        <v>0</v>
      </c>
      <c r="AF37" s="1509">
        <f t="shared" si="48"/>
        <v>0</v>
      </c>
      <c r="AG37" s="1376"/>
      <c r="AH37" s="1376">
        <f t="shared" si="49"/>
        <v>0</v>
      </c>
      <c r="AI37" s="1514">
        <f t="shared" si="50"/>
        <v>0</v>
      </c>
      <c r="AJ37" s="1530">
        <f t="shared" si="51"/>
        <v>0</v>
      </c>
      <c r="AK37" s="1534">
        <f t="shared" si="52"/>
        <v>0</v>
      </c>
    </row>
    <row r="38" spans="1:37" ht="16.2" customHeight="1">
      <c r="A38" s="1176">
        <v>32</v>
      </c>
      <c r="B38" s="1177" t="s">
        <v>112</v>
      </c>
      <c r="C38" s="1178">
        <f>+'Table 8 Membership 2.1.14'!O34</f>
        <v>0</v>
      </c>
      <c r="D38" s="1179">
        <f>+'Table 5C1A-Madison Prep'!D38</f>
        <v>5652.819189061127</v>
      </c>
      <c r="E38" s="1180">
        <f t="shared" si="34"/>
        <v>0</v>
      </c>
      <c r="F38" s="1180">
        <f>+'Table 5C1A-Madison Prep'!F38</f>
        <v>559.77</v>
      </c>
      <c r="G38" s="1180">
        <f t="shared" si="35"/>
        <v>0</v>
      </c>
      <c r="H38" s="1539">
        <f t="shared" si="36"/>
        <v>0</v>
      </c>
      <c r="I38" s="1181"/>
      <c r="J38" s="1181"/>
      <c r="K38" s="1182">
        <f t="shared" si="37"/>
        <v>0</v>
      </c>
      <c r="L38" s="1539">
        <f t="shared" si="31"/>
        <v>0</v>
      </c>
      <c r="M38" s="1388">
        <f t="shared" si="38"/>
        <v>0</v>
      </c>
      <c r="N38" s="1539">
        <f t="shared" si="53"/>
        <v>0</v>
      </c>
      <c r="O38" s="1179">
        <v>0</v>
      </c>
      <c r="P38" s="1545">
        <f t="shared" si="39"/>
        <v>0</v>
      </c>
      <c r="Q38" s="1181"/>
      <c r="R38" s="1181">
        <f t="shared" si="40"/>
        <v>0</v>
      </c>
      <c r="S38" s="1545">
        <f t="shared" si="41"/>
        <v>0</v>
      </c>
      <c r="T38" s="1545">
        <f t="shared" si="42"/>
        <v>0</v>
      </c>
      <c r="U38" s="1389">
        <f>'Table 5C1A-Madison Prep'!U38</f>
        <v>2121</v>
      </c>
      <c r="V38" s="1515">
        <f t="shared" si="32"/>
        <v>0</v>
      </c>
      <c r="W38" s="1391"/>
      <c r="X38" s="1392">
        <f t="shared" si="43"/>
        <v>0</v>
      </c>
      <c r="Y38" s="1391"/>
      <c r="Z38" s="1392">
        <f t="shared" si="44"/>
        <v>0</v>
      </c>
      <c r="AA38" s="1390">
        <f t="shared" si="33"/>
        <v>0</v>
      </c>
      <c r="AB38" s="1510">
        <f t="shared" si="45"/>
        <v>0</v>
      </c>
      <c r="AC38" s="1394">
        <f t="shared" si="46"/>
        <v>0</v>
      </c>
      <c r="AD38" s="1510">
        <f t="shared" si="47"/>
        <v>0</v>
      </c>
      <c r="AE38" s="1395">
        <v>0</v>
      </c>
      <c r="AF38" s="1510">
        <f t="shared" si="48"/>
        <v>0</v>
      </c>
      <c r="AG38" s="1392"/>
      <c r="AH38" s="1392">
        <f t="shared" si="49"/>
        <v>0</v>
      </c>
      <c r="AI38" s="1515">
        <f t="shared" si="50"/>
        <v>0</v>
      </c>
      <c r="AJ38" s="1505">
        <f t="shared" si="51"/>
        <v>0</v>
      </c>
      <c r="AK38" s="1535">
        <f t="shared" si="52"/>
        <v>0</v>
      </c>
    </row>
    <row r="39" spans="1:37" ht="16.2" customHeight="1">
      <c r="A39" s="1176">
        <v>33</v>
      </c>
      <c r="B39" s="1177" t="s">
        <v>113</v>
      </c>
      <c r="C39" s="1178">
        <f>+'Table 8 Membership 2.1.14'!O35</f>
        <v>0</v>
      </c>
      <c r="D39" s="1179">
        <f>+'Table 5C1A-Madison Prep'!D39</f>
        <v>5456.2254558085233</v>
      </c>
      <c r="E39" s="1180">
        <f t="shared" si="34"/>
        <v>0</v>
      </c>
      <c r="F39" s="1180">
        <f>+'Table 5C1A-Madison Prep'!F39</f>
        <v>655.31000000000006</v>
      </c>
      <c r="G39" s="1180">
        <f t="shared" si="35"/>
        <v>0</v>
      </c>
      <c r="H39" s="1539">
        <f t="shared" si="36"/>
        <v>0</v>
      </c>
      <c r="I39" s="1181"/>
      <c r="J39" s="1181"/>
      <c r="K39" s="1182">
        <f t="shared" si="37"/>
        <v>0</v>
      </c>
      <c r="L39" s="1539">
        <f t="shared" ref="L39:L70" si="54">H39+K39</f>
        <v>0</v>
      </c>
      <c r="M39" s="1388">
        <f t="shared" si="38"/>
        <v>0</v>
      </c>
      <c r="N39" s="1539">
        <f t="shared" si="53"/>
        <v>0</v>
      </c>
      <c r="O39" s="1179">
        <v>0</v>
      </c>
      <c r="P39" s="1545">
        <f t="shared" si="39"/>
        <v>0</v>
      </c>
      <c r="Q39" s="1181"/>
      <c r="R39" s="1181">
        <f t="shared" si="40"/>
        <v>0</v>
      </c>
      <c r="S39" s="1545">
        <f t="shared" si="41"/>
        <v>0</v>
      </c>
      <c r="T39" s="1545">
        <f t="shared" si="42"/>
        <v>0</v>
      </c>
      <c r="U39" s="1389">
        <f>'Table 5C1A-Madison Prep'!U39</f>
        <v>3616</v>
      </c>
      <c r="V39" s="1515">
        <f t="shared" ref="V39:V70" si="55">C39*U39</f>
        <v>0</v>
      </c>
      <c r="W39" s="1391"/>
      <c r="X39" s="1392">
        <f t="shared" si="43"/>
        <v>0</v>
      </c>
      <c r="Y39" s="1391"/>
      <c r="Z39" s="1392">
        <f t="shared" si="44"/>
        <v>0</v>
      </c>
      <c r="AA39" s="1390">
        <f t="shared" si="33"/>
        <v>0</v>
      </c>
      <c r="AB39" s="1510">
        <f t="shared" si="45"/>
        <v>0</v>
      </c>
      <c r="AC39" s="1394">
        <f t="shared" si="46"/>
        <v>0</v>
      </c>
      <c r="AD39" s="1510">
        <f t="shared" si="47"/>
        <v>0</v>
      </c>
      <c r="AE39" s="1395">
        <v>0</v>
      </c>
      <c r="AF39" s="1510">
        <f t="shared" si="48"/>
        <v>0</v>
      </c>
      <c r="AG39" s="1392"/>
      <c r="AH39" s="1392">
        <f t="shared" si="49"/>
        <v>0</v>
      </c>
      <c r="AI39" s="1515">
        <f t="shared" si="50"/>
        <v>0</v>
      </c>
      <c r="AJ39" s="1505">
        <f t="shared" si="51"/>
        <v>0</v>
      </c>
      <c r="AK39" s="1535">
        <f t="shared" si="52"/>
        <v>0</v>
      </c>
    </row>
    <row r="40" spans="1:37" ht="16.2" customHeight="1">
      <c r="A40" s="1176">
        <v>34</v>
      </c>
      <c r="B40" s="1177" t="s">
        <v>114</v>
      </c>
      <c r="C40" s="1178">
        <f>+'Table 8 Membership 2.1.14'!O36</f>
        <v>0</v>
      </c>
      <c r="D40" s="1179">
        <f>+'Table 5C1A-Madison Prep'!D40</f>
        <v>6292.0976842789005</v>
      </c>
      <c r="E40" s="1180">
        <f t="shared" si="34"/>
        <v>0</v>
      </c>
      <c r="F40" s="1180">
        <f>+'Table 5C1A-Madison Prep'!F40</f>
        <v>644.11000000000013</v>
      </c>
      <c r="G40" s="1180">
        <f t="shared" si="35"/>
        <v>0</v>
      </c>
      <c r="H40" s="1539">
        <f t="shared" si="36"/>
        <v>0</v>
      </c>
      <c r="I40" s="1181"/>
      <c r="J40" s="1181"/>
      <c r="K40" s="1182">
        <f t="shared" si="37"/>
        <v>0</v>
      </c>
      <c r="L40" s="1539">
        <f t="shared" si="54"/>
        <v>0</v>
      </c>
      <c r="M40" s="1388">
        <f t="shared" si="38"/>
        <v>0</v>
      </c>
      <c r="N40" s="1539">
        <f t="shared" si="53"/>
        <v>0</v>
      </c>
      <c r="O40" s="1179">
        <v>0</v>
      </c>
      <c r="P40" s="1545">
        <f t="shared" si="39"/>
        <v>0</v>
      </c>
      <c r="Q40" s="1181"/>
      <c r="R40" s="1181">
        <f t="shared" si="40"/>
        <v>0</v>
      </c>
      <c r="S40" s="1545">
        <f t="shared" si="41"/>
        <v>0</v>
      </c>
      <c r="T40" s="1545">
        <f t="shared" si="42"/>
        <v>0</v>
      </c>
      <c r="U40" s="1389">
        <f>'Table 5C1A-Madison Prep'!U40</f>
        <v>2721</v>
      </c>
      <c r="V40" s="1515">
        <f t="shared" si="55"/>
        <v>0</v>
      </c>
      <c r="W40" s="1391"/>
      <c r="X40" s="1392">
        <f t="shared" si="43"/>
        <v>0</v>
      </c>
      <c r="Y40" s="1391"/>
      <c r="Z40" s="1392">
        <f t="shared" si="44"/>
        <v>0</v>
      </c>
      <c r="AA40" s="1390">
        <f t="shared" si="33"/>
        <v>0</v>
      </c>
      <c r="AB40" s="1510">
        <f t="shared" si="45"/>
        <v>0</v>
      </c>
      <c r="AC40" s="1394">
        <f t="shared" si="46"/>
        <v>0</v>
      </c>
      <c r="AD40" s="1510">
        <f t="shared" si="47"/>
        <v>0</v>
      </c>
      <c r="AE40" s="1395">
        <v>0</v>
      </c>
      <c r="AF40" s="1510">
        <f t="shared" si="48"/>
        <v>0</v>
      </c>
      <c r="AG40" s="1392"/>
      <c r="AH40" s="1392">
        <f t="shared" si="49"/>
        <v>0</v>
      </c>
      <c r="AI40" s="1515">
        <f t="shared" si="50"/>
        <v>0</v>
      </c>
      <c r="AJ40" s="1505">
        <f t="shared" si="51"/>
        <v>0</v>
      </c>
      <c r="AK40" s="1535">
        <f t="shared" si="52"/>
        <v>0</v>
      </c>
    </row>
    <row r="41" spans="1:37" ht="16.2" customHeight="1">
      <c r="A41" s="1168">
        <v>35</v>
      </c>
      <c r="B41" s="1169" t="s">
        <v>115</v>
      </c>
      <c r="C41" s="1170">
        <f>+'Table 8 Membership 2.1.14'!O37</f>
        <v>0</v>
      </c>
      <c r="D41" s="1171">
        <f>+'Table 5C1A-Madison Prep'!D41</f>
        <v>5166.2482060477605</v>
      </c>
      <c r="E41" s="1172">
        <f t="shared" si="34"/>
        <v>0</v>
      </c>
      <c r="F41" s="1172">
        <f>+'Table 5C1A-Madison Prep'!F41</f>
        <v>537.96</v>
      </c>
      <c r="G41" s="1172">
        <f t="shared" si="35"/>
        <v>0</v>
      </c>
      <c r="H41" s="1540">
        <f t="shared" si="36"/>
        <v>0</v>
      </c>
      <c r="I41" s="1173"/>
      <c r="J41" s="1173"/>
      <c r="K41" s="1174">
        <f t="shared" si="37"/>
        <v>0</v>
      </c>
      <c r="L41" s="1540">
        <f t="shared" si="54"/>
        <v>0</v>
      </c>
      <c r="M41" s="1399">
        <f t="shared" si="38"/>
        <v>0</v>
      </c>
      <c r="N41" s="1540">
        <f t="shared" si="53"/>
        <v>0</v>
      </c>
      <c r="O41" s="1171">
        <v>0</v>
      </c>
      <c r="P41" s="1546">
        <f t="shared" si="39"/>
        <v>0</v>
      </c>
      <c r="Q41" s="1175"/>
      <c r="R41" s="1173">
        <f t="shared" si="40"/>
        <v>0</v>
      </c>
      <c r="S41" s="1550">
        <f t="shared" si="41"/>
        <v>0</v>
      </c>
      <c r="T41" s="1550">
        <f t="shared" si="42"/>
        <v>0</v>
      </c>
      <c r="U41" s="1382">
        <f>'Table 5C1A-Madison Prep'!U41</f>
        <v>3255</v>
      </c>
      <c r="V41" s="1516">
        <f t="shared" si="55"/>
        <v>0</v>
      </c>
      <c r="W41" s="1400"/>
      <c r="X41" s="1383">
        <f t="shared" si="43"/>
        <v>0</v>
      </c>
      <c r="Y41" s="1400"/>
      <c r="Z41" s="1383">
        <f t="shared" si="44"/>
        <v>0</v>
      </c>
      <c r="AA41" s="1384">
        <f t="shared" si="33"/>
        <v>0</v>
      </c>
      <c r="AB41" s="1511">
        <f t="shared" si="45"/>
        <v>0</v>
      </c>
      <c r="AC41" s="1402">
        <f t="shared" si="46"/>
        <v>0</v>
      </c>
      <c r="AD41" s="1511">
        <f t="shared" si="47"/>
        <v>0</v>
      </c>
      <c r="AE41" s="1385">
        <v>0</v>
      </c>
      <c r="AF41" s="1511">
        <f t="shared" si="48"/>
        <v>0</v>
      </c>
      <c r="AG41" s="1383"/>
      <c r="AH41" s="1383">
        <f t="shared" si="49"/>
        <v>0</v>
      </c>
      <c r="AI41" s="1516">
        <f t="shared" si="50"/>
        <v>0</v>
      </c>
      <c r="AJ41" s="1531">
        <f t="shared" si="51"/>
        <v>0</v>
      </c>
      <c r="AK41" s="1536">
        <f t="shared" si="52"/>
        <v>0</v>
      </c>
    </row>
    <row r="42" spans="1:37" ht="16.2" customHeight="1">
      <c r="A42" s="1183">
        <v>36</v>
      </c>
      <c r="B42" s="1184" t="s">
        <v>116</v>
      </c>
      <c r="C42" s="1185">
        <f>+'Table 8 Membership 2.1.14'!O38</f>
        <v>158</v>
      </c>
      <c r="D42" s="1186">
        <f>+'Table 5C1A-Madison Prep'!D42</f>
        <v>3602.7009974327857</v>
      </c>
      <c r="E42" s="1187">
        <f t="shared" si="34"/>
        <v>569226.75759438018</v>
      </c>
      <c r="F42" s="1187">
        <f>+'Table 5C1A-Madison Prep'!F42</f>
        <v>746.0335616438357</v>
      </c>
      <c r="G42" s="1187">
        <f t="shared" si="35"/>
        <v>117873.30273972604</v>
      </c>
      <c r="H42" s="1538">
        <f t="shared" si="36"/>
        <v>687100.06033410621</v>
      </c>
      <c r="I42" s="1188"/>
      <c r="J42" s="1188"/>
      <c r="K42" s="1189">
        <f t="shared" si="37"/>
        <v>0</v>
      </c>
      <c r="L42" s="1538">
        <f t="shared" si="54"/>
        <v>687100.06033410621</v>
      </c>
      <c r="M42" s="1372">
        <f t="shared" si="38"/>
        <v>-1717.7501508352655</v>
      </c>
      <c r="N42" s="1538">
        <f t="shared" si="53"/>
        <v>685382.31018327095</v>
      </c>
      <c r="O42" s="1186">
        <v>0</v>
      </c>
      <c r="P42" s="1544">
        <f t="shared" si="39"/>
        <v>685382.31018327095</v>
      </c>
      <c r="Q42" s="1188"/>
      <c r="R42" s="1188">
        <f t="shared" si="40"/>
        <v>685382.31018327095</v>
      </c>
      <c r="S42" s="1544">
        <f t="shared" si="41"/>
        <v>57115</v>
      </c>
      <c r="T42" s="1544">
        <f t="shared" si="42"/>
        <v>685382.31018327095</v>
      </c>
      <c r="U42" s="1373">
        <f>'Table 5C1A-Madison Prep'!U42</f>
        <v>5435</v>
      </c>
      <c r="V42" s="1514">
        <f t="shared" si="55"/>
        <v>858730</v>
      </c>
      <c r="W42" s="1375"/>
      <c r="X42" s="1376">
        <f t="shared" si="43"/>
        <v>0</v>
      </c>
      <c r="Y42" s="1375"/>
      <c r="Z42" s="1376">
        <f t="shared" si="44"/>
        <v>0</v>
      </c>
      <c r="AA42" s="1374">
        <f t="shared" si="33"/>
        <v>0</v>
      </c>
      <c r="AB42" s="1509">
        <f t="shared" si="45"/>
        <v>858730</v>
      </c>
      <c r="AC42" s="1378">
        <f t="shared" si="46"/>
        <v>-2146.8249999999998</v>
      </c>
      <c r="AD42" s="1509">
        <f t="shared" si="47"/>
        <v>856583.17500000005</v>
      </c>
      <c r="AE42" s="1379">
        <v>0</v>
      </c>
      <c r="AF42" s="1509">
        <f t="shared" si="48"/>
        <v>856583.17500000005</v>
      </c>
      <c r="AG42" s="1376"/>
      <c r="AH42" s="1376">
        <f t="shared" si="49"/>
        <v>856583.17500000005</v>
      </c>
      <c r="AI42" s="1514">
        <f t="shared" si="50"/>
        <v>71382</v>
      </c>
      <c r="AJ42" s="1530">
        <f t="shared" si="51"/>
        <v>1541965.4851832711</v>
      </c>
      <c r="AK42" s="1534">
        <f t="shared" si="52"/>
        <v>128497</v>
      </c>
    </row>
    <row r="43" spans="1:37" ht="16.2" customHeight="1">
      <c r="A43" s="1176">
        <v>37</v>
      </c>
      <c r="B43" s="1177" t="s">
        <v>117</v>
      </c>
      <c r="C43" s="1178">
        <f>+'Table 8 Membership 2.1.14'!O39</f>
        <v>0</v>
      </c>
      <c r="D43" s="1179">
        <f>+'Table 5C1A-Madison Prep'!D43</f>
        <v>5665.3839260317691</v>
      </c>
      <c r="E43" s="1180">
        <f t="shared" si="34"/>
        <v>0</v>
      </c>
      <c r="F43" s="1180">
        <f>+'Table 5C1A-Madison Prep'!F43</f>
        <v>653.61</v>
      </c>
      <c r="G43" s="1180">
        <f t="shared" si="35"/>
        <v>0</v>
      </c>
      <c r="H43" s="1539">
        <f t="shared" si="36"/>
        <v>0</v>
      </c>
      <c r="I43" s="1181"/>
      <c r="J43" s="1181"/>
      <c r="K43" s="1182">
        <f t="shared" si="37"/>
        <v>0</v>
      </c>
      <c r="L43" s="1539">
        <f t="shared" si="54"/>
        <v>0</v>
      </c>
      <c r="M43" s="1388">
        <f t="shared" si="38"/>
        <v>0</v>
      </c>
      <c r="N43" s="1539">
        <f t="shared" si="53"/>
        <v>0</v>
      </c>
      <c r="O43" s="1179">
        <v>0</v>
      </c>
      <c r="P43" s="1545">
        <f t="shared" si="39"/>
        <v>0</v>
      </c>
      <c r="Q43" s="1181"/>
      <c r="R43" s="1181">
        <f t="shared" si="40"/>
        <v>0</v>
      </c>
      <c r="S43" s="1545">
        <f t="shared" si="41"/>
        <v>0</v>
      </c>
      <c r="T43" s="1545">
        <f t="shared" si="42"/>
        <v>0</v>
      </c>
      <c r="U43" s="1389">
        <f>'Table 5C1A-Madison Prep'!U43</f>
        <v>3520</v>
      </c>
      <c r="V43" s="1515">
        <f t="shared" si="55"/>
        <v>0</v>
      </c>
      <c r="W43" s="1391"/>
      <c r="X43" s="1392">
        <f t="shared" si="43"/>
        <v>0</v>
      </c>
      <c r="Y43" s="1391"/>
      <c r="Z43" s="1392">
        <f t="shared" si="44"/>
        <v>0</v>
      </c>
      <c r="AA43" s="1390">
        <f t="shared" si="33"/>
        <v>0</v>
      </c>
      <c r="AB43" s="1510">
        <f t="shared" si="45"/>
        <v>0</v>
      </c>
      <c r="AC43" s="1394">
        <f t="shared" si="46"/>
        <v>0</v>
      </c>
      <c r="AD43" s="1510">
        <f t="shared" si="47"/>
        <v>0</v>
      </c>
      <c r="AE43" s="1395">
        <v>0</v>
      </c>
      <c r="AF43" s="1510">
        <f t="shared" si="48"/>
        <v>0</v>
      </c>
      <c r="AG43" s="1392"/>
      <c r="AH43" s="1392">
        <f t="shared" si="49"/>
        <v>0</v>
      </c>
      <c r="AI43" s="1515">
        <f t="shared" si="50"/>
        <v>0</v>
      </c>
      <c r="AJ43" s="1505">
        <f t="shared" si="51"/>
        <v>0</v>
      </c>
      <c r="AK43" s="1535">
        <f t="shared" si="52"/>
        <v>0</v>
      </c>
    </row>
    <row r="44" spans="1:37" ht="16.2" customHeight="1">
      <c r="A44" s="1176">
        <v>38</v>
      </c>
      <c r="B44" s="1177" t="s">
        <v>118</v>
      </c>
      <c r="C44" s="1178">
        <f>+'Table 8 Membership 2.1.14'!O40</f>
        <v>7</v>
      </c>
      <c r="D44" s="1179">
        <f>+'Table 5C1A-Madison Prep'!D44</f>
        <v>2088.8017552916881</v>
      </c>
      <c r="E44" s="1180">
        <f t="shared" si="34"/>
        <v>14621.612287041817</v>
      </c>
      <c r="F44" s="1180">
        <f>+'Table 5C1A-Madison Prep'!F44</f>
        <v>829.92000000000007</v>
      </c>
      <c r="G44" s="1180">
        <f t="shared" si="35"/>
        <v>5809.4400000000005</v>
      </c>
      <c r="H44" s="1539">
        <f t="shared" si="36"/>
        <v>20431.052287041817</v>
      </c>
      <c r="I44" s="1181"/>
      <c r="J44" s="1181"/>
      <c r="K44" s="1182">
        <f t="shared" si="37"/>
        <v>0</v>
      </c>
      <c r="L44" s="1539">
        <f t="shared" si="54"/>
        <v>20431.052287041817</v>
      </c>
      <c r="M44" s="1388">
        <f t="shared" si="38"/>
        <v>-51.077630717604542</v>
      </c>
      <c r="N44" s="1539">
        <f t="shared" si="53"/>
        <v>20379.974656324212</v>
      </c>
      <c r="O44" s="1179">
        <v>0</v>
      </c>
      <c r="P44" s="1545">
        <f t="shared" si="39"/>
        <v>20379.974656324212</v>
      </c>
      <c r="Q44" s="1181"/>
      <c r="R44" s="1181">
        <f t="shared" si="40"/>
        <v>20379.974656324212</v>
      </c>
      <c r="S44" s="1545">
        <f t="shared" si="41"/>
        <v>1698</v>
      </c>
      <c r="T44" s="1545">
        <f t="shared" si="42"/>
        <v>20379.974656324212</v>
      </c>
      <c r="U44" s="1389">
        <f>'Table 5C1A-Madison Prep'!U44</f>
        <v>11379</v>
      </c>
      <c r="V44" s="1515">
        <f t="shared" si="55"/>
        <v>79653</v>
      </c>
      <c r="W44" s="1391"/>
      <c r="X44" s="1392">
        <f t="shared" si="43"/>
        <v>0</v>
      </c>
      <c r="Y44" s="1391"/>
      <c r="Z44" s="1392">
        <f t="shared" si="44"/>
        <v>0</v>
      </c>
      <c r="AA44" s="1390">
        <f t="shared" si="33"/>
        <v>0</v>
      </c>
      <c r="AB44" s="1510">
        <f t="shared" si="45"/>
        <v>79653</v>
      </c>
      <c r="AC44" s="1394">
        <f t="shared" si="46"/>
        <v>-199.13249999999999</v>
      </c>
      <c r="AD44" s="1510">
        <f t="shared" si="47"/>
        <v>79453.867499999993</v>
      </c>
      <c r="AE44" s="1395">
        <v>0</v>
      </c>
      <c r="AF44" s="1510">
        <f t="shared" si="48"/>
        <v>79453.867499999993</v>
      </c>
      <c r="AG44" s="1392"/>
      <c r="AH44" s="1392">
        <f t="shared" si="49"/>
        <v>79453.867499999993</v>
      </c>
      <c r="AI44" s="1515">
        <f t="shared" si="50"/>
        <v>6621</v>
      </c>
      <c r="AJ44" s="1505">
        <f t="shared" si="51"/>
        <v>99833.842156324201</v>
      </c>
      <c r="AK44" s="1535">
        <f t="shared" si="52"/>
        <v>8319</v>
      </c>
    </row>
    <row r="45" spans="1:37" ht="16.2" customHeight="1">
      <c r="A45" s="1176">
        <v>39</v>
      </c>
      <c r="B45" s="1177" t="s">
        <v>119</v>
      </c>
      <c r="C45" s="1178">
        <f>+'Table 8 Membership 2.1.14'!O41</f>
        <v>0</v>
      </c>
      <c r="D45" s="1179">
        <f>+'Table 5C1A-Madison Prep'!D45</f>
        <v>3656.9056809295676</v>
      </c>
      <c r="E45" s="1180">
        <f t="shared" si="34"/>
        <v>0</v>
      </c>
      <c r="F45" s="1180">
        <f>+'Table 5C1A-Madison Prep'!F45</f>
        <v>779.65573042776396</v>
      </c>
      <c r="G45" s="1180">
        <f t="shared" si="35"/>
        <v>0</v>
      </c>
      <c r="H45" s="1539">
        <f t="shared" si="36"/>
        <v>0</v>
      </c>
      <c r="I45" s="1181"/>
      <c r="J45" s="1181"/>
      <c r="K45" s="1182">
        <f t="shared" si="37"/>
        <v>0</v>
      </c>
      <c r="L45" s="1539">
        <f t="shared" si="54"/>
        <v>0</v>
      </c>
      <c r="M45" s="1388">
        <f t="shared" si="38"/>
        <v>0</v>
      </c>
      <c r="N45" s="1539">
        <f t="shared" si="53"/>
        <v>0</v>
      </c>
      <c r="O45" s="1179">
        <v>0</v>
      </c>
      <c r="P45" s="1545">
        <f t="shared" si="39"/>
        <v>0</v>
      </c>
      <c r="Q45" s="1181"/>
      <c r="R45" s="1181">
        <f t="shared" si="40"/>
        <v>0</v>
      </c>
      <c r="S45" s="1545">
        <f t="shared" si="41"/>
        <v>0</v>
      </c>
      <c r="T45" s="1545">
        <f t="shared" si="42"/>
        <v>0</v>
      </c>
      <c r="U45" s="1389">
        <f>'Table 5C1A-Madison Prep'!U45</f>
        <v>4955</v>
      </c>
      <c r="V45" s="1515">
        <f t="shared" si="55"/>
        <v>0</v>
      </c>
      <c r="W45" s="1391"/>
      <c r="X45" s="1392">
        <f t="shared" si="43"/>
        <v>0</v>
      </c>
      <c r="Y45" s="1391"/>
      <c r="Z45" s="1392">
        <f t="shared" si="44"/>
        <v>0</v>
      </c>
      <c r="AA45" s="1390">
        <f t="shared" si="33"/>
        <v>0</v>
      </c>
      <c r="AB45" s="1510">
        <f t="shared" si="45"/>
        <v>0</v>
      </c>
      <c r="AC45" s="1394">
        <f t="shared" si="46"/>
        <v>0</v>
      </c>
      <c r="AD45" s="1510">
        <f t="shared" si="47"/>
        <v>0</v>
      </c>
      <c r="AE45" s="1395">
        <v>0</v>
      </c>
      <c r="AF45" s="1510">
        <f t="shared" si="48"/>
        <v>0</v>
      </c>
      <c r="AG45" s="1392"/>
      <c r="AH45" s="1392">
        <f t="shared" si="49"/>
        <v>0</v>
      </c>
      <c r="AI45" s="1515">
        <f t="shared" si="50"/>
        <v>0</v>
      </c>
      <c r="AJ45" s="1505">
        <f t="shared" si="51"/>
        <v>0</v>
      </c>
      <c r="AK45" s="1535">
        <f t="shared" si="52"/>
        <v>0</v>
      </c>
    </row>
    <row r="46" spans="1:37" ht="16.2" customHeight="1">
      <c r="A46" s="1168">
        <v>40</v>
      </c>
      <c r="B46" s="1169" t="s">
        <v>120</v>
      </c>
      <c r="C46" s="1170">
        <f>+'Table 8 Membership 2.1.14'!O42</f>
        <v>0</v>
      </c>
      <c r="D46" s="1171">
        <f>+'Table 5C1A-Madison Prep'!D46</f>
        <v>5121.8110285698403</v>
      </c>
      <c r="E46" s="1172">
        <f t="shared" si="34"/>
        <v>0</v>
      </c>
      <c r="F46" s="1172">
        <f>+'Table 5C1A-Madison Prep'!F46</f>
        <v>700.2700000000001</v>
      </c>
      <c r="G46" s="1172">
        <f t="shared" si="35"/>
        <v>0</v>
      </c>
      <c r="H46" s="1540">
        <f t="shared" si="36"/>
        <v>0</v>
      </c>
      <c r="I46" s="1173"/>
      <c r="J46" s="1173"/>
      <c r="K46" s="1174">
        <f t="shared" si="37"/>
        <v>0</v>
      </c>
      <c r="L46" s="1540">
        <f t="shared" si="54"/>
        <v>0</v>
      </c>
      <c r="M46" s="1399">
        <f t="shared" si="38"/>
        <v>0</v>
      </c>
      <c r="N46" s="1540">
        <f t="shared" si="53"/>
        <v>0</v>
      </c>
      <c r="O46" s="1171">
        <v>0</v>
      </c>
      <c r="P46" s="1546">
        <f t="shared" si="39"/>
        <v>0</v>
      </c>
      <c r="Q46" s="1175"/>
      <c r="R46" s="1173">
        <f t="shared" si="40"/>
        <v>0</v>
      </c>
      <c r="S46" s="1550">
        <f t="shared" si="41"/>
        <v>0</v>
      </c>
      <c r="T46" s="1550">
        <f t="shared" si="42"/>
        <v>0</v>
      </c>
      <c r="U46" s="1382">
        <f>'Table 5C1A-Madison Prep'!U46</f>
        <v>3069</v>
      </c>
      <c r="V46" s="1516">
        <f t="shared" si="55"/>
        <v>0</v>
      </c>
      <c r="W46" s="1400"/>
      <c r="X46" s="1383">
        <f t="shared" si="43"/>
        <v>0</v>
      </c>
      <c r="Y46" s="1400"/>
      <c r="Z46" s="1383">
        <f t="shared" si="44"/>
        <v>0</v>
      </c>
      <c r="AA46" s="1384">
        <f t="shared" si="33"/>
        <v>0</v>
      </c>
      <c r="AB46" s="1511">
        <f t="shared" si="45"/>
        <v>0</v>
      </c>
      <c r="AC46" s="1402">
        <f t="shared" si="46"/>
        <v>0</v>
      </c>
      <c r="AD46" s="1511">
        <f t="shared" si="47"/>
        <v>0</v>
      </c>
      <c r="AE46" s="1385">
        <v>0</v>
      </c>
      <c r="AF46" s="1511">
        <f t="shared" si="48"/>
        <v>0</v>
      </c>
      <c r="AG46" s="1383"/>
      <c r="AH46" s="1383">
        <f t="shared" si="49"/>
        <v>0</v>
      </c>
      <c r="AI46" s="1516">
        <f t="shared" si="50"/>
        <v>0</v>
      </c>
      <c r="AJ46" s="1531">
        <f t="shared" si="51"/>
        <v>0</v>
      </c>
      <c r="AK46" s="1536">
        <f t="shared" si="52"/>
        <v>0</v>
      </c>
    </row>
    <row r="47" spans="1:37" ht="16.2" customHeight="1">
      <c r="A47" s="1183">
        <v>41</v>
      </c>
      <c r="B47" s="1184" t="s">
        <v>121</v>
      </c>
      <c r="C47" s="1185">
        <f>+'Table 8 Membership 2.1.14'!O43</f>
        <v>0</v>
      </c>
      <c r="D47" s="1186">
        <f>+'Table 5C1A-Madison Prep'!D47</f>
        <v>3291.1948574716475</v>
      </c>
      <c r="E47" s="1187">
        <f t="shared" si="34"/>
        <v>0</v>
      </c>
      <c r="F47" s="1187">
        <f>+'Table 5C1A-Madison Prep'!F47</f>
        <v>886.22</v>
      </c>
      <c r="G47" s="1187">
        <f t="shared" si="35"/>
        <v>0</v>
      </c>
      <c r="H47" s="1538">
        <f t="shared" si="36"/>
        <v>0</v>
      </c>
      <c r="I47" s="1188"/>
      <c r="J47" s="1188"/>
      <c r="K47" s="1189">
        <f t="shared" si="37"/>
        <v>0</v>
      </c>
      <c r="L47" s="1538">
        <f t="shared" si="54"/>
        <v>0</v>
      </c>
      <c r="M47" s="1372">
        <f t="shared" si="38"/>
        <v>0</v>
      </c>
      <c r="N47" s="1538">
        <f t="shared" si="53"/>
        <v>0</v>
      </c>
      <c r="O47" s="1186">
        <v>0</v>
      </c>
      <c r="P47" s="1544">
        <f t="shared" si="39"/>
        <v>0</v>
      </c>
      <c r="Q47" s="1188"/>
      <c r="R47" s="1188">
        <f t="shared" si="40"/>
        <v>0</v>
      </c>
      <c r="S47" s="1544">
        <f t="shared" si="41"/>
        <v>0</v>
      </c>
      <c r="T47" s="1544">
        <f t="shared" si="42"/>
        <v>0</v>
      </c>
      <c r="U47" s="1373">
        <f>'Table 5C1A-Madison Prep'!U47</f>
        <v>8478</v>
      </c>
      <c r="V47" s="1514">
        <f t="shared" si="55"/>
        <v>0</v>
      </c>
      <c r="W47" s="1375"/>
      <c r="X47" s="1376">
        <f t="shared" si="43"/>
        <v>0</v>
      </c>
      <c r="Y47" s="1375"/>
      <c r="Z47" s="1376">
        <f t="shared" si="44"/>
        <v>0</v>
      </c>
      <c r="AA47" s="1374">
        <f t="shared" si="33"/>
        <v>0</v>
      </c>
      <c r="AB47" s="1509">
        <f t="shared" si="45"/>
        <v>0</v>
      </c>
      <c r="AC47" s="1378">
        <f t="shared" si="46"/>
        <v>0</v>
      </c>
      <c r="AD47" s="1509">
        <f t="shared" si="47"/>
        <v>0</v>
      </c>
      <c r="AE47" s="1379">
        <v>0</v>
      </c>
      <c r="AF47" s="1509">
        <f t="shared" si="48"/>
        <v>0</v>
      </c>
      <c r="AG47" s="1376"/>
      <c r="AH47" s="1376">
        <f t="shared" si="49"/>
        <v>0</v>
      </c>
      <c r="AI47" s="1514">
        <f t="shared" si="50"/>
        <v>0</v>
      </c>
      <c r="AJ47" s="1530">
        <f t="shared" si="51"/>
        <v>0</v>
      </c>
      <c r="AK47" s="1534">
        <f t="shared" si="52"/>
        <v>0</v>
      </c>
    </row>
    <row r="48" spans="1:37" ht="16.2" customHeight="1">
      <c r="A48" s="1176">
        <v>42</v>
      </c>
      <c r="B48" s="1177" t="s">
        <v>122</v>
      </c>
      <c r="C48" s="1178">
        <f>+'Table 8 Membership 2.1.14'!O44</f>
        <v>0</v>
      </c>
      <c r="D48" s="1179">
        <f>+'Table 5C1A-Madison Prep'!D48</f>
        <v>5113.6077751368684</v>
      </c>
      <c r="E48" s="1180">
        <f t="shared" si="34"/>
        <v>0</v>
      </c>
      <c r="F48" s="1180">
        <f>+'Table 5C1A-Madison Prep'!F48</f>
        <v>534.28</v>
      </c>
      <c r="G48" s="1180">
        <f t="shared" si="35"/>
        <v>0</v>
      </c>
      <c r="H48" s="1539">
        <f t="shared" si="36"/>
        <v>0</v>
      </c>
      <c r="I48" s="1181"/>
      <c r="J48" s="1181"/>
      <c r="K48" s="1182">
        <f t="shared" si="37"/>
        <v>0</v>
      </c>
      <c r="L48" s="1539">
        <f t="shared" si="54"/>
        <v>0</v>
      </c>
      <c r="M48" s="1388">
        <f t="shared" si="38"/>
        <v>0</v>
      </c>
      <c r="N48" s="1539">
        <f t="shared" si="53"/>
        <v>0</v>
      </c>
      <c r="O48" s="1179">
        <v>0</v>
      </c>
      <c r="P48" s="1545">
        <f t="shared" si="39"/>
        <v>0</v>
      </c>
      <c r="Q48" s="1181"/>
      <c r="R48" s="1181">
        <f t="shared" si="40"/>
        <v>0</v>
      </c>
      <c r="S48" s="1545">
        <f t="shared" si="41"/>
        <v>0</v>
      </c>
      <c r="T48" s="1545">
        <f t="shared" si="42"/>
        <v>0</v>
      </c>
      <c r="U48" s="1389">
        <f>'Table 5C1A-Madison Prep'!U48</f>
        <v>3578</v>
      </c>
      <c r="V48" s="1515">
        <f t="shared" si="55"/>
        <v>0</v>
      </c>
      <c r="W48" s="1391"/>
      <c r="X48" s="1392">
        <f t="shared" si="43"/>
        <v>0</v>
      </c>
      <c r="Y48" s="1391"/>
      <c r="Z48" s="1392">
        <f t="shared" si="44"/>
        <v>0</v>
      </c>
      <c r="AA48" s="1390">
        <f t="shared" si="33"/>
        <v>0</v>
      </c>
      <c r="AB48" s="1510">
        <f t="shared" si="45"/>
        <v>0</v>
      </c>
      <c r="AC48" s="1394">
        <f t="shared" si="46"/>
        <v>0</v>
      </c>
      <c r="AD48" s="1510">
        <f t="shared" si="47"/>
        <v>0</v>
      </c>
      <c r="AE48" s="1395">
        <v>0</v>
      </c>
      <c r="AF48" s="1510">
        <f t="shared" si="48"/>
        <v>0</v>
      </c>
      <c r="AG48" s="1392"/>
      <c r="AH48" s="1392">
        <f t="shared" si="49"/>
        <v>0</v>
      </c>
      <c r="AI48" s="1515">
        <f t="shared" si="50"/>
        <v>0</v>
      </c>
      <c r="AJ48" s="1505">
        <f t="shared" si="51"/>
        <v>0</v>
      </c>
      <c r="AK48" s="1535">
        <f t="shared" si="52"/>
        <v>0</v>
      </c>
    </row>
    <row r="49" spans="1:37" ht="16.2" customHeight="1">
      <c r="A49" s="1176">
        <v>43</v>
      </c>
      <c r="B49" s="1177" t="s">
        <v>123</v>
      </c>
      <c r="C49" s="1178">
        <f>+'Table 8 Membership 2.1.14'!O45</f>
        <v>0</v>
      </c>
      <c r="D49" s="1179">
        <f>+'Table 5C1A-Madison Prep'!D49</f>
        <v>5788.74387205947</v>
      </c>
      <c r="E49" s="1180">
        <f t="shared" si="34"/>
        <v>0</v>
      </c>
      <c r="F49" s="1180">
        <f>+'Table 5C1A-Madison Prep'!F49</f>
        <v>574.6099999999999</v>
      </c>
      <c r="G49" s="1180">
        <f t="shared" si="35"/>
        <v>0</v>
      </c>
      <c r="H49" s="1539">
        <f t="shared" si="36"/>
        <v>0</v>
      </c>
      <c r="I49" s="1181"/>
      <c r="J49" s="1181"/>
      <c r="K49" s="1182">
        <f t="shared" si="37"/>
        <v>0</v>
      </c>
      <c r="L49" s="1539">
        <f t="shared" si="54"/>
        <v>0</v>
      </c>
      <c r="M49" s="1388">
        <f t="shared" si="38"/>
        <v>0</v>
      </c>
      <c r="N49" s="1539">
        <f t="shared" si="53"/>
        <v>0</v>
      </c>
      <c r="O49" s="1179">
        <v>0</v>
      </c>
      <c r="P49" s="1545">
        <f t="shared" si="39"/>
        <v>0</v>
      </c>
      <c r="Q49" s="1181"/>
      <c r="R49" s="1181">
        <f t="shared" si="40"/>
        <v>0</v>
      </c>
      <c r="S49" s="1545">
        <f t="shared" si="41"/>
        <v>0</v>
      </c>
      <c r="T49" s="1545">
        <f t="shared" si="42"/>
        <v>0</v>
      </c>
      <c r="U49" s="1389">
        <f>'Table 5C1A-Madison Prep'!U49</f>
        <v>3205</v>
      </c>
      <c r="V49" s="1515">
        <f t="shared" si="55"/>
        <v>0</v>
      </c>
      <c r="W49" s="1391"/>
      <c r="X49" s="1392">
        <f t="shared" si="43"/>
        <v>0</v>
      </c>
      <c r="Y49" s="1391"/>
      <c r="Z49" s="1392">
        <f t="shared" si="44"/>
        <v>0</v>
      </c>
      <c r="AA49" s="1390">
        <f t="shared" si="33"/>
        <v>0</v>
      </c>
      <c r="AB49" s="1510">
        <f t="shared" si="45"/>
        <v>0</v>
      </c>
      <c r="AC49" s="1394">
        <f t="shared" si="46"/>
        <v>0</v>
      </c>
      <c r="AD49" s="1510">
        <f t="shared" si="47"/>
        <v>0</v>
      </c>
      <c r="AE49" s="1395">
        <v>0</v>
      </c>
      <c r="AF49" s="1510">
        <f t="shared" si="48"/>
        <v>0</v>
      </c>
      <c r="AG49" s="1392"/>
      <c r="AH49" s="1392">
        <f t="shared" si="49"/>
        <v>0</v>
      </c>
      <c r="AI49" s="1515">
        <f t="shared" si="50"/>
        <v>0</v>
      </c>
      <c r="AJ49" s="1505">
        <f t="shared" si="51"/>
        <v>0</v>
      </c>
      <c r="AK49" s="1535">
        <f t="shared" si="52"/>
        <v>0</v>
      </c>
    </row>
    <row r="50" spans="1:37" ht="16.2" customHeight="1">
      <c r="A50" s="1176">
        <v>44</v>
      </c>
      <c r="B50" s="1177" t="s">
        <v>124</v>
      </c>
      <c r="C50" s="1178">
        <f>+'Table 8 Membership 2.1.14'!O46</f>
        <v>1</v>
      </c>
      <c r="D50" s="1179">
        <f>+'Table 5C1A-Madison Prep'!D50</f>
        <v>4897.5958151820359</v>
      </c>
      <c r="E50" s="1180">
        <f t="shared" si="34"/>
        <v>4897.5958151820359</v>
      </c>
      <c r="F50" s="1180">
        <f>+'Table 5C1A-Madison Prep'!F50</f>
        <v>663.16000000000008</v>
      </c>
      <c r="G50" s="1180">
        <f t="shared" si="35"/>
        <v>663.16000000000008</v>
      </c>
      <c r="H50" s="1539">
        <f t="shared" si="36"/>
        <v>5560.7558151820358</v>
      </c>
      <c r="I50" s="1181"/>
      <c r="J50" s="1181"/>
      <c r="K50" s="1182">
        <f t="shared" si="37"/>
        <v>0</v>
      </c>
      <c r="L50" s="1539">
        <f t="shared" si="54"/>
        <v>5560.7558151820358</v>
      </c>
      <c r="M50" s="1388">
        <f t="shared" si="38"/>
        <v>-13.901889537955089</v>
      </c>
      <c r="N50" s="1539">
        <f t="shared" si="53"/>
        <v>5546.8539256440808</v>
      </c>
      <c r="O50" s="1179">
        <v>0</v>
      </c>
      <c r="P50" s="1545">
        <f t="shared" si="39"/>
        <v>5546.8539256440808</v>
      </c>
      <c r="Q50" s="1181"/>
      <c r="R50" s="1181">
        <f t="shared" si="40"/>
        <v>5546.8539256440808</v>
      </c>
      <c r="S50" s="1545">
        <f t="shared" si="41"/>
        <v>462</v>
      </c>
      <c r="T50" s="1545">
        <f t="shared" si="42"/>
        <v>5546.8539256440808</v>
      </c>
      <c r="U50" s="1389">
        <f>'Table 5C1A-Madison Prep'!U50</f>
        <v>3719</v>
      </c>
      <c r="V50" s="1515">
        <f t="shared" si="55"/>
        <v>3719</v>
      </c>
      <c r="W50" s="1391"/>
      <c r="X50" s="1392">
        <f t="shared" si="43"/>
        <v>0</v>
      </c>
      <c r="Y50" s="1391"/>
      <c r="Z50" s="1392">
        <f t="shared" si="44"/>
        <v>0</v>
      </c>
      <c r="AA50" s="1390">
        <f>+X50+Z50</f>
        <v>0</v>
      </c>
      <c r="AB50" s="1510">
        <f>AA50+V50</f>
        <v>3719</v>
      </c>
      <c r="AC50" s="1394">
        <f t="shared" si="46"/>
        <v>-9.2974999999999994</v>
      </c>
      <c r="AD50" s="1510">
        <f t="shared" si="47"/>
        <v>3709.7024999999999</v>
      </c>
      <c r="AE50" s="1395">
        <v>0</v>
      </c>
      <c r="AF50" s="1510">
        <f t="shared" si="48"/>
        <v>3709.7024999999999</v>
      </c>
      <c r="AG50" s="1392"/>
      <c r="AH50" s="1392">
        <f t="shared" si="49"/>
        <v>3709.7024999999999</v>
      </c>
      <c r="AI50" s="1515">
        <f t="shared" si="50"/>
        <v>309</v>
      </c>
      <c r="AJ50" s="1505">
        <f t="shared" si="51"/>
        <v>9256.5564256440812</v>
      </c>
      <c r="AK50" s="1535">
        <f t="shared" si="52"/>
        <v>771</v>
      </c>
    </row>
    <row r="51" spans="1:37" ht="16.2" customHeight="1">
      <c r="A51" s="1168">
        <v>45</v>
      </c>
      <c r="B51" s="1169" t="s">
        <v>125</v>
      </c>
      <c r="C51" s="1170">
        <f>+'Table 8 Membership 2.1.14'!O47</f>
        <v>0</v>
      </c>
      <c r="D51" s="1171">
        <f>+'Table 5C1A-Madison Prep'!D51</f>
        <v>2054.0472499469101</v>
      </c>
      <c r="E51" s="1172">
        <f t="shared" si="34"/>
        <v>0</v>
      </c>
      <c r="F51" s="1172">
        <f>+'Table 5C1A-Madison Prep'!F51</f>
        <v>753.96000000000015</v>
      </c>
      <c r="G51" s="1172">
        <f t="shared" si="35"/>
        <v>0</v>
      </c>
      <c r="H51" s="1540">
        <f t="shared" si="36"/>
        <v>0</v>
      </c>
      <c r="I51" s="1173"/>
      <c r="J51" s="1173"/>
      <c r="K51" s="1174">
        <f t="shared" si="37"/>
        <v>0</v>
      </c>
      <c r="L51" s="1540">
        <f t="shared" si="54"/>
        <v>0</v>
      </c>
      <c r="M51" s="1399">
        <f t="shared" si="38"/>
        <v>0</v>
      </c>
      <c r="N51" s="1540">
        <f t="shared" si="53"/>
        <v>0</v>
      </c>
      <c r="O51" s="1171">
        <v>0</v>
      </c>
      <c r="P51" s="1546">
        <f t="shared" si="39"/>
        <v>0</v>
      </c>
      <c r="Q51" s="1175"/>
      <c r="R51" s="1173">
        <f t="shared" si="40"/>
        <v>0</v>
      </c>
      <c r="S51" s="1550">
        <f t="shared" si="41"/>
        <v>0</v>
      </c>
      <c r="T51" s="1550">
        <f t="shared" si="42"/>
        <v>0</v>
      </c>
      <c r="U51" s="1382">
        <f>'Table 5C1A-Madison Prep'!U51</f>
        <v>12169</v>
      </c>
      <c r="V51" s="1516">
        <f t="shared" si="55"/>
        <v>0</v>
      </c>
      <c r="W51" s="1400"/>
      <c r="X51" s="1383">
        <f t="shared" si="43"/>
        <v>0</v>
      </c>
      <c r="Y51" s="1400"/>
      <c r="Z51" s="1383">
        <f t="shared" si="44"/>
        <v>0</v>
      </c>
      <c r="AA51" s="1384">
        <f t="shared" ref="AA51:AA75" si="56">+X51+Z51</f>
        <v>0</v>
      </c>
      <c r="AB51" s="1511">
        <f t="shared" ref="AB51:AB75" si="57">AA51+V51</f>
        <v>0</v>
      </c>
      <c r="AC51" s="1402">
        <f t="shared" si="46"/>
        <v>0</v>
      </c>
      <c r="AD51" s="1511">
        <f t="shared" si="47"/>
        <v>0</v>
      </c>
      <c r="AE51" s="1385">
        <v>0</v>
      </c>
      <c r="AF51" s="1511">
        <f t="shared" si="48"/>
        <v>0</v>
      </c>
      <c r="AG51" s="1383"/>
      <c r="AH51" s="1383">
        <f t="shared" si="49"/>
        <v>0</v>
      </c>
      <c r="AI51" s="1516">
        <f t="shared" si="50"/>
        <v>0</v>
      </c>
      <c r="AJ51" s="1531">
        <f t="shared" si="51"/>
        <v>0</v>
      </c>
      <c r="AK51" s="1536">
        <f t="shared" si="52"/>
        <v>0</v>
      </c>
    </row>
    <row r="52" spans="1:37" ht="16.2" customHeight="1">
      <c r="A52" s="1183">
        <v>46</v>
      </c>
      <c r="B52" s="1184" t="s">
        <v>126</v>
      </c>
      <c r="C52" s="1185">
        <f>+'Table 8 Membership 2.1.14'!O48</f>
        <v>0</v>
      </c>
      <c r="D52" s="1186">
        <f>+'Table 5C1A-Madison Prep'!D52</f>
        <v>6051.2144468088381</v>
      </c>
      <c r="E52" s="1187">
        <f t="shared" si="34"/>
        <v>0</v>
      </c>
      <c r="F52" s="1187">
        <f>+'Table 5C1A-Madison Prep'!F52</f>
        <v>728.06</v>
      </c>
      <c r="G52" s="1187">
        <f t="shared" si="35"/>
        <v>0</v>
      </c>
      <c r="H52" s="1538">
        <f t="shared" si="36"/>
        <v>0</v>
      </c>
      <c r="I52" s="1188"/>
      <c r="J52" s="1188"/>
      <c r="K52" s="1189">
        <f t="shared" si="37"/>
        <v>0</v>
      </c>
      <c r="L52" s="1538">
        <f t="shared" si="54"/>
        <v>0</v>
      </c>
      <c r="M52" s="1372">
        <f t="shared" si="38"/>
        <v>0</v>
      </c>
      <c r="N52" s="1538">
        <f t="shared" si="53"/>
        <v>0</v>
      </c>
      <c r="O52" s="1186">
        <v>0</v>
      </c>
      <c r="P52" s="1544">
        <f t="shared" si="39"/>
        <v>0</v>
      </c>
      <c r="Q52" s="1188"/>
      <c r="R52" s="1188">
        <f t="shared" si="40"/>
        <v>0</v>
      </c>
      <c r="S52" s="1544">
        <f t="shared" si="41"/>
        <v>0</v>
      </c>
      <c r="T52" s="1544">
        <f t="shared" si="42"/>
        <v>0</v>
      </c>
      <c r="U52" s="1373">
        <f>'Table 5C1A-Madison Prep'!U52</f>
        <v>2713</v>
      </c>
      <c r="V52" s="1514">
        <f t="shared" si="55"/>
        <v>0</v>
      </c>
      <c r="W52" s="1375"/>
      <c r="X52" s="1376">
        <f t="shared" si="43"/>
        <v>0</v>
      </c>
      <c r="Y52" s="1375"/>
      <c r="Z52" s="1376">
        <f t="shared" si="44"/>
        <v>0</v>
      </c>
      <c r="AA52" s="1374">
        <f t="shared" si="56"/>
        <v>0</v>
      </c>
      <c r="AB52" s="1509">
        <f t="shared" si="57"/>
        <v>0</v>
      </c>
      <c r="AC52" s="1378">
        <f t="shared" si="46"/>
        <v>0</v>
      </c>
      <c r="AD52" s="1509">
        <f t="shared" si="47"/>
        <v>0</v>
      </c>
      <c r="AE52" s="1379">
        <v>0</v>
      </c>
      <c r="AF52" s="1509">
        <f t="shared" si="48"/>
        <v>0</v>
      </c>
      <c r="AG52" s="1376"/>
      <c r="AH52" s="1376">
        <f t="shared" si="49"/>
        <v>0</v>
      </c>
      <c r="AI52" s="1514">
        <f t="shared" si="50"/>
        <v>0</v>
      </c>
      <c r="AJ52" s="1530">
        <f t="shared" si="51"/>
        <v>0</v>
      </c>
      <c r="AK52" s="1534">
        <f t="shared" si="52"/>
        <v>0</v>
      </c>
    </row>
    <row r="53" spans="1:37" ht="16.2" customHeight="1">
      <c r="A53" s="1176">
        <v>47</v>
      </c>
      <c r="B53" s="1177" t="s">
        <v>127</v>
      </c>
      <c r="C53" s="1178">
        <f>+'Table 8 Membership 2.1.14'!O49</f>
        <v>0</v>
      </c>
      <c r="D53" s="1179">
        <f>+'Table 5C1A-Madison Prep'!D53</f>
        <v>2524.1485257646736</v>
      </c>
      <c r="E53" s="1180">
        <f t="shared" si="34"/>
        <v>0</v>
      </c>
      <c r="F53" s="1180">
        <f>+'Table 5C1A-Madison Prep'!F53</f>
        <v>910.76</v>
      </c>
      <c r="G53" s="1180">
        <f t="shared" si="35"/>
        <v>0</v>
      </c>
      <c r="H53" s="1539">
        <f t="shared" si="36"/>
        <v>0</v>
      </c>
      <c r="I53" s="1181"/>
      <c r="J53" s="1181"/>
      <c r="K53" s="1182">
        <f t="shared" si="37"/>
        <v>0</v>
      </c>
      <c r="L53" s="1539">
        <f t="shared" si="54"/>
        <v>0</v>
      </c>
      <c r="M53" s="1388">
        <f t="shared" si="38"/>
        <v>0</v>
      </c>
      <c r="N53" s="1539">
        <f t="shared" si="53"/>
        <v>0</v>
      </c>
      <c r="O53" s="1179">
        <v>0</v>
      </c>
      <c r="P53" s="1545">
        <f t="shared" si="39"/>
        <v>0</v>
      </c>
      <c r="Q53" s="1181"/>
      <c r="R53" s="1181">
        <f t="shared" si="40"/>
        <v>0</v>
      </c>
      <c r="S53" s="1545">
        <f t="shared" si="41"/>
        <v>0</v>
      </c>
      <c r="T53" s="1545">
        <f t="shared" si="42"/>
        <v>0</v>
      </c>
      <c r="U53" s="1389">
        <f>'Table 5C1A-Madison Prep'!U53</f>
        <v>11701</v>
      </c>
      <c r="V53" s="1515">
        <f t="shared" si="55"/>
        <v>0</v>
      </c>
      <c r="W53" s="1391"/>
      <c r="X53" s="1392">
        <f t="shared" si="43"/>
        <v>0</v>
      </c>
      <c r="Y53" s="1391"/>
      <c r="Z53" s="1392">
        <f t="shared" si="44"/>
        <v>0</v>
      </c>
      <c r="AA53" s="1390">
        <f t="shared" si="56"/>
        <v>0</v>
      </c>
      <c r="AB53" s="1510">
        <f t="shared" si="57"/>
        <v>0</v>
      </c>
      <c r="AC53" s="1394">
        <f t="shared" si="46"/>
        <v>0</v>
      </c>
      <c r="AD53" s="1510">
        <f t="shared" si="47"/>
        <v>0</v>
      </c>
      <c r="AE53" s="1395">
        <v>0</v>
      </c>
      <c r="AF53" s="1510">
        <f t="shared" si="48"/>
        <v>0</v>
      </c>
      <c r="AG53" s="1392"/>
      <c r="AH53" s="1392">
        <f t="shared" si="49"/>
        <v>0</v>
      </c>
      <c r="AI53" s="1515">
        <f t="shared" si="50"/>
        <v>0</v>
      </c>
      <c r="AJ53" s="1505">
        <f t="shared" si="51"/>
        <v>0</v>
      </c>
      <c r="AK53" s="1535">
        <f t="shared" si="52"/>
        <v>0</v>
      </c>
    </row>
    <row r="54" spans="1:37" ht="16.2" customHeight="1">
      <c r="A54" s="1176">
        <v>48</v>
      </c>
      <c r="B54" s="1177" t="s">
        <v>178</v>
      </c>
      <c r="C54" s="1178">
        <f>+'Table 8 Membership 2.1.14'!O50</f>
        <v>0</v>
      </c>
      <c r="D54" s="1179">
        <f>+'Table 5C1A-Madison Prep'!D54</f>
        <v>3983.3582529800719</v>
      </c>
      <c r="E54" s="1180">
        <f t="shared" si="34"/>
        <v>0</v>
      </c>
      <c r="F54" s="1180">
        <f>+'Table 5C1A-Madison Prep'!F54</f>
        <v>871.07</v>
      </c>
      <c r="G54" s="1180">
        <f t="shared" si="35"/>
        <v>0</v>
      </c>
      <c r="H54" s="1539">
        <f t="shared" si="36"/>
        <v>0</v>
      </c>
      <c r="I54" s="1181"/>
      <c r="J54" s="1181"/>
      <c r="K54" s="1182">
        <f t="shared" si="37"/>
        <v>0</v>
      </c>
      <c r="L54" s="1539">
        <f t="shared" si="54"/>
        <v>0</v>
      </c>
      <c r="M54" s="1388">
        <f t="shared" si="38"/>
        <v>0</v>
      </c>
      <c r="N54" s="1539">
        <f t="shared" si="53"/>
        <v>0</v>
      </c>
      <c r="O54" s="1179">
        <v>0</v>
      </c>
      <c r="P54" s="1545">
        <f t="shared" si="39"/>
        <v>0</v>
      </c>
      <c r="Q54" s="1181"/>
      <c r="R54" s="1181">
        <f t="shared" si="40"/>
        <v>0</v>
      </c>
      <c r="S54" s="1545">
        <f t="shared" si="41"/>
        <v>0</v>
      </c>
      <c r="T54" s="1545">
        <f t="shared" si="42"/>
        <v>0</v>
      </c>
      <c r="U54" s="1389">
        <f>'Table 5C1A-Madison Prep'!U54</f>
        <v>7338</v>
      </c>
      <c r="V54" s="1515">
        <f t="shared" si="55"/>
        <v>0</v>
      </c>
      <c r="W54" s="1391"/>
      <c r="X54" s="1392">
        <f t="shared" si="43"/>
        <v>0</v>
      </c>
      <c r="Y54" s="1391"/>
      <c r="Z54" s="1392">
        <f t="shared" si="44"/>
        <v>0</v>
      </c>
      <c r="AA54" s="1390">
        <f t="shared" si="56"/>
        <v>0</v>
      </c>
      <c r="AB54" s="1510">
        <f t="shared" si="57"/>
        <v>0</v>
      </c>
      <c r="AC54" s="1394">
        <f t="shared" si="46"/>
        <v>0</v>
      </c>
      <c r="AD54" s="1510">
        <f t="shared" si="47"/>
        <v>0</v>
      </c>
      <c r="AE54" s="1395">
        <v>0</v>
      </c>
      <c r="AF54" s="1510">
        <f t="shared" si="48"/>
        <v>0</v>
      </c>
      <c r="AG54" s="1392"/>
      <c r="AH54" s="1392">
        <f t="shared" si="49"/>
        <v>0</v>
      </c>
      <c r="AI54" s="1515">
        <f t="shared" si="50"/>
        <v>0</v>
      </c>
      <c r="AJ54" s="1505">
        <f t="shared" si="51"/>
        <v>0</v>
      </c>
      <c r="AK54" s="1535">
        <f t="shared" si="52"/>
        <v>0</v>
      </c>
    </row>
    <row r="55" spans="1:37" ht="16.2" customHeight="1">
      <c r="A55" s="1176">
        <v>49</v>
      </c>
      <c r="B55" s="1177" t="s">
        <v>128</v>
      </c>
      <c r="C55" s="1178">
        <f>+'Table 8 Membership 2.1.14'!O51</f>
        <v>0</v>
      </c>
      <c r="D55" s="1179">
        <f>+'Table 5C1A-Madison Prep'!D55</f>
        <v>4995.8755315659191</v>
      </c>
      <c r="E55" s="1180">
        <f t="shared" si="34"/>
        <v>0</v>
      </c>
      <c r="F55" s="1180">
        <f>+'Table 5C1A-Madison Prep'!F55</f>
        <v>574.43999999999994</v>
      </c>
      <c r="G55" s="1180">
        <f t="shared" si="35"/>
        <v>0</v>
      </c>
      <c r="H55" s="1539">
        <f t="shared" si="36"/>
        <v>0</v>
      </c>
      <c r="I55" s="1181"/>
      <c r="J55" s="1181"/>
      <c r="K55" s="1182">
        <f t="shared" si="37"/>
        <v>0</v>
      </c>
      <c r="L55" s="1539">
        <f t="shared" si="54"/>
        <v>0</v>
      </c>
      <c r="M55" s="1388">
        <f t="shared" si="38"/>
        <v>0</v>
      </c>
      <c r="N55" s="1539">
        <f t="shared" si="53"/>
        <v>0</v>
      </c>
      <c r="O55" s="1179">
        <v>0</v>
      </c>
      <c r="P55" s="1545">
        <f t="shared" si="39"/>
        <v>0</v>
      </c>
      <c r="Q55" s="1181"/>
      <c r="R55" s="1181">
        <f t="shared" si="40"/>
        <v>0</v>
      </c>
      <c r="S55" s="1545">
        <f t="shared" si="41"/>
        <v>0</v>
      </c>
      <c r="T55" s="1545">
        <f t="shared" si="42"/>
        <v>0</v>
      </c>
      <c r="U55" s="1389">
        <f>'Table 5C1A-Madison Prep'!U55</f>
        <v>2353</v>
      </c>
      <c r="V55" s="1515">
        <f t="shared" si="55"/>
        <v>0</v>
      </c>
      <c r="W55" s="1391"/>
      <c r="X55" s="1392">
        <f t="shared" si="43"/>
        <v>0</v>
      </c>
      <c r="Y55" s="1391"/>
      <c r="Z55" s="1392">
        <f t="shared" si="44"/>
        <v>0</v>
      </c>
      <c r="AA55" s="1390">
        <f t="shared" si="56"/>
        <v>0</v>
      </c>
      <c r="AB55" s="1510">
        <f t="shared" si="57"/>
        <v>0</v>
      </c>
      <c r="AC55" s="1394">
        <f t="shared" si="46"/>
        <v>0</v>
      </c>
      <c r="AD55" s="1510">
        <f t="shared" si="47"/>
        <v>0</v>
      </c>
      <c r="AE55" s="1395">
        <v>0</v>
      </c>
      <c r="AF55" s="1510">
        <f t="shared" si="48"/>
        <v>0</v>
      </c>
      <c r="AG55" s="1392"/>
      <c r="AH55" s="1392">
        <f t="shared" si="49"/>
        <v>0</v>
      </c>
      <c r="AI55" s="1515">
        <f t="shared" si="50"/>
        <v>0</v>
      </c>
      <c r="AJ55" s="1505">
        <f t="shared" si="51"/>
        <v>0</v>
      </c>
      <c r="AK55" s="1535">
        <f t="shared" si="52"/>
        <v>0</v>
      </c>
    </row>
    <row r="56" spans="1:37" ht="16.2" customHeight="1">
      <c r="A56" s="1168">
        <v>50</v>
      </c>
      <c r="B56" s="1169" t="s">
        <v>129</v>
      </c>
      <c r="C56" s="1170">
        <f>+'Table 8 Membership 2.1.14'!O52</f>
        <v>0</v>
      </c>
      <c r="D56" s="1171">
        <f>+'Table 5C1A-Madison Prep'!D56</f>
        <v>5177.6892722701677</v>
      </c>
      <c r="E56" s="1172">
        <f t="shared" si="34"/>
        <v>0</v>
      </c>
      <c r="F56" s="1172">
        <f>+'Table 5C1A-Madison Prep'!F56</f>
        <v>634.46</v>
      </c>
      <c r="G56" s="1172">
        <f t="shared" si="35"/>
        <v>0</v>
      </c>
      <c r="H56" s="1540">
        <f t="shared" si="36"/>
        <v>0</v>
      </c>
      <c r="I56" s="1173"/>
      <c r="J56" s="1173"/>
      <c r="K56" s="1174">
        <f t="shared" si="37"/>
        <v>0</v>
      </c>
      <c r="L56" s="1540">
        <f t="shared" si="54"/>
        <v>0</v>
      </c>
      <c r="M56" s="1399">
        <f t="shared" si="38"/>
        <v>0</v>
      </c>
      <c r="N56" s="1540">
        <f t="shared" si="53"/>
        <v>0</v>
      </c>
      <c r="O56" s="1171">
        <v>0</v>
      </c>
      <c r="P56" s="1546">
        <f t="shared" si="39"/>
        <v>0</v>
      </c>
      <c r="Q56" s="1175"/>
      <c r="R56" s="1173">
        <f t="shared" si="40"/>
        <v>0</v>
      </c>
      <c r="S56" s="1550">
        <f t="shared" si="41"/>
        <v>0</v>
      </c>
      <c r="T56" s="1550">
        <f t="shared" si="42"/>
        <v>0</v>
      </c>
      <c r="U56" s="1382">
        <f>'Table 5C1A-Madison Prep'!U56</f>
        <v>3510</v>
      </c>
      <c r="V56" s="1516">
        <f t="shared" si="55"/>
        <v>0</v>
      </c>
      <c r="W56" s="1400"/>
      <c r="X56" s="1383">
        <f t="shared" si="43"/>
        <v>0</v>
      </c>
      <c r="Y56" s="1400"/>
      <c r="Z56" s="1383">
        <f t="shared" si="44"/>
        <v>0</v>
      </c>
      <c r="AA56" s="1384">
        <f t="shared" si="56"/>
        <v>0</v>
      </c>
      <c r="AB56" s="1511">
        <f t="shared" si="57"/>
        <v>0</v>
      </c>
      <c r="AC56" s="1402">
        <f t="shared" si="46"/>
        <v>0</v>
      </c>
      <c r="AD56" s="1511">
        <f t="shared" si="47"/>
        <v>0</v>
      </c>
      <c r="AE56" s="1385">
        <v>0</v>
      </c>
      <c r="AF56" s="1511">
        <f t="shared" si="48"/>
        <v>0</v>
      </c>
      <c r="AG56" s="1383"/>
      <c r="AH56" s="1383">
        <f t="shared" si="49"/>
        <v>0</v>
      </c>
      <c r="AI56" s="1516">
        <f t="shared" si="50"/>
        <v>0</v>
      </c>
      <c r="AJ56" s="1531">
        <f t="shared" si="51"/>
        <v>0</v>
      </c>
      <c r="AK56" s="1536">
        <f t="shared" si="52"/>
        <v>0</v>
      </c>
    </row>
    <row r="57" spans="1:37" ht="16.2" customHeight="1">
      <c r="A57" s="1183">
        <v>51</v>
      </c>
      <c r="B57" s="1184" t="s">
        <v>130</v>
      </c>
      <c r="C57" s="1185">
        <f>+'Table 8 Membership 2.1.14'!O53</f>
        <v>0</v>
      </c>
      <c r="D57" s="1186">
        <f>+'Table 5C1A-Madison Prep'!D57</f>
        <v>4154.1928602178996</v>
      </c>
      <c r="E57" s="1187">
        <f t="shared" si="34"/>
        <v>0</v>
      </c>
      <c r="F57" s="1187">
        <f>+'Table 5C1A-Madison Prep'!F57</f>
        <v>706.66</v>
      </c>
      <c r="G57" s="1187">
        <f t="shared" si="35"/>
        <v>0</v>
      </c>
      <c r="H57" s="1538">
        <f t="shared" si="36"/>
        <v>0</v>
      </c>
      <c r="I57" s="1188"/>
      <c r="J57" s="1188"/>
      <c r="K57" s="1189">
        <f t="shared" si="37"/>
        <v>0</v>
      </c>
      <c r="L57" s="1538">
        <f t="shared" si="54"/>
        <v>0</v>
      </c>
      <c r="M57" s="1372">
        <f t="shared" si="38"/>
        <v>0</v>
      </c>
      <c r="N57" s="1538">
        <f t="shared" si="53"/>
        <v>0</v>
      </c>
      <c r="O57" s="1186">
        <v>0</v>
      </c>
      <c r="P57" s="1544">
        <f t="shared" si="39"/>
        <v>0</v>
      </c>
      <c r="Q57" s="1188"/>
      <c r="R57" s="1188">
        <f t="shared" si="40"/>
        <v>0</v>
      </c>
      <c r="S57" s="1544">
        <f t="shared" si="41"/>
        <v>0</v>
      </c>
      <c r="T57" s="1544">
        <f t="shared" si="42"/>
        <v>0</v>
      </c>
      <c r="U57" s="1373">
        <f>'Table 5C1A-Madison Prep'!U57</f>
        <v>4597</v>
      </c>
      <c r="V57" s="1514">
        <f t="shared" si="55"/>
        <v>0</v>
      </c>
      <c r="W57" s="1375"/>
      <c r="X57" s="1376">
        <f t="shared" si="43"/>
        <v>0</v>
      </c>
      <c r="Y57" s="1375"/>
      <c r="Z57" s="1376">
        <f t="shared" si="44"/>
        <v>0</v>
      </c>
      <c r="AA57" s="1374">
        <f t="shared" si="56"/>
        <v>0</v>
      </c>
      <c r="AB57" s="1509">
        <f t="shared" si="57"/>
        <v>0</v>
      </c>
      <c r="AC57" s="1378">
        <f t="shared" si="46"/>
        <v>0</v>
      </c>
      <c r="AD57" s="1509">
        <f t="shared" si="47"/>
        <v>0</v>
      </c>
      <c r="AE57" s="1379">
        <v>0</v>
      </c>
      <c r="AF57" s="1509">
        <f t="shared" si="48"/>
        <v>0</v>
      </c>
      <c r="AG57" s="1376"/>
      <c r="AH57" s="1376">
        <f t="shared" si="49"/>
        <v>0</v>
      </c>
      <c r="AI57" s="1514">
        <f t="shared" si="50"/>
        <v>0</v>
      </c>
      <c r="AJ57" s="1530">
        <f t="shared" si="51"/>
        <v>0</v>
      </c>
      <c r="AK57" s="1534">
        <f t="shared" si="52"/>
        <v>0</v>
      </c>
    </row>
    <row r="58" spans="1:37" ht="16.2" customHeight="1">
      <c r="A58" s="1176">
        <v>52</v>
      </c>
      <c r="B58" s="1177" t="s">
        <v>131</v>
      </c>
      <c r="C58" s="1178">
        <f>+'Table 8 Membership 2.1.14'!O54</f>
        <v>0</v>
      </c>
      <c r="D58" s="1179">
        <f>+'Table 5C1A-Madison Prep'!D58</f>
        <v>5062.2745845228173</v>
      </c>
      <c r="E58" s="1180">
        <f t="shared" si="34"/>
        <v>0</v>
      </c>
      <c r="F58" s="1180">
        <f>+'Table 5C1A-Madison Prep'!F58</f>
        <v>658.37</v>
      </c>
      <c r="G58" s="1180">
        <f t="shared" si="35"/>
        <v>0</v>
      </c>
      <c r="H58" s="1539">
        <f t="shared" si="36"/>
        <v>0</v>
      </c>
      <c r="I58" s="1181"/>
      <c r="J58" s="1181"/>
      <c r="K58" s="1182">
        <f t="shared" si="37"/>
        <v>0</v>
      </c>
      <c r="L58" s="1539">
        <f t="shared" si="54"/>
        <v>0</v>
      </c>
      <c r="M58" s="1388">
        <f t="shared" si="38"/>
        <v>0</v>
      </c>
      <c r="N58" s="1539">
        <f t="shared" si="53"/>
        <v>0</v>
      </c>
      <c r="O58" s="1179">
        <v>0</v>
      </c>
      <c r="P58" s="1545">
        <f t="shared" si="39"/>
        <v>0</v>
      </c>
      <c r="Q58" s="1181"/>
      <c r="R58" s="1181">
        <f t="shared" si="40"/>
        <v>0</v>
      </c>
      <c r="S58" s="1545">
        <f t="shared" si="41"/>
        <v>0</v>
      </c>
      <c r="T58" s="1545">
        <f t="shared" si="42"/>
        <v>0</v>
      </c>
      <c r="U58" s="1389">
        <f>'Table 5C1A-Madison Prep'!U58</f>
        <v>5212</v>
      </c>
      <c r="V58" s="1515">
        <f t="shared" si="55"/>
        <v>0</v>
      </c>
      <c r="W58" s="1391"/>
      <c r="X58" s="1392">
        <f t="shared" si="43"/>
        <v>0</v>
      </c>
      <c r="Y58" s="1391"/>
      <c r="Z58" s="1392">
        <f t="shared" si="44"/>
        <v>0</v>
      </c>
      <c r="AA58" s="1390">
        <f t="shared" si="56"/>
        <v>0</v>
      </c>
      <c r="AB58" s="1510">
        <f t="shared" si="57"/>
        <v>0</v>
      </c>
      <c r="AC58" s="1394">
        <f t="shared" si="46"/>
        <v>0</v>
      </c>
      <c r="AD58" s="1510">
        <f t="shared" si="47"/>
        <v>0</v>
      </c>
      <c r="AE58" s="1395">
        <v>0</v>
      </c>
      <c r="AF58" s="1510">
        <f t="shared" si="48"/>
        <v>0</v>
      </c>
      <c r="AG58" s="1392"/>
      <c r="AH58" s="1392">
        <f t="shared" si="49"/>
        <v>0</v>
      </c>
      <c r="AI58" s="1515">
        <f t="shared" si="50"/>
        <v>0</v>
      </c>
      <c r="AJ58" s="1505">
        <f t="shared" si="51"/>
        <v>0</v>
      </c>
      <c r="AK58" s="1535">
        <f t="shared" si="52"/>
        <v>0</v>
      </c>
    </row>
    <row r="59" spans="1:37" ht="16.2" customHeight="1">
      <c r="A59" s="1176">
        <v>53</v>
      </c>
      <c r="B59" s="1177" t="s">
        <v>132</v>
      </c>
      <c r="C59" s="1178">
        <f>+'Table 8 Membership 2.1.14'!O55</f>
        <v>0</v>
      </c>
      <c r="D59" s="1179">
        <f>+'Table 5C1A-Madison Prep'!D59</f>
        <v>5060.1508194045482</v>
      </c>
      <c r="E59" s="1180">
        <f t="shared" si="34"/>
        <v>0</v>
      </c>
      <c r="F59" s="1180">
        <f>+'Table 5C1A-Madison Prep'!F59</f>
        <v>689.74</v>
      </c>
      <c r="G59" s="1180">
        <f t="shared" si="35"/>
        <v>0</v>
      </c>
      <c r="H59" s="1539">
        <f t="shared" si="36"/>
        <v>0</v>
      </c>
      <c r="I59" s="1181"/>
      <c r="J59" s="1181"/>
      <c r="K59" s="1182">
        <f t="shared" si="37"/>
        <v>0</v>
      </c>
      <c r="L59" s="1539">
        <f t="shared" si="54"/>
        <v>0</v>
      </c>
      <c r="M59" s="1388">
        <f t="shared" si="38"/>
        <v>0</v>
      </c>
      <c r="N59" s="1539">
        <f t="shared" si="53"/>
        <v>0</v>
      </c>
      <c r="O59" s="1179">
        <v>0</v>
      </c>
      <c r="P59" s="1545">
        <f t="shared" si="39"/>
        <v>0</v>
      </c>
      <c r="Q59" s="1181"/>
      <c r="R59" s="1181">
        <f t="shared" si="40"/>
        <v>0</v>
      </c>
      <c r="S59" s="1545">
        <f t="shared" si="41"/>
        <v>0</v>
      </c>
      <c r="T59" s="1545">
        <f t="shared" si="42"/>
        <v>0</v>
      </c>
      <c r="U59" s="1389">
        <f>'Table 5C1A-Madison Prep'!U59</f>
        <v>2054</v>
      </c>
      <c r="V59" s="1515">
        <f t="shared" si="55"/>
        <v>0</v>
      </c>
      <c r="W59" s="1391"/>
      <c r="X59" s="1392">
        <f t="shared" si="43"/>
        <v>0</v>
      </c>
      <c r="Y59" s="1391"/>
      <c r="Z59" s="1392">
        <f t="shared" si="44"/>
        <v>0</v>
      </c>
      <c r="AA59" s="1390">
        <f t="shared" si="56"/>
        <v>0</v>
      </c>
      <c r="AB59" s="1510">
        <f t="shared" si="57"/>
        <v>0</v>
      </c>
      <c r="AC59" s="1394">
        <f t="shared" si="46"/>
        <v>0</v>
      </c>
      <c r="AD59" s="1510">
        <f t="shared" si="47"/>
        <v>0</v>
      </c>
      <c r="AE59" s="1395">
        <v>0</v>
      </c>
      <c r="AF59" s="1510">
        <f t="shared" si="48"/>
        <v>0</v>
      </c>
      <c r="AG59" s="1392"/>
      <c r="AH59" s="1392">
        <f t="shared" si="49"/>
        <v>0</v>
      </c>
      <c r="AI59" s="1515">
        <f t="shared" si="50"/>
        <v>0</v>
      </c>
      <c r="AJ59" s="1505">
        <f t="shared" si="51"/>
        <v>0</v>
      </c>
      <c r="AK59" s="1535">
        <f t="shared" si="52"/>
        <v>0</v>
      </c>
    </row>
    <row r="60" spans="1:37" ht="16.2" customHeight="1">
      <c r="A60" s="1176">
        <v>54</v>
      </c>
      <c r="B60" s="1177" t="s">
        <v>133</v>
      </c>
      <c r="C60" s="1178">
        <f>+'Table 8 Membership 2.1.14'!O56</f>
        <v>0</v>
      </c>
      <c r="D60" s="1179">
        <f>+'Table 5C1A-Madison Prep'!D60</f>
        <v>5867.0798370516713</v>
      </c>
      <c r="E60" s="1180">
        <f t="shared" si="34"/>
        <v>0</v>
      </c>
      <c r="F60" s="1180">
        <f>+'Table 5C1A-Madison Prep'!F60</f>
        <v>951.45</v>
      </c>
      <c r="G60" s="1180">
        <f t="shared" si="35"/>
        <v>0</v>
      </c>
      <c r="H60" s="1539">
        <f t="shared" si="36"/>
        <v>0</v>
      </c>
      <c r="I60" s="1181"/>
      <c r="J60" s="1181"/>
      <c r="K60" s="1182">
        <f t="shared" si="37"/>
        <v>0</v>
      </c>
      <c r="L60" s="1539">
        <f t="shared" si="54"/>
        <v>0</v>
      </c>
      <c r="M60" s="1388">
        <f t="shared" si="38"/>
        <v>0</v>
      </c>
      <c r="N60" s="1539">
        <f t="shared" si="53"/>
        <v>0</v>
      </c>
      <c r="O60" s="1179">
        <v>0</v>
      </c>
      <c r="P60" s="1545">
        <f t="shared" si="39"/>
        <v>0</v>
      </c>
      <c r="Q60" s="1181"/>
      <c r="R60" s="1181">
        <f t="shared" si="40"/>
        <v>0</v>
      </c>
      <c r="S60" s="1545">
        <f t="shared" si="41"/>
        <v>0</v>
      </c>
      <c r="T60" s="1545">
        <f t="shared" si="42"/>
        <v>0</v>
      </c>
      <c r="U60" s="1389">
        <f>'Table 5C1A-Madison Prep'!U60</f>
        <v>4116</v>
      </c>
      <c r="V60" s="1515">
        <f t="shared" si="55"/>
        <v>0</v>
      </c>
      <c r="W60" s="1391"/>
      <c r="X60" s="1392">
        <f t="shared" si="43"/>
        <v>0</v>
      </c>
      <c r="Y60" s="1391"/>
      <c r="Z60" s="1392">
        <f t="shared" si="44"/>
        <v>0</v>
      </c>
      <c r="AA60" s="1390">
        <f t="shared" si="56"/>
        <v>0</v>
      </c>
      <c r="AB60" s="1510">
        <f t="shared" si="57"/>
        <v>0</v>
      </c>
      <c r="AC60" s="1394">
        <f t="shared" si="46"/>
        <v>0</v>
      </c>
      <c r="AD60" s="1510">
        <f t="shared" si="47"/>
        <v>0</v>
      </c>
      <c r="AE60" s="1395">
        <v>0</v>
      </c>
      <c r="AF60" s="1510">
        <f t="shared" si="48"/>
        <v>0</v>
      </c>
      <c r="AG60" s="1392"/>
      <c r="AH60" s="1392">
        <f t="shared" si="49"/>
        <v>0</v>
      </c>
      <c r="AI60" s="1515">
        <f t="shared" si="50"/>
        <v>0</v>
      </c>
      <c r="AJ60" s="1505">
        <f t="shared" si="51"/>
        <v>0</v>
      </c>
      <c r="AK60" s="1535">
        <f t="shared" si="52"/>
        <v>0</v>
      </c>
    </row>
    <row r="61" spans="1:37" ht="16.2" customHeight="1">
      <c r="A61" s="1168">
        <v>55</v>
      </c>
      <c r="B61" s="1169" t="s">
        <v>134</v>
      </c>
      <c r="C61" s="1170">
        <f>+'Table 8 Membership 2.1.14'!O57</f>
        <v>0</v>
      </c>
      <c r="D61" s="1171">
        <f>+'Table 5C1A-Madison Prep'!D61</f>
        <v>4266.8225491298481</v>
      </c>
      <c r="E61" s="1172">
        <f t="shared" si="34"/>
        <v>0</v>
      </c>
      <c r="F61" s="1172">
        <f>+'Table 5C1A-Madison Prep'!F61</f>
        <v>795.14</v>
      </c>
      <c r="G61" s="1172">
        <f t="shared" si="35"/>
        <v>0</v>
      </c>
      <c r="H61" s="1540">
        <f t="shared" si="36"/>
        <v>0</v>
      </c>
      <c r="I61" s="1173"/>
      <c r="J61" s="1173"/>
      <c r="K61" s="1174">
        <f t="shared" si="37"/>
        <v>0</v>
      </c>
      <c r="L61" s="1540">
        <f t="shared" si="54"/>
        <v>0</v>
      </c>
      <c r="M61" s="1399">
        <f t="shared" si="38"/>
        <v>0</v>
      </c>
      <c r="N61" s="1540">
        <f t="shared" si="53"/>
        <v>0</v>
      </c>
      <c r="O61" s="1171">
        <v>0</v>
      </c>
      <c r="P61" s="1546">
        <f t="shared" si="39"/>
        <v>0</v>
      </c>
      <c r="Q61" s="1175"/>
      <c r="R61" s="1173">
        <f t="shared" si="40"/>
        <v>0</v>
      </c>
      <c r="S61" s="1550">
        <f t="shared" si="41"/>
        <v>0</v>
      </c>
      <c r="T61" s="1550">
        <f t="shared" si="42"/>
        <v>0</v>
      </c>
      <c r="U61" s="1382">
        <f>'Table 5C1A-Madison Prep'!U61</f>
        <v>3532</v>
      </c>
      <c r="V61" s="1516">
        <f t="shared" si="55"/>
        <v>0</v>
      </c>
      <c r="W61" s="1400"/>
      <c r="X61" s="1383">
        <f t="shared" si="43"/>
        <v>0</v>
      </c>
      <c r="Y61" s="1400"/>
      <c r="Z61" s="1383">
        <f t="shared" si="44"/>
        <v>0</v>
      </c>
      <c r="AA61" s="1384">
        <f t="shared" si="56"/>
        <v>0</v>
      </c>
      <c r="AB61" s="1511">
        <f t="shared" si="57"/>
        <v>0</v>
      </c>
      <c r="AC61" s="1402">
        <f t="shared" si="46"/>
        <v>0</v>
      </c>
      <c r="AD61" s="1511">
        <f t="shared" si="47"/>
        <v>0</v>
      </c>
      <c r="AE61" s="1385">
        <v>0</v>
      </c>
      <c r="AF61" s="1511">
        <f t="shared" si="48"/>
        <v>0</v>
      </c>
      <c r="AG61" s="1383"/>
      <c r="AH61" s="1383">
        <f t="shared" si="49"/>
        <v>0</v>
      </c>
      <c r="AI61" s="1516">
        <f t="shared" si="50"/>
        <v>0</v>
      </c>
      <c r="AJ61" s="1531">
        <f t="shared" si="51"/>
        <v>0</v>
      </c>
      <c r="AK61" s="1536">
        <f t="shared" si="52"/>
        <v>0</v>
      </c>
    </row>
    <row r="62" spans="1:37" ht="16.2" customHeight="1">
      <c r="A62" s="1183">
        <v>56</v>
      </c>
      <c r="B62" s="1184" t="s">
        <v>135</v>
      </c>
      <c r="C62" s="1185">
        <f>+'Table 8 Membership 2.1.14'!O58</f>
        <v>0</v>
      </c>
      <c r="D62" s="1186">
        <f>+'Table 5C1A-Madison Prep'!D62</f>
        <v>5028.4909408288286</v>
      </c>
      <c r="E62" s="1187">
        <f t="shared" si="34"/>
        <v>0</v>
      </c>
      <c r="F62" s="1187">
        <f>+'Table 5C1A-Madison Prep'!F62</f>
        <v>614.66000000000008</v>
      </c>
      <c r="G62" s="1187">
        <f t="shared" si="35"/>
        <v>0</v>
      </c>
      <c r="H62" s="1538">
        <f t="shared" si="36"/>
        <v>0</v>
      </c>
      <c r="I62" s="1188"/>
      <c r="J62" s="1188"/>
      <c r="K62" s="1189">
        <f t="shared" si="37"/>
        <v>0</v>
      </c>
      <c r="L62" s="1538">
        <f t="shared" si="54"/>
        <v>0</v>
      </c>
      <c r="M62" s="1372">
        <f t="shared" si="38"/>
        <v>0</v>
      </c>
      <c r="N62" s="1538">
        <f t="shared" si="53"/>
        <v>0</v>
      </c>
      <c r="O62" s="1186">
        <v>0</v>
      </c>
      <c r="P62" s="1544">
        <f t="shared" si="39"/>
        <v>0</v>
      </c>
      <c r="Q62" s="1188"/>
      <c r="R62" s="1188">
        <f t="shared" si="40"/>
        <v>0</v>
      </c>
      <c r="S62" s="1544">
        <f t="shared" si="41"/>
        <v>0</v>
      </c>
      <c r="T62" s="1544">
        <f t="shared" si="42"/>
        <v>0</v>
      </c>
      <c r="U62" s="1373">
        <f>'Table 5C1A-Madison Prep'!U62</f>
        <v>2865</v>
      </c>
      <c r="V62" s="1514">
        <f t="shared" si="55"/>
        <v>0</v>
      </c>
      <c r="W62" s="1375"/>
      <c r="X62" s="1376">
        <f t="shared" si="43"/>
        <v>0</v>
      </c>
      <c r="Y62" s="1375"/>
      <c r="Z62" s="1376">
        <f t="shared" si="44"/>
        <v>0</v>
      </c>
      <c r="AA62" s="1374">
        <f t="shared" si="56"/>
        <v>0</v>
      </c>
      <c r="AB62" s="1509">
        <f t="shared" si="57"/>
        <v>0</v>
      </c>
      <c r="AC62" s="1378">
        <f t="shared" si="46"/>
        <v>0</v>
      </c>
      <c r="AD62" s="1509">
        <f t="shared" si="47"/>
        <v>0</v>
      </c>
      <c r="AE62" s="1379">
        <v>0</v>
      </c>
      <c r="AF62" s="1509">
        <f t="shared" si="48"/>
        <v>0</v>
      </c>
      <c r="AG62" s="1376"/>
      <c r="AH62" s="1376">
        <f t="shared" si="49"/>
        <v>0</v>
      </c>
      <c r="AI62" s="1514">
        <f t="shared" si="50"/>
        <v>0</v>
      </c>
      <c r="AJ62" s="1530">
        <f t="shared" si="51"/>
        <v>0</v>
      </c>
      <c r="AK62" s="1534">
        <f t="shared" si="52"/>
        <v>0</v>
      </c>
    </row>
    <row r="63" spans="1:37" ht="16.2" customHeight="1">
      <c r="A63" s="1176">
        <v>57</v>
      </c>
      <c r="B63" s="1177" t="s">
        <v>136</v>
      </c>
      <c r="C63" s="1178">
        <f>+'Table 8 Membership 2.1.14'!O59</f>
        <v>0</v>
      </c>
      <c r="D63" s="1179">
        <f>+'Table 5C1A-Madison Prep'!D63</f>
        <v>4625.9922979230687</v>
      </c>
      <c r="E63" s="1180">
        <f t="shared" si="34"/>
        <v>0</v>
      </c>
      <c r="F63" s="1180">
        <f>+'Table 5C1A-Madison Prep'!F63</f>
        <v>764.51</v>
      </c>
      <c r="G63" s="1180">
        <f t="shared" si="35"/>
        <v>0</v>
      </c>
      <c r="H63" s="1539">
        <f t="shared" si="36"/>
        <v>0</v>
      </c>
      <c r="I63" s="1181"/>
      <c r="J63" s="1181"/>
      <c r="K63" s="1182">
        <f t="shared" si="37"/>
        <v>0</v>
      </c>
      <c r="L63" s="1539">
        <f t="shared" si="54"/>
        <v>0</v>
      </c>
      <c r="M63" s="1388">
        <f t="shared" si="38"/>
        <v>0</v>
      </c>
      <c r="N63" s="1539">
        <f t="shared" si="53"/>
        <v>0</v>
      </c>
      <c r="O63" s="1179">
        <v>0</v>
      </c>
      <c r="P63" s="1545">
        <f t="shared" si="39"/>
        <v>0</v>
      </c>
      <c r="Q63" s="1181"/>
      <c r="R63" s="1181">
        <f t="shared" si="40"/>
        <v>0</v>
      </c>
      <c r="S63" s="1545">
        <f t="shared" si="41"/>
        <v>0</v>
      </c>
      <c r="T63" s="1545">
        <f t="shared" si="42"/>
        <v>0</v>
      </c>
      <c r="U63" s="1389">
        <f>'Table 5C1A-Madison Prep'!U63</f>
        <v>3395</v>
      </c>
      <c r="V63" s="1515">
        <f t="shared" si="55"/>
        <v>0</v>
      </c>
      <c r="W63" s="1391"/>
      <c r="X63" s="1392">
        <f t="shared" si="43"/>
        <v>0</v>
      </c>
      <c r="Y63" s="1391"/>
      <c r="Z63" s="1392">
        <f t="shared" si="44"/>
        <v>0</v>
      </c>
      <c r="AA63" s="1390">
        <f t="shared" si="56"/>
        <v>0</v>
      </c>
      <c r="AB63" s="1510">
        <f t="shared" si="57"/>
        <v>0</v>
      </c>
      <c r="AC63" s="1394">
        <f t="shared" si="46"/>
        <v>0</v>
      </c>
      <c r="AD63" s="1510">
        <f t="shared" si="47"/>
        <v>0</v>
      </c>
      <c r="AE63" s="1395">
        <v>0</v>
      </c>
      <c r="AF63" s="1510">
        <f t="shared" si="48"/>
        <v>0</v>
      </c>
      <c r="AG63" s="1392"/>
      <c r="AH63" s="1392">
        <f t="shared" si="49"/>
        <v>0</v>
      </c>
      <c r="AI63" s="1515">
        <f t="shared" si="50"/>
        <v>0</v>
      </c>
      <c r="AJ63" s="1505">
        <f t="shared" si="51"/>
        <v>0</v>
      </c>
      <c r="AK63" s="1535">
        <f t="shared" si="52"/>
        <v>0</v>
      </c>
    </row>
    <row r="64" spans="1:37" ht="16.2" customHeight="1">
      <c r="A64" s="1176">
        <v>58</v>
      </c>
      <c r="B64" s="1177" t="s">
        <v>137</v>
      </c>
      <c r="C64" s="1178">
        <f>+'Table 8 Membership 2.1.14'!O60</f>
        <v>0</v>
      </c>
      <c r="D64" s="1179">
        <f>+'Table 5C1A-Madison Prep'!D64</f>
        <v>5673.1129637882123</v>
      </c>
      <c r="E64" s="1180">
        <f t="shared" si="34"/>
        <v>0</v>
      </c>
      <c r="F64" s="1180">
        <f>+'Table 5C1A-Madison Prep'!F64</f>
        <v>697.04</v>
      </c>
      <c r="G64" s="1180">
        <f t="shared" si="35"/>
        <v>0</v>
      </c>
      <c r="H64" s="1539">
        <f t="shared" si="36"/>
        <v>0</v>
      </c>
      <c r="I64" s="1181"/>
      <c r="J64" s="1181"/>
      <c r="K64" s="1182">
        <f t="shared" si="37"/>
        <v>0</v>
      </c>
      <c r="L64" s="1539">
        <f t="shared" si="54"/>
        <v>0</v>
      </c>
      <c r="M64" s="1388">
        <f t="shared" si="38"/>
        <v>0</v>
      </c>
      <c r="N64" s="1539">
        <f t="shared" si="53"/>
        <v>0</v>
      </c>
      <c r="O64" s="1179">
        <v>0</v>
      </c>
      <c r="P64" s="1545">
        <f t="shared" si="39"/>
        <v>0</v>
      </c>
      <c r="Q64" s="1181"/>
      <c r="R64" s="1181">
        <f t="shared" si="40"/>
        <v>0</v>
      </c>
      <c r="S64" s="1545">
        <f t="shared" si="41"/>
        <v>0</v>
      </c>
      <c r="T64" s="1545">
        <f t="shared" si="42"/>
        <v>0</v>
      </c>
      <c r="U64" s="1389">
        <f>'Table 5C1A-Madison Prep'!U64</f>
        <v>2084</v>
      </c>
      <c r="V64" s="1515">
        <f t="shared" si="55"/>
        <v>0</v>
      </c>
      <c r="W64" s="1391"/>
      <c r="X64" s="1392">
        <f t="shared" si="43"/>
        <v>0</v>
      </c>
      <c r="Y64" s="1391"/>
      <c r="Z64" s="1392">
        <f t="shared" si="44"/>
        <v>0</v>
      </c>
      <c r="AA64" s="1390">
        <f t="shared" si="56"/>
        <v>0</v>
      </c>
      <c r="AB64" s="1510">
        <f t="shared" si="57"/>
        <v>0</v>
      </c>
      <c r="AC64" s="1394">
        <f t="shared" si="46"/>
        <v>0</v>
      </c>
      <c r="AD64" s="1510">
        <f t="shared" si="47"/>
        <v>0</v>
      </c>
      <c r="AE64" s="1395">
        <v>0</v>
      </c>
      <c r="AF64" s="1510">
        <f t="shared" si="48"/>
        <v>0</v>
      </c>
      <c r="AG64" s="1392"/>
      <c r="AH64" s="1392">
        <f t="shared" si="49"/>
        <v>0</v>
      </c>
      <c r="AI64" s="1515">
        <f t="shared" si="50"/>
        <v>0</v>
      </c>
      <c r="AJ64" s="1505">
        <f t="shared" si="51"/>
        <v>0</v>
      </c>
      <c r="AK64" s="1535">
        <f t="shared" si="52"/>
        <v>0</v>
      </c>
    </row>
    <row r="65" spans="1:37" ht="16.2" customHeight="1">
      <c r="A65" s="1176">
        <v>59</v>
      </c>
      <c r="B65" s="1177" t="s">
        <v>138</v>
      </c>
      <c r="C65" s="1178">
        <f>+'Table 8 Membership 2.1.14'!O61</f>
        <v>0</v>
      </c>
      <c r="D65" s="1179">
        <f>+'Table 5C1A-Madison Prep'!D65</f>
        <v>6621.946293521848</v>
      </c>
      <c r="E65" s="1180">
        <f t="shared" si="34"/>
        <v>0</v>
      </c>
      <c r="F65" s="1180">
        <f>+'Table 5C1A-Madison Prep'!F65</f>
        <v>689.52</v>
      </c>
      <c r="G65" s="1180">
        <f t="shared" si="35"/>
        <v>0</v>
      </c>
      <c r="H65" s="1539">
        <f t="shared" si="36"/>
        <v>0</v>
      </c>
      <c r="I65" s="1181"/>
      <c r="J65" s="1181"/>
      <c r="K65" s="1182">
        <f t="shared" si="37"/>
        <v>0</v>
      </c>
      <c r="L65" s="1539">
        <f t="shared" si="54"/>
        <v>0</v>
      </c>
      <c r="M65" s="1388">
        <f t="shared" si="38"/>
        <v>0</v>
      </c>
      <c r="N65" s="1539">
        <f t="shared" si="53"/>
        <v>0</v>
      </c>
      <c r="O65" s="1179">
        <v>0</v>
      </c>
      <c r="P65" s="1545">
        <f t="shared" si="39"/>
        <v>0</v>
      </c>
      <c r="Q65" s="1181"/>
      <c r="R65" s="1181">
        <f t="shared" si="40"/>
        <v>0</v>
      </c>
      <c r="S65" s="1545">
        <f t="shared" si="41"/>
        <v>0</v>
      </c>
      <c r="T65" s="1545">
        <f t="shared" si="42"/>
        <v>0</v>
      </c>
      <c r="U65" s="1389">
        <f>'Table 5C1A-Madison Prep'!U65</f>
        <v>1577</v>
      </c>
      <c r="V65" s="1515">
        <f t="shared" si="55"/>
        <v>0</v>
      </c>
      <c r="W65" s="1391"/>
      <c r="X65" s="1392">
        <f t="shared" si="43"/>
        <v>0</v>
      </c>
      <c r="Y65" s="1391"/>
      <c r="Z65" s="1392">
        <f t="shared" si="44"/>
        <v>0</v>
      </c>
      <c r="AA65" s="1390">
        <f t="shared" si="56"/>
        <v>0</v>
      </c>
      <c r="AB65" s="1510">
        <f t="shared" si="57"/>
        <v>0</v>
      </c>
      <c r="AC65" s="1394">
        <f t="shared" si="46"/>
        <v>0</v>
      </c>
      <c r="AD65" s="1510">
        <f t="shared" si="47"/>
        <v>0</v>
      </c>
      <c r="AE65" s="1395">
        <v>0</v>
      </c>
      <c r="AF65" s="1510">
        <f t="shared" si="48"/>
        <v>0</v>
      </c>
      <c r="AG65" s="1392"/>
      <c r="AH65" s="1392">
        <f t="shared" si="49"/>
        <v>0</v>
      </c>
      <c r="AI65" s="1515">
        <f t="shared" si="50"/>
        <v>0</v>
      </c>
      <c r="AJ65" s="1505">
        <f t="shared" si="51"/>
        <v>0</v>
      </c>
      <c r="AK65" s="1535">
        <f t="shared" si="52"/>
        <v>0</v>
      </c>
    </row>
    <row r="66" spans="1:37" ht="16.2" customHeight="1">
      <c r="A66" s="1168">
        <v>60</v>
      </c>
      <c r="B66" s="1169" t="s">
        <v>139</v>
      </c>
      <c r="C66" s="1170">
        <f>+'Table 8 Membership 2.1.14'!O62</f>
        <v>0</v>
      </c>
      <c r="D66" s="1171">
        <f>+'Table 5C1A-Madison Prep'!D66</f>
        <v>5301.224090063828</v>
      </c>
      <c r="E66" s="1172">
        <f t="shared" si="34"/>
        <v>0</v>
      </c>
      <c r="F66" s="1172">
        <f>+'Table 5C1A-Madison Prep'!F66</f>
        <v>594.04</v>
      </c>
      <c r="G66" s="1172">
        <f t="shared" si="35"/>
        <v>0</v>
      </c>
      <c r="H66" s="1540">
        <f t="shared" si="36"/>
        <v>0</v>
      </c>
      <c r="I66" s="1173"/>
      <c r="J66" s="1173"/>
      <c r="K66" s="1174">
        <f t="shared" si="37"/>
        <v>0</v>
      </c>
      <c r="L66" s="1540">
        <f t="shared" si="54"/>
        <v>0</v>
      </c>
      <c r="M66" s="1399">
        <f t="shared" si="38"/>
        <v>0</v>
      </c>
      <c r="N66" s="1540">
        <f t="shared" si="53"/>
        <v>0</v>
      </c>
      <c r="O66" s="1171">
        <v>0</v>
      </c>
      <c r="P66" s="1546">
        <f t="shared" si="39"/>
        <v>0</v>
      </c>
      <c r="Q66" s="1175"/>
      <c r="R66" s="1173">
        <f t="shared" si="40"/>
        <v>0</v>
      </c>
      <c r="S66" s="1550">
        <f t="shared" si="41"/>
        <v>0</v>
      </c>
      <c r="T66" s="1550">
        <f t="shared" si="42"/>
        <v>0</v>
      </c>
      <c r="U66" s="1382">
        <f>'Table 5C1A-Madison Prep'!U66</f>
        <v>3922</v>
      </c>
      <c r="V66" s="1516">
        <f t="shared" si="55"/>
        <v>0</v>
      </c>
      <c r="W66" s="1400"/>
      <c r="X66" s="1383">
        <f t="shared" si="43"/>
        <v>0</v>
      </c>
      <c r="Y66" s="1400"/>
      <c r="Z66" s="1383">
        <f t="shared" si="44"/>
        <v>0</v>
      </c>
      <c r="AA66" s="1384">
        <f t="shared" si="56"/>
        <v>0</v>
      </c>
      <c r="AB66" s="1511">
        <f t="shared" si="57"/>
        <v>0</v>
      </c>
      <c r="AC66" s="1402">
        <f t="shared" si="46"/>
        <v>0</v>
      </c>
      <c r="AD66" s="1511">
        <f t="shared" si="47"/>
        <v>0</v>
      </c>
      <c r="AE66" s="1385">
        <v>0</v>
      </c>
      <c r="AF66" s="1511">
        <f t="shared" si="48"/>
        <v>0</v>
      </c>
      <c r="AG66" s="1383"/>
      <c r="AH66" s="1383">
        <f t="shared" si="49"/>
        <v>0</v>
      </c>
      <c r="AI66" s="1516">
        <f t="shared" si="50"/>
        <v>0</v>
      </c>
      <c r="AJ66" s="1531">
        <f t="shared" si="51"/>
        <v>0</v>
      </c>
      <c r="AK66" s="1536">
        <f t="shared" si="52"/>
        <v>0</v>
      </c>
    </row>
    <row r="67" spans="1:37" ht="16.2" customHeight="1">
      <c r="A67" s="1183">
        <v>61</v>
      </c>
      <c r="B67" s="1184" t="s">
        <v>140</v>
      </c>
      <c r="C67" s="1185">
        <f>+'Table 8 Membership 2.1.14'!O63</f>
        <v>0</v>
      </c>
      <c r="D67" s="1186">
        <f>+'Table 5C1A-Madison Prep'!D67</f>
        <v>2854.1575356369185</v>
      </c>
      <c r="E67" s="1187">
        <f t="shared" si="34"/>
        <v>0</v>
      </c>
      <c r="F67" s="1187">
        <f>+'Table 5C1A-Madison Prep'!F67</f>
        <v>833.70999999999992</v>
      </c>
      <c r="G67" s="1187">
        <f t="shared" si="35"/>
        <v>0</v>
      </c>
      <c r="H67" s="1538">
        <f t="shared" si="36"/>
        <v>0</v>
      </c>
      <c r="I67" s="1188"/>
      <c r="J67" s="1188"/>
      <c r="K67" s="1189">
        <f t="shared" si="37"/>
        <v>0</v>
      </c>
      <c r="L67" s="1538">
        <f t="shared" si="54"/>
        <v>0</v>
      </c>
      <c r="M67" s="1372">
        <f t="shared" si="38"/>
        <v>0</v>
      </c>
      <c r="N67" s="1538">
        <f t="shared" si="53"/>
        <v>0</v>
      </c>
      <c r="O67" s="1186">
        <v>0</v>
      </c>
      <c r="P67" s="1544">
        <f t="shared" si="39"/>
        <v>0</v>
      </c>
      <c r="Q67" s="1188"/>
      <c r="R67" s="1188">
        <f t="shared" si="40"/>
        <v>0</v>
      </c>
      <c r="S67" s="1544">
        <f t="shared" si="41"/>
        <v>0</v>
      </c>
      <c r="T67" s="1544">
        <f t="shared" si="42"/>
        <v>0</v>
      </c>
      <c r="U67" s="1373">
        <f>'Table 5C1A-Madison Prep'!U67</f>
        <v>6745</v>
      </c>
      <c r="V67" s="1514">
        <f t="shared" si="55"/>
        <v>0</v>
      </c>
      <c r="W67" s="1375"/>
      <c r="X67" s="1376">
        <f t="shared" si="43"/>
        <v>0</v>
      </c>
      <c r="Y67" s="1375"/>
      <c r="Z67" s="1376">
        <f t="shared" si="44"/>
        <v>0</v>
      </c>
      <c r="AA67" s="1374">
        <f t="shared" si="56"/>
        <v>0</v>
      </c>
      <c r="AB67" s="1509">
        <f t="shared" si="57"/>
        <v>0</v>
      </c>
      <c r="AC67" s="1378">
        <f t="shared" si="46"/>
        <v>0</v>
      </c>
      <c r="AD67" s="1509">
        <f t="shared" si="47"/>
        <v>0</v>
      </c>
      <c r="AE67" s="1379">
        <v>0</v>
      </c>
      <c r="AF67" s="1509">
        <f t="shared" si="48"/>
        <v>0</v>
      </c>
      <c r="AG67" s="1376"/>
      <c r="AH67" s="1376">
        <f t="shared" si="49"/>
        <v>0</v>
      </c>
      <c r="AI67" s="1514">
        <f t="shared" si="50"/>
        <v>0</v>
      </c>
      <c r="AJ67" s="1530">
        <f t="shared" si="51"/>
        <v>0</v>
      </c>
      <c r="AK67" s="1534">
        <f t="shared" si="52"/>
        <v>0</v>
      </c>
    </row>
    <row r="68" spans="1:37" ht="16.2" customHeight="1">
      <c r="A68" s="1176">
        <v>62</v>
      </c>
      <c r="B68" s="1177" t="s">
        <v>141</v>
      </c>
      <c r="C68" s="1178">
        <f>+'Table 8 Membership 2.1.14'!O64</f>
        <v>0</v>
      </c>
      <c r="D68" s="1179">
        <f>+'Table 5C1A-Madison Prep'!D68</f>
        <v>5901.074538516008</v>
      </c>
      <c r="E68" s="1180">
        <f t="shared" si="34"/>
        <v>0</v>
      </c>
      <c r="F68" s="1180">
        <f>+'Table 5C1A-Madison Prep'!F68</f>
        <v>516.08000000000004</v>
      </c>
      <c r="G68" s="1180">
        <f t="shared" si="35"/>
        <v>0</v>
      </c>
      <c r="H68" s="1539">
        <f t="shared" si="36"/>
        <v>0</v>
      </c>
      <c r="I68" s="1181"/>
      <c r="J68" s="1181"/>
      <c r="K68" s="1182">
        <f t="shared" si="37"/>
        <v>0</v>
      </c>
      <c r="L68" s="1539">
        <f t="shared" si="54"/>
        <v>0</v>
      </c>
      <c r="M68" s="1388">
        <f t="shared" si="38"/>
        <v>0</v>
      </c>
      <c r="N68" s="1539">
        <f t="shared" si="53"/>
        <v>0</v>
      </c>
      <c r="O68" s="1179">
        <v>0</v>
      </c>
      <c r="P68" s="1545">
        <f t="shared" si="39"/>
        <v>0</v>
      </c>
      <c r="Q68" s="1181"/>
      <c r="R68" s="1181">
        <f t="shared" si="40"/>
        <v>0</v>
      </c>
      <c r="S68" s="1545">
        <f t="shared" si="41"/>
        <v>0</v>
      </c>
      <c r="T68" s="1545">
        <f t="shared" si="42"/>
        <v>0</v>
      </c>
      <c r="U68" s="1389">
        <f>'Table 5C1A-Madison Prep'!U68</f>
        <v>1908</v>
      </c>
      <c r="V68" s="1515">
        <f t="shared" si="55"/>
        <v>0</v>
      </c>
      <c r="W68" s="1391"/>
      <c r="X68" s="1392">
        <f t="shared" si="43"/>
        <v>0</v>
      </c>
      <c r="Y68" s="1391"/>
      <c r="Z68" s="1392">
        <f t="shared" si="44"/>
        <v>0</v>
      </c>
      <c r="AA68" s="1390">
        <f t="shared" si="56"/>
        <v>0</v>
      </c>
      <c r="AB68" s="1510">
        <f t="shared" si="57"/>
        <v>0</v>
      </c>
      <c r="AC68" s="1394">
        <f t="shared" si="46"/>
        <v>0</v>
      </c>
      <c r="AD68" s="1510">
        <f t="shared" si="47"/>
        <v>0</v>
      </c>
      <c r="AE68" s="1395">
        <v>0</v>
      </c>
      <c r="AF68" s="1510">
        <f t="shared" si="48"/>
        <v>0</v>
      </c>
      <c r="AG68" s="1392"/>
      <c r="AH68" s="1392">
        <f t="shared" si="49"/>
        <v>0</v>
      </c>
      <c r="AI68" s="1515">
        <f t="shared" si="50"/>
        <v>0</v>
      </c>
      <c r="AJ68" s="1505">
        <f t="shared" si="51"/>
        <v>0</v>
      </c>
      <c r="AK68" s="1535">
        <f t="shared" si="52"/>
        <v>0</v>
      </c>
    </row>
    <row r="69" spans="1:37" ht="16.2" customHeight="1">
      <c r="A69" s="1176">
        <v>63</v>
      </c>
      <c r="B69" s="1177" t="s">
        <v>142</v>
      </c>
      <c r="C69" s="1178">
        <f>+'Table 8 Membership 2.1.14'!O65</f>
        <v>0</v>
      </c>
      <c r="D69" s="1179">
        <f>+'Table 5C1A-Madison Prep'!D69</f>
        <v>4124.3813481848092</v>
      </c>
      <c r="E69" s="1180">
        <f t="shared" si="34"/>
        <v>0</v>
      </c>
      <c r="F69" s="1180">
        <f>+'Table 5C1A-Madison Prep'!F69</f>
        <v>756.79</v>
      </c>
      <c r="G69" s="1180">
        <f t="shared" si="35"/>
        <v>0</v>
      </c>
      <c r="H69" s="1539">
        <f t="shared" si="36"/>
        <v>0</v>
      </c>
      <c r="I69" s="1181"/>
      <c r="J69" s="1181"/>
      <c r="K69" s="1182">
        <f t="shared" si="37"/>
        <v>0</v>
      </c>
      <c r="L69" s="1539">
        <f t="shared" si="54"/>
        <v>0</v>
      </c>
      <c r="M69" s="1388">
        <f t="shared" si="38"/>
        <v>0</v>
      </c>
      <c r="N69" s="1539">
        <f t="shared" si="53"/>
        <v>0</v>
      </c>
      <c r="O69" s="1179">
        <v>0</v>
      </c>
      <c r="P69" s="1545">
        <f t="shared" si="39"/>
        <v>0</v>
      </c>
      <c r="Q69" s="1181"/>
      <c r="R69" s="1181">
        <f t="shared" si="40"/>
        <v>0</v>
      </c>
      <c r="S69" s="1545">
        <f t="shared" si="41"/>
        <v>0</v>
      </c>
      <c r="T69" s="1545">
        <f t="shared" si="42"/>
        <v>0</v>
      </c>
      <c r="U69" s="1389">
        <f>'Table 5C1A-Madison Prep'!U69</f>
        <v>7290</v>
      </c>
      <c r="V69" s="1515">
        <f t="shared" si="55"/>
        <v>0</v>
      </c>
      <c r="W69" s="1391"/>
      <c r="X69" s="1392">
        <f t="shared" si="43"/>
        <v>0</v>
      </c>
      <c r="Y69" s="1391"/>
      <c r="Z69" s="1392">
        <f t="shared" si="44"/>
        <v>0</v>
      </c>
      <c r="AA69" s="1390">
        <f t="shared" si="56"/>
        <v>0</v>
      </c>
      <c r="AB69" s="1510">
        <f t="shared" si="57"/>
        <v>0</v>
      </c>
      <c r="AC69" s="1394">
        <f t="shared" si="46"/>
        <v>0</v>
      </c>
      <c r="AD69" s="1510">
        <f t="shared" si="47"/>
        <v>0</v>
      </c>
      <c r="AE69" s="1395">
        <v>0</v>
      </c>
      <c r="AF69" s="1510">
        <f t="shared" si="48"/>
        <v>0</v>
      </c>
      <c r="AG69" s="1392"/>
      <c r="AH69" s="1392">
        <f t="shared" si="49"/>
        <v>0</v>
      </c>
      <c r="AI69" s="1515">
        <f t="shared" si="50"/>
        <v>0</v>
      </c>
      <c r="AJ69" s="1505">
        <f t="shared" si="51"/>
        <v>0</v>
      </c>
      <c r="AK69" s="1535">
        <f t="shared" si="52"/>
        <v>0</v>
      </c>
    </row>
    <row r="70" spans="1:37" ht="16.2" customHeight="1">
      <c r="A70" s="1176">
        <v>64</v>
      </c>
      <c r="B70" s="1177" t="s">
        <v>143</v>
      </c>
      <c r="C70" s="1178">
        <f>+'Table 8 Membership 2.1.14'!O66</f>
        <v>0</v>
      </c>
      <c r="D70" s="1179">
        <f>+'Table 5C1A-Madison Prep'!D70</f>
        <v>6277.8307532778254</v>
      </c>
      <c r="E70" s="1180">
        <f t="shared" si="34"/>
        <v>0</v>
      </c>
      <c r="F70" s="1180">
        <f>+'Table 5C1A-Madison Prep'!F70</f>
        <v>592.66</v>
      </c>
      <c r="G70" s="1180">
        <f t="shared" si="35"/>
        <v>0</v>
      </c>
      <c r="H70" s="1539">
        <f t="shared" si="36"/>
        <v>0</v>
      </c>
      <c r="I70" s="1181"/>
      <c r="J70" s="1181"/>
      <c r="K70" s="1182">
        <f t="shared" si="37"/>
        <v>0</v>
      </c>
      <c r="L70" s="1539">
        <f t="shared" si="54"/>
        <v>0</v>
      </c>
      <c r="M70" s="1388">
        <f t="shared" si="38"/>
        <v>0</v>
      </c>
      <c r="N70" s="1539">
        <f t="shared" si="53"/>
        <v>0</v>
      </c>
      <c r="O70" s="1179">
        <v>0</v>
      </c>
      <c r="P70" s="1545">
        <f t="shared" si="39"/>
        <v>0</v>
      </c>
      <c r="Q70" s="1181"/>
      <c r="R70" s="1181">
        <f t="shared" si="40"/>
        <v>0</v>
      </c>
      <c r="S70" s="1545">
        <f t="shared" si="41"/>
        <v>0</v>
      </c>
      <c r="T70" s="1545">
        <f t="shared" si="42"/>
        <v>0</v>
      </c>
      <c r="U70" s="1389">
        <f>'Table 5C1A-Madison Prep'!U70</f>
        <v>2721</v>
      </c>
      <c r="V70" s="1515">
        <f t="shared" si="55"/>
        <v>0</v>
      </c>
      <c r="W70" s="1391"/>
      <c r="X70" s="1392">
        <f t="shared" si="43"/>
        <v>0</v>
      </c>
      <c r="Y70" s="1391"/>
      <c r="Z70" s="1392">
        <f t="shared" si="44"/>
        <v>0</v>
      </c>
      <c r="AA70" s="1390">
        <f t="shared" si="56"/>
        <v>0</v>
      </c>
      <c r="AB70" s="1510">
        <f t="shared" si="57"/>
        <v>0</v>
      </c>
      <c r="AC70" s="1394">
        <f t="shared" si="46"/>
        <v>0</v>
      </c>
      <c r="AD70" s="1510">
        <f t="shared" si="47"/>
        <v>0</v>
      </c>
      <c r="AE70" s="1395">
        <v>0</v>
      </c>
      <c r="AF70" s="1510">
        <f t="shared" si="48"/>
        <v>0</v>
      </c>
      <c r="AG70" s="1392"/>
      <c r="AH70" s="1392">
        <f t="shared" si="49"/>
        <v>0</v>
      </c>
      <c r="AI70" s="1515">
        <f t="shared" si="50"/>
        <v>0</v>
      </c>
      <c r="AJ70" s="1505">
        <f t="shared" si="51"/>
        <v>0</v>
      </c>
      <c r="AK70" s="1535">
        <f t="shared" si="52"/>
        <v>0</v>
      </c>
    </row>
    <row r="71" spans="1:37" ht="16.2" customHeight="1">
      <c r="A71" s="1168">
        <v>65</v>
      </c>
      <c r="B71" s="1169" t="s">
        <v>144</v>
      </c>
      <c r="C71" s="1170">
        <f>+'Table 8 Membership 2.1.14'!O67</f>
        <v>0</v>
      </c>
      <c r="D71" s="1171">
        <f>+'Table 5C1A-Madison Prep'!D71</f>
        <v>4775.1605543943642</v>
      </c>
      <c r="E71" s="1172">
        <f t="shared" si="34"/>
        <v>0</v>
      </c>
      <c r="F71" s="1172">
        <f>+'Table 5C1A-Madison Prep'!F71</f>
        <v>829.12</v>
      </c>
      <c r="G71" s="1172">
        <f t="shared" si="35"/>
        <v>0</v>
      </c>
      <c r="H71" s="1540">
        <f t="shared" si="36"/>
        <v>0</v>
      </c>
      <c r="I71" s="1173"/>
      <c r="J71" s="1173"/>
      <c r="K71" s="1174">
        <f t="shared" si="37"/>
        <v>0</v>
      </c>
      <c r="L71" s="1540">
        <f t="shared" ref="L71:L75" si="58">H71+K71</f>
        <v>0</v>
      </c>
      <c r="M71" s="1399">
        <f t="shared" si="38"/>
        <v>0</v>
      </c>
      <c r="N71" s="1540">
        <f t="shared" si="53"/>
        <v>0</v>
      </c>
      <c r="O71" s="1171">
        <v>0</v>
      </c>
      <c r="P71" s="1546">
        <f t="shared" si="39"/>
        <v>0</v>
      </c>
      <c r="Q71" s="1175"/>
      <c r="R71" s="1173">
        <f t="shared" si="40"/>
        <v>0</v>
      </c>
      <c r="S71" s="1550">
        <f t="shared" si="41"/>
        <v>0</v>
      </c>
      <c r="T71" s="1550">
        <f t="shared" si="42"/>
        <v>0</v>
      </c>
      <c r="U71" s="1382">
        <f>'Table 5C1A-Madison Prep'!U71</f>
        <v>5110</v>
      </c>
      <c r="V71" s="1516">
        <f t="shared" ref="V71:V75" si="59">C71*U71</f>
        <v>0</v>
      </c>
      <c r="W71" s="1400"/>
      <c r="X71" s="1383">
        <f t="shared" si="43"/>
        <v>0</v>
      </c>
      <c r="Y71" s="1400"/>
      <c r="Z71" s="1383">
        <f t="shared" si="44"/>
        <v>0</v>
      </c>
      <c r="AA71" s="1384">
        <f t="shared" si="56"/>
        <v>0</v>
      </c>
      <c r="AB71" s="1511">
        <f t="shared" si="57"/>
        <v>0</v>
      </c>
      <c r="AC71" s="1402">
        <f t="shared" si="46"/>
        <v>0</v>
      </c>
      <c r="AD71" s="1511">
        <f t="shared" si="47"/>
        <v>0</v>
      </c>
      <c r="AE71" s="1385">
        <v>0</v>
      </c>
      <c r="AF71" s="1511">
        <f t="shared" si="48"/>
        <v>0</v>
      </c>
      <c r="AG71" s="1383"/>
      <c r="AH71" s="1383">
        <f t="shared" si="49"/>
        <v>0</v>
      </c>
      <c r="AI71" s="1516">
        <f t="shared" si="50"/>
        <v>0</v>
      </c>
      <c r="AJ71" s="1531">
        <f t="shared" si="51"/>
        <v>0</v>
      </c>
      <c r="AK71" s="1536">
        <f t="shared" si="52"/>
        <v>0</v>
      </c>
    </row>
    <row r="72" spans="1:37" ht="16.2" customHeight="1">
      <c r="A72" s="1176">
        <v>66</v>
      </c>
      <c r="B72" s="1177" t="s">
        <v>145</v>
      </c>
      <c r="C72" s="1197">
        <f>+'Table 8 Membership 2.1.14'!O68</f>
        <v>0</v>
      </c>
      <c r="D72" s="1198">
        <f>+'Table 5C1A-Madison Prep'!D72</f>
        <v>6564.0085433910035</v>
      </c>
      <c r="E72" s="1199">
        <f t="shared" ref="E72:E75" si="60">C72*D72</f>
        <v>0</v>
      </c>
      <c r="F72" s="1199">
        <f>+'Table 5C1A-Madison Prep'!F72</f>
        <v>730.06</v>
      </c>
      <c r="G72" s="1199">
        <f t="shared" ref="G72:G75" si="61">C72*F72</f>
        <v>0</v>
      </c>
      <c r="H72" s="1403">
        <f t="shared" ref="H72:H75" si="62">E72+G72</f>
        <v>0</v>
      </c>
      <c r="I72" s="1200"/>
      <c r="J72" s="1200"/>
      <c r="K72" s="1201">
        <f t="shared" ref="K72:K75" si="63">SUM(I72:J72)</f>
        <v>0</v>
      </c>
      <c r="L72" s="1403">
        <f t="shared" si="58"/>
        <v>0</v>
      </c>
      <c r="M72" s="1423">
        <f t="shared" ref="M72:M75" si="64">-(0.25%*L72)</f>
        <v>0</v>
      </c>
      <c r="N72" s="1403">
        <f t="shared" ref="N72:N75" si="65">SUM(L72:M72)</f>
        <v>0</v>
      </c>
      <c r="O72" s="1198">
        <v>0</v>
      </c>
      <c r="P72" s="1398">
        <f t="shared" ref="P72:P75" si="66">SUM(N72:O72)</f>
        <v>0</v>
      </c>
      <c r="Q72" s="1181"/>
      <c r="R72" s="1200">
        <f t="shared" ref="R72:R75" si="67">P72-Q72</f>
        <v>0</v>
      </c>
      <c r="S72" s="1545">
        <f t="shared" ref="S72:S75" si="68">ROUND(R72/12,0)</f>
        <v>0</v>
      </c>
      <c r="T72" s="1545">
        <f t="shared" ref="T72:T75" si="69">+P72</f>
        <v>0</v>
      </c>
      <c r="U72" s="1389">
        <f>'Table 5C1A-Madison Prep'!U72</f>
        <v>3369</v>
      </c>
      <c r="V72" s="1515">
        <f t="shared" si="59"/>
        <v>0</v>
      </c>
      <c r="W72" s="1391"/>
      <c r="X72" s="1392">
        <f t="shared" ref="X72:X75" si="70">W72*U72</f>
        <v>0</v>
      </c>
      <c r="Y72" s="1391"/>
      <c r="Z72" s="1392">
        <f t="shared" ref="Z72:Z75" si="71">+U72*Y72*0.5</f>
        <v>0</v>
      </c>
      <c r="AA72" s="1390">
        <f t="shared" si="56"/>
        <v>0</v>
      </c>
      <c r="AB72" s="1510">
        <f t="shared" si="57"/>
        <v>0</v>
      </c>
      <c r="AC72" s="1394">
        <f t="shared" ref="AC72:AC75" si="72">-(0.25%*AB72)</f>
        <v>0</v>
      </c>
      <c r="AD72" s="1510">
        <f t="shared" ref="AD72:AD75" si="73">SUM(AB72:AC72)</f>
        <v>0</v>
      </c>
      <c r="AE72" s="1395">
        <v>0</v>
      </c>
      <c r="AF72" s="1510">
        <f t="shared" ref="AF72:AF75" si="74">SUM(AD72:AE72)</f>
        <v>0</v>
      </c>
      <c r="AG72" s="1392"/>
      <c r="AH72" s="1392">
        <f t="shared" ref="AH72:AH75" si="75">AF72-AG72</f>
        <v>0</v>
      </c>
      <c r="AI72" s="1515">
        <f t="shared" ref="AI72:AI75" si="76">ROUND(AH72/12,0)</f>
        <v>0</v>
      </c>
      <c r="AJ72" s="1505">
        <f t="shared" ref="AJ72:AJ75" si="77">T72+AF72</f>
        <v>0</v>
      </c>
      <c r="AK72" s="1505">
        <f t="shared" ref="AK72:AK75" si="78">S72+AI72</f>
        <v>0</v>
      </c>
    </row>
    <row r="73" spans="1:37" ht="16.2" customHeight="1">
      <c r="A73" s="1176">
        <v>67</v>
      </c>
      <c r="B73" s="1177" t="s">
        <v>30</v>
      </c>
      <c r="C73" s="1197">
        <f>+'Table 8 Membership 2.1.14'!O69</f>
        <v>0</v>
      </c>
      <c r="D73" s="1198">
        <f>+'Table 5C1A-Madison Prep'!D73</f>
        <v>5029.1467736134118</v>
      </c>
      <c r="E73" s="1199">
        <f t="shared" si="60"/>
        <v>0</v>
      </c>
      <c r="F73" s="1199">
        <f>+'Table 5C1A-Madison Prep'!F73</f>
        <v>715.61</v>
      </c>
      <c r="G73" s="1199">
        <f t="shared" si="61"/>
        <v>0</v>
      </c>
      <c r="H73" s="1403">
        <f t="shared" si="62"/>
        <v>0</v>
      </c>
      <c r="I73" s="1200"/>
      <c r="J73" s="1200"/>
      <c r="K73" s="1201">
        <f t="shared" si="63"/>
        <v>0</v>
      </c>
      <c r="L73" s="1403">
        <f t="shared" si="58"/>
        <v>0</v>
      </c>
      <c r="M73" s="1423">
        <f t="shared" si="64"/>
        <v>0</v>
      </c>
      <c r="N73" s="1403">
        <f t="shared" si="65"/>
        <v>0</v>
      </c>
      <c r="O73" s="1198">
        <v>0</v>
      </c>
      <c r="P73" s="1398">
        <f t="shared" si="66"/>
        <v>0</v>
      </c>
      <c r="Q73" s="1181"/>
      <c r="R73" s="1200">
        <f t="shared" si="67"/>
        <v>0</v>
      </c>
      <c r="S73" s="1545">
        <f t="shared" si="68"/>
        <v>0</v>
      </c>
      <c r="T73" s="1545">
        <f t="shared" si="69"/>
        <v>0</v>
      </c>
      <c r="U73" s="1389">
        <f>'Table 5C1A-Madison Prep'!U73</f>
        <v>5015</v>
      </c>
      <c r="V73" s="1515">
        <f t="shared" si="59"/>
        <v>0</v>
      </c>
      <c r="W73" s="1391"/>
      <c r="X73" s="1392">
        <f t="shared" si="70"/>
        <v>0</v>
      </c>
      <c r="Y73" s="1391"/>
      <c r="Z73" s="1392">
        <f t="shared" si="71"/>
        <v>0</v>
      </c>
      <c r="AA73" s="1390">
        <f t="shared" si="56"/>
        <v>0</v>
      </c>
      <c r="AB73" s="1510">
        <f t="shared" si="57"/>
        <v>0</v>
      </c>
      <c r="AC73" s="1394">
        <f t="shared" si="72"/>
        <v>0</v>
      </c>
      <c r="AD73" s="1510">
        <f t="shared" si="73"/>
        <v>0</v>
      </c>
      <c r="AE73" s="1395">
        <v>0</v>
      </c>
      <c r="AF73" s="1510">
        <f t="shared" si="74"/>
        <v>0</v>
      </c>
      <c r="AG73" s="1392"/>
      <c r="AH73" s="1392">
        <f t="shared" si="75"/>
        <v>0</v>
      </c>
      <c r="AI73" s="1515">
        <f t="shared" si="76"/>
        <v>0</v>
      </c>
      <c r="AJ73" s="1505">
        <f t="shared" si="77"/>
        <v>0</v>
      </c>
      <c r="AK73" s="1505">
        <f t="shared" si="78"/>
        <v>0</v>
      </c>
    </row>
    <row r="74" spans="1:37" ht="16.2" customHeight="1">
      <c r="A74" s="1176">
        <v>68</v>
      </c>
      <c r="B74" s="1177" t="s">
        <v>28</v>
      </c>
      <c r="C74" s="1197">
        <f>+'Table 8 Membership 2.1.14'!O70</f>
        <v>0</v>
      </c>
      <c r="D74" s="1198">
        <f>+'Table 5C1A-Madison Prep'!D74</f>
        <v>6390.1644202560601</v>
      </c>
      <c r="E74" s="1199">
        <f t="shared" si="60"/>
        <v>0</v>
      </c>
      <c r="F74" s="1199">
        <f>+'Table 5C1A-Madison Prep'!F74</f>
        <v>798.7</v>
      </c>
      <c r="G74" s="1199">
        <f t="shared" si="61"/>
        <v>0</v>
      </c>
      <c r="H74" s="1403">
        <f t="shared" si="62"/>
        <v>0</v>
      </c>
      <c r="I74" s="1200"/>
      <c r="J74" s="1200"/>
      <c r="K74" s="1201">
        <f t="shared" si="63"/>
        <v>0</v>
      </c>
      <c r="L74" s="1403">
        <f t="shared" si="58"/>
        <v>0</v>
      </c>
      <c r="M74" s="1423">
        <f t="shared" si="64"/>
        <v>0</v>
      </c>
      <c r="N74" s="1403">
        <f t="shared" si="65"/>
        <v>0</v>
      </c>
      <c r="O74" s="1198">
        <v>0</v>
      </c>
      <c r="P74" s="1398">
        <f t="shared" si="66"/>
        <v>0</v>
      </c>
      <c r="Q74" s="1181"/>
      <c r="R74" s="1200">
        <f t="shared" si="67"/>
        <v>0</v>
      </c>
      <c r="S74" s="1545">
        <f t="shared" si="68"/>
        <v>0</v>
      </c>
      <c r="T74" s="1545">
        <f t="shared" si="69"/>
        <v>0</v>
      </c>
      <c r="U74" s="1389">
        <f>'Table 5C1A-Madison Prep'!U74</f>
        <v>2669</v>
      </c>
      <c r="V74" s="1515">
        <f t="shared" si="59"/>
        <v>0</v>
      </c>
      <c r="W74" s="1391"/>
      <c r="X74" s="1392">
        <f t="shared" si="70"/>
        <v>0</v>
      </c>
      <c r="Y74" s="1391"/>
      <c r="Z74" s="1392">
        <f t="shared" si="71"/>
        <v>0</v>
      </c>
      <c r="AA74" s="1390">
        <f t="shared" si="56"/>
        <v>0</v>
      </c>
      <c r="AB74" s="1510">
        <f t="shared" si="57"/>
        <v>0</v>
      </c>
      <c r="AC74" s="1394">
        <f t="shared" si="72"/>
        <v>0</v>
      </c>
      <c r="AD74" s="1510">
        <f t="shared" si="73"/>
        <v>0</v>
      </c>
      <c r="AE74" s="1395">
        <v>0</v>
      </c>
      <c r="AF74" s="1510">
        <f t="shared" si="74"/>
        <v>0</v>
      </c>
      <c r="AG74" s="1392"/>
      <c r="AH74" s="1392">
        <f t="shared" si="75"/>
        <v>0</v>
      </c>
      <c r="AI74" s="1515">
        <f t="shared" si="76"/>
        <v>0</v>
      </c>
      <c r="AJ74" s="1505">
        <f t="shared" si="77"/>
        <v>0</v>
      </c>
      <c r="AK74" s="1505">
        <f t="shared" si="78"/>
        <v>0</v>
      </c>
    </row>
    <row r="75" spans="1:37" ht="16.2" customHeight="1">
      <c r="A75" s="1190">
        <v>69</v>
      </c>
      <c r="B75" s="1191" t="s">
        <v>183</v>
      </c>
      <c r="C75" s="1192">
        <f>+'Table 8 Membership 2.1.14'!O71</f>
        <v>0</v>
      </c>
      <c r="D75" s="1193">
        <f>+'Table 5C1A-Madison Prep'!D75</f>
        <v>5722.4947921281337</v>
      </c>
      <c r="E75" s="1194">
        <f t="shared" si="60"/>
        <v>0</v>
      </c>
      <c r="F75" s="1194">
        <f>+'Table 5C1A-Madison Prep'!F75</f>
        <v>705.67</v>
      </c>
      <c r="G75" s="1194">
        <f t="shared" si="61"/>
        <v>0</v>
      </c>
      <c r="H75" s="1541">
        <f t="shared" si="62"/>
        <v>0</v>
      </c>
      <c r="I75" s="1195"/>
      <c r="J75" s="1195"/>
      <c r="K75" s="1196">
        <f t="shared" si="63"/>
        <v>0</v>
      </c>
      <c r="L75" s="1541">
        <f t="shared" si="58"/>
        <v>0</v>
      </c>
      <c r="M75" s="1405">
        <f t="shared" si="64"/>
        <v>0</v>
      </c>
      <c r="N75" s="1541">
        <f t="shared" si="65"/>
        <v>0</v>
      </c>
      <c r="O75" s="1193">
        <v>0</v>
      </c>
      <c r="P75" s="1547">
        <f t="shared" si="66"/>
        <v>0</v>
      </c>
      <c r="Q75" s="634"/>
      <c r="R75" s="1195">
        <f t="shared" si="67"/>
        <v>0</v>
      </c>
      <c r="S75" s="1551">
        <f t="shared" si="68"/>
        <v>0</v>
      </c>
      <c r="T75" s="1551">
        <f t="shared" si="69"/>
        <v>0</v>
      </c>
      <c r="U75" s="653">
        <f>'Table 5C1A-Madison Prep'!U75</f>
        <v>3394</v>
      </c>
      <c r="V75" s="1517">
        <f t="shared" si="59"/>
        <v>0</v>
      </c>
      <c r="W75" s="1407"/>
      <c r="X75" s="1408">
        <f t="shared" si="70"/>
        <v>0</v>
      </c>
      <c r="Y75" s="1407"/>
      <c r="Z75" s="1408">
        <f t="shared" si="71"/>
        <v>0</v>
      </c>
      <c r="AA75" s="1406">
        <f t="shared" si="56"/>
        <v>0</v>
      </c>
      <c r="AB75" s="1512">
        <f t="shared" si="57"/>
        <v>0</v>
      </c>
      <c r="AC75" s="1410">
        <f t="shared" si="72"/>
        <v>0</v>
      </c>
      <c r="AD75" s="1512">
        <f t="shared" si="73"/>
        <v>0</v>
      </c>
      <c r="AE75" s="1416">
        <v>0</v>
      </c>
      <c r="AF75" s="1512">
        <f t="shared" si="74"/>
        <v>0</v>
      </c>
      <c r="AG75" s="643"/>
      <c r="AH75" s="1408">
        <f t="shared" si="75"/>
        <v>0</v>
      </c>
      <c r="AI75" s="1528">
        <f t="shared" si="76"/>
        <v>0</v>
      </c>
      <c r="AJ75" s="1506">
        <f t="shared" si="77"/>
        <v>0</v>
      </c>
      <c r="AK75" s="1506">
        <f t="shared" si="78"/>
        <v>0</v>
      </c>
    </row>
    <row r="76" spans="1:37" ht="16.2" customHeight="1" thickBot="1">
      <c r="A76" s="2221" t="s">
        <v>1045</v>
      </c>
      <c r="B76" s="2194"/>
      <c r="C76" s="470">
        <f>SUM(C7:C75)</f>
        <v>357</v>
      </c>
      <c r="D76" s="471">
        <f>+'Table 5C1A-Madison Prep'!D76</f>
        <v>4479.9292126977662</v>
      </c>
      <c r="E76" s="480">
        <f>SUM(E7:E75)</f>
        <v>1242837.8801345068</v>
      </c>
      <c r="F76" s="480">
        <f>+'Table 5C1A-Madison Prep'!F76</f>
        <v>704.64781030742063</v>
      </c>
      <c r="G76" s="480">
        <f t="shared" ref="G76:P76" si="79">SUM(G7:G75)</f>
        <v>284180.43273972603</v>
      </c>
      <c r="H76" s="1542">
        <f t="shared" si="79"/>
        <v>1527018.3128742334</v>
      </c>
      <c r="I76" s="642">
        <f t="shared" ref="I76:K76" si="80">SUM(I7:I75)</f>
        <v>0</v>
      </c>
      <c r="J76" s="642">
        <f t="shared" si="80"/>
        <v>0</v>
      </c>
      <c r="K76" s="631">
        <f t="shared" si="80"/>
        <v>0</v>
      </c>
      <c r="L76" s="1563">
        <f>SUM(L7:L75)</f>
        <v>1527018.3128742334</v>
      </c>
      <c r="M76" s="481">
        <f t="shared" si="79"/>
        <v>-3817.5457821855825</v>
      </c>
      <c r="N76" s="1542">
        <f t="shared" si="79"/>
        <v>1523200.7670920475</v>
      </c>
      <c r="O76" s="636">
        <f t="shared" si="79"/>
        <v>0</v>
      </c>
      <c r="P76" s="1548">
        <f t="shared" si="79"/>
        <v>1523200.7670920475</v>
      </c>
      <c r="Q76" s="659"/>
      <c r="R76" s="659">
        <f>SUM(R7:R75)</f>
        <v>1523200.7670920475</v>
      </c>
      <c r="S76" s="1548">
        <f>SUM(S7:S75)</f>
        <v>126933</v>
      </c>
      <c r="T76" s="1548">
        <f>SUM(T7:T75)</f>
        <v>1523200.7670920475</v>
      </c>
      <c r="U76" s="658">
        <f>'Table 5C1A-Madison Prep'!U76</f>
        <v>4663</v>
      </c>
      <c r="V76" s="1518">
        <f t="shared" ref="V76:AK76" si="81">SUM(V7:V75)</f>
        <v>1946762</v>
      </c>
      <c r="W76" s="651">
        <f>SUM(W7:W75)</f>
        <v>0</v>
      </c>
      <c r="X76" s="652">
        <f>SUM(X7:X75)</f>
        <v>0</v>
      </c>
      <c r="Y76" s="646">
        <f t="shared" ref="Y76:AA76" si="82">SUM(Y7:Y75)</f>
        <v>0</v>
      </c>
      <c r="Z76" s="647">
        <f t="shared" si="82"/>
        <v>0</v>
      </c>
      <c r="AA76" s="633">
        <f t="shared" si="82"/>
        <v>0</v>
      </c>
      <c r="AB76" s="1523">
        <f>SUM(AB7:AB75)</f>
        <v>1946762</v>
      </c>
      <c r="AC76" s="482">
        <f t="shared" si="81"/>
        <v>-4866.9049999999997</v>
      </c>
      <c r="AD76" s="1518">
        <f t="shared" si="81"/>
        <v>1941895.0949999997</v>
      </c>
      <c r="AE76" s="660">
        <f t="shared" si="81"/>
        <v>0</v>
      </c>
      <c r="AF76" s="1518">
        <f t="shared" si="81"/>
        <v>1941895.0949999997</v>
      </c>
      <c r="AG76" s="662">
        <f>SUM(AG7:AG75)</f>
        <v>0</v>
      </c>
      <c r="AH76" s="662">
        <f>SUM(AH7:AH75)</f>
        <v>1941895.0949999997</v>
      </c>
      <c r="AI76" s="1518">
        <f>SUM(AI7:AI75)</f>
        <v>161824</v>
      </c>
      <c r="AJ76" s="1532">
        <f t="shared" si="81"/>
        <v>3465095.8620920475</v>
      </c>
      <c r="AK76" s="1532">
        <f t="shared" si="81"/>
        <v>288757</v>
      </c>
    </row>
    <row r="77" spans="1:37" s="594" customFormat="1" ht="16.2" customHeight="1" thickTop="1">
      <c r="A77" s="2330" t="s">
        <v>1039</v>
      </c>
      <c r="B77" s="2338"/>
      <c r="C77" s="1425"/>
      <c r="D77" s="1198"/>
      <c r="E77" s="1198"/>
      <c r="F77" s="1198"/>
      <c r="G77" s="1198"/>
      <c r="H77" s="1198"/>
      <c r="I77" s="1200"/>
      <c r="J77" s="1200"/>
      <c r="K77" s="1200"/>
      <c r="L77" s="1198"/>
      <c r="M77" s="1200"/>
      <c r="N77" s="1198"/>
      <c r="O77" s="1198"/>
      <c r="P77" s="1398">
        <f>'Table 4 Level 4'!$E103</f>
        <v>0</v>
      </c>
      <c r="Q77" s="1181"/>
      <c r="R77" s="1200">
        <f t="shared" ref="R77" si="83">P77-Q77</f>
        <v>0</v>
      </c>
      <c r="S77" s="1545">
        <f t="shared" ref="S77" si="84">ROUND(R77/12,0)</f>
        <v>0</v>
      </c>
      <c r="T77" s="1545">
        <f>'Table 4 Level 4'!$E103</f>
        <v>0</v>
      </c>
      <c r="U77" s="1389"/>
      <c r="V77" s="1392"/>
      <c r="W77" s="1391"/>
      <c r="X77" s="1392"/>
      <c r="Y77" s="1391"/>
      <c r="Z77" s="1392"/>
      <c r="AA77" s="1392"/>
      <c r="AB77" s="1395"/>
      <c r="AC77" s="1392"/>
      <c r="AD77" s="1395"/>
      <c r="AE77" s="1395"/>
      <c r="AF77" s="1395"/>
      <c r="AG77" s="1392"/>
      <c r="AH77" s="1392"/>
      <c r="AI77" s="1392"/>
      <c r="AJ77" s="1505">
        <f t="shared" ref="AJ77:AJ81" si="85">T77+AF77</f>
        <v>0</v>
      </c>
      <c r="AK77" s="1505">
        <f t="shared" ref="AK77:AK81" si="86">S77+AI77</f>
        <v>0</v>
      </c>
    </row>
    <row r="78" spans="1:37" s="594" customFormat="1" ht="16.2" customHeight="1">
      <c r="A78" s="2332" t="s">
        <v>1040</v>
      </c>
      <c r="B78" s="2339"/>
      <c r="C78" s="1425"/>
      <c r="D78" s="1198"/>
      <c r="E78" s="1198"/>
      <c r="F78" s="1198"/>
      <c r="G78" s="1198"/>
      <c r="H78" s="1198"/>
      <c r="I78" s="1200"/>
      <c r="J78" s="1200"/>
      <c r="K78" s="1200"/>
      <c r="L78" s="1198"/>
      <c r="M78" s="1200"/>
      <c r="N78" s="1198"/>
      <c r="O78" s="1198"/>
      <c r="P78" s="1200">
        <v>0</v>
      </c>
      <c r="Q78" s="1181"/>
      <c r="R78" s="1200"/>
      <c r="S78" s="1181">
        <v>0</v>
      </c>
      <c r="T78" s="1545">
        <f>'Table 4 Level 4'!$J103</f>
        <v>0</v>
      </c>
      <c r="U78" s="1389"/>
      <c r="V78" s="1392"/>
      <c r="W78" s="1391"/>
      <c r="X78" s="1392"/>
      <c r="Y78" s="1391"/>
      <c r="Z78" s="1392"/>
      <c r="AA78" s="1392"/>
      <c r="AB78" s="1395"/>
      <c r="AC78" s="1392"/>
      <c r="AD78" s="1395"/>
      <c r="AE78" s="1395"/>
      <c r="AF78" s="1395"/>
      <c r="AG78" s="1392"/>
      <c r="AH78" s="1392"/>
      <c r="AI78" s="1392"/>
      <c r="AJ78" s="1505">
        <f t="shared" si="85"/>
        <v>0</v>
      </c>
      <c r="AK78" s="1395"/>
    </row>
    <row r="79" spans="1:37" s="594" customFormat="1" ht="16.2" customHeight="1">
      <c r="A79" s="2332" t="s">
        <v>1041</v>
      </c>
      <c r="B79" s="2339"/>
      <c r="C79" s="1425"/>
      <c r="D79" s="1198"/>
      <c r="E79" s="1198"/>
      <c r="F79" s="1198"/>
      <c r="G79" s="1198"/>
      <c r="H79" s="1198"/>
      <c r="I79" s="1200"/>
      <c r="J79" s="1200"/>
      <c r="K79" s="1200"/>
      <c r="L79" s="1198"/>
      <c r="M79" s="1200"/>
      <c r="N79" s="1198"/>
      <c r="O79" s="1198"/>
      <c r="P79" s="1200">
        <v>0</v>
      </c>
      <c r="Q79" s="1181"/>
      <c r="R79" s="1200"/>
      <c r="S79" s="1181">
        <v>0</v>
      </c>
      <c r="T79" s="1545">
        <f>'Table 4 Level 4'!$K103</f>
        <v>0</v>
      </c>
      <c r="U79" s="1389"/>
      <c r="V79" s="1392"/>
      <c r="W79" s="1391"/>
      <c r="X79" s="1392"/>
      <c r="Y79" s="1391"/>
      <c r="Z79" s="1392"/>
      <c r="AA79" s="1392"/>
      <c r="AB79" s="1395"/>
      <c r="AC79" s="1392"/>
      <c r="AD79" s="1395"/>
      <c r="AE79" s="1395"/>
      <c r="AF79" s="1395"/>
      <c r="AG79" s="1392"/>
      <c r="AH79" s="1392"/>
      <c r="AI79" s="1392"/>
      <c r="AJ79" s="1505">
        <f t="shared" si="85"/>
        <v>0</v>
      </c>
      <c r="AK79" s="1395"/>
    </row>
    <row r="80" spans="1:37" s="594" customFormat="1" ht="16.2" customHeight="1">
      <c r="A80" s="2332" t="s">
        <v>1042</v>
      </c>
      <c r="B80" s="2339"/>
      <c r="C80" s="1425"/>
      <c r="D80" s="1198"/>
      <c r="E80" s="1198"/>
      <c r="F80" s="1198"/>
      <c r="G80" s="1198"/>
      <c r="H80" s="1198"/>
      <c r="I80" s="1200"/>
      <c r="J80" s="1200"/>
      <c r="K80" s="1200"/>
      <c r="L80" s="1198"/>
      <c r="M80" s="1200"/>
      <c r="N80" s="1198"/>
      <c r="O80" s="1198"/>
      <c r="P80" s="1200">
        <v>0</v>
      </c>
      <c r="Q80" s="1181"/>
      <c r="R80" s="1200"/>
      <c r="S80" s="1181">
        <v>0</v>
      </c>
      <c r="T80" s="1545">
        <f>'Table 4 Level 4'!$L103</f>
        <v>0</v>
      </c>
      <c r="U80" s="1389"/>
      <c r="V80" s="1392"/>
      <c r="W80" s="1391"/>
      <c r="X80" s="1392"/>
      <c r="Y80" s="1391"/>
      <c r="Z80" s="1392"/>
      <c r="AA80" s="1392"/>
      <c r="AB80" s="1395"/>
      <c r="AC80" s="1392"/>
      <c r="AD80" s="1395"/>
      <c r="AE80" s="1395"/>
      <c r="AF80" s="1395"/>
      <c r="AG80" s="1392"/>
      <c r="AH80" s="1392"/>
      <c r="AI80" s="1392"/>
      <c r="AJ80" s="1505">
        <f t="shared" si="85"/>
        <v>0</v>
      </c>
      <c r="AK80" s="1395"/>
    </row>
    <row r="81" spans="1:37" s="594" customFormat="1" ht="16.2" customHeight="1">
      <c r="A81" s="2340" t="s">
        <v>1043</v>
      </c>
      <c r="B81" s="2341"/>
      <c r="C81" s="1417"/>
      <c r="D81" s="1193"/>
      <c r="E81" s="1193"/>
      <c r="F81" s="1193"/>
      <c r="G81" s="1193"/>
      <c r="H81" s="1193"/>
      <c r="I81" s="1195"/>
      <c r="J81" s="1195"/>
      <c r="K81" s="1195"/>
      <c r="L81" s="1193"/>
      <c r="M81" s="1195"/>
      <c r="N81" s="1193"/>
      <c r="O81" s="1193"/>
      <c r="P81" s="1547">
        <f>'Table 4 Level 4'!$N103</f>
        <v>9282</v>
      </c>
      <c r="Q81" s="1420"/>
      <c r="R81" s="1195">
        <f t="shared" ref="R81" si="87">P81-Q81</f>
        <v>9282</v>
      </c>
      <c r="S81" s="1552">
        <f t="shared" ref="S81" si="88">ROUND(R81/12,0)</f>
        <v>774</v>
      </c>
      <c r="T81" s="1552">
        <f>'Table 4 Level 4'!$N103</f>
        <v>9282</v>
      </c>
      <c r="U81" s="1418"/>
      <c r="V81" s="1408"/>
      <c r="W81" s="1407"/>
      <c r="X81" s="1408"/>
      <c r="Y81" s="1407"/>
      <c r="Z81" s="1408"/>
      <c r="AA81" s="1408"/>
      <c r="AB81" s="1416"/>
      <c r="AC81" s="1408"/>
      <c r="AD81" s="1416"/>
      <c r="AE81" s="1416"/>
      <c r="AF81" s="1416"/>
      <c r="AG81" s="1408"/>
      <c r="AH81" s="1408"/>
      <c r="AI81" s="1408"/>
      <c r="AJ81" s="1506">
        <f t="shared" si="85"/>
        <v>9282</v>
      </c>
      <c r="AK81" s="1506">
        <f t="shared" si="86"/>
        <v>774</v>
      </c>
    </row>
    <row r="82" spans="1:37" s="594" customFormat="1" ht="16.2" customHeight="1" thickBot="1">
      <c r="A82" s="2221" t="s">
        <v>1044</v>
      </c>
      <c r="B82" s="2194"/>
      <c r="C82" s="1052">
        <f>SUM(C76:C81)</f>
        <v>357</v>
      </c>
      <c r="D82" s="1046">
        <f t="shared" ref="D82:AK82" si="89">SUM(D76:D81)</f>
        <v>4479.9292126977662</v>
      </c>
      <c r="E82" s="1046">
        <f t="shared" si="89"/>
        <v>1242837.8801345068</v>
      </c>
      <c r="F82" s="1046">
        <f t="shared" si="89"/>
        <v>704.64781030742063</v>
      </c>
      <c r="G82" s="1046">
        <f t="shared" si="89"/>
        <v>284180.43273972603</v>
      </c>
      <c r="H82" s="1046">
        <f t="shared" si="89"/>
        <v>1527018.3128742334</v>
      </c>
      <c r="I82" s="1053">
        <f t="shared" si="89"/>
        <v>0</v>
      </c>
      <c r="J82" s="1053">
        <f t="shared" si="89"/>
        <v>0</v>
      </c>
      <c r="K82" s="1053">
        <f t="shared" si="89"/>
        <v>0</v>
      </c>
      <c r="L82" s="1046">
        <f t="shared" si="89"/>
        <v>1527018.3128742334</v>
      </c>
      <c r="M82" s="1053">
        <f t="shared" si="89"/>
        <v>-3817.5457821855825</v>
      </c>
      <c r="N82" s="1046">
        <f t="shared" si="89"/>
        <v>1523200.7670920475</v>
      </c>
      <c r="O82" s="1053">
        <f t="shared" si="89"/>
        <v>0</v>
      </c>
      <c r="P82" s="1549">
        <f t="shared" si="89"/>
        <v>1532482.7670920475</v>
      </c>
      <c r="Q82" s="1053">
        <f t="shared" si="89"/>
        <v>0</v>
      </c>
      <c r="R82" s="1053">
        <f t="shared" si="89"/>
        <v>1532482.7670920475</v>
      </c>
      <c r="S82" s="1549">
        <f t="shared" si="89"/>
        <v>127707</v>
      </c>
      <c r="T82" s="1549">
        <f t="shared" si="89"/>
        <v>1532482.7670920475</v>
      </c>
      <c r="U82" s="1058">
        <f t="shared" si="89"/>
        <v>4663</v>
      </c>
      <c r="V82" s="1055">
        <f t="shared" si="89"/>
        <v>1946762</v>
      </c>
      <c r="W82" s="1057">
        <f t="shared" si="89"/>
        <v>0</v>
      </c>
      <c r="X82" s="1055">
        <f t="shared" si="89"/>
        <v>0</v>
      </c>
      <c r="Y82" s="1057">
        <f t="shared" si="89"/>
        <v>0</v>
      </c>
      <c r="Z82" s="1055">
        <f t="shared" si="89"/>
        <v>0</v>
      </c>
      <c r="AA82" s="1055">
        <f t="shared" si="89"/>
        <v>0</v>
      </c>
      <c r="AB82" s="1055">
        <f t="shared" si="89"/>
        <v>1946762</v>
      </c>
      <c r="AC82" s="1055">
        <f t="shared" si="89"/>
        <v>-4866.9049999999997</v>
      </c>
      <c r="AD82" s="1055">
        <f t="shared" si="89"/>
        <v>1941895.0949999997</v>
      </c>
      <c r="AE82" s="1055">
        <f t="shared" si="89"/>
        <v>0</v>
      </c>
      <c r="AF82" s="1055">
        <f t="shared" si="89"/>
        <v>1941895.0949999997</v>
      </c>
      <c r="AG82" s="1055">
        <f t="shared" si="89"/>
        <v>0</v>
      </c>
      <c r="AH82" s="1055">
        <f t="shared" si="89"/>
        <v>1941895.0949999997</v>
      </c>
      <c r="AI82" s="1055">
        <f t="shared" si="89"/>
        <v>161824</v>
      </c>
      <c r="AJ82" s="1504">
        <f t="shared" si="89"/>
        <v>3474377.8620920475</v>
      </c>
      <c r="AK82" s="1504">
        <f t="shared" si="89"/>
        <v>289531</v>
      </c>
    </row>
    <row r="83" spans="1:37" ht="16.2" customHeight="1" thickTop="1"/>
    <row r="84" spans="1:37" ht="16.2" customHeight="1"/>
    <row r="85" spans="1:37" ht="16.2" customHeight="1"/>
    <row r="86" spans="1:37" ht="16.2" customHeight="1"/>
  </sheetData>
  <mergeCells count="43">
    <mergeCell ref="AG3:AG4"/>
    <mergeCell ref="AH3:AH4"/>
    <mergeCell ref="AI3:AI4"/>
    <mergeCell ref="AB3:AB4"/>
    <mergeCell ref="U1:AB1"/>
    <mergeCell ref="AC1:AI1"/>
    <mergeCell ref="A1:B4"/>
    <mergeCell ref="L3:L4"/>
    <mergeCell ref="I2:K2"/>
    <mergeCell ref="W2:AA2"/>
    <mergeCell ref="W3:W4"/>
    <mergeCell ref="X3:X4"/>
    <mergeCell ref="P3:P4"/>
    <mergeCell ref="S3:S4"/>
    <mergeCell ref="U3:U4"/>
    <mergeCell ref="Y3:Y4"/>
    <mergeCell ref="Z3:Z4"/>
    <mergeCell ref="T3:T4"/>
    <mergeCell ref="M1:T1"/>
    <mergeCell ref="C1:L1"/>
    <mergeCell ref="AJ1:AJ4"/>
    <mergeCell ref="AK1:AK4"/>
    <mergeCell ref="C3:C4"/>
    <mergeCell ref="D3:D4"/>
    <mergeCell ref="E3:E4"/>
    <mergeCell ref="F3:F4"/>
    <mergeCell ref="G3:G4"/>
    <mergeCell ref="AD3:AD4"/>
    <mergeCell ref="AE3:AE4"/>
    <mergeCell ref="AF3:AF4"/>
    <mergeCell ref="H3:H4"/>
    <mergeCell ref="N3:N4"/>
    <mergeCell ref="O3:O4"/>
    <mergeCell ref="I3:I4"/>
    <mergeCell ref="J3:J4"/>
    <mergeCell ref="K3:K4"/>
    <mergeCell ref="A82:B82"/>
    <mergeCell ref="A76:B76"/>
    <mergeCell ref="A77:B77"/>
    <mergeCell ref="A78:B78"/>
    <mergeCell ref="A79:B79"/>
    <mergeCell ref="A80:B80"/>
    <mergeCell ref="A81:B81"/>
  </mergeCells>
  <printOptions horizontalCentered="1"/>
  <pageMargins left="0.32" right="0.32" top="0.75" bottom="0.75" header="0.3" footer="0.3"/>
  <pageSetup paperSize="5" scale="60" firstPageNumber="56" orientation="portrait" r:id="rId1"/>
  <headerFooter>
    <oddHeader>&amp;L&amp;"Arial,Bold"&amp;20&amp;K000000Table 5C1-D: FY2014-15 MFP Budget Letter 
New Orleans Military/Maritime Academy</oddHeader>
    <oddFooter>&amp;R&amp;P</oddFooter>
  </headerFooter>
  <colBreaks count="3" manualBreakCount="3">
    <brk id="12" max="1048575" man="1"/>
    <brk id="20" max="1048575" man="1"/>
    <brk id="28" max="81"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K86"/>
  <sheetViews>
    <sheetView view="pageBreakPreview" zoomScale="80" zoomScaleNormal="100" zoomScaleSheetLayoutView="80" workbookViewId="0">
      <pane xSplit="2" ySplit="6" topLeftCell="C7" activePane="bottomRight" state="frozen"/>
      <selection sqref="A1:H1"/>
      <selection pane="topRight" sqref="A1:H1"/>
      <selection pane="bottomLeft" sqref="A1:H1"/>
      <selection pane="bottomRight" sqref="A1:H1"/>
    </sheetView>
  </sheetViews>
  <sheetFormatPr defaultRowHeight="13.2"/>
  <cols>
    <col min="1" max="1" width="5" customWidth="1"/>
    <col min="2" max="2" width="37.6640625" customWidth="1"/>
    <col min="3" max="3" width="12.109375" bestFit="1" customWidth="1"/>
    <col min="4" max="4" width="13.6640625" bestFit="1" customWidth="1"/>
    <col min="5" max="5" width="10.109375" bestFit="1" customWidth="1"/>
    <col min="6" max="7" width="12.33203125" bestFit="1" customWidth="1"/>
    <col min="8" max="8" width="11.5546875" bestFit="1" customWidth="1"/>
    <col min="9" max="11" width="11.88671875" style="590" bestFit="1" customWidth="1"/>
    <col min="12" max="12" width="13.6640625" style="590" bestFit="1" customWidth="1"/>
    <col min="13" max="13" width="10.88671875" bestFit="1" customWidth="1"/>
    <col min="14" max="14" width="13.109375" customWidth="1"/>
    <col min="15" max="15" width="13.44140625" bestFit="1" customWidth="1"/>
    <col min="16" max="16" width="14.6640625" customWidth="1"/>
    <col min="17" max="18" width="14" style="593" customWidth="1"/>
    <col min="19" max="19" width="10.6640625" customWidth="1"/>
    <col min="20" max="20" width="14.88671875" style="594" customWidth="1"/>
    <col min="21" max="22" width="14.5546875" customWidth="1"/>
    <col min="23" max="24" width="11.6640625" style="593" customWidth="1"/>
    <col min="25" max="27" width="11.6640625" style="594" customWidth="1"/>
    <col min="28" max="28" width="14.44140625" style="593" bestFit="1" customWidth="1"/>
    <col min="29" max="29" width="10.5546875" customWidth="1"/>
    <col min="30" max="30" width="14.44140625" bestFit="1" customWidth="1"/>
    <col min="31" max="31" width="11.88671875" bestFit="1" customWidth="1"/>
    <col min="32" max="32" width="14.44140625" bestFit="1" customWidth="1"/>
    <col min="33" max="33" width="9.5546875" style="594" bestFit="1" customWidth="1"/>
    <col min="34" max="34" width="10.6640625" style="594" bestFit="1" customWidth="1"/>
    <col min="35" max="37" width="14.44140625" bestFit="1" customWidth="1"/>
  </cols>
  <sheetData>
    <row r="1" spans="1:37" ht="21.6" customHeight="1">
      <c r="A1" s="2314" t="s">
        <v>352</v>
      </c>
      <c r="B1" s="2315"/>
      <c r="C1" s="2182" t="s">
        <v>1089</v>
      </c>
      <c r="D1" s="2183"/>
      <c r="E1" s="2183"/>
      <c r="F1" s="2183"/>
      <c r="G1" s="2183"/>
      <c r="H1" s="2183"/>
      <c r="I1" s="2183"/>
      <c r="J1" s="2183"/>
      <c r="K1" s="2183"/>
      <c r="L1" s="2184"/>
      <c r="M1" s="2349" t="s">
        <v>1089</v>
      </c>
      <c r="N1" s="2350"/>
      <c r="O1" s="2350"/>
      <c r="P1" s="2350"/>
      <c r="Q1" s="2350"/>
      <c r="R1" s="2350"/>
      <c r="S1" s="2350"/>
      <c r="T1" s="2351"/>
      <c r="U1" s="2268" t="s">
        <v>1247</v>
      </c>
      <c r="V1" s="2266"/>
      <c r="W1" s="2266"/>
      <c r="X1" s="2266"/>
      <c r="Y1" s="2266"/>
      <c r="Z1" s="2266"/>
      <c r="AA1" s="2266"/>
      <c r="AB1" s="2267"/>
      <c r="AC1" s="2268" t="s">
        <v>1247</v>
      </c>
      <c r="AD1" s="2266"/>
      <c r="AE1" s="2266"/>
      <c r="AF1" s="2266"/>
      <c r="AG1" s="2266"/>
      <c r="AH1" s="2266"/>
      <c r="AI1" s="2267"/>
      <c r="AJ1" s="2361" t="s">
        <v>1272</v>
      </c>
      <c r="AK1" s="2361" t="s">
        <v>1273</v>
      </c>
    </row>
    <row r="2" spans="1:37" s="594" customFormat="1" ht="24.6" customHeight="1">
      <c r="A2" s="2233"/>
      <c r="B2" s="2234"/>
      <c r="C2" s="1565"/>
      <c r="D2" s="1566"/>
      <c r="E2" s="1566"/>
      <c r="F2" s="1566"/>
      <c r="G2" s="1566"/>
      <c r="H2" s="1566"/>
      <c r="I2" s="2227" t="s">
        <v>531</v>
      </c>
      <c r="J2" s="2228"/>
      <c r="K2" s="2229"/>
      <c r="L2" s="1567"/>
      <c r="M2" s="1565"/>
      <c r="N2" s="1566"/>
      <c r="O2" s="1566"/>
      <c r="P2" s="1566"/>
      <c r="Q2" s="1566"/>
      <c r="R2" s="1566"/>
      <c r="S2" s="1566"/>
      <c r="T2" s="1567"/>
      <c r="U2" s="1525"/>
      <c r="V2" s="1526"/>
      <c r="W2" s="2362" t="s">
        <v>531</v>
      </c>
      <c r="X2" s="2363"/>
      <c r="Y2" s="2363"/>
      <c r="Z2" s="2363"/>
      <c r="AA2" s="2364"/>
      <c r="AB2" s="1527"/>
      <c r="AC2" s="1525"/>
      <c r="AD2" s="1526"/>
      <c r="AE2" s="1526"/>
      <c r="AF2" s="1526"/>
      <c r="AG2" s="1526"/>
      <c r="AH2" s="1526"/>
      <c r="AI2" s="1527"/>
      <c r="AJ2" s="2303"/>
      <c r="AK2" s="2303"/>
    </row>
    <row r="3" spans="1:37" ht="148.94999999999999" customHeight="1">
      <c r="A3" s="2316"/>
      <c r="B3" s="2234"/>
      <c r="C3" s="2306" t="s">
        <v>933</v>
      </c>
      <c r="D3" s="2318" t="s">
        <v>1110</v>
      </c>
      <c r="E3" s="2318" t="s">
        <v>384</v>
      </c>
      <c r="F3" s="2306" t="s">
        <v>546</v>
      </c>
      <c r="G3" s="2306" t="s">
        <v>330</v>
      </c>
      <c r="H3" s="2306" t="s">
        <v>547</v>
      </c>
      <c r="I3" s="2352" t="s">
        <v>770</v>
      </c>
      <c r="J3" s="2352" t="s">
        <v>769</v>
      </c>
      <c r="K3" s="2352" t="s">
        <v>538</v>
      </c>
      <c r="L3" s="2360" t="s">
        <v>548</v>
      </c>
      <c r="M3" s="1496" t="s">
        <v>333</v>
      </c>
      <c r="N3" s="2306" t="s">
        <v>545</v>
      </c>
      <c r="O3" s="2307" t="s">
        <v>1036</v>
      </c>
      <c r="P3" s="2306" t="s">
        <v>1056</v>
      </c>
      <c r="Q3" s="1537" t="s">
        <v>760</v>
      </c>
      <c r="R3" s="1537" t="s">
        <v>761</v>
      </c>
      <c r="S3" s="2318" t="s">
        <v>544</v>
      </c>
      <c r="T3" s="2318" t="s">
        <v>1057</v>
      </c>
      <c r="U3" s="2309" t="s">
        <v>1267</v>
      </c>
      <c r="V3" s="1507" t="s">
        <v>1268</v>
      </c>
      <c r="W3" s="2365" t="s">
        <v>1253</v>
      </c>
      <c r="X3" s="2365" t="s">
        <v>1251</v>
      </c>
      <c r="Y3" s="1977" t="s">
        <v>1254</v>
      </c>
      <c r="Z3" s="1975" t="s">
        <v>1252</v>
      </c>
      <c r="AA3" s="1498" t="s">
        <v>551</v>
      </c>
      <c r="AB3" s="2366" t="s">
        <v>1269</v>
      </c>
      <c r="AC3" s="1507" t="s">
        <v>1094</v>
      </c>
      <c r="AD3" s="2309" t="s">
        <v>1270</v>
      </c>
      <c r="AE3" s="2307" t="s">
        <v>1036</v>
      </c>
      <c r="AF3" s="2309" t="s">
        <v>1271</v>
      </c>
      <c r="AG3" s="2322" t="s">
        <v>981</v>
      </c>
      <c r="AH3" s="2322" t="s">
        <v>761</v>
      </c>
      <c r="AI3" s="2322" t="s">
        <v>1242</v>
      </c>
      <c r="AJ3" s="2303"/>
      <c r="AK3" s="2303"/>
    </row>
    <row r="4" spans="1:37" ht="19.95" customHeight="1">
      <c r="A4" s="2317"/>
      <c r="B4" s="2236"/>
      <c r="C4" s="2301"/>
      <c r="D4" s="2318"/>
      <c r="E4" s="2318"/>
      <c r="F4" s="2301"/>
      <c r="G4" s="2301"/>
      <c r="H4" s="2301"/>
      <c r="I4" s="2251"/>
      <c r="J4" s="2251"/>
      <c r="K4" s="2251"/>
      <c r="L4" s="2301"/>
      <c r="M4" s="1568">
        <v>2.5000000000000001E-3</v>
      </c>
      <c r="N4" s="2301"/>
      <c r="O4" s="2251"/>
      <c r="P4" s="2301"/>
      <c r="Q4" s="1497"/>
      <c r="R4" s="1497"/>
      <c r="S4" s="2318"/>
      <c r="T4" s="2318"/>
      <c r="U4" s="2280"/>
      <c r="V4" s="1508"/>
      <c r="W4" s="2251"/>
      <c r="X4" s="2251"/>
      <c r="Y4" s="1494"/>
      <c r="Z4" s="1494"/>
      <c r="AA4" s="1494"/>
      <c r="AB4" s="2280" t="s">
        <v>537</v>
      </c>
      <c r="AC4" s="1570">
        <v>2.5000000000000001E-3</v>
      </c>
      <c r="AD4" s="2280"/>
      <c r="AE4" s="2251"/>
      <c r="AF4" s="2280"/>
      <c r="AG4" s="2323"/>
      <c r="AH4" s="2323"/>
      <c r="AI4" s="2323"/>
      <c r="AJ4" s="2305"/>
      <c r="AK4" s="2305"/>
    </row>
    <row r="5" spans="1:37" ht="14.25" customHeight="1">
      <c r="A5" s="463"/>
      <c r="B5" s="464"/>
      <c r="C5" s="465">
        <v>1</v>
      </c>
      <c r="D5" s="465">
        <f t="shared" ref="D5" si="0">C5+1</f>
        <v>2</v>
      </c>
      <c r="E5" s="465">
        <f>D5+1</f>
        <v>3</v>
      </c>
      <c r="F5" s="465">
        <f t="shared" ref="F5:I5" si="1">E5+1</f>
        <v>4</v>
      </c>
      <c r="G5" s="465">
        <f t="shared" si="1"/>
        <v>5</v>
      </c>
      <c r="H5" s="465">
        <f t="shared" si="1"/>
        <v>6</v>
      </c>
      <c r="I5" s="465">
        <f t="shared" si="1"/>
        <v>7</v>
      </c>
      <c r="J5" s="465">
        <f t="shared" ref="J5" si="2">I5+1</f>
        <v>8</v>
      </c>
      <c r="K5" s="465">
        <f t="shared" ref="K5" si="3">J5+1</f>
        <v>9</v>
      </c>
      <c r="L5" s="465">
        <f t="shared" ref="L5" si="4">K5+1</f>
        <v>10</v>
      </c>
      <c r="M5" s="465">
        <f t="shared" ref="M5" si="5">L5+1</f>
        <v>11</v>
      </c>
      <c r="N5" s="465">
        <f t="shared" ref="N5" si="6">M5+1</f>
        <v>12</v>
      </c>
      <c r="O5" s="465">
        <f t="shared" ref="O5" si="7">N5+1</f>
        <v>13</v>
      </c>
      <c r="P5" s="465">
        <f t="shared" ref="P5" si="8">O5+1</f>
        <v>14</v>
      </c>
      <c r="Q5" s="465">
        <f t="shared" ref="Q5" si="9">P5+1</f>
        <v>15</v>
      </c>
      <c r="R5" s="465">
        <f t="shared" ref="R5" si="10">Q5+1</f>
        <v>16</v>
      </c>
      <c r="S5" s="465">
        <f t="shared" ref="S5" si="11">R5+1</f>
        <v>17</v>
      </c>
      <c r="T5" s="465">
        <f t="shared" ref="T5" si="12">S5+1</f>
        <v>18</v>
      </c>
      <c r="U5" s="465">
        <f t="shared" ref="U5" si="13">T5+1</f>
        <v>19</v>
      </c>
      <c r="V5" s="465">
        <f t="shared" ref="V5" si="14">U5+1</f>
        <v>20</v>
      </c>
      <c r="W5" s="465">
        <f t="shared" ref="W5" si="15">V5+1</f>
        <v>21</v>
      </c>
      <c r="X5" s="465">
        <f t="shared" ref="X5" si="16">W5+1</f>
        <v>22</v>
      </c>
      <c r="Y5" s="465">
        <f t="shared" ref="Y5" si="17">X5+1</f>
        <v>23</v>
      </c>
      <c r="Z5" s="465">
        <f t="shared" ref="Z5" si="18">Y5+1</f>
        <v>24</v>
      </c>
      <c r="AA5" s="465">
        <f t="shared" ref="AA5" si="19">Z5+1</f>
        <v>25</v>
      </c>
      <c r="AB5" s="465">
        <f t="shared" ref="AB5" si="20">AA5+1</f>
        <v>26</v>
      </c>
      <c r="AC5" s="465">
        <f t="shared" ref="AC5" si="21">AB5+1</f>
        <v>27</v>
      </c>
      <c r="AD5" s="465">
        <f t="shared" ref="AD5" si="22">AC5+1</f>
        <v>28</v>
      </c>
      <c r="AE5" s="465">
        <f t="shared" ref="AE5" si="23">AD5+1</f>
        <v>29</v>
      </c>
      <c r="AF5" s="465">
        <f t="shared" ref="AF5" si="24">AE5+1</f>
        <v>30</v>
      </c>
      <c r="AG5" s="465">
        <f t="shared" ref="AG5" si="25">AF5+1</f>
        <v>31</v>
      </c>
      <c r="AH5" s="465">
        <f t="shared" ref="AH5" si="26">AG5+1</f>
        <v>32</v>
      </c>
      <c r="AI5" s="465">
        <f t="shared" ref="AI5" si="27">AH5+1</f>
        <v>33</v>
      </c>
      <c r="AJ5" s="465">
        <f t="shared" ref="AJ5" si="28">AI5+1</f>
        <v>34</v>
      </c>
      <c r="AK5" s="465">
        <f t="shared" ref="AK5" si="29">AJ5+1</f>
        <v>35</v>
      </c>
    </row>
    <row r="6" spans="1:37" ht="27" hidden="1" customHeight="1">
      <c r="A6" s="472"/>
      <c r="B6" s="473"/>
      <c r="C6" s="473"/>
      <c r="D6" s="473"/>
      <c r="E6" s="473"/>
      <c r="F6" s="473"/>
      <c r="G6" s="473"/>
      <c r="H6" s="473"/>
      <c r="I6" s="591"/>
      <c r="J6" s="591"/>
      <c r="K6" s="591"/>
      <c r="L6" s="591"/>
      <c r="M6" s="473"/>
      <c r="N6" s="473"/>
      <c r="O6" s="473"/>
      <c r="P6" s="473"/>
      <c r="Q6" s="592"/>
      <c r="R6" s="592"/>
      <c r="S6" s="473"/>
      <c r="T6" s="473"/>
      <c r="U6" s="473"/>
      <c r="V6" s="473"/>
      <c r="W6" s="592"/>
      <c r="X6" s="592"/>
      <c r="Y6" s="615"/>
      <c r="Z6" s="615"/>
      <c r="AA6" s="615"/>
      <c r="AB6" s="592"/>
      <c r="AC6" s="473"/>
      <c r="AD6" s="473"/>
      <c r="AE6" s="473"/>
      <c r="AF6" s="473"/>
      <c r="AG6" s="596"/>
      <c r="AH6" s="596"/>
      <c r="AI6" s="473"/>
      <c r="AJ6" s="473"/>
      <c r="AK6" s="473"/>
    </row>
    <row r="7" spans="1:37" ht="16.2" customHeight="1">
      <c r="A7" s="1183">
        <v>1</v>
      </c>
      <c r="B7" s="1184" t="s">
        <v>81</v>
      </c>
      <c r="C7" s="1185">
        <f>+'Table 8 Membership 2.1.14'!N3</f>
        <v>0</v>
      </c>
      <c r="D7" s="1186">
        <f>+'Table 5C1A-Madison Prep'!D7</f>
        <v>4765.8584413349836</v>
      </c>
      <c r="E7" s="1187">
        <f>C7*D7</f>
        <v>0</v>
      </c>
      <c r="F7" s="1187">
        <f>+'Table 5C1A-Madison Prep'!F7</f>
        <v>777.48</v>
      </c>
      <c r="G7" s="1187">
        <f>C7*F7</f>
        <v>0</v>
      </c>
      <c r="H7" s="1538">
        <f>E7+G7</f>
        <v>0</v>
      </c>
      <c r="I7" s="1188"/>
      <c r="J7" s="1188"/>
      <c r="K7" s="1189">
        <f>+I7+J7</f>
        <v>0</v>
      </c>
      <c r="L7" s="1538">
        <f>H7+K7</f>
        <v>0</v>
      </c>
      <c r="M7" s="1372">
        <f>-(0.25%*L7)</f>
        <v>0</v>
      </c>
      <c r="N7" s="1538">
        <f>SUM(L7:M7)</f>
        <v>0</v>
      </c>
      <c r="O7" s="1186">
        <v>0</v>
      </c>
      <c r="P7" s="1538">
        <f>SUM(N7:O7)</f>
        <v>0</v>
      </c>
      <c r="Q7" s="1186"/>
      <c r="R7" s="1186">
        <f>P7-Q7</f>
        <v>0</v>
      </c>
      <c r="S7" s="1538">
        <f t="shared" ref="S7:S70" si="30">ROUND(R7/12,0)</f>
        <v>0</v>
      </c>
      <c r="T7" s="1538">
        <f>+P7</f>
        <v>0</v>
      </c>
      <c r="U7" s="1381">
        <f>'Table 5C1A-Madison Prep'!U7</f>
        <v>2409</v>
      </c>
      <c r="V7" s="1509">
        <f t="shared" ref="V7:V38" si="31">C7*U7</f>
        <v>0</v>
      </c>
      <c r="W7" s="1375"/>
      <c r="X7" s="1376">
        <f>W7*U7</f>
        <v>0</v>
      </c>
      <c r="Y7" s="1375"/>
      <c r="Z7" s="1376">
        <f>+U7*Y7*0.5</f>
        <v>0</v>
      </c>
      <c r="AA7" s="1374">
        <f>+X7+Z7</f>
        <v>0</v>
      </c>
      <c r="AB7" s="1509">
        <f>V7+AA7</f>
        <v>0</v>
      </c>
      <c r="AC7" s="1378">
        <f>-(0.25%*AB7)</f>
        <v>0</v>
      </c>
      <c r="AD7" s="1509">
        <f>SUM(AB7:AC7)</f>
        <v>0</v>
      </c>
      <c r="AE7" s="1379">
        <v>0</v>
      </c>
      <c r="AF7" s="1509">
        <f>SUM(AD7:AE7)</f>
        <v>0</v>
      </c>
      <c r="AG7" s="1376"/>
      <c r="AH7" s="1376">
        <f>AF7-AG7</f>
        <v>0</v>
      </c>
      <c r="AI7" s="1509">
        <f>ROUND(AH7/12,0)</f>
        <v>0</v>
      </c>
      <c r="AJ7" s="1530">
        <f>T7+AF7</f>
        <v>0</v>
      </c>
      <c r="AK7" s="1534">
        <f>S7+AI7</f>
        <v>0</v>
      </c>
    </row>
    <row r="8" spans="1:37" ht="16.2" customHeight="1">
      <c r="A8" s="1176">
        <v>2</v>
      </c>
      <c r="B8" s="1177" t="s">
        <v>82</v>
      </c>
      <c r="C8" s="1178">
        <f>+'Table 8 Membership 2.1.14'!N4</f>
        <v>0</v>
      </c>
      <c r="D8" s="1179">
        <f>+'Table 5C1A-Madison Prep'!D8</f>
        <v>6316.6266417386641</v>
      </c>
      <c r="E8" s="1180">
        <f t="shared" ref="E8:E71" si="32">C8*D8</f>
        <v>0</v>
      </c>
      <c r="F8" s="1180">
        <f>+'Table 5C1A-Madison Prep'!F8</f>
        <v>842.32</v>
      </c>
      <c r="G8" s="1180">
        <f t="shared" ref="G8:G71" si="33">C8*F8</f>
        <v>0</v>
      </c>
      <c r="H8" s="1539">
        <f t="shared" ref="H8:H71" si="34">E8+G8</f>
        <v>0</v>
      </c>
      <c r="I8" s="1181"/>
      <c r="J8" s="1181"/>
      <c r="K8" s="1182">
        <f t="shared" ref="K8:K71" si="35">+I8+J8</f>
        <v>0</v>
      </c>
      <c r="L8" s="1539">
        <f t="shared" ref="L8:L38" si="36">H8+K8</f>
        <v>0</v>
      </c>
      <c r="M8" s="1388">
        <f t="shared" ref="M8:M71" si="37">-(0.25%*L8)</f>
        <v>0</v>
      </c>
      <c r="N8" s="1539">
        <f t="shared" ref="N8:N71" si="38">SUM(L8:M8)</f>
        <v>0</v>
      </c>
      <c r="O8" s="1179">
        <v>0</v>
      </c>
      <c r="P8" s="1539">
        <f t="shared" ref="P8:P71" si="39">SUM(N8:O8)</f>
        <v>0</v>
      </c>
      <c r="Q8" s="1179"/>
      <c r="R8" s="1179">
        <f t="shared" ref="R8:R71" si="40">P8-Q8</f>
        <v>0</v>
      </c>
      <c r="S8" s="1539">
        <f t="shared" si="30"/>
        <v>0</v>
      </c>
      <c r="T8" s="1539">
        <f t="shared" ref="T8:T71" si="41">+P8</f>
        <v>0</v>
      </c>
      <c r="U8" s="1397">
        <f>'Table 5C1A-Madison Prep'!U8</f>
        <v>2829</v>
      </c>
      <c r="V8" s="1510">
        <f t="shared" si="31"/>
        <v>0</v>
      </c>
      <c r="W8" s="1391"/>
      <c r="X8" s="1392">
        <f t="shared" ref="X8:X71" si="42">W8*U8</f>
        <v>0</v>
      </c>
      <c r="Y8" s="1391"/>
      <c r="Z8" s="1392">
        <f t="shared" ref="Z8:Z71" si="43">+U8*Y8*0.5</f>
        <v>0</v>
      </c>
      <c r="AA8" s="1390">
        <f t="shared" ref="AA8:AA71" si="44">+X8+Z8</f>
        <v>0</v>
      </c>
      <c r="AB8" s="1510">
        <f t="shared" ref="AB8:AB71" si="45">V8+AA8</f>
        <v>0</v>
      </c>
      <c r="AC8" s="1394">
        <f t="shared" ref="AC8:AC71" si="46">-(0.25%*AB8)</f>
        <v>0</v>
      </c>
      <c r="AD8" s="1510">
        <f t="shared" ref="AD8:AD71" si="47">SUM(AB8:AC8)</f>
        <v>0</v>
      </c>
      <c r="AE8" s="1395">
        <v>0</v>
      </c>
      <c r="AF8" s="1510">
        <f t="shared" ref="AF8:AF71" si="48">SUM(AD8:AE8)</f>
        <v>0</v>
      </c>
      <c r="AG8" s="1392"/>
      <c r="AH8" s="1392">
        <f t="shared" ref="AH8:AH71" si="49">AF8-AG8</f>
        <v>0</v>
      </c>
      <c r="AI8" s="1510">
        <f t="shared" ref="AI8:AI71" si="50">ROUND(AH8/12,0)</f>
        <v>0</v>
      </c>
      <c r="AJ8" s="1505">
        <f t="shared" ref="AJ8:AJ71" si="51">T8+AF8</f>
        <v>0</v>
      </c>
      <c r="AK8" s="1535">
        <f t="shared" ref="AK8:AK38" si="52">S8+AI8</f>
        <v>0</v>
      </c>
    </row>
    <row r="9" spans="1:37" ht="16.2" customHeight="1">
      <c r="A9" s="1176">
        <v>3</v>
      </c>
      <c r="B9" s="1177" t="s">
        <v>83</v>
      </c>
      <c r="C9" s="1178">
        <f>+'Table 8 Membership 2.1.14'!N5</f>
        <v>0</v>
      </c>
      <c r="D9" s="1179">
        <f>+'Table 5C1A-Madison Prep'!D9</f>
        <v>4155.1862027396819</v>
      </c>
      <c r="E9" s="1180">
        <f t="shared" si="32"/>
        <v>0</v>
      </c>
      <c r="F9" s="1180">
        <f>+'Table 5C1A-Madison Prep'!F9</f>
        <v>596.84</v>
      </c>
      <c r="G9" s="1180">
        <f t="shared" si="33"/>
        <v>0</v>
      </c>
      <c r="H9" s="1539">
        <f t="shared" si="34"/>
        <v>0</v>
      </c>
      <c r="I9" s="1181"/>
      <c r="J9" s="1181"/>
      <c r="K9" s="1182">
        <f t="shared" si="35"/>
        <v>0</v>
      </c>
      <c r="L9" s="1539">
        <f t="shared" si="36"/>
        <v>0</v>
      </c>
      <c r="M9" s="1388">
        <f t="shared" si="37"/>
        <v>0</v>
      </c>
      <c r="N9" s="1539">
        <f t="shared" si="38"/>
        <v>0</v>
      </c>
      <c r="O9" s="1179">
        <v>0</v>
      </c>
      <c r="P9" s="1539">
        <f t="shared" si="39"/>
        <v>0</v>
      </c>
      <c r="Q9" s="1179"/>
      <c r="R9" s="1179">
        <f t="shared" si="40"/>
        <v>0</v>
      </c>
      <c r="S9" s="1539">
        <f t="shared" si="30"/>
        <v>0</v>
      </c>
      <c r="T9" s="1539">
        <f t="shared" si="41"/>
        <v>0</v>
      </c>
      <c r="U9" s="1397">
        <f>'Table 5C1A-Madison Prep'!U9</f>
        <v>5770</v>
      </c>
      <c r="V9" s="1510">
        <f t="shared" si="31"/>
        <v>0</v>
      </c>
      <c r="W9" s="1391"/>
      <c r="X9" s="1392">
        <f t="shared" si="42"/>
        <v>0</v>
      </c>
      <c r="Y9" s="1391"/>
      <c r="Z9" s="1392">
        <f t="shared" si="43"/>
        <v>0</v>
      </c>
      <c r="AA9" s="1390">
        <f t="shared" si="44"/>
        <v>0</v>
      </c>
      <c r="AB9" s="1510">
        <f t="shared" si="45"/>
        <v>0</v>
      </c>
      <c r="AC9" s="1394">
        <f t="shared" si="46"/>
        <v>0</v>
      </c>
      <c r="AD9" s="1510">
        <f t="shared" si="47"/>
        <v>0</v>
      </c>
      <c r="AE9" s="1395">
        <v>0</v>
      </c>
      <c r="AF9" s="1510">
        <f t="shared" si="48"/>
        <v>0</v>
      </c>
      <c r="AG9" s="1392"/>
      <c r="AH9" s="1392">
        <f t="shared" si="49"/>
        <v>0</v>
      </c>
      <c r="AI9" s="1510">
        <f t="shared" si="50"/>
        <v>0</v>
      </c>
      <c r="AJ9" s="1505">
        <f t="shared" si="51"/>
        <v>0</v>
      </c>
      <c r="AK9" s="1535">
        <f t="shared" si="52"/>
        <v>0</v>
      </c>
    </row>
    <row r="10" spans="1:37" ht="16.2" customHeight="1">
      <c r="A10" s="1176">
        <v>4</v>
      </c>
      <c r="B10" s="1177" t="s">
        <v>84</v>
      </c>
      <c r="C10" s="1178">
        <f>+'Table 8 Membership 2.1.14'!N6</f>
        <v>0</v>
      </c>
      <c r="D10" s="1179">
        <f>+'Table 5C1A-Madison Prep'!D10</f>
        <v>6119.0581446878568</v>
      </c>
      <c r="E10" s="1180">
        <f t="shared" si="32"/>
        <v>0</v>
      </c>
      <c r="F10" s="1180">
        <f>+'Table 5C1A-Madison Prep'!F10</f>
        <v>585.76</v>
      </c>
      <c r="G10" s="1180">
        <f t="shared" si="33"/>
        <v>0</v>
      </c>
      <c r="H10" s="1539">
        <f t="shared" si="34"/>
        <v>0</v>
      </c>
      <c r="I10" s="1181"/>
      <c r="J10" s="1181"/>
      <c r="K10" s="1182">
        <f t="shared" si="35"/>
        <v>0</v>
      </c>
      <c r="L10" s="1539">
        <f t="shared" si="36"/>
        <v>0</v>
      </c>
      <c r="M10" s="1388">
        <f t="shared" si="37"/>
        <v>0</v>
      </c>
      <c r="N10" s="1539">
        <f t="shared" si="38"/>
        <v>0</v>
      </c>
      <c r="O10" s="1179">
        <v>0</v>
      </c>
      <c r="P10" s="1539">
        <f t="shared" si="39"/>
        <v>0</v>
      </c>
      <c r="Q10" s="1179"/>
      <c r="R10" s="1179">
        <f t="shared" si="40"/>
        <v>0</v>
      </c>
      <c r="S10" s="1539">
        <f t="shared" si="30"/>
        <v>0</v>
      </c>
      <c r="T10" s="1539">
        <f t="shared" si="41"/>
        <v>0</v>
      </c>
      <c r="U10" s="1397">
        <f>'Table 5C1A-Madison Prep'!U10</f>
        <v>3287</v>
      </c>
      <c r="V10" s="1510">
        <f t="shared" si="31"/>
        <v>0</v>
      </c>
      <c r="W10" s="1391"/>
      <c r="X10" s="1392">
        <f t="shared" si="42"/>
        <v>0</v>
      </c>
      <c r="Y10" s="1391"/>
      <c r="Z10" s="1392">
        <f t="shared" si="43"/>
        <v>0</v>
      </c>
      <c r="AA10" s="1390">
        <f t="shared" si="44"/>
        <v>0</v>
      </c>
      <c r="AB10" s="1510">
        <f t="shared" si="45"/>
        <v>0</v>
      </c>
      <c r="AC10" s="1394">
        <f t="shared" si="46"/>
        <v>0</v>
      </c>
      <c r="AD10" s="1510">
        <f t="shared" si="47"/>
        <v>0</v>
      </c>
      <c r="AE10" s="1395">
        <v>0</v>
      </c>
      <c r="AF10" s="1510">
        <f t="shared" si="48"/>
        <v>0</v>
      </c>
      <c r="AG10" s="1392"/>
      <c r="AH10" s="1392">
        <f t="shared" si="49"/>
        <v>0</v>
      </c>
      <c r="AI10" s="1510">
        <f t="shared" si="50"/>
        <v>0</v>
      </c>
      <c r="AJ10" s="1505">
        <f t="shared" si="51"/>
        <v>0</v>
      </c>
      <c r="AK10" s="1535">
        <f t="shared" si="52"/>
        <v>0</v>
      </c>
    </row>
    <row r="11" spans="1:37" ht="16.2" customHeight="1">
      <c r="A11" s="1168">
        <v>5</v>
      </c>
      <c r="B11" s="1169" t="s">
        <v>85</v>
      </c>
      <c r="C11" s="1170">
        <f>+'Table 8 Membership 2.1.14'!N7</f>
        <v>0</v>
      </c>
      <c r="D11" s="1171">
        <f>+'Table 5C1A-Madison Prep'!D11</f>
        <v>5268.940566009911</v>
      </c>
      <c r="E11" s="1172">
        <f t="shared" si="32"/>
        <v>0</v>
      </c>
      <c r="F11" s="1172">
        <f>+'Table 5C1A-Madison Prep'!F11</f>
        <v>555.91</v>
      </c>
      <c r="G11" s="1172">
        <f t="shared" si="33"/>
        <v>0</v>
      </c>
      <c r="H11" s="1540">
        <f t="shared" si="34"/>
        <v>0</v>
      </c>
      <c r="I11" s="1173"/>
      <c r="J11" s="1173"/>
      <c r="K11" s="1174">
        <f t="shared" si="35"/>
        <v>0</v>
      </c>
      <c r="L11" s="1540">
        <f t="shared" si="36"/>
        <v>0</v>
      </c>
      <c r="M11" s="1399">
        <f t="shared" si="37"/>
        <v>0</v>
      </c>
      <c r="N11" s="1540">
        <f t="shared" si="38"/>
        <v>0</v>
      </c>
      <c r="O11" s="1171">
        <v>0</v>
      </c>
      <c r="P11" s="1540">
        <f t="shared" si="39"/>
        <v>0</v>
      </c>
      <c r="Q11" s="1386"/>
      <c r="R11" s="1171">
        <f t="shared" si="40"/>
        <v>0</v>
      </c>
      <c r="S11" s="1553">
        <f t="shared" si="30"/>
        <v>0</v>
      </c>
      <c r="T11" s="1553">
        <f t="shared" si="41"/>
        <v>0</v>
      </c>
      <c r="U11" s="1387">
        <f>'Table 5C1A-Madison Prep'!U11</f>
        <v>1921</v>
      </c>
      <c r="V11" s="1511">
        <f t="shared" si="31"/>
        <v>0</v>
      </c>
      <c r="W11" s="1400"/>
      <c r="X11" s="1383">
        <f t="shared" si="42"/>
        <v>0</v>
      </c>
      <c r="Y11" s="1400"/>
      <c r="Z11" s="1383">
        <f t="shared" si="43"/>
        <v>0</v>
      </c>
      <c r="AA11" s="1384">
        <f t="shared" si="44"/>
        <v>0</v>
      </c>
      <c r="AB11" s="1511">
        <f t="shared" si="45"/>
        <v>0</v>
      </c>
      <c r="AC11" s="1402">
        <f t="shared" si="46"/>
        <v>0</v>
      </c>
      <c r="AD11" s="1511">
        <f t="shared" si="47"/>
        <v>0</v>
      </c>
      <c r="AE11" s="1385">
        <v>0</v>
      </c>
      <c r="AF11" s="1511">
        <f t="shared" si="48"/>
        <v>0</v>
      </c>
      <c r="AG11" s="1383"/>
      <c r="AH11" s="1383">
        <f t="shared" si="49"/>
        <v>0</v>
      </c>
      <c r="AI11" s="1511">
        <f t="shared" si="50"/>
        <v>0</v>
      </c>
      <c r="AJ11" s="1531">
        <f t="shared" si="51"/>
        <v>0</v>
      </c>
      <c r="AK11" s="1536">
        <f t="shared" si="52"/>
        <v>0</v>
      </c>
    </row>
    <row r="12" spans="1:37" ht="16.2" customHeight="1">
      <c r="A12" s="1183">
        <v>6</v>
      </c>
      <c r="B12" s="1184" t="s">
        <v>86</v>
      </c>
      <c r="C12" s="1185">
        <f>+'Table 8 Membership 2.1.14'!N8</f>
        <v>0</v>
      </c>
      <c r="D12" s="1186">
        <f>+'Table 5C1A-Madison Prep'!D12</f>
        <v>5378.5086124955869</v>
      </c>
      <c r="E12" s="1187">
        <f t="shared" si="32"/>
        <v>0</v>
      </c>
      <c r="F12" s="1187">
        <f>+'Table 5C1A-Madison Prep'!F12</f>
        <v>545.4799999999999</v>
      </c>
      <c r="G12" s="1187">
        <f t="shared" si="33"/>
        <v>0</v>
      </c>
      <c r="H12" s="1538">
        <f t="shared" si="34"/>
        <v>0</v>
      </c>
      <c r="I12" s="1188"/>
      <c r="J12" s="1188"/>
      <c r="K12" s="1189">
        <f t="shared" si="35"/>
        <v>0</v>
      </c>
      <c r="L12" s="1538">
        <f t="shared" si="36"/>
        <v>0</v>
      </c>
      <c r="M12" s="1372">
        <f t="shared" si="37"/>
        <v>0</v>
      </c>
      <c r="N12" s="1538">
        <f t="shared" si="38"/>
        <v>0</v>
      </c>
      <c r="O12" s="1186">
        <v>0</v>
      </c>
      <c r="P12" s="1538">
        <f t="shared" si="39"/>
        <v>0</v>
      </c>
      <c r="Q12" s="1186"/>
      <c r="R12" s="1186">
        <f t="shared" si="40"/>
        <v>0</v>
      </c>
      <c r="S12" s="1538">
        <f t="shared" si="30"/>
        <v>0</v>
      </c>
      <c r="T12" s="1538">
        <f t="shared" si="41"/>
        <v>0</v>
      </c>
      <c r="U12" s="1381">
        <f>'Table 5C1A-Madison Prep'!U12</f>
        <v>3807</v>
      </c>
      <c r="V12" s="1509">
        <f t="shared" si="31"/>
        <v>0</v>
      </c>
      <c r="W12" s="1375"/>
      <c r="X12" s="1376">
        <f t="shared" si="42"/>
        <v>0</v>
      </c>
      <c r="Y12" s="1375"/>
      <c r="Z12" s="1376">
        <f t="shared" si="43"/>
        <v>0</v>
      </c>
      <c r="AA12" s="1374">
        <f t="shared" si="44"/>
        <v>0</v>
      </c>
      <c r="AB12" s="1509">
        <f t="shared" si="45"/>
        <v>0</v>
      </c>
      <c r="AC12" s="1378">
        <f t="shared" si="46"/>
        <v>0</v>
      </c>
      <c r="AD12" s="1509">
        <f t="shared" si="47"/>
        <v>0</v>
      </c>
      <c r="AE12" s="1379">
        <v>0</v>
      </c>
      <c r="AF12" s="1509">
        <f t="shared" si="48"/>
        <v>0</v>
      </c>
      <c r="AG12" s="1376"/>
      <c r="AH12" s="1376">
        <f t="shared" si="49"/>
        <v>0</v>
      </c>
      <c r="AI12" s="1509">
        <f t="shared" si="50"/>
        <v>0</v>
      </c>
      <c r="AJ12" s="1530">
        <f t="shared" si="51"/>
        <v>0</v>
      </c>
      <c r="AK12" s="1534">
        <f t="shared" si="52"/>
        <v>0</v>
      </c>
    </row>
    <row r="13" spans="1:37" ht="16.2" customHeight="1">
      <c r="A13" s="1176">
        <v>7</v>
      </c>
      <c r="B13" s="1177" t="s">
        <v>87</v>
      </c>
      <c r="C13" s="1178">
        <f>+'Table 8 Membership 2.1.14'!N9</f>
        <v>0</v>
      </c>
      <c r="D13" s="1179">
        <f>+'Table 5C1A-Madison Prep'!D13</f>
        <v>2243.0031963470319</v>
      </c>
      <c r="E13" s="1180">
        <f t="shared" si="32"/>
        <v>0</v>
      </c>
      <c r="F13" s="1180">
        <f>+'Table 5C1A-Madison Prep'!F13</f>
        <v>756.91999999999985</v>
      </c>
      <c r="G13" s="1180">
        <f t="shared" si="33"/>
        <v>0</v>
      </c>
      <c r="H13" s="1539">
        <f t="shared" si="34"/>
        <v>0</v>
      </c>
      <c r="I13" s="1181"/>
      <c r="J13" s="1181"/>
      <c r="K13" s="1182">
        <f t="shared" si="35"/>
        <v>0</v>
      </c>
      <c r="L13" s="1539">
        <f t="shared" si="36"/>
        <v>0</v>
      </c>
      <c r="M13" s="1388">
        <f t="shared" si="37"/>
        <v>0</v>
      </c>
      <c r="N13" s="1539">
        <f t="shared" si="38"/>
        <v>0</v>
      </c>
      <c r="O13" s="1179">
        <v>0</v>
      </c>
      <c r="P13" s="1539">
        <f t="shared" si="39"/>
        <v>0</v>
      </c>
      <c r="Q13" s="1179"/>
      <c r="R13" s="1179">
        <f t="shared" si="40"/>
        <v>0</v>
      </c>
      <c r="S13" s="1539">
        <f t="shared" si="30"/>
        <v>0</v>
      </c>
      <c r="T13" s="1539">
        <f t="shared" si="41"/>
        <v>0</v>
      </c>
      <c r="U13" s="1397">
        <f>'Table 5C1A-Madison Prep'!U13</f>
        <v>11888</v>
      </c>
      <c r="V13" s="1510">
        <f t="shared" si="31"/>
        <v>0</v>
      </c>
      <c r="W13" s="1391"/>
      <c r="X13" s="1392">
        <f t="shared" si="42"/>
        <v>0</v>
      </c>
      <c r="Y13" s="1391"/>
      <c r="Z13" s="1392">
        <f t="shared" si="43"/>
        <v>0</v>
      </c>
      <c r="AA13" s="1390">
        <f t="shared" si="44"/>
        <v>0</v>
      </c>
      <c r="AB13" s="1510">
        <f t="shared" si="45"/>
        <v>0</v>
      </c>
      <c r="AC13" s="1394">
        <f t="shared" si="46"/>
        <v>0</v>
      </c>
      <c r="AD13" s="1510">
        <f t="shared" si="47"/>
        <v>0</v>
      </c>
      <c r="AE13" s="1395">
        <v>0</v>
      </c>
      <c r="AF13" s="1510">
        <f t="shared" si="48"/>
        <v>0</v>
      </c>
      <c r="AG13" s="1392"/>
      <c r="AH13" s="1392">
        <f t="shared" si="49"/>
        <v>0</v>
      </c>
      <c r="AI13" s="1510">
        <f t="shared" si="50"/>
        <v>0</v>
      </c>
      <c r="AJ13" s="1505">
        <f t="shared" si="51"/>
        <v>0</v>
      </c>
      <c r="AK13" s="1535">
        <f t="shared" si="52"/>
        <v>0</v>
      </c>
    </row>
    <row r="14" spans="1:37" ht="16.2" customHeight="1">
      <c r="A14" s="1176">
        <v>8</v>
      </c>
      <c r="B14" s="1177" t="s">
        <v>88</v>
      </c>
      <c r="C14" s="1178">
        <f>+'Table 8 Membership 2.1.14'!N10</f>
        <v>0</v>
      </c>
      <c r="D14" s="1179">
        <f>+'Table 5C1A-Madison Prep'!D14</f>
        <v>4669.802459558854</v>
      </c>
      <c r="E14" s="1180">
        <f t="shared" si="32"/>
        <v>0</v>
      </c>
      <c r="F14" s="1180">
        <f>+'Table 5C1A-Madison Prep'!F14</f>
        <v>725.76</v>
      </c>
      <c r="G14" s="1180">
        <f t="shared" si="33"/>
        <v>0</v>
      </c>
      <c r="H14" s="1539">
        <f t="shared" si="34"/>
        <v>0</v>
      </c>
      <c r="I14" s="1181"/>
      <c r="J14" s="1181"/>
      <c r="K14" s="1182">
        <f t="shared" si="35"/>
        <v>0</v>
      </c>
      <c r="L14" s="1539">
        <f t="shared" si="36"/>
        <v>0</v>
      </c>
      <c r="M14" s="1388">
        <f t="shared" si="37"/>
        <v>0</v>
      </c>
      <c r="N14" s="1539">
        <f t="shared" si="38"/>
        <v>0</v>
      </c>
      <c r="O14" s="1179">
        <v>0</v>
      </c>
      <c r="P14" s="1539">
        <f t="shared" si="39"/>
        <v>0</v>
      </c>
      <c r="Q14" s="1179"/>
      <c r="R14" s="1179">
        <f t="shared" si="40"/>
        <v>0</v>
      </c>
      <c r="S14" s="1539">
        <f t="shared" si="30"/>
        <v>0</v>
      </c>
      <c r="T14" s="1539">
        <f t="shared" si="41"/>
        <v>0</v>
      </c>
      <c r="U14" s="1397">
        <f>'Table 5C1A-Madison Prep'!U14</f>
        <v>4024</v>
      </c>
      <c r="V14" s="1510">
        <f t="shared" si="31"/>
        <v>0</v>
      </c>
      <c r="W14" s="1391"/>
      <c r="X14" s="1392">
        <f t="shared" si="42"/>
        <v>0</v>
      </c>
      <c r="Y14" s="1391"/>
      <c r="Z14" s="1392">
        <f t="shared" si="43"/>
        <v>0</v>
      </c>
      <c r="AA14" s="1390">
        <f t="shared" si="44"/>
        <v>0</v>
      </c>
      <c r="AB14" s="1510">
        <f t="shared" si="45"/>
        <v>0</v>
      </c>
      <c r="AC14" s="1394">
        <f t="shared" si="46"/>
        <v>0</v>
      </c>
      <c r="AD14" s="1510">
        <f t="shared" si="47"/>
        <v>0</v>
      </c>
      <c r="AE14" s="1395">
        <v>0</v>
      </c>
      <c r="AF14" s="1510">
        <f t="shared" si="48"/>
        <v>0</v>
      </c>
      <c r="AG14" s="1392"/>
      <c r="AH14" s="1392">
        <f t="shared" si="49"/>
        <v>0</v>
      </c>
      <c r="AI14" s="1510">
        <f t="shared" si="50"/>
        <v>0</v>
      </c>
      <c r="AJ14" s="1505">
        <f t="shared" si="51"/>
        <v>0</v>
      </c>
      <c r="AK14" s="1535">
        <f t="shared" si="52"/>
        <v>0</v>
      </c>
    </row>
    <row r="15" spans="1:37" ht="16.2" customHeight="1">
      <c r="A15" s="1176">
        <v>9</v>
      </c>
      <c r="B15" s="1177" t="s">
        <v>89</v>
      </c>
      <c r="C15" s="1178">
        <f>+'Table 8 Membership 2.1.14'!N11</f>
        <v>0</v>
      </c>
      <c r="D15" s="1179">
        <f>+'Table 5C1A-Madison Prep'!D15</f>
        <v>4632.4615072045008</v>
      </c>
      <c r="E15" s="1180">
        <f t="shared" si="32"/>
        <v>0</v>
      </c>
      <c r="F15" s="1180">
        <f>+'Table 5C1A-Madison Prep'!F15</f>
        <v>744.76</v>
      </c>
      <c r="G15" s="1180">
        <f t="shared" si="33"/>
        <v>0</v>
      </c>
      <c r="H15" s="1539">
        <f t="shared" si="34"/>
        <v>0</v>
      </c>
      <c r="I15" s="1181"/>
      <c r="J15" s="1181"/>
      <c r="K15" s="1182">
        <f t="shared" si="35"/>
        <v>0</v>
      </c>
      <c r="L15" s="1539">
        <f t="shared" si="36"/>
        <v>0</v>
      </c>
      <c r="M15" s="1388">
        <f t="shared" si="37"/>
        <v>0</v>
      </c>
      <c r="N15" s="1539">
        <f t="shared" si="38"/>
        <v>0</v>
      </c>
      <c r="O15" s="1179">
        <v>0</v>
      </c>
      <c r="P15" s="1539">
        <f t="shared" si="39"/>
        <v>0</v>
      </c>
      <c r="Q15" s="1179"/>
      <c r="R15" s="1179">
        <f t="shared" si="40"/>
        <v>0</v>
      </c>
      <c r="S15" s="1539">
        <f t="shared" si="30"/>
        <v>0</v>
      </c>
      <c r="T15" s="1539">
        <f t="shared" si="41"/>
        <v>0</v>
      </c>
      <c r="U15" s="1397">
        <f>'Table 5C1A-Madison Prep'!U15</f>
        <v>4828</v>
      </c>
      <c r="V15" s="1510">
        <f t="shared" si="31"/>
        <v>0</v>
      </c>
      <c r="W15" s="1391"/>
      <c r="X15" s="1392">
        <f t="shared" si="42"/>
        <v>0</v>
      </c>
      <c r="Y15" s="1391"/>
      <c r="Z15" s="1392">
        <f t="shared" si="43"/>
        <v>0</v>
      </c>
      <c r="AA15" s="1390">
        <f t="shared" si="44"/>
        <v>0</v>
      </c>
      <c r="AB15" s="1510">
        <f t="shared" si="45"/>
        <v>0</v>
      </c>
      <c r="AC15" s="1394">
        <f t="shared" si="46"/>
        <v>0</v>
      </c>
      <c r="AD15" s="1510">
        <f t="shared" si="47"/>
        <v>0</v>
      </c>
      <c r="AE15" s="1395">
        <v>0</v>
      </c>
      <c r="AF15" s="1510">
        <f t="shared" si="48"/>
        <v>0</v>
      </c>
      <c r="AG15" s="1392"/>
      <c r="AH15" s="1392">
        <f t="shared" si="49"/>
        <v>0</v>
      </c>
      <c r="AI15" s="1510">
        <f t="shared" si="50"/>
        <v>0</v>
      </c>
      <c r="AJ15" s="1505">
        <f t="shared" si="51"/>
        <v>0</v>
      </c>
      <c r="AK15" s="1535">
        <f t="shared" si="52"/>
        <v>0</v>
      </c>
    </row>
    <row r="16" spans="1:37" ht="16.2" customHeight="1">
      <c r="A16" s="1168">
        <v>10</v>
      </c>
      <c r="B16" s="1169" t="s">
        <v>90</v>
      </c>
      <c r="C16" s="1170">
        <f>+'Table 8 Membership 2.1.14'!N12</f>
        <v>0</v>
      </c>
      <c r="D16" s="1171">
        <f>+'Table 5C1A-Madison Prep'!D16</f>
        <v>4384.374733918472</v>
      </c>
      <c r="E16" s="1172">
        <f t="shared" si="32"/>
        <v>0</v>
      </c>
      <c r="F16" s="1172">
        <f>+'Table 5C1A-Madison Prep'!F16</f>
        <v>608.04000000000008</v>
      </c>
      <c r="G16" s="1172">
        <f t="shared" si="33"/>
        <v>0</v>
      </c>
      <c r="H16" s="1540">
        <f t="shared" si="34"/>
        <v>0</v>
      </c>
      <c r="I16" s="1173"/>
      <c r="J16" s="1173"/>
      <c r="K16" s="1174">
        <f t="shared" si="35"/>
        <v>0</v>
      </c>
      <c r="L16" s="1540">
        <f t="shared" si="36"/>
        <v>0</v>
      </c>
      <c r="M16" s="1399">
        <f t="shared" si="37"/>
        <v>0</v>
      </c>
      <c r="N16" s="1540">
        <f t="shared" si="38"/>
        <v>0</v>
      </c>
      <c r="O16" s="1171">
        <v>0</v>
      </c>
      <c r="P16" s="1540">
        <f t="shared" si="39"/>
        <v>0</v>
      </c>
      <c r="Q16" s="1386"/>
      <c r="R16" s="1171">
        <f t="shared" si="40"/>
        <v>0</v>
      </c>
      <c r="S16" s="1553">
        <f t="shared" si="30"/>
        <v>0</v>
      </c>
      <c r="T16" s="1553">
        <f t="shared" si="41"/>
        <v>0</v>
      </c>
      <c r="U16" s="1387">
        <f>'Table 5C1A-Madison Prep'!U16</f>
        <v>4565</v>
      </c>
      <c r="V16" s="1511">
        <f t="shared" si="31"/>
        <v>0</v>
      </c>
      <c r="W16" s="1400"/>
      <c r="X16" s="1383">
        <f t="shared" si="42"/>
        <v>0</v>
      </c>
      <c r="Y16" s="1400"/>
      <c r="Z16" s="1383">
        <f t="shared" si="43"/>
        <v>0</v>
      </c>
      <c r="AA16" s="1384">
        <f t="shared" si="44"/>
        <v>0</v>
      </c>
      <c r="AB16" s="1511">
        <f t="shared" si="45"/>
        <v>0</v>
      </c>
      <c r="AC16" s="1402">
        <f t="shared" si="46"/>
        <v>0</v>
      </c>
      <c r="AD16" s="1511">
        <f t="shared" si="47"/>
        <v>0</v>
      </c>
      <c r="AE16" s="1385">
        <v>0</v>
      </c>
      <c r="AF16" s="1511">
        <f t="shared" si="48"/>
        <v>0</v>
      </c>
      <c r="AG16" s="1383"/>
      <c r="AH16" s="1383">
        <f t="shared" si="49"/>
        <v>0</v>
      </c>
      <c r="AI16" s="1511">
        <f t="shared" si="50"/>
        <v>0</v>
      </c>
      <c r="AJ16" s="1531">
        <f t="shared" si="51"/>
        <v>0</v>
      </c>
      <c r="AK16" s="1536">
        <f t="shared" si="52"/>
        <v>0</v>
      </c>
    </row>
    <row r="17" spans="1:37" ht="16.2" customHeight="1">
      <c r="A17" s="1183">
        <v>11</v>
      </c>
      <c r="B17" s="1184" t="s">
        <v>91</v>
      </c>
      <c r="C17" s="1185">
        <f>+'Table 8 Membership 2.1.14'!N13</f>
        <v>0</v>
      </c>
      <c r="D17" s="1186">
        <f>+'Table 5C1A-Madison Prep'!D17</f>
        <v>7098.5372236353351</v>
      </c>
      <c r="E17" s="1187">
        <f t="shared" si="32"/>
        <v>0</v>
      </c>
      <c r="F17" s="1187">
        <f>+'Table 5C1A-Madison Prep'!F17</f>
        <v>706.55</v>
      </c>
      <c r="G17" s="1187">
        <f t="shared" si="33"/>
        <v>0</v>
      </c>
      <c r="H17" s="1538">
        <f t="shared" si="34"/>
        <v>0</v>
      </c>
      <c r="I17" s="1188"/>
      <c r="J17" s="1188"/>
      <c r="K17" s="1189">
        <f t="shared" si="35"/>
        <v>0</v>
      </c>
      <c r="L17" s="1538">
        <f t="shared" si="36"/>
        <v>0</v>
      </c>
      <c r="M17" s="1372">
        <f t="shared" si="37"/>
        <v>0</v>
      </c>
      <c r="N17" s="1538">
        <f t="shared" si="38"/>
        <v>0</v>
      </c>
      <c r="O17" s="1186">
        <v>0</v>
      </c>
      <c r="P17" s="1538">
        <f t="shared" si="39"/>
        <v>0</v>
      </c>
      <c r="Q17" s="1186"/>
      <c r="R17" s="1186">
        <f t="shared" si="40"/>
        <v>0</v>
      </c>
      <c r="S17" s="1538">
        <f t="shared" si="30"/>
        <v>0</v>
      </c>
      <c r="T17" s="1538">
        <f t="shared" si="41"/>
        <v>0</v>
      </c>
      <c r="U17" s="1381">
        <f>'Table 5C1A-Madison Prep'!U17</f>
        <v>3587</v>
      </c>
      <c r="V17" s="1509">
        <f t="shared" si="31"/>
        <v>0</v>
      </c>
      <c r="W17" s="1375"/>
      <c r="X17" s="1376">
        <f t="shared" si="42"/>
        <v>0</v>
      </c>
      <c r="Y17" s="1375"/>
      <c r="Z17" s="1376">
        <f t="shared" si="43"/>
        <v>0</v>
      </c>
      <c r="AA17" s="1374">
        <f t="shared" si="44"/>
        <v>0</v>
      </c>
      <c r="AB17" s="1509">
        <f t="shared" si="45"/>
        <v>0</v>
      </c>
      <c r="AC17" s="1378">
        <f t="shared" si="46"/>
        <v>0</v>
      </c>
      <c r="AD17" s="1509">
        <f t="shared" si="47"/>
        <v>0</v>
      </c>
      <c r="AE17" s="1379">
        <v>0</v>
      </c>
      <c r="AF17" s="1509">
        <f t="shared" si="48"/>
        <v>0</v>
      </c>
      <c r="AG17" s="1376"/>
      <c r="AH17" s="1376">
        <f t="shared" si="49"/>
        <v>0</v>
      </c>
      <c r="AI17" s="1509">
        <f t="shared" si="50"/>
        <v>0</v>
      </c>
      <c r="AJ17" s="1530">
        <f t="shared" si="51"/>
        <v>0</v>
      </c>
      <c r="AK17" s="1534">
        <f t="shared" si="52"/>
        <v>0</v>
      </c>
    </row>
    <row r="18" spans="1:37" ht="16.2" customHeight="1">
      <c r="A18" s="1176">
        <v>12</v>
      </c>
      <c r="B18" s="1177" t="s">
        <v>92</v>
      </c>
      <c r="C18" s="1178">
        <f>+'Table 8 Membership 2.1.14'!N14</f>
        <v>0</v>
      </c>
      <c r="D18" s="1179">
        <f>+'Table 5C1A-Madison Prep'!D18</f>
        <v>1666.6040983606558</v>
      </c>
      <c r="E18" s="1180">
        <f t="shared" si="32"/>
        <v>0</v>
      </c>
      <c r="F18" s="1180">
        <f>+'Table 5C1A-Madison Prep'!F18</f>
        <v>1063.31</v>
      </c>
      <c r="G18" s="1180">
        <f t="shared" si="33"/>
        <v>0</v>
      </c>
      <c r="H18" s="1539">
        <f t="shared" si="34"/>
        <v>0</v>
      </c>
      <c r="I18" s="1181"/>
      <c r="J18" s="1181"/>
      <c r="K18" s="1182">
        <f t="shared" si="35"/>
        <v>0</v>
      </c>
      <c r="L18" s="1539">
        <f t="shared" si="36"/>
        <v>0</v>
      </c>
      <c r="M18" s="1388">
        <f t="shared" si="37"/>
        <v>0</v>
      </c>
      <c r="N18" s="1539">
        <f t="shared" si="38"/>
        <v>0</v>
      </c>
      <c r="O18" s="1179">
        <v>0</v>
      </c>
      <c r="P18" s="1539">
        <f t="shared" si="39"/>
        <v>0</v>
      </c>
      <c r="Q18" s="1179"/>
      <c r="R18" s="1179">
        <f t="shared" si="40"/>
        <v>0</v>
      </c>
      <c r="S18" s="1539">
        <f t="shared" si="30"/>
        <v>0</v>
      </c>
      <c r="T18" s="1539">
        <f t="shared" si="41"/>
        <v>0</v>
      </c>
      <c r="U18" s="1397">
        <f>'Table 5C1A-Madison Prep'!U18</f>
        <v>8094</v>
      </c>
      <c r="V18" s="1510">
        <f t="shared" si="31"/>
        <v>0</v>
      </c>
      <c r="W18" s="1391"/>
      <c r="X18" s="1392">
        <f t="shared" si="42"/>
        <v>0</v>
      </c>
      <c r="Y18" s="1391"/>
      <c r="Z18" s="1392">
        <f t="shared" si="43"/>
        <v>0</v>
      </c>
      <c r="AA18" s="1390">
        <f t="shared" si="44"/>
        <v>0</v>
      </c>
      <c r="AB18" s="1510">
        <f t="shared" si="45"/>
        <v>0</v>
      </c>
      <c r="AC18" s="1394">
        <f t="shared" si="46"/>
        <v>0</v>
      </c>
      <c r="AD18" s="1510">
        <f t="shared" si="47"/>
        <v>0</v>
      </c>
      <c r="AE18" s="1395">
        <v>0</v>
      </c>
      <c r="AF18" s="1510">
        <f t="shared" si="48"/>
        <v>0</v>
      </c>
      <c r="AG18" s="1392"/>
      <c r="AH18" s="1392">
        <f t="shared" si="49"/>
        <v>0</v>
      </c>
      <c r="AI18" s="1510">
        <f t="shared" si="50"/>
        <v>0</v>
      </c>
      <c r="AJ18" s="1505">
        <f t="shared" si="51"/>
        <v>0</v>
      </c>
      <c r="AK18" s="1535">
        <f t="shared" si="52"/>
        <v>0</v>
      </c>
    </row>
    <row r="19" spans="1:37" ht="16.2" customHeight="1">
      <c r="A19" s="1176">
        <v>13</v>
      </c>
      <c r="B19" s="1177" t="s">
        <v>93</v>
      </c>
      <c r="C19" s="1178">
        <f>+'Table 8 Membership 2.1.14'!N15</f>
        <v>0</v>
      </c>
      <c r="D19" s="1179">
        <f>+'Table 5C1A-Madison Prep'!D19</f>
        <v>6433.6297758332212</v>
      </c>
      <c r="E19" s="1180">
        <f t="shared" si="32"/>
        <v>0</v>
      </c>
      <c r="F19" s="1180">
        <f>+'Table 5C1A-Madison Prep'!F19</f>
        <v>749.43000000000006</v>
      </c>
      <c r="G19" s="1180">
        <f t="shared" si="33"/>
        <v>0</v>
      </c>
      <c r="H19" s="1539">
        <f t="shared" si="34"/>
        <v>0</v>
      </c>
      <c r="I19" s="1181"/>
      <c r="J19" s="1181"/>
      <c r="K19" s="1182">
        <f t="shared" si="35"/>
        <v>0</v>
      </c>
      <c r="L19" s="1539">
        <f t="shared" si="36"/>
        <v>0</v>
      </c>
      <c r="M19" s="1388">
        <f t="shared" si="37"/>
        <v>0</v>
      </c>
      <c r="N19" s="1539">
        <f t="shared" si="38"/>
        <v>0</v>
      </c>
      <c r="O19" s="1179">
        <v>0</v>
      </c>
      <c r="P19" s="1539">
        <f t="shared" si="39"/>
        <v>0</v>
      </c>
      <c r="Q19" s="1179"/>
      <c r="R19" s="1179">
        <f t="shared" si="40"/>
        <v>0</v>
      </c>
      <c r="S19" s="1539">
        <f t="shared" si="30"/>
        <v>0</v>
      </c>
      <c r="T19" s="1539">
        <f t="shared" si="41"/>
        <v>0</v>
      </c>
      <c r="U19" s="1397">
        <f>'Table 5C1A-Madison Prep'!U19</f>
        <v>2842</v>
      </c>
      <c r="V19" s="1510">
        <f t="shared" si="31"/>
        <v>0</v>
      </c>
      <c r="W19" s="1391"/>
      <c r="X19" s="1392">
        <f t="shared" si="42"/>
        <v>0</v>
      </c>
      <c r="Y19" s="1391"/>
      <c r="Z19" s="1392">
        <f t="shared" si="43"/>
        <v>0</v>
      </c>
      <c r="AA19" s="1390">
        <f t="shared" si="44"/>
        <v>0</v>
      </c>
      <c r="AB19" s="1510">
        <f t="shared" si="45"/>
        <v>0</v>
      </c>
      <c r="AC19" s="1394">
        <f t="shared" si="46"/>
        <v>0</v>
      </c>
      <c r="AD19" s="1510">
        <f t="shared" si="47"/>
        <v>0</v>
      </c>
      <c r="AE19" s="1395">
        <v>0</v>
      </c>
      <c r="AF19" s="1510">
        <f t="shared" si="48"/>
        <v>0</v>
      </c>
      <c r="AG19" s="1392"/>
      <c r="AH19" s="1392">
        <f t="shared" si="49"/>
        <v>0</v>
      </c>
      <c r="AI19" s="1510">
        <f t="shared" si="50"/>
        <v>0</v>
      </c>
      <c r="AJ19" s="1505">
        <f t="shared" si="51"/>
        <v>0</v>
      </c>
      <c r="AK19" s="1535">
        <f t="shared" si="52"/>
        <v>0</v>
      </c>
    </row>
    <row r="20" spans="1:37" ht="16.2" customHeight="1">
      <c r="A20" s="1176">
        <v>14</v>
      </c>
      <c r="B20" s="1177" t="s">
        <v>94</v>
      </c>
      <c r="C20" s="1178">
        <f>+'Table 8 Membership 2.1.14'!N16</f>
        <v>0</v>
      </c>
      <c r="D20" s="1179">
        <f>+'Table 5C1A-Madison Prep'!D20</f>
        <v>5334.9509412500001</v>
      </c>
      <c r="E20" s="1180">
        <f t="shared" si="32"/>
        <v>0</v>
      </c>
      <c r="F20" s="1180">
        <f>+'Table 5C1A-Madison Prep'!F20</f>
        <v>809.9799999999999</v>
      </c>
      <c r="G20" s="1180">
        <f t="shared" si="33"/>
        <v>0</v>
      </c>
      <c r="H20" s="1539">
        <f t="shared" si="34"/>
        <v>0</v>
      </c>
      <c r="I20" s="1181"/>
      <c r="J20" s="1181"/>
      <c r="K20" s="1182">
        <f t="shared" si="35"/>
        <v>0</v>
      </c>
      <c r="L20" s="1539">
        <f t="shared" si="36"/>
        <v>0</v>
      </c>
      <c r="M20" s="1388">
        <f t="shared" si="37"/>
        <v>0</v>
      </c>
      <c r="N20" s="1539">
        <f t="shared" si="38"/>
        <v>0</v>
      </c>
      <c r="O20" s="1179">
        <v>0</v>
      </c>
      <c r="P20" s="1539">
        <f t="shared" si="39"/>
        <v>0</v>
      </c>
      <c r="Q20" s="1179"/>
      <c r="R20" s="1179">
        <f t="shared" si="40"/>
        <v>0</v>
      </c>
      <c r="S20" s="1539">
        <f t="shared" si="30"/>
        <v>0</v>
      </c>
      <c r="T20" s="1539">
        <f t="shared" si="41"/>
        <v>0</v>
      </c>
      <c r="U20" s="1397">
        <f>'Table 5C1A-Madison Prep'!U20</f>
        <v>4205</v>
      </c>
      <c r="V20" s="1510">
        <f t="shared" si="31"/>
        <v>0</v>
      </c>
      <c r="W20" s="1391"/>
      <c r="X20" s="1392">
        <f t="shared" si="42"/>
        <v>0</v>
      </c>
      <c r="Y20" s="1391"/>
      <c r="Z20" s="1392">
        <f t="shared" si="43"/>
        <v>0</v>
      </c>
      <c r="AA20" s="1390">
        <f t="shared" si="44"/>
        <v>0</v>
      </c>
      <c r="AB20" s="1510">
        <f t="shared" si="45"/>
        <v>0</v>
      </c>
      <c r="AC20" s="1394">
        <f t="shared" si="46"/>
        <v>0</v>
      </c>
      <c r="AD20" s="1510">
        <f t="shared" si="47"/>
        <v>0</v>
      </c>
      <c r="AE20" s="1395">
        <v>0</v>
      </c>
      <c r="AF20" s="1510">
        <f t="shared" si="48"/>
        <v>0</v>
      </c>
      <c r="AG20" s="1392"/>
      <c r="AH20" s="1392">
        <f t="shared" si="49"/>
        <v>0</v>
      </c>
      <c r="AI20" s="1510">
        <f t="shared" si="50"/>
        <v>0</v>
      </c>
      <c r="AJ20" s="1505">
        <f t="shared" si="51"/>
        <v>0</v>
      </c>
      <c r="AK20" s="1535">
        <f t="shared" si="52"/>
        <v>0</v>
      </c>
    </row>
    <row r="21" spans="1:37" ht="16.2" customHeight="1">
      <c r="A21" s="1168">
        <v>15</v>
      </c>
      <c r="B21" s="1169" t="s">
        <v>95</v>
      </c>
      <c r="C21" s="1170">
        <f>+'Table 8 Membership 2.1.14'!N17</f>
        <v>0</v>
      </c>
      <c r="D21" s="1171">
        <f>+'Table 5C1A-Madison Prep'!D21</f>
        <v>5749.8285214059952</v>
      </c>
      <c r="E21" s="1172">
        <f t="shared" si="32"/>
        <v>0</v>
      </c>
      <c r="F21" s="1172">
        <f>+'Table 5C1A-Madison Prep'!F21</f>
        <v>553.79999999999995</v>
      </c>
      <c r="G21" s="1172">
        <f t="shared" si="33"/>
        <v>0</v>
      </c>
      <c r="H21" s="1540">
        <f t="shared" si="34"/>
        <v>0</v>
      </c>
      <c r="I21" s="1173"/>
      <c r="J21" s="1173"/>
      <c r="K21" s="1174">
        <f t="shared" si="35"/>
        <v>0</v>
      </c>
      <c r="L21" s="1540">
        <f t="shared" si="36"/>
        <v>0</v>
      </c>
      <c r="M21" s="1399">
        <f t="shared" si="37"/>
        <v>0</v>
      </c>
      <c r="N21" s="1540">
        <f t="shared" si="38"/>
        <v>0</v>
      </c>
      <c r="O21" s="1171">
        <v>0</v>
      </c>
      <c r="P21" s="1540">
        <f t="shared" si="39"/>
        <v>0</v>
      </c>
      <c r="Q21" s="1386"/>
      <c r="R21" s="1171">
        <f t="shared" si="40"/>
        <v>0</v>
      </c>
      <c r="S21" s="1553">
        <f t="shared" si="30"/>
        <v>0</v>
      </c>
      <c r="T21" s="1553">
        <f t="shared" si="41"/>
        <v>0</v>
      </c>
      <c r="U21" s="1387">
        <f>'Table 5C1A-Madison Prep'!U21</f>
        <v>2535</v>
      </c>
      <c r="V21" s="1511">
        <f t="shared" si="31"/>
        <v>0</v>
      </c>
      <c r="W21" s="1400"/>
      <c r="X21" s="1383">
        <f t="shared" si="42"/>
        <v>0</v>
      </c>
      <c r="Y21" s="1400"/>
      <c r="Z21" s="1383">
        <f t="shared" si="43"/>
        <v>0</v>
      </c>
      <c r="AA21" s="1384">
        <f t="shared" si="44"/>
        <v>0</v>
      </c>
      <c r="AB21" s="1511">
        <f t="shared" si="45"/>
        <v>0</v>
      </c>
      <c r="AC21" s="1402">
        <f t="shared" si="46"/>
        <v>0</v>
      </c>
      <c r="AD21" s="1511">
        <f t="shared" si="47"/>
        <v>0</v>
      </c>
      <c r="AE21" s="1385">
        <v>0</v>
      </c>
      <c r="AF21" s="1511">
        <f t="shared" si="48"/>
        <v>0</v>
      </c>
      <c r="AG21" s="1383"/>
      <c r="AH21" s="1383">
        <f t="shared" si="49"/>
        <v>0</v>
      </c>
      <c r="AI21" s="1511">
        <f t="shared" si="50"/>
        <v>0</v>
      </c>
      <c r="AJ21" s="1531">
        <f t="shared" si="51"/>
        <v>0</v>
      </c>
      <c r="AK21" s="1536">
        <f t="shared" si="52"/>
        <v>0</v>
      </c>
    </row>
    <row r="22" spans="1:37" ht="16.2" customHeight="1">
      <c r="A22" s="1183">
        <v>16</v>
      </c>
      <c r="B22" s="1184" t="s">
        <v>96</v>
      </c>
      <c r="C22" s="1185">
        <f>+'Table 8 Membership 2.1.14'!N18</f>
        <v>0</v>
      </c>
      <c r="D22" s="1186">
        <f>+'Table 5C1A-Madison Prep'!D22</f>
        <v>1980.2494354342025</v>
      </c>
      <c r="E22" s="1187">
        <f t="shared" si="32"/>
        <v>0</v>
      </c>
      <c r="F22" s="1187">
        <f>+'Table 5C1A-Madison Prep'!F22</f>
        <v>686.73</v>
      </c>
      <c r="G22" s="1187">
        <f t="shared" si="33"/>
        <v>0</v>
      </c>
      <c r="H22" s="1538">
        <f t="shared" si="34"/>
        <v>0</v>
      </c>
      <c r="I22" s="1188"/>
      <c r="J22" s="1188"/>
      <c r="K22" s="1189">
        <f t="shared" si="35"/>
        <v>0</v>
      </c>
      <c r="L22" s="1538">
        <f t="shared" si="36"/>
        <v>0</v>
      </c>
      <c r="M22" s="1372">
        <f t="shared" si="37"/>
        <v>0</v>
      </c>
      <c r="N22" s="1538">
        <f t="shared" si="38"/>
        <v>0</v>
      </c>
      <c r="O22" s="1186">
        <v>0</v>
      </c>
      <c r="P22" s="1538">
        <f t="shared" si="39"/>
        <v>0</v>
      </c>
      <c r="Q22" s="1186"/>
      <c r="R22" s="1186">
        <f t="shared" si="40"/>
        <v>0</v>
      </c>
      <c r="S22" s="1538">
        <f t="shared" si="30"/>
        <v>0</v>
      </c>
      <c r="T22" s="1538">
        <f t="shared" si="41"/>
        <v>0</v>
      </c>
      <c r="U22" s="1381">
        <f>'Table 5C1A-Madison Prep'!U22</f>
        <v>12768</v>
      </c>
      <c r="V22" s="1509">
        <f t="shared" si="31"/>
        <v>0</v>
      </c>
      <c r="W22" s="1375"/>
      <c r="X22" s="1376">
        <f t="shared" si="42"/>
        <v>0</v>
      </c>
      <c r="Y22" s="1375"/>
      <c r="Z22" s="1376">
        <f t="shared" si="43"/>
        <v>0</v>
      </c>
      <c r="AA22" s="1374">
        <f t="shared" si="44"/>
        <v>0</v>
      </c>
      <c r="AB22" s="1509">
        <f t="shared" si="45"/>
        <v>0</v>
      </c>
      <c r="AC22" s="1378">
        <f t="shared" si="46"/>
        <v>0</v>
      </c>
      <c r="AD22" s="1509">
        <f t="shared" si="47"/>
        <v>0</v>
      </c>
      <c r="AE22" s="1379">
        <v>0</v>
      </c>
      <c r="AF22" s="1509">
        <f t="shared" si="48"/>
        <v>0</v>
      </c>
      <c r="AG22" s="1376"/>
      <c r="AH22" s="1376">
        <f t="shared" si="49"/>
        <v>0</v>
      </c>
      <c r="AI22" s="1509">
        <f t="shared" si="50"/>
        <v>0</v>
      </c>
      <c r="AJ22" s="1530">
        <f t="shared" si="51"/>
        <v>0</v>
      </c>
      <c r="AK22" s="1534">
        <f t="shared" si="52"/>
        <v>0</v>
      </c>
    </row>
    <row r="23" spans="1:37" ht="16.2" customHeight="1">
      <c r="A23" s="1176">
        <v>17</v>
      </c>
      <c r="B23" s="1177" t="s">
        <v>97</v>
      </c>
      <c r="C23" s="1178">
        <f>+'Table 8 Membership 2.1.14'!N19</f>
        <v>0</v>
      </c>
      <c r="D23" s="1179">
        <f>+'Table 5C1A-Madison Prep'!D23</f>
        <v>3363.5980368254495</v>
      </c>
      <c r="E23" s="1180">
        <f t="shared" si="32"/>
        <v>0</v>
      </c>
      <c r="F23" s="1180">
        <f>+'Table 5C1A-Madison Prep'!F23</f>
        <v>801.47762416806802</v>
      </c>
      <c r="G23" s="1180">
        <f t="shared" si="33"/>
        <v>0</v>
      </c>
      <c r="H23" s="1539">
        <f t="shared" si="34"/>
        <v>0</v>
      </c>
      <c r="I23" s="1181"/>
      <c r="J23" s="1181"/>
      <c r="K23" s="1182">
        <f t="shared" si="35"/>
        <v>0</v>
      </c>
      <c r="L23" s="1539">
        <f t="shared" si="36"/>
        <v>0</v>
      </c>
      <c r="M23" s="1388">
        <f t="shared" si="37"/>
        <v>0</v>
      </c>
      <c r="N23" s="1539">
        <f t="shared" si="38"/>
        <v>0</v>
      </c>
      <c r="O23" s="1179">
        <v>0</v>
      </c>
      <c r="P23" s="1539">
        <f t="shared" si="39"/>
        <v>0</v>
      </c>
      <c r="Q23" s="1179"/>
      <c r="R23" s="1179">
        <f t="shared" si="40"/>
        <v>0</v>
      </c>
      <c r="S23" s="1539">
        <f t="shared" si="30"/>
        <v>0</v>
      </c>
      <c r="T23" s="1539">
        <f t="shared" si="41"/>
        <v>0</v>
      </c>
      <c r="U23" s="1397">
        <f>'Table 5C1A-Madison Prep'!U23</f>
        <v>7050</v>
      </c>
      <c r="V23" s="1510">
        <f t="shared" si="31"/>
        <v>0</v>
      </c>
      <c r="W23" s="1391"/>
      <c r="X23" s="1392">
        <f t="shared" si="42"/>
        <v>0</v>
      </c>
      <c r="Y23" s="1391"/>
      <c r="Z23" s="1392">
        <f t="shared" si="43"/>
        <v>0</v>
      </c>
      <c r="AA23" s="1390">
        <f t="shared" si="44"/>
        <v>0</v>
      </c>
      <c r="AB23" s="1510">
        <f t="shared" si="45"/>
        <v>0</v>
      </c>
      <c r="AC23" s="1394">
        <f t="shared" si="46"/>
        <v>0</v>
      </c>
      <c r="AD23" s="1510">
        <f t="shared" si="47"/>
        <v>0</v>
      </c>
      <c r="AE23" s="1395">
        <v>0</v>
      </c>
      <c r="AF23" s="1510">
        <f t="shared" si="48"/>
        <v>0</v>
      </c>
      <c r="AG23" s="1392"/>
      <c r="AH23" s="1392">
        <f t="shared" si="49"/>
        <v>0</v>
      </c>
      <c r="AI23" s="1510">
        <f t="shared" si="50"/>
        <v>0</v>
      </c>
      <c r="AJ23" s="1505">
        <f t="shared" si="51"/>
        <v>0</v>
      </c>
      <c r="AK23" s="1535">
        <f t="shared" si="52"/>
        <v>0</v>
      </c>
    </row>
    <row r="24" spans="1:37" ht="16.2" customHeight="1">
      <c r="A24" s="1176">
        <v>18</v>
      </c>
      <c r="B24" s="1177" t="s">
        <v>98</v>
      </c>
      <c r="C24" s="1178">
        <f>+'Table 8 Membership 2.1.14'!N20</f>
        <v>0</v>
      </c>
      <c r="D24" s="1179">
        <f>+'Table 5C1A-Madison Prep'!D24</f>
        <v>6354.5533500475731</v>
      </c>
      <c r="E24" s="1180">
        <f t="shared" si="32"/>
        <v>0</v>
      </c>
      <c r="F24" s="1180">
        <f>+'Table 5C1A-Madison Prep'!F24</f>
        <v>845.94999999999993</v>
      </c>
      <c r="G24" s="1180">
        <f t="shared" si="33"/>
        <v>0</v>
      </c>
      <c r="H24" s="1539">
        <f t="shared" si="34"/>
        <v>0</v>
      </c>
      <c r="I24" s="1181"/>
      <c r="J24" s="1181"/>
      <c r="K24" s="1182">
        <f t="shared" si="35"/>
        <v>0</v>
      </c>
      <c r="L24" s="1539">
        <f t="shared" si="36"/>
        <v>0</v>
      </c>
      <c r="M24" s="1388">
        <f t="shared" si="37"/>
        <v>0</v>
      </c>
      <c r="N24" s="1539">
        <f t="shared" si="38"/>
        <v>0</v>
      </c>
      <c r="O24" s="1179">
        <v>0</v>
      </c>
      <c r="P24" s="1539">
        <f t="shared" si="39"/>
        <v>0</v>
      </c>
      <c r="Q24" s="1179"/>
      <c r="R24" s="1179">
        <f t="shared" si="40"/>
        <v>0</v>
      </c>
      <c r="S24" s="1539">
        <f t="shared" si="30"/>
        <v>0</v>
      </c>
      <c r="T24" s="1539">
        <f t="shared" si="41"/>
        <v>0</v>
      </c>
      <c r="U24" s="1397">
        <f>'Table 5C1A-Madison Prep'!U24</f>
        <v>2526</v>
      </c>
      <c r="V24" s="1510">
        <f t="shared" si="31"/>
        <v>0</v>
      </c>
      <c r="W24" s="1391"/>
      <c r="X24" s="1392">
        <f t="shared" si="42"/>
        <v>0</v>
      </c>
      <c r="Y24" s="1391"/>
      <c r="Z24" s="1392">
        <f t="shared" si="43"/>
        <v>0</v>
      </c>
      <c r="AA24" s="1390">
        <f t="shared" si="44"/>
        <v>0</v>
      </c>
      <c r="AB24" s="1510">
        <f t="shared" si="45"/>
        <v>0</v>
      </c>
      <c r="AC24" s="1394">
        <f t="shared" si="46"/>
        <v>0</v>
      </c>
      <c r="AD24" s="1510">
        <f t="shared" si="47"/>
        <v>0</v>
      </c>
      <c r="AE24" s="1395">
        <v>0</v>
      </c>
      <c r="AF24" s="1510">
        <f t="shared" si="48"/>
        <v>0</v>
      </c>
      <c r="AG24" s="1392"/>
      <c r="AH24" s="1392">
        <f t="shared" si="49"/>
        <v>0</v>
      </c>
      <c r="AI24" s="1510">
        <f t="shared" si="50"/>
        <v>0</v>
      </c>
      <c r="AJ24" s="1505">
        <f t="shared" si="51"/>
        <v>0</v>
      </c>
      <c r="AK24" s="1535">
        <f t="shared" si="52"/>
        <v>0</v>
      </c>
    </row>
    <row r="25" spans="1:37" ht="16.2" customHeight="1">
      <c r="A25" s="1176">
        <v>19</v>
      </c>
      <c r="B25" s="1177" t="s">
        <v>99</v>
      </c>
      <c r="C25" s="1178">
        <f>+'Table 8 Membership 2.1.14'!N21</f>
        <v>0</v>
      </c>
      <c r="D25" s="1179">
        <f>+'Table 5C1A-Madison Prep'!D25</f>
        <v>5314.3921869460446</v>
      </c>
      <c r="E25" s="1180">
        <f t="shared" si="32"/>
        <v>0</v>
      </c>
      <c r="F25" s="1180">
        <f>+'Table 5C1A-Madison Prep'!F25</f>
        <v>905.43</v>
      </c>
      <c r="G25" s="1180">
        <f t="shared" si="33"/>
        <v>0</v>
      </c>
      <c r="H25" s="1539">
        <f t="shared" si="34"/>
        <v>0</v>
      </c>
      <c r="I25" s="1181"/>
      <c r="J25" s="1181"/>
      <c r="K25" s="1182">
        <f t="shared" si="35"/>
        <v>0</v>
      </c>
      <c r="L25" s="1539">
        <f t="shared" si="36"/>
        <v>0</v>
      </c>
      <c r="M25" s="1388">
        <f t="shared" si="37"/>
        <v>0</v>
      </c>
      <c r="N25" s="1539">
        <f t="shared" si="38"/>
        <v>0</v>
      </c>
      <c r="O25" s="1179">
        <v>0</v>
      </c>
      <c r="P25" s="1539">
        <f t="shared" si="39"/>
        <v>0</v>
      </c>
      <c r="Q25" s="1179"/>
      <c r="R25" s="1179">
        <f t="shared" si="40"/>
        <v>0</v>
      </c>
      <c r="S25" s="1539">
        <f t="shared" si="30"/>
        <v>0</v>
      </c>
      <c r="T25" s="1539">
        <f t="shared" si="41"/>
        <v>0</v>
      </c>
      <c r="U25" s="1397">
        <f>'Table 5C1A-Madison Prep'!U25</f>
        <v>2908</v>
      </c>
      <c r="V25" s="1510">
        <f t="shared" si="31"/>
        <v>0</v>
      </c>
      <c r="W25" s="1391"/>
      <c r="X25" s="1392">
        <f t="shared" si="42"/>
        <v>0</v>
      </c>
      <c r="Y25" s="1391"/>
      <c r="Z25" s="1392">
        <f t="shared" si="43"/>
        <v>0</v>
      </c>
      <c r="AA25" s="1390">
        <f t="shared" si="44"/>
        <v>0</v>
      </c>
      <c r="AB25" s="1510">
        <f t="shared" si="45"/>
        <v>0</v>
      </c>
      <c r="AC25" s="1394">
        <f t="shared" si="46"/>
        <v>0</v>
      </c>
      <c r="AD25" s="1510">
        <f t="shared" si="47"/>
        <v>0</v>
      </c>
      <c r="AE25" s="1395">
        <v>0</v>
      </c>
      <c r="AF25" s="1510">
        <f t="shared" si="48"/>
        <v>0</v>
      </c>
      <c r="AG25" s="1392"/>
      <c r="AH25" s="1392">
        <f t="shared" si="49"/>
        <v>0</v>
      </c>
      <c r="AI25" s="1510">
        <f t="shared" si="50"/>
        <v>0</v>
      </c>
      <c r="AJ25" s="1505">
        <f t="shared" si="51"/>
        <v>0</v>
      </c>
      <c r="AK25" s="1535">
        <f t="shared" si="52"/>
        <v>0</v>
      </c>
    </row>
    <row r="26" spans="1:37" ht="16.2" customHeight="1">
      <c r="A26" s="1168">
        <v>20</v>
      </c>
      <c r="B26" s="1169" t="s">
        <v>100</v>
      </c>
      <c r="C26" s="1170">
        <f>+'Table 8 Membership 2.1.14'!N22</f>
        <v>0</v>
      </c>
      <c r="D26" s="1171">
        <f>+'Table 5C1A-Madison Prep'!D26</f>
        <v>5278.5201565562011</v>
      </c>
      <c r="E26" s="1172">
        <f t="shared" si="32"/>
        <v>0</v>
      </c>
      <c r="F26" s="1172">
        <f>+'Table 5C1A-Madison Prep'!F26</f>
        <v>586.16999999999996</v>
      </c>
      <c r="G26" s="1172">
        <f t="shared" si="33"/>
        <v>0</v>
      </c>
      <c r="H26" s="1540">
        <f t="shared" si="34"/>
        <v>0</v>
      </c>
      <c r="I26" s="1173"/>
      <c r="J26" s="1173"/>
      <c r="K26" s="1174">
        <f t="shared" si="35"/>
        <v>0</v>
      </c>
      <c r="L26" s="1540">
        <f t="shared" si="36"/>
        <v>0</v>
      </c>
      <c r="M26" s="1399">
        <f t="shared" si="37"/>
        <v>0</v>
      </c>
      <c r="N26" s="1540">
        <f t="shared" si="38"/>
        <v>0</v>
      </c>
      <c r="O26" s="1171">
        <v>0</v>
      </c>
      <c r="P26" s="1540">
        <f t="shared" si="39"/>
        <v>0</v>
      </c>
      <c r="Q26" s="1386"/>
      <c r="R26" s="1171">
        <f t="shared" si="40"/>
        <v>0</v>
      </c>
      <c r="S26" s="1553">
        <f t="shared" si="30"/>
        <v>0</v>
      </c>
      <c r="T26" s="1553">
        <f t="shared" si="41"/>
        <v>0</v>
      </c>
      <c r="U26" s="1387">
        <f>'Table 5C1A-Madison Prep'!U26</f>
        <v>2432</v>
      </c>
      <c r="V26" s="1511">
        <f t="shared" si="31"/>
        <v>0</v>
      </c>
      <c r="W26" s="1400"/>
      <c r="X26" s="1383">
        <f t="shared" si="42"/>
        <v>0</v>
      </c>
      <c r="Y26" s="1400"/>
      <c r="Z26" s="1383">
        <f t="shared" si="43"/>
        <v>0</v>
      </c>
      <c r="AA26" s="1384">
        <f t="shared" si="44"/>
        <v>0</v>
      </c>
      <c r="AB26" s="1511">
        <f t="shared" si="45"/>
        <v>0</v>
      </c>
      <c r="AC26" s="1402">
        <f t="shared" si="46"/>
        <v>0</v>
      </c>
      <c r="AD26" s="1511">
        <f t="shared" si="47"/>
        <v>0</v>
      </c>
      <c r="AE26" s="1385">
        <v>0</v>
      </c>
      <c r="AF26" s="1511">
        <f t="shared" si="48"/>
        <v>0</v>
      </c>
      <c r="AG26" s="1383"/>
      <c r="AH26" s="1383">
        <f t="shared" si="49"/>
        <v>0</v>
      </c>
      <c r="AI26" s="1511">
        <f t="shared" si="50"/>
        <v>0</v>
      </c>
      <c r="AJ26" s="1531">
        <f t="shared" si="51"/>
        <v>0</v>
      </c>
      <c r="AK26" s="1536">
        <f t="shared" si="52"/>
        <v>0</v>
      </c>
    </row>
    <row r="27" spans="1:37" ht="16.2" customHeight="1">
      <c r="A27" s="1183">
        <v>21</v>
      </c>
      <c r="B27" s="1184" t="s">
        <v>101</v>
      </c>
      <c r="C27" s="1185">
        <f>+'Table 8 Membership 2.1.14'!N23</f>
        <v>0</v>
      </c>
      <c r="D27" s="1186">
        <f>+'Table 5C1A-Madison Prep'!D27</f>
        <v>6082.3042295867763</v>
      </c>
      <c r="E27" s="1187">
        <f t="shared" si="32"/>
        <v>0</v>
      </c>
      <c r="F27" s="1187">
        <f>+'Table 5C1A-Madison Prep'!F27</f>
        <v>610.35</v>
      </c>
      <c r="G27" s="1187">
        <f t="shared" si="33"/>
        <v>0</v>
      </c>
      <c r="H27" s="1538">
        <f t="shared" si="34"/>
        <v>0</v>
      </c>
      <c r="I27" s="1188"/>
      <c r="J27" s="1188"/>
      <c r="K27" s="1189">
        <f t="shared" si="35"/>
        <v>0</v>
      </c>
      <c r="L27" s="1538">
        <f t="shared" si="36"/>
        <v>0</v>
      </c>
      <c r="M27" s="1372">
        <f t="shared" si="37"/>
        <v>0</v>
      </c>
      <c r="N27" s="1538">
        <f t="shared" si="38"/>
        <v>0</v>
      </c>
      <c r="O27" s="1186">
        <v>0</v>
      </c>
      <c r="P27" s="1538">
        <f t="shared" si="39"/>
        <v>0</v>
      </c>
      <c r="Q27" s="1186"/>
      <c r="R27" s="1186">
        <f t="shared" si="40"/>
        <v>0</v>
      </c>
      <c r="S27" s="1538">
        <f t="shared" si="30"/>
        <v>0</v>
      </c>
      <c r="T27" s="1538">
        <f t="shared" si="41"/>
        <v>0</v>
      </c>
      <c r="U27" s="1381">
        <f>'Table 5C1A-Madison Prep'!U27</f>
        <v>2460</v>
      </c>
      <c r="V27" s="1509">
        <f t="shared" si="31"/>
        <v>0</v>
      </c>
      <c r="W27" s="1375"/>
      <c r="X27" s="1376">
        <f t="shared" si="42"/>
        <v>0</v>
      </c>
      <c r="Y27" s="1375"/>
      <c r="Z27" s="1376">
        <f t="shared" si="43"/>
        <v>0</v>
      </c>
      <c r="AA27" s="1374">
        <f t="shared" si="44"/>
        <v>0</v>
      </c>
      <c r="AB27" s="1509">
        <f t="shared" si="45"/>
        <v>0</v>
      </c>
      <c r="AC27" s="1378">
        <f t="shared" si="46"/>
        <v>0</v>
      </c>
      <c r="AD27" s="1509">
        <f t="shared" si="47"/>
        <v>0</v>
      </c>
      <c r="AE27" s="1379">
        <v>0</v>
      </c>
      <c r="AF27" s="1509">
        <f t="shared" si="48"/>
        <v>0</v>
      </c>
      <c r="AG27" s="1376"/>
      <c r="AH27" s="1376">
        <f t="shared" si="49"/>
        <v>0</v>
      </c>
      <c r="AI27" s="1509">
        <f t="shared" si="50"/>
        <v>0</v>
      </c>
      <c r="AJ27" s="1530">
        <f t="shared" si="51"/>
        <v>0</v>
      </c>
      <c r="AK27" s="1534">
        <f t="shared" si="52"/>
        <v>0</v>
      </c>
    </row>
    <row r="28" spans="1:37" ht="16.2" customHeight="1">
      <c r="A28" s="1176">
        <v>22</v>
      </c>
      <c r="B28" s="1177" t="s">
        <v>102</v>
      </c>
      <c r="C28" s="1178">
        <f>+'Table 8 Membership 2.1.14'!N24</f>
        <v>0</v>
      </c>
      <c r="D28" s="1179">
        <f>+'Table 5C1A-Madison Prep'!D28</f>
        <v>6416.1099808195995</v>
      </c>
      <c r="E28" s="1180">
        <f t="shared" si="32"/>
        <v>0</v>
      </c>
      <c r="F28" s="1180">
        <f>+'Table 5C1A-Madison Prep'!F28</f>
        <v>496.36</v>
      </c>
      <c r="G28" s="1180">
        <f t="shared" si="33"/>
        <v>0</v>
      </c>
      <c r="H28" s="1539">
        <f t="shared" si="34"/>
        <v>0</v>
      </c>
      <c r="I28" s="1181"/>
      <c r="J28" s="1181"/>
      <c r="K28" s="1182">
        <f t="shared" si="35"/>
        <v>0</v>
      </c>
      <c r="L28" s="1539">
        <f t="shared" si="36"/>
        <v>0</v>
      </c>
      <c r="M28" s="1388">
        <f t="shared" si="37"/>
        <v>0</v>
      </c>
      <c r="N28" s="1539">
        <f t="shared" si="38"/>
        <v>0</v>
      </c>
      <c r="O28" s="1179">
        <v>0</v>
      </c>
      <c r="P28" s="1539">
        <f t="shared" si="39"/>
        <v>0</v>
      </c>
      <c r="Q28" s="1179"/>
      <c r="R28" s="1179">
        <f t="shared" si="40"/>
        <v>0</v>
      </c>
      <c r="S28" s="1539">
        <f t="shared" si="30"/>
        <v>0</v>
      </c>
      <c r="T28" s="1539">
        <f t="shared" si="41"/>
        <v>0</v>
      </c>
      <c r="U28" s="1397">
        <f>'Table 5C1A-Madison Prep'!U28</f>
        <v>1613</v>
      </c>
      <c r="V28" s="1510">
        <f t="shared" si="31"/>
        <v>0</v>
      </c>
      <c r="W28" s="1391"/>
      <c r="X28" s="1392">
        <f t="shared" si="42"/>
        <v>0</v>
      </c>
      <c r="Y28" s="1391"/>
      <c r="Z28" s="1392">
        <f t="shared" si="43"/>
        <v>0</v>
      </c>
      <c r="AA28" s="1390">
        <f t="shared" si="44"/>
        <v>0</v>
      </c>
      <c r="AB28" s="1510">
        <f t="shared" si="45"/>
        <v>0</v>
      </c>
      <c r="AC28" s="1394">
        <f t="shared" si="46"/>
        <v>0</v>
      </c>
      <c r="AD28" s="1510">
        <f t="shared" si="47"/>
        <v>0</v>
      </c>
      <c r="AE28" s="1395">
        <v>0</v>
      </c>
      <c r="AF28" s="1510">
        <f t="shared" si="48"/>
        <v>0</v>
      </c>
      <c r="AG28" s="1392"/>
      <c r="AH28" s="1392">
        <f t="shared" si="49"/>
        <v>0</v>
      </c>
      <c r="AI28" s="1510">
        <f t="shared" si="50"/>
        <v>0</v>
      </c>
      <c r="AJ28" s="1505">
        <f t="shared" si="51"/>
        <v>0</v>
      </c>
      <c r="AK28" s="1535">
        <f t="shared" si="52"/>
        <v>0</v>
      </c>
    </row>
    <row r="29" spans="1:37" ht="16.2" customHeight="1">
      <c r="A29" s="1176">
        <v>23</v>
      </c>
      <c r="B29" s="1177" t="s">
        <v>103</v>
      </c>
      <c r="C29" s="1178">
        <f>+'Table 8 Membership 2.1.14'!N25</f>
        <v>0</v>
      </c>
      <c r="D29" s="1179">
        <f>+'Table 5C1A-Madison Prep'!D29</f>
        <v>5011.0215265979159</v>
      </c>
      <c r="E29" s="1180">
        <f t="shared" si="32"/>
        <v>0</v>
      </c>
      <c r="F29" s="1180">
        <f>+'Table 5C1A-Madison Prep'!F29</f>
        <v>688.58</v>
      </c>
      <c r="G29" s="1180">
        <f t="shared" si="33"/>
        <v>0</v>
      </c>
      <c r="H29" s="1539">
        <f t="shared" si="34"/>
        <v>0</v>
      </c>
      <c r="I29" s="1181"/>
      <c r="J29" s="1181"/>
      <c r="K29" s="1182">
        <f t="shared" si="35"/>
        <v>0</v>
      </c>
      <c r="L29" s="1539">
        <f t="shared" si="36"/>
        <v>0</v>
      </c>
      <c r="M29" s="1388">
        <f t="shared" si="37"/>
        <v>0</v>
      </c>
      <c r="N29" s="1539">
        <f t="shared" si="38"/>
        <v>0</v>
      </c>
      <c r="O29" s="1179">
        <v>0</v>
      </c>
      <c r="P29" s="1539">
        <f t="shared" si="39"/>
        <v>0</v>
      </c>
      <c r="Q29" s="1179"/>
      <c r="R29" s="1179">
        <f t="shared" si="40"/>
        <v>0</v>
      </c>
      <c r="S29" s="1539">
        <f t="shared" si="30"/>
        <v>0</v>
      </c>
      <c r="T29" s="1539">
        <f t="shared" si="41"/>
        <v>0</v>
      </c>
      <c r="U29" s="1397">
        <f>'Table 5C1A-Madison Prep'!U29</f>
        <v>3473</v>
      </c>
      <c r="V29" s="1510">
        <f t="shared" si="31"/>
        <v>0</v>
      </c>
      <c r="W29" s="1391"/>
      <c r="X29" s="1392">
        <f t="shared" si="42"/>
        <v>0</v>
      </c>
      <c r="Y29" s="1391"/>
      <c r="Z29" s="1392">
        <f t="shared" si="43"/>
        <v>0</v>
      </c>
      <c r="AA29" s="1390">
        <f t="shared" si="44"/>
        <v>0</v>
      </c>
      <c r="AB29" s="1510">
        <f t="shared" si="45"/>
        <v>0</v>
      </c>
      <c r="AC29" s="1394">
        <f t="shared" si="46"/>
        <v>0</v>
      </c>
      <c r="AD29" s="1510">
        <f t="shared" si="47"/>
        <v>0</v>
      </c>
      <c r="AE29" s="1395">
        <v>0</v>
      </c>
      <c r="AF29" s="1510">
        <f t="shared" si="48"/>
        <v>0</v>
      </c>
      <c r="AG29" s="1392"/>
      <c r="AH29" s="1392">
        <f t="shared" si="49"/>
        <v>0</v>
      </c>
      <c r="AI29" s="1510">
        <f t="shared" si="50"/>
        <v>0</v>
      </c>
      <c r="AJ29" s="1505">
        <f t="shared" si="51"/>
        <v>0</v>
      </c>
      <c r="AK29" s="1535">
        <f t="shared" si="52"/>
        <v>0</v>
      </c>
    </row>
    <row r="30" spans="1:37" ht="16.2" customHeight="1">
      <c r="A30" s="1176">
        <v>24</v>
      </c>
      <c r="B30" s="1177" t="s">
        <v>104</v>
      </c>
      <c r="C30" s="1178">
        <f>+'Table 8 Membership 2.1.14'!N26</f>
        <v>0</v>
      </c>
      <c r="D30" s="1179">
        <f>+'Table 5C1A-Madison Prep'!D30</f>
        <v>2611.6740361576999</v>
      </c>
      <c r="E30" s="1180">
        <f t="shared" si="32"/>
        <v>0</v>
      </c>
      <c r="F30" s="1180">
        <f>+'Table 5C1A-Madison Prep'!F30</f>
        <v>854.24999999999989</v>
      </c>
      <c r="G30" s="1180">
        <f t="shared" si="33"/>
        <v>0</v>
      </c>
      <c r="H30" s="1539">
        <f t="shared" si="34"/>
        <v>0</v>
      </c>
      <c r="I30" s="1181"/>
      <c r="J30" s="1181"/>
      <c r="K30" s="1182">
        <f t="shared" si="35"/>
        <v>0</v>
      </c>
      <c r="L30" s="1539">
        <f t="shared" si="36"/>
        <v>0</v>
      </c>
      <c r="M30" s="1388">
        <f t="shared" si="37"/>
        <v>0</v>
      </c>
      <c r="N30" s="1539">
        <f t="shared" si="38"/>
        <v>0</v>
      </c>
      <c r="O30" s="1179">
        <v>0</v>
      </c>
      <c r="P30" s="1539">
        <f t="shared" si="39"/>
        <v>0</v>
      </c>
      <c r="Q30" s="1179"/>
      <c r="R30" s="1179">
        <f t="shared" si="40"/>
        <v>0</v>
      </c>
      <c r="S30" s="1539">
        <f t="shared" si="30"/>
        <v>0</v>
      </c>
      <c r="T30" s="1539">
        <f t="shared" si="41"/>
        <v>0</v>
      </c>
      <c r="U30" s="1397">
        <f>'Table 5C1A-Madison Prep'!U30</f>
        <v>10053</v>
      </c>
      <c r="V30" s="1510">
        <f t="shared" si="31"/>
        <v>0</v>
      </c>
      <c r="W30" s="1391"/>
      <c r="X30" s="1392">
        <f t="shared" si="42"/>
        <v>0</v>
      </c>
      <c r="Y30" s="1391"/>
      <c r="Z30" s="1392">
        <f t="shared" si="43"/>
        <v>0</v>
      </c>
      <c r="AA30" s="1390">
        <f t="shared" si="44"/>
        <v>0</v>
      </c>
      <c r="AB30" s="1510">
        <f t="shared" si="45"/>
        <v>0</v>
      </c>
      <c r="AC30" s="1394">
        <f t="shared" si="46"/>
        <v>0</v>
      </c>
      <c r="AD30" s="1510">
        <f t="shared" si="47"/>
        <v>0</v>
      </c>
      <c r="AE30" s="1395">
        <v>0</v>
      </c>
      <c r="AF30" s="1510">
        <f t="shared" si="48"/>
        <v>0</v>
      </c>
      <c r="AG30" s="1392"/>
      <c r="AH30" s="1392">
        <f t="shared" si="49"/>
        <v>0</v>
      </c>
      <c r="AI30" s="1510">
        <f t="shared" si="50"/>
        <v>0</v>
      </c>
      <c r="AJ30" s="1505">
        <f t="shared" si="51"/>
        <v>0</v>
      </c>
      <c r="AK30" s="1535">
        <f t="shared" si="52"/>
        <v>0</v>
      </c>
    </row>
    <row r="31" spans="1:37" ht="16.2" customHeight="1">
      <c r="A31" s="1168">
        <v>25</v>
      </c>
      <c r="B31" s="1169" t="s">
        <v>105</v>
      </c>
      <c r="C31" s="1170">
        <f>+'Table 8 Membership 2.1.14'!N27</f>
        <v>0</v>
      </c>
      <c r="D31" s="1171">
        <f>+'Table 5C1A-Madison Prep'!D31</f>
        <v>4173.0720274945697</v>
      </c>
      <c r="E31" s="1172">
        <f t="shared" si="32"/>
        <v>0</v>
      </c>
      <c r="F31" s="1172">
        <f>+'Table 5C1A-Madison Prep'!F31</f>
        <v>653.73</v>
      </c>
      <c r="G31" s="1172">
        <f t="shared" si="33"/>
        <v>0</v>
      </c>
      <c r="H31" s="1540">
        <f t="shared" si="34"/>
        <v>0</v>
      </c>
      <c r="I31" s="1173"/>
      <c r="J31" s="1173"/>
      <c r="K31" s="1174">
        <f t="shared" si="35"/>
        <v>0</v>
      </c>
      <c r="L31" s="1540">
        <f t="shared" si="36"/>
        <v>0</v>
      </c>
      <c r="M31" s="1399">
        <f t="shared" si="37"/>
        <v>0</v>
      </c>
      <c r="N31" s="1540">
        <f t="shared" si="38"/>
        <v>0</v>
      </c>
      <c r="O31" s="1171">
        <v>0</v>
      </c>
      <c r="P31" s="1540">
        <f t="shared" si="39"/>
        <v>0</v>
      </c>
      <c r="Q31" s="1386"/>
      <c r="R31" s="1171">
        <f t="shared" si="40"/>
        <v>0</v>
      </c>
      <c r="S31" s="1553">
        <f t="shared" si="30"/>
        <v>0</v>
      </c>
      <c r="T31" s="1553">
        <f t="shared" si="41"/>
        <v>0</v>
      </c>
      <c r="U31" s="1387">
        <f>'Table 5C1A-Madison Prep'!U31</f>
        <v>5073</v>
      </c>
      <c r="V31" s="1511">
        <f t="shared" si="31"/>
        <v>0</v>
      </c>
      <c r="W31" s="1400"/>
      <c r="X31" s="1383">
        <f t="shared" si="42"/>
        <v>0</v>
      </c>
      <c r="Y31" s="1400"/>
      <c r="Z31" s="1383">
        <f t="shared" si="43"/>
        <v>0</v>
      </c>
      <c r="AA31" s="1384">
        <f t="shared" si="44"/>
        <v>0</v>
      </c>
      <c r="AB31" s="1511">
        <f t="shared" si="45"/>
        <v>0</v>
      </c>
      <c r="AC31" s="1402">
        <f t="shared" si="46"/>
        <v>0</v>
      </c>
      <c r="AD31" s="1511">
        <f t="shared" si="47"/>
        <v>0</v>
      </c>
      <c r="AE31" s="1385">
        <v>0</v>
      </c>
      <c r="AF31" s="1511">
        <f t="shared" si="48"/>
        <v>0</v>
      </c>
      <c r="AG31" s="1383"/>
      <c r="AH31" s="1383">
        <f t="shared" si="49"/>
        <v>0</v>
      </c>
      <c r="AI31" s="1511">
        <f t="shared" si="50"/>
        <v>0</v>
      </c>
      <c r="AJ31" s="1531">
        <f t="shared" si="51"/>
        <v>0</v>
      </c>
      <c r="AK31" s="1536">
        <f t="shared" si="52"/>
        <v>0</v>
      </c>
    </row>
    <row r="32" spans="1:37" ht="16.2" customHeight="1">
      <c r="A32" s="1183">
        <v>26</v>
      </c>
      <c r="B32" s="1184" t="s">
        <v>106</v>
      </c>
      <c r="C32" s="1185">
        <f>+'Table 8 Membership 2.1.14'!N28</f>
        <v>71</v>
      </c>
      <c r="D32" s="1186">
        <f>+'Table 5C1A-Madison Prep'!D32</f>
        <v>3424.5649970570835</v>
      </c>
      <c r="E32" s="1187">
        <f t="shared" si="32"/>
        <v>243144.11479105294</v>
      </c>
      <c r="F32" s="1187">
        <f>+'Table 5C1A-Madison Prep'!F32</f>
        <v>836.83</v>
      </c>
      <c r="G32" s="1187">
        <f t="shared" si="33"/>
        <v>59414.93</v>
      </c>
      <c r="H32" s="1538">
        <f t="shared" si="34"/>
        <v>302559.04479105293</v>
      </c>
      <c r="I32" s="1188"/>
      <c r="J32" s="1188"/>
      <c r="K32" s="1189">
        <f t="shared" si="35"/>
        <v>0</v>
      </c>
      <c r="L32" s="1538">
        <f t="shared" si="36"/>
        <v>302559.04479105293</v>
      </c>
      <c r="M32" s="1372">
        <f t="shared" si="37"/>
        <v>-756.39761197763232</v>
      </c>
      <c r="N32" s="1538">
        <f t="shared" si="38"/>
        <v>301802.64717907528</v>
      </c>
      <c r="O32" s="1186">
        <v>0</v>
      </c>
      <c r="P32" s="1538">
        <f t="shared" si="39"/>
        <v>301802.64717907528</v>
      </c>
      <c r="Q32" s="1186"/>
      <c r="R32" s="1186">
        <f t="shared" si="40"/>
        <v>301802.64717907528</v>
      </c>
      <c r="S32" s="1538">
        <f t="shared" si="30"/>
        <v>25150</v>
      </c>
      <c r="T32" s="1538">
        <f t="shared" si="41"/>
        <v>301802.64717907528</v>
      </c>
      <c r="U32" s="1381">
        <f>'Table 5C1A-Madison Prep'!U32</f>
        <v>5260</v>
      </c>
      <c r="V32" s="1509">
        <f t="shared" si="31"/>
        <v>373460</v>
      </c>
      <c r="W32" s="1375"/>
      <c r="X32" s="1376">
        <f t="shared" si="42"/>
        <v>0</v>
      </c>
      <c r="Y32" s="1375"/>
      <c r="Z32" s="1376">
        <f t="shared" si="43"/>
        <v>0</v>
      </c>
      <c r="AA32" s="1374">
        <f t="shared" si="44"/>
        <v>0</v>
      </c>
      <c r="AB32" s="1509">
        <f t="shared" si="45"/>
        <v>373460</v>
      </c>
      <c r="AC32" s="1378">
        <f t="shared" si="46"/>
        <v>-933.65</v>
      </c>
      <c r="AD32" s="1509">
        <f t="shared" si="47"/>
        <v>372526.35</v>
      </c>
      <c r="AE32" s="1379">
        <v>0</v>
      </c>
      <c r="AF32" s="1509">
        <f t="shared" si="48"/>
        <v>372526.35</v>
      </c>
      <c r="AG32" s="1376"/>
      <c r="AH32" s="1376">
        <f t="shared" si="49"/>
        <v>372526.35</v>
      </c>
      <c r="AI32" s="1509">
        <f t="shared" si="50"/>
        <v>31044</v>
      </c>
      <c r="AJ32" s="1530">
        <f t="shared" si="51"/>
        <v>674328.99717907526</v>
      </c>
      <c r="AK32" s="1534">
        <f t="shared" si="52"/>
        <v>56194</v>
      </c>
    </row>
    <row r="33" spans="1:37" ht="16.2" customHeight="1">
      <c r="A33" s="1176">
        <v>27</v>
      </c>
      <c r="B33" s="1177" t="s">
        <v>107</v>
      </c>
      <c r="C33" s="1178">
        <f>+'Table 8 Membership 2.1.14'!N29</f>
        <v>0</v>
      </c>
      <c r="D33" s="1179">
        <f>+'Table 5C1A-Madison Prep'!D33</f>
        <v>5804.9013839977006</v>
      </c>
      <c r="E33" s="1180">
        <f t="shared" si="32"/>
        <v>0</v>
      </c>
      <c r="F33" s="1180">
        <f>+'Table 5C1A-Madison Prep'!F33</f>
        <v>693.06</v>
      </c>
      <c r="G33" s="1180">
        <f t="shared" si="33"/>
        <v>0</v>
      </c>
      <c r="H33" s="1539">
        <f t="shared" si="34"/>
        <v>0</v>
      </c>
      <c r="I33" s="1181"/>
      <c r="J33" s="1181"/>
      <c r="K33" s="1182">
        <f t="shared" si="35"/>
        <v>0</v>
      </c>
      <c r="L33" s="1539">
        <f t="shared" si="36"/>
        <v>0</v>
      </c>
      <c r="M33" s="1388">
        <f t="shared" si="37"/>
        <v>0</v>
      </c>
      <c r="N33" s="1539">
        <f t="shared" si="38"/>
        <v>0</v>
      </c>
      <c r="O33" s="1179">
        <v>0</v>
      </c>
      <c r="P33" s="1539">
        <f t="shared" si="39"/>
        <v>0</v>
      </c>
      <c r="Q33" s="1179"/>
      <c r="R33" s="1179">
        <f t="shared" si="40"/>
        <v>0</v>
      </c>
      <c r="S33" s="1539">
        <f t="shared" si="30"/>
        <v>0</v>
      </c>
      <c r="T33" s="1539">
        <f t="shared" si="41"/>
        <v>0</v>
      </c>
      <c r="U33" s="1397">
        <f>'Table 5C1A-Madison Prep'!U33</f>
        <v>3169</v>
      </c>
      <c r="V33" s="1510">
        <f t="shared" si="31"/>
        <v>0</v>
      </c>
      <c r="W33" s="1391"/>
      <c r="X33" s="1392">
        <f t="shared" si="42"/>
        <v>0</v>
      </c>
      <c r="Y33" s="1391"/>
      <c r="Z33" s="1392">
        <f t="shared" si="43"/>
        <v>0</v>
      </c>
      <c r="AA33" s="1390">
        <f t="shared" si="44"/>
        <v>0</v>
      </c>
      <c r="AB33" s="1510">
        <f t="shared" si="45"/>
        <v>0</v>
      </c>
      <c r="AC33" s="1394">
        <f t="shared" si="46"/>
        <v>0</v>
      </c>
      <c r="AD33" s="1510">
        <f t="shared" si="47"/>
        <v>0</v>
      </c>
      <c r="AE33" s="1395">
        <v>0</v>
      </c>
      <c r="AF33" s="1510">
        <f t="shared" si="48"/>
        <v>0</v>
      </c>
      <c r="AG33" s="1392"/>
      <c r="AH33" s="1392">
        <f t="shared" si="49"/>
        <v>0</v>
      </c>
      <c r="AI33" s="1510">
        <f t="shared" si="50"/>
        <v>0</v>
      </c>
      <c r="AJ33" s="1505">
        <f t="shared" si="51"/>
        <v>0</v>
      </c>
      <c r="AK33" s="1535">
        <f t="shared" si="52"/>
        <v>0</v>
      </c>
    </row>
    <row r="34" spans="1:37" ht="16.2" customHeight="1">
      <c r="A34" s="1176">
        <v>28</v>
      </c>
      <c r="B34" s="1177" t="s">
        <v>108</v>
      </c>
      <c r="C34" s="1178">
        <f>+'Table 8 Membership 2.1.14'!N30</f>
        <v>0</v>
      </c>
      <c r="D34" s="1179">
        <f>+'Table 5C1A-Madison Prep'!D34</f>
        <v>3137.4158846568821</v>
      </c>
      <c r="E34" s="1180">
        <f t="shared" si="32"/>
        <v>0</v>
      </c>
      <c r="F34" s="1180">
        <f>+'Table 5C1A-Madison Prep'!F34</f>
        <v>694.4</v>
      </c>
      <c r="G34" s="1180">
        <f t="shared" si="33"/>
        <v>0</v>
      </c>
      <c r="H34" s="1539">
        <f t="shared" si="34"/>
        <v>0</v>
      </c>
      <c r="I34" s="1181"/>
      <c r="J34" s="1181"/>
      <c r="K34" s="1182">
        <f t="shared" si="35"/>
        <v>0</v>
      </c>
      <c r="L34" s="1539">
        <f t="shared" si="36"/>
        <v>0</v>
      </c>
      <c r="M34" s="1388">
        <f t="shared" si="37"/>
        <v>0</v>
      </c>
      <c r="N34" s="1539">
        <f t="shared" si="38"/>
        <v>0</v>
      </c>
      <c r="O34" s="1179">
        <v>0</v>
      </c>
      <c r="P34" s="1539">
        <f t="shared" si="39"/>
        <v>0</v>
      </c>
      <c r="Q34" s="1179"/>
      <c r="R34" s="1179">
        <f t="shared" si="40"/>
        <v>0</v>
      </c>
      <c r="S34" s="1539">
        <f t="shared" si="30"/>
        <v>0</v>
      </c>
      <c r="T34" s="1539">
        <f t="shared" si="41"/>
        <v>0</v>
      </c>
      <c r="U34" s="1397">
        <f>'Table 5C1A-Madison Prep'!U34</f>
        <v>5790</v>
      </c>
      <c r="V34" s="1510">
        <f t="shared" si="31"/>
        <v>0</v>
      </c>
      <c r="W34" s="1391"/>
      <c r="X34" s="1392">
        <f t="shared" si="42"/>
        <v>0</v>
      </c>
      <c r="Y34" s="1391"/>
      <c r="Z34" s="1392">
        <f t="shared" si="43"/>
        <v>0</v>
      </c>
      <c r="AA34" s="1390">
        <f t="shared" si="44"/>
        <v>0</v>
      </c>
      <c r="AB34" s="1510">
        <f t="shared" si="45"/>
        <v>0</v>
      </c>
      <c r="AC34" s="1394">
        <f t="shared" si="46"/>
        <v>0</v>
      </c>
      <c r="AD34" s="1510">
        <f t="shared" si="47"/>
        <v>0</v>
      </c>
      <c r="AE34" s="1395">
        <v>0</v>
      </c>
      <c r="AF34" s="1510">
        <f t="shared" si="48"/>
        <v>0</v>
      </c>
      <c r="AG34" s="1392"/>
      <c r="AH34" s="1392">
        <f t="shared" si="49"/>
        <v>0</v>
      </c>
      <c r="AI34" s="1510">
        <f t="shared" si="50"/>
        <v>0</v>
      </c>
      <c r="AJ34" s="1505">
        <f t="shared" si="51"/>
        <v>0</v>
      </c>
      <c r="AK34" s="1535">
        <f t="shared" si="52"/>
        <v>0</v>
      </c>
    </row>
    <row r="35" spans="1:37" ht="16.2" customHeight="1">
      <c r="A35" s="1176">
        <v>29</v>
      </c>
      <c r="B35" s="1177" t="s">
        <v>109</v>
      </c>
      <c r="C35" s="1178">
        <f>+'Table 8 Membership 2.1.14'!N31</f>
        <v>1</v>
      </c>
      <c r="D35" s="1179">
        <f>+'Table 5C1A-Madison Prep'!D35</f>
        <v>3839.0123210173724</v>
      </c>
      <c r="E35" s="1180">
        <f t="shared" si="32"/>
        <v>3839.0123210173724</v>
      </c>
      <c r="F35" s="1180">
        <f>+'Table 5C1A-Madison Prep'!F35</f>
        <v>754.94999999999993</v>
      </c>
      <c r="G35" s="1180">
        <f t="shared" si="33"/>
        <v>754.94999999999993</v>
      </c>
      <c r="H35" s="1539">
        <f t="shared" si="34"/>
        <v>4593.9623210173722</v>
      </c>
      <c r="I35" s="1181"/>
      <c r="J35" s="1181"/>
      <c r="K35" s="1182">
        <f t="shared" si="35"/>
        <v>0</v>
      </c>
      <c r="L35" s="1539">
        <f t="shared" si="36"/>
        <v>4593.9623210173722</v>
      </c>
      <c r="M35" s="1388">
        <f t="shared" si="37"/>
        <v>-11.48490580254343</v>
      </c>
      <c r="N35" s="1539">
        <f t="shared" si="38"/>
        <v>4582.4774152148284</v>
      </c>
      <c r="O35" s="1179">
        <v>0</v>
      </c>
      <c r="P35" s="1539">
        <f t="shared" si="39"/>
        <v>4582.4774152148284</v>
      </c>
      <c r="Q35" s="1179"/>
      <c r="R35" s="1179">
        <f t="shared" si="40"/>
        <v>4582.4774152148284</v>
      </c>
      <c r="S35" s="1539">
        <f t="shared" si="30"/>
        <v>382</v>
      </c>
      <c r="T35" s="1539">
        <f t="shared" si="41"/>
        <v>4582.4774152148284</v>
      </c>
      <c r="U35" s="1397">
        <f>'Table 5C1A-Madison Prep'!U35</f>
        <v>5069</v>
      </c>
      <c r="V35" s="1510">
        <f t="shared" si="31"/>
        <v>5069</v>
      </c>
      <c r="W35" s="1391"/>
      <c r="X35" s="1392">
        <f t="shared" si="42"/>
        <v>0</v>
      </c>
      <c r="Y35" s="1391"/>
      <c r="Z35" s="1392">
        <f t="shared" si="43"/>
        <v>0</v>
      </c>
      <c r="AA35" s="1390">
        <f t="shared" si="44"/>
        <v>0</v>
      </c>
      <c r="AB35" s="1510">
        <f t="shared" si="45"/>
        <v>5069</v>
      </c>
      <c r="AC35" s="1394">
        <f t="shared" si="46"/>
        <v>-12.672499999999999</v>
      </c>
      <c r="AD35" s="1510">
        <f t="shared" si="47"/>
        <v>5056.3275000000003</v>
      </c>
      <c r="AE35" s="1395">
        <v>0</v>
      </c>
      <c r="AF35" s="1510">
        <f t="shared" si="48"/>
        <v>5056.3275000000003</v>
      </c>
      <c r="AG35" s="1392"/>
      <c r="AH35" s="1392">
        <f t="shared" si="49"/>
        <v>5056.3275000000003</v>
      </c>
      <c r="AI35" s="1510">
        <f t="shared" si="50"/>
        <v>421</v>
      </c>
      <c r="AJ35" s="1505">
        <f t="shared" si="51"/>
        <v>9638.8049152148287</v>
      </c>
      <c r="AK35" s="1535">
        <f t="shared" si="52"/>
        <v>803</v>
      </c>
    </row>
    <row r="36" spans="1:37" ht="16.2" customHeight="1">
      <c r="A36" s="1168">
        <v>30</v>
      </c>
      <c r="B36" s="1169" t="s">
        <v>110</v>
      </c>
      <c r="C36" s="1170">
        <f>+'Table 8 Membership 2.1.14'!N32</f>
        <v>0</v>
      </c>
      <c r="D36" s="1171">
        <f>+'Table 5C1A-Madison Prep'!D36</f>
        <v>5804.5327273996763</v>
      </c>
      <c r="E36" s="1172">
        <f t="shared" si="32"/>
        <v>0</v>
      </c>
      <c r="F36" s="1172">
        <f>+'Table 5C1A-Madison Prep'!F36</f>
        <v>727.17</v>
      </c>
      <c r="G36" s="1172">
        <f t="shared" si="33"/>
        <v>0</v>
      </c>
      <c r="H36" s="1540">
        <f t="shared" si="34"/>
        <v>0</v>
      </c>
      <c r="I36" s="1173"/>
      <c r="J36" s="1173"/>
      <c r="K36" s="1174">
        <f t="shared" si="35"/>
        <v>0</v>
      </c>
      <c r="L36" s="1540">
        <f t="shared" si="36"/>
        <v>0</v>
      </c>
      <c r="M36" s="1399">
        <f t="shared" si="37"/>
        <v>0</v>
      </c>
      <c r="N36" s="1540">
        <f t="shared" si="38"/>
        <v>0</v>
      </c>
      <c r="O36" s="1171">
        <v>0</v>
      </c>
      <c r="P36" s="1540">
        <f t="shared" si="39"/>
        <v>0</v>
      </c>
      <c r="Q36" s="1386"/>
      <c r="R36" s="1171">
        <f t="shared" si="40"/>
        <v>0</v>
      </c>
      <c r="S36" s="1553">
        <f t="shared" si="30"/>
        <v>0</v>
      </c>
      <c r="T36" s="1553">
        <f t="shared" si="41"/>
        <v>0</v>
      </c>
      <c r="U36" s="1387">
        <f>'Table 5C1A-Madison Prep'!U36</f>
        <v>3609</v>
      </c>
      <c r="V36" s="1511">
        <f t="shared" si="31"/>
        <v>0</v>
      </c>
      <c r="W36" s="1400"/>
      <c r="X36" s="1383">
        <f t="shared" si="42"/>
        <v>0</v>
      </c>
      <c r="Y36" s="1400"/>
      <c r="Z36" s="1383">
        <f t="shared" si="43"/>
        <v>0</v>
      </c>
      <c r="AA36" s="1384">
        <f t="shared" si="44"/>
        <v>0</v>
      </c>
      <c r="AB36" s="1511">
        <f t="shared" si="45"/>
        <v>0</v>
      </c>
      <c r="AC36" s="1402">
        <f t="shared" si="46"/>
        <v>0</v>
      </c>
      <c r="AD36" s="1511">
        <f t="shared" si="47"/>
        <v>0</v>
      </c>
      <c r="AE36" s="1385">
        <v>0</v>
      </c>
      <c r="AF36" s="1511">
        <f t="shared" si="48"/>
        <v>0</v>
      </c>
      <c r="AG36" s="1383"/>
      <c r="AH36" s="1383">
        <f t="shared" si="49"/>
        <v>0</v>
      </c>
      <c r="AI36" s="1511">
        <f t="shared" si="50"/>
        <v>0</v>
      </c>
      <c r="AJ36" s="1531">
        <f t="shared" si="51"/>
        <v>0</v>
      </c>
      <c r="AK36" s="1536">
        <f t="shared" si="52"/>
        <v>0</v>
      </c>
    </row>
    <row r="37" spans="1:37" ht="16.2" customHeight="1">
      <c r="A37" s="1183">
        <v>31</v>
      </c>
      <c r="B37" s="1184" t="s">
        <v>111</v>
      </c>
      <c r="C37" s="1185">
        <f>+'Table 8 Membership 2.1.14'!N33</f>
        <v>0</v>
      </c>
      <c r="D37" s="1186">
        <f>+'Table 5C1A-Madison Prep'!D37</f>
        <v>4520.6176716868531</v>
      </c>
      <c r="E37" s="1187">
        <f t="shared" si="32"/>
        <v>0</v>
      </c>
      <c r="F37" s="1187">
        <f>+'Table 5C1A-Madison Prep'!F37</f>
        <v>620.83000000000004</v>
      </c>
      <c r="G37" s="1187">
        <f t="shared" si="33"/>
        <v>0</v>
      </c>
      <c r="H37" s="1538">
        <f t="shared" si="34"/>
        <v>0</v>
      </c>
      <c r="I37" s="1188"/>
      <c r="J37" s="1188"/>
      <c r="K37" s="1189">
        <f t="shared" si="35"/>
        <v>0</v>
      </c>
      <c r="L37" s="1538">
        <f t="shared" si="36"/>
        <v>0</v>
      </c>
      <c r="M37" s="1372">
        <f t="shared" si="37"/>
        <v>0</v>
      </c>
      <c r="N37" s="1538">
        <f t="shared" si="38"/>
        <v>0</v>
      </c>
      <c r="O37" s="1186">
        <v>0</v>
      </c>
      <c r="P37" s="1538">
        <f t="shared" si="39"/>
        <v>0</v>
      </c>
      <c r="Q37" s="1186"/>
      <c r="R37" s="1186">
        <f t="shared" si="40"/>
        <v>0</v>
      </c>
      <c r="S37" s="1538">
        <f t="shared" si="30"/>
        <v>0</v>
      </c>
      <c r="T37" s="1538">
        <f t="shared" si="41"/>
        <v>0</v>
      </c>
      <c r="U37" s="1381">
        <f>'Table 5C1A-Madison Prep'!U37</f>
        <v>5043</v>
      </c>
      <c r="V37" s="1509">
        <f t="shared" si="31"/>
        <v>0</v>
      </c>
      <c r="W37" s="1375"/>
      <c r="X37" s="1376">
        <f t="shared" si="42"/>
        <v>0</v>
      </c>
      <c r="Y37" s="1375"/>
      <c r="Z37" s="1376">
        <f t="shared" si="43"/>
        <v>0</v>
      </c>
      <c r="AA37" s="1374">
        <f t="shared" si="44"/>
        <v>0</v>
      </c>
      <c r="AB37" s="1509">
        <f t="shared" si="45"/>
        <v>0</v>
      </c>
      <c r="AC37" s="1378">
        <f t="shared" si="46"/>
        <v>0</v>
      </c>
      <c r="AD37" s="1509">
        <f t="shared" si="47"/>
        <v>0</v>
      </c>
      <c r="AE37" s="1379">
        <v>0</v>
      </c>
      <c r="AF37" s="1509">
        <f t="shared" si="48"/>
        <v>0</v>
      </c>
      <c r="AG37" s="1376"/>
      <c r="AH37" s="1376">
        <f t="shared" si="49"/>
        <v>0</v>
      </c>
      <c r="AI37" s="1509">
        <f t="shared" si="50"/>
        <v>0</v>
      </c>
      <c r="AJ37" s="1530">
        <f t="shared" si="51"/>
        <v>0</v>
      </c>
      <c r="AK37" s="1534">
        <f t="shared" si="52"/>
        <v>0</v>
      </c>
    </row>
    <row r="38" spans="1:37" ht="16.2" customHeight="1">
      <c r="A38" s="1176">
        <v>32</v>
      </c>
      <c r="B38" s="1177" t="s">
        <v>112</v>
      </c>
      <c r="C38" s="1178">
        <f>+'Table 8 Membership 2.1.14'!N34</f>
        <v>0</v>
      </c>
      <c r="D38" s="1179">
        <f>+'Table 5C1A-Madison Prep'!D38</f>
        <v>5652.819189061127</v>
      </c>
      <c r="E38" s="1180">
        <f t="shared" si="32"/>
        <v>0</v>
      </c>
      <c r="F38" s="1180">
        <f>+'Table 5C1A-Madison Prep'!F38</f>
        <v>559.77</v>
      </c>
      <c r="G38" s="1180">
        <f t="shared" si="33"/>
        <v>0</v>
      </c>
      <c r="H38" s="1539">
        <f t="shared" si="34"/>
        <v>0</v>
      </c>
      <c r="I38" s="1181"/>
      <c r="J38" s="1181"/>
      <c r="K38" s="1182">
        <f t="shared" si="35"/>
        <v>0</v>
      </c>
      <c r="L38" s="1539">
        <f t="shared" si="36"/>
        <v>0</v>
      </c>
      <c r="M38" s="1388">
        <f t="shared" si="37"/>
        <v>0</v>
      </c>
      <c r="N38" s="1539">
        <f t="shared" si="38"/>
        <v>0</v>
      </c>
      <c r="O38" s="1179">
        <v>0</v>
      </c>
      <c r="P38" s="1539">
        <f t="shared" si="39"/>
        <v>0</v>
      </c>
      <c r="Q38" s="1179"/>
      <c r="R38" s="1179">
        <f t="shared" si="40"/>
        <v>0</v>
      </c>
      <c r="S38" s="1539">
        <f t="shared" si="30"/>
        <v>0</v>
      </c>
      <c r="T38" s="1539">
        <f t="shared" si="41"/>
        <v>0</v>
      </c>
      <c r="U38" s="1397">
        <f>'Table 5C1A-Madison Prep'!U38</f>
        <v>2121</v>
      </c>
      <c r="V38" s="1510">
        <f t="shared" si="31"/>
        <v>0</v>
      </c>
      <c r="W38" s="1391"/>
      <c r="X38" s="1392">
        <f t="shared" si="42"/>
        <v>0</v>
      </c>
      <c r="Y38" s="1391"/>
      <c r="Z38" s="1392">
        <f t="shared" si="43"/>
        <v>0</v>
      </c>
      <c r="AA38" s="1390">
        <f t="shared" si="44"/>
        <v>0</v>
      </c>
      <c r="AB38" s="1510">
        <f t="shared" si="45"/>
        <v>0</v>
      </c>
      <c r="AC38" s="1394">
        <f t="shared" si="46"/>
        <v>0</v>
      </c>
      <c r="AD38" s="1510">
        <f t="shared" si="47"/>
        <v>0</v>
      </c>
      <c r="AE38" s="1395">
        <v>0</v>
      </c>
      <c r="AF38" s="1510">
        <f t="shared" si="48"/>
        <v>0</v>
      </c>
      <c r="AG38" s="1392"/>
      <c r="AH38" s="1392">
        <f t="shared" si="49"/>
        <v>0</v>
      </c>
      <c r="AI38" s="1510">
        <f t="shared" si="50"/>
        <v>0</v>
      </c>
      <c r="AJ38" s="1505">
        <f t="shared" si="51"/>
        <v>0</v>
      </c>
      <c r="AK38" s="1535">
        <f t="shared" si="52"/>
        <v>0</v>
      </c>
    </row>
    <row r="39" spans="1:37" ht="16.2" customHeight="1">
      <c r="A39" s="1176">
        <v>33</v>
      </c>
      <c r="B39" s="1177" t="s">
        <v>113</v>
      </c>
      <c r="C39" s="1178">
        <f>+'Table 8 Membership 2.1.14'!N35</f>
        <v>0</v>
      </c>
      <c r="D39" s="1179">
        <f>+'Table 5C1A-Madison Prep'!D39</f>
        <v>5456.2254558085233</v>
      </c>
      <c r="E39" s="1180">
        <f t="shared" si="32"/>
        <v>0</v>
      </c>
      <c r="F39" s="1180">
        <f>+'Table 5C1A-Madison Prep'!F39</f>
        <v>655.31000000000006</v>
      </c>
      <c r="G39" s="1180">
        <f t="shared" si="33"/>
        <v>0</v>
      </c>
      <c r="H39" s="1539">
        <f t="shared" si="34"/>
        <v>0</v>
      </c>
      <c r="I39" s="1181"/>
      <c r="J39" s="1181"/>
      <c r="K39" s="1182">
        <f t="shared" si="35"/>
        <v>0</v>
      </c>
      <c r="L39" s="1539">
        <f t="shared" ref="L39:L70" si="53">H39+K39</f>
        <v>0</v>
      </c>
      <c r="M39" s="1388">
        <f t="shared" si="37"/>
        <v>0</v>
      </c>
      <c r="N39" s="1539">
        <f t="shared" si="38"/>
        <v>0</v>
      </c>
      <c r="O39" s="1179">
        <v>0</v>
      </c>
      <c r="P39" s="1539">
        <f t="shared" si="39"/>
        <v>0</v>
      </c>
      <c r="Q39" s="1179"/>
      <c r="R39" s="1179">
        <f t="shared" si="40"/>
        <v>0</v>
      </c>
      <c r="S39" s="1539">
        <f t="shared" si="30"/>
        <v>0</v>
      </c>
      <c r="T39" s="1539">
        <f t="shared" si="41"/>
        <v>0</v>
      </c>
      <c r="U39" s="1397">
        <f>'Table 5C1A-Madison Prep'!U39</f>
        <v>3616</v>
      </c>
      <c r="V39" s="1510">
        <f t="shared" ref="V39:V70" si="54">C39*U39</f>
        <v>0</v>
      </c>
      <c r="W39" s="1391"/>
      <c r="X39" s="1392">
        <f t="shared" si="42"/>
        <v>0</v>
      </c>
      <c r="Y39" s="1391"/>
      <c r="Z39" s="1392">
        <f t="shared" si="43"/>
        <v>0</v>
      </c>
      <c r="AA39" s="1390">
        <f t="shared" si="44"/>
        <v>0</v>
      </c>
      <c r="AB39" s="1510">
        <f t="shared" si="45"/>
        <v>0</v>
      </c>
      <c r="AC39" s="1394">
        <f t="shared" si="46"/>
        <v>0</v>
      </c>
      <c r="AD39" s="1510">
        <f t="shared" si="47"/>
        <v>0</v>
      </c>
      <c r="AE39" s="1395">
        <v>0</v>
      </c>
      <c r="AF39" s="1510">
        <f t="shared" si="48"/>
        <v>0</v>
      </c>
      <c r="AG39" s="1392"/>
      <c r="AH39" s="1392">
        <f t="shared" si="49"/>
        <v>0</v>
      </c>
      <c r="AI39" s="1510">
        <f t="shared" si="50"/>
        <v>0</v>
      </c>
      <c r="AJ39" s="1505">
        <f t="shared" si="51"/>
        <v>0</v>
      </c>
      <c r="AK39" s="1535">
        <f t="shared" ref="AK39:AK75" si="55">S39+AI39</f>
        <v>0</v>
      </c>
    </row>
    <row r="40" spans="1:37" ht="16.2" customHeight="1">
      <c r="A40" s="1176">
        <v>34</v>
      </c>
      <c r="B40" s="1177" t="s">
        <v>114</v>
      </c>
      <c r="C40" s="1178">
        <f>+'Table 8 Membership 2.1.14'!N36</f>
        <v>0</v>
      </c>
      <c r="D40" s="1179">
        <f>+'Table 5C1A-Madison Prep'!D40</f>
        <v>6292.0976842789005</v>
      </c>
      <c r="E40" s="1180">
        <f t="shared" si="32"/>
        <v>0</v>
      </c>
      <c r="F40" s="1180">
        <f>+'Table 5C1A-Madison Prep'!F40</f>
        <v>644.11000000000013</v>
      </c>
      <c r="G40" s="1180">
        <f t="shared" si="33"/>
        <v>0</v>
      </c>
      <c r="H40" s="1539">
        <f t="shared" si="34"/>
        <v>0</v>
      </c>
      <c r="I40" s="1181"/>
      <c r="J40" s="1181"/>
      <c r="K40" s="1182">
        <f t="shared" si="35"/>
        <v>0</v>
      </c>
      <c r="L40" s="1539">
        <f t="shared" si="53"/>
        <v>0</v>
      </c>
      <c r="M40" s="1388">
        <f t="shared" si="37"/>
        <v>0</v>
      </c>
      <c r="N40" s="1539">
        <f t="shared" si="38"/>
        <v>0</v>
      </c>
      <c r="O40" s="1179">
        <v>0</v>
      </c>
      <c r="P40" s="1539">
        <f t="shared" si="39"/>
        <v>0</v>
      </c>
      <c r="Q40" s="1179"/>
      <c r="R40" s="1179">
        <f t="shared" si="40"/>
        <v>0</v>
      </c>
      <c r="S40" s="1539">
        <f t="shared" si="30"/>
        <v>0</v>
      </c>
      <c r="T40" s="1539">
        <f t="shared" si="41"/>
        <v>0</v>
      </c>
      <c r="U40" s="1397">
        <f>'Table 5C1A-Madison Prep'!U40</f>
        <v>2721</v>
      </c>
      <c r="V40" s="1510">
        <f t="shared" si="54"/>
        <v>0</v>
      </c>
      <c r="W40" s="1391"/>
      <c r="X40" s="1392">
        <f t="shared" si="42"/>
        <v>0</v>
      </c>
      <c r="Y40" s="1391"/>
      <c r="Z40" s="1392">
        <f t="shared" si="43"/>
        <v>0</v>
      </c>
      <c r="AA40" s="1390">
        <f t="shared" si="44"/>
        <v>0</v>
      </c>
      <c r="AB40" s="1510">
        <f t="shared" si="45"/>
        <v>0</v>
      </c>
      <c r="AC40" s="1394">
        <f t="shared" si="46"/>
        <v>0</v>
      </c>
      <c r="AD40" s="1510">
        <f t="shared" si="47"/>
        <v>0</v>
      </c>
      <c r="AE40" s="1395">
        <v>0</v>
      </c>
      <c r="AF40" s="1510">
        <f t="shared" si="48"/>
        <v>0</v>
      </c>
      <c r="AG40" s="1392"/>
      <c r="AH40" s="1392">
        <f t="shared" si="49"/>
        <v>0</v>
      </c>
      <c r="AI40" s="1510">
        <f t="shared" si="50"/>
        <v>0</v>
      </c>
      <c r="AJ40" s="1505">
        <f t="shared" si="51"/>
        <v>0</v>
      </c>
      <c r="AK40" s="1535">
        <f t="shared" si="55"/>
        <v>0</v>
      </c>
    </row>
    <row r="41" spans="1:37" ht="16.2" customHeight="1">
      <c r="A41" s="1168">
        <v>35</v>
      </c>
      <c r="B41" s="1169" t="s">
        <v>115</v>
      </c>
      <c r="C41" s="1170">
        <f>+'Table 8 Membership 2.1.14'!N37</f>
        <v>0</v>
      </c>
      <c r="D41" s="1171">
        <f>+'Table 5C1A-Madison Prep'!D41</f>
        <v>5166.2482060477605</v>
      </c>
      <c r="E41" s="1172">
        <f t="shared" si="32"/>
        <v>0</v>
      </c>
      <c r="F41" s="1172">
        <f>+'Table 5C1A-Madison Prep'!F41</f>
        <v>537.96</v>
      </c>
      <c r="G41" s="1172">
        <f t="shared" si="33"/>
        <v>0</v>
      </c>
      <c r="H41" s="1540">
        <f t="shared" si="34"/>
        <v>0</v>
      </c>
      <c r="I41" s="1173"/>
      <c r="J41" s="1173"/>
      <c r="K41" s="1174">
        <f t="shared" si="35"/>
        <v>0</v>
      </c>
      <c r="L41" s="1540">
        <f t="shared" si="53"/>
        <v>0</v>
      </c>
      <c r="M41" s="1399">
        <f t="shared" si="37"/>
        <v>0</v>
      </c>
      <c r="N41" s="1540">
        <f t="shared" si="38"/>
        <v>0</v>
      </c>
      <c r="O41" s="1171">
        <v>0</v>
      </c>
      <c r="P41" s="1540">
        <f t="shared" si="39"/>
        <v>0</v>
      </c>
      <c r="Q41" s="1386"/>
      <c r="R41" s="1171">
        <f t="shared" si="40"/>
        <v>0</v>
      </c>
      <c r="S41" s="1553">
        <f t="shared" si="30"/>
        <v>0</v>
      </c>
      <c r="T41" s="1553">
        <f t="shared" si="41"/>
        <v>0</v>
      </c>
      <c r="U41" s="1387">
        <f>'Table 5C1A-Madison Prep'!U41</f>
        <v>3255</v>
      </c>
      <c r="V41" s="1511">
        <f t="shared" si="54"/>
        <v>0</v>
      </c>
      <c r="W41" s="1400"/>
      <c r="X41" s="1383">
        <f t="shared" si="42"/>
        <v>0</v>
      </c>
      <c r="Y41" s="1400"/>
      <c r="Z41" s="1383">
        <f t="shared" si="43"/>
        <v>0</v>
      </c>
      <c r="AA41" s="1384">
        <f t="shared" si="44"/>
        <v>0</v>
      </c>
      <c r="AB41" s="1511">
        <f t="shared" si="45"/>
        <v>0</v>
      </c>
      <c r="AC41" s="1402">
        <f t="shared" si="46"/>
        <v>0</v>
      </c>
      <c r="AD41" s="1511">
        <f t="shared" si="47"/>
        <v>0</v>
      </c>
      <c r="AE41" s="1385">
        <v>0</v>
      </c>
      <c r="AF41" s="1511">
        <f t="shared" si="48"/>
        <v>0</v>
      </c>
      <c r="AG41" s="1383"/>
      <c r="AH41" s="1383">
        <f t="shared" si="49"/>
        <v>0</v>
      </c>
      <c r="AI41" s="1511">
        <f t="shared" si="50"/>
        <v>0</v>
      </c>
      <c r="AJ41" s="1531">
        <f t="shared" si="51"/>
        <v>0</v>
      </c>
      <c r="AK41" s="1536">
        <f t="shared" si="55"/>
        <v>0</v>
      </c>
    </row>
    <row r="42" spans="1:37" ht="16.2" customHeight="1">
      <c r="A42" s="1183">
        <v>36</v>
      </c>
      <c r="B42" s="1184" t="s">
        <v>116</v>
      </c>
      <c r="C42" s="1185">
        <f>+'Table 8 Membership 2.1.14'!N38</f>
        <v>225</v>
      </c>
      <c r="D42" s="1186">
        <f>+'Table 5C1A-Madison Prep'!D42</f>
        <v>3602.7009974327857</v>
      </c>
      <c r="E42" s="1187">
        <f t="shared" si="32"/>
        <v>810607.72442237684</v>
      </c>
      <c r="F42" s="1187">
        <f>+'Table 5C1A-Madison Prep'!F42</f>
        <v>746.0335616438357</v>
      </c>
      <c r="G42" s="1187">
        <f t="shared" si="33"/>
        <v>167857.55136986304</v>
      </c>
      <c r="H42" s="1538">
        <f t="shared" si="34"/>
        <v>978465.27579223993</v>
      </c>
      <c r="I42" s="1188"/>
      <c r="J42" s="1188"/>
      <c r="K42" s="1189">
        <f t="shared" si="35"/>
        <v>0</v>
      </c>
      <c r="L42" s="1538">
        <f t="shared" si="53"/>
        <v>978465.27579223993</v>
      </c>
      <c r="M42" s="1372">
        <f t="shared" si="37"/>
        <v>-2446.1631894806001</v>
      </c>
      <c r="N42" s="1538">
        <f t="shared" si="38"/>
        <v>976019.11260275939</v>
      </c>
      <c r="O42" s="1186">
        <v>0</v>
      </c>
      <c r="P42" s="1538">
        <f t="shared" si="39"/>
        <v>976019.11260275939</v>
      </c>
      <c r="Q42" s="1186"/>
      <c r="R42" s="1186">
        <f t="shared" si="40"/>
        <v>976019.11260275939</v>
      </c>
      <c r="S42" s="1538">
        <f t="shared" si="30"/>
        <v>81335</v>
      </c>
      <c r="T42" s="1538">
        <f t="shared" si="41"/>
        <v>976019.11260275939</v>
      </c>
      <c r="U42" s="1381">
        <f>'Table 5C1A-Madison Prep'!U42</f>
        <v>5435</v>
      </c>
      <c r="V42" s="1509">
        <f t="shared" si="54"/>
        <v>1222875</v>
      </c>
      <c r="W42" s="1375"/>
      <c r="X42" s="1376">
        <f t="shared" si="42"/>
        <v>0</v>
      </c>
      <c r="Y42" s="1375"/>
      <c r="Z42" s="1376">
        <f t="shared" si="43"/>
        <v>0</v>
      </c>
      <c r="AA42" s="1374">
        <f t="shared" si="44"/>
        <v>0</v>
      </c>
      <c r="AB42" s="1509">
        <f t="shared" si="45"/>
        <v>1222875</v>
      </c>
      <c r="AC42" s="1378">
        <f t="shared" si="46"/>
        <v>-3057.1875</v>
      </c>
      <c r="AD42" s="1509">
        <f t="shared" si="47"/>
        <v>1219817.8125</v>
      </c>
      <c r="AE42" s="1379">
        <v>0</v>
      </c>
      <c r="AF42" s="1509">
        <f t="shared" si="48"/>
        <v>1219817.8125</v>
      </c>
      <c r="AG42" s="1376"/>
      <c r="AH42" s="1376">
        <f t="shared" si="49"/>
        <v>1219817.8125</v>
      </c>
      <c r="AI42" s="1509">
        <f t="shared" si="50"/>
        <v>101651</v>
      </c>
      <c r="AJ42" s="1530">
        <f t="shared" si="51"/>
        <v>2195836.9251027592</v>
      </c>
      <c r="AK42" s="1534">
        <f t="shared" si="55"/>
        <v>182986</v>
      </c>
    </row>
    <row r="43" spans="1:37" ht="16.2" customHeight="1">
      <c r="A43" s="1176">
        <v>37</v>
      </c>
      <c r="B43" s="1177" t="s">
        <v>117</v>
      </c>
      <c r="C43" s="1178">
        <f>+'Table 8 Membership 2.1.14'!N39</f>
        <v>0</v>
      </c>
      <c r="D43" s="1179">
        <f>+'Table 5C1A-Madison Prep'!D43</f>
        <v>5665.3839260317691</v>
      </c>
      <c r="E43" s="1180">
        <f t="shared" si="32"/>
        <v>0</v>
      </c>
      <c r="F43" s="1180">
        <f>+'Table 5C1A-Madison Prep'!F43</f>
        <v>653.61</v>
      </c>
      <c r="G43" s="1180">
        <f t="shared" si="33"/>
        <v>0</v>
      </c>
      <c r="H43" s="1539">
        <f t="shared" si="34"/>
        <v>0</v>
      </c>
      <c r="I43" s="1181"/>
      <c r="J43" s="1181"/>
      <c r="K43" s="1182">
        <f t="shared" si="35"/>
        <v>0</v>
      </c>
      <c r="L43" s="1539">
        <f t="shared" si="53"/>
        <v>0</v>
      </c>
      <c r="M43" s="1388">
        <f t="shared" si="37"/>
        <v>0</v>
      </c>
      <c r="N43" s="1539">
        <f t="shared" si="38"/>
        <v>0</v>
      </c>
      <c r="O43" s="1179">
        <v>0</v>
      </c>
      <c r="P43" s="1539">
        <f t="shared" si="39"/>
        <v>0</v>
      </c>
      <c r="Q43" s="1179"/>
      <c r="R43" s="1179">
        <f t="shared" si="40"/>
        <v>0</v>
      </c>
      <c r="S43" s="1539">
        <f t="shared" si="30"/>
        <v>0</v>
      </c>
      <c r="T43" s="1539">
        <f t="shared" si="41"/>
        <v>0</v>
      </c>
      <c r="U43" s="1397">
        <f>'Table 5C1A-Madison Prep'!U43</f>
        <v>3520</v>
      </c>
      <c r="V43" s="1510">
        <f t="shared" si="54"/>
        <v>0</v>
      </c>
      <c r="W43" s="1391"/>
      <c r="X43" s="1392">
        <f t="shared" si="42"/>
        <v>0</v>
      </c>
      <c r="Y43" s="1391"/>
      <c r="Z43" s="1392">
        <f t="shared" si="43"/>
        <v>0</v>
      </c>
      <c r="AA43" s="1390">
        <f t="shared" si="44"/>
        <v>0</v>
      </c>
      <c r="AB43" s="1510">
        <f t="shared" si="45"/>
        <v>0</v>
      </c>
      <c r="AC43" s="1394">
        <f t="shared" si="46"/>
        <v>0</v>
      </c>
      <c r="AD43" s="1510">
        <f t="shared" si="47"/>
        <v>0</v>
      </c>
      <c r="AE43" s="1395">
        <v>0</v>
      </c>
      <c r="AF43" s="1510">
        <f t="shared" si="48"/>
        <v>0</v>
      </c>
      <c r="AG43" s="1392"/>
      <c r="AH43" s="1392">
        <f t="shared" si="49"/>
        <v>0</v>
      </c>
      <c r="AI43" s="1510">
        <f t="shared" si="50"/>
        <v>0</v>
      </c>
      <c r="AJ43" s="1505">
        <f t="shared" si="51"/>
        <v>0</v>
      </c>
      <c r="AK43" s="1535">
        <f t="shared" si="55"/>
        <v>0</v>
      </c>
    </row>
    <row r="44" spans="1:37" ht="16.2" customHeight="1">
      <c r="A44" s="1176">
        <v>38</v>
      </c>
      <c r="B44" s="1177" t="s">
        <v>118</v>
      </c>
      <c r="C44" s="1178">
        <f>+'Table 8 Membership 2.1.14'!N40</f>
        <v>4</v>
      </c>
      <c r="D44" s="1179">
        <f>+'Table 5C1A-Madison Prep'!D44</f>
        <v>2088.8017552916881</v>
      </c>
      <c r="E44" s="1180">
        <f t="shared" si="32"/>
        <v>8355.2070211667524</v>
      </c>
      <c r="F44" s="1180">
        <f>+'Table 5C1A-Madison Prep'!F44</f>
        <v>829.92000000000007</v>
      </c>
      <c r="G44" s="1180">
        <f t="shared" si="33"/>
        <v>3319.6800000000003</v>
      </c>
      <c r="H44" s="1539">
        <f t="shared" si="34"/>
        <v>11674.887021166753</v>
      </c>
      <c r="I44" s="1181"/>
      <c r="J44" s="1181"/>
      <c r="K44" s="1182">
        <f t="shared" si="35"/>
        <v>0</v>
      </c>
      <c r="L44" s="1539">
        <f t="shared" si="53"/>
        <v>11674.887021166753</v>
      </c>
      <c r="M44" s="1388">
        <f t="shared" si="37"/>
        <v>-29.187217552916881</v>
      </c>
      <c r="N44" s="1539">
        <f t="shared" si="38"/>
        <v>11645.699803613836</v>
      </c>
      <c r="O44" s="1179">
        <v>0</v>
      </c>
      <c r="P44" s="1539">
        <f t="shared" si="39"/>
        <v>11645.699803613836</v>
      </c>
      <c r="Q44" s="1179"/>
      <c r="R44" s="1179">
        <f t="shared" si="40"/>
        <v>11645.699803613836</v>
      </c>
      <c r="S44" s="1539">
        <f t="shared" si="30"/>
        <v>970</v>
      </c>
      <c r="T44" s="1539">
        <f t="shared" si="41"/>
        <v>11645.699803613836</v>
      </c>
      <c r="U44" s="1397">
        <f>'Table 5C1A-Madison Prep'!U44</f>
        <v>11379</v>
      </c>
      <c r="V44" s="1510">
        <f t="shared" si="54"/>
        <v>45516</v>
      </c>
      <c r="W44" s="1391"/>
      <c r="X44" s="1392">
        <f t="shared" si="42"/>
        <v>0</v>
      </c>
      <c r="Y44" s="1391"/>
      <c r="Z44" s="1392">
        <f t="shared" si="43"/>
        <v>0</v>
      </c>
      <c r="AA44" s="1390">
        <f t="shared" si="44"/>
        <v>0</v>
      </c>
      <c r="AB44" s="1510">
        <f t="shared" si="45"/>
        <v>45516</v>
      </c>
      <c r="AC44" s="1394">
        <f t="shared" si="46"/>
        <v>-113.79</v>
      </c>
      <c r="AD44" s="1510">
        <f t="shared" si="47"/>
        <v>45402.21</v>
      </c>
      <c r="AE44" s="1395">
        <v>0</v>
      </c>
      <c r="AF44" s="1510">
        <f t="shared" si="48"/>
        <v>45402.21</v>
      </c>
      <c r="AG44" s="1392"/>
      <c r="AH44" s="1392">
        <f t="shared" si="49"/>
        <v>45402.21</v>
      </c>
      <c r="AI44" s="1510">
        <f t="shared" si="50"/>
        <v>3784</v>
      </c>
      <c r="AJ44" s="1505">
        <f t="shared" si="51"/>
        <v>57047.909803613831</v>
      </c>
      <c r="AK44" s="1535">
        <f t="shared" si="55"/>
        <v>4754</v>
      </c>
    </row>
    <row r="45" spans="1:37" ht="16.2" customHeight="1">
      <c r="A45" s="1176">
        <v>39</v>
      </c>
      <c r="B45" s="1177" t="s">
        <v>119</v>
      </c>
      <c r="C45" s="1178">
        <f>+'Table 8 Membership 2.1.14'!N41</f>
        <v>0</v>
      </c>
      <c r="D45" s="1179">
        <f>+'Table 5C1A-Madison Prep'!D45</f>
        <v>3656.9056809295676</v>
      </c>
      <c r="E45" s="1180">
        <f t="shared" si="32"/>
        <v>0</v>
      </c>
      <c r="F45" s="1180">
        <f>+'Table 5C1A-Madison Prep'!F45</f>
        <v>779.65573042776396</v>
      </c>
      <c r="G45" s="1180">
        <f t="shared" si="33"/>
        <v>0</v>
      </c>
      <c r="H45" s="1539">
        <f t="shared" si="34"/>
        <v>0</v>
      </c>
      <c r="I45" s="1181"/>
      <c r="J45" s="1181"/>
      <c r="K45" s="1182">
        <f t="shared" si="35"/>
        <v>0</v>
      </c>
      <c r="L45" s="1539">
        <f t="shared" si="53"/>
        <v>0</v>
      </c>
      <c r="M45" s="1388">
        <f t="shared" si="37"/>
        <v>0</v>
      </c>
      <c r="N45" s="1539">
        <f t="shared" si="38"/>
        <v>0</v>
      </c>
      <c r="O45" s="1179">
        <v>0</v>
      </c>
      <c r="P45" s="1539">
        <f t="shared" si="39"/>
        <v>0</v>
      </c>
      <c r="Q45" s="1179"/>
      <c r="R45" s="1179">
        <f t="shared" si="40"/>
        <v>0</v>
      </c>
      <c r="S45" s="1539">
        <f t="shared" si="30"/>
        <v>0</v>
      </c>
      <c r="T45" s="1539">
        <f t="shared" si="41"/>
        <v>0</v>
      </c>
      <c r="U45" s="1397">
        <f>'Table 5C1A-Madison Prep'!U45</f>
        <v>4955</v>
      </c>
      <c r="V45" s="1510">
        <f t="shared" si="54"/>
        <v>0</v>
      </c>
      <c r="W45" s="1391"/>
      <c r="X45" s="1392">
        <f t="shared" si="42"/>
        <v>0</v>
      </c>
      <c r="Y45" s="1391"/>
      <c r="Z45" s="1392">
        <f t="shared" si="43"/>
        <v>0</v>
      </c>
      <c r="AA45" s="1390">
        <f t="shared" si="44"/>
        <v>0</v>
      </c>
      <c r="AB45" s="1510">
        <f t="shared" si="45"/>
        <v>0</v>
      </c>
      <c r="AC45" s="1394">
        <f t="shared" si="46"/>
        <v>0</v>
      </c>
      <c r="AD45" s="1510">
        <f t="shared" si="47"/>
        <v>0</v>
      </c>
      <c r="AE45" s="1395">
        <v>0</v>
      </c>
      <c r="AF45" s="1510">
        <f t="shared" si="48"/>
        <v>0</v>
      </c>
      <c r="AG45" s="1392"/>
      <c r="AH45" s="1392">
        <f t="shared" si="49"/>
        <v>0</v>
      </c>
      <c r="AI45" s="1510">
        <f t="shared" si="50"/>
        <v>0</v>
      </c>
      <c r="AJ45" s="1505">
        <f t="shared" si="51"/>
        <v>0</v>
      </c>
      <c r="AK45" s="1535">
        <f t="shared" si="55"/>
        <v>0</v>
      </c>
    </row>
    <row r="46" spans="1:37" ht="16.2" customHeight="1">
      <c r="A46" s="1168">
        <v>40</v>
      </c>
      <c r="B46" s="1169" t="s">
        <v>120</v>
      </c>
      <c r="C46" s="1170">
        <f>+'Table 8 Membership 2.1.14'!N42</f>
        <v>0</v>
      </c>
      <c r="D46" s="1171">
        <f>+'Table 5C1A-Madison Prep'!D46</f>
        <v>5121.8110285698403</v>
      </c>
      <c r="E46" s="1172">
        <f t="shared" si="32"/>
        <v>0</v>
      </c>
      <c r="F46" s="1172">
        <f>+'Table 5C1A-Madison Prep'!F46</f>
        <v>700.2700000000001</v>
      </c>
      <c r="G46" s="1172">
        <f t="shared" si="33"/>
        <v>0</v>
      </c>
      <c r="H46" s="1540">
        <f t="shared" si="34"/>
        <v>0</v>
      </c>
      <c r="I46" s="1173"/>
      <c r="J46" s="1173"/>
      <c r="K46" s="1174">
        <f t="shared" si="35"/>
        <v>0</v>
      </c>
      <c r="L46" s="1540">
        <f t="shared" si="53"/>
        <v>0</v>
      </c>
      <c r="M46" s="1399">
        <f t="shared" si="37"/>
        <v>0</v>
      </c>
      <c r="N46" s="1540">
        <f t="shared" si="38"/>
        <v>0</v>
      </c>
      <c r="O46" s="1171">
        <v>0</v>
      </c>
      <c r="P46" s="1540">
        <f t="shared" si="39"/>
        <v>0</v>
      </c>
      <c r="Q46" s="1386"/>
      <c r="R46" s="1171">
        <f t="shared" si="40"/>
        <v>0</v>
      </c>
      <c r="S46" s="1553">
        <f t="shared" si="30"/>
        <v>0</v>
      </c>
      <c r="T46" s="1553">
        <f t="shared" si="41"/>
        <v>0</v>
      </c>
      <c r="U46" s="1387">
        <f>'Table 5C1A-Madison Prep'!U46</f>
        <v>3069</v>
      </c>
      <c r="V46" s="1511">
        <f t="shared" si="54"/>
        <v>0</v>
      </c>
      <c r="W46" s="1400"/>
      <c r="X46" s="1383">
        <f t="shared" si="42"/>
        <v>0</v>
      </c>
      <c r="Y46" s="1400"/>
      <c r="Z46" s="1383">
        <f t="shared" si="43"/>
        <v>0</v>
      </c>
      <c r="AA46" s="1384">
        <f t="shared" si="44"/>
        <v>0</v>
      </c>
      <c r="AB46" s="1511">
        <f t="shared" si="45"/>
        <v>0</v>
      </c>
      <c r="AC46" s="1402">
        <f t="shared" si="46"/>
        <v>0</v>
      </c>
      <c r="AD46" s="1511">
        <f t="shared" si="47"/>
        <v>0</v>
      </c>
      <c r="AE46" s="1385">
        <v>0</v>
      </c>
      <c r="AF46" s="1511">
        <f t="shared" si="48"/>
        <v>0</v>
      </c>
      <c r="AG46" s="1383"/>
      <c r="AH46" s="1383">
        <f t="shared" si="49"/>
        <v>0</v>
      </c>
      <c r="AI46" s="1511">
        <f t="shared" si="50"/>
        <v>0</v>
      </c>
      <c r="AJ46" s="1531">
        <f t="shared" si="51"/>
        <v>0</v>
      </c>
      <c r="AK46" s="1536">
        <f t="shared" si="55"/>
        <v>0</v>
      </c>
    </row>
    <row r="47" spans="1:37" ht="16.2" customHeight="1">
      <c r="A47" s="1183">
        <v>41</v>
      </c>
      <c r="B47" s="1184" t="s">
        <v>121</v>
      </c>
      <c r="C47" s="1185">
        <f>+'Table 8 Membership 2.1.14'!N43</f>
        <v>0</v>
      </c>
      <c r="D47" s="1186">
        <f>+'Table 5C1A-Madison Prep'!D47</f>
        <v>3291.1948574716475</v>
      </c>
      <c r="E47" s="1187">
        <f t="shared" si="32"/>
        <v>0</v>
      </c>
      <c r="F47" s="1187">
        <f>+'Table 5C1A-Madison Prep'!F47</f>
        <v>886.22</v>
      </c>
      <c r="G47" s="1187">
        <f t="shared" si="33"/>
        <v>0</v>
      </c>
      <c r="H47" s="1538">
        <f t="shared" si="34"/>
        <v>0</v>
      </c>
      <c r="I47" s="1188"/>
      <c r="J47" s="1188"/>
      <c r="K47" s="1189">
        <f t="shared" si="35"/>
        <v>0</v>
      </c>
      <c r="L47" s="1538">
        <f t="shared" si="53"/>
        <v>0</v>
      </c>
      <c r="M47" s="1372">
        <f t="shared" si="37"/>
        <v>0</v>
      </c>
      <c r="N47" s="1538">
        <f t="shared" si="38"/>
        <v>0</v>
      </c>
      <c r="O47" s="1186">
        <v>0</v>
      </c>
      <c r="P47" s="1538">
        <f t="shared" si="39"/>
        <v>0</v>
      </c>
      <c r="Q47" s="1186"/>
      <c r="R47" s="1186">
        <f t="shared" si="40"/>
        <v>0</v>
      </c>
      <c r="S47" s="1538">
        <f t="shared" si="30"/>
        <v>0</v>
      </c>
      <c r="T47" s="1538">
        <f t="shared" si="41"/>
        <v>0</v>
      </c>
      <c r="U47" s="1381">
        <f>'Table 5C1A-Madison Prep'!U47</f>
        <v>8478</v>
      </c>
      <c r="V47" s="1509">
        <f t="shared" si="54"/>
        <v>0</v>
      </c>
      <c r="W47" s="1375"/>
      <c r="X47" s="1376">
        <f t="shared" si="42"/>
        <v>0</v>
      </c>
      <c r="Y47" s="1375"/>
      <c r="Z47" s="1376">
        <f t="shared" si="43"/>
        <v>0</v>
      </c>
      <c r="AA47" s="1374">
        <f t="shared" si="44"/>
        <v>0</v>
      </c>
      <c r="AB47" s="1509">
        <f t="shared" si="45"/>
        <v>0</v>
      </c>
      <c r="AC47" s="1378">
        <f t="shared" si="46"/>
        <v>0</v>
      </c>
      <c r="AD47" s="1509">
        <f t="shared" si="47"/>
        <v>0</v>
      </c>
      <c r="AE47" s="1379">
        <v>0</v>
      </c>
      <c r="AF47" s="1509">
        <f t="shared" si="48"/>
        <v>0</v>
      </c>
      <c r="AG47" s="1376"/>
      <c r="AH47" s="1376">
        <f t="shared" si="49"/>
        <v>0</v>
      </c>
      <c r="AI47" s="1509">
        <f t="shared" si="50"/>
        <v>0</v>
      </c>
      <c r="AJ47" s="1530">
        <f t="shared" si="51"/>
        <v>0</v>
      </c>
      <c r="AK47" s="1534">
        <f t="shared" si="55"/>
        <v>0</v>
      </c>
    </row>
    <row r="48" spans="1:37" ht="16.2" customHeight="1">
      <c r="A48" s="1176">
        <v>42</v>
      </c>
      <c r="B48" s="1177" t="s">
        <v>122</v>
      </c>
      <c r="C48" s="1178">
        <f>+'Table 8 Membership 2.1.14'!N44</f>
        <v>0</v>
      </c>
      <c r="D48" s="1179">
        <f>+'Table 5C1A-Madison Prep'!D48</f>
        <v>5113.6077751368684</v>
      </c>
      <c r="E48" s="1180">
        <f t="shared" si="32"/>
        <v>0</v>
      </c>
      <c r="F48" s="1180">
        <f>+'Table 5C1A-Madison Prep'!F48</f>
        <v>534.28</v>
      </c>
      <c r="G48" s="1180">
        <f t="shared" si="33"/>
        <v>0</v>
      </c>
      <c r="H48" s="1539">
        <f t="shared" si="34"/>
        <v>0</v>
      </c>
      <c r="I48" s="1181"/>
      <c r="J48" s="1181"/>
      <c r="K48" s="1182">
        <f t="shared" si="35"/>
        <v>0</v>
      </c>
      <c r="L48" s="1539">
        <f t="shared" si="53"/>
        <v>0</v>
      </c>
      <c r="M48" s="1388">
        <f t="shared" si="37"/>
        <v>0</v>
      </c>
      <c r="N48" s="1539">
        <f t="shared" si="38"/>
        <v>0</v>
      </c>
      <c r="O48" s="1179">
        <v>0</v>
      </c>
      <c r="P48" s="1539">
        <f t="shared" si="39"/>
        <v>0</v>
      </c>
      <c r="Q48" s="1179"/>
      <c r="R48" s="1179">
        <f t="shared" si="40"/>
        <v>0</v>
      </c>
      <c r="S48" s="1539">
        <f t="shared" si="30"/>
        <v>0</v>
      </c>
      <c r="T48" s="1539">
        <f t="shared" si="41"/>
        <v>0</v>
      </c>
      <c r="U48" s="1397">
        <f>'Table 5C1A-Madison Prep'!U48</f>
        <v>3578</v>
      </c>
      <c r="V48" s="1510">
        <f t="shared" si="54"/>
        <v>0</v>
      </c>
      <c r="W48" s="1391"/>
      <c r="X48" s="1392">
        <f t="shared" si="42"/>
        <v>0</v>
      </c>
      <c r="Y48" s="1391"/>
      <c r="Z48" s="1392">
        <f t="shared" si="43"/>
        <v>0</v>
      </c>
      <c r="AA48" s="1390">
        <f t="shared" si="44"/>
        <v>0</v>
      </c>
      <c r="AB48" s="1510">
        <f t="shared" si="45"/>
        <v>0</v>
      </c>
      <c r="AC48" s="1394">
        <f t="shared" si="46"/>
        <v>0</v>
      </c>
      <c r="AD48" s="1510">
        <f t="shared" si="47"/>
        <v>0</v>
      </c>
      <c r="AE48" s="1395">
        <v>0</v>
      </c>
      <c r="AF48" s="1510">
        <f t="shared" si="48"/>
        <v>0</v>
      </c>
      <c r="AG48" s="1392"/>
      <c r="AH48" s="1392">
        <f t="shared" si="49"/>
        <v>0</v>
      </c>
      <c r="AI48" s="1510">
        <f t="shared" si="50"/>
        <v>0</v>
      </c>
      <c r="AJ48" s="1505">
        <f t="shared" si="51"/>
        <v>0</v>
      </c>
      <c r="AK48" s="1535">
        <f t="shared" si="55"/>
        <v>0</v>
      </c>
    </row>
    <row r="49" spans="1:37" ht="16.2" customHeight="1">
      <c r="A49" s="1176">
        <v>43</v>
      </c>
      <c r="B49" s="1177" t="s">
        <v>123</v>
      </c>
      <c r="C49" s="1178">
        <f>+'Table 8 Membership 2.1.14'!N45</f>
        <v>0</v>
      </c>
      <c r="D49" s="1179">
        <f>+'Table 5C1A-Madison Prep'!D49</f>
        <v>5788.74387205947</v>
      </c>
      <c r="E49" s="1180">
        <f t="shared" si="32"/>
        <v>0</v>
      </c>
      <c r="F49" s="1180">
        <f>+'Table 5C1A-Madison Prep'!F49</f>
        <v>574.6099999999999</v>
      </c>
      <c r="G49" s="1180">
        <f t="shared" si="33"/>
        <v>0</v>
      </c>
      <c r="H49" s="1539">
        <f t="shared" si="34"/>
        <v>0</v>
      </c>
      <c r="I49" s="1181"/>
      <c r="J49" s="1181"/>
      <c r="K49" s="1182">
        <f t="shared" si="35"/>
        <v>0</v>
      </c>
      <c r="L49" s="1539">
        <f t="shared" si="53"/>
        <v>0</v>
      </c>
      <c r="M49" s="1388">
        <f t="shared" si="37"/>
        <v>0</v>
      </c>
      <c r="N49" s="1539">
        <f t="shared" si="38"/>
        <v>0</v>
      </c>
      <c r="O49" s="1179">
        <v>0</v>
      </c>
      <c r="P49" s="1539">
        <f t="shared" si="39"/>
        <v>0</v>
      </c>
      <c r="Q49" s="1179"/>
      <c r="R49" s="1179">
        <f t="shared" si="40"/>
        <v>0</v>
      </c>
      <c r="S49" s="1539">
        <f t="shared" si="30"/>
        <v>0</v>
      </c>
      <c r="T49" s="1539">
        <f t="shared" si="41"/>
        <v>0</v>
      </c>
      <c r="U49" s="1397">
        <f>'Table 5C1A-Madison Prep'!U49</f>
        <v>3205</v>
      </c>
      <c r="V49" s="1510">
        <f t="shared" si="54"/>
        <v>0</v>
      </c>
      <c r="W49" s="1391"/>
      <c r="X49" s="1392">
        <f t="shared" si="42"/>
        <v>0</v>
      </c>
      <c r="Y49" s="1391"/>
      <c r="Z49" s="1392">
        <f t="shared" si="43"/>
        <v>0</v>
      </c>
      <c r="AA49" s="1390">
        <f t="shared" si="44"/>
        <v>0</v>
      </c>
      <c r="AB49" s="1510">
        <f t="shared" si="45"/>
        <v>0</v>
      </c>
      <c r="AC49" s="1394">
        <f t="shared" si="46"/>
        <v>0</v>
      </c>
      <c r="AD49" s="1510">
        <f t="shared" si="47"/>
        <v>0</v>
      </c>
      <c r="AE49" s="1395">
        <v>0</v>
      </c>
      <c r="AF49" s="1510">
        <f t="shared" si="48"/>
        <v>0</v>
      </c>
      <c r="AG49" s="1392"/>
      <c r="AH49" s="1392">
        <f t="shared" si="49"/>
        <v>0</v>
      </c>
      <c r="AI49" s="1510">
        <f t="shared" si="50"/>
        <v>0</v>
      </c>
      <c r="AJ49" s="1505">
        <f t="shared" si="51"/>
        <v>0</v>
      </c>
      <c r="AK49" s="1535">
        <f t="shared" si="55"/>
        <v>0</v>
      </c>
    </row>
    <row r="50" spans="1:37" ht="16.2" customHeight="1">
      <c r="A50" s="1176">
        <v>44</v>
      </c>
      <c r="B50" s="1177" t="s">
        <v>124</v>
      </c>
      <c r="C50" s="1178">
        <f>+'Table 8 Membership 2.1.14'!N46</f>
        <v>4</v>
      </c>
      <c r="D50" s="1179">
        <f>+'Table 5C1A-Madison Prep'!D50</f>
        <v>4897.5958151820359</v>
      </c>
      <c r="E50" s="1180">
        <f t="shared" si="32"/>
        <v>19590.383260728144</v>
      </c>
      <c r="F50" s="1180">
        <f>+'Table 5C1A-Madison Prep'!F50</f>
        <v>663.16000000000008</v>
      </c>
      <c r="G50" s="1180">
        <f t="shared" si="33"/>
        <v>2652.6400000000003</v>
      </c>
      <c r="H50" s="1539">
        <f t="shared" si="34"/>
        <v>22243.023260728143</v>
      </c>
      <c r="I50" s="1181"/>
      <c r="J50" s="1181"/>
      <c r="K50" s="1182">
        <f t="shared" si="35"/>
        <v>0</v>
      </c>
      <c r="L50" s="1539">
        <f t="shared" si="53"/>
        <v>22243.023260728143</v>
      </c>
      <c r="M50" s="1388">
        <f t="shared" si="37"/>
        <v>-55.607558151820356</v>
      </c>
      <c r="N50" s="1539">
        <f t="shared" si="38"/>
        <v>22187.415702576323</v>
      </c>
      <c r="O50" s="1179">
        <v>0</v>
      </c>
      <c r="P50" s="1539">
        <f t="shared" si="39"/>
        <v>22187.415702576323</v>
      </c>
      <c r="Q50" s="1179"/>
      <c r="R50" s="1179">
        <f t="shared" si="40"/>
        <v>22187.415702576323</v>
      </c>
      <c r="S50" s="1539">
        <f t="shared" si="30"/>
        <v>1849</v>
      </c>
      <c r="T50" s="1539">
        <f t="shared" si="41"/>
        <v>22187.415702576323</v>
      </c>
      <c r="U50" s="1397">
        <f>'Table 5C1A-Madison Prep'!U50</f>
        <v>3719</v>
      </c>
      <c r="V50" s="1510">
        <f t="shared" si="54"/>
        <v>14876</v>
      </c>
      <c r="W50" s="1391"/>
      <c r="X50" s="1392">
        <f t="shared" si="42"/>
        <v>0</v>
      </c>
      <c r="Y50" s="1391"/>
      <c r="Z50" s="1392">
        <f t="shared" si="43"/>
        <v>0</v>
      </c>
      <c r="AA50" s="1390">
        <f t="shared" si="44"/>
        <v>0</v>
      </c>
      <c r="AB50" s="1510">
        <f t="shared" si="45"/>
        <v>14876</v>
      </c>
      <c r="AC50" s="1394">
        <f t="shared" si="46"/>
        <v>-37.19</v>
      </c>
      <c r="AD50" s="1510">
        <f t="shared" si="47"/>
        <v>14838.81</v>
      </c>
      <c r="AE50" s="1395">
        <v>0</v>
      </c>
      <c r="AF50" s="1510">
        <f t="shared" si="48"/>
        <v>14838.81</v>
      </c>
      <c r="AG50" s="1392"/>
      <c r="AH50" s="1392">
        <f t="shared" si="49"/>
        <v>14838.81</v>
      </c>
      <c r="AI50" s="1510">
        <f t="shared" si="50"/>
        <v>1237</v>
      </c>
      <c r="AJ50" s="1505">
        <f t="shared" si="51"/>
        <v>37026.225702576325</v>
      </c>
      <c r="AK50" s="1535">
        <f t="shared" si="55"/>
        <v>3086</v>
      </c>
    </row>
    <row r="51" spans="1:37" ht="16.2" customHeight="1">
      <c r="A51" s="1168">
        <v>45</v>
      </c>
      <c r="B51" s="1169" t="s">
        <v>125</v>
      </c>
      <c r="C51" s="1170">
        <f>+'Table 8 Membership 2.1.14'!N47</f>
        <v>2</v>
      </c>
      <c r="D51" s="1171">
        <f>+'Table 5C1A-Madison Prep'!D51</f>
        <v>2054.0472499469101</v>
      </c>
      <c r="E51" s="1172">
        <f t="shared" si="32"/>
        <v>4108.0944998938203</v>
      </c>
      <c r="F51" s="1172">
        <f>+'Table 5C1A-Madison Prep'!F51</f>
        <v>753.96000000000015</v>
      </c>
      <c r="G51" s="1172">
        <f t="shared" si="33"/>
        <v>1507.9200000000003</v>
      </c>
      <c r="H51" s="1540">
        <f t="shared" si="34"/>
        <v>5616.0144998938204</v>
      </c>
      <c r="I51" s="1173"/>
      <c r="J51" s="1173"/>
      <c r="K51" s="1174">
        <f t="shared" si="35"/>
        <v>0</v>
      </c>
      <c r="L51" s="1540">
        <f t="shared" si="53"/>
        <v>5616.0144998938204</v>
      </c>
      <c r="M51" s="1399">
        <f t="shared" si="37"/>
        <v>-14.040036249734552</v>
      </c>
      <c r="N51" s="1540">
        <f t="shared" si="38"/>
        <v>5601.9744636440855</v>
      </c>
      <c r="O51" s="1171">
        <v>0</v>
      </c>
      <c r="P51" s="1540">
        <f t="shared" si="39"/>
        <v>5601.9744636440855</v>
      </c>
      <c r="Q51" s="1386"/>
      <c r="R51" s="1171">
        <f t="shared" si="40"/>
        <v>5601.9744636440855</v>
      </c>
      <c r="S51" s="1553">
        <f t="shared" si="30"/>
        <v>467</v>
      </c>
      <c r="T51" s="1553">
        <f t="shared" si="41"/>
        <v>5601.9744636440855</v>
      </c>
      <c r="U51" s="1387">
        <f>'Table 5C1A-Madison Prep'!U51</f>
        <v>12169</v>
      </c>
      <c r="V51" s="1511">
        <f t="shared" si="54"/>
        <v>24338</v>
      </c>
      <c r="W51" s="1400"/>
      <c r="X51" s="1383">
        <f t="shared" si="42"/>
        <v>0</v>
      </c>
      <c r="Y51" s="1400"/>
      <c r="Z51" s="1383">
        <f t="shared" si="43"/>
        <v>0</v>
      </c>
      <c r="AA51" s="1384">
        <f t="shared" si="44"/>
        <v>0</v>
      </c>
      <c r="AB51" s="1511">
        <f t="shared" si="45"/>
        <v>24338</v>
      </c>
      <c r="AC51" s="1402">
        <f t="shared" si="46"/>
        <v>-60.844999999999999</v>
      </c>
      <c r="AD51" s="1511">
        <f t="shared" si="47"/>
        <v>24277.154999999999</v>
      </c>
      <c r="AE51" s="1385">
        <v>0</v>
      </c>
      <c r="AF51" s="1511">
        <f t="shared" si="48"/>
        <v>24277.154999999999</v>
      </c>
      <c r="AG51" s="1383"/>
      <c r="AH51" s="1383">
        <f t="shared" si="49"/>
        <v>24277.154999999999</v>
      </c>
      <c r="AI51" s="1511">
        <f t="shared" si="50"/>
        <v>2023</v>
      </c>
      <c r="AJ51" s="1531">
        <f t="shared" si="51"/>
        <v>29879.129463644083</v>
      </c>
      <c r="AK51" s="1536">
        <f t="shared" si="55"/>
        <v>2490</v>
      </c>
    </row>
    <row r="52" spans="1:37" ht="16.2" customHeight="1">
      <c r="A52" s="1183">
        <v>46</v>
      </c>
      <c r="B52" s="1184" t="s">
        <v>126</v>
      </c>
      <c r="C52" s="1185">
        <f>+'Table 8 Membership 2.1.14'!N48</f>
        <v>0</v>
      </c>
      <c r="D52" s="1186">
        <f>+'Table 5C1A-Madison Prep'!D52</f>
        <v>6051.2144468088381</v>
      </c>
      <c r="E52" s="1187">
        <f t="shared" si="32"/>
        <v>0</v>
      </c>
      <c r="F52" s="1187">
        <f>+'Table 5C1A-Madison Prep'!F52</f>
        <v>728.06</v>
      </c>
      <c r="G52" s="1187">
        <f t="shared" si="33"/>
        <v>0</v>
      </c>
      <c r="H52" s="1538">
        <f t="shared" si="34"/>
        <v>0</v>
      </c>
      <c r="I52" s="1188"/>
      <c r="J52" s="1188"/>
      <c r="K52" s="1189">
        <f t="shared" si="35"/>
        <v>0</v>
      </c>
      <c r="L52" s="1538">
        <f t="shared" si="53"/>
        <v>0</v>
      </c>
      <c r="M52" s="1372">
        <f t="shared" si="37"/>
        <v>0</v>
      </c>
      <c r="N52" s="1538">
        <f t="shared" si="38"/>
        <v>0</v>
      </c>
      <c r="O52" s="1186">
        <v>0</v>
      </c>
      <c r="P52" s="1538">
        <f t="shared" si="39"/>
        <v>0</v>
      </c>
      <c r="Q52" s="1186"/>
      <c r="R52" s="1186">
        <f t="shared" si="40"/>
        <v>0</v>
      </c>
      <c r="S52" s="1538">
        <f t="shared" si="30"/>
        <v>0</v>
      </c>
      <c r="T52" s="1538">
        <f t="shared" si="41"/>
        <v>0</v>
      </c>
      <c r="U52" s="1381">
        <f>'Table 5C1A-Madison Prep'!U52</f>
        <v>2713</v>
      </c>
      <c r="V52" s="1509">
        <f t="shared" si="54"/>
        <v>0</v>
      </c>
      <c r="W52" s="1375"/>
      <c r="X52" s="1376">
        <f t="shared" si="42"/>
        <v>0</v>
      </c>
      <c r="Y52" s="1375"/>
      <c r="Z52" s="1376">
        <f t="shared" si="43"/>
        <v>0</v>
      </c>
      <c r="AA52" s="1374">
        <f t="shared" si="44"/>
        <v>0</v>
      </c>
      <c r="AB52" s="1509">
        <f t="shared" si="45"/>
        <v>0</v>
      </c>
      <c r="AC52" s="1378">
        <f t="shared" si="46"/>
        <v>0</v>
      </c>
      <c r="AD52" s="1509">
        <f t="shared" si="47"/>
        <v>0</v>
      </c>
      <c r="AE52" s="1379">
        <v>0</v>
      </c>
      <c r="AF52" s="1509">
        <f t="shared" si="48"/>
        <v>0</v>
      </c>
      <c r="AG52" s="1376"/>
      <c r="AH52" s="1376">
        <f t="shared" si="49"/>
        <v>0</v>
      </c>
      <c r="AI52" s="1509">
        <f t="shared" si="50"/>
        <v>0</v>
      </c>
      <c r="AJ52" s="1530">
        <f t="shared" si="51"/>
        <v>0</v>
      </c>
      <c r="AK52" s="1534">
        <f t="shared" si="55"/>
        <v>0</v>
      </c>
    </row>
    <row r="53" spans="1:37" ht="16.2" customHeight="1">
      <c r="A53" s="1176">
        <v>47</v>
      </c>
      <c r="B53" s="1177" t="s">
        <v>127</v>
      </c>
      <c r="C53" s="1178">
        <f>+'Table 8 Membership 2.1.14'!N49</f>
        <v>0</v>
      </c>
      <c r="D53" s="1179">
        <f>+'Table 5C1A-Madison Prep'!D53</f>
        <v>2524.1485257646736</v>
      </c>
      <c r="E53" s="1180">
        <f t="shared" si="32"/>
        <v>0</v>
      </c>
      <c r="F53" s="1180">
        <f>+'Table 5C1A-Madison Prep'!F53</f>
        <v>910.76</v>
      </c>
      <c r="G53" s="1180">
        <f t="shared" si="33"/>
        <v>0</v>
      </c>
      <c r="H53" s="1539">
        <f t="shared" si="34"/>
        <v>0</v>
      </c>
      <c r="I53" s="1181"/>
      <c r="J53" s="1181"/>
      <c r="K53" s="1182">
        <f t="shared" si="35"/>
        <v>0</v>
      </c>
      <c r="L53" s="1539">
        <f t="shared" si="53"/>
        <v>0</v>
      </c>
      <c r="M53" s="1388">
        <f t="shared" si="37"/>
        <v>0</v>
      </c>
      <c r="N53" s="1539">
        <f t="shared" si="38"/>
        <v>0</v>
      </c>
      <c r="O53" s="1179">
        <v>0</v>
      </c>
      <c r="P53" s="1539">
        <f t="shared" si="39"/>
        <v>0</v>
      </c>
      <c r="Q53" s="1179"/>
      <c r="R53" s="1179">
        <f t="shared" si="40"/>
        <v>0</v>
      </c>
      <c r="S53" s="1539">
        <f t="shared" si="30"/>
        <v>0</v>
      </c>
      <c r="T53" s="1539">
        <f t="shared" si="41"/>
        <v>0</v>
      </c>
      <c r="U53" s="1397">
        <f>'Table 5C1A-Madison Prep'!U53</f>
        <v>11701</v>
      </c>
      <c r="V53" s="1510">
        <f t="shared" si="54"/>
        <v>0</v>
      </c>
      <c r="W53" s="1391"/>
      <c r="X53" s="1392">
        <f t="shared" si="42"/>
        <v>0</v>
      </c>
      <c r="Y53" s="1391"/>
      <c r="Z53" s="1392">
        <f t="shared" si="43"/>
        <v>0</v>
      </c>
      <c r="AA53" s="1390">
        <f t="shared" si="44"/>
        <v>0</v>
      </c>
      <c r="AB53" s="1510">
        <f t="shared" si="45"/>
        <v>0</v>
      </c>
      <c r="AC53" s="1394">
        <f t="shared" si="46"/>
        <v>0</v>
      </c>
      <c r="AD53" s="1510">
        <f t="shared" si="47"/>
        <v>0</v>
      </c>
      <c r="AE53" s="1395">
        <v>0</v>
      </c>
      <c r="AF53" s="1510">
        <f t="shared" si="48"/>
        <v>0</v>
      </c>
      <c r="AG53" s="1392"/>
      <c r="AH53" s="1392">
        <f t="shared" si="49"/>
        <v>0</v>
      </c>
      <c r="AI53" s="1510">
        <f t="shared" si="50"/>
        <v>0</v>
      </c>
      <c r="AJ53" s="1505">
        <f t="shared" si="51"/>
        <v>0</v>
      </c>
      <c r="AK53" s="1535">
        <f t="shared" si="55"/>
        <v>0</v>
      </c>
    </row>
    <row r="54" spans="1:37" ht="16.2" customHeight="1">
      <c r="A54" s="1176">
        <v>48</v>
      </c>
      <c r="B54" s="1177" t="s">
        <v>178</v>
      </c>
      <c r="C54" s="1178">
        <f>+'Table 8 Membership 2.1.14'!N50</f>
        <v>0</v>
      </c>
      <c r="D54" s="1179">
        <f>+'Table 5C1A-Madison Prep'!D54</f>
        <v>3983.3582529800719</v>
      </c>
      <c r="E54" s="1180">
        <f t="shared" si="32"/>
        <v>0</v>
      </c>
      <c r="F54" s="1180">
        <f>+'Table 5C1A-Madison Prep'!F54</f>
        <v>871.07</v>
      </c>
      <c r="G54" s="1180">
        <f t="shared" si="33"/>
        <v>0</v>
      </c>
      <c r="H54" s="1539">
        <f t="shared" si="34"/>
        <v>0</v>
      </c>
      <c r="I54" s="1181"/>
      <c r="J54" s="1181"/>
      <c r="K54" s="1182">
        <f t="shared" si="35"/>
        <v>0</v>
      </c>
      <c r="L54" s="1539">
        <f t="shared" si="53"/>
        <v>0</v>
      </c>
      <c r="M54" s="1388">
        <f t="shared" si="37"/>
        <v>0</v>
      </c>
      <c r="N54" s="1539">
        <f t="shared" si="38"/>
        <v>0</v>
      </c>
      <c r="O54" s="1179">
        <v>0</v>
      </c>
      <c r="P54" s="1539">
        <f t="shared" si="39"/>
        <v>0</v>
      </c>
      <c r="Q54" s="1179"/>
      <c r="R54" s="1179">
        <f t="shared" si="40"/>
        <v>0</v>
      </c>
      <c r="S54" s="1539">
        <f t="shared" si="30"/>
        <v>0</v>
      </c>
      <c r="T54" s="1539">
        <f t="shared" si="41"/>
        <v>0</v>
      </c>
      <c r="U54" s="1397">
        <f>'Table 5C1A-Madison Prep'!U54</f>
        <v>7338</v>
      </c>
      <c r="V54" s="1510">
        <f t="shared" si="54"/>
        <v>0</v>
      </c>
      <c r="W54" s="1391"/>
      <c r="X54" s="1392">
        <f t="shared" si="42"/>
        <v>0</v>
      </c>
      <c r="Y54" s="1391"/>
      <c r="Z54" s="1392">
        <f t="shared" si="43"/>
        <v>0</v>
      </c>
      <c r="AA54" s="1390">
        <f t="shared" si="44"/>
        <v>0</v>
      </c>
      <c r="AB54" s="1510">
        <f t="shared" si="45"/>
        <v>0</v>
      </c>
      <c r="AC54" s="1394">
        <f t="shared" si="46"/>
        <v>0</v>
      </c>
      <c r="AD54" s="1510">
        <f t="shared" si="47"/>
        <v>0</v>
      </c>
      <c r="AE54" s="1395">
        <v>0</v>
      </c>
      <c r="AF54" s="1510">
        <f t="shared" si="48"/>
        <v>0</v>
      </c>
      <c r="AG54" s="1392"/>
      <c r="AH54" s="1392">
        <f t="shared" si="49"/>
        <v>0</v>
      </c>
      <c r="AI54" s="1510">
        <f t="shared" si="50"/>
        <v>0</v>
      </c>
      <c r="AJ54" s="1505">
        <f t="shared" si="51"/>
        <v>0</v>
      </c>
      <c r="AK54" s="1535">
        <f t="shared" si="55"/>
        <v>0</v>
      </c>
    </row>
    <row r="55" spans="1:37" ht="16.2" customHeight="1">
      <c r="A55" s="1176">
        <v>49</v>
      </c>
      <c r="B55" s="1177" t="s">
        <v>128</v>
      </c>
      <c r="C55" s="1178">
        <f>+'Table 8 Membership 2.1.14'!N51</f>
        <v>0</v>
      </c>
      <c r="D55" s="1179">
        <f>+'Table 5C1A-Madison Prep'!D55</f>
        <v>4995.8755315659191</v>
      </c>
      <c r="E55" s="1180">
        <f t="shared" si="32"/>
        <v>0</v>
      </c>
      <c r="F55" s="1180">
        <f>+'Table 5C1A-Madison Prep'!F55</f>
        <v>574.43999999999994</v>
      </c>
      <c r="G55" s="1180">
        <f t="shared" si="33"/>
        <v>0</v>
      </c>
      <c r="H55" s="1539">
        <f t="shared" si="34"/>
        <v>0</v>
      </c>
      <c r="I55" s="1181"/>
      <c r="J55" s="1181"/>
      <c r="K55" s="1182">
        <f t="shared" si="35"/>
        <v>0</v>
      </c>
      <c r="L55" s="1539">
        <f t="shared" si="53"/>
        <v>0</v>
      </c>
      <c r="M55" s="1388">
        <f t="shared" si="37"/>
        <v>0</v>
      </c>
      <c r="N55" s="1539">
        <f t="shared" si="38"/>
        <v>0</v>
      </c>
      <c r="O55" s="1179">
        <v>0</v>
      </c>
      <c r="P55" s="1539">
        <f t="shared" si="39"/>
        <v>0</v>
      </c>
      <c r="Q55" s="1179"/>
      <c r="R55" s="1179">
        <f t="shared" si="40"/>
        <v>0</v>
      </c>
      <c r="S55" s="1539">
        <f t="shared" si="30"/>
        <v>0</v>
      </c>
      <c r="T55" s="1539">
        <f t="shared" si="41"/>
        <v>0</v>
      </c>
      <c r="U55" s="1397">
        <f>'Table 5C1A-Madison Prep'!U55</f>
        <v>2353</v>
      </c>
      <c r="V55" s="1510">
        <f t="shared" si="54"/>
        <v>0</v>
      </c>
      <c r="W55" s="1391"/>
      <c r="X55" s="1392">
        <f t="shared" si="42"/>
        <v>0</v>
      </c>
      <c r="Y55" s="1391"/>
      <c r="Z55" s="1392">
        <f t="shared" si="43"/>
        <v>0</v>
      </c>
      <c r="AA55" s="1390">
        <f t="shared" si="44"/>
        <v>0</v>
      </c>
      <c r="AB55" s="1510">
        <f t="shared" si="45"/>
        <v>0</v>
      </c>
      <c r="AC55" s="1394">
        <f t="shared" si="46"/>
        <v>0</v>
      </c>
      <c r="AD55" s="1510">
        <f t="shared" si="47"/>
        <v>0</v>
      </c>
      <c r="AE55" s="1395">
        <v>0</v>
      </c>
      <c r="AF55" s="1510">
        <f t="shared" si="48"/>
        <v>0</v>
      </c>
      <c r="AG55" s="1392"/>
      <c r="AH55" s="1392">
        <f t="shared" si="49"/>
        <v>0</v>
      </c>
      <c r="AI55" s="1510">
        <f t="shared" si="50"/>
        <v>0</v>
      </c>
      <c r="AJ55" s="1505">
        <f t="shared" si="51"/>
        <v>0</v>
      </c>
      <c r="AK55" s="1535">
        <f t="shared" si="55"/>
        <v>0</v>
      </c>
    </row>
    <row r="56" spans="1:37" ht="16.2" customHeight="1">
      <c r="A56" s="1168">
        <v>50</v>
      </c>
      <c r="B56" s="1169" t="s">
        <v>129</v>
      </c>
      <c r="C56" s="1170">
        <f>+'Table 8 Membership 2.1.14'!N52</f>
        <v>0</v>
      </c>
      <c r="D56" s="1171">
        <f>+'Table 5C1A-Madison Prep'!D56</f>
        <v>5177.6892722701677</v>
      </c>
      <c r="E56" s="1172">
        <f t="shared" si="32"/>
        <v>0</v>
      </c>
      <c r="F56" s="1172">
        <f>+'Table 5C1A-Madison Prep'!F56</f>
        <v>634.46</v>
      </c>
      <c r="G56" s="1172">
        <f t="shared" si="33"/>
        <v>0</v>
      </c>
      <c r="H56" s="1540">
        <f t="shared" si="34"/>
        <v>0</v>
      </c>
      <c r="I56" s="1173"/>
      <c r="J56" s="1173"/>
      <c r="K56" s="1174">
        <f t="shared" si="35"/>
        <v>0</v>
      </c>
      <c r="L56" s="1540">
        <f t="shared" si="53"/>
        <v>0</v>
      </c>
      <c r="M56" s="1399">
        <f t="shared" si="37"/>
        <v>0</v>
      </c>
      <c r="N56" s="1540">
        <f t="shared" si="38"/>
        <v>0</v>
      </c>
      <c r="O56" s="1171">
        <v>0</v>
      </c>
      <c r="P56" s="1540">
        <f t="shared" si="39"/>
        <v>0</v>
      </c>
      <c r="Q56" s="1386"/>
      <c r="R56" s="1171">
        <f t="shared" si="40"/>
        <v>0</v>
      </c>
      <c r="S56" s="1553">
        <f t="shared" si="30"/>
        <v>0</v>
      </c>
      <c r="T56" s="1553">
        <f t="shared" si="41"/>
        <v>0</v>
      </c>
      <c r="U56" s="1387">
        <f>'Table 5C1A-Madison Prep'!U56</f>
        <v>3510</v>
      </c>
      <c r="V56" s="1511">
        <f t="shared" si="54"/>
        <v>0</v>
      </c>
      <c r="W56" s="1400"/>
      <c r="X56" s="1383">
        <f t="shared" si="42"/>
        <v>0</v>
      </c>
      <c r="Y56" s="1400"/>
      <c r="Z56" s="1383">
        <f t="shared" si="43"/>
        <v>0</v>
      </c>
      <c r="AA56" s="1384">
        <f t="shared" si="44"/>
        <v>0</v>
      </c>
      <c r="AB56" s="1511">
        <f t="shared" si="45"/>
        <v>0</v>
      </c>
      <c r="AC56" s="1402">
        <f t="shared" si="46"/>
        <v>0</v>
      </c>
      <c r="AD56" s="1511">
        <f t="shared" si="47"/>
        <v>0</v>
      </c>
      <c r="AE56" s="1385">
        <v>0</v>
      </c>
      <c r="AF56" s="1511">
        <f t="shared" si="48"/>
        <v>0</v>
      </c>
      <c r="AG56" s="1383"/>
      <c r="AH56" s="1383">
        <f t="shared" si="49"/>
        <v>0</v>
      </c>
      <c r="AI56" s="1511">
        <f t="shared" si="50"/>
        <v>0</v>
      </c>
      <c r="AJ56" s="1531">
        <f t="shared" si="51"/>
        <v>0</v>
      </c>
      <c r="AK56" s="1536">
        <f t="shared" si="55"/>
        <v>0</v>
      </c>
    </row>
    <row r="57" spans="1:37" ht="16.2" customHeight="1">
      <c r="A57" s="1183">
        <v>51</v>
      </c>
      <c r="B57" s="1184" t="s">
        <v>130</v>
      </c>
      <c r="C57" s="1185">
        <f>+'Table 8 Membership 2.1.14'!N53</f>
        <v>0</v>
      </c>
      <c r="D57" s="1186">
        <f>+'Table 5C1A-Madison Prep'!D57</f>
        <v>4154.1928602178996</v>
      </c>
      <c r="E57" s="1187">
        <f t="shared" si="32"/>
        <v>0</v>
      </c>
      <c r="F57" s="1187">
        <f>+'Table 5C1A-Madison Prep'!F57</f>
        <v>706.66</v>
      </c>
      <c r="G57" s="1187">
        <f t="shared" si="33"/>
        <v>0</v>
      </c>
      <c r="H57" s="1538">
        <f t="shared" si="34"/>
        <v>0</v>
      </c>
      <c r="I57" s="1188"/>
      <c r="J57" s="1188"/>
      <c r="K57" s="1189">
        <f t="shared" si="35"/>
        <v>0</v>
      </c>
      <c r="L57" s="1538">
        <f t="shared" si="53"/>
        <v>0</v>
      </c>
      <c r="M57" s="1372">
        <f t="shared" si="37"/>
        <v>0</v>
      </c>
      <c r="N57" s="1538">
        <f t="shared" si="38"/>
        <v>0</v>
      </c>
      <c r="O57" s="1186">
        <v>0</v>
      </c>
      <c r="P57" s="1538">
        <f t="shared" si="39"/>
        <v>0</v>
      </c>
      <c r="Q57" s="1186"/>
      <c r="R57" s="1186">
        <f t="shared" si="40"/>
        <v>0</v>
      </c>
      <c r="S57" s="1538">
        <f t="shared" si="30"/>
        <v>0</v>
      </c>
      <c r="T57" s="1538">
        <f t="shared" si="41"/>
        <v>0</v>
      </c>
      <c r="U57" s="1381">
        <f>'Table 5C1A-Madison Prep'!U57</f>
        <v>4597</v>
      </c>
      <c r="V57" s="1509">
        <f t="shared" si="54"/>
        <v>0</v>
      </c>
      <c r="W57" s="1375"/>
      <c r="X57" s="1376">
        <f t="shared" si="42"/>
        <v>0</v>
      </c>
      <c r="Y57" s="1375"/>
      <c r="Z57" s="1376">
        <f t="shared" si="43"/>
        <v>0</v>
      </c>
      <c r="AA57" s="1374">
        <f t="shared" si="44"/>
        <v>0</v>
      </c>
      <c r="AB57" s="1509">
        <f t="shared" si="45"/>
        <v>0</v>
      </c>
      <c r="AC57" s="1378">
        <f t="shared" si="46"/>
        <v>0</v>
      </c>
      <c r="AD57" s="1509">
        <f t="shared" si="47"/>
        <v>0</v>
      </c>
      <c r="AE57" s="1379">
        <v>0</v>
      </c>
      <c r="AF57" s="1509">
        <f t="shared" si="48"/>
        <v>0</v>
      </c>
      <c r="AG57" s="1376"/>
      <c r="AH57" s="1376">
        <f t="shared" si="49"/>
        <v>0</v>
      </c>
      <c r="AI57" s="1509">
        <f t="shared" si="50"/>
        <v>0</v>
      </c>
      <c r="AJ57" s="1530">
        <f t="shared" si="51"/>
        <v>0</v>
      </c>
      <c r="AK57" s="1534">
        <f t="shared" si="55"/>
        <v>0</v>
      </c>
    </row>
    <row r="58" spans="1:37" ht="16.2" customHeight="1">
      <c r="A58" s="1176">
        <v>52</v>
      </c>
      <c r="B58" s="1177" t="s">
        <v>131</v>
      </c>
      <c r="C58" s="1178">
        <f>+'Table 8 Membership 2.1.14'!N54</f>
        <v>1</v>
      </c>
      <c r="D58" s="1179">
        <f>+'Table 5C1A-Madison Prep'!D58</f>
        <v>5062.2745845228173</v>
      </c>
      <c r="E58" s="1180">
        <f t="shared" si="32"/>
        <v>5062.2745845228173</v>
      </c>
      <c r="F58" s="1180">
        <f>+'Table 5C1A-Madison Prep'!F58</f>
        <v>658.37</v>
      </c>
      <c r="G58" s="1180">
        <f t="shared" si="33"/>
        <v>658.37</v>
      </c>
      <c r="H58" s="1539">
        <f t="shared" si="34"/>
        <v>5720.6445845228172</v>
      </c>
      <c r="I58" s="1181"/>
      <c r="J58" s="1181"/>
      <c r="K58" s="1182">
        <f t="shared" si="35"/>
        <v>0</v>
      </c>
      <c r="L58" s="1539">
        <f t="shared" si="53"/>
        <v>5720.6445845228172</v>
      </c>
      <c r="M58" s="1388">
        <f t="shared" si="37"/>
        <v>-14.301611461307044</v>
      </c>
      <c r="N58" s="1539">
        <f t="shared" si="38"/>
        <v>5706.3429730615098</v>
      </c>
      <c r="O58" s="1179">
        <v>0</v>
      </c>
      <c r="P58" s="1539">
        <f t="shared" si="39"/>
        <v>5706.3429730615098</v>
      </c>
      <c r="Q58" s="1179"/>
      <c r="R58" s="1179">
        <f t="shared" si="40"/>
        <v>5706.3429730615098</v>
      </c>
      <c r="S58" s="1539">
        <f t="shared" si="30"/>
        <v>476</v>
      </c>
      <c r="T58" s="1539">
        <f t="shared" si="41"/>
        <v>5706.3429730615098</v>
      </c>
      <c r="U58" s="1397">
        <f>'Table 5C1A-Madison Prep'!U58</f>
        <v>5212</v>
      </c>
      <c r="V58" s="1510">
        <f t="shared" si="54"/>
        <v>5212</v>
      </c>
      <c r="W58" s="1391"/>
      <c r="X58" s="1392">
        <f t="shared" si="42"/>
        <v>0</v>
      </c>
      <c r="Y58" s="1391"/>
      <c r="Z58" s="1392">
        <f t="shared" si="43"/>
        <v>0</v>
      </c>
      <c r="AA58" s="1390">
        <f t="shared" si="44"/>
        <v>0</v>
      </c>
      <c r="AB58" s="1510">
        <f t="shared" si="45"/>
        <v>5212</v>
      </c>
      <c r="AC58" s="1394">
        <f t="shared" si="46"/>
        <v>-13.030000000000001</v>
      </c>
      <c r="AD58" s="1510">
        <f t="shared" si="47"/>
        <v>5198.97</v>
      </c>
      <c r="AE58" s="1395">
        <v>0</v>
      </c>
      <c r="AF58" s="1510">
        <f t="shared" si="48"/>
        <v>5198.97</v>
      </c>
      <c r="AG58" s="1392"/>
      <c r="AH58" s="1392">
        <f t="shared" si="49"/>
        <v>5198.97</v>
      </c>
      <c r="AI58" s="1510">
        <f t="shared" si="50"/>
        <v>433</v>
      </c>
      <c r="AJ58" s="1505">
        <f t="shared" si="51"/>
        <v>10905.312973061511</v>
      </c>
      <c r="AK58" s="1535">
        <f t="shared" si="55"/>
        <v>909</v>
      </c>
    </row>
    <row r="59" spans="1:37" ht="16.2" customHeight="1">
      <c r="A59" s="1176">
        <v>53</v>
      </c>
      <c r="B59" s="1177" t="s">
        <v>132</v>
      </c>
      <c r="C59" s="1178">
        <f>+'Table 8 Membership 2.1.14'!N55</f>
        <v>0</v>
      </c>
      <c r="D59" s="1179">
        <f>+'Table 5C1A-Madison Prep'!D59</f>
        <v>5060.1508194045482</v>
      </c>
      <c r="E59" s="1180">
        <f t="shared" si="32"/>
        <v>0</v>
      </c>
      <c r="F59" s="1180">
        <f>+'Table 5C1A-Madison Prep'!F59</f>
        <v>689.74</v>
      </c>
      <c r="G59" s="1180">
        <f t="shared" si="33"/>
        <v>0</v>
      </c>
      <c r="H59" s="1539">
        <f t="shared" si="34"/>
        <v>0</v>
      </c>
      <c r="I59" s="1181"/>
      <c r="J59" s="1181"/>
      <c r="K59" s="1182">
        <f t="shared" si="35"/>
        <v>0</v>
      </c>
      <c r="L59" s="1539">
        <f t="shared" si="53"/>
        <v>0</v>
      </c>
      <c r="M59" s="1388">
        <f t="shared" si="37"/>
        <v>0</v>
      </c>
      <c r="N59" s="1539">
        <f t="shared" si="38"/>
        <v>0</v>
      </c>
      <c r="O59" s="1179">
        <v>0</v>
      </c>
      <c r="P59" s="1539">
        <f t="shared" si="39"/>
        <v>0</v>
      </c>
      <c r="Q59" s="1179"/>
      <c r="R59" s="1179">
        <f t="shared" si="40"/>
        <v>0</v>
      </c>
      <c r="S59" s="1539">
        <f t="shared" si="30"/>
        <v>0</v>
      </c>
      <c r="T59" s="1539">
        <f t="shared" si="41"/>
        <v>0</v>
      </c>
      <c r="U59" s="1397">
        <f>'Table 5C1A-Madison Prep'!U59</f>
        <v>2054</v>
      </c>
      <c r="V59" s="1510">
        <f t="shared" si="54"/>
        <v>0</v>
      </c>
      <c r="W59" s="1391"/>
      <c r="X59" s="1392">
        <f t="shared" si="42"/>
        <v>0</v>
      </c>
      <c r="Y59" s="1391"/>
      <c r="Z59" s="1392">
        <f t="shared" si="43"/>
        <v>0</v>
      </c>
      <c r="AA59" s="1390">
        <f t="shared" si="44"/>
        <v>0</v>
      </c>
      <c r="AB59" s="1510">
        <f t="shared" si="45"/>
        <v>0</v>
      </c>
      <c r="AC59" s="1394">
        <f t="shared" si="46"/>
        <v>0</v>
      </c>
      <c r="AD59" s="1510">
        <f t="shared" si="47"/>
        <v>0</v>
      </c>
      <c r="AE59" s="1395">
        <v>0</v>
      </c>
      <c r="AF59" s="1510">
        <f t="shared" si="48"/>
        <v>0</v>
      </c>
      <c r="AG59" s="1392"/>
      <c r="AH59" s="1392">
        <f t="shared" si="49"/>
        <v>0</v>
      </c>
      <c r="AI59" s="1510">
        <f t="shared" si="50"/>
        <v>0</v>
      </c>
      <c r="AJ59" s="1505">
        <f t="shared" si="51"/>
        <v>0</v>
      </c>
      <c r="AK59" s="1535">
        <f t="shared" si="55"/>
        <v>0</v>
      </c>
    </row>
    <row r="60" spans="1:37" ht="16.2" customHeight="1">
      <c r="A60" s="1176">
        <v>54</v>
      </c>
      <c r="B60" s="1177" t="s">
        <v>133</v>
      </c>
      <c r="C60" s="1178">
        <f>+'Table 8 Membership 2.1.14'!N56</f>
        <v>0</v>
      </c>
      <c r="D60" s="1179">
        <f>+'Table 5C1A-Madison Prep'!D60</f>
        <v>5867.0798370516713</v>
      </c>
      <c r="E60" s="1180">
        <f t="shared" si="32"/>
        <v>0</v>
      </c>
      <c r="F60" s="1180">
        <f>+'Table 5C1A-Madison Prep'!F60</f>
        <v>951.45</v>
      </c>
      <c r="G60" s="1180">
        <f t="shared" si="33"/>
        <v>0</v>
      </c>
      <c r="H60" s="1539">
        <f t="shared" si="34"/>
        <v>0</v>
      </c>
      <c r="I60" s="1181"/>
      <c r="J60" s="1181"/>
      <c r="K60" s="1182">
        <f t="shared" si="35"/>
        <v>0</v>
      </c>
      <c r="L60" s="1539">
        <f t="shared" si="53"/>
        <v>0</v>
      </c>
      <c r="M60" s="1388">
        <f t="shared" si="37"/>
        <v>0</v>
      </c>
      <c r="N60" s="1539">
        <f t="shared" si="38"/>
        <v>0</v>
      </c>
      <c r="O60" s="1179">
        <v>0</v>
      </c>
      <c r="P60" s="1539">
        <f t="shared" si="39"/>
        <v>0</v>
      </c>
      <c r="Q60" s="1179"/>
      <c r="R60" s="1179">
        <f t="shared" si="40"/>
        <v>0</v>
      </c>
      <c r="S60" s="1539">
        <f t="shared" si="30"/>
        <v>0</v>
      </c>
      <c r="T60" s="1539">
        <f t="shared" si="41"/>
        <v>0</v>
      </c>
      <c r="U60" s="1397">
        <f>'Table 5C1A-Madison Prep'!U60</f>
        <v>4116</v>
      </c>
      <c r="V60" s="1510">
        <f t="shared" si="54"/>
        <v>0</v>
      </c>
      <c r="W60" s="1391"/>
      <c r="X60" s="1392">
        <f t="shared" si="42"/>
        <v>0</v>
      </c>
      <c r="Y60" s="1391"/>
      <c r="Z60" s="1392">
        <f t="shared" si="43"/>
        <v>0</v>
      </c>
      <c r="AA60" s="1390">
        <f t="shared" si="44"/>
        <v>0</v>
      </c>
      <c r="AB60" s="1510">
        <f t="shared" si="45"/>
        <v>0</v>
      </c>
      <c r="AC60" s="1394">
        <f t="shared" si="46"/>
        <v>0</v>
      </c>
      <c r="AD60" s="1510">
        <f t="shared" si="47"/>
        <v>0</v>
      </c>
      <c r="AE60" s="1395">
        <v>0</v>
      </c>
      <c r="AF60" s="1510">
        <f t="shared" si="48"/>
        <v>0</v>
      </c>
      <c r="AG60" s="1392"/>
      <c r="AH60" s="1392">
        <f t="shared" si="49"/>
        <v>0</v>
      </c>
      <c r="AI60" s="1510">
        <f t="shared" si="50"/>
        <v>0</v>
      </c>
      <c r="AJ60" s="1505">
        <f t="shared" si="51"/>
        <v>0</v>
      </c>
      <c r="AK60" s="1535">
        <f t="shared" si="55"/>
        <v>0</v>
      </c>
    </row>
    <row r="61" spans="1:37" ht="16.2" customHeight="1">
      <c r="A61" s="1168">
        <v>55</v>
      </c>
      <c r="B61" s="1169" t="s">
        <v>134</v>
      </c>
      <c r="C61" s="1170">
        <f>+'Table 8 Membership 2.1.14'!N57</f>
        <v>0</v>
      </c>
      <c r="D61" s="1171">
        <f>+'Table 5C1A-Madison Prep'!D61</f>
        <v>4266.8225491298481</v>
      </c>
      <c r="E61" s="1172">
        <f t="shared" si="32"/>
        <v>0</v>
      </c>
      <c r="F61" s="1172">
        <f>+'Table 5C1A-Madison Prep'!F61</f>
        <v>795.14</v>
      </c>
      <c r="G61" s="1172">
        <f t="shared" si="33"/>
        <v>0</v>
      </c>
      <c r="H61" s="1540">
        <f t="shared" si="34"/>
        <v>0</v>
      </c>
      <c r="I61" s="1173"/>
      <c r="J61" s="1173"/>
      <c r="K61" s="1174">
        <f t="shared" si="35"/>
        <v>0</v>
      </c>
      <c r="L61" s="1540">
        <f t="shared" si="53"/>
        <v>0</v>
      </c>
      <c r="M61" s="1399">
        <f t="shared" si="37"/>
        <v>0</v>
      </c>
      <c r="N61" s="1540">
        <f t="shared" si="38"/>
        <v>0</v>
      </c>
      <c r="O61" s="1171">
        <v>0</v>
      </c>
      <c r="P61" s="1540">
        <f t="shared" si="39"/>
        <v>0</v>
      </c>
      <c r="Q61" s="1386"/>
      <c r="R61" s="1171">
        <f t="shared" si="40"/>
        <v>0</v>
      </c>
      <c r="S61" s="1553">
        <f t="shared" si="30"/>
        <v>0</v>
      </c>
      <c r="T61" s="1553">
        <f t="shared" si="41"/>
        <v>0</v>
      </c>
      <c r="U61" s="1387">
        <f>'Table 5C1A-Madison Prep'!U61</f>
        <v>3532</v>
      </c>
      <c r="V61" s="1511">
        <f t="shared" si="54"/>
        <v>0</v>
      </c>
      <c r="W61" s="1400"/>
      <c r="X61" s="1383">
        <f t="shared" si="42"/>
        <v>0</v>
      </c>
      <c r="Y61" s="1400"/>
      <c r="Z61" s="1383">
        <f t="shared" si="43"/>
        <v>0</v>
      </c>
      <c r="AA61" s="1384">
        <f t="shared" si="44"/>
        <v>0</v>
      </c>
      <c r="AB61" s="1511">
        <f t="shared" si="45"/>
        <v>0</v>
      </c>
      <c r="AC61" s="1402">
        <f t="shared" si="46"/>
        <v>0</v>
      </c>
      <c r="AD61" s="1511">
        <f t="shared" si="47"/>
        <v>0</v>
      </c>
      <c r="AE61" s="1385">
        <v>0</v>
      </c>
      <c r="AF61" s="1511">
        <f t="shared" si="48"/>
        <v>0</v>
      </c>
      <c r="AG61" s="1383"/>
      <c r="AH61" s="1383">
        <f t="shared" si="49"/>
        <v>0</v>
      </c>
      <c r="AI61" s="1511">
        <f t="shared" si="50"/>
        <v>0</v>
      </c>
      <c r="AJ61" s="1531">
        <f t="shared" si="51"/>
        <v>0</v>
      </c>
      <c r="AK61" s="1536">
        <f t="shared" si="55"/>
        <v>0</v>
      </c>
    </row>
    <row r="62" spans="1:37" ht="16.2" customHeight="1">
      <c r="A62" s="1183">
        <v>56</v>
      </c>
      <c r="B62" s="1184" t="s">
        <v>135</v>
      </c>
      <c r="C62" s="1185">
        <f>+'Table 8 Membership 2.1.14'!N58</f>
        <v>0</v>
      </c>
      <c r="D62" s="1186">
        <f>+'Table 5C1A-Madison Prep'!D62</f>
        <v>5028.4909408288286</v>
      </c>
      <c r="E62" s="1187">
        <f t="shared" si="32"/>
        <v>0</v>
      </c>
      <c r="F62" s="1187">
        <f>+'Table 5C1A-Madison Prep'!F62</f>
        <v>614.66000000000008</v>
      </c>
      <c r="G62" s="1187">
        <f t="shared" si="33"/>
        <v>0</v>
      </c>
      <c r="H62" s="1538">
        <f t="shared" si="34"/>
        <v>0</v>
      </c>
      <c r="I62" s="1188"/>
      <c r="J62" s="1188"/>
      <c r="K62" s="1189">
        <f t="shared" si="35"/>
        <v>0</v>
      </c>
      <c r="L62" s="1538">
        <f t="shared" si="53"/>
        <v>0</v>
      </c>
      <c r="M62" s="1372">
        <f t="shared" si="37"/>
        <v>0</v>
      </c>
      <c r="N62" s="1538">
        <f t="shared" si="38"/>
        <v>0</v>
      </c>
      <c r="O62" s="1186">
        <v>0</v>
      </c>
      <c r="P62" s="1538">
        <f t="shared" si="39"/>
        <v>0</v>
      </c>
      <c r="Q62" s="1186"/>
      <c r="R62" s="1186">
        <f t="shared" si="40"/>
        <v>0</v>
      </c>
      <c r="S62" s="1538">
        <f t="shared" si="30"/>
        <v>0</v>
      </c>
      <c r="T62" s="1538">
        <f t="shared" si="41"/>
        <v>0</v>
      </c>
      <c r="U62" s="1381">
        <f>'Table 5C1A-Madison Prep'!U62</f>
        <v>2865</v>
      </c>
      <c r="V62" s="1509">
        <f t="shared" si="54"/>
        <v>0</v>
      </c>
      <c r="W62" s="1375"/>
      <c r="X62" s="1376">
        <f t="shared" si="42"/>
        <v>0</v>
      </c>
      <c r="Y62" s="1375"/>
      <c r="Z62" s="1376">
        <f t="shared" si="43"/>
        <v>0</v>
      </c>
      <c r="AA62" s="1374">
        <f t="shared" si="44"/>
        <v>0</v>
      </c>
      <c r="AB62" s="1509">
        <f t="shared" si="45"/>
        <v>0</v>
      </c>
      <c r="AC62" s="1378">
        <f t="shared" si="46"/>
        <v>0</v>
      </c>
      <c r="AD62" s="1509">
        <f t="shared" si="47"/>
        <v>0</v>
      </c>
      <c r="AE62" s="1379">
        <v>0</v>
      </c>
      <c r="AF62" s="1509">
        <f t="shared" si="48"/>
        <v>0</v>
      </c>
      <c r="AG62" s="1376"/>
      <c r="AH62" s="1376">
        <f t="shared" si="49"/>
        <v>0</v>
      </c>
      <c r="AI62" s="1509">
        <f t="shared" si="50"/>
        <v>0</v>
      </c>
      <c r="AJ62" s="1530">
        <f t="shared" si="51"/>
        <v>0</v>
      </c>
      <c r="AK62" s="1534">
        <f t="shared" si="55"/>
        <v>0</v>
      </c>
    </row>
    <row r="63" spans="1:37" ht="16.2" customHeight="1">
      <c r="A63" s="1176">
        <v>57</v>
      </c>
      <c r="B63" s="1177" t="s">
        <v>136</v>
      </c>
      <c r="C63" s="1178">
        <f>+'Table 8 Membership 2.1.14'!N59</f>
        <v>0</v>
      </c>
      <c r="D63" s="1179">
        <f>+'Table 5C1A-Madison Prep'!D63</f>
        <v>4625.9922979230687</v>
      </c>
      <c r="E63" s="1180">
        <f t="shared" si="32"/>
        <v>0</v>
      </c>
      <c r="F63" s="1180">
        <f>+'Table 5C1A-Madison Prep'!F63</f>
        <v>764.51</v>
      </c>
      <c r="G63" s="1180">
        <f t="shared" si="33"/>
        <v>0</v>
      </c>
      <c r="H63" s="1539">
        <f t="shared" si="34"/>
        <v>0</v>
      </c>
      <c r="I63" s="1181"/>
      <c r="J63" s="1181"/>
      <c r="K63" s="1182">
        <f t="shared" si="35"/>
        <v>0</v>
      </c>
      <c r="L63" s="1539">
        <f t="shared" si="53"/>
        <v>0</v>
      </c>
      <c r="M63" s="1388">
        <f t="shared" si="37"/>
        <v>0</v>
      </c>
      <c r="N63" s="1539">
        <f t="shared" si="38"/>
        <v>0</v>
      </c>
      <c r="O63" s="1179">
        <v>0</v>
      </c>
      <c r="P63" s="1539">
        <f t="shared" si="39"/>
        <v>0</v>
      </c>
      <c r="Q63" s="1179"/>
      <c r="R63" s="1179">
        <f t="shared" si="40"/>
        <v>0</v>
      </c>
      <c r="S63" s="1539">
        <f t="shared" si="30"/>
        <v>0</v>
      </c>
      <c r="T63" s="1539">
        <f t="shared" si="41"/>
        <v>0</v>
      </c>
      <c r="U63" s="1397">
        <f>'Table 5C1A-Madison Prep'!U63</f>
        <v>3395</v>
      </c>
      <c r="V63" s="1510">
        <f t="shared" si="54"/>
        <v>0</v>
      </c>
      <c r="W63" s="1391"/>
      <c r="X63" s="1392">
        <f t="shared" si="42"/>
        <v>0</v>
      </c>
      <c r="Y63" s="1391"/>
      <c r="Z63" s="1392">
        <f t="shared" si="43"/>
        <v>0</v>
      </c>
      <c r="AA63" s="1390">
        <f t="shared" si="44"/>
        <v>0</v>
      </c>
      <c r="AB63" s="1510">
        <f t="shared" si="45"/>
        <v>0</v>
      </c>
      <c r="AC63" s="1394">
        <f t="shared" si="46"/>
        <v>0</v>
      </c>
      <c r="AD63" s="1510">
        <f t="shared" si="47"/>
        <v>0</v>
      </c>
      <c r="AE63" s="1395">
        <v>0</v>
      </c>
      <c r="AF63" s="1510">
        <f t="shared" si="48"/>
        <v>0</v>
      </c>
      <c r="AG63" s="1392"/>
      <c r="AH63" s="1392">
        <f t="shared" si="49"/>
        <v>0</v>
      </c>
      <c r="AI63" s="1510">
        <f t="shared" si="50"/>
        <v>0</v>
      </c>
      <c r="AJ63" s="1505">
        <f t="shared" si="51"/>
        <v>0</v>
      </c>
      <c r="AK63" s="1535">
        <f t="shared" si="55"/>
        <v>0</v>
      </c>
    </row>
    <row r="64" spans="1:37" ht="16.2" customHeight="1">
      <c r="A64" s="1176">
        <v>58</v>
      </c>
      <c r="B64" s="1177" t="s">
        <v>137</v>
      </c>
      <c r="C64" s="1178">
        <f>+'Table 8 Membership 2.1.14'!N60</f>
        <v>0</v>
      </c>
      <c r="D64" s="1179">
        <f>+'Table 5C1A-Madison Prep'!D64</f>
        <v>5673.1129637882123</v>
      </c>
      <c r="E64" s="1180">
        <f t="shared" si="32"/>
        <v>0</v>
      </c>
      <c r="F64" s="1180">
        <f>+'Table 5C1A-Madison Prep'!F64</f>
        <v>697.04</v>
      </c>
      <c r="G64" s="1180">
        <f t="shared" si="33"/>
        <v>0</v>
      </c>
      <c r="H64" s="1539">
        <f t="shared" si="34"/>
        <v>0</v>
      </c>
      <c r="I64" s="1181"/>
      <c r="J64" s="1181"/>
      <c r="K64" s="1182">
        <f t="shared" si="35"/>
        <v>0</v>
      </c>
      <c r="L64" s="1539">
        <f t="shared" si="53"/>
        <v>0</v>
      </c>
      <c r="M64" s="1388">
        <f t="shared" si="37"/>
        <v>0</v>
      </c>
      <c r="N64" s="1539">
        <f t="shared" si="38"/>
        <v>0</v>
      </c>
      <c r="O64" s="1179">
        <v>0</v>
      </c>
      <c r="P64" s="1539">
        <f t="shared" si="39"/>
        <v>0</v>
      </c>
      <c r="Q64" s="1179"/>
      <c r="R64" s="1179">
        <f t="shared" si="40"/>
        <v>0</v>
      </c>
      <c r="S64" s="1539">
        <f t="shared" si="30"/>
        <v>0</v>
      </c>
      <c r="T64" s="1539">
        <f t="shared" si="41"/>
        <v>0</v>
      </c>
      <c r="U64" s="1397">
        <f>'Table 5C1A-Madison Prep'!U64</f>
        <v>2084</v>
      </c>
      <c r="V64" s="1510">
        <f t="shared" si="54"/>
        <v>0</v>
      </c>
      <c r="W64" s="1391"/>
      <c r="X64" s="1392">
        <f t="shared" si="42"/>
        <v>0</v>
      </c>
      <c r="Y64" s="1391"/>
      <c r="Z64" s="1392">
        <f t="shared" si="43"/>
        <v>0</v>
      </c>
      <c r="AA64" s="1390">
        <f t="shared" si="44"/>
        <v>0</v>
      </c>
      <c r="AB64" s="1510">
        <f t="shared" si="45"/>
        <v>0</v>
      </c>
      <c r="AC64" s="1394">
        <f t="shared" si="46"/>
        <v>0</v>
      </c>
      <c r="AD64" s="1510">
        <f t="shared" si="47"/>
        <v>0</v>
      </c>
      <c r="AE64" s="1395">
        <v>0</v>
      </c>
      <c r="AF64" s="1510">
        <f t="shared" si="48"/>
        <v>0</v>
      </c>
      <c r="AG64" s="1392"/>
      <c r="AH64" s="1392">
        <f t="shared" si="49"/>
        <v>0</v>
      </c>
      <c r="AI64" s="1510">
        <f t="shared" si="50"/>
        <v>0</v>
      </c>
      <c r="AJ64" s="1505">
        <f t="shared" si="51"/>
        <v>0</v>
      </c>
      <c r="AK64" s="1535">
        <f t="shared" si="55"/>
        <v>0</v>
      </c>
    </row>
    <row r="65" spans="1:37" ht="16.2" customHeight="1">
      <c r="A65" s="1176">
        <v>59</v>
      </c>
      <c r="B65" s="1177" t="s">
        <v>138</v>
      </c>
      <c r="C65" s="1178">
        <f>+'Table 8 Membership 2.1.14'!N61</f>
        <v>0</v>
      </c>
      <c r="D65" s="1179">
        <f>+'Table 5C1A-Madison Prep'!D65</f>
        <v>6621.946293521848</v>
      </c>
      <c r="E65" s="1180">
        <f t="shared" si="32"/>
        <v>0</v>
      </c>
      <c r="F65" s="1180">
        <f>+'Table 5C1A-Madison Prep'!F65</f>
        <v>689.52</v>
      </c>
      <c r="G65" s="1180">
        <f t="shared" si="33"/>
        <v>0</v>
      </c>
      <c r="H65" s="1539">
        <f t="shared" si="34"/>
        <v>0</v>
      </c>
      <c r="I65" s="1181"/>
      <c r="J65" s="1181"/>
      <c r="K65" s="1182">
        <f t="shared" si="35"/>
        <v>0</v>
      </c>
      <c r="L65" s="1539">
        <f t="shared" si="53"/>
        <v>0</v>
      </c>
      <c r="M65" s="1388">
        <f t="shared" si="37"/>
        <v>0</v>
      </c>
      <c r="N65" s="1539">
        <f t="shared" si="38"/>
        <v>0</v>
      </c>
      <c r="O65" s="1179">
        <v>0</v>
      </c>
      <c r="P65" s="1539">
        <f t="shared" si="39"/>
        <v>0</v>
      </c>
      <c r="Q65" s="1179"/>
      <c r="R65" s="1179">
        <f t="shared" si="40"/>
        <v>0</v>
      </c>
      <c r="S65" s="1539">
        <f t="shared" si="30"/>
        <v>0</v>
      </c>
      <c r="T65" s="1539">
        <f t="shared" si="41"/>
        <v>0</v>
      </c>
      <c r="U65" s="1397">
        <f>'Table 5C1A-Madison Prep'!U65</f>
        <v>1577</v>
      </c>
      <c r="V65" s="1510">
        <f t="shared" si="54"/>
        <v>0</v>
      </c>
      <c r="W65" s="1391"/>
      <c r="X65" s="1392">
        <f t="shared" si="42"/>
        <v>0</v>
      </c>
      <c r="Y65" s="1391"/>
      <c r="Z65" s="1392">
        <f t="shared" si="43"/>
        <v>0</v>
      </c>
      <c r="AA65" s="1390">
        <f t="shared" si="44"/>
        <v>0</v>
      </c>
      <c r="AB65" s="1510">
        <f t="shared" si="45"/>
        <v>0</v>
      </c>
      <c r="AC65" s="1394">
        <f t="shared" si="46"/>
        <v>0</v>
      </c>
      <c r="AD65" s="1510">
        <f t="shared" si="47"/>
        <v>0</v>
      </c>
      <c r="AE65" s="1395">
        <v>0</v>
      </c>
      <c r="AF65" s="1510">
        <f t="shared" si="48"/>
        <v>0</v>
      </c>
      <c r="AG65" s="1392"/>
      <c r="AH65" s="1392">
        <f t="shared" si="49"/>
        <v>0</v>
      </c>
      <c r="AI65" s="1510">
        <f t="shared" si="50"/>
        <v>0</v>
      </c>
      <c r="AJ65" s="1505">
        <f t="shared" si="51"/>
        <v>0</v>
      </c>
      <c r="AK65" s="1535">
        <f t="shared" si="55"/>
        <v>0</v>
      </c>
    </row>
    <row r="66" spans="1:37" ht="16.2" customHeight="1">
      <c r="A66" s="1168">
        <v>60</v>
      </c>
      <c r="B66" s="1169" t="s">
        <v>139</v>
      </c>
      <c r="C66" s="1170">
        <f>+'Table 8 Membership 2.1.14'!N62</f>
        <v>0</v>
      </c>
      <c r="D66" s="1171">
        <f>+'Table 5C1A-Madison Prep'!D66</f>
        <v>5301.224090063828</v>
      </c>
      <c r="E66" s="1172">
        <f t="shared" si="32"/>
        <v>0</v>
      </c>
      <c r="F66" s="1172">
        <f>+'Table 5C1A-Madison Prep'!F66</f>
        <v>594.04</v>
      </c>
      <c r="G66" s="1172">
        <f t="shared" si="33"/>
        <v>0</v>
      </c>
      <c r="H66" s="1540">
        <f t="shared" si="34"/>
        <v>0</v>
      </c>
      <c r="I66" s="1173"/>
      <c r="J66" s="1173"/>
      <c r="K66" s="1174">
        <f t="shared" si="35"/>
        <v>0</v>
      </c>
      <c r="L66" s="1540">
        <f t="shared" si="53"/>
        <v>0</v>
      </c>
      <c r="M66" s="1399">
        <f t="shared" si="37"/>
        <v>0</v>
      </c>
      <c r="N66" s="1540">
        <f t="shared" si="38"/>
        <v>0</v>
      </c>
      <c r="O66" s="1171">
        <v>0</v>
      </c>
      <c r="P66" s="1540">
        <f t="shared" si="39"/>
        <v>0</v>
      </c>
      <c r="Q66" s="1386"/>
      <c r="R66" s="1171">
        <f t="shared" si="40"/>
        <v>0</v>
      </c>
      <c r="S66" s="1553">
        <f t="shared" si="30"/>
        <v>0</v>
      </c>
      <c r="T66" s="1553">
        <f t="shared" si="41"/>
        <v>0</v>
      </c>
      <c r="U66" s="1387">
        <f>'Table 5C1A-Madison Prep'!U66</f>
        <v>3922</v>
      </c>
      <c r="V66" s="1511">
        <f t="shared" si="54"/>
        <v>0</v>
      </c>
      <c r="W66" s="1400"/>
      <c r="X66" s="1383">
        <f t="shared" si="42"/>
        <v>0</v>
      </c>
      <c r="Y66" s="1400"/>
      <c r="Z66" s="1383">
        <f t="shared" si="43"/>
        <v>0</v>
      </c>
      <c r="AA66" s="1384">
        <f t="shared" si="44"/>
        <v>0</v>
      </c>
      <c r="AB66" s="1511">
        <f t="shared" si="45"/>
        <v>0</v>
      </c>
      <c r="AC66" s="1402">
        <f t="shared" si="46"/>
        <v>0</v>
      </c>
      <c r="AD66" s="1511">
        <f t="shared" si="47"/>
        <v>0</v>
      </c>
      <c r="AE66" s="1385">
        <v>0</v>
      </c>
      <c r="AF66" s="1511">
        <f t="shared" si="48"/>
        <v>0</v>
      </c>
      <c r="AG66" s="1383"/>
      <c r="AH66" s="1383">
        <f t="shared" si="49"/>
        <v>0</v>
      </c>
      <c r="AI66" s="1511">
        <f t="shared" si="50"/>
        <v>0</v>
      </c>
      <c r="AJ66" s="1531">
        <f t="shared" si="51"/>
        <v>0</v>
      </c>
      <c r="AK66" s="1536">
        <f t="shared" si="55"/>
        <v>0</v>
      </c>
    </row>
    <row r="67" spans="1:37" ht="16.2" customHeight="1">
      <c r="A67" s="1183">
        <v>61</v>
      </c>
      <c r="B67" s="1184" t="s">
        <v>140</v>
      </c>
      <c r="C67" s="1185">
        <f>+'Table 8 Membership 2.1.14'!N63</f>
        <v>0</v>
      </c>
      <c r="D67" s="1186">
        <f>+'Table 5C1A-Madison Prep'!D67</f>
        <v>2854.1575356369185</v>
      </c>
      <c r="E67" s="1187">
        <f t="shared" si="32"/>
        <v>0</v>
      </c>
      <c r="F67" s="1187">
        <f>+'Table 5C1A-Madison Prep'!F67</f>
        <v>833.70999999999992</v>
      </c>
      <c r="G67" s="1187">
        <f t="shared" si="33"/>
        <v>0</v>
      </c>
      <c r="H67" s="1538">
        <f t="shared" si="34"/>
        <v>0</v>
      </c>
      <c r="I67" s="1188"/>
      <c r="J67" s="1188"/>
      <c r="K67" s="1189">
        <f t="shared" si="35"/>
        <v>0</v>
      </c>
      <c r="L67" s="1538">
        <f t="shared" si="53"/>
        <v>0</v>
      </c>
      <c r="M67" s="1372">
        <f t="shared" si="37"/>
        <v>0</v>
      </c>
      <c r="N67" s="1538">
        <f t="shared" si="38"/>
        <v>0</v>
      </c>
      <c r="O67" s="1186">
        <v>0</v>
      </c>
      <c r="P67" s="1538">
        <f t="shared" si="39"/>
        <v>0</v>
      </c>
      <c r="Q67" s="1186"/>
      <c r="R67" s="1186">
        <f t="shared" si="40"/>
        <v>0</v>
      </c>
      <c r="S67" s="1538">
        <f t="shared" si="30"/>
        <v>0</v>
      </c>
      <c r="T67" s="1538">
        <f t="shared" si="41"/>
        <v>0</v>
      </c>
      <c r="U67" s="1381">
        <f>'Table 5C1A-Madison Prep'!U67</f>
        <v>6745</v>
      </c>
      <c r="V67" s="1509">
        <f t="shared" si="54"/>
        <v>0</v>
      </c>
      <c r="W67" s="1375"/>
      <c r="X67" s="1376">
        <f t="shared" si="42"/>
        <v>0</v>
      </c>
      <c r="Y67" s="1375"/>
      <c r="Z67" s="1376">
        <f t="shared" si="43"/>
        <v>0</v>
      </c>
      <c r="AA67" s="1374">
        <f t="shared" si="44"/>
        <v>0</v>
      </c>
      <c r="AB67" s="1509">
        <f t="shared" si="45"/>
        <v>0</v>
      </c>
      <c r="AC67" s="1378">
        <f t="shared" si="46"/>
        <v>0</v>
      </c>
      <c r="AD67" s="1509">
        <f t="shared" si="47"/>
        <v>0</v>
      </c>
      <c r="AE67" s="1379">
        <v>0</v>
      </c>
      <c r="AF67" s="1509">
        <f t="shared" si="48"/>
        <v>0</v>
      </c>
      <c r="AG67" s="1376"/>
      <c r="AH67" s="1376">
        <f t="shared" si="49"/>
        <v>0</v>
      </c>
      <c r="AI67" s="1509">
        <f t="shared" si="50"/>
        <v>0</v>
      </c>
      <c r="AJ67" s="1530">
        <f t="shared" si="51"/>
        <v>0</v>
      </c>
      <c r="AK67" s="1534">
        <f t="shared" si="55"/>
        <v>0</v>
      </c>
    </row>
    <row r="68" spans="1:37" ht="16.2" customHeight="1">
      <c r="A68" s="1176">
        <v>62</v>
      </c>
      <c r="B68" s="1177" t="s">
        <v>141</v>
      </c>
      <c r="C68" s="1178">
        <f>+'Table 8 Membership 2.1.14'!N64</f>
        <v>0</v>
      </c>
      <c r="D68" s="1179">
        <f>+'Table 5C1A-Madison Prep'!D68</f>
        <v>5901.074538516008</v>
      </c>
      <c r="E68" s="1180">
        <f t="shared" si="32"/>
        <v>0</v>
      </c>
      <c r="F68" s="1180">
        <f>+'Table 5C1A-Madison Prep'!F68</f>
        <v>516.08000000000004</v>
      </c>
      <c r="G68" s="1180">
        <f t="shared" si="33"/>
        <v>0</v>
      </c>
      <c r="H68" s="1539">
        <f t="shared" si="34"/>
        <v>0</v>
      </c>
      <c r="I68" s="1181"/>
      <c r="J68" s="1181"/>
      <c r="K68" s="1182">
        <f t="shared" si="35"/>
        <v>0</v>
      </c>
      <c r="L68" s="1539">
        <f t="shared" si="53"/>
        <v>0</v>
      </c>
      <c r="M68" s="1388">
        <f t="shared" si="37"/>
        <v>0</v>
      </c>
      <c r="N68" s="1539">
        <f t="shared" si="38"/>
        <v>0</v>
      </c>
      <c r="O68" s="1179">
        <v>0</v>
      </c>
      <c r="P68" s="1539">
        <f t="shared" si="39"/>
        <v>0</v>
      </c>
      <c r="Q68" s="1179"/>
      <c r="R68" s="1179">
        <f t="shared" si="40"/>
        <v>0</v>
      </c>
      <c r="S68" s="1539">
        <f t="shared" si="30"/>
        <v>0</v>
      </c>
      <c r="T68" s="1539">
        <f t="shared" si="41"/>
        <v>0</v>
      </c>
      <c r="U68" s="1397">
        <f>'Table 5C1A-Madison Prep'!U68</f>
        <v>1908</v>
      </c>
      <c r="V68" s="1510">
        <f t="shared" si="54"/>
        <v>0</v>
      </c>
      <c r="W68" s="1391"/>
      <c r="X68" s="1392">
        <f t="shared" si="42"/>
        <v>0</v>
      </c>
      <c r="Y68" s="1391"/>
      <c r="Z68" s="1392">
        <f t="shared" si="43"/>
        <v>0</v>
      </c>
      <c r="AA68" s="1390">
        <f t="shared" si="44"/>
        <v>0</v>
      </c>
      <c r="AB68" s="1510">
        <f t="shared" si="45"/>
        <v>0</v>
      </c>
      <c r="AC68" s="1394">
        <f t="shared" si="46"/>
        <v>0</v>
      </c>
      <c r="AD68" s="1510">
        <f t="shared" si="47"/>
        <v>0</v>
      </c>
      <c r="AE68" s="1395">
        <v>0</v>
      </c>
      <c r="AF68" s="1510">
        <f t="shared" si="48"/>
        <v>0</v>
      </c>
      <c r="AG68" s="1392"/>
      <c r="AH68" s="1392">
        <f t="shared" si="49"/>
        <v>0</v>
      </c>
      <c r="AI68" s="1510">
        <f t="shared" si="50"/>
        <v>0</v>
      </c>
      <c r="AJ68" s="1505">
        <f t="shared" si="51"/>
        <v>0</v>
      </c>
      <c r="AK68" s="1535">
        <f t="shared" si="55"/>
        <v>0</v>
      </c>
    </row>
    <row r="69" spans="1:37" ht="16.2" customHeight="1">
      <c r="A69" s="1176">
        <v>63</v>
      </c>
      <c r="B69" s="1177" t="s">
        <v>142</v>
      </c>
      <c r="C69" s="1178">
        <f>+'Table 8 Membership 2.1.14'!N65</f>
        <v>0</v>
      </c>
      <c r="D69" s="1179">
        <f>+'Table 5C1A-Madison Prep'!D69</f>
        <v>4124.3813481848092</v>
      </c>
      <c r="E69" s="1180">
        <f t="shared" si="32"/>
        <v>0</v>
      </c>
      <c r="F69" s="1180">
        <f>+'Table 5C1A-Madison Prep'!F69</f>
        <v>756.79</v>
      </c>
      <c r="G69" s="1180">
        <f t="shared" si="33"/>
        <v>0</v>
      </c>
      <c r="H69" s="1539">
        <f t="shared" si="34"/>
        <v>0</v>
      </c>
      <c r="I69" s="1181"/>
      <c r="J69" s="1181"/>
      <c r="K69" s="1182">
        <f t="shared" si="35"/>
        <v>0</v>
      </c>
      <c r="L69" s="1539">
        <f t="shared" si="53"/>
        <v>0</v>
      </c>
      <c r="M69" s="1388">
        <f t="shared" si="37"/>
        <v>0</v>
      </c>
      <c r="N69" s="1539">
        <f t="shared" si="38"/>
        <v>0</v>
      </c>
      <c r="O69" s="1179">
        <v>0</v>
      </c>
      <c r="P69" s="1539">
        <f t="shared" si="39"/>
        <v>0</v>
      </c>
      <c r="Q69" s="1179"/>
      <c r="R69" s="1179">
        <f t="shared" si="40"/>
        <v>0</v>
      </c>
      <c r="S69" s="1539">
        <f t="shared" si="30"/>
        <v>0</v>
      </c>
      <c r="T69" s="1539">
        <f t="shared" si="41"/>
        <v>0</v>
      </c>
      <c r="U69" s="1397">
        <f>'Table 5C1A-Madison Prep'!U69</f>
        <v>7290</v>
      </c>
      <c r="V69" s="1510">
        <f t="shared" si="54"/>
        <v>0</v>
      </c>
      <c r="W69" s="1391"/>
      <c r="X69" s="1392">
        <f t="shared" si="42"/>
        <v>0</v>
      </c>
      <c r="Y69" s="1391"/>
      <c r="Z69" s="1392">
        <f t="shared" si="43"/>
        <v>0</v>
      </c>
      <c r="AA69" s="1390">
        <f t="shared" si="44"/>
        <v>0</v>
      </c>
      <c r="AB69" s="1510">
        <f t="shared" si="45"/>
        <v>0</v>
      </c>
      <c r="AC69" s="1394">
        <f t="shared" si="46"/>
        <v>0</v>
      </c>
      <c r="AD69" s="1510">
        <f t="shared" si="47"/>
        <v>0</v>
      </c>
      <c r="AE69" s="1395">
        <v>0</v>
      </c>
      <c r="AF69" s="1510">
        <f t="shared" si="48"/>
        <v>0</v>
      </c>
      <c r="AG69" s="1392"/>
      <c r="AH69" s="1392">
        <f t="shared" si="49"/>
        <v>0</v>
      </c>
      <c r="AI69" s="1510">
        <f t="shared" si="50"/>
        <v>0</v>
      </c>
      <c r="AJ69" s="1505">
        <f t="shared" si="51"/>
        <v>0</v>
      </c>
      <c r="AK69" s="1535">
        <f t="shared" si="55"/>
        <v>0</v>
      </c>
    </row>
    <row r="70" spans="1:37" ht="16.2" customHeight="1">
      <c r="A70" s="1176">
        <v>64</v>
      </c>
      <c r="B70" s="1177" t="s">
        <v>143</v>
      </c>
      <c r="C70" s="1178">
        <f>+'Table 8 Membership 2.1.14'!N66</f>
        <v>0</v>
      </c>
      <c r="D70" s="1179">
        <f>+'Table 5C1A-Madison Prep'!D70</f>
        <v>6277.8307532778254</v>
      </c>
      <c r="E70" s="1180">
        <f t="shared" si="32"/>
        <v>0</v>
      </c>
      <c r="F70" s="1180">
        <f>+'Table 5C1A-Madison Prep'!F70</f>
        <v>592.66</v>
      </c>
      <c r="G70" s="1180">
        <f t="shared" si="33"/>
        <v>0</v>
      </c>
      <c r="H70" s="1539">
        <f t="shared" si="34"/>
        <v>0</v>
      </c>
      <c r="I70" s="1181"/>
      <c r="J70" s="1181"/>
      <c r="K70" s="1182">
        <f t="shared" si="35"/>
        <v>0</v>
      </c>
      <c r="L70" s="1539">
        <f t="shared" si="53"/>
        <v>0</v>
      </c>
      <c r="M70" s="1388">
        <f t="shared" si="37"/>
        <v>0</v>
      </c>
      <c r="N70" s="1539">
        <f t="shared" si="38"/>
        <v>0</v>
      </c>
      <c r="O70" s="1179">
        <v>0</v>
      </c>
      <c r="P70" s="1539">
        <f t="shared" si="39"/>
        <v>0</v>
      </c>
      <c r="Q70" s="1179"/>
      <c r="R70" s="1179">
        <f t="shared" si="40"/>
        <v>0</v>
      </c>
      <c r="S70" s="1539">
        <f t="shared" si="30"/>
        <v>0</v>
      </c>
      <c r="T70" s="1539">
        <f t="shared" si="41"/>
        <v>0</v>
      </c>
      <c r="U70" s="1397">
        <f>'Table 5C1A-Madison Prep'!U70</f>
        <v>2721</v>
      </c>
      <c r="V70" s="1510">
        <f t="shared" si="54"/>
        <v>0</v>
      </c>
      <c r="W70" s="1391"/>
      <c r="X70" s="1392">
        <f t="shared" si="42"/>
        <v>0</v>
      </c>
      <c r="Y70" s="1391"/>
      <c r="Z70" s="1392">
        <f t="shared" si="43"/>
        <v>0</v>
      </c>
      <c r="AA70" s="1390">
        <f t="shared" si="44"/>
        <v>0</v>
      </c>
      <c r="AB70" s="1510">
        <f t="shared" si="45"/>
        <v>0</v>
      </c>
      <c r="AC70" s="1394">
        <f t="shared" si="46"/>
        <v>0</v>
      </c>
      <c r="AD70" s="1510">
        <f t="shared" si="47"/>
        <v>0</v>
      </c>
      <c r="AE70" s="1395">
        <v>0</v>
      </c>
      <c r="AF70" s="1510">
        <f t="shared" si="48"/>
        <v>0</v>
      </c>
      <c r="AG70" s="1392"/>
      <c r="AH70" s="1392">
        <f t="shared" si="49"/>
        <v>0</v>
      </c>
      <c r="AI70" s="1510">
        <f t="shared" si="50"/>
        <v>0</v>
      </c>
      <c r="AJ70" s="1505">
        <f t="shared" si="51"/>
        <v>0</v>
      </c>
      <c r="AK70" s="1535">
        <f t="shared" si="55"/>
        <v>0</v>
      </c>
    </row>
    <row r="71" spans="1:37" ht="16.2" customHeight="1">
      <c r="A71" s="1168">
        <v>65</v>
      </c>
      <c r="B71" s="1169" t="s">
        <v>144</v>
      </c>
      <c r="C71" s="1170">
        <f>+'Table 8 Membership 2.1.14'!N67</f>
        <v>0</v>
      </c>
      <c r="D71" s="1171">
        <f>+'Table 5C1A-Madison Prep'!D71</f>
        <v>4775.1605543943642</v>
      </c>
      <c r="E71" s="1172">
        <f t="shared" si="32"/>
        <v>0</v>
      </c>
      <c r="F71" s="1172">
        <f>+'Table 5C1A-Madison Prep'!F71</f>
        <v>829.12</v>
      </c>
      <c r="G71" s="1172">
        <f t="shared" si="33"/>
        <v>0</v>
      </c>
      <c r="H71" s="1540">
        <f t="shared" si="34"/>
        <v>0</v>
      </c>
      <c r="I71" s="1173"/>
      <c r="J71" s="1173"/>
      <c r="K71" s="1174">
        <f t="shared" si="35"/>
        <v>0</v>
      </c>
      <c r="L71" s="1540">
        <f t="shared" ref="L71:L75" si="56">H71+K71</f>
        <v>0</v>
      </c>
      <c r="M71" s="1399">
        <f t="shared" si="37"/>
        <v>0</v>
      </c>
      <c r="N71" s="1540">
        <f t="shared" si="38"/>
        <v>0</v>
      </c>
      <c r="O71" s="1171">
        <v>0</v>
      </c>
      <c r="P71" s="1540">
        <f t="shared" si="39"/>
        <v>0</v>
      </c>
      <c r="Q71" s="1386"/>
      <c r="R71" s="1171">
        <f t="shared" si="40"/>
        <v>0</v>
      </c>
      <c r="S71" s="1553">
        <f t="shared" ref="S71:S74" si="57">ROUND(R71/12,0)</f>
        <v>0</v>
      </c>
      <c r="T71" s="1553">
        <f t="shared" si="41"/>
        <v>0</v>
      </c>
      <c r="U71" s="1387">
        <f>'Table 5C1A-Madison Prep'!U71</f>
        <v>5110</v>
      </c>
      <c r="V71" s="1511">
        <f t="shared" ref="V71:V75" si="58">C71*U71</f>
        <v>0</v>
      </c>
      <c r="W71" s="1400"/>
      <c r="X71" s="1383">
        <f t="shared" si="42"/>
        <v>0</v>
      </c>
      <c r="Y71" s="1400"/>
      <c r="Z71" s="1383">
        <f t="shared" si="43"/>
        <v>0</v>
      </c>
      <c r="AA71" s="1384">
        <f t="shared" si="44"/>
        <v>0</v>
      </c>
      <c r="AB71" s="1511">
        <f t="shared" si="45"/>
        <v>0</v>
      </c>
      <c r="AC71" s="1402">
        <f t="shared" si="46"/>
        <v>0</v>
      </c>
      <c r="AD71" s="1511">
        <f t="shared" si="47"/>
        <v>0</v>
      </c>
      <c r="AE71" s="1385">
        <v>0</v>
      </c>
      <c r="AF71" s="1511">
        <f t="shared" si="48"/>
        <v>0</v>
      </c>
      <c r="AG71" s="1383"/>
      <c r="AH71" s="1383">
        <f t="shared" si="49"/>
        <v>0</v>
      </c>
      <c r="AI71" s="1511">
        <f t="shared" si="50"/>
        <v>0</v>
      </c>
      <c r="AJ71" s="1531">
        <f t="shared" si="51"/>
        <v>0</v>
      </c>
      <c r="AK71" s="1536">
        <f t="shared" si="55"/>
        <v>0</v>
      </c>
    </row>
    <row r="72" spans="1:37" ht="16.2" customHeight="1">
      <c r="A72" s="1176">
        <v>66</v>
      </c>
      <c r="B72" s="1177" t="s">
        <v>145</v>
      </c>
      <c r="C72" s="1197">
        <f>+'Table 8 Membership 2.1.14'!N68</f>
        <v>0</v>
      </c>
      <c r="D72" s="1198">
        <f>+'Table 5C1A-Madison Prep'!D72</f>
        <v>6564.0085433910035</v>
      </c>
      <c r="E72" s="1199">
        <f t="shared" ref="E72:E75" si="59">C72*D72</f>
        <v>0</v>
      </c>
      <c r="F72" s="1199">
        <f>+'Table 5C1A-Madison Prep'!F72</f>
        <v>730.06</v>
      </c>
      <c r="G72" s="1199">
        <f t="shared" ref="G72:G75" si="60">C72*F72</f>
        <v>0</v>
      </c>
      <c r="H72" s="1403">
        <f t="shared" ref="H72:H75" si="61">E72+G72</f>
        <v>0</v>
      </c>
      <c r="I72" s="1200"/>
      <c r="J72" s="1200"/>
      <c r="K72" s="1201">
        <f t="shared" ref="K72:K75" si="62">+I72+J72</f>
        <v>0</v>
      </c>
      <c r="L72" s="1403">
        <f t="shared" si="56"/>
        <v>0</v>
      </c>
      <c r="M72" s="1423">
        <f t="shared" ref="M72:M75" si="63">-(0.25%*L72)</f>
        <v>0</v>
      </c>
      <c r="N72" s="1403">
        <f t="shared" ref="N72:N75" si="64">SUM(L72:M72)</f>
        <v>0</v>
      </c>
      <c r="O72" s="1198">
        <v>0</v>
      </c>
      <c r="P72" s="1403">
        <f t="shared" ref="P72:P75" si="65">SUM(N72:O72)</f>
        <v>0</v>
      </c>
      <c r="Q72" s="1179"/>
      <c r="R72" s="1198">
        <f t="shared" ref="R72:R75" si="66">P72-Q72</f>
        <v>0</v>
      </c>
      <c r="S72" s="1539">
        <f t="shared" si="57"/>
        <v>0</v>
      </c>
      <c r="T72" s="1539">
        <f t="shared" ref="T72:T75" si="67">+P72</f>
        <v>0</v>
      </c>
      <c r="U72" s="1397">
        <f>'Table 5C1A-Madison Prep'!U72</f>
        <v>3369</v>
      </c>
      <c r="V72" s="1510">
        <f t="shared" si="58"/>
        <v>0</v>
      </c>
      <c r="W72" s="1391"/>
      <c r="X72" s="1392">
        <f t="shared" ref="X72:X75" si="68">W72*U72</f>
        <v>0</v>
      </c>
      <c r="Y72" s="1391"/>
      <c r="Z72" s="1392">
        <f t="shared" ref="Z72:Z75" si="69">+U72*Y72*0.5</f>
        <v>0</v>
      </c>
      <c r="AA72" s="1390">
        <f t="shared" ref="AA72:AA75" si="70">+X72+Z72</f>
        <v>0</v>
      </c>
      <c r="AB72" s="1510">
        <f t="shared" ref="AB72:AB75" si="71">V72+AA72</f>
        <v>0</v>
      </c>
      <c r="AC72" s="1394">
        <f t="shared" ref="AC72:AC75" si="72">-(0.25%*AB72)</f>
        <v>0</v>
      </c>
      <c r="AD72" s="1510">
        <f t="shared" ref="AD72:AD75" si="73">SUM(AB72:AC72)</f>
        <v>0</v>
      </c>
      <c r="AE72" s="1395">
        <v>0</v>
      </c>
      <c r="AF72" s="1510">
        <f t="shared" ref="AF72:AF75" si="74">SUM(AD72:AE72)</f>
        <v>0</v>
      </c>
      <c r="AG72" s="1392"/>
      <c r="AH72" s="1392">
        <f t="shared" ref="AH72:AH75" si="75">AF72-AG72</f>
        <v>0</v>
      </c>
      <c r="AI72" s="1515">
        <f t="shared" ref="AI72:AI75" si="76">ROUND(AH72/12,0)</f>
        <v>0</v>
      </c>
      <c r="AJ72" s="1505">
        <f t="shared" ref="AJ72:AJ75" si="77">T72+AF72</f>
        <v>0</v>
      </c>
      <c r="AK72" s="1505">
        <f t="shared" si="55"/>
        <v>0</v>
      </c>
    </row>
    <row r="73" spans="1:37" ht="16.2" customHeight="1">
      <c r="A73" s="1176">
        <v>67</v>
      </c>
      <c r="B73" s="1177" t="s">
        <v>30</v>
      </c>
      <c r="C73" s="1197">
        <f>+'Table 8 Membership 2.1.14'!N69</f>
        <v>0</v>
      </c>
      <c r="D73" s="1198">
        <f>+'Table 5C1A-Madison Prep'!D73</f>
        <v>5029.1467736134118</v>
      </c>
      <c r="E73" s="1199">
        <f t="shared" si="59"/>
        <v>0</v>
      </c>
      <c r="F73" s="1199">
        <f>+'Table 5C1A-Madison Prep'!F73</f>
        <v>715.61</v>
      </c>
      <c r="G73" s="1199">
        <f t="shared" si="60"/>
        <v>0</v>
      </c>
      <c r="H73" s="1403">
        <f t="shared" si="61"/>
        <v>0</v>
      </c>
      <c r="I73" s="1200"/>
      <c r="J73" s="1200"/>
      <c r="K73" s="1201">
        <f t="shared" si="62"/>
        <v>0</v>
      </c>
      <c r="L73" s="1403">
        <f t="shared" si="56"/>
        <v>0</v>
      </c>
      <c r="M73" s="1423">
        <f t="shared" si="63"/>
        <v>0</v>
      </c>
      <c r="N73" s="1403">
        <f t="shared" si="64"/>
        <v>0</v>
      </c>
      <c r="O73" s="1198">
        <v>0</v>
      </c>
      <c r="P73" s="1403">
        <f t="shared" si="65"/>
        <v>0</v>
      </c>
      <c r="Q73" s="1179"/>
      <c r="R73" s="1198">
        <f t="shared" si="66"/>
        <v>0</v>
      </c>
      <c r="S73" s="1539">
        <f t="shared" si="57"/>
        <v>0</v>
      </c>
      <c r="T73" s="1539">
        <f t="shared" si="67"/>
        <v>0</v>
      </c>
      <c r="U73" s="1397">
        <f>'Table 5C1A-Madison Prep'!U73</f>
        <v>5015</v>
      </c>
      <c r="V73" s="1510">
        <f t="shared" si="58"/>
        <v>0</v>
      </c>
      <c r="W73" s="1391"/>
      <c r="X73" s="1392">
        <f t="shared" si="68"/>
        <v>0</v>
      </c>
      <c r="Y73" s="1391"/>
      <c r="Z73" s="1392">
        <f t="shared" si="69"/>
        <v>0</v>
      </c>
      <c r="AA73" s="1390">
        <f t="shared" si="70"/>
        <v>0</v>
      </c>
      <c r="AB73" s="1510">
        <f t="shared" si="71"/>
        <v>0</v>
      </c>
      <c r="AC73" s="1394">
        <f t="shared" si="72"/>
        <v>0</v>
      </c>
      <c r="AD73" s="1510">
        <f t="shared" si="73"/>
        <v>0</v>
      </c>
      <c r="AE73" s="1395">
        <v>0</v>
      </c>
      <c r="AF73" s="1510">
        <f t="shared" si="74"/>
        <v>0</v>
      </c>
      <c r="AG73" s="1392"/>
      <c r="AH73" s="1392">
        <f t="shared" si="75"/>
        <v>0</v>
      </c>
      <c r="AI73" s="1515">
        <f t="shared" si="76"/>
        <v>0</v>
      </c>
      <c r="AJ73" s="1505">
        <f t="shared" si="77"/>
        <v>0</v>
      </c>
      <c r="AK73" s="1505">
        <f t="shared" si="55"/>
        <v>0</v>
      </c>
    </row>
    <row r="74" spans="1:37" ht="16.2" customHeight="1">
      <c r="A74" s="1176">
        <v>68</v>
      </c>
      <c r="B74" s="1177" t="s">
        <v>28</v>
      </c>
      <c r="C74" s="1197">
        <f>+'Table 8 Membership 2.1.14'!N70</f>
        <v>0</v>
      </c>
      <c r="D74" s="1198">
        <f>+'Table 5C1A-Madison Prep'!D74</f>
        <v>6390.1644202560601</v>
      </c>
      <c r="E74" s="1199">
        <f t="shared" si="59"/>
        <v>0</v>
      </c>
      <c r="F74" s="1199">
        <f>+'Table 5C1A-Madison Prep'!F74</f>
        <v>798.7</v>
      </c>
      <c r="G74" s="1199">
        <f t="shared" si="60"/>
        <v>0</v>
      </c>
      <c r="H74" s="1403">
        <f t="shared" si="61"/>
        <v>0</v>
      </c>
      <c r="I74" s="1200"/>
      <c r="J74" s="1200"/>
      <c r="K74" s="1201">
        <f t="shared" si="62"/>
        <v>0</v>
      </c>
      <c r="L74" s="1403">
        <f t="shared" si="56"/>
        <v>0</v>
      </c>
      <c r="M74" s="1423">
        <f t="shared" si="63"/>
        <v>0</v>
      </c>
      <c r="N74" s="1403">
        <f t="shared" si="64"/>
        <v>0</v>
      </c>
      <c r="O74" s="1198">
        <v>0</v>
      </c>
      <c r="P74" s="1403">
        <f t="shared" si="65"/>
        <v>0</v>
      </c>
      <c r="Q74" s="1179"/>
      <c r="R74" s="1198">
        <f t="shared" si="66"/>
        <v>0</v>
      </c>
      <c r="S74" s="1539">
        <f t="shared" si="57"/>
        <v>0</v>
      </c>
      <c r="T74" s="1539">
        <f t="shared" si="67"/>
        <v>0</v>
      </c>
      <c r="U74" s="1397">
        <f>'Table 5C1A-Madison Prep'!U74</f>
        <v>2669</v>
      </c>
      <c r="V74" s="1510">
        <f t="shared" si="58"/>
        <v>0</v>
      </c>
      <c r="W74" s="1391"/>
      <c r="X74" s="1392">
        <f t="shared" si="68"/>
        <v>0</v>
      </c>
      <c r="Y74" s="1391"/>
      <c r="Z74" s="1392">
        <f t="shared" si="69"/>
        <v>0</v>
      </c>
      <c r="AA74" s="1390">
        <f t="shared" si="70"/>
        <v>0</v>
      </c>
      <c r="AB74" s="1510">
        <f t="shared" si="71"/>
        <v>0</v>
      </c>
      <c r="AC74" s="1394">
        <f t="shared" si="72"/>
        <v>0</v>
      </c>
      <c r="AD74" s="1510">
        <f t="shared" si="73"/>
        <v>0</v>
      </c>
      <c r="AE74" s="1395">
        <v>0</v>
      </c>
      <c r="AF74" s="1510">
        <f t="shared" si="74"/>
        <v>0</v>
      </c>
      <c r="AG74" s="1392"/>
      <c r="AH74" s="1392">
        <f t="shared" si="75"/>
        <v>0</v>
      </c>
      <c r="AI74" s="1515">
        <f t="shared" si="76"/>
        <v>0</v>
      </c>
      <c r="AJ74" s="1505">
        <f t="shared" si="77"/>
        <v>0</v>
      </c>
      <c r="AK74" s="1505">
        <f t="shared" si="55"/>
        <v>0</v>
      </c>
    </row>
    <row r="75" spans="1:37" ht="16.2" customHeight="1">
      <c r="A75" s="1190">
        <v>69</v>
      </c>
      <c r="B75" s="1191" t="s">
        <v>183</v>
      </c>
      <c r="C75" s="1192">
        <f>+'Table 8 Membership 2.1.14'!N71</f>
        <v>0</v>
      </c>
      <c r="D75" s="1193">
        <f>+'Table 5C1A-Madison Prep'!D75</f>
        <v>5722.4947921281337</v>
      </c>
      <c r="E75" s="1194">
        <f t="shared" si="59"/>
        <v>0</v>
      </c>
      <c r="F75" s="1194">
        <f>+'Table 5C1A-Madison Prep'!F75</f>
        <v>705.67</v>
      </c>
      <c r="G75" s="1194">
        <f t="shared" si="60"/>
        <v>0</v>
      </c>
      <c r="H75" s="1541">
        <f t="shared" si="61"/>
        <v>0</v>
      </c>
      <c r="I75" s="1195"/>
      <c r="J75" s="1195"/>
      <c r="K75" s="1196">
        <f t="shared" si="62"/>
        <v>0</v>
      </c>
      <c r="L75" s="1541">
        <f t="shared" si="56"/>
        <v>0</v>
      </c>
      <c r="M75" s="1405">
        <f t="shared" si="63"/>
        <v>0</v>
      </c>
      <c r="N75" s="1541">
        <f t="shared" si="64"/>
        <v>0</v>
      </c>
      <c r="O75" s="1193">
        <v>0</v>
      </c>
      <c r="P75" s="1541">
        <f t="shared" si="65"/>
        <v>0</v>
      </c>
      <c r="Q75" s="466"/>
      <c r="R75" s="1193">
        <f t="shared" si="66"/>
        <v>0</v>
      </c>
      <c r="S75" s="1554">
        <f>ROUND(R75/12,0)</f>
        <v>0</v>
      </c>
      <c r="T75" s="1554">
        <f t="shared" si="67"/>
        <v>0</v>
      </c>
      <c r="U75" s="474">
        <f>'Table 5C1A-Madison Prep'!U75</f>
        <v>3394</v>
      </c>
      <c r="V75" s="1512">
        <f t="shared" si="58"/>
        <v>0</v>
      </c>
      <c r="W75" s="1407"/>
      <c r="X75" s="1408">
        <f t="shared" si="68"/>
        <v>0</v>
      </c>
      <c r="Y75" s="1407"/>
      <c r="Z75" s="1408">
        <f t="shared" si="69"/>
        <v>0</v>
      </c>
      <c r="AA75" s="1406">
        <f t="shared" si="70"/>
        <v>0</v>
      </c>
      <c r="AB75" s="1512">
        <f t="shared" si="71"/>
        <v>0</v>
      </c>
      <c r="AC75" s="1410">
        <f t="shared" si="72"/>
        <v>0</v>
      </c>
      <c r="AD75" s="1512">
        <f t="shared" si="73"/>
        <v>0</v>
      </c>
      <c r="AE75" s="1416">
        <v>0</v>
      </c>
      <c r="AF75" s="1512">
        <f t="shared" si="74"/>
        <v>0</v>
      </c>
      <c r="AG75" s="643"/>
      <c r="AH75" s="1408">
        <f t="shared" si="75"/>
        <v>0</v>
      </c>
      <c r="AI75" s="1528">
        <f t="shared" si="76"/>
        <v>0</v>
      </c>
      <c r="AJ75" s="1506">
        <f t="shared" si="77"/>
        <v>0</v>
      </c>
      <c r="AK75" s="1506">
        <f t="shared" si="55"/>
        <v>0</v>
      </c>
    </row>
    <row r="76" spans="1:37" ht="16.2" customHeight="1" thickBot="1">
      <c r="A76" s="2221" t="s">
        <v>1045</v>
      </c>
      <c r="B76" s="2194"/>
      <c r="C76" s="470">
        <f>SUM(C7:C75)</f>
        <v>308</v>
      </c>
      <c r="D76" s="471">
        <f>+'Table 5C1A-Madison Prep'!D76</f>
        <v>4479.9292126977662</v>
      </c>
      <c r="E76" s="480">
        <f>SUM(E7:E75)</f>
        <v>1094706.8109007585</v>
      </c>
      <c r="F76" s="480">
        <f>+'Table 5C1A-Madison Prep'!F76</f>
        <v>704.64781030742063</v>
      </c>
      <c r="G76" s="480">
        <f t="shared" ref="G76:R76" si="78">SUM(G7:G75)</f>
        <v>236166.04136986306</v>
      </c>
      <c r="H76" s="1542">
        <f t="shared" si="78"/>
        <v>1330872.8522706218</v>
      </c>
      <c r="I76" s="642">
        <f t="shared" ref="I76:L76" si="79">SUM(I7:I75)</f>
        <v>0</v>
      </c>
      <c r="J76" s="642">
        <f t="shared" si="79"/>
        <v>0</v>
      </c>
      <c r="K76" s="631">
        <f t="shared" si="79"/>
        <v>0</v>
      </c>
      <c r="L76" s="1563">
        <f t="shared" si="79"/>
        <v>1330872.8522706218</v>
      </c>
      <c r="M76" s="481">
        <f t="shared" si="78"/>
        <v>-3327.1821306765546</v>
      </c>
      <c r="N76" s="1542">
        <f t="shared" si="78"/>
        <v>1327545.6701399451</v>
      </c>
      <c r="O76" s="471">
        <f t="shared" si="78"/>
        <v>0</v>
      </c>
      <c r="P76" s="1542">
        <f t="shared" si="78"/>
        <v>1327545.6701399451</v>
      </c>
      <c r="Q76" s="471">
        <f t="shared" si="78"/>
        <v>0</v>
      </c>
      <c r="R76" s="471">
        <f t="shared" si="78"/>
        <v>1327545.6701399451</v>
      </c>
      <c r="S76" s="1542">
        <f>SUM(S7:S75)</f>
        <v>110629</v>
      </c>
      <c r="T76" s="1542">
        <f>SUM(T7:T75)</f>
        <v>1327545.6701399451</v>
      </c>
      <c r="U76" s="475">
        <f>'Table 5C1A-Madison Prep'!U76</f>
        <v>4663</v>
      </c>
      <c r="V76" s="1513">
        <f t="shared" ref="V76:AK76" si="80">SUM(V7:V75)</f>
        <v>1691346</v>
      </c>
      <c r="W76" s="649">
        <f t="shared" si="80"/>
        <v>0</v>
      </c>
      <c r="X76" s="650">
        <f t="shared" si="80"/>
        <v>0</v>
      </c>
      <c r="Y76" s="646">
        <f t="shared" si="80"/>
        <v>0</v>
      </c>
      <c r="Z76" s="647">
        <f t="shared" si="80"/>
        <v>0</v>
      </c>
      <c r="AA76" s="633">
        <f t="shared" si="80"/>
        <v>0</v>
      </c>
      <c r="AB76" s="1522">
        <f t="shared" si="80"/>
        <v>1691346</v>
      </c>
      <c r="AC76" s="482">
        <f t="shared" si="80"/>
        <v>-4228.3649999999998</v>
      </c>
      <c r="AD76" s="1513">
        <f t="shared" si="80"/>
        <v>1687117.635</v>
      </c>
      <c r="AE76" s="664">
        <f t="shared" si="80"/>
        <v>0</v>
      </c>
      <c r="AF76" s="1513">
        <f t="shared" si="80"/>
        <v>1687117.635</v>
      </c>
      <c r="AG76" s="660">
        <f t="shared" si="80"/>
        <v>0</v>
      </c>
      <c r="AH76" s="660">
        <f t="shared" si="80"/>
        <v>1687117.635</v>
      </c>
      <c r="AI76" s="1518">
        <f t="shared" si="80"/>
        <v>140593</v>
      </c>
      <c r="AJ76" s="1532">
        <f t="shared" si="80"/>
        <v>3014663.3051399454</v>
      </c>
      <c r="AK76" s="1532">
        <f t="shared" si="80"/>
        <v>251222</v>
      </c>
    </row>
    <row r="77" spans="1:37" s="594" customFormat="1" ht="16.2" customHeight="1" thickTop="1">
      <c r="A77" s="2330" t="s">
        <v>1039</v>
      </c>
      <c r="B77" s="2338"/>
      <c r="C77" s="1425"/>
      <c r="D77" s="1198"/>
      <c r="E77" s="1198"/>
      <c r="F77" s="1198"/>
      <c r="G77" s="1198"/>
      <c r="H77" s="1198"/>
      <c r="I77" s="1200"/>
      <c r="J77" s="1200"/>
      <c r="K77" s="1200"/>
      <c r="L77" s="1198"/>
      <c r="M77" s="1200"/>
      <c r="N77" s="1198"/>
      <c r="O77" s="1198"/>
      <c r="P77" s="1403">
        <f>'Table 4 Level 4'!$E102</f>
        <v>462000</v>
      </c>
      <c r="Q77" s="1179"/>
      <c r="R77" s="1198">
        <f t="shared" ref="R77" si="81">P77-Q77</f>
        <v>462000</v>
      </c>
      <c r="S77" s="1539">
        <f>ROUND(R77/12,0)</f>
        <v>38500</v>
      </c>
      <c r="T77" s="1539">
        <f>'Table 4 Level 4'!$E102</f>
        <v>462000</v>
      </c>
      <c r="U77" s="1397"/>
      <c r="V77" s="1395"/>
      <c r="W77" s="1391"/>
      <c r="X77" s="1392"/>
      <c r="Y77" s="1391"/>
      <c r="Z77" s="1392"/>
      <c r="AA77" s="1392"/>
      <c r="AB77" s="1395"/>
      <c r="AC77" s="1392"/>
      <c r="AD77" s="1395"/>
      <c r="AE77" s="1395"/>
      <c r="AF77" s="1395"/>
      <c r="AG77" s="1392"/>
      <c r="AH77" s="1392"/>
      <c r="AI77" s="1395"/>
      <c r="AJ77" s="1505">
        <f t="shared" ref="AJ77:AJ81" si="82">T77+AF77</f>
        <v>462000</v>
      </c>
      <c r="AK77" s="1505">
        <f t="shared" ref="AK77:AK81" si="83">S77+AI77</f>
        <v>38500</v>
      </c>
    </row>
    <row r="78" spans="1:37" s="594" customFormat="1" ht="16.2" customHeight="1">
      <c r="A78" s="2332" t="s">
        <v>1040</v>
      </c>
      <c r="B78" s="2339"/>
      <c r="C78" s="1425"/>
      <c r="D78" s="1198"/>
      <c r="E78" s="1198"/>
      <c r="F78" s="1198"/>
      <c r="G78" s="1198"/>
      <c r="H78" s="1198"/>
      <c r="I78" s="1200"/>
      <c r="J78" s="1200"/>
      <c r="K78" s="1200"/>
      <c r="L78" s="1198"/>
      <c r="M78" s="1200"/>
      <c r="N78" s="1198"/>
      <c r="O78" s="1198"/>
      <c r="P78" s="1198">
        <v>0</v>
      </c>
      <c r="Q78" s="1179"/>
      <c r="R78" s="1198"/>
      <c r="S78" s="1179">
        <v>0</v>
      </c>
      <c r="T78" s="1539">
        <f>'Table 4 Level 4'!$J102</f>
        <v>0</v>
      </c>
      <c r="U78" s="1397"/>
      <c r="V78" s="1395"/>
      <c r="W78" s="1391"/>
      <c r="X78" s="1392"/>
      <c r="Y78" s="1391"/>
      <c r="Z78" s="1392"/>
      <c r="AA78" s="1392"/>
      <c r="AB78" s="1395"/>
      <c r="AC78" s="1392"/>
      <c r="AD78" s="1395"/>
      <c r="AE78" s="1395"/>
      <c r="AF78" s="1395"/>
      <c r="AG78" s="1392"/>
      <c r="AH78" s="1392"/>
      <c r="AI78" s="1395"/>
      <c r="AJ78" s="1505">
        <f t="shared" si="82"/>
        <v>0</v>
      </c>
      <c r="AK78" s="1395"/>
    </row>
    <row r="79" spans="1:37" s="594" customFormat="1" ht="16.2" customHeight="1">
      <c r="A79" s="2332" t="s">
        <v>1041</v>
      </c>
      <c r="B79" s="2339"/>
      <c r="C79" s="1425"/>
      <c r="D79" s="1198"/>
      <c r="E79" s="1198"/>
      <c r="F79" s="1198"/>
      <c r="G79" s="1198"/>
      <c r="H79" s="1198"/>
      <c r="I79" s="1200"/>
      <c r="J79" s="1200"/>
      <c r="K79" s="1200"/>
      <c r="L79" s="1198"/>
      <c r="M79" s="1200"/>
      <c r="N79" s="1198"/>
      <c r="O79" s="1198"/>
      <c r="P79" s="1198">
        <v>0</v>
      </c>
      <c r="Q79" s="1179"/>
      <c r="R79" s="1198"/>
      <c r="S79" s="1179">
        <v>0</v>
      </c>
      <c r="T79" s="1539">
        <f>'Table 4 Level 4'!$K102</f>
        <v>0</v>
      </c>
      <c r="U79" s="1397"/>
      <c r="V79" s="1395"/>
      <c r="W79" s="1391"/>
      <c r="X79" s="1392"/>
      <c r="Y79" s="1391"/>
      <c r="Z79" s="1392"/>
      <c r="AA79" s="1392"/>
      <c r="AB79" s="1395"/>
      <c r="AC79" s="1392"/>
      <c r="AD79" s="1395"/>
      <c r="AE79" s="1395"/>
      <c r="AF79" s="1395"/>
      <c r="AG79" s="1392"/>
      <c r="AH79" s="1392"/>
      <c r="AI79" s="1392"/>
      <c r="AJ79" s="1505">
        <f t="shared" si="82"/>
        <v>0</v>
      </c>
      <c r="AK79" s="1395"/>
    </row>
    <row r="80" spans="1:37" s="594" customFormat="1" ht="16.2" customHeight="1">
      <c r="A80" s="2332" t="s">
        <v>1042</v>
      </c>
      <c r="B80" s="2339"/>
      <c r="C80" s="1425"/>
      <c r="D80" s="1198"/>
      <c r="E80" s="1198"/>
      <c r="F80" s="1198"/>
      <c r="G80" s="1198"/>
      <c r="H80" s="1198"/>
      <c r="I80" s="1200"/>
      <c r="J80" s="1200"/>
      <c r="K80" s="1200"/>
      <c r="L80" s="1198"/>
      <c r="M80" s="1200"/>
      <c r="N80" s="1198"/>
      <c r="O80" s="1198"/>
      <c r="P80" s="1198">
        <v>0</v>
      </c>
      <c r="Q80" s="1179"/>
      <c r="R80" s="1198"/>
      <c r="S80" s="1179">
        <v>0</v>
      </c>
      <c r="T80" s="1539">
        <f>'Table 4 Level 4'!$L102</f>
        <v>0</v>
      </c>
      <c r="U80" s="1397"/>
      <c r="V80" s="1395"/>
      <c r="W80" s="1391"/>
      <c r="X80" s="1392"/>
      <c r="Y80" s="1391"/>
      <c r="Z80" s="1392"/>
      <c r="AA80" s="1392"/>
      <c r="AB80" s="1395"/>
      <c r="AC80" s="1392"/>
      <c r="AD80" s="1395"/>
      <c r="AE80" s="1395"/>
      <c r="AF80" s="1395"/>
      <c r="AG80" s="1392"/>
      <c r="AH80" s="1392"/>
      <c r="AI80" s="1392"/>
      <c r="AJ80" s="1505">
        <f t="shared" si="82"/>
        <v>0</v>
      </c>
      <c r="AK80" s="1395"/>
    </row>
    <row r="81" spans="1:37" s="594" customFormat="1" ht="16.2" customHeight="1">
      <c r="A81" s="2340" t="s">
        <v>1043</v>
      </c>
      <c r="B81" s="2341"/>
      <c r="C81" s="1417"/>
      <c r="D81" s="1193"/>
      <c r="E81" s="1193"/>
      <c r="F81" s="1193"/>
      <c r="G81" s="1193"/>
      <c r="H81" s="1193"/>
      <c r="I81" s="1195"/>
      <c r="J81" s="1195"/>
      <c r="K81" s="1195"/>
      <c r="L81" s="1193"/>
      <c r="M81" s="1195"/>
      <c r="N81" s="1193"/>
      <c r="O81" s="1193"/>
      <c r="P81" s="1541">
        <f>'Table 4 Level 4'!$N102</f>
        <v>0</v>
      </c>
      <c r="Q81" s="1421"/>
      <c r="R81" s="1193">
        <f t="shared" ref="R81" si="84">P81-Q81</f>
        <v>0</v>
      </c>
      <c r="S81" s="1555">
        <f>ROUND(R81/12,0)</f>
        <v>0</v>
      </c>
      <c r="T81" s="1555">
        <f>'Table 4 Level 4'!$N102</f>
        <v>0</v>
      </c>
      <c r="U81" s="1422"/>
      <c r="V81" s="1416"/>
      <c r="W81" s="1407"/>
      <c r="X81" s="1408"/>
      <c r="Y81" s="1407"/>
      <c r="Z81" s="1408"/>
      <c r="AA81" s="1408"/>
      <c r="AB81" s="1416"/>
      <c r="AC81" s="1408"/>
      <c r="AD81" s="1416"/>
      <c r="AE81" s="1416"/>
      <c r="AF81" s="1416"/>
      <c r="AG81" s="1408"/>
      <c r="AH81" s="1408"/>
      <c r="AI81" s="1408"/>
      <c r="AJ81" s="1506">
        <f t="shared" si="82"/>
        <v>0</v>
      </c>
      <c r="AK81" s="1506">
        <f t="shared" si="83"/>
        <v>0</v>
      </c>
    </row>
    <row r="82" spans="1:37" s="594" customFormat="1" ht="16.2" customHeight="1" thickBot="1">
      <c r="A82" s="2221" t="s">
        <v>1044</v>
      </c>
      <c r="B82" s="2194"/>
      <c r="C82" s="1052">
        <f>SUM(C76:C81)</f>
        <v>308</v>
      </c>
      <c r="D82" s="1046">
        <f t="shared" ref="D82:AK82" si="85">SUM(D76:D81)</f>
        <v>4479.9292126977662</v>
      </c>
      <c r="E82" s="1046">
        <f t="shared" si="85"/>
        <v>1094706.8109007585</v>
      </c>
      <c r="F82" s="1046">
        <f t="shared" si="85"/>
        <v>704.64781030742063</v>
      </c>
      <c r="G82" s="1046">
        <f t="shared" si="85"/>
        <v>236166.04136986306</v>
      </c>
      <c r="H82" s="1046">
        <f t="shared" si="85"/>
        <v>1330872.8522706218</v>
      </c>
      <c r="I82" s="1053">
        <f t="shared" si="85"/>
        <v>0</v>
      </c>
      <c r="J82" s="1053">
        <f t="shared" si="85"/>
        <v>0</v>
      </c>
      <c r="K82" s="1053">
        <f t="shared" si="85"/>
        <v>0</v>
      </c>
      <c r="L82" s="1046">
        <f t="shared" si="85"/>
        <v>1330872.8522706218</v>
      </c>
      <c r="M82" s="1053">
        <f t="shared" si="85"/>
        <v>-3327.1821306765546</v>
      </c>
      <c r="N82" s="1046">
        <f t="shared" si="85"/>
        <v>1327545.6701399451</v>
      </c>
      <c r="O82" s="1046">
        <f t="shared" si="85"/>
        <v>0</v>
      </c>
      <c r="P82" s="1543">
        <f t="shared" si="85"/>
        <v>1789545.6701399451</v>
      </c>
      <c r="Q82" s="1046">
        <f t="shared" si="85"/>
        <v>0</v>
      </c>
      <c r="R82" s="1046">
        <f t="shared" si="85"/>
        <v>1789545.6701399451</v>
      </c>
      <c r="S82" s="1543">
        <f t="shared" si="85"/>
        <v>149129</v>
      </c>
      <c r="T82" s="1543">
        <f t="shared" si="85"/>
        <v>1789545.6701399451</v>
      </c>
      <c r="U82" s="1050">
        <f t="shared" si="85"/>
        <v>4663</v>
      </c>
      <c r="V82" s="1056">
        <f t="shared" si="85"/>
        <v>1691346</v>
      </c>
      <c r="W82" s="1057">
        <f t="shared" si="85"/>
        <v>0</v>
      </c>
      <c r="X82" s="1055">
        <f t="shared" si="85"/>
        <v>0</v>
      </c>
      <c r="Y82" s="1057">
        <f t="shared" si="85"/>
        <v>0</v>
      </c>
      <c r="Z82" s="1055">
        <f t="shared" si="85"/>
        <v>0</v>
      </c>
      <c r="AA82" s="1055">
        <f t="shared" si="85"/>
        <v>0</v>
      </c>
      <c r="AB82" s="1056">
        <f t="shared" si="85"/>
        <v>1691346</v>
      </c>
      <c r="AC82" s="1055">
        <f t="shared" si="85"/>
        <v>-4228.3649999999998</v>
      </c>
      <c r="AD82" s="1056">
        <f t="shared" si="85"/>
        <v>1687117.635</v>
      </c>
      <c r="AE82" s="1056">
        <f t="shared" si="85"/>
        <v>0</v>
      </c>
      <c r="AF82" s="1056">
        <f t="shared" si="85"/>
        <v>1687117.635</v>
      </c>
      <c r="AG82" s="1055">
        <f t="shared" si="85"/>
        <v>0</v>
      </c>
      <c r="AH82" s="1055">
        <f t="shared" si="85"/>
        <v>1687117.635</v>
      </c>
      <c r="AI82" s="1055">
        <f t="shared" si="85"/>
        <v>140593</v>
      </c>
      <c r="AJ82" s="1504">
        <f t="shared" si="85"/>
        <v>3476663.3051399454</v>
      </c>
      <c r="AK82" s="1504">
        <f t="shared" si="85"/>
        <v>289722</v>
      </c>
    </row>
    <row r="83" spans="1:37" ht="16.2" customHeight="1" thickTop="1"/>
    <row r="84" spans="1:37" ht="16.2" customHeight="1"/>
    <row r="85" spans="1:37" ht="16.2" customHeight="1"/>
    <row r="86" spans="1:37" ht="16.2" customHeight="1"/>
  </sheetData>
  <mergeCells count="41">
    <mergeCell ref="M1:T1"/>
    <mergeCell ref="W2:AA2"/>
    <mergeCell ref="P3:P4"/>
    <mergeCell ref="S3:S4"/>
    <mergeCell ref="N3:N4"/>
    <mergeCell ref="O3:O4"/>
    <mergeCell ref="W3:W4"/>
    <mergeCell ref="X3:X4"/>
    <mergeCell ref="U3:U4"/>
    <mergeCell ref="T3:T4"/>
    <mergeCell ref="U1:AB1"/>
    <mergeCell ref="AB3:AB4"/>
    <mergeCell ref="AJ1:AJ4"/>
    <mergeCell ref="AK1:AK4"/>
    <mergeCell ref="AD3:AD4"/>
    <mergeCell ref="AE3:AE4"/>
    <mergeCell ref="AF3:AF4"/>
    <mergeCell ref="AG3:AG4"/>
    <mergeCell ref="AH3:AH4"/>
    <mergeCell ref="AI3:AI4"/>
    <mergeCell ref="AC1:AI1"/>
    <mergeCell ref="A1:B4"/>
    <mergeCell ref="K3:K4"/>
    <mergeCell ref="L3:L4"/>
    <mergeCell ref="I3:I4"/>
    <mergeCell ref="J3:J4"/>
    <mergeCell ref="C1:L1"/>
    <mergeCell ref="C3:C4"/>
    <mergeCell ref="D3:D4"/>
    <mergeCell ref="E3:E4"/>
    <mergeCell ref="F3:F4"/>
    <mergeCell ref="G3:G4"/>
    <mergeCell ref="H3:H4"/>
    <mergeCell ref="I2:K2"/>
    <mergeCell ref="A82:B82"/>
    <mergeCell ref="A76:B76"/>
    <mergeCell ref="A77:B77"/>
    <mergeCell ref="A78:B78"/>
    <mergeCell ref="A79:B79"/>
    <mergeCell ref="A80:B80"/>
    <mergeCell ref="A81:B81"/>
  </mergeCells>
  <printOptions horizontalCentered="1"/>
  <pageMargins left="0.32" right="0.32" top="0.75" bottom="0.75" header="0.3" footer="0.3"/>
  <pageSetup paperSize="5" scale="60" firstPageNumber="56" orientation="portrait" r:id="rId1"/>
  <headerFooter>
    <oddHeader>&amp;L&amp;"Arial,Bold"&amp;20&amp;K000000Table 5C1-E: FY2014-15 MFP Budget Letter 
Lycee Francais de la Nouvella Orleans</oddHeader>
    <oddFooter>&amp;R&amp;P</oddFooter>
  </headerFooter>
  <colBreaks count="3" manualBreakCount="3">
    <brk id="12" max="1048575" man="1"/>
    <brk id="20" max="1048575" man="1"/>
    <brk id="28" max="81"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K86"/>
  <sheetViews>
    <sheetView view="pageBreakPreview" zoomScale="80" zoomScaleNormal="100" zoomScaleSheetLayoutView="80" workbookViewId="0">
      <pane xSplit="2" ySplit="6" topLeftCell="C7" activePane="bottomRight" state="frozen"/>
      <selection sqref="A1:H1"/>
      <selection pane="topRight" sqref="A1:H1"/>
      <selection pane="bottomLeft" sqref="A1:H1"/>
      <selection pane="bottomRight" sqref="A1:H1"/>
    </sheetView>
  </sheetViews>
  <sheetFormatPr defaultRowHeight="13.2"/>
  <cols>
    <col min="1" max="1" width="5" customWidth="1"/>
    <col min="2" max="2" width="37.6640625" customWidth="1"/>
    <col min="3" max="3" width="12.109375" bestFit="1" customWidth="1"/>
    <col min="4" max="4" width="13.6640625" bestFit="1" customWidth="1"/>
    <col min="5" max="5" width="10.109375" bestFit="1" customWidth="1"/>
    <col min="6" max="7" width="12.33203125" bestFit="1" customWidth="1"/>
    <col min="8" max="8" width="11.5546875" bestFit="1" customWidth="1"/>
    <col min="9" max="12" width="11.88671875" style="594" bestFit="1" customWidth="1"/>
    <col min="13" max="13" width="10.88671875" bestFit="1" customWidth="1"/>
    <col min="14" max="14" width="13.109375" customWidth="1"/>
    <col min="15" max="15" width="13.44140625" bestFit="1" customWidth="1"/>
    <col min="16" max="16" width="14.6640625" customWidth="1"/>
    <col min="17" max="18" width="14" style="594" customWidth="1"/>
    <col min="19" max="19" width="10.6640625" customWidth="1"/>
    <col min="20" max="20" width="14.88671875" style="594" customWidth="1"/>
    <col min="21" max="22" width="14.5546875" customWidth="1"/>
    <col min="23" max="27" width="11.6640625" style="594" customWidth="1"/>
    <col min="28" max="28" width="14.44140625" style="594" bestFit="1" customWidth="1"/>
    <col min="29" max="29" width="10.5546875" customWidth="1"/>
    <col min="30" max="30" width="14.44140625" bestFit="1" customWidth="1"/>
    <col min="31" max="31" width="11.88671875" bestFit="1" customWidth="1"/>
    <col min="32" max="32" width="14.44140625" bestFit="1" customWidth="1"/>
    <col min="33" max="33" width="9.5546875" style="594" bestFit="1" customWidth="1"/>
    <col min="34" max="34" width="10.6640625" style="594" bestFit="1" customWidth="1"/>
    <col min="35" max="37" width="14.44140625" bestFit="1" customWidth="1"/>
  </cols>
  <sheetData>
    <row r="1" spans="1:37" ht="21.6" customHeight="1">
      <c r="A1" s="2314" t="s">
        <v>349</v>
      </c>
      <c r="B1" s="2315"/>
      <c r="C1" s="2319" t="s">
        <v>1089</v>
      </c>
      <c r="D1" s="2320"/>
      <c r="E1" s="2320"/>
      <c r="F1" s="2320"/>
      <c r="G1" s="2320"/>
      <c r="H1" s="2320"/>
      <c r="I1" s="2320"/>
      <c r="J1" s="2320"/>
      <c r="K1" s="2320"/>
      <c r="L1" s="2321"/>
      <c r="M1" s="2349" t="s">
        <v>1089</v>
      </c>
      <c r="N1" s="2350"/>
      <c r="O1" s="2350"/>
      <c r="P1" s="2350"/>
      <c r="Q1" s="2350"/>
      <c r="R1" s="2350"/>
      <c r="S1" s="2350"/>
      <c r="T1" s="2351"/>
      <c r="U1" s="2268" t="s">
        <v>1247</v>
      </c>
      <c r="V1" s="2266"/>
      <c r="W1" s="2266"/>
      <c r="X1" s="2266"/>
      <c r="Y1" s="2266"/>
      <c r="Z1" s="2266"/>
      <c r="AA1" s="2266"/>
      <c r="AB1" s="2267"/>
      <c r="AC1" s="2268" t="s">
        <v>1247</v>
      </c>
      <c r="AD1" s="2266"/>
      <c r="AE1" s="2266"/>
      <c r="AF1" s="2266"/>
      <c r="AG1" s="2266"/>
      <c r="AH1" s="2266"/>
      <c r="AI1" s="2267"/>
      <c r="AJ1" s="2302" t="s">
        <v>1272</v>
      </c>
      <c r="AK1" s="2302" t="s">
        <v>1273</v>
      </c>
    </row>
    <row r="2" spans="1:37" s="594" customFormat="1" ht="24.6" customHeight="1">
      <c r="A2" s="2233"/>
      <c r="B2" s="2234"/>
      <c r="C2" s="1565"/>
      <c r="D2" s="1566"/>
      <c r="E2" s="1566"/>
      <c r="F2" s="1566"/>
      <c r="G2" s="1566"/>
      <c r="H2" s="1566"/>
      <c r="I2" s="2334" t="s">
        <v>531</v>
      </c>
      <c r="J2" s="2335"/>
      <c r="K2" s="2336"/>
      <c r="L2" s="1567"/>
      <c r="M2" s="1565"/>
      <c r="N2" s="1566"/>
      <c r="O2" s="1566"/>
      <c r="P2" s="1566"/>
      <c r="Q2" s="1566"/>
      <c r="R2" s="1566"/>
      <c r="S2" s="1566"/>
      <c r="T2" s="1567"/>
      <c r="U2" s="1525"/>
      <c r="V2" s="1526"/>
      <c r="W2" s="2362" t="s">
        <v>531</v>
      </c>
      <c r="X2" s="2363"/>
      <c r="Y2" s="2363"/>
      <c r="Z2" s="2363"/>
      <c r="AA2" s="2364"/>
      <c r="AB2" s="1527"/>
      <c r="AC2" s="1525"/>
      <c r="AD2" s="1526"/>
      <c r="AE2" s="1526"/>
      <c r="AF2" s="1526"/>
      <c r="AG2" s="1526"/>
      <c r="AH2" s="1526"/>
      <c r="AI2" s="1527"/>
      <c r="AJ2" s="2303"/>
      <c r="AK2" s="2303"/>
    </row>
    <row r="3" spans="1:37" ht="148.94999999999999" customHeight="1">
      <c r="A3" s="2316"/>
      <c r="B3" s="2234"/>
      <c r="C3" s="2306" t="s">
        <v>933</v>
      </c>
      <c r="D3" s="2318" t="s">
        <v>1110</v>
      </c>
      <c r="E3" s="2318" t="s">
        <v>384</v>
      </c>
      <c r="F3" s="2306" t="s">
        <v>546</v>
      </c>
      <c r="G3" s="2306" t="s">
        <v>330</v>
      </c>
      <c r="H3" s="2306" t="s">
        <v>547</v>
      </c>
      <c r="I3" s="2299" t="s">
        <v>770</v>
      </c>
      <c r="J3" s="2299" t="s">
        <v>769</v>
      </c>
      <c r="K3" s="2299" t="s">
        <v>538</v>
      </c>
      <c r="L3" s="2300" t="s">
        <v>548</v>
      </c>
      <c r="M3" s="1496" t="s">
        <v>333</v>
      </c>
      <c r="N3" s="2306" t="s">
        <v>545</v>
      </c>
      <c r="O3" s="2307" t="s">
        <v>1036</v>
      </c>
      <c r="P3" s="2306" t="s">
        <v>1056</v>
      </c>
      <c r="Q3" s="1537" t="s">
        <v>760</v>
      </c>
      <c r="R3" s="1537" t="s">
        <v>761</v>
      </c>
      <c r="S3" s="2308" t="s">
        <v>544</v>
      </c>
      <c r="T3" s="2308" t="s">
        <v>1057</v>
      </c>
      <c r="U3" s="2309" t="s">
        <v>1267</v>
      </c>
      <c r="V3" s="1507" t="s">
        <v>1268</v>
      </c>
      <c r="W3" s="2312" t="s">
        <v>1253</v>
      </c>
      <c r="X3" s="2312" t="s">
        <v>1251</v>
      </c>
      <c r="Y3" s="2312" t="s">
        <v>1254</v>
      </c>
      <c r="Z3" s="2312" t="s">
        <v>1252</v>
      </c>
      <c r="AA3" s="1498" t="s">
        <v>551</v>
      </c>
      <c r="AB3" s="2313" t="s">
        <v>1269</v>
      </c>
      <c r="AC3" s="1507" t="s">
        <v>1094</v>
      </c>
      <c r="AD3" s="2309" t="s">
        <v>1270</v>
      </c>
      <c r="AE3" s="2307" t="s">
        <v>1036</v>
      </c>
      <c r="AF3" s="2309" t="s">
        <v>1271</v>
      </c>
      <c r="AG3" s="2322" t="s">
        <v>981</v>
      </c>
      <c r="AH3" s="2322" t="s">
        <v>761</v>
      </c>
      <c r="AI3" s="2322" t="s">
        <v>1242</v>
      </c>
      <c r="AJ3" s="2304"/>
      <c r="AK3" s="2304"/>
    </row>
    <row r="4" spans="1:37" ht="19.95" customHeight="1">
      <c r="A4" s="2317"/>
      <c r="B4" s="2236"/>
      <c r="C4" s="2301"/>
      <c r="D4" s="2318"/>
      <c r="E4" s="2318"/>
      <c r="F4" s="2301"/>
      <c r="G4" s="2301"/>
      <c r="H4" s="2301"/>
      <c r="I4" s="2251"/>
      <c r="J4" s="2251"/>
      <c r="K4" s="2251"/>
      <c r="L4" s="2301"/>
      <c r="M4" s="1568">
        <v>2.5000000000000001E-3</v>
      </c>
      <c r="N4" s="2301"/>
      <c r="O4" s="2251"/>
      <c r="P4" s="2301"/>
      <c r="Q4" s="1497"/>
      <c r="R4" s="1497"/>
      <c r="S4" s="2301"/>
      <c r="T4" s="2301"/>
      <c r="U4" s="2280"/>
      <c r="V4" s="1508"/>
      <c r="W4" s="2251"/>
      <c r="X4" s="2251"/>
      <c r="Y4" s="2251"/>
      <c r="Z4" s="2251"/>
      <c r="AA4" s="1494"/>
      <c r="AB4" s="2280" t="s">
        <v>537</v>
      </c>
      <c r="AC4" s="1570">
        <v>2.5000000000000001E-3</v>
      </c>
      <c r="AD4" s="2280"/>
      <c r="AE4" s="2251"/>
      <c r="AF4" s="2280"/>
      <c r="AG4" s="2323"/>
      <c r="AH4" s="2323"/>
      <c r="AI4" s="2323"/>
      <c r="AJ4" s="2305"/>
      <c r="AK4" s="2305"/>
    </row>
    <row r="5" spans="1:37" ht="14.25" customHeight="1">
      <c r="A5" s="463"/>
      <c r="B5" s="464"/>
      <c r="C5" s="465">
        <v>1</v>
      </c>
      <c r="D5" s="465">
        <f t="shared" ref="D5" si="0">C5+1</f>
        <v>2</v>
      </c>
      <c r="E5" s="465">
        <f>D5+1</f>
        <v>3</v>
      </c>
      <c r="F5" s="465">
        <f t="shared" ref="F5:H5" si="1">E5+1</f>
        <v>4</v>
      </c>
      <c r="G5" s="465">
        <f t="shared" si="1"/>
        <v>5</v>
      </c>
      <c r="H5" s="465">
        <f t="shared" si="1"/>
        <v>6</v>
      </c>
      <c r="I5" s="465">
        <f t="shared" ref="I5" si="2">H5+1</f>
        <v>7</v>
      </c>
      <c r="J5" s="465">
        <f t="shared" ref="J5" si="3">I5+1</f>
        <v>8</v>
      </c>
      <c r="K5" s="465">
        <f t="shared" ref="K5" si="4">J5+1</f>
        <v>9</v>
      </c>
      <c r="L5" s="465">
        <f t="shared" ref="L5" si="5">K5+1</f>
        <v>10</v>
      </c>
      <c r="M5" s="465">
        <f t="shared" ref="M5" si="6">L5+1</f>
        <v>11</v>
      </c>
      <c r="N5" s="465">
        <f t="shared" ref="N5" si="7">M5+1</f>
        <v>12</v>
      </c>
      <c r="O5" s="465">
        <f t="shared" ref="O5" si="8">N5+1</f>
        <v>13</v>
      </c>
      <c r="P5" s="465">
        <f t="shared" ref="P5" si="9">O5+1</f>
        <v>14</v>
      </c>
      <c r="Q5" s="465">
        <f t="shared" ref="Q5" si="10">P5+1</f>
        <v>15</v>
      </c>
      <c r="R5" s="465">
        <f t="shared" ref="R5" si="11">Q5+1</f>
        <v>16</v>
      </c>
      <c r="S5" s="465">
        <f t="shared" ref="S5" si="12">R5+1</f>
        <v>17</v>
      </c>
      <c r="T5" s="465">
        <f t="shared" ref="T5" si="13">S5+1</f>
        <v>18</v>
      </c>
      <c r="U5" s="465">
        <f t="shared" ref="U5" si="14">T5+1</f>
        <v>19</v>
      </c>
      <c r="V5" s="465">
        <f t="shared" ref="V5" si="15">U5+1</f>
        <v>20</v>
      </c>
      <c r="W5" s="465">
        <f t="shared" ref="W5" si="16">V5+1</f>
        <v>21</v>
      </c>
      <c r="X5" s="465">
        <f t="shared" ref="X5" si="17">W5+1</f>
        <v>22</v>
      </c>
      <c r="Y5" s="465">
        <f t="shared" ref="Y5" si="18">X5+1</f>
        <v>23</v>
      </c>
      <c r="Z5" s="465">
        <f t="shared" ref="Z5" si="19">Y5+1</f>
        <v>24</v>
      </c>
      <c r="AA5" s="465">
        <f t="shared" ref="AA5" si="20">Z5+1</f>
        <v>25</v>
      </c>
      <c r="AB5" s="465">
        <f t="shared" ref="AB5:AC5" si="21">AA5+1</f>
        <v>26</v>
      </c>
      <c r="AC5" s="465">
        <f t="shared" si="21"/>
        <v>27</v>
      </c>
      <c r="AD5" s="465">
        <f t="shared" ref="AD5" si="22">AC5+1</f>
        <v>28</v>
      </c>
      <c r="AE5" s="465">
        <f t="shared" ref="AE5" si="23">AD5+1</f>
        <v>29</v>
      </c>
      <c r="AF5" s="465">
        <f t="shared" ref="AF5" si="24">AE5+1</f>
        <v>30</v>
      </c>
      <c r="AG5" s="465">
        <f t="shared" ref="AG5" si="25">AF5+1</f>
        <v>31</v>
      </c>
      <c r="AH5" s="465">
        <f t="shared" ref="AH5" si="26">AG5+1</f>
        <v>32</v>
      </c>
      <c r="AI5" s="465">
        <f t="shared" ref="AI5" si="27">AH5+1</f>
        <v>33</v>
      </c>
      <c r="AJ5" s="465">
        <f t="shared" ref="AJ5" si="28">AI5+1</f>
        <v>34</v>
      </c>
      <c r="AK5" s="465">
        <f t="shared" ref="AK5" si="29">AJ5+1</f>
        <v>35</v>
      </c>
    </row>
    <row r="6" spans="1:37" ht="27" hidden="1" customHeight="1">
      <c r="A6" s="472"/>
      <c r="B6" s="473"/>
      <c r="C6" s="473"/>
      <c r="D6" s="473"/>
      <c r="E6" s="473"/>
      <c r="F6" s="473"/>
      <c r="G6" s="473"/>
      <c r="H6" s="473"/>
      <c r="I6" s="615"/>
      <c r="J6" s="615"/>
      <c r="K6" s="615"/>
      <c r="L6" s="615"/>
      <c r="M6" s="473"/>
      <c r="N6" s="473"/>
      <c r="O6" s="473"/>
      <c r="P6" s="473"/>
      <c r="Q6" s="615"/>
      <c r="R6" s="615"/>
      <c r="S6" s="473"/>
      <c r="T6" s="473"/>
      <c r="U6" s="473"/>
      <c r="V6" s="473"/>
      <c r="W6" s="615"/>
      <c r="X6" s="615"/>
      <c r="Y6" s="615"/>
      <c r="Z6" s="615"/>
      <c r="AA6" s="615"/>
      <c r="AB6" s="615"/>
      <c r="AC6" s="473"/>
      <c r="AD6" s="473"/>
      <c r="AE6" s="473"/>
      <c r="AF6" s="473"/>
      <c r="AG6" s="615"/>
      <c r="AH6" s="615"/>
      <c r="AI6" s="473"/>
      <c r="AJ6" s="473"/>
      <c r="AK6" s="473"/>
    </row>
    <row r="7" spans="1:37" ht="16.2" customHeight="1">
      <c r="A7" s="1183">
        <v>1</v>
      </c>
      <c r="B7" s="1184" t="s">
        <v>81</v>
      </c>
      <c r="C7" s="1185">
        <f>+'Table 8 Membership 2.1.14'!M3</f>
        <v>0</v>
      </c>
      <c r="D7" s="1186">
        <f>+'Table 5C1A-Madison Prep'!D7</f>
        <v>4765.8584413349836</v>
      </c>
      <c r="E7" s="1187">
        <f>C7*D7</f>
        <v>0</v>
      </c>
      <c r="F7" s="1187">
        <f>+'Table 5C1A-Madison Prep'!F7</f>
        <v>777.48</v>
      </c>
      <c r="G7" s="1187">
        <f>C7*F7</f>
        <v>0</v>
      </c>
      <c r="H7" s="1538">
        <f>E7+G7</f>
        <v>0</v>
      </c>
      <c r="I7" s="1188"/>
      <c r="J7" s="1188"/>
      <c r="K7" s="1189">
        <f>+I7+J7</f>
        <v>0</v>
      </c>
      <c r="L7" s="1538">
        <f>+H7+K7</f>
        <v>0</v>
      </c>
      <c r="M7" s="1372">
        <f>-(0.25%*L7)</f>
        <v>0</v>
      </c>
      <c r="N7" s="1538">
        <f>SUM(L7:M7)</f>
        <v>0</v>
      </c>
      <c r="O7" s="1186">
        <v>0</v>
      </c>
      <c r="P7" s="1544">
        <f>SUM(N7:O7)</f>
        <v>0</v>
      </c>
      <c r="Q7" s="1188"/>
      <c r="R7" s="1188">
        <f>+P7-Q7</f>
        <v>0</v>
      </c>
      <c r="S7" s="1544">
        <f>ROUND(R7/12,0)</f>
        <v>0</v>
      </c>
      <c r="T7" s="1544">
        <f>+P7</f>
        <v>0</v>
      </c>
      <c r="U7" s="1373">
        <f>'Table 5C1A-Madison Prep'!U7</f>
        <v>2409</v>
      </c>
      <c r="V7" s="1514">
        <f>C7*U7</f>
        <v>0</v>
      </c>
      <c r="W7" s="1375"/>
      <c r="X7" s="1376">
        <f>+U7*W7</f>
        <v>0</v>
      </c>
      <c r="Y7" s="1375"/>
      <c r="Z7" s="1376">
        <f>+U7*Y7*0.5</f>
        <v>0</v>
      </c>
      <c r="AA7" s="1374">
        <f>+X7+Z7</f>
        <v>0</v>
      </c>
      <c r="AB7" s="1509">
        <f>+V7+AA7</f>
        <v>0</v>
      </c>
      <c r="AC7" s="1378">
        <f>-(0.25%*AB7)</f>
        <v>0</v>
      </c>
      <c r="AD7" s="1509">
        <f>SUM(AB7:AC7)</f>
        <v>0</v>
      </c>
      <c r="AE7" s="1379">
        <v>0</v>
      </c>
      <c r="AF7" s="1509">
        <f>SUM(AD7:AE7)</f>
        <v>0</v>
      </c>
      <c r="AG7" s="1379"/>
      <c r="AH7" s="1379">
        <f>+AF7-AG7</f>
        <v>0</v>
      </c>
      <c r="AI7" s="1509">
        <f>ROUND(AH7/12,0)</f>
        <v>0</v>
      </c>
      <c r="AJ7" s="1530">
        <f>T7+AF7</f>
        <v>0</v>
      </c>
      <c r="AK7" s="1534">
        <f>S7+AI7</f>
        <v>0</v>
      </c>
    </row>
    <row r="8" spans="1:37" ht="16.2" customHeight="1">
      <c r="A8" s="1176">
        <v>2</v>
      </c>
      <c r="B8" s="1177" t="s">
        <v>82</v>
      </c>
      <c r="C8" s="1178">
        <f>+'Table 8 Membership 2.1.14'!M4</f>
        <v>0</v>
      </c>
      <c r="D8" s="1179">
        <f>+'Table 5C1A-Madison Prep'!D8</f>
        <v>6316.6266417386641</v>
      </c>
      <c r="E8" s="1180">
        <f t="shared" ref="E8:E71" si="30">C8*D8</f>
        <v>0</v>
      </c>
      <c r="F8" s="1180">
        <f>+'Table 5C1A-Madison Prep'!F8</f>
        <v>842.32</v>
      </c>
      <c r="G8" s="1180">
        <f t="shared" ref="G8:G71" si="31">C8*F8</f>
        <v>0</v>
      </c>
      <c r="H8" s="1539">
        <f t="shared" ref="H8:H71" si="32">E8+G8</f>
        <v>0</v>
      </c>
      <c r="I8" s="1181"/>
      <c r="J8" s="1181"/>
      <c r="K8" s="1182">
        <f t="shared" ref="K8:K71" si="33">+I8+J8</f>
        <v>0</v>
      </c>
      <c r="L8" s="1539">
        <f t="shared" ref="L8:L71" si="34">+H8+K8</f>
        <v>0</v>
      </c>
      <c r="M8" s="1388">
        <f t="shared" ref="M8:M71" si="35">-(0.25%*L8)</f>
        <v>0</v>
      </c>
      <c r="N8" s="1539">
        <f t="shared" ref="N8:N71" si="36">SUM(L8:M8)</f>
        <v>0</v>
      </c>
      <c r="O8" s="1179">
        <v>0</v>
      </c>
      <c r="P8" s="1545">
        <f t="shared" ref="P8:P71" si="37">SUM(N8:O8)</f>
        <v>0</v>
      </c>
      <c r="Q8" s="1181"/>
      <c r="R8" s="1181">
        <f t="shared" ref="R8:R71" si="38">+P8-Q8</f>
        <v>0</v>
      </c>
      <c r="S8" s="1545">
        <f t="shared" ref="S8:S71" si="39">ROUND(R8/12,0)</f>
        <v>0</v>
      </c>
      <c r="T8" s="1545">
        <f t="shared" ref="T8:T71" si="40">+P8</f>
        <v>0</v>
      </c>
      <c r="U8" s="1389">
        <f>'Table 5C1A-Madison Prep'!U8</f>
        <v>2829</v>
      </c>
      <c r="V8" s="1515">
        <f t="shared" ref="V8:V71" si="41">C8*U8</f>
        <v>0</v>
      </c>
      <c r="W8" s="1391"/>
      <c r="X8" s="1392">
        <f t="shared" ref="X8:X71" si="42">+U8*W8</f>
        <v>0</v>
      </c>
      <c r="Y8" s="1391"/>
      <c r="Z8" s="1392">
        <f t="shared" ref="Z8:Z71" si="43">+U8*Y8*0.5</f>
        <v>0</v>
      </c>
      <c r="AA8" s="1390">
        <f t="shared" ref="AA8:AA71" si="44">+X8+Z8</f>
        <v>0</v>
      </c>
      <c r="AB8" s="1510">
        <f t="shared" ref="AB8:AB71" si="45">+V8+AA8</f>
        <v>0</v>
      </c>
      <c r="AC8" s="1394">
        <f t="shared" ref="AC8:AC71" si="46">-(0.25%*AB8)</f>
        <v>0</v>
      </c>
      <c r="AD8" s="1510">
        <f t="shared" ref="AD8:AD71" si="47">SUM(AB8:AC8)</f>
        <v>0</v>
      </c>
      <c r="AE8" s="1395">
        <v>0</v>
      </c>
      <c r="AF8" s="1510">
        <f t="shared" ref="AF8:AF71" si="48">SUM(AD8:AE8)</f>
        <v>0</v>
      </c>
      <c r="AG8" s="1395"/>
      <c r="AH8" s="1395">
        <f t="shared" ref="AH8:AH71" si="49">+AF8-AG8</f>
        <v>0</v>
      </c>
      <c r="AI8" s="1510">
        <f t="shared" ref="AI8:AI71" si="50">ROUND(AH8/12,0)</f>
        <v>0</v>
      </c>
      <c r="AJ8" s="1505">
        <f t="shared" ref="AJ8:AJ71" si="51">T8+AF8</f>
        <v>0</v>
      </c>
      <c r="AK8" s="1535">
        <f t="shared" ref="AK8:AK71" si="52">S8+AI8</f>
        <v>0</v>
      </c>
    </row>
    <row r="9" spans="1:37" ht="16.2" customHeight="1">
      <c r="A9" s="1176">
        <v>3</v>
      </c>
      <c r="B9" s="1177" t="s">
        <v>83</v>
      </c>
      <c r="C9" s="1178">
        <f>+'Table 8 Membership 2.1.14'!M5</f>
        <v>0</v>
      </c>
      <c r="D9" s="1179">
        <f>+'Table 5C1A-Madison Prep'!D9</f>
        <v>4155.1862027396819</v>
      </c>
      <c r="E9" s="1180">
        <f t="shared" si="30"/>
        <v>0</v>
      </c>
      <c r="F9" s="1180">
        <f>+'Table 5C1A-Madison Prep'!F9</f>
        <v>596.84</v>
      </c>
      <c r="G9" s="1180">
        <f t="shared" si="31"/>
        <v>0</v>
      </c>
      <c r="H9" s="1539">
        <f t="shared" si="32"/>
        <v>0</v>
      </c>
      <c r="I9" s="1181"/>
      <c r="J9" s="1181"/>
      <c r="K9" s="1182">
        <f t="shared" si="33"/>
        <v>0</v>
      </c>
      <c r="L9" s="1539">
        <f t="shared" si="34"/>
        <v>0</v>
      </c>
      <c r="M9" s="1388">
        <f t="shared" si="35"/>
        <v>0</v>
      </c>
      <c r="N9" s="1539">
        <f t="shared" si="36"/>
        <v>0</v>
      </c>
      <c r="O9" s="1179">
        <v>0</v>
      </c>
      <c r="P9" s="1545">
        <f t="shared" si="37"/>
        <v>0</v>
      </c>
      <c r="Q9" s="1181"/>
      <c r="R9" s="1181">
        <f t="shared" si="38"/>
        <v>0</v>
      </c>
      <c r="S9" s="1545">
        <f t="shared" si="39"/>
        <v>0</v>
      </c>
      <c r="T9" s="1545">
        <f t="shared" si="40"/>
        <v>0</v>
      </c>
      <c r="U9" s="1389">
        <f>'Table 5C1A-Madison Prep'!U9</f>
        <v>5770</v>
      </c>
      <c r="V9" s="1515">
        <f t="shared" si="41"/>
        <v>0</v>
      </c>
      <c r="W9" s="1391"/>
      <c r="X9" s="1392">
        <f t="shared" si="42"/>
        <v>0</v>
      </c>
      <c r="Y9" s="1391"/>
      <c r="Z9" s="1392">
        <f t="shared" si="43"/>
        <v>0</v>
      </c>
      <c r="AA9" s="1390">
        <f t="shared" si="44"/>
        <v>0</v>
      </c>
      <c r="AB9" s="1510">
        <f t="shared" si="45"/>
        <v>0</v>
      </c>
      <c r="AC9" s="1394">
        <f t="shared" si="46"/>
        <v>0</v>
      </c>
      <c r="AD9" s="1510">
        <f t="shared" si="47"/>
        <v>0</v>
      </c>
      <c r="AE9" s="1395">
        <v>0</v>
      </c>
      <c r="AF9" s="1510">
        <f t="shared" si="48"/>
        <v>0</v>
      </c>
      <c r="AG9" s="1395"/>
      <c r="AH9" s="1395">
        <f t="shared" si="49"/>
        <v>0</v>
      </c>
      <c r="AI9" s="1510">
        <f t="shared" si="50"/>
        <v>0</v>
      </c>
      <c r="AJ9" s="1505">
        <f t="shared" si="51"/>
        <v>0</v>
      </c>
      <c r="AK9" s="1535">
        <f t="shared" si="52"/>
        <v>0</v>
      </c>
    </row>
    <row r="10" spans="1:37" ht="16.2" customHeight="1">
      <c r="A10" s="1176">
        <v>4</v>
      </c>
      <c r="B10" s="1177" t="s">
        <v>84</v>
      </c>
      <c r="C10" s="1178">
        <f>+'Table 8 Membership 2.1.14'!M6</f>
        <v>0</v>
      </c>
      <c r="D10" s="1179">
        <f>+'Table 5C1A-Madison Prep'!D10</f>
        <v>6119.0581446878568</v>
      </c>
      <c r="E10" s="1180">
        <f t="shared" si="30"/>
        <v>0</v>
      </c>
      <c r="F10" s="1180">
        <f>+'Table 5C1A-Madison Prep'!F10</f>
        <v>585.76</v>
      </c>
      <c r="G10" s="1180">
        <f t="shared" si="31"/>
        <v>0</v>
      </c>
      <c r="H10" s="1539">
        <f t="shared" si="32"/>
        <v>0</v>
      </c>
      <c r="I10" s="1181"/>
      <c r="J10" s="1181"/>
      <c r="K10" s="1182">
        <f t="shared" si="33"/>
        <v>0</v>
      </c>
      <c r="L10" s="1539">
        <f t="shared" si="34"/>
        <v>0</v>
      </c>
      <c r="M10" s="1388">
        <f t="shared" si="35"/>
        <v>0</v>
      </c>
      <c r="N10" s="1539">
        <f t="shared" si="36"/>
        <v>0</v>
      </c>
      <c r="O10" s="1179">
        <v>0</v>
      </c>
      <c r="P10" s="1545">
        <f t="shared" si="37"/>
        <v>0</v>
      </c>
      <c r="Q10" s="1181"/>
      <c r="R10" s="1181">
        <f t="shared" si="38"/>
        <v>0</v>
      </c>
      <c r="S10" s="1545">
        <f t="shared" si="39"/>
        <v>0</v>
      </c>
      <c r="T10" s="1545">
        <f t="shared" si="40"/>
        <v>0</v>
      </c>
      <c r="U10" s="1389">
        <f>'Table 5C1A-Madison Prep'!U10</f>
        <v>3287</v>
      </c>
      <c r="V10" s="1515">
        <f t="shared" si="41"/>
        <v>0</v>
      </c>
      <c r="W10" s="1391"/>
      <c r="X10" s="1392">
        <f t="shared" si="42"/>
        <v>0</v>
      </c>
      <c r="Y10" s="1391"/>
      <c r="Z10" s="1392">
        <f t="shared" si="43"/>
        <v>0</v>
      </c>
      <c r="AA10" s="1390">
        <f t="shared" si="44"/>
        <v>0</v>
      </c>
      <c r="AB10" s="1510">
        <f t="shared" si="45"/>
        <v>0</v>
      </c>
      <c r="AC10" s="1394">
        <f t="shared" si="46"/>
        <v>0</v>
      </c>
      <c r="AD10" s="1510">
        <f t="shared" si="47"/>
        <v>0</v>
      </c>
      <c r="AE10" s="1395">
        <v>0</v>
      </c>
      <c r="AF10" s="1510">
        <f t="shared" si="48"/>
        <v>0</v>
      </c>
      <c r="AG10" s="1395"/>
      <c r="AH10" s="1395">
        <f t="shared" si="49"/>
        <v>0</v>
      </c>
      <c r="AI10" s="1510">
        <f t="shared" si="50"/>
        <v>0</v>
      </c>
      <c r="AJ10" s="1505">
        <f t="shared" si="51"/>
        <v>0</v>
      </c>
      <c r="AK10" s="1535">
        <f t="shared" si="52"/>
        <v>0</v>
      </c>
    </row>
    <row r="11" spans="1:37" ht="16.2" customHeight="1">
      <c r="A11" s="1168">
        <v>5</v>
      </c>
      <c r="B11" s="1169" t="s">
        <v>85</v>
      </c>
      <c r="C11" s="1170">
        <f>+'Table 8 Membership 2.1.14'!M7</f>
        <v>0</v>
      </c>
      <c r="D11" s="1171">
        <f>+'Table 5C1A-Madison Prep'!D11</f>
        <v>5268.940566009911</v>
      </c>
      <c r="E11" s="1172">
        <f t="shared" si="30"/>
        <v>0</v>
      </c>
      <c r="F11" s="1172">
        <f>+'Table 5C1A-Madison Prep'!F11</f>
        <v>555.91</v>
      </c>
      <c r="G11" s="1172">
        <f t="shared" si="31"/>
        <v>0</v>
      </c>
      <c r="H11" s="1540">
        <f t="shared" si="32"/>
        <v>0</v>
      </c>
      <c r="I11" s="1173"/>
      <c r="J11" s="1173"/>
      <c r="K11" s="1174">
        <f t="shared" si="33"/>
        <v>0</v>
      </c>
      <c r="L11" s="1540">
        <f t="shared" si="34"/>
        <v>0</v>
      </c>
      <c r="M11" s="1399">
        <f t="shared" si="35"/>
        <v>0</v>
      </c>
      <c r="N11" s="1540">
        <f t="shared" si="36"/>
        <v>0</v>
      </c>
      <c r="O11" s="1171">
        <v>0</v>
      </c>
      <c r="P11" s="1546">
        <f t="shared" si="37"/>
        <v>0</v>
      </c>
      <c r="Q11" s="1173"/>
      <c r="R11" s="1173">
        <f t="shared" si="38"/>
        <v>0</v>
      </c>
      <c r="S11" s="1546">
        <f t="shared" si="39"/>
        <v>0</v>
      </c>
      <c r="T11" s="1546">
        <f t="shared" si="40"/>
        <v>0</v>
      </c>
      <c r="U11" s="1382">
        <f>'Table 5C1A-Madison Prep'!U11</f>
        <v>1921</v>
      </c>
      <c r="V11" s="1516">
        <f t="shared" si="41"/>
        <v>0</v>
      </c>
      <c r="W11" s="1400"/>
      <c r="X11" s="1383">
        <f t="shared" si="42"/>
        <v>0</v>
      </c>
      <c r="Y11" s="1400"/>
      <c r="Z11" s="1383">
        <f t="shared" si="43"/>
        <v>0</v>
      </c>
      <c r="AA11" s="1384">
        <f t="shared" si="44"/>
        <v>0</v>
      </c>
      <c r="AB11" s="1511">
        <f t="shared" si="45"/>
        <v>0</v>
      </c>
      <c r="AC11" s="1402">
        <f t="shared" si="46"/>
        <v>0</v>
      </c>
      <c r="AD11" s="1511">
        <f t="shared" si="47"/>
        <v>0</v>
      </c>
      <c r="AE11" s="1385">
        <v>0</v>
      </c>
      <c r="AF11" s="1511">
        <f t="shared" si="48"/>
        <v>0</v>
      </c>
      <c r="AG11" s="1385"/>
      <c r="AH11" s="1385">
        <f t="shared" si="49"/>
        <v>0</v>
      </c>
      <c r="AI11" s="1511">
        <f t="shared" si="50"/>
        <v>0</v>
      </c>
      <c r="AJ11" s="1531">
        <f t="shared" si="51"/>
        <v>0</v>
      </c>
      <c r="AK11" s="1536">
        <f t="shared" si="52"/>
        <v>0</v>
      </c>
    </row>
    <row r="12" spans="1:37" ht="16.2" customHeight="1">
      <c r="A12" s="1183">
        <v>6</v>
      </c>
      <c r="B12" s="1184" t="s">
        <v>86</v>
      </c>
      <c r="C12" s="1185">
        <f>+'Table 8 Membership 2.1.14'!M8</f>
        <v>0</v>
      </c>
      <c r="D12" s="1186">
        <f>+'Table 5C1A-Madison Prep'!D12</f>
        <v>5378.5086124955869</v>
      </c>
      <c r="E12" s="1187">
        <f t="shared" si="30"/>
        <v>0</v>
      </c>
      <c r="F12" s="1187">
        <f>+'Table 5C1A-Madison Prep'!F12</f>
        <v>545.4799999999999</v>
      </c>
      <c r="G12" s="1187">
        <f t="shared" si="31"/>
        <v>0</v>
      </c>
      <c r="H12" s="1538">
        <f t="shared" si="32"/>
        <v>0</v>
      </c>
      <c r="I12" s="1188"/>
      <c r="J12" s="1188"/>
      <c r="K12" s="1189">
        <f t="shared" si="33"/>
        <v>0</v>
      </c>
      <c r="L12" s="1538">
        <f t="shared" si="34"/>
        <v>0</v>
      </c>
      <c r="M12" s="1372">
        <f t="shared" si="35"/>
        <v>0</v>
      </c>
      <c r="N12" s="1538">
        <f t="shared" si="36"/>
        <v>0</v>
      </c>
      <c r="O12" s="1186">
        <v>0</v>
      </c>
      <c r="P12" s="1544">
        <f t="shared" si="37"/>
        <v>0</v>
      </c>
      <c r="Q12" s="1188"/>
      <c r="R12" s="1188">
        <f t="shared" si="38"/>
        <v>0</v>
      </c>
      <c r="S12" s="1544">
        <f t="shared" si="39"/>
        <v>0</v>
      </c>
      <c r="T12" s="1544">
        <f t="shared" si="40"/>
        <v>0</v>
      </c>
      <c r="U12" s="1373">
        <f>'Table 5C1A-Madison Prep'!U12</f>
        <v>3807</v>
      </c>
      <c r="V12" s="1514">
        <f t="shared" si="41"/>
        <v>0</v>
      </c>
      <c r="W12" s="1375"/>
      <c r="X12" s="1376">
        <f t="shared" si="42"/>
        <v>0</v>
      </c>
      <c r="Y12" s="1375"/>
      <c r="Z12" s="1376">
        <f t="shared" si="43"/>
        <v>0</v>
      </c>
      <c r="AA12" s="1374">
        <f t="shared" si="44"/>
        <v>0</v>
      </c>
      <c r="AB12" s="1509">
        <f t="shared" si="45"/>
        <v>0</v>
      </c>
      <c r="AC12" s="1378">
        <f t="shared" si="46"/>
        <v>0</v>
      </c>
      <c r="AD12" s="1509">
        <f t="shared" si="47"/>
        <v>0</v>
      </c>
      <c r="AE12" s="1379">
        <v>0</v>
      </c>
      <c r="AF12" s="1509">
        <f t="shared" si="48"/>
        <v>0</v>
      </c>
      <c r="AG12" s="1379"/>
      <c r="AH12" s="1379">
        <f t="shared" si="49"/>
        <v>0</v>
      </c>
      <c r="AI12" s="1509">
        <f t="shared" si="50"/>
        <v>0</v>
      </c>
      <c r="AJ12" s="1530">
        <f t="shared" si="51"/>
        <v>0</v>
      </c>
      <c r="AK12" s="1534">
        <f t="shared" si="52"/>
        <v>0</v>
      </c>
    </row>
    <row r="13" spans="1:37" ht="16.2" customHeight="1">
      <c r="A13" s="1176">
        <v>7</v>
      </c>
      <c r="B13" s="1177" t="s">
        <v>87</v>
      </c>
      <c r="C13" s="1178">
        <f>+'Table 8 Membership 2.1.14'!M9</f>
        <v>0</v>
      </c>
      <c r="D13" s="1179">
        <f>+'Table 5C1A-Madison Prep'!D13</f>
        <v>2243.0031963470319</v>
      </c>
      <c r="E13" s="1180">
        <f t="shared" si="30"/>
        <v>0</v>
      </c>
      <c r="F13" s="1180">
        <f>+'Table 5C1A-Madison Prep'!F13</f>
        <v>756.91999999999985</v>
      </c>
      <c r="G13" s="1180">
        <f t="shared" si="31"/>
        <v>0</v>
      </c>
      <c r="H13" s="1539">
        <f t="shared" si="32"/>
        <v>0</v>
      </c>
      <c r="I13" s="1181"/>
      <c r="J13" s="1181"/>
      <c r="K13" s="1182">
        <f t="shared" si="33"/>
        <v>0</v>
      </c>
      <c r="L13" s="1539">
        <f t="shared" si="34"/>
        <v>0</v>
      </c>
      <c r="M13" s="1388">
        <f t="shared" si="35"/>
        <v>0</v>
      </c>
      <c r="N13" s="1539">
        <f t="shared" si="36"/>
        <v>0</v>
      </c>
      <c r="O13" s="1179">
        <v>0</v>
      </c>
      <c r="P13" s="1545">
        <f t="shared" si="37"/>
        <v>0</v>
      </c>
      <c r="Q13" s="1181"/>
      <c r="R13" s="1181">
        <f t="shared" si="38"/>
        <v>0</v>
      </c>
      <c r="S13" s="1545">
        <f t="shared" si="39"/>
        <v>0</v>
      </c>
      <c r="T13" s="1545">
        <f t="shared" si="40"/>
        <v>0</v>
      </c>
      <c r="U13" s="1389">
        <f>'Table 5C1A-Madison Prep'!U13</f>
        <v>11888</v>
      </c>
      <c r="V13" s="1515">
        <f t="shared" si="41"/>
        <v>0</v>
      </c>
      <c r="W13" s="1391"/>
      <c r="X13" s="1392">
        <f t="shared" si="42"/>
        <v>0</v>
      </c>
      <c r="Y13" s="1391"/>
      <c r="Z13" s="1392">
        <f t="shared" si="43"/>
        <v>0</v>
      </c>
      <c r="AA13" s="1390">
        <f t="shared" si="44"/>
        <v>0</v>
      </c>
      <c r="AB13" s="1510">
        <f t="shared" si="45"/>
        <v>0</v>
      </c>
      <c r="AC13" s="1394">
        <f t="shared" si="46"/>
        <v>0</v>
      </c>
      <c r="AD13" s="1510">
        <f t="shared" si="47"/>
        <v>0</v>
      </c>
      <c r="AE13" s="1395">
        <v>0</v>
      </c>
      <c r="AF13" s="1510">
        <f t="shared" si="48"/>
        <v>0</v>
      </c>
      <c r="AG13" s="1395"/>
      <c r="AH13" s="1395">
        <f t="shared" si="49"/>
        <v>0</v>
      </c>
      <c r="AI13" s="1510">
        <f t="shared" si="50"/>
        <v>0</v>
      </c>
      <c r="AJ13" s="1505">
        <f t="shared" si="51"/>
        <v>0</v>
      </c>
      <c r="AK13" s="1535">
        <f t="shared" si="52"/>
        <v>0</v>
      </c>
    </row>
    <row r="14" spans="1:37" ht="16.2" customHeight="1">
      <c r="A14" s="1176">
        <v>8</v>
      </c>
      <c r="B14" s="1177" t="s">
        <v>88</v>
      </c>
      <c r="C14" s="1178">
        <f>+'Table 8 Membership 2.1.14'!M10</f>
        <v>0</v>
      </c>
      <c r="D14" s="1179">
        <f>+'Table 5C1A-Madison Prep'!D14</f>
        <v>4669.802459558854</v>
      </c>
      <c r="E14" s="1180">
        <f t="shared" si="30"/>
        <v>0</v>
      </c>
      <c r="F14" s="1180">
        <f>+'Table 5C1A-Madison Prep'!F14</f>
        <v>725.76</v>
      </c>
      <c r="G14" s="1180">
        <f t="shared" si="31"/>
        <v>0</v>
      </c>
      <c r="H14" s="1539">
        <f t="shared" si="32"/>
        <v>0</v>
      </c>
      <c r="I14" s="1181"/>
      <c r="J14" s="1181"/>
      <c r="K14" s="1182">
        <f t="shared" si="33"/>
        <v>0</v>
      </c>
      <c r="L14" s="1539">
        <f t="shared" si="34"/>
        <v>0</v>
      </c>
      <c r="M14" s="1388">
        <f t="shared" si="35"/>
        <v>0</v>
      </c>
      <c r="N14" s="1539">
        <f t="shared" si="36"/>
        <v>0</v>
      </c>
      <c r="O14" s="1179">
        <v>0</v>
      </c>
      <c r="P14" s="1545">
        <f t="shared" si="37"/>
        <v>0</v>
      </c>
      <c r="Q14" s="1181"/>
      <c r="R14" s="1181">
        <f t="shared" si="38"/>
        <v>0</v>
      </c>
      <c r="S14" s="1545">
        <f t="shared" si="39"/>
        <v>0</v>
      </c>
      <c r="T14" s="1545">
        <f t="shared" si="40"/>
        <v>0</v>
      </c>
      <c r="U14" s="1389">
        <f>'Table 5C1A-Madison Prep'!U14</f>
        <v>4024</v>
      </c>
      <c r="V14" s="1515">
        <f t="shared" si="41"/>
        <v>0</v>
      </c>
      <c r="W14" s="1391"/>
      <c r="X14" s="1392">
        <f t="shared" si="42"/>
        <v>0</v>
      </c>
      <c r="Y14" s="1391"/>
      <c r="Z14" s="1392">
        <f t="shared" si="43"/>
        <v>0</v>
      </c>
      <c r="AA14" s="1390">
        <f t="shared" si="44"/>
        <v>0</v>
      </c>
      <c r="AB14" s="1510">
        <f t="shared" si="45"/>
        <v>0</v>
      </c>
      <c r="AC14" s="1394">
        <f t="shared" si="46"/>
        <v>0</v>
      </c>
      <c r="AD14" s="1510">
        <f t="shared" si="47"/>
        <v>0</v>
      </c>
      <c r="AE14" s="1395">
        <v>0</v>
      </c>
      <c r="AF14" s="1510">
        <f t="shared" si="48"/>
        <v>0</v>
      </c>
      <c r="AG14" s="1395"/>
      <c r="AH14" s="1395">
        <f t="shared" si="49"/>
        <v>0</v>
      </c>
      <c r="AI14" s="1510">
        <f t="shared" si="50"/>
        <v>0</v>
      </c>
      <c r="AJ14" s="1505">
        <f t="shared" si="51"/>
        <v>0</v>
      </c>
      <c r="AK14" s="1535">
        <f t="shared" si="52"/>
        <v>0</v>
      </c>
    </row>
    <row r="15" spans="1:37" ht="16.2" customHeight="1">
      <c r="A15" s="1176">
        <v>9</v>
      </c>
      <c r="B15" s="1177" t="s">
        <v>89</v>
      </c>
      <c r="C15" s="1178">
        <f>+'Table 8 Membership 2.1.14'!M11</f>
        <v>0</v>
      </c>
      <c r="D15" s="1179">
        <f>+'Table 5C1A-Madison Prep'!D15</f>
        <v>4632.4615072045008</v>
      </c>
      <c r="E15" s="1180">
        <f t="shared" si="30"/>
        <v>0</v>
      </c>
      <c r="F15" s="1180">
        <f>+'Table 5C1A-Madison Prep'!F15</f>
        <v>744.76</v>
      </c>
      <c r="G15" s="1180">
        <f t="shared" si="31"/>
        <v>0</v>
      </c>
      <c r="H15" s="1539">
        <f t="shared" si="32"/>
        <v>0</v>
      </c>
      <c r="I15" s="1181"/>
      <c r="J15" s="1181"/>
      <c r="K15" s="1182">
        <f t="shared" si="33"/>
        <v>0</v>
      </c>
      <c r="L15" s="1539">
        <f t="shared" si="34"/>
        <v>0</v>
      </c>
      <c r="M15" s="1388">
        <f t="shared" si="35"/>
        <v>0</v>
      </c>
      <c r="N15" s="1539">
        <f t="shared" si="36"/>
        <v>0</v>
      </c>
      <c r="O15" s="1179">
        <v>0</v>
      </c>
      <c r="P15" s="1545">
        <f t="shared" si="37"/>
        <v>0</v>
      </c>
      <c r="Q15" s="1181"/>
      <c r="R15" s="1181">
        <f t="shared" si="38"/>
        <v>0</v>
      </c>
      <c r="S15" s="1545">
        <f t="shared" si="39"/>
        <v>0</v>
      </c>
      <c r="T15" s="1545">
        <f t="shared" si="40"/>
        <v>0</v>
      </c>
      <c r="U15" s="1389">
        <f>'Table 5C1A-Madison Prep'!U15</f>
        <v>4828</v>
      </c>
      <c r="V15" s="1515">
        <f t="shared" si="41"/>
        <v>0</v>
      </c>
      <c r="W15" s="1391"/>
      <c r="X15" s="1392">
        <f t="shared" si="42"/>
        <v>0</v>
      </c>
      <c r="Y15" s="1391"/>
      <c r="Z15" s="1392">
        <f t="shared" si="43"/>
        <v>0</v>
      </c>
      <c r="AA15" s="1390">
        <f t="shared" si="44"/>
        <v>0</v>
      </c>
      <c r="AB15" s="1510">
        <f t="shared" si="45"/>
        <v>0</v>
      </c>
      <c r="AC15" s="1394">
        <f t="shared" si="46"/>
        <v>0</v>
      </c>
      <c r="AD15" s="1510">
        <f t="shared" si="47"/>
        <v>0</v>
      </c>
      <c r="AE15" s="1395">
        <v>0</v>
      </c>
      <c r="AF15" s="1510">
        <f t="shared" si="48"/>
        <v>0</v>
      </c>
      <c r="AG15" s="1395"/>
      <c r="AH15" s="1395">
        <f t="shared" si="49"/>
        <v>0</v>
      </c>
      <c r="AI15" s="1510">
        <f t="shared" si="50"/>
        <v>0</v>
      </c>
      <c r="AJ15" s="1505">
        <f t="shared" si="51"/>
        <v>0</v>
      </c>
      <c r="AK15" s="1535">
        <f t="shared" si="52"/>
        <v>0</v>
      </c>
    </row>
    <row r="16" spans="1:37" ht="16.2" customHeight="1">
      <c r="A16" s="1168">
        <v>10</v>
      </c>
      <c r="B16" s="1169" t="s">
        <v>90</v>
      </c>
      <c r="C16" s="1170">
        <f>+'Table 8 Membership 2.1.14'!M12</f>
        <v>865</v>
      </c>
      <c r="D16" s="1171">
        <f>+'Table 5C1A-Madison Prep'!D16</f>
        <v>4384.374733918472</v>
      </c>
      <c r="E16" s="1172">
        <f t="shared" si="30"/>
        <v>3792484.1448394782</v>
      </c>
      <c r="F16" s="1172">
        <f>+'Table 5C1A-Madison Prep'!F16</f>
        <v>608.04000000000008</v>
      </c>
      <c r="G16" s="1172">
        <f t="shared" si="31"/>
        <v>525954.60000000009</v>
      </c>
      <c r="H16" s="1540">
        <f t="shared" si="32"/>
        <v>4318438.7448394783</v>
      </c>
      <c r="I16" s="1173"/>
      <c r="J16" s="1173"/>
      <c r="K16" s="1174">
        <f t="shared" si="33"/>
        <v>0</v>
      </c>
      <c r="L16" s="1540">
        <f t="shared" si="34"/>
        <v>4318438.7448394783</v>
      </c>
      <c r="M16" s="1399">
        <f t="shared" si="35"/>
        <v>-10796.096862098695</v>
      </c>
      <c r="N16" s="1540">
        <f t="shared" si="36"/>
        <v>4307642.6479773792</v>
      </c>
      <c r="O16" s="1171">
        <v>0</v>
      </c>
      <c r="P16" s="1546">
        <f t="shared" si="37"/>
        <v>4307642.6479773792</v>
      </c>
      <c r="Q16" s="1173"/>
      <c r="R16" s="1173">
        <f t="shared" si="38"/>
        <v>4307642.6479773792</v>
      </c>
      <c r="S16" s="1546">
        <f t="shared" si="39"/>
        <v>358970</v>
      </c>
      <c r="T16" s="1546">
        <f t="shared" si="40"/>
        <v>4307642.6479773792</v>
      </c>
      <c r="U16" s="1382">
        <f>'Table 5C1A-Madison Prep'!U16</f>
        <v>4565</v>
      </c>
      <c r="V16" s="1516">
        <f t="shared" si="41"/>
        <v>3948725</v>
      </c>
      <c r="W16" s="1400"/>
      <c r="X16" s="1383">
        <f t="shared" si="42"/>
        <v>0</v>
      </c>
      <c r="Y16" s="1400"/>
      <c r="Z16" s="1383">
        <f t="shared" si="43"/>
        <v>0</v>
      </c>
      <c r="AA16" s="1384">
        <f t="shared" si="44"/>
        <v>0</v>
      </c>
      <c r="AB16" s="1511">
        <f t="shared" si="45"/>
        <v>3948725</v>
      </c>
      <c r="AC16" s="1402">
        <f t="shared" si="46"/>
        <v>-9871.8125</v>
      </c>
      <c r="AD16" s="1511">
        <f t="shared" si="47"/>
        <v>3938853.1875</v>
      </c>
      <c r="AE16" s="1385">
        <v>0</v>
      </c>
      <c r="AF16" s="1511">
        <f t="shared" si="48"/>
        <v>3938853.1875</v>
      </c>
      <c r="AG16" s="1385"/>
      <c r="AH16" s="1385">
        <f t="shared" si="49"/>
        <v>3938853.1875</v>
      </c>
      <c r="AI16" s="1511">
        <f t="shared" si="50"/>
        <v>328238</v>
      </c>
      <c r="AJ16" s="1531">
        <f t="shared" si="51"/>
        <v>8246495.8354773792</v>
      </c>
      <c r="AK16" s="1536">
        <f t="shared" si="52"/>
        <v>687208</v>
      </c>
    </row>
    <row r="17" spans="1:37" ht="16.2" customHeight="1">
      <c r="A17" s="1183">
        <v>11</v>
      </c>
      <c r="B17" s="1184" t="s">
        <v>91</v>
      </c>
      <c r="C17" s="1185">
        <f>+'Table 8 Membership 2.1.14'!M13</f>
        <v>0</v>
      </c>
      <c r="D17" s="1186">
        <f>+'Table 5C1A-Madison Prep'!D17</f>
        <v>7098.5372236353351</v>
      </c>
      <c r="E17" s="1187">
        <f t="shared" si="30"/>
        <v>0</v>
      </c>
      <c r="F17" s="1187">
        <f>+'Table 5C1A-Madison Prep'!F17</f>
        <v>706.55</v>
      </c>
      <c r="G17" s="1187">
        <f t="shared" si="31"/>
        <v>0</v>
      </c>
      <c r="H17" s="1538">
        <f t="shared" si="32"/>
        <v>0</v>
      </c>
      <c r="I17" s="1188"/>
      <c r="J17" s="1188"/>
      <c r="K17" s="1189">
        <f t="shared" si="33"/>
        <v>0</v>
      </c>
      <c r="L17" s="1538">
        <f t="shared" si="34"/>
        <v>0</v>
      </c>
      <c r="M17" s="1372">
        <f t="shared" si="35"/>
        <v>0</v>
      </c>
      <c r="N17" s="1538">
        <f t="shared" si="36"/>
        <v>0</v>
      </c>
      <c r="O17" s="1186">
        <v>0</v>
      </c>
      <c r="P17" s="1544">
        <f t="shared" si="37"/>
        <v>0</v>
      </c>
      <c r="Q17" s="1188"/>
      <c r="R17" s="1188">
        <f t="shared" si="38"/>
        <v>0</v>
      </c>
      <c r="S17" s="1544">
        <f t="shared" si="39"/>
        <v>0</v>
      </c>
      <c r="T17" s="1544">
        <f t="shared" si="40"/>
        <v>0</v>
      </c>
      <c r="U17" s="1373">
        <f>'Table 5C1A-Madison Prep'!U17</f>
        <v>3587</v>
      </c>
      <c r="V17" s="1514">
        <f t="shared" si="41"/>
        <v>0</v>
      </c>
      <c r="W17" s="1375"/>
      <c r="X17" s="1376">
        <f t="shared" si="42"/>
        <v>0</v>
      </c>
      <c r="Y17" s="1375"/>
      <c r="Z17" s="1376">
        <f t="shared" si="43"/>
        <v>0</v>
      </c>
      <c r="AA17" s="1374">
        <f t="shared" si="44"/>
        <v>0</v>
      </c>
      <c r="AB17" s="1509">
        <f t="shared" si="45"/>
        <v>0</v>
      </c>
      <c r="AC17" s="1378">
        <f t="shared" si="46"/>
        <v>0</v>
      </c>
      <c r="AD17" s="1509">
        <f t="shared" si="47"/>
        <v>0</v>
      </c>
      <c r="AE17" s="1379">
        <v>0</v>
      </c>
      <c r="AF17" s="1509">
        <f t="shared" si="48"/>
        <v>0</v>
      </c>
      <c r="AG17" s="1379"/>
      <c r="AH17" s="1379">
        <f t="shared" si="49"/>
        <v>0</v>
      </c>
      <c r="AI17" s="1509">
        <f t="shared" si="50"/>
        <v>0</v>
      </c>
      <c r="AJ17" s="1530">
        <f t="shared" si="51"/>
        <v>0</v>
      </c>
      <c r="AK17" s="1534">
        <f t="shared" si="52"/>
        <v>0</v>
      </c>
    </row>
    <row r="18" spans="1:37" ht="16.2" customHeight="1">
      <c r="A18" s="1176">
        <v>12</v>
      </c>
      <c r="B18" s="1177" t="s">
        <v>92</v>
      </c>
      <c r="C18" s="1178">
        <f>+'Table 8 Membership 2.1.14'!M14</f>
        <v>0</v>
      </c>
      <c r="D18" s="1179">
        <f>+'Table 5C1A-Madison Prep'!D18</f>
        <v>1666.6040983606558</v>
      </c>
      <c r="E18" s="1180">
        <f t="shared" si="30"/>
        <v>0</v>
      </c>
      <c r="F18" s="1180">
        <f>+'Table 5C1A-Madison Prep'!F18</f>
        <v>1063.31</v>
      </c>
      <c r="G18" s="1180">
        <f t="shared" si="31"/>
        <v>0</v>
      </c>
      <c r="H18" s="1539">
        <f t="shared" si="32"/>
        <v>0</v>
      </c>
      <c r="I18" s="1181"/>
      <c r="J18" s="1181"/>
      <c r="K18" s="1182">
        <f t="shared" si="33"/>
        <v>0</v>
      </c>
      <c r="L18" s="1539">
        <f t="shared" si="34"/>
        <v>0</v>
      </c>
      <c r="M18" s="1388">
        <f t="shared" si="35"/>
        <v>0</v>
      </c>
      <c r="N18" s="1539">
        <f t="shared" si="36"/>
        <v>0</v>
      </c>
      <c r="O18" s="1179">
        <v>0</v>
      </c>
      <c r="P18" s="1545">
        <f t="shared" si="37"/>
        <v>0</v>
      </c>
      <c r="Q18" s="1181"/>
      <c r="R18" s="1181">
        <f t="shared" si="38"/>
        <v>0</v>
      </c>
      <c r="S18" s="1545">
        <f t="shared" si="39"/>
        <v>0</v>
      </c>
      <c r="T18" s="1545">
        <f t="shared" si="40"/>
        <v>0</v>
      </c>
      <c r="U18" s="1389">
        <f>'Table 5C1A-Madison Prep'!U18</f>
        <v>8094</v>
      </c>
      <c r="V18" s="1515">
        <f t="shared" si="41"/>
        <v>0</v>
      </c>
      <c r="W18" s="1391"/>
      <c r="X18" s="1392">
        <f t="shared" si="42"/>
        <v>0</v>
      </c>
      <c r="Y18" s="1391"/>
      <c r="Z18" s="1392">
        <f t="shared" si="43"/>
        <v>0</v>
      </c>
      <c r="AA18" s="1390">
        <f t="shared" si="44"/>
        <v>0</v>
      </c>
      <c r="AB18" s="1510">
        <f t="shared" si="45"/>
        <v>0</v>
      </c>
      <c r="AC18" s="1394">
        <f t="shared" si="46"/>
        <v>0</v>
      </c>
      <c r="AD18" s="1510">
        <f t="shared" si="47"/>
        <v>0</v>
      </c>
      <c r="AE18" s="1395">
        <v>0</v>
      </c>
      <c r="AF18" s="1510">
        <f t="shared" si="48"/>
        <v>0</v>
      </c>
      <c r="AG18" s="1395"/>
      <c r="AH18" s="1395">
        <f t="shared" si="49"/>
        <v>0</v>
      </c>
      <c r="AI18" s="1510">
        <f t="shared" si="50"/>
        <v>0</v>
      </c>
      <c r="AJ18" s="1505">
        <f t="shared" si="51"/>
        <v>0</v>
      </c>
      <c r="AK18" s="1535">
        <f t="shared" si="52"/>
        <v>0</v>
      </c>
    </row>
    <row r="19" spans="1:37" ht="16.2" customHeight="1">
      <c r="A19" s="1176">
        <v>13</v>
      </c>
      <c r="B19" s="1177" t="s">
        <v>93</v>
      </c>
      <c r="C19" s="1178">
        <f>+'Table 8 Membership 2.1.14'!M15</f>
        <v>0</v>
      </c>
      <c r="D19" s="1179">
        <f>+'Table 5C1A-Madison Prep'!D19</f>
        <v>6433.6297758332212</v>
      </c>
      <c r="E19" s="1180">
        <f t="shared" si="30"/>
        <v>0</v>
      </c>
      <c r="F19" s="1180">
        <f>+'Table 5C1A-Madison Prep'!F19</f>
        <v>749.43000000000006</v>
      </c>
      <c r="G19" s="1180">
        <f t="shared" si="31"/>
        <v>0</v>
      </c>
      <c r="H19" s="1539">
        <f t="shared" si="32"/>
        <v>0</v>
      </c>
      <c r="I19" s="1181"/>
      <c r="J19" s="1181"/>
      <c r="K19" s="1182">
        <f t="shared" si="33"/>
        <v>0</v>
      </c>
      <c r="L19" s="1539">
        <f t="shared" si="34"/>
        <v>0</v>
      </c>
      <c r="M19" s="1388">
        <f t="shared" si="35"/>
        <v>0</v>
      </c>
      <c r="N19" s="1539">
        <f t="shared" si="36"/>
        <v>0</v>
      </c>
      <c r="O19" s="1179">
        <v>0</v>
      </c>
      <c r="P19" s="1545">
        <f t="shared" si="37"/>
        <v>0</v>
      </c>
      <c r="Q19" s="1181"/>
      <c r="R19" s="1181">
        <f t="shared" si="38"/>
        <v>0</v>
      </c>
      <c r="S19" s="1545">
        <f t="shared" si="39"/>
        <v>0</v>
      </c>
      <c r="T19" s="1545">
        <f t="shared" si="40"/>
        <v>0</v>
      </c>
      <c r="U19" s="1389">
        <f>'Table 5C1A-Madison Prep'!U19</f>
        <v>2842</v>
      </c>
      <c r="V19" s="1515">
        <f t="shared" si="41"/>
        <v>0</v>
      </c>
      <c r="W19" s="1391"/>
      <c r="X19" s="1392">
        <f t="shared" si="42"/>
        <v>0</v>
      </c>
      <c r="Y19" s="1391"/>
      <c r="Z19" s="1392">
        <f t="shared" si="43"/>
        <v>0</v>
      </c>
      <c r="AA19" s="1390">
        <f t="shared" si="44"/>
        <v>0</v>
      </c>
      <c r="AB19" s="1510">
        <f t="shared" si="45"/>
        <v>0</v>
      </c>
      <c r="AC19" s="1394">
        <f t="shared" si="46"/>
        <v>0</v>
      </c>
      <c r="AD19" s="1510">
        <f t="shared" si="47"/>
        <v>0</v>
      </c>
      <c r="AE19" s="1395">
        <v>0</v>
      </c>
      <c r="AF19" s="1510">
        <f t="shared" si="48"/>
        <v>0</v>
      </c>
      <c r="AG19" s="1395"/>
      <c r="AH19" s="1395">
        <f t="shared" si="49"/>
        <v>0</v>
      </c>
      <c r="AI19" s="1510">
        <f t="shared" si="50"/>
        <v>0</v>
      </c>
      <c r="AJ19" s="1505">
        <f t="shared" si="51"/>
        <v>0</v>
      </c>
      <c r="AK19" s="1535">
        <f t="shared" si="52"/>
        <v>0</v>
      </c>
    </row>
    <row r="20" spans="1:37" ht="16.2" customHeight="1">
      <c r="A20" s="1176">
        <v>14</v>
      </c>
      <c r="B20" s="1177" t="s">
        <v>94</v>
      </c>
      <c r="C20" s="1178">
        <f>+'Table 8 Membership 2.1.14'!M16</f>
        <v>0</v>
      </c>
      <c r="D20" s="1179">
        <f>+'Table 5C1A-Madison Prep'!D20</f>
        <v>5334.9509412500001</v>
      </c>
      <c r="E20" s="1180">
        <f t="shared" si="30"/>
        <v>0</v>
      </c>
      <c r="F20" s="1180">
        <f>+'Table 5C1A-Madison Prep'!F20</f>
        <v>809.9799999999999</v>
      </c>
      <c r="G20" s="1180">
        <f t="shared" si="31"/>
        <v>0</v>
      </c>
      <c r="H20" s="1539">
        <f t="shared" si="32"/>
        <v>0</v>
      </c>
      <c r="I20" s="1181"/>
      <c r="J20" s="1181"/>
      <c r="K20" s="1182">
        <f t="shared" si="33"/>
        <v>0</v>
      </c>
      <c r="L20" s="1539">
        <f t="shared" si="34"/>
        <v>0</v>
      </c>
      <c r="M20" s="1388">
        <f t="shared" si="35"/>
        <v>0</v>
      </c>
      <c r="N20" s="1539">
        <f t="shared" si="36"/>
        <v>0</v>
      </c>
      <c r="O20" s="1179">
        <v>0</v>
      </c>
      <c r="P20" s="1545">
        <f t="shared" si="37"/>
        <v>0</v>
      </c>
      <c r="Q20" s="1181"/>
      <c r="R20" s="1181">
        <f t="shared" si="38"/>
        <v>0</v>
      </c>
      <c r="S20" s="1545">
        <f t="shared" si="39"/>
        <v>0</v>
      </c>
      <c r="T20" s="1545">
        <f t="shared" si="40"/>
        <v>0</v>
      </c>
      <c r="U20" s="1389">
        <f>'Table 5C1A-Madison Prep'!U20</f>
        <v>4205</v>
      </c>
      <c r="V20" s="1515">
        <f t="shared" si="41"/>
        <v>0</v>
      </c>
      <c r="W20" s="1391"/>
      <c r="X20" s="1392">
        <f t="shared" si="42"/>
        <v>0</v>
      </c>
      <c r="Y20" s="1391"/>
      <c r="Z20" s="1392">
        <f t="shared" si="43"/>
        <v>0</v>
      </c>
      <c r="AA20" s="1390">
        <f t="shared" si="44"/>
        <v>0</v>
      </c>
      <c r="AB20" s="1510">
        <f t="shared" si="45"/>
        <v>0</v>
      </c>
      <c r="AC20" s="1394">
        <f t="shared" si="46"/>
        <v>0</v>
      </c>
      <c r="AD20" s="1510">
        <f t="shared" si="47"/>
        <v>0</v>
      </c>
      <c r="AE20" s="1395">
        <v>0</v>
      </c>
      <c r="AF20" s="1510">
        <f t="shared" si="48"/>
        <v>0</v>
      </c>
      <c r="AG20" s="1395"/>
      <c r="AH20" s="1395">
        <f t="shared" si="49"/>
        <v>0</v>
      </c>
      <c r="AI20" s="1510">
        <f t="shared" si="50"/>
        <v>0</v>
      </c>
      <c r="AJ20" s="1505">
        <f t="shared" si="51"/>
        <v>0</v>
      </c>
      <c r="AK20" s="1535">
        <f t="shared" si="52"/>
        <v>0</v>
      </c>
    </row>
    <row r="21" spans="1:37" ht="16.2" customHeight="1">
      <c r="A21" s="1168">
        <v>15</v>
      </c>
      <c r="B21" s="1169" t="s">
        <v>95</v>
      </c>
      <c r="C21" s="1170">
        <f>+'Table 8 Membership 2.1.14'!M17</f>
        <v>0</v>
      </c>
      <c r="D21" s="1171">
        <f>+'Table 5C1A-Madison Prep'!D21</f>
        <v>5749.8285214059952</v>
      </c>
      <c r="E21" s="1172">
        <f t="shared" si="30"/>
        <v>0</v>
      </c>
      <c r="F21" s="1172">
        <f>+'Table 5C1A-Madison Prep'!F21</f>
        <v>553.79999999999995</v>
      </c>
      <c r="G21" s="1172">
        <f t="shared" si="31"/>
        <v>0</v>
      </c>
      <c r="H21" s="1540">
        <f t="shared" si="32"/>
        <v>0</v>
      </c>
      <c r="I21" s="1173"/>
      <c r="J21" s="1173"/>
      <c r="K21" s="1174">
        <f t="shared" si="33"/>
        <v>0</v>
      </c>
      <c r="L21" s="1540">
        <f t="shared" si="34"/>
        <v>0</v>
      </c>
      <c r="M21" s="1399">
        <f t="shared" si="35"/>
        <v>0</v>
      </c>
      <c r="N21" s="1540">
        <f t="shared" si="36"/>
        <v>0</v>
      </c>
      <c r="O21" s="1171">
        <v>0</v>
      </c>
      <c r="P21" s="1546">
        <f t="shared" si="37"/>
        <v>0</v>
      </c>
      <c r="Q21" s="1173"/>
      <c r="R21" s="1173">
        <f t="shared" si="38"/>
        <v>0</v>
      </c>
      <c r="S21" s="1546">
        <f t="shared" si="39"/>
        <v>0</v>
      </c>
      <c r="T21" s="1546">
        <f t="shared" si="40"/>
        <v>0</v>
      </c>
      <c r="U21" s="1382">
        <f>'Table 5C1A-Madison Prep'!U21</f>
        <v>2535</v>
      </c>
      <c r="V21" s="1516">
        <f t="shared" si="41"/>
        <v>0</v>
      </c>
      <c r="W21" s="1400"/>
      <c r="X21" s="1383">
        <f t="shared" si="42"/>
        <v>0</v>
      </c>
      <c r="Y21" s="1400"/>
      <c r="Z21" s="1383">
        <f t="shared" si="43"/>
        <v>0</v>
      </c>
      <c r="AA21" s="1384">
        <f t="shared" si="44"/>
        <v>0</v>
      </c>
      <c r="AB21" s="1511">
        <f t="shared" si="45"/>
        <v>0</v>
      </c>
      <c r="AC21" s="1402">
        <f t="shared" si="46"/>
        <v>0</v>
      </c>
      <c r="AD21" s="1511">
        <f t="shared" si="47"/>
        <v>0</v>
      </c>
      <c r="AE21" s="1385">
        <v>0</v>
      </c>
      <c r="AF21" s="1511">
        <f t="shared" si="48"/>
        <v>0</v>
      </c>
      <c r="AG21" s="1385"/>
      <c r="AH21" s="1385">
        <f t="shared" si="49"/>
        <v>0</v>
      </c>
      <c r="AI21" s="1511">
        <f t="shared" si="50"/>
        <v>0</v>
      </c>
      <c r="AJ21" s="1531">
        <f t="shared" si="51"/>
        <v>0</v>
      </c>
      <c r="AK21" s="1536">
        <f t="shared" si="52"/>
        <v>0</v>
      </c>
    </row>
    <row r="22" spans="1:37" ht="16.2" customHeight="1">
      <c r="A22" s="1183">
        <v>16</v>
      </c>
      <c r="B22" s="1184" t="s">
        <v>96</v>
      </c>
      <c r="C22" s="1185">
        <f>+'Table 8 Membership 2.1.14'!M18</f>
        <v>0</v>
      </c>
      <c r="D22" s="1186">
        <f>+'Table 5C1A-Madison Prep'!D22</f>
        <v>1980.2494354342025</v>
      </c>
      <c r="E22" s="1187">
        <f t="shared" si="30"/>
        <v>0</v>
      </c>
      <c r="F22" s="1187">
        <f>+'Table 5C1A-Madison Prep'!F22</f>
        <v>686.73</v>
      </c>
      <c r="G22" s="1187">
        <f t="shared" si="31"/>
        <v>0</v>
      </c>
      <c r="H22" s="1538">
        <f t="shared" si="32"/>
        <v>0</v>
      </c>
      <c r="I22" s="1188"/>
      <c r="J22" s="1188"/>
      <c r="K22" s="1189">
        <f t="shared" si="33"/>
        <v>0</v>
      </c>
      <c r="L22" s="1538">
        <f t="shared" si="34"/>
        <v>0</v>
      </c>
      <c r="M22" s="1372">
        <f t="shared" si="35"/>
        <v>0</v>
      </c>
      <c r="N22" s="1538">
        <f t="shared" si="36"/>
        <v>0</v>
      </c>
      <c r="O22" s="1186">
        <v>0</v>
      </c>
      <c r="P22" s="1544">
        <f t="shared" si="37"/>
        <v>0</v>
      </c>
      <c r="Q22" s="1188"/>
      <c r="R22" s="1188">
        <f t="shared" si="38"/>
        <v>0</v>
      </c>
      <c r="S22" s="1544">
        <f t="shared" si="39"/>
        <v>0</v>
      </c>
      <c r="T22" s="1544">
        <f t="shared" si="40"/>
        <v>0</v>
      </c>
      <c r="U22" s="1373">
        <f>'Table 5C1A-Madison Prep'!U22</f>
        <v>12768</v>
      </c>
      <c r="V22" s="1514">
        <f t="shared" si="41"/>
        <v>0</v>
      </c>
      <c r="W22" s="1375"/>
      <c r="X22" s="1376">
        <f t="shared" si="42"/>
        <v>0</v>
      </c>
      <c r="Y22" s="1375"/>
      <c r="Z22" s="1376">
        <f t="shared" si="43"/>
        <v>0</v>
      </c>
      <c r="AA22" s="1374">
        <f t="shared" si="44"/>
        <v>0</v>
      </c>
      <c r="AB22" s="1509">
        <f t="shared" si="45"/>
        <v>0</v>
      </c>
      <c r="AC22" s="1378">
        <f t="shared" si="46"/>
        <v>0</v>
      </c>
      <c r="AD22" s="1509">
        <f t="shared" si="47"/>
        <v>0</v>
      </c>
      <c r="AE22" s="1379">
        <v>0</v>
      </c>
      <c r="AF22" s="1509">
        <f t="shared" si="48"/>
        <v>0</v>
      </c>
      <c r="AG22" s="1379"/>
      <c r="AH22" s="1379">
        <f t="shared" si="49"/>
        <v>0</v>
      </c>
      <c r="AI22" s="1509">
        <f t="shared" si="50"/>
        <v>0</v>
      </c>
      <c r="AJ22" s="1530">
        <f t="shared" si="51"/>
        <v>0</v>
      </c>
      <c r="AK22" s="1534">
        <f t="shared" si="52"/>
        <v>0</v>
      </c>
    </row>
    <row r="23" spans="1:37" ht="16.2" customHeight="1">
      <c r="A23" s="1176">
        <v>17</v>
      </c>
      <c r="B23" s="1177" t="s">
        <v>97</v>
      </c>
      <c r="C23" s="1178">
        <f>+'Table 8 Membership 2.1.14'!M19</f>
        <v>0</v>
      </c>
      <c r="D23" s="1179">
        <f>+'Table 5C1A-Madison Prep'!D23</f>
        <v>3363.5980368254495</v>
      </c>
      <c r="E23" s="1180">
        <f t="shared" si="30"/>
        <v>0</v>
      </c>
      <c r="F23" s="1180">
        <f>+'Table 5C1A-Madison Prep'!F23</f>
        <v>801.47762416806802</v>
      </c>
      <c r="G23" s="1180">
        <f t="shared" si="31"/>
        <v>0</v>
      </c>
      <c r="H23" s="1539">
        <f t="shared" si="32"/>
        <v>0</v>
      </c>
      <c r="I23" s="1181"/>
      <c r="J23" s="1181"/>
      <c r="K23" s="1182">
        <f t="shared" si="33"/>
        <v>0</v>
      </c>
      <c r="L23" s="1539">
        <f t="shared" si="34"/>
        <v>0</v>
      </c>
      <c r="M23" s="1388">
        <f t="shared" si="35"/>
        <v>0</v>
      </c>
      <c r="N23" s="1539">
        <f t="shared" si="36"/>
        <v>0</v>
      </c>
      <c r="O23" s="1179">
        <v>0</v>
      </c>
      <c r="P23" s="1545">
        <f t="shared" si="37"/>
        <v>0</v>
      </c>
      <c r="Q23" s="1181"/>
      <c r="R23" s="1181">
        <f t="shared" si="38"/>
        <v>0</v>
      </c>
      <c r="S23" s="1545">
        <f t="shared" si="39"/>
        <v>0</v>
      </c>
      <c r="T23" s="1545">
        <f t="shared" si="40"/>
        <v>0</v>
      </c>
      <c r="U23" s="1389">
        <f>'Table 5C1A-Madison Prep'!U23</f>
        <v>7050</v>
      </c>
      <c r="V23" s="1515">
        <f t="shared" si="41"/>
        <v>0</v>
      </c>
      <c r="W23" s="1391"/>
      <c r="X23" s="1392">
        <f t="shared" si="42"/>
        <v>0</v>
      </c>
      <c r="Y23" s="1391"/>
      <c r="Z23" s="1392">
        <f t="shared" si="43"/>
        <v>0</v>
      </c>
      <c r="AA23" s="1390">
        <f t="shared" si="44"/>
        <v>0</v>
      </c>
      <c r="AB23" s="1510">
        <f t="shared" si="45"/>
        <v>0</v>
      </c>
      <c r="AC23" s="1394">
        <f t="shared" si="46"/>
        <v>0</v>
      </c>
      <c r="AD23" s="1510">
        <f t="shared" si="47"/>
        <v>0</v>
      </c>
      <c r="AE23" s="1395">
        <v>0</v>
      </c>
      <c r="AF23" s="1510">
        <f t="shared" si="48"/>
        <v>0</v>
      </c>
      <c r="AG23" s="1395"/>
      <c r="AH23" s="1395">
        <f t="shared" si="49"/>
        <v>0</v>
      </c>
      <c r="AI23" s="1510">
        <f t="shared" si="50"/>
        <v>0</v>
      </c>
      <c r="AJ23" s="1505">
        <f t="shared" si="51"/>
        <v>0</v>
      </c>
      <c r="AK23" s="1535">
        <f t="shared" si="52"/>
        <v>0</v>
      </c>
    </row>
    <row r="24" spans="1:37" ht="16.2" customHeight="1">
      <c r="A24" s="1176">
        <v>18</v>
      </c>
      <c r="B24" s="1177" t="s">
        <v>98</v>
      </c>
      <c r="C24" s="1178">
        <f>+'Table 8 Membership 2.1.14'!M20</f>
        <v>0</v>
      </c>
      <c r="D24" s="1179">
        <f>+'Table 5C1A-Madison Prep'!D24</f>
        <v>6354.5533500475731</v>
      </c>
      <c r="E24" s="1180">
        <f t="shared" si="30"/>
        <v>0</v>
      </c>
      <c r="F24" s="1180">
        <f>+'Table 5C1A-Madison Prep'!F24</f>
        <v>845.94999999999993</v>
      </c>
      <c r="G24" s="1180">
        <f t="shared" si="31"/>
        <v>0</v>
      </c>
      <c r="H24" s="1539">
        <f t="shared" si="32"/>
        <v>0</v>
      </c>
      <c r="I24" s="1181"/>
      <c r="J24" s="1181"/>
      <c r="K24" s="1182">
        <f t="shared" si="33"/>
        <v>0</v>
      </c>
      <c r="L24" s="1539">
        <f t="shared" si="34"/>
        <v>0</v>
      </c>
      <c r="M24" s="1388">
        <f t="shared" si="35"/>
        <v>0</v>
      </c>
      <c r="N24" s="1539">
        <f t="shared" si="36"/>
        <v>0</v>
      </c>
      <c r="O24" s="1179">
        <v>0</v>
      </c>
      <c r="P24" s="1545">
        <f t="shared" si="37"/>
        <v>0</v>
      </c>
      <c r="Q24" s="1181"/>
      <c r="R24" s="1181">
        <f t="shared" si="38"/>
        <v>0</v>
      </c>
      <c r="S24" s="1545">
        <f t="shared" si="39"/>
        <v>0</v>
      </c>
      <c r="T24" s="1545">
        <f t="shared" si="40"/>
        <v>0</v>
      </c>
      <c r="U24" s="1389">
        <f>'Table 5C1A-Madison Prep'!U24</f>
        <v>2526</v>
      </c>
      <c r="V24" s="1515">
        <f t="shared" si="41"/>
        <v>0</v>
      </c>
      <c r="W24" s="1391"/>
      <c r="X24" s="1392">
        <f t="shared" si="42"/>
        <v>0</v>
      </c>
      <c r="Y24" s="1391"/>
      <c r="Z24" s="1392">
        <f t="shared" si="43"/>
        <v>0</v>
      </c>
      <c r="AA24" s="1390">
        <f t="shared" si="44"/>
        <v>0</v>
      </c>
      <c r="AB24" s="1510">
        <f t="shared" si="45"/>
        <v>0</v>
      </c>
      <c r="AC24" s="1394">
        <f t="shared" si="46"/>
        <v>0</v>
      </c>
      <c r="AD24" s="1510">
        <f t="shared" si="47"/>
        <v>0</v>
      </c>
      <c r="AE24" s="1395">
        <v>0</v>
      </c>
      <c r="AF24" s="1510">
        <f t="shared" si="48"/>
        <v>0</v>
      </c>
      <c r="AG24" s="1395"/>
      <c r="AH24" s="1395">
        <f t="shared" si="49"/>
        <v>0</v>
      </c>
      <c r="AI24" s="1510">
        <f t="shared" si="50"/>
        <v>0</v>
      </c>
      <c r="AJ24" s="1505">
        <f t="shared" si="51"/>
        <v>0</v>
      </c>
      <c r="AK24" s="1535">
        <f t="shared" si="52"/>
        <v>0</v>
      </c>
    </row>
    <row r="25" spans="1:37" ht="16.2" customHeight="1">
      <c r="A25" s="1176">
        <v>19</v>
      </c>
      <c r="B25" s="1177" t="s">
        <v>99</v>
      </c>
      <c r="C25" s="1178">
        <f>+'Table 8 Membership 2.1.14'!M21</f>
        <v>0</v>
      </c>
      <c r="D25" s="1179">
        <f>+'Table 5C1A-Madison Prep'!D25</f>
        <v>5314.3921869460446</v>
      </c>
      <c r="E25" s="1180">
        <f t="shared" si="30"/>
        <v>0</v>
      </c>
      <c r="F25" s="1180">
        <f>+'Table 5C1A-Madison Prep'!F25</f>
        <v>905.43</v>
      </c>
      <c r="G25" s="1180">
        <f t="shared" si="31"/>
        <v>0</v>
      </c>
      <c r="H25" s="1539">
        <f t="shared" si="32"/>
        <v>0</v>
      </c>
      <c r="I25" s="1181"/>
      <c r="J25" s="1181"/>
      <c r="K25" s="1182">
        <f t="shared" si="33"/>
        <v>0</v>
      </c>
      <c r="L25" s="1539">
        <f t="shared" si="34"/>
        <v>0</v>
      </c>
      <c r="M25" s="1388">
        <f t="shared" si="35"/>
        <v>0</v>
      </c>
      <c r="N25" s="1539">
        <f t="shared" si="36"/>
        <v>0</v>
      </c>
      <c r="O25" s="1179">
        <v>0</v>
      </c>
      <c r="P25" s="1545">
        <f t="shared" si="37"/>
        <v>0</v>
      </c>
      <c r="Q25" s="1181"/>
      <c r="R25" s="1181">
        <f t="shared" si="38"/>
        <v>0</v>
      </c>
      <c r="S25" s="1545">
        <f t="shared" si="39"/>
        <v>0</v>
      </c>
      <c r="T25" s="1545">
        <f t="shared" si="40"/>
        <v>0</v>
      </c>
      <c r="U25" s="1389">
        <f>'Table 5C1A-Madison Prep'!U25</f>
        <v>2908</v>
      </c>
      <c r="V25" s="1515">
        <f t="shared" si="41"/>
        <v>0</v>
      </c>
      <c r="W25" s="1391"/>
      <c r="X25" s="1392">
        <f t="shared" si="42"/>
        <v>0</v>
      </c>
      <c r="Y25" s="1391"/>
      <c r="Z25" s="1392">
        <f t="shared" si="43"/>
        <v>0</v>
      </c>
      <c r="AA25" s="1390">
        <f t="shared" si="44"/>
        <v>0</v>
      </c>
      <c r="AB25" s="1510">
        <f t="shared" si="45"/>
        <v>0</v>
      </c>
      <c r="AC25" s="1394">
        <f t="shared" si="46"/>
        <v>0</v>
      </c>
      <c r="AD25" s="1510">
        <f t="shared" si="47"/>
        <v>0</v>
      </c>
      <c r="AE25" s="1395">
        <v>0</v>
      </c>
      <c r="AF25" s="1510">
        <f t="shared" si="48"/>
        <v>0</v>
      </c>
      <c r="AG25" s="1395"/>
      <c r="AH25" s="1395">
        <f t="shared" si="49"/>
        <v>0</v>
      </c>
      <c r="AI25" s="1510">
        <f t="shared" si="50"/>
        <v>0</v>
      </c>
      <c r="AJ25" s="1505">
        <f t="shared" si="51"/>
        <v>0</v>
      </c>
      <c r="AK25" s="1535">
        <f t="shared" si="52"/>
        <v>0</v>
      </c>
    </row>
    <row r="26" spans="1:37" ht="16.2" customHeight="1">
      <c r="A26" s="1168">
        <v>20</v>
      </c>
      <c r="B26" s="1169" t="s">
        <v>100</v>
      </c>
      <c r="C26" s="1170">
        <f>+'Table 8 Membership 2.1.14'!M22</f>
        <v>0</v>
      </c>
      <c r="D26" s="1171">
        <f>+'Table 5C1A-Madison Prep'!D26</f>
        <v>5278.5201565562011</v>
      </c>
      <c r="E26" s="1172">
        <f t="shared" si="30"/>
        <v>0</v>
      </c>
      <c r="F26" s="1172">
        <f>+'Table 5C1A-Madison Prep'!F26</f>
        <v>586.16999999999996</v>
      </c>
      <c r="G26" s="1172">
        <f t="shared" si="31"/>
        <v>0</v>
      </c>
      <c r="H26" s="1540">
        <f t="shared" si="32"/>
        <v>0</v>
      </c>
      <c r="I26" s="1173"/>
      <c r="J26" s="1173"/>
      <c r="K26" s="1174">
        <f t="shared" si="33"/>
        <v>0</v>
      </c>
      <c r="L26" s="1540">
        <f t="shared" si="34"/>
        <v>0</v>
      </c>
      <c r="M26" s="1399">
        <f t="shared" si="35"/>
        <v>0</v>
      </c>
      <c r="N26" s="1540">
        <f t="shared" si="36"/>
        <v>0</v>
      </c>
      <c r="O26" s="1171">
        <v>0</v>
      </c>
      <c r="P26" s="1546">
        <f t="shared" si="37"/>
        <v>0</v>
      </c>
      <c r="Q26" s="1173"/>
      <c r="R26" s="1173">
        <f t="shared" si="38"/>
        <v>0</v>
      </c>
      <c r="S26" s="1546">
        <f t="shared" si="39"/>
        <v>0</v>
      </c>
      <c r="T26" s="1546">
        <f t="shared" si="40"/>
        <v>0</v>
      </c>
      <c r="U26" s="1382">
        <f>'Table 5C1A-Madison Prep'!U26</f>
        <v>2432</v>
      </c>
      <c r="V26" s="1516">
        <f t="shared" si="41"/>
        <v>0</v>
      </c>
      <c r="W26" s="1400"/>
      <c r="X26" s="1383">
        <f t="shared" si="42"/>
        <v>0</v>
      </c>
      <c r="Y26" s="1400"/>
      <c r="Z26" s="1383">
        <f t="shared" si="43"/>
        <v>0</v>
      </c>
      <c r="AA26" s="1384">
        <f t="shared" si="44"/>
        <v>0</v>
      </c>
      <c r="AB26" s="1511">
        <f t="shared" si="45"/>
        <v>0</v>
      </c>
      <c r="AC26" s="1402">
        <f t="shared" si="46"/>
        <v>0</v>
      </c>
      <c r="AD26" s="1511">
        <f t="shared" si="47"/>
        <v>0</v>
      </c>
      <c r="AE26" s="1385">
        <v>0</v>
      </c>
      <c r="AF26" s="1511">
        <f t="shared" si="48"/>
        <v>0</v>
      </c>
      <c r="AG26" s="1385"/>
      <c r="AH26" s="1385">
        <f t="shared" si="49"/>
        <v>0</v>
      </c>
      <c r="AI26" s="1511">
        <f t="shared" si="50"/>
        <v>0</v>
      </c>
      <c r="AJ26" s="1531">
        <f t="shared" si="51"/>
        <v>0</v>
      </c>
      <c r="AK26" s="1536">
        <f t="shared" si="52"/>
        <v>0</v>
      </c>
    </row>
    <row r="27" spans="1:37" ht="16.2" customHeight="1">
      <c r="A27" s="1183">
        <v>21</v>
      </c>
      <c r="B27" s="1184" t="s">
        <v>101</v>
      </c>
      <c r="C27" s="1185">
        <f>+'Table 8 Membership 2.1.14'!M23</f>
        <v>0</v>
      </c>
      <c r="D27" s="1186">
        <f>+'Table 5C1A-Madison Prep'!D27</f>
        <v>6082.3042295867763</v>
      </c>
      <c r="E27" s="1187">
        <f t="shared" si="30"/>
        <v>0</v>
      </c>
      <c r="F27" s="1187">
        <f>+'Table 5C1A-Madison Prep'!F27</f>
        <v>610.35</v>
      </c>
      <c r="G27" s="1187">
        <f t="shared" si="31"/>
        <v>0</v>
      </c>
      <c r="H27" s="1538">
        <f t="shared" si="32"/>
        <v>0</v>
      </c>
      <c r="I27" s="1188"/>
      <c r="J27" s="1188"/>
      <c r="K27" s="1189">
        <f t="shared" si="33"/>
        <v>0</v>
      </c>
      <c r="L27" s="1538">
        <f t="shared" si="34"/>
        <v>0</v>
      </c>
      <c r="M27" s="1372">
        <f t="shared" si="35"/>
        <v>0</v>
      </c>
      <c r="N27" s="1538">
        <f t="shared" si="36"/>
        <v>0</v>
      </c>
      <c r="O27" s="1186">
        <v>0</v>
      </c>
      <c r="P27" s="1544">
        <f t="shared" si="37"/>
        <v>0</v>
      </c>
      <c r="Q27" s="1188"/>
      <c r="R27" s="1188">
        <f t="shared" si="38"/>
        <v>0</v>
      </c>
      <c r="S27" s="1544">
        <f t="shared" si="39"/>
        <v>0</v>
      </c>
      <c r="T27" s="1544">
        <f t="shared" si="40"/>
        <v>0</v>
      </c>
      <c r="U27" s="1373">
        <f>'Table 5C1A-Madison Prep'!U27</f>
        <v>2460</v>
      </c>
      <c r="V27" s="1514">
        <f t="shared" si="41"/>
        <v>0</v>
      </c>
      <c r="W27" s="1375"/>
      <c r="X27" s="1376">
        <f t="shared" si="42"/>
        <v>0</v>
      </c>
      <c r="Y27" s="1375"/>
      <c r="Z27" s="1376">
        <f t="shared" si="43"/>
        <v>0</v>
      </c>
      <c r="AA27" s="1374">
        <f t="shared" si="44"/>
        <v>0</v>
      </c>
      <c r="AB27" s="1509">
        <f t="shared" si="45"/>
        <v>0</v>
      </c>
      <c r="AC27" s="1378">
        <f t="shared" si="46"/>
        <v>0</v>
      </c>
      <c r="AD27" s="1509">
        <f t="shared" si="47"/>
        <v>0</v>
      </c>
      <c r="AE27" s="1379">
        <v>0</v>
      </c>
      <c r="AF27" s="1509">
        <f t="shared" si="48"/>
        <v>0</v>
      </c>
      <c r="AG27" s="1379"/>
      <c r="AH27" s="1379">
        <f t="shared" si="49"/>
        <v>0</v>
      </c>
      <c r="AI27" s="1509">
        <f t="shared" si="50"/>
        <v>0</v>
      </c>
      <c r="AJ27" s="1530">
        <f t="shared" si="51"/>
        <v>0</v>
      </c>
      <c r="AK27" s="1534">
        <f t="shared" si="52"/>
        <v>0</v>
      </c>
    </row>
    <row r="28" spans="1:37" ht="16.2" customHeight="1">
      <c r="A28" s="1176">
        <v>22</v>
      </c>
      <c r="B28" s="1177" t="s">
        <v>102</v>
      </c>
      <c r="C28" s="1178">
        <f>+'Table 8 Membership 2.1.14'!M24</f>
        <v>0</v>
      </c>
      <c r="D28" s="1179">
        <f>+'Table 5C1A-Madison Prep'!D28</f>
        <v>6416.1099808195995</v>
      </c>
      <c r="E28" s="1180">
        <f t="shared" si="30"/>
        <v>0</v>
      </c>
      <c r="F28" s="1180">
        <f>+'Table 5C1A-Madison Prep'!F28</f>
        <v>496.36</v>
      </c>
      <c r="G28" s="1180">
        <f t="shared" si="31"/>
        <v>0</v>
      </c>
      <c r="H28" s="1539">
        <f t="shared" si="32"/>
        <v>0</v>
      </c>
      <c r="I28" s="1181"/>
      <c r="J28" s="1181"/>
      <c r="K28" s="1182">
        <f t="shared" si="33"/>
        <v>0</v>
      </c>
      <c r="L28" s="1539">
        <f t="shared" si="34"/>
        <v>0</v>
      </c>
      <c r="M28" s="1388">
        <f t="shared" si="35"/>
        <v>0</v>
      </c>
      <c r="N28" s="1539">
        <f t="shared" si="36"/>
        <v>0</v>
      </c>
      <c r="O28" s="1179">
        <v>0</v>
      </c>
      <c r="P28" s="1545">
        <f t="shared" si="37"/>
        <v>0</v>
      </c>
      <c r="Q28" s="1181"/>
      <c r="R28" s="1181">
        <f t="shared" si="38"/>
        <v>0</v>
      </c>
      <c r="S28" s="1545">
        <f t="shared" si="39"/>
        <v>0</v>
      </c>
      <c r="T28" s="1545">
        <f t="shared" si="40"/>
        <v>0</v>
      </c>
      <c r="U28" s="1389">
        <f>'Table 5C1A-Madison Prep'!U28</f>
        <v>1613</v>
      </c>
      <c r="V28" s="1515">
        <f t="shared" si="41"/>
        <v>0</v>
      </c>
      <c r="W28" s="1391"/>
      <c r="X28" s="1392">
        <f t="shared" si="42"/>
        <v>0</v>
      </c>
      <c r="Y28" s="1391"/>
      <c r="Z28" s="1392">
        <f t="shared" si="43"/>
        <v>0</v>
      </c>
      <c r="AA28" s="1390">
        <f t="shared" si="44"/>
        <v>0</v>
      </c>
      <c r="AB28" s="1510">
        <f t="shared" si="45"/>
        <v>0</v>
      </c>
      <c r="AC28" s="1394">
        <f t="shared" si="46"/>
        <v>0</v>
      </c>
      <c r="AD28" s="1510">
        <f t="shared" si="47"/>
        <v>0</v>
      </c>
      <c r="AE28" s="1395">
        <v>0</v>
      </c>
      <c r="AF28" s="1510">
        <f t="shared" si="48"/>
        <v>0</v>
      </c>
      <c r="AG28" s="1395"/>
      <c r="AH28" s="1395">
        <f t="shared" si="49"/>
        <v>0</v>
      </c>
      <c r="AI28" s="1510">
        <f t="shared" si="50"/>
        <v>0</v>
      </c>
      <c r="AJ28" s="1505">
        <f t="shared" si="51"/>
        <v>0</v>
      </c>
      <c r="AK28" s="1535">
        <f t="shared" si="52"/>
        <v>0</v>
      </c>
    </row>
    <row r="29" spans="1:37" ht="16.2" customHeight="1">
      <c r="A29" s="1176">
        <v>23</v>
      </c>
      <c r="B29" s="1177" t="s">
        <v>103</v>
      </c>
      <c r="C29" s="1178">
        <f>+'Table 8 Membership 2.1.14'!M25</f>
        <v>0</v>
      </c>
      <c r="D29" s="1179">
        <f>+'Table 5C1A-Madison Prep'!D29</f>
        <v>5011.0215265979159</v>
      </c>
      <c r="E29" s="1180">
        <f t="shared" si="30"/>
        <v>0</v>
      </c>
      <c r="F29" s="1180">
        <f>+'Table 5C1A-Madison Prep'!F29</f>
        <v>688.58</v>
      </c>
      <c r="G29" s="1180">
        <f t="shared" si="31"/>
        <v>0</v>
      </c>
      <c r="H29" s="1539">
        <f t="shared" si="32"/>
        <v>0</v>
      </c>
      <c r="I29" s="1181"/>
      <c r="J29" s="1181"/>
      <c r="K29" s="1182">
        <f t="shared" si="33"/>
        <v>0</v>
      </c>
      <c r="L29" s="1539">
        <f t="shared" si="34"/>
        <v>0</v>
      </c>
      <c r="M29" s="1388">
        <f t="shared" si="35"/>
        <v>0</v>
      </c>
      <c r="N29" s="1539">
        <f t="shared" si="36"/>
        <v>0</v>
      </c>
      <c r="O29" s="1179">
        <v>0</v>
      </c>
      <c r="P29" s="1545">
        <f t="shared" si="37"/>
        <v>0</v>
      </c>
      <c r="Q29" s="1181"/>
      <c r="R29" s="1181">
        <f t="shared" si="38"/>
        <v>0</v>
      </c>
      <c r="S29" s="1545">
        <f t="shared" si="39"/>
        <v>0</v>
      </c>
      <c r="T29" s="1545">
        <f t="shared" si="40"/>
        <v>0</v>
      </c>
      <c r="U29" s="1389">
        <f>'Table 5C1A-Madison Prep'!U29</f>
        <v>3473</v>
      </c>
      <c r="V29" s="1515">
        <f t="shared" si="41"/>
        <v>0</v>
      </c>
      <c r="W29" s="1391"/>
      <c r="X29" s="1392">
        <f t="shared" si="42"/>
        <v>0</v>
      </c>
      <c r="Y29" s="1391"/>
      <c r="Z29" s="1392">
        <f t="shared" si="43"/>
        <v>0</v>
      </c>
      <c r="AA29" s="1390">
        <f t="shared" si="44"/>
        <v>0</v>
      </c>
      <c r="AB29" s="1510">
        <f t="shared" si="45"/>
        <v>0</v>
      </c>
      <c r="AC29" s="1394">
        <f t="shared" si="46"/>
        <v>0</v>
      </c>
      <c r="AD29" s="1510">
        <f t="shared" si="47"/>
        <v>0</v>
      </c>
      <c r="AE29" s="1395">
        <v>0</v>
      </c>
      <c r="AF29" s="1510">
        <f t="shared" si="48"/>
        <v>0</v>
      </c>
      <c r="AG29" s="1395"/>
      <c r="AH29" s="1395">
        <f t="shared" si="49"/>
        <v>0</v>
      </c>
      <c r="AI29" s="1510">
        <f t="shared" si="50"/>
        <v>0</v>
      </c>
      <c r="AJ29" s="1505">
        <f t="shared" si="51"/>
        <v>0</v>
      </c>
      <c r="AK29" s="1535">
        <f t="shared" si="52"/>
        <v>0</v>
      </c>
    </row>
    <row r="30" spans="1:37" ht="16.2" customHeight="1">
      <c r="A30" s="1176">
        <v>24</v>
      </c>
      <c r="B30" s="1177" t="s">
        <v>104</v>
      </c>
      <c r="C30" s="1178">
        <f>+'Table 8 Membership 2.1.14'!M26</f>
        <v>0</v>
      </c>
      <c r="D30" s="1179">
        <f>+'Table 5C1A-Madison Prep'!D30</f>
        <v>2611.6740361576999</v>
      </c>
      <c r="E30" s="1180">
        <f t="shared" si="30"/>
        <v>0</v>
      </c>
      <c r="F30" s="1180">
        <f>+'Table 5C1A-Madison Prep'!F30</f>
        <v>854.24999999999989</v>
      </c>
      <c r="G30" s="1180">
        <f t="shared" si="31"/>
        <v>0</v>
      </c>
      <c r="H30" s="1539">
        <f t="shared" si="32"/>
        <v>0</v>
      </c>
      <c r="I30" s="1181"/>
      <c r="J30" s="1181"/>
      <c r="K30" s="1182">
        <f t="shared" si="33"/>
        <v>0</v>
      </c>
      <c r="L30" s="1539">
        <f t="shared" si="34"/>
        <v>0</v>
      </c>
      <c r="M30" s="1388">
        <f t="shared" si="35"/>
        <v>0</v>
      </c>
      <c r="N30" s="1539">
        <f t="shared" si="36"/>
        <v>0</v>
      </c>
      <c r="O30" s="1179">
        <v>0</v>
      </c>
      <c r="P30" s="1545">
        <f t="shared" si="37"/>
        <v>0</v>
      </c>
      <c r="Q30" s="1181"/>
      <c r="R30" s="1181">
        <f t="shared" si="38"/>
        <v>0</v>
      </c>
      <c r="S30" s="1545">
        <f t="shared" si="39"/>
        <v>0</v>
      </c>
      <c r="T30" s="1545">
        <f t="shared" si="40"/>
        <v>0</v>
      </c>
      <c r="U30" s="1389">
        <f>'Table 5C1A-Madison Prep'!U30</f>
        <v>10053</v>
      </c>
      <c r="V30" s="1515">
        <f t="shared" si="41"/>
        <v>0</v>
      </c>
      <c r="W30" s="1391"/>
      <c r="X30" s="1392">
        <f t="shared" si="42"/>
        <v>0</v>
      </c>
      <c r="Y30" s="1391"/>
      <c r="Z30" s="1392">
        <f t="shared" si="43"/>
        <v>0</v>
      </c>
      <c r="AA30" s="1390">
        <f t="shared" si="44"/>
        <v>0</v>
      </c>
      <c r="AB30" s="1510">
        <f t="shared" si="45"/>
        <v>0</v>
      </c>
      <c r="AC30" s="1394">
        <f t="shared" si="46"/>
        <v>0</v>
      </c>
      <c r="AD30" s="1510">
        <f t="shared" si="47"/>
        <v>0</v>
      </c>
      <c r="AE30" s="1395">
        <v>0</v>
      </c>
      <c r="AF30" s="1510">
        <f t="shared" si="48"/>
        <v>0</v>
      </c>
      <c r="AG30" s="1395"/>
      <c r="AH30" s="1395">
        <f t="shared" si="49"/>
        <v>0</v>
      </c>
      <c r="AI30" s="1510">
        <f t="shared" si="50"/>
        <v>0</v>
      </c>
      <c r="AJ30" s="1505">
        <f t="shared" si="51"/>
        <v>0</v>
      </c>
      <c r="AK30" s="1535">
        <f t="shared" si="52"/>
        <v>0</v>
      </c>
    </row>
    <row r="31" spans="1:37" ht="16.2" customHeight="1">
      <c r="A31" s="1168">
        <v>25</v>
      </c>
      <c r="B31" s="1169" t="s">
        <v>105</v>
      </c>
      <c r="C31" s="1170">
        <f>+'Table 8 Membership 2.1.14'!M27</f>
        <v>0</v>
      </c>
      <c r="D31" s="1171">
        <f>+'Table 5C1A-Madison Prep'!D31</f>
        <v>4173.0720274945697</v>
      </c>
      <c r="E31" s="1172">
        <f t="shared" si="30"/>
        <v>0</v>
      </c>
      <c r="F31" s="1172">
        <f>+'Table 5C1A-Madison Prep'!F31</f>
        <v>653.73</v>
      </c>
      <c r="G31" s="1172">
        <f t="shared" si="31"/>
        <v>0</v>
      </c>
      <c r="H31" s="1540">
        <f t="shared" si="32"/>
        <v>0</v>
      </c>
      <c r="I31" s="1173"/>
      <c r="J31" s="1173"/>
      <c r="K31" s="1174">
        <f t="shared" si="33"/>
        <v>0</v>
      </c>
      <c r="L31" s="1540">
        <f t="shared" si="34"/>
        <v>0</v>
      </c>
      <c r="M31" s="1399">
        <f t="shared" si="35"/>
        <v>0</v>
      </c>
      <c r="N31" s="1540">
        <f t="shared" si="36"/>
        <v>0</v>
      </c>
      <c r="O31" s="1171">
        <v>0</v>
      </c>
      <c r="P31" s="1546">
        <f t="shared" si="37"/>
        <v>0</v>
      </c>
      <c r="Q31" s="1173"/>
      <c r="R31" s="1173">
        <f t="shared" si="38"/>
        <v>0</v>
      </c>
      <c r="S31" s="1546">
        <f t="shared" si="39"/>
        <v>0</v>
      </c>
      <c r="T31" s="1546">
        <f t="shared" si="40"/>
        <v>0</v>
      </c>
      <c r="U31" s="1382">
        <f>'Table 5C1A-Madison Prep'!U31</f>
        <v>5073</v>
      </c>
      <c r="V31" s="1516">
        <f t="shared" si="41"/>
        <v>0</v>
      </c>
      <c r="W31" s="1400"/>
      <c r="X31" s="1383">
        <f t="shared" si="42"/>
        <v>0</v>
      </c>
      <c r="Y31" s="1400"/>
      <c r="Z31" s="1383">
        <f t="shared" si="43"/>
        <v>0</v>
      </c>
      <c r="AA31" s="1384">
        <f t="shared" si="44"/>
        <v>0</v>
      </c>
      <c r="AB31" s="1511">
        <f t="shared" si="45"/>
        <v>0</v>
      </c>
      <c r="AC31" s="1402">
        <f t="shared" si="46"/>
        <v>0</v>
      </c>
      <c r="AD31" s="1511">
        <f t="shared" si="47"/>
        <v>0</v>
      </c>
      <c r="AE31" s="1385">
        <v>0</v>
      </c>
      <c r="AF31" s="1511">
        <f t="shared" si="48"/>
        <v>0</v>
      </c>
      <c r="AG31" s="1385"/>
      <c r="AH31" s="1385">
        <f t="shared" si="49"/>
        <v>0</v>
      </c>
      <c r="AI31" s="1511">
        <f t="shared" si="50"/>
        <v>0</v>
      </c>
      <c r="AJ31" s="1531">
        <f t="shared" si="51"/>
        <v>0</v>
      </c>
      <c r="AK31" s="1536">
        <f t="shared" si="52"/>
        <v>0</v>
      </c>
    </row>
    <row r="32" spans="1:37" ht="16.2" customHeight="1">
      <c r="A32" s="1183">
        <v>26</v>
      </c>
      <c r="B32" s="1184" t="s">
        <v>106</v>
      </c>
      <c r="C32" s="1185">
        <f>+'Table 8 Membership 2.1.14'!M28</f>
        <v>0</v>
      </c>
      <c r="D32" s="1186">
        <f>+'Table 5C1A-Madison Prep'!D32</f>
        <v>3424.5649970570835</v>
      </c>
      <c r="E32" s="1187">
        <f t="shared" si="30"/>
        <v>0</v>
      </c>
      <c r="F32" s="1187">
        <f>+'Table 5C1A-Madison Prep'!F32</f>
        <v>836.83</v>
      </c>
      <c r="G32" s="1187">
        <f t="shared" si="31"/>
        <v>0</v>
      </c>
      <c r="H32" s="1538">
        <f t="shared" si="32"/>
        <v>0</v>
      </c>
      <c r="I32" s="1188"/>
      <c r="J32" s="1188"/>
      <c r="K32" s="1189">
        <f t="shared" si="33"/>
        <v>0</v>
      </c>
      <c r="L32" s="1538">
        <f t="shared" si="34"/>
        <v>0</v>
      </c>
      <c r="M32" s="1372">
        <f t="shared" si="35"/>
        <v>0</v>
      </c>
      <c r="N32" s="1538">
        <f t="shared" si="36"/>
        <v>0</v>
      </c>
      <c r="O32" s="1186">
        <v>0</v>
      </c>
      <c r="P32" s="1544">
        <f t="shared" si="37"/>
        <v>0</v>
      </c>
      <c r="Q32" s="1188"/>
      <c r="R32" s="1188">
        <f t="shared" si="38"/>
        <v>0</v>
      </c>
      <c r="S32" s="1544">
        <f t="shared" si="39"/>
        <v>0</v>
      </c>
      <c r="T32" s="1544">
        <f t="shared" si="40"/>
        <v>0</v>
      </c>
      <c r="U32" s="1373">
        <f>'Table 5C1A-Madison Prep'!U32</f>
        <v>5260</v>
      </c>
      <c r="V32" s="1514">
        <f t="shared" si="41"/>
        <v>0</v>
      </c>
      <c r="W32" s="1375"/>
      <c r="X32" s="1376">
        <f t="shared" si="42"/>
        <v>0</v>
      </c>
      <c r="Y32" s="1375"/>
      <c r="Z32" s="1376">
        <f t="shared" si="43"/>
        <v>0</v>
      </c>
      <c r="AA32" s="1374">
        <f t="shared" si="44"/>
        <v>0</v>
      </c>
      <c r="AB32" s="1509">
        <f t="shared" si="45"/>
        <v>0</v>
      </c>
      <c r="AC32" s="1378">
        <f t="shared" si="46"/>
        <v>0</v>
      </c>
      <c r="AD32" s="1509">
        <f t="shared" si="47"/>
        <v>0</v>
      </c>
      <c r="AE32" s="1379">
        <v>0</v>
      </c>
      <c r="AF32" s="1509">
        <f t="shared" si="48"/>
        <v>0</v>
      </c>
      <c r="AG32" s="1379"/>
      <c r="AH32" s="1379">
        <f t="shared" si="49"/>
        <v>0</v>
      </c>
      <c r="AI32" s="1509">
        <f t="shared" si="50"/>
        <v>0</v>
      </c>
      <c r="AJ32" s="1530">
        <f t="shared" si="51"/>
        <v>0</v>
      </c>
      <c r="AK32" s="1534">
        <f t="shared" si="52"/>
        <v>0</v>
      </c>
    </row>
    <row r="33" spans="1:37" ht="16.2" customHeight="1">
      <c r="A33" s="1176">
        <v>27</v>
      </c>
      <c r="B33" s="1177" t="s">
        <v>107</v>
      </c>
      <c r="C33" s="1178">
        <f>+'Table 8 Membership 2.1.14'!M29</f>
        <v>0</v>
      </c>
      <c r="D33" s="1179">
        <f>+'Table 5C1A-Madison Prep'!D33</f>
        <v>5804.9013839977006</v>
      </c>
      <c r="E33" s="1180">
        <f t="shared" si="30"/>
        <v>0</v>
      </c>
      <c r="F33" s="1180">
        <f>+'Table 5C1A-Madison Prep'!F33</f>
        <v>693.06</v>
      </c>
      <c r="G33" s="1180">
        <f t="shared" si="31"/>
        <v>0</v>
      </c>
      <c r="H33" s="1539">
        <f t="shared" si="32"/>
        <v>0</v>
      </c>
      <c r="I33" s="1181"/>
      <c r="J33" s="1181"/>
      <c r="K33" s="1182">
        <f t="shared" si="33"/>
        <v>0</v>
      </c>
      <c r="L33" s="1539">
        <f t="shared" si="34"/>
        <v>0</v>
      </c>
      <c r="M33" s="1388">
        <f t="shared" si="35"/>
        <v>0</v>
      </c>
      <c r="N33" s="1539">
        <f t="shared" si="36"/>
        <v>0</v>
      </c>
      <c r="O33" s="1179">
        <v>0</v>
      </c>
      <c r="P33" s="1545">
        <f t="shared" si="37"/>
        <v>0</v>
      </c>
      <c r="Q33" s="1181"/>
      <c r="R33" s="1181">
        <f t="shared" si="38"/>
        <v>0</v>
      </c>
      <c r="S33" s="1545">
        <f t="shared" si="39"/>
        <v>0</v>
      </c>
      <c r="T33" s="1545">
        <f t="shared" si="40"/>
        <v>0</v>
      </c>
      <c r="U33" s="1389">
        <f>'Table 5C1A-Madison Prep'!U33</f>
        <v>3169</v>
      </c>
      <c r="V33" s="1515">
        <f t="shared" si="41"/>
        <v>0</v>
      </c>
      <c r="W33" s="1391"/>
      <c r="X33" s="1392">
        <f t="shared" si="42"/>
        <v>0</v>
      </c>
      <c r="Y33" s="1391"/>
      <c r="Z33" s="1392">
        <f t="shared" si="43"/>
        <v>0</v>
      </c>
      <c r="AA33" s="1390">
        <f t="shared" si="44"/>
        <v>0</v>
      </c>
      <c r="AB33" s="1510">
        <f t="shared" si="45"/>
        <v>0</v>
      </c>
      <c r="AC33" s="1394">
        <f t="shared" si="46"/>
        <v>0</v>
      </c>
      <c r="AD33" s="1510">
        <f t="shared" si="47"/>
        <v>0</v>
      </c>
      <c r="AE33" s="1395">
        <v>0</v>
      </c>
      <c r="AF33" s="1510">
        <f t="shared" si="48"/>
        <v>0</v>
      </c>
      <c r="AG33" s="1395"/>
      <c r="AH33" s="1395">
        <f t="shared" si="49"/>
        <v>0</v>
      </c>
      <c r="AI33" s="1510">
        <f t="shared" si="50"/>
        <v>0</v>
      </c>
      <c r="AJ33" s="1505">
        <f t="shared" si="51"/>
        <v>0</v>
      </c>
      <c r="AK33" s="1535">
        <f t="shared" si="52"/>
        <v>0</v>
      </c>
    </row>
    <row r="34" spans="1:37" ht="16.2" customHeight="1">
      <c r="A34" s="1176">
        <v>28</v>
      </c>
      <c r="B34" s="1177" t="s">
        <v>108</v>
      </c>
      <c r="C34" s="1178">
        <f>+'Table 8 Membership 2.1.14'!M30</f>
        <v>0</v>
      </c>
      <c r="D34" s="1179">
        <f>+'Table 5C1A-Madison Prep'!D34</f>
        <v>3137.4158846568821</v>
      </c>
      <c r="E34" s="1180">
        <f t="shared" si="30"/>
        <v>0</v>
      </c>
      <c r="F34" s="1180">
        <f>+'Table 5C1A-Madison Prep'!F34</f>
        <v>694.4</v>
      </c>
      <c r="G34" s="1180">
        <f t="shared" si="31"/>
        <v>0</v>
      </c>
      <c r="H34" s="1539">
        <f t="shared" si="32"/>
        <v>0</v>
      </c>
      <c r="I34" s="1181"/>
      <c r="J34" s="1181"/>
      <c r="K34" s="1182">
        <f t="shared" si="33"/>
        <v>0</v>
      </c>
      <c r="L34" s="1539">
        <f t="shared" si="34"/>
        <v>0</v>
      </c>
      <c r="M34" s="1388">
        <f t="shared" si="35"/>
        <v>0</v>
      </c>
      <c r="N34" s="1539">
        <f t="shared" si="36"/>
        <v>0</v>
      </c>
      <c r="O34" s="1179">
        <v>0</v>
      </c>
      <c r="P34" s="1545">
        <f t="shared" si="37"/>
        <v>0</v>
      </c>
      <c r="Q34" s="1181"/>
      <c r="R34" s="1181">
        <f t="shared" si="38"/>
        <v>0</v>
      </c>
      <c r="S34" s="1545">
        <f t="shared" si="39"/>
        <v>0</v>
      </c>
      <c r="T34" s="1545">
        <f t="shared" si="40"/>
        <v>0</v>
      </c>
      <c r="U34" s="1389">
        <f>'Table 5C1A-Madison Prep'!U34</f>
        <v>5790</v>
      </c>
      <c r="V34" s="1515">
        <f t="shared" si="41"/>
        <v>0</v>
      </c>
      <c r="W34" s="1391"/>
      <c r="X34" s="1392">
        <f t="shared" si="42"/>
        <v>0</v>
      </c>
      <c r="Y34" s="1391"/>
      <c r="Z34" s="1392">
        <f t="shared" si="43"/>
        <v>0</v>
      </c>
      <c r="AA34" s="1390">
        <f t="shared" si="44"/>
        <v>0</v>
      </c>
      <c r="AB34" s="1510">
        <f t="shared" si="45"/>
        <v>0</v>
      </c>
      <c r="AC34" s="1394">
        <f t="shared" si="46"/>
        <v>0</v>
      </c>
      <c r="AD34" s="1510">
        <f t="shared" si="47"/>
        <v>0</v>
      </c>
      <c r="AE34" s="1395">
        <v>0</v>
      </c>
      <c r="AF34" s="1510">
        <f t="shared" si="48"/>
        <v>0</v>
      </c>
      <c r="AG34" s="1395"/>
      <c r="AH34" s="1395">
        <f t="shared" si="49"/>
        <v>0</v>
      </c>
      <c r="AI34" s="1510">
        <f t="shared" si="50"/>
        <v>0</v>
      </c>
      <c r="AJ34" s="1505">
        <f t="shared" si="51"/>
        <v>0</v>
      </c>
      <c r="AK34" s="1535">
        <f t="shared" si="52"/>
        <v>0</v>
      </c>
    </row>
    <row r="35" spans="1:37" ht="16.2" customHeight="1">
      <c r="A35" s="1176">
        <v>29</v>
      </c>
      <c r="B35" s="1177" t="s">
        <v>109</v>
      </c>
      <c r="C35" s="1178">
        <f>+'Table 8 Membership 2.1.14'!M31</f>
        <v>0</v>
      </c>
      <c r="D35" s="1179">
        <f>+'Table 5C1A-Madison Prep'!D35</f>
        <v>3839.0123210173724</v>
      </c>
      <c r="E35" s="1180">
        <f t="shared" si="30"/>
        <v>0</v>
      </c>
      <c r="F35" s="1180">
        <f>+'Table 5C1A-Madison Prep'!F35</f>
        <v>754.94999999999993</v>
      </c>
      <c r="G35" s="1180">
        <f t="shared" si="31"/>
        <v>0</v>
      </c>
      <c r="H35" s="1539">
        <f t="shared" si="32"/>
        <v>0</v>
      </c>
      <c r="I35" s="1181"/>
      <c r="J35" s="1181"/>
      <c r="K35" s="1182">
        <f t="shared" si="33"/>
        <v>0</v>
      </c>
      <c r="L35" s="1539">
        <f t="shared" si="34"/>
        <v>0</v>
      </c>
      <c r="M35" s="1388">
        <f t="shared" si="35"/>
        <v>0</v>
      </c>
      <c r="N35" s="1539">
        <f t="shared" si="36"/>
        <v>0</v>
      </c>
      <c r="O35" s="1179">
        <v>0</v>
      </c>
      <c r="P35" s="1545">
        <f t="shared" si="37"/>
        <v>0</v>
      </c>
      <c r="Q35" s="1181"/>
      <c r="R35" s="1181">
        <f t="shared" si="38"/>
        <v>0</v>
      </c>
      <c r="S35" s="1545">
        <f t="shared" si="39"/>
        <v>0</v>
      </c>
      <c r="T35" s="1545">
        <f t="shared" si="40"/>
        <v>0</v>
      </c>
      <c r="U35" s="1389">
        <f>'Table 5C1A-Madison Prep'!U35</f>
        <v>5069</v>
      </c>
      <c r="V35" s="1515">
        <f t="shared" si="41"/>
        <v>0</v>
      </c>
      <c r="W35" s="1391"/>
      <c r="X35" s="1392">
        <f t="shared" si="42"/>
        <v>0</v>
      </c>
      <c r="Y35" s="1391"/>
      <c r="Z35" s="1392">
        <f t="shared" si="43"/>
        <v>0</v>
      </c>
      <c r="AA35" s="1390">
        <f t="shared" si="44"/>
        <v>0</v>
      </c>
      <c r="AB35" s="1510">
        <f t="shared" si="45"/>
        <v>0</v>
      </c>
      <c r="AC35" s="1394">
        <f t="shared" si="46"/>
        <v>0</v>
      </c>
      <c r="AD35" s="1510">
        <f t="shared" si="47"/>
        <v>0</v>
      </c>
      <c r="AE35" s="1395">
        <v>0</v>
      </c>
      <c r="AF35" s="1510">
        <f t="shared" si="48"/>
        <v>0</v>
      </c>
      <c r="AG35" s="1395"/>
      <c r="AH35" s="1395">
        <f t="shared" si="49"/>
        <v>0</v>
      </c>
      <c r="AI35" s="1510">
        <f t="shared" si="50"/>
        <v>0</v>
      </c>
      <c r="AJ35" s="1505">
        <f t="shared" si="51"/>
        <v>0</v>
      </c>
      <c r="AK35" s="1535">
        <f t="shared" si="52"/>
        <v>0</v>
      </c>
    </row>
    <row r="36" spans="1:37" ht="16.2" customHeight="1">
      <c r="A36" s="1168">
        <v>30</v>
      </c>
      <c r="B36" s="1169" t="s">
        <v>110</v>
      </c>
      <c r="C36" s="1170">
        <f>+'Table 8 Membership 2.1.14'!M32</f>
        <v>0</v>
      </c>
      <c r="D36" s="1171">
        <f>+'Table 5C1A-Madison Prep'!D36</f>
        <v>5804.5327273996763</v>
      </c>
      <c r="E36" s="1172">
        <f t="shared" si="30"/>
        <v>0</v>
      </c>
      <c r="F36" s="1172">
        <f>+'Table 5C1A-Madison Prep'!F36</f>
        <v>727.17</v>
      </c>
      <c r="G36" s="1172">
        <f t="shared" si="31"/>
        <v>0</v>
      </c>
      <c r="H36" s="1540">
        <f t="shared" si="32"/>
        <v>0</v>
      </c>
      <c r="I36" s="1173"/>
      <c r="J36" s="1173"/>
      <c r="K36" s="1174">
        <f t="shared" si="33"/>
        <v>0</v>
      </c>
      <c r="L36" s="1540">
        <f t="shared" si="34"/>
        <v>0</v>
      </c>
      <c r="M36" s="1399">
        <f t="shared" si="35"/>
        <v>0</v>
      </c>
      <c r="N36" s="1540">
        <f t="shared" si="36"/>
        <v>0</v>
      </c>
      <c r="O36" s="1171">
        <v>0</v>
      </c>
      <c r="P36" s="1546">
        <f t="shared" si="37"/>
        <v>0</v>
      </c>
      <c r="Q36" s="1173"/>
      <c r="R36" s="1173">
        <f t="shared" si="38"/>
        <v>0</v>
      </c>
      <c r="S36" s="1546">
        <f t="shared" si="39"/>
        <v>0</v>
      </c>
      <c r="T36" s="1546">
        <f t="shared" si="40"/>
        <v>0</v>
      </c>
      <c r="U36" s="1382">
        <f>'Table 5C1A-Madison Prep'!U36</f>
        <v>3609</v>
      </c>
      <c r="V36" s="1516">
        <f t="shared" si="41"/>
        <v>0</v>
      </c>
      <c r="W36" s="1400"/>
      <c r="X36" s="1383">
        <f t="shared" si="42"/>
        <v>0</v>
      </c>
      <c r="Y36" s="1400"/>
      <c r="Z36" s="1383">
        <f t="shared" si="43"/>
        <v>0</v>
      </c>
      <c r="AA36" s="1384">
        <f t="shared" si="44"/>
        <v>0</v>
      </c>
      <c r="AB36" s="1511">
        <f t="shared" si="45"/>
        <v>0</v>
      </c>
      <c r="AC36" s="1402">
        <f t="shared" si="46"/>
        <v>0</v>
      </c>
      <c r="AD36" s="1511">
        <f t="shared" si="47"/>
        <v>0</v>
      </c>
      <c r="AE36" s="1385">
        <v>0</v>
      </c>
      <c r="AF36" s="1511">
        <f t="shared" si="48"/>
        <v>0</v>
      </c>
      <c r="AG36" s="1385"/>
      <c r="AH36" s="1385">
        <f t="shared" si="49"/>
        <v>0</v>
      </c>
      <c r="AI36" s="1511">
        <f t="shared" si="50"/>
        <v>0</v>
      </c>
      <c r="AJ36" s="1531">
        <f t="shared" si="51"/>
        <v>0</v>
      </c>
      <c r="AK36" s="1536">
        <f t="shared" si="52"/>
        <v>0</v>
      </c>
    </row>
    <row r="37" spans="1:37" ht="16.2" customHeight="1">
      <c r="A37" s="1183">
        <v>31</v>
      </c>
      <c r="B37" s="1184" t="s">
        <v>111</v>
      </c>
      <c r="C37" s="1185">
        <f>+'Table 8 Membership 2.1.14'!M33</f>
        <v>0</v>
      </c>
      <c r="D37" s="1186">
        <f>+'Table 5C1A-Madison Prep'!D37</f>
        <v>4520.6176716868531</v>
      </c>
      <c r="E37" s="1187">
        <f t="shared" si="30"/>
        <v>0</v>
      </c>
      <c r="F37" s="1187">
        <f>+'Table 5C1A-Madison Prep'!F37</f>
        <v>620.83000000000004</v>
      </c>
      <c r="G37" s="1187">
        <f t="shared" si="31"/>
        <v>0</v>
      </c>
      <c r="H37" s="1538">
        <f t="shared" si="32"/>
        <v>0</v>
      </c>
      <c r="I37" s="1188"/>
      <c r="J37" s="1188"/>
      <c r="K37" s="1189">
        <f t="shared" si="33"/>
        <v>0</v>
      </c>
      <c r="L37" s="1538">
        <f t="shared" si="34"/>
        <v>0</v>
      </c>
      <c r="M37" s="1372">
        <f t="shared" si="35"/>
        <v>0</v>
      </c>
      <c r="N37" s="1538">
        <f t="shared" si="36"/>
        <v>0</v>
      </c>
      <c r="O37" s="1186">
        <v>0</v>
      </c>
      <c r="P37" s="1544">
        <f t="shared" si="37"/>
        <v>0</v>
      </c>
      <c r="Q37" s="1188"/>
      <c r="R37" s="1188">
        <f t="shared" si="38"/>
        <v>0</v>
      </c>
      <c r="S37" s="1544">
        <f t="shared" si="39"/>
        <v>0</v>
      </c>
      <c r="T37" s="1544">
        <f t="shared" si="40"/>
        <v>0</v>
      </c>
      <c r="U37" s="1373">
        <f>'Table 5C1A-Madison Prep'!U37</f>
        <v>5043</v>
      </c>
      <c r="V37" s="1514">
        <f t="shared" si="41"/>
        <v>0</v>
      </c>
      <c r="W37" s="1375"/>
      <c r="X37" s="1376">
        <f t="shared" si="42"/>
        <v>0</v>
      </c>
      <c r="Y37" s="1375"/>
      <c r="Z37" s="1376">
        <f t="shared" si="43"/>
        <v>0</v>
      </c>
      <c r="AA37" s="1374">
        <f t="shared" si="44"/>
        <v>0</v>
      </c>
      <c r="AB37" s="1509">
        <f t="shared" si="45"/>
        <v>0</v>
      </c>
      <c r="AC37" s="1378">
        <f t="shared" si="46"/>
        <v>0</v>
      </c>
      <c r="AD37" s="1509">
        <f t="shared" si="47"/>
        <v>0</v>
      </c>
      <c r="AE37" s="1379">
        <v>0</v>
      </c>
      <c r="AF37" s="1509">
        <f t="shared" si="48"/>
        <v>0</v>
      </c>
      <c r="AG37" s="1379"/>
      <c r="AH37" s="1379">
        <f t="shared" si="49"/>
        <v>0</v>
      </c>
      <c r="AI37" s="1509">
        <f t="shared" si="50"/>
        <v>0</v>
      </c>
      <c r="AJ37" s="1530">
        <f t="shared" si="51"/>
        <v>0</v>
      </c>
      <c r="AK37" s="1534">
        <f t="shared" si="52"/>
        <v>0</v>
      </c>
    </row>
    <row r="38" spans="1:37" ht="16.2" customHeight="1">
      <c r="A38" s="1176">
        <v>32</v>
      </c>
      <c r="B38" s="1177" t="s">
        <v>112</v>
      </c>
      <c r="C38" s="1178">
        <f>+'Table 8 Membership 2.1.14'!M34</f>
        <v>0</v>
      </c>
      <c r="D38" s="1179">
        <f>+'Table 5C1A-Madison Prep'!D38</f>
        <v>5652.819189061127</v>
      </c>
      <c r="E38" s="1180">
        <f t="shared" si="30"/>
        <v>0</v>
      </c>
      <c r="F38" s="1180">
        <f>+'Table 5C1A-Madison Prep'!F38</f>
        <v>559.77</v>
      </c>
      <c r="G38" s="1180">
        <f t="shared" si="31"/>
        <v>0</v>
      </c>
      <c r="H38" s="1539">
        <f t="shared" si="32"/>
        <v>0</v>
      </c>
      <c r="I38" s="1181"/>
      <c r="J38" s="1181"/>
      <c r="K38" s="1182">
        <f t="shared" si="33"/>
        <v>0</v>
      </c>
      <c r="L38" s="1539">
        <f t="shared" si="34"/>
        <v>0</v>
      </c>
      <c r="M38" s="1388">
        <f t="shared" si="35"/>
        <v>0</v>
      </c>
      <c r="N38" s="1539">
        <f t="shared" si="36"/>
        <v>0</v>
      </c>
      <c r="O38" s="1179">
        <v>0</v>
      </c>
      <c r="P38" s="1545">
        <f t="shared" si="37"/>
        <v>0</v>
      </c>
      <c r="Q38" s="1181"/>
      <c r="R38" s="1181">
        <f t="shared" si="38"/>
        <v>0</v>
      </c>
      <c r="S38" s="1545">
        <f t="shared" si="39"/>
        <v>0</v>
      </c>
      <c r="T38" s="1545">
        <f t="shared" si="40"/>
        <v>0</v>
      </c>
      <c r="U38" s="1389">
        <f>'Table 5C1A-Madison Prep'!U38</f>
        <v>2121</v>
      </c>
      <c r="V38" s="1515">
        <f t="shared" si="41"/>
        <v>0</v>
      </c>
      <c r="W38" s="1391"/>
      <c r="X38" s="1392">
        <f t="shared" si="42"/>
        <v>0</v>
      </c>
      <c r="Y38" s="1391"/>
      <c r="Z38" s="1392">
        <f t="shared" si="43"/>
        <v>0</v>
      </c>
      <c r="AA38" s="1390">
        <f t="shared" si="44"/>
        <v>0</v>
      </c>
      <c r="AB38" s="1510">
        <f t="shared" si="45"/>
        <v>0</v>
      </c>
      <c r="AC38" s="1394">
        <f t="shared" si="46"/>
        <v>0</v>
      </c>
      <c r="AD38" s="1510">
        <f t="shared" si="47"/>
        <v>0</v>
      </c>
      <c r="AE38" s="1395">
        <v>0</v>
      </c>
      <c r="AF38" s="1510">
        <f t="shared" si="48"/>
        <v>0</v>
      </c>
      <c r="AG38" s="1395"/>
      <c r="AH38" s="1395">
        <f t="shared" si="49"/>
        <v>0</v>
      </c>
      <c r="AI38" s="1510">
        <f t="shared" si="50"/>
        <v>0</v>
      </c>
      <c r="AJ38" s="1505">
        <f t="shared" si="51"/>
        <v>0</v>
      </c>
      <c r="AK38" s="1535">
        <f t="shared" si="52"/>
        <v>0</v>
      </c>
    </row>
    <row r="39" spans="1:37" ht="16.2" customHeight="1">
      <c r="A39" s="1176">
        <v>33</v>
      </c>
      <c r="B39" s="1177" t="s">
        <v>113</v>
      </c>
      <c r="C39" s="1178">
        <f>+'Table 8 Membership 2.1.14'!M35</f>
        <v>0</v>
      </c>
      <c r="D39" s="1179">
        <f>+'Table 5C1A-Madison Prep'!D39</f>
        <v>5456.2254558085233</v>
      </c>
      <c r="E39" s="1180">
        <f t="shared" si="30"/>
        <v>0</v>
      </c>
      <c r="F39" s="1180">
        <f>+'Table 5C1A-Madison Prep'!F39</f>
        <v>655.31000000000006</v>
      </c>
      <c r="G39" s="1180">
        <f t="shared" si="31"/>
        <v>0</v>
      </c>
      <c r="H39" s="1539">
        <f t="shared" si="32"/>
        <v>0</v>
      </c>
      <c r="I39" s="1181"/>
      <c r="J39" s="1181"/>
      <c r="K39" s="1182">
        <f t="shared" si="33"/>
        <v>0</v>
      </c>
      <c r="L39" s="1539">
        <f t="shared" si="34"/>
        <v>0</v>
      </c>
      <c r="M39" s="1388">
        <f t="shared" si="35"/>
        <v>0</v>
      </c>
      <c r="N39" s="1539">
        <f t="shared" si="36"/>
        <v>0</v>
      </c>
      <c r="O39" s="1179">
        <v>0</v>
      </c>
      <c r="P39" s="1545">
        <f t="shared" si="37"/>
        <v>0</v>
      </c>
      <c r="Q39" s="1181"/>
      <c r="R39" s="1181">
        <f t="shared" si="38"/>
        <v>0</v>
      </c>
      <c r="S39" s="1545">
        <f t="shared" si="39"/>
        <v>0</v>
      </c>
      <c r="T39" s="1545">
        <f t="shared" si="40"/>
        <v>0</v>
      </c>
      <c r="U39" s="1389">
        <f>'Table 5C1A-Madison Prep'!U39</f>
        <v>3616</v>
      </c>
      <c r="V39" s="1515">
        <f t="shared" si="41"/>
        <v>0</v>
      </c>
      <c r="W39" s="1391"/>
      <c r="X39" s="1392">
        <f t="shared" si="42"/>
        <v>0</v>
      </c>
      <c r="Y39" s="1391"/>
      <c r="Z39" s="1392">
        <f t="shared" si="43"/>
        <v>0</v>
      </c>
      <c r="AA39" s="1390">
        <f t="shared" si="44"/>
        <v>0</v>
      </c>
      <c r="AB39" s="1510">
        <f t="shared" si="45"/>
        <v>0</v>
      </c>
      <c r="AC39" s="1394">
        <f t="shared" si="46"/>
        <v>0</v>
      </c>
      <c r="AD39" s="1510">
        <f t="shared" si="47"/>
        <v>0</v>
      </c>
      <c r="AE39" s="1395">
        <v>0</v>
      </c>
      <c r="AF39" s="1510">
        <f t="shared" si="48"/>
        <v>0</v>
      </c>
      <c r="AG39" s="1395"/>
      <c r="AH39" s="1395">
        <f t="shared" si="49"/>
        <v>0</v>
      </c>
      <c r="AI39" s="1510">
        <f t="shared" si="50"/>
        <v>0</v>
      </c>
      <c r="AJ39" s="1505">
        <f t="shared" si="51"/>
        <v>0</v>
      </c>
      <c r="AK39" s="1535">
        <f t="shared" si="52"/>
        <v>0</v>
      </c>
    </row>
    <row r="40" spans="1:37" ht="16.2" customHeight="1">
      <c r="A40" s="1176">
        <v>34</v>
      </c>
      <c r="B40" s="1177" t="s">
        <v>114</v>
      </c>
      <c r="C40" s="1178">
        <f>+'Table 8 Membership 2.1.14'!M36</f>
        <v>0</v>
      </c>
      <c r="D40" s="1179">
        <f>+'Table 5C1A-Madison Prep'!D40</f>
        <v>6292.0976842789005</v>
      </c>
      <c r="E40" s="1180">
        <f t="shared" si="30"/>
        <v>0</v>
      </c>
      <c r="F40" s="1180">
        <f>+'Table 5C1A-Madison Prep'!F40</f>
        <v>644.11000000000013</v>
      </c>
      <c r="G40" s="1180">
        <f t="shared" si="31"/>
        <v>0</v>
      </c>
      <c r="H40" s="1539">
        <f t="shared" si="32"/>
        <v>0</v>
      </c>
      <c r="I40" s="1181"/>
      <c r="J40" s="1181"/>
      <c r="K40" s="1182">
        <f t="shared" si="33"/>
        <v>0</v>
      </c>
      <c r="L40" s="1539">
        <f t="shared" si="34"/>
        <v>0</v>
      </c>
      <c r="M40" s="1388">
        <f t="shared" si="35"/>
        <v>0</v>
      </c>
      <c r="N40" s="1539">
        <f t="shared" si="36"/>
        <v>0</v>
      </c>
      <c r="O40" s="1179">
        <v>0</v>
      </c>
      <c r="P40" s="1545">
        <f t="shared" si="37"/>
        <v>0</v>
      </c>
      <c r="Q40" s="1181"/>
      <c r="R40" s="1181">
        <f t="shared" si="38"/>
        <v>0</v>
      </c>
      <c r="S40" s="1545">
        <f t="shared" si="39"/>
        <v>0</v>
      </c>
      <c r="T40" s="1545">
        <f t="shared" si="40"/>
        <v>0</v>
      </c>
      <c r="U40" s="1389">
        <f>'Table 5C1A-Madison Prep'!U40</f>
        <v>2721</v>
      </c>
      <c r="V40" s="1515">
        <f t="shared" si="41"/>
        <v>0</v>
      </c>
      <c r="W40" s="1391"/>
      <c r="X40" s="1392">
        <f t="shared" si="42"/>
        <v>0</v>
      </c>
      <c r="Y40" s="1391"/>
      <c r="Z40" s="1392">
        <f t="shared" si="43"/>
        <v>0</v>
      </c>
      <c r="AA40" s="1390">
        <f t="shared" si="44"/>
        <v>0</v>
      </c>
      <c r="AB40" s="1510">
        <f t="shared" si="45"/>
        <v>0</v>
      </c>
      <c r="AC40" s="1394">
        <f t="shared" si="46"/>
        <v>0</v>
      </c>
      <c r="AD40" s="1510">
        <f t="shared" si="47"/>
        <v>0</v>
      </c>
      <c r="AE40" s="1395">
        <v>0</v>
      </c>
      <c r="AF40" s="1510">
        <f t="shared" si="48"/>
        <v>0</v>
      </c>
      <c r="AG40" s="1395"/>
      <c r="AH40" s="1395">
        <f t="shared" si="49"/>
        <v>0</v>
      </c>
      <c r="AI40" s="1510">
        <f t="shared" si="50"/>
        <v>0</v>
      </c>
      <c r="AJ40" s="1505">
        <f t="shared" si="51"/>
        <v>0</v>
      </c>
      <c r="AK40" s="1535">
        <f t="shared" si="52"/>
        <v>0</v>
      </c>
    </row>
    <row r="41" spans="1:37" ht="16.2" customHeight="1">
      <c r="A41" s="1168">
        <v>35</v>
      </c>
      <c r="B41" s="1169" t="s">
        <v>115</v>
      </c>
      <c r="C41" s="1170">
        <f>+'Table 8 Membership 2.1.14'!M37</f>
        <v>0</v>
      </c>
      <c r="D41" s="1171">
        <f>+'Table 5C1A-Madison Prep'!D41</f>
        <v>5166.2482060477605</v>
      </c>
      <c r="E41" s="1172">
        <f t="shared" si="30"/>
        <v>0</v>
      </c>
      <c r="F41" s="1172">
        <f>+'Table 5C1A-Madison Prep'!F41</f>
        <v>537.96</v>
      </c>
      <c r="G41" s="1172">
        <f t="shared" si="31"/>
        <v>0</v>
      </c>
      <c r="H41" s="1540">
        <f t="shared" si="32"/>
        <v>0</v>
      </c>
      <c r="I41" s="1173"/>
      <c r="J41" s="1173"/>
      <c r="K41" s="1174">
        <f t="shared" si="33"/>
        <v>0</v>
      </c>
      <c r="L41" s="1540">
        <f t="shared" si="34"/>
        <v>0</v>
      </c>
      <c r="M41" s="1399">
        <f t="shared" si="35"/>
        <v>0</v>
      </c>
      <c r="N41" s="1540">
        <f t="shared" si="36"/>
        <v>0</v>
      </c>
      <c r="O41" s="1171">
        <v>0</v>
      </c>
      <c r="P41" s="1546">
        <f t="shared" si="37"/>
        <v>0</v>
      </c>
      <c r="Q41" s="1173"/>
      <c r="R41" s="1173">
        <f t="shared" si="38"/>
        <v>0</v>
      </c>
      <c r="S41" s="1546">
        <f t="shared" si="39"/>
        <v>0</v>
      </c>
      <c r="T41" s="1546">
        <f t="shared" si="40"/>
        <v>0</v>
      </c>
      <c r="U41" s="1382">
        <f>'Table 5C1A-Madison Prep'!U41</f>
        <v>3255</v>
      </c>
      <c r="V41" s="1516">
        <f t="shared" si="41"/>
        <v>0</v>
      </c>
      <c r="W41" s="1400"/>
      <c r="X41" s="1383">
        <f t="shared" si="42"/>
        <v>0</v>
      </c>
      <c r="Y41" s="1400"/>
      <c r="Z41" s="1383">
        <f t="shared" si="43"/>
        <v>0</v>
      </c>
      <c r="AA41" s="1384">
        <f t="shared" si="44"/>
        <v>0</v>
      </c>
      <c r="AB41" s="1511">
        <f t="shared" si="45"/>
        <v>0</v>
      </c>
      <c r="AC41" s="1402">
        <f t="shared" si="46"/>
        <v>0</v>
      </c>
      <c r="AD41" s="1511">
        <f t="shared" si="47"/>
        <v>0</v>
      </c>
      <c r="AE41" s="1385">
        <v>0</v>
      </c>
      <c r="AF41" s="1511">
        <f t="shared" si="48"/>
        <v>0</v>
      </c>
      <c r="AG41" s="1385"/>
      <c r="AH41" s="1385">
        <f t="shared" si="49"/>
        <v>0</v>
      </c>
      <c r="AI41" s="1511">
        <f t="shared" si="50"/>
        <v>0</v>
      </c>
      <c r="AJ41" s="1531">
        <f t="shared" si="51"/>
        <v>0</v>
      </c>
      <c r="AK41" s="1536">
        <f t="shared" si="52"/>
        <v>0</v>
      </c>
    </row>
    <row r="42" spans="1:37" ht="16.2" customHeight="1">
      <c r="A42" s="1183">
        <v>36</v>
      </c>
      <c r="B42" s="1184" t="s">
        <v>116</v>
      </c>
      <c r="C42" s="1185">
        <f>+'Table 8 Membership 2.1.14'!M38</f>
        <v>0</v>
      </c>
      <c r="D42" s="1186">
        <f>+'Table 5C1A-Madison Prep'!D42</f>
        <v>3602.7009974327857</v>
      </c>
      <c r="E42" s="1187">
        <f t="shared" si="30"/>
        <v>0</v>
      </c>
      <c r="F42" s="1187">
        <f>+'Table 5C1A-Madison Prep'!F42</f>
        <v>746.0335616438357</v>
      </c>
      <c r="G42" s="1187">
        <f t="shared" si="31"/>
        <v>0</v>
      </c>
      <c r="H42" s="1538">
        <f t="shared" si="32"/>
        <v>0</v>
      </c>
      <c r="I42" s="1188"/>
      <c r="J42" s="1188"/>
      <c r="K42" s="1189">
        <f t="shared" si="33"/>
        <v>0</v>
      </c>
      <c r="L42" s="1538">
        <f t="shared" si="34"/>
        <v>0</v>
      </c>
      <c r="M42" s="1372">
        <f t="shared" si="35"/>
        <v>0</v>
      </c>
      <c r="N42" s="1538">
        <f t="shared" si="36"/>
        <v>0</v>
      </c>
      <c r="O42" s="1186">
        <v>0</v>
      </c>
      <c r="P42" s="1544">
        <f t="shared" si="37"/>
        <v>0</v>
      </c>
      <c r="Q42" s="1188"/>
      <c r="R42" s="1188">
        <f t="shared" si="38"/>
        <v>0</v>
      </c>
      <c r="S42" s="1544">
        <f t="shared" si="39"/>
        <v>0</v>
      </c>
      <c r="T42" s="1544">
        <f t="shared" si="40"/>
        <v>0</v>
      </c>
      <c r="U42" s="1373">
        <f>'Table 5C1A-Madison Prep'!U42</f>
        <v>5435</v>
      </c>
      <c r="V42" s="1514">
        <f t="shared" si="41"/>
        <v>0</v>
      </c>
      <c r="W42" s="1375"/>
      <c r="X42" s="1376">
        <f t="shared" si="42"/>
        <v>0</v>
      </c>
      <c r="Y42" s="1375"/>
      <c r="Z42" s="1376">
        <f t="shared" si="43"/>
        <v>0</v>
      </c>
      <c r="AA42" s="1374">
        <f t="shared" si="44"/>
        <v>0</v>
      </c>
      <c r="AB42" s="1509">
        <f t="shared" si="45"/>
        <v>0</v>
      </c>
      <c r="AC42" s="1378">
        <f t="shared" si="46"/>
        <v>0</v>
      </c>
      <c r="AD42" s="1509">
        <f t="shared" si="47"/>
        <v>0</v>
      </c>
      <c r="AE42" s="1379">
        <v>0</v>
      </c>
      <c r="AF42" s="1509">
        <f t="shared" si="48"/>
        <v>0</v>
      </c>
      <c r="AG42" s="1379"/>
      <c r="AH42" s="1379">
        <f t="shared" si="49"/>
        <v>0</v>
      </c>
      <c r="AI42" s="1509">
        <f t="shared" si="50"/>
        <v>0</v>
      </c>
      <c r="AJ42" s="1530">
        <f t="shared" si="51"/>
        <v>0</v>
      </c>
      <c r="AK42" s="1534">
        <f t="shared" si="52"/>
        <v>0</v>
      </c>
    </row>
    <row r="43" spans="1:37" ht="16.2" customHeight="1">
      <c r="A43" s="1176">
        <v>37</v>
      </c>
      <c r="B43" s="1177" t="s">
        <v>117</v>
      </c>
      <c r="C43" s="1178">
        <f>+'Table 8 Membership 2.1.14'!M39</f>
        <v>0</v>
      </c>
      <c r="D43" s="1179">
        <f>+'Table 5C1A-Madison Prep'!D43</f>
        <v>5665.3839260317691</v>
      </c>
      <c r="E43" s="1180">
        <f t="shared" si="30"/>
        <v>0</v>
      </c>
      <c r="F43" s="1180">
        <f>+'Table 5C1A-Madison Prep'!F43</f>
        <v>653.61</v>
      </c>
      <c r="G43" s="1180">
        <f t="shared" si="31"/>
        <v>0</v>
      </c>
      <c r="H43" s="1539">
        <f t="shared" si="32"/>
        <v>0</v>
      </c>
      <c r="I43" s="1181"/>
      <c r="J43" s="1181"/>
      <c r="K43" s="1182">
        <f t="shared" si="33"/>
        <v>0</v>
      </c>
      <c r="L43" s="1539">
        <f t="shared" si="34"/>
        <v>0</v>
      </c>
      <c r="M43" s="1388">
        <f t="shared" si="35"/>
        <v>0</v>
      </c>
      <c r="N43" s="1539">
        <f t="shared" si="36"/>
        <v>0</v>
      </c>
      <c r="O43" s="1179">
        <v>0</v>
      </c>
      <c r="P43" s="1545">
        <f t="shared" si="37"/>
        <v>0</v>
      </c>
      <c r="Q43" s="1181"/>
      <c r="R43" s="1181">
        <f t="shared" si="38"/>
        <v>0</v>
      </c>
      <c r="S43" s="1545">
        <f t="shared" si="39"/>
        <v>0</v>
      </c>
      <c r="T43" s="1545">
        <f t="shared" si="40"/>
        <v>0</v>
      </c>
      <c r="U43" s="1389">
        <f>'Table 5C1A-Madison Prep'!U43</f>
        <v>3520</v>
      </c>
      <c r="V43" s="1515">
        <f t="shared" si="41"/>
        <v>0</v>
      </c>
      <c r="W43" s="1391"/>
      <c r="X43" s="1392">
        <f t="shared" si="42"/>
        <v>0</v>
      </c>
      <c r="Y43" s="1391"/>
      <c r="Z43" s="1392">
        <f t="shared" si="43"/>
        <v>0</v>
      </c>
      <c r="AA43" s="1390">
        <f t="shared" si="44"/>
        <v>0</v>
      </c>
      <c r="AB43" s="1510">
        <f t="shared" si="45"/>
        <v>0</v>
      </c>
      <c r="AC43" s="1394">
        <f t="shared" si="46"/>
        <v>0</v>
      </c>
      <c r="AD43" s="1510">
        <f t="shared" si="47"/>
        <v>0</v>
      </c>
      <c r="AE43" s="1395">
        <v>0</v>
      </c>
      <c r="AF43" s="1510">
        <f t="shared" si="48"/>
        <v>0</v>
      </c>
      <c r="AG43" s="1395"/>
      <c r="AH43" s="1395">
        <f t="shared" si="49"/>
        <v>0</v>
      </c>
      <c r="AI43" s="1510">
        <f t="shared" si="50"/>
        <v>0</v>
      </c>
      <c r="AJ43" s="1505">
        <f t="shared" si="51"/>
        <v>0</v>
      </c>
      <c r="AK43" s="1535">
        <f t="shared" si="52"/>
        <v>0</v>
      </c>
    </row>
    <row r="44" spans="1:37" ht="16.2" customHeight="1">
      <c r="A44" s="1176">
        <v>38</v>
      </c>
      <c r="B44" s="1177" t="s">
        <v>118</v>
      </c>
      <c r="C44" s="1178">
        <f>+'Table 8 Membership 2.1.14'!M40</f>
        <v>0</v>
      </c>
      <c r="D44" s="1179">
        <f>+'Table 5C1A-Madison Prep'!D44</f>
        <v>2088.8017552916881</v>
      </c>
      <c r="E44" s="1180">
        <f t="shared" si="30"/>
        <v>0</v>
      </c>
      <c r="F44" s="1180">
        <f>+'Table 5C1A-Madison Prep'!F44</f>
        <v>829.92000000000007</v>
      </c>
      <c r="G44" s="1180">
        <f t="shared" si="31"/>
        <v>0</v>
      </c>
      <c r="H44" s="1539">
        <f t="shared" si="32"/>
        <v>0</v>
      </c>
      <c r="I44" s="1181"/>
      <c r="J44" s="1181"/>
      <c r="K44" s="1182">
        <f t="shared" si="33"/>
        <v>0</v>
      </c>
      <c r="L44" s="1539">
        <f t="shared" si="34"/>
        <v>0</v>
      </c>
      <c r="M44" s="1388">
        <f t="shared" si="35"/>
        <v>0</v>
      </c>
      <c r="N44" s="1539">
        <f t="shared" si="36"/>
        <v>0</v>
      </c>
      <c r="O44" s="1179">
        <v>0</v>
      </c>
      <c r="P44" s="1545">
        <f t="shared" si="37"/>
        <v>0</v>
      </c>
      <c r="Q44" s="1181"/>
      <c r="R44" s="1181">
        <f t="shared" si="38"/>
        <v>0</v>
      </c>
      <c r="S44" s="1545">
        <f t="shared" si="39"/>
        <v>0</v>
      </c>
      <c r="T44" s="1545">
        <f t="shared" si="40"/>
        <v>0</v>
      </c>
      <c r="U44" s="1389">
        <f>'Table 5C1A-Madison Prep'!U44</f>
        <v>11379</v>
      </c>
      <c r="V44" s="1515">
        <f t="shared" si="41"/>
        <v>0</v>
      </c>
      <c r="W44" s="1391"/>
      <c r="X44" s="1392">
        <f t="shared" si="42"/>
        <v>0</v>
      </c>
      <c r="Y44" s="1391"/>
      <c r="Z44" s="1392">
        <f t="shared" si="43"/>
        <v>0</v>
      </c>
      <c r="AA44" s="1390">
        <f t="shared" si="44"/>
        <v>0</v>
      </c>
      <c r="AB44" s="1510">
        <f t="shared" si="45"/>
        <v>0</v>
      </c>
      <c r="AC44" s="1394">
        <f t="shared" si="46"/>
        <v>0</v>
      </c>
      <c r="AD44" s="1510">
        <f t="shared" si="47"/>
        <v>0</v>
      </c>
      <c r="AE44" s="1395">
        <v>0</v>
      </c>
      <c r="AF44" s="1510">
        <f t="shared" si="48"/>
        <v>0</v>
      </c>
      <c r="AG44" s="1395"/>
      <c r="AH44" s="1395">
        <f t="shared" si="49"/>
        <v>0</v>
      </c>
      <c r="AI44" s="1510">
        <f t="shared" si="50"/>
        <v>0</v>
      </c>
      <c r="AJ44" s="1505">
        <f t="shared" si="51"/>
        <v>0</v>
      </c>
      <c r="AK44" s="1535">
        <f t="shared" si="52"/>
        <v>0</v>
      </c>
    </row>
    <row r="45" spans="1:37" ht="16.2" customHeight="1">
      <c r="A45" s="1176">
        <v>39</v>
      </c>
      <c r="B45" s="1177" t="s">
        <v>119</v>
      </c>
      <c r="C45" s="1178">
        <f>+'Table 8 Membership 2.1.14'!M41</f>
        <v>0</v>
      </c>
      <c r="D45" s="1179">
        <f>+'Table 5C1A-Madison Prep'!D45</f>
        <v>3656.9056809295676</v>
      </c>
      <c r="E45" s="1180">
        <f t="shared" si="30"/>
        <v>0</v>
      </c>
      <c r="F45" s="1180">
        <f>+'Table 5C1A-Madison Prep'!F45</f>
        <v>779.65573042776396</v>
      </c>
      <c r="G45" s="1180">
        <f t="shared" si="31"/>
        <v>0</v>
      </c>
      <c r="H45" s="1539">
        <f t="shared" si="32"/>
        <v>0</v>
      </c>
      <c r="I45" s="1181"/>
      <c r="J45" s="1181"/>
      <c r="K45" s="1182">
        <f t="shared" si="33"/>
        <v>0</v>
      </c>
      <c r="L45" s="1539">
        <f t="shared" si="34"/>
        <v>0</v>
      </c>
      <c r="M45" s="1388">
        <f t="shared" si="35"/>
        <v>0</v>
      </c>
      <c r="N45" s="1539">
        <f t="shared" si="36"/>
        <v>0</v>
      </c>
      <c r="O45" s="1179">
        <v>0</v>
      </c>
      <c r="P45" s="1545">
        <f t="shared" si="37"/>
        <v>0</v>
      </c>
      <c r="Q45" s="1181"/>
      <c r="R45" s="1181">
        <f t="shared" si="38"/>
        <v>0</v>
      </c>
      <c r="S45" s="1545">
        <f t="shared" si="39"/>
        <v>0</v>
      </c>
      <c r="T45" s="1545">
        <f t="shared" si="40"/>
        <v>0</v>
      </c>
      <c r="U45" s="1389">
        <f>'Table 5C1A-Madison Prep'!U45</f>
        <v>4955</v>
      </c>
      <c r="V45" s="1515">
        <f t="shared" si="41"/>
        <v>0</v>
      </c>
      <c r="W45" s="1391"/>
      <c r="X45" s="1392">
        <f t="shared" si="42"/>
        <v>0</v>
      </c>
      <c r="Y45" s="1391"/>
      <c r="Z45" s="1392">
        <f t="shared" si="43"/>
        <v>0</v>
      </c>
      <c r="AA45" s="1390">
        <f t="shared" si="44"/>
        <v>0</v>
      </c>
      <c r="AB45" s="1510">
        <f t="shared" si="45"/>
        <v>0</v>
      </c>
      <c r="AC45" s="1394">
        <f t="shared" si="46"/>
        <v>0</v>
      </c>
      <c r="AD45" s="1510">
        <f t="shared" si="47"/>
        <v>0</v>
      </c>
      <c r="AE45" s="1395">
        <v>0</v>
      </c>
      <c r="AF45" s="1510">
        <f t="shared" si="48"/>
        <v>0</v>
      </c>
      <c r="AG45" s="1395"/>
      <c r="AH45" s="1395">
        <f t="shared" si="49"/>
        <v>0</v>
      </c>
      <c r="AI45" s="1510">
        <f t="shared" si="50"/>
        <v>0</v>
      </c>
      <c r="AJ45" s="1505">
        <f t="shared" si="51"/>
        <v>0</v>
      </c>
      <c r="AK45" s="1535">
        <f t="shared" si="52"/>
        <v>0</v>
      </c>
    </row>
    <row r="46" spans="1:37" ht="16.2" customHeight="1">
      <c r="A46" s="1168">
        <v>40</v>
      </c>
      <c r="B46" s="1169" t="s">
        <v>120</v>
      </c>
      <c r="C46" s="1170">
        <f>+'Table 8 Membership 2.1.14'!M42</f>
        <v>0</v>
      </c>
      <c r="D46" s="1171">
        <f>+'Table 5C1A-Madison Prep'!D46</f>
        <v>5121.8110285698403</v>
      </c>
      <c r="E46" s="1172">
        <f t="shared" si="30"/>
        <v>0</v>
      </c>
      <c r="F46" s="1172">
        <f>+'Table 5C1A-Madison Prep'!F46</f>
        <v>700.2700000000001</v>
      </c>
      <c r="G46" s="1172">
        <f t="shared" si="31"/>
        <v>0</v>
      </c>
      <c r="H46" s="1540">
        <f t="shared" si="32"/>
        <v>0</v>
      </c>
      <c r="I46" s="1173"/>
      <c r="J46" s="1173"/>
      <c r="K46" s="1174">
        <f t="shared" si="33"/>
        <v>0</v>
      </c>
      <c r="L46" s="1540">
        <f t="shared" si="34"/>
        <v>0</v>
      </c>
      <c r="M46" s="1399">
        <f t="shared" si="35"/>
        <v>0</v>
      </c>
      <c r="N46" s="1540">
        <f t="shared" si="36"/>
        <v>0</v>
      </c>
      <c r="O46" s="1171">
        <v>0</v>
      </c>
      <c r="P46" s="1546">
        <f t="shared" si="37"/>
        <v>0</v>
      </c>
      <c r="Q46" s="1173"/>
      <c r="R46" s="1173">
        <f t="shared" si="38"/>
        <v>0</v>
      </c>
      <c r="S46" s="1546">
        <f t="shared" si="39"/>
        <v>0</v>
      </c>
      <c r="T46" s="1546">
        <f t="shared" si="40"/>
        <v>0</v>
      </c>
      <c r="U46" s="1382">
        <f>'Table 5C1A-Madison Prep'!U46</f>
        <v>3069</v>
      </c>
      <c r="V46" s="1516">
        <f t="shared" si="41"/>
        <v>0</v>
      </c>
      <c r="W46" s="1400"/>
      <c r="X46" s="1383">
        <f t="shared" si="42"/>
        <v>0</v>
      </c>
      <c r="Y46" s="1400"/>
      <c r="Z46" s="1383">
        <f t="shared" si="43"/>
        <v>0</v>
      </c>
      <c r="AA46" s="1384">
        <f t="shared" si="44"/>
        <v>0</v>
      </c>
      <c r="AB46" s="1511">
        <f t="shared" si="45"/>
        <v>0</v>
      </c>
      <c r="AC46" s="1402">
        <f t="shared" si="46"/>
        <v>0</v>
      </c>
      <c r="AD46" s="1511">
        <f t="shared" si="47"/>
        <v>0</v>
      </c>
      <c r="AE46" s="1385">
        <v>0</v>
      </c>
      <c r="AF46" s="1511">
        <f t="shared" si="48"/>
        <v>0</v>
      </c>
      <c r="AG46" s="1385"/>
      <c r="AH46" s="1385">
        <f t="shared" si="49"/>
        <v>0</v>
      </c>
      <c r="AI46" s="1511">
        <f t="shared" si="50"/>
        <v>0</v>
      </c>
      <c r="AJ46" s="1531">
        <f t="shared" si="51"/>
        <v>0</v>
      </c>
      <c r="AK46" s="1536">
        <f t="shared" si="52"/>
        <v>0</v>
      </c>
    </row>
    <row r="47" spans="1:37" ht="16.2" customHeight="1">
      <c r="A47" s="1183">
        <v>41</v>
      </c>
      <c r="B47" s="1184" t="s">
        <v>121</v>
      </c>
      <c r="C47" s="1185">
        <f>+'Table 8 Membership 2.1.14'!M43</f>
        <v>0</v>
      </c>
      <c r="D47" s="1186">
        <f>+'Table 5C1A-Madison Prep'!D47</f>
        <v>3291.1948574716475</v>
      </c>
      <c r="E47" s="1187">
        <f t="shared" si="30"/>
        <v>0</v>
      </c>
      <c r="F47" s="1187">
        <f>+'Table 5C1A-Madison Prep'!F47</f>
        <v>886.22</v>
      </c>
      <c r="G47" s="1187">
        <f t="shared" si="31"/>
        <v>0</v>
      </c>
      <c r="H47" s="1538">
        <f t="shared" si="32"/>
        <v>0</v>
      </c>
      <c r="I47" s="1188"/>
      <c r="J47" s="1188"/>
      <c r="K47" s="1189">
        <f t="shared" si="33"/>
        <v>0</v>
      </c>
      <c r="L47" s="1538">
        <f t="shared" si="34"/>
        <v>0</v>
      </c>
      <c r="M47" s="1372">
        <f t="shared" si="35"/>
        <v>0</v>
      </c>
      <c r="N47" s="1538">
        <f t="shared" si="36"/>
        <v>0</v>
      </c>
      <c r="O47" s="1186">
        <v>0</v>
      </c>
      <c r="P47" s="1544">
        <f t="shared" si="37"/>
        <v>0</v>
      </c>
      <c r="Q47" s="1188"/>
      <c r="R47" s="1188">
        <f t="shared" si="38"/>
        <v>0</v>
      </c>
      <c r="S47" s="1544">
        <f t="shared" si="39"/>
        <v>0</v>
      </c>
      <c r="T47" s="1544">
        <f t="shared" si="40"/>
        <v>0</v>
      </c>
      <c r="U47" s="1373">
        <f>'Table 5C1A-Madison Prep'!U47</f>
        <v>8478</v>
      </c>
      <c r="V47" s="1514">
        <f t="shared" si="41"/>
        <v>0</v>
      </c>
      <c r="W47" s="1375"/>
      <c r="X47" s="1376">
        <f t="shared" si="42"/>
        <v>0</v>
      </c>
      <c r="Y47" s="1375"/>
      <c r="Z47" s="1376">
        <f t="shared" si="43"/>
        <v>0</v>
      </c>
      <c r="AA47" s="1374">
        <f t="shared" si="44"/>
        <v>0</v>
      </c>
      <c r="AB47" s="1509">
        <f t="shared" si="45"/>
        <v>0</v>
      </c>
      <c r="AC47" s="1378">
        <f t="shared" si="46"/>
        <v>0</v>
      </c>
      <c r="AD47" s="1509">
        <f t="shared" si="47"/>
        <v>0</v>
      </c>
      <c r="AE47" s="1379">
        <v>0</v>
      </c>
      <c r="AF47" s="1509">
        <f t="shared" si="48"/>
        <v>0</v>
      </c>
      <c r="AG47" s="1379"/>
      <c r="AH47" s="1379">
        <f t="shared" si="49"/>
        <v>0</v>
      </c>
      <c r="AI47" s="1509">
        <f t="shared" si="50"/>
        <v>0</v>
      </c>
      <c r="AJ47" s="1530">
        <f t="shared" si="51"/>
        <v>0</v>
      </c>
      <c r="AK47" s="1534">
        <f t="shared" si="52"/>
        <v>0</v>
      </c>
    </row>
    <row r="48" spans="1:37" ht="16.2" customHeight="1">
      <c r="A48" s="1176">
        <v>42</v>
      </c>
      <c r="B48" s="1177" t="s">
        <v>122</v>
      </c>
      <c r="C48" s="1178">
        <f>+'Table 8 Membership 2.1.14'!M44</f>
        <v>0</v>
      </c>
      <c r="D48" s="1179">
        <f>+'Table 5C1A-Madison Prep'!D48</f>
        <v>5113.6077751368684</v>
      </c>
      <c r="E48" s="1180">
        <f t="shared" si="30"/>
        <v>0</v>
      </c>
      <c r="F48" s="1180">
        <f>+'Table 5C1A-Madison Prep'!F48</f>
        <v>534.28</v>
      </c>
      <c r="G48" s="1180">
        <f t="shared" si="31"/>
        <v>0</v>
      </c>
      <c r="H48" s="1539">
        <f t="shared" si="32"/>
        <v>0</v>
      </c>
      <c r="I48" s="1181"/>
      <c r="J48" s="1181"/>
      <c r="K48" s="1182">
        <f t="shared" si="33"/>
        <v>0</v>
      </c>
      <c r="L48" s="1539">
        <f t="shared" si="34"/>
        <v>0</v>
      </c>
      <c r="M48" s="1388">
        <f t="shared" si="35"/>
        <v>0</v>
      </c>
      <c r="N48" s="1539">
        <f t="shared" si="36"/>
        <v>0</v>
      </c>
      <c r="O48" s="1179">
        <v>0</v>
      </c>
      <c r="P48" s="1545">
        <f t="shared" si="37"/>
        <v>0</v>
      </c>
      <c r="Q48" s="1181"/>
      <c r="R48" s="1181">
        <f t="shared" si="38"/>
        <v>0</v>
      </c>
      <c r="S48" s="1545">
        <f t="shared" si="39"/>
        <v>0</v>
      </c>
      <c r="T48" s="1545">
        <f t="shared" si="40"/>
        <v>0</v>
      </c>
      <c r="U48" s="1389">
        <f>'Table 5C1A-Madison Prep'!U48</f>
        <v>3578</v>
      </c>
      <c r="V48" s="1515">
        <f t="shared" si="41"/>
        <v>0</v>
      </c>
      <c r="W48" s="1391"/>
      <c r="X48" s="1392">
        <f t="shared" si="42"/>
        <v>0</v>
      </c>
      <c r="Y48" s="1391"/>
      <c r="Z48" s="1392">
        <f t="shared" si="43"/>
        <v>0</v>
      </c>
      <c r="AA48" s="1390">
        <f t="shared" si="44"/>
        <v>0</v>
      </c>
      <c r="AB48" s="1510">
        <f t="shared" si="45"/>
        <v>0</v>
      </c>
      <c r="AC48" s="1394">
        <f t="shared" si="46"/>
        <v>0</v>
      </c>
      <c r="AD48" s="1510">
        <f t="shared" si="47"/>
        <v>0</v>
      </c>
      <c r="AE48" s="1395">
        <v>0</v>
      </c>
      <c r="AF48" s="1510">
        <f t="shared" si="48"/>
        <v>0</v>
      </c>
      <c r="AG48" s="1395"/>
      <c r="AH48" s="1395">
        <f t="shared" si="49"/>
        <v>0</v>
      </c>
      <c r="AI48" s="1510">
        <f t="shared" si="50"/>
        <v>0</v>
      </c>
      <c r="AJ48" s="1505">
        <f t="shared" si="51"/>
        <v>0</v>
      </c>
      <c r="AK48" s="1535">
        <f t="shared" si="52"/>
        <v>0</v>
      </c>
    </row>
    <row r="49" spans="1:37" ht="16.2" customHeight="1">
      <c r="A49" s="1176">
        <v>43</v>
      </c>
      <c r="B49" s="1177" t="s">
        <v>123</v>
      </c>
      <c r="C49" s="1178">
        <f>+'Table 8 Membership 2.1.14'!M45</f>
        <v>0</v>
      </c>
      <c r="D49" s="1179">
        <f>+'Table 5C1A-Madison Prep'!D49</f>
        <v>5788.74387205947</v>
      </c>
      <c r="E49" s="1180">
        <f t="shared" si="30"/>
        <v>0</v>
      </c>
      <c r="F49" s="1180">
        <f>+'Table 5C1A-Madison Prep'!F49</f>
        <v>574.6099999999999</v>
      </c>
      <c r="G49" s="1180">
        <f t="shared" si="31"/>
        <v>0</v>
      </c>
      <c r="H49" s="1539">
        <f t="shared" si="32"/>
        <v>0</v>
      </c>
      <c r="I49" s="1181"/>
      <c r="J49" s="1181"/>
      <c r="K49" s="1182">
        <f t="shared" si="33"/>
        <v>0</v>
      </c>
      <c r="L49" s="1539">
        <f t="shared" si="34"/>
        <v>0</v>
      </c>
      <c r="M49" s="1388">
        <f t="shared" si="35"/>
        <v>0</v>
      </c>
      <c r="N49" s="1539">
        <f t="shared" si="36"/>
        <v>0</v>
      </c>
      <c r="O49" s="1179">
        <v>0</v>
      </c>
      <c r="P49" s="1545">
        <f t="shared" si="37"/>
        <v>0</v>
      </c>
      <c r="Q49" s="1181"/>
      <c r="R49" s="1181">
        <f t="shared" si="38"/>
        <v>0</v>
      </c>
      <c r="S49" s="1545">
        <f t="shared" si="39"/>
        <v>0</v>
      </c>
      <c r="T49" s="1545">
        <f t="shared" si="40"/>
        <v>0</v>
      </c>
      <c r="U49" s="1389">
        <f>'Table 5C1A-Madison Prep'!U49</f>
        <v>3205</v>
      </c>
      <c r="V49" s="1515">
        <f t="shared" si="41"/>
        <v>0</v>
      </c>
      <c r="W49" s="1391"/>
      <c r="X49" s="1392">
        <f t="shared" si="42"/>
        <v>0</v>
      </c>
      <c r="Y49" s="1391"/>
      <c r="Z49" s="1392">
        <f t="shared" si="43"/>
        <v>0</v>
      </c>
      <c r="AA49" s="1390">
        <f t="shared" si="44"/>
        <v>0</v>
      </c>
      <c r="AB49" s="1510">
        <f t="shared" si="45"/>
        <v>0</v>
      </c>
      <c r="AC49" s="1394">
        <f t="shared" si="46"/>
        <v>0</v>
      </c>
      <c r="AD49" s="1510">
        <f t="shared" si="47"/>
        <v>0</v>
      </c>
      <c r="AE49" s="1395">
        <v>0</v>
      </c>
      <c r="AF49" s="1510">
        <f t="shared" si="48"/>
        <v>0</v>
      </c>
      <c r="AG49" s="1395"/>
      <c r="AH49" s="1395">
        <f t="shared" si="49"/>
        <v>0</v>
      </c>
      <c r="AI49" s="1510">
        <f t="shared" si="50"/>
        <v>0</v>
      </c>
      <c r="AJ49" s="1505">
        <f t="shared" si="51"/>
        <v>0</v>
      </c>
      <c r="AK49" s="1535">
        <f t="shared" si="52"/>
        <v>0</v>
      </c>
    </row>
    <row r="50" spans="1:37" ht="16.2" customHeight="1">
      <c r="A50" s="1176">
        <v>44</v>
      </c>
      <c r="B50" s="1177" t="s">
        <v>124</v>
      </c>
      <c r="C50" s="1178">
        <f>+'Table 8 Membership 2.1.14'!M46</f>
        <v>0</v>
      </c>
      <c r="D50" s="1179">
        <f>+'Table 5C1A-Madison Prep'!D50</f>
        <v>4897.5958151820359</v>
      </c>
      <c r="E50" s="1180">
        <f t="shared" si="30"/>
        <v>0</v>
      </c>
      <c r="F50" s="1180">
        <f>+'Table 5C1A-Madison Prep'!F50</f>
        <v>663.16000000000008</v>
      </c>
      <c r="G50" s="1180">
        <f t="shared" si="31"/>
        <v>0</v>
      </c>
      <c r="H50" s="1539">
        <f t="shared" si="32"/>
        <v>0</v>
      </c>
      <c r="I50" s="1181"/>
      <c r="J50" s="1181"/>
      <c r="K50" s="1182">
        <f t="shared" si="33"/>
        <v>0</v>
      </c>
      <c r="L50" s="1539">
        <f t="shared" si="34"/>
        <v>0</v>
      </c>
      <c r="M50" s="1388">
        <f t="shared" si="35"/>
        <v>0</v>
      </c>
      <c r="N50" s="1539">
        <f t="shared" si="36"/>
        <v>0</v>
      </c>
      <c r="O50" s="1179">
        <v>0</v>
      </c>
      <c r="P50" s="1545">
        <f t="shared" si="37"/>
        <v>0</v>
      </c>
      <c r="Q50" s="1181"/>
      <c r="R50" s="1181">
        <f t="shared" si="38"/>
        <v>0</v>
      </c>
      <c r="S50" s="1545">
        <f t="shared" si="39"/>
        <v>0</v>
      </c>
      <c r="T50" s="1545">
        <f t="shared" si="40"/>
        <v>0</v>
      </c>
      <c r="U50" s="1389">
        <f>'Table 5C1A-Madison Prep'!U50</f>
        <v>3719</v>
      </c>
      <c r="V50" s="1515">
        <f t="shared" si="41"/>
        <v>0</v>
      </c>
      <c r="W50" s="1391"/>
      <c r="X50" s="1392">
        <f t="shared" si="42"/>
        <v>0</v>
      </c>
      <c r="Y50" s="1391"/>
      <c r="Z50" s="1392">
        <f t="shared" si="43"/>
        <v>0</v>
      </c>
      <c r="AA50" s="1390">
        <f t="shared" si="44"/>
        <v>0</v>
      </c>
      <c r="AB50" s="1510">
        <f t="shared" si="45"/>
        <v>0</v>
      </c>
      <c r="AC50" s="1394">
        <f t="shared" si="46"/>
        <v>0</v>
      </c>
      <c r="AD50" s="1510">
        <f t="shared" si="47"/>
        <v>0</v>
      </c>
      <c r="AE50" s="1395">
        <v>0</v>
      </c>
      <c r="AF50" s="1510">
        <f t="shared" si="48"/>
        <v>0</v>
      </c>
      <c r="AG50" s="1395"/>
      <c r="AH50" s="1395">
        <f t="shared" si="49"/>
        <v>0</v>
      </c>
      <c r="AI50" s="1510">
        <f t="shared" si="50"/>
        <v>0</v>
      </c>
      <c r="AJ50" s="1505">
        <f t="shared" si="51"/>
        <v>0</v>
      </c>
      <c r="AK50" s="1535">
        <f t="shared" si="52"/>
        <v>0</v>
      </c>
    </row>
    <row r="51" spans="1:37" ht="16.2" customHeight="1">
      <c r="A51" s="1168">
        <v>45</v>
      </c>
      <c r="B51" s="1169" t="s">
        <v>125</v>
      </c>
      <c r="C51" s="1170">
        <f>+'Table 8 Membership 2.1.14'!M47</f>
        <v>0</v>
      </c>
      <c r="D51" s="1171">
        <f>+'Table 5C1A-Madison Prep'!D51</f>
        <v>2054.0472499469101</v>
      </c>
      <c r="E51" s="1172">
        <f t="shared" si="30"/>
        <v>0</v>
      </c>
      <c r="F51" s="1172">
        <f>+'Table 5C1A-Madison Prep'!F51</f>
        <v>753.96000000000015</v>
      </c>
      <c r="G51" s="1172">
        <f t="shared" si="31"/>
        <v>0</v>
      </c>
      <c r="H51" s="1540">
        <f t="shared" si="32"/>
        <v>0</v>
      </c>
      <c r="I51" s="1173"/>
      <c r="J51" s="1173"/>
      <c r="K51" s="1174">
        <f t="shared" si="33"/>
        <v>0</v>
      </c>
      <c r="L51" s="1540">
        <f t="shared" si="34"/>
        <v>0</v>
      </c>
      <c r="M51" s="1399">
        <f t="shared" si="35"/>
        <v>0</v>
      </c>
      <c r="N51" s="1540">
        <f t="shared" si="36"/>
        <v>0</v>
      </c>
      <c r="O51" s="1171">
        <v>0</v>
      </c>
      <c r="P51" s="1546">
        <f t="shared" si="37"/>
        <v>0</v>
      </c>
      <c r="Q51" s="1173"/>
      <c r="R51" s="1173">
        <f t="shared" si="38"/>
        <v>0</v>
      </c>
      <c r="S51" s="1546">
        <f t="shared" si="39"/>
        <v>0</v>
      </c>
      <c r="T51" s="1546">
        <f t="shared" si="40"/>
        <v>0</v>
      </c>
      <c r="U51" s="1382">
        <f>'Table 5C1A-Madison Prep'!U51</f>
        <v>12169</v>
      </c>
      <c r="V51" s="1516">
        <f t="shared" si="41"/>
        <v>0</v>
      </c>
      <c r="W51" s="1400"/>
      <c r="X51" s="1383">
        <f t="shared" si="42"/>
        <v>0</v>
      </c>
      <c r="Y51" s="1400"/>
      <c r="Z51" s="1383">
        <f t="shared" si="43"/>
        <v>0</v>
      </c>
      <c r="AA51" s="1384">
        <f t="shared" si="44"/>
        <v>0</v>
      </c>
      <c r="AB51" s="1511">
        <f t="shared" si="45"/>
        <v>0</v>
      </c>
      <c r="AC51" s="1402">
        <f t="shared" si="46"/>
        <v>0</v>
      </c>
      <c r="AD51" s="1511">
        <f t="shared" si="47"/>
        <v>0</v>
      </c>
      <c r="AE51" s="1385">
        <v>0</v>
      </c>
      <c r="AF51" s="1511">
        <f t="shared" si="48"/>
        <v>0</v>
      </c>
      <c r="AG51" s="1385"/>
      <c r="AH51" s="1385">
        <f t="shared" si="49"/>
        <v>0</v>
      </c>
      <c r="AI51" s="1511">
        <f t="shared" si="50"/>
        <v>0</v>
      </c>
      <c r="AJ51" s="1531">
        <f t="shared" si="51"/>
        <v>0</v>
      </c>
      <c r="AK51" s="1536">
        <f t="shared" si="52"/>
        <v>0</v>
      </c>
    </row>
    <row r="52" spans="1:37" ht="16.2" customHeight="1">
      <c r="A52" s="1183">
        <v>46</v>
      </c>
      <c r="B52" s="1184" t="s">
        <v>126</v>
      </c>
      <c r="C52" s="1185">
        <f>+'Table 8 Membership 2.1.14'!M48</f>
        <v>0</v>
      </c>
      <c r="D52" s="1186">
        <f>+'Table 5C1A-Madison Prep'!D52</f>
        <v>6051.2144468088381</v>
      </c>
      <c r="E52" s="1187">
        <f t="shared" si="30"/>
        <v>0</v>
      </c>
      <c r="F52" s="1187">
        <f>+'Table 5C1A-Madison Prep'!F52</f>
        <v>728.06</v>
      </c>
      <c r="G52" s="1187">
        <f t="shared" si="31"/>
        <v>0</v>
      </c>
      <c r="H52" s="1538">
        <f t="shared" si="32"/>
        <v>0</v>
      </c>
      <c r="I52" s="1188"/>
      <c r="J52" s="1188"/>
      <c r="K52" s="1189">
        <f t="shared" si="33"/>
        <v>0</v>
      </c>
      <c r="L52" s="1538">
        <f t="shared" si="34"/>
        <v>0</v>
      </c>
      <c r="M52" s="1372">
        <f t="shared" si="35"/>
        <v>0</v>
      </c>
      <c r="N52" s="1538">
        <f t="shared" si="36"/>
        <v>0</v>
      </c>
      <c r="O52" s="1186">
        <v>0</v>
      </c>
      <c r="P52" s="1544">
        <f t="shared" si="37"/>
        <v>0</v>
      </c>
      <c r="Q52" s="1188"/>
      <c r="R52" s="1188">
        <f t="shared" si="38"/>
        <v>0</v>
      </c>
      <c r="S52" s="1544">
        <f t="shared" si="39"/>
        <v>0</v>
      </c>
      <c r="T52" s="1544">
        <f t="shared" si="40"/>
        <v>0</v>
      </c>
      <c r="U52" s="1373">
        <f>'Table 5C1A-Madison Prep'!U52</f>
        <v>2713</v>
      </c>
      <c r="V52" s="1514">
        <f t="shared" si="41"/>
        <v>0</v>
      </c>
      <c r="W52" s="1375"/>
      <c r="X52" s="1376">
        <f t="shared" si="42"/>
        <v>0</v>
      </c>
      <c r="Y52" s="1375"/>
      <c r="Z52" s="1376">
        <f t="shared" si="43"/>
        <v>0</v>
      </c>
      <c r="AA52" s="1374">
        <f t="shared" si="44"/>
        <v>0</v>
      </c>
      <c r="AB52" s="1509">
        <f t="shared" si="45"/>
        <v>0</v>
      </c>
      <c r="AC52" s="1378">
        <f t="shared" si="46"/>
        <v>0</v>
      </c>
      <c r="AD52" s="1509">
        <f t="shared" si="47"/>
        <v>0</v>
      </c>
      <c r="AE52" s="1379">
        <v>0</v>
      </c>
      <c r="AF52" s="1509">
        <f t="shared" si="48"/>
        <v>0</v>
      </c>
      <c r="AG52" s="1379"/>
      <c r="AH52" s="1379">
        <f t="shared" si="49"/>
        <v>0</v>
      </c>
      <c r="AI52" s="1509">
        <f t="shared" si="50"/>
        <v>0</v>
      </c>
      <c r="AJ52" s="1530">
        <f t="shared" si="51"/>
        <v>0</v>
      </c>
      <c r="AK52" s="1534">
        <f t="shared" si="52"/>
        <v>0</v>
      </c>
    </row>
    <row r="53" spans="1:37" ht="16.2" customHeight="1">
      <c r="A53" s="1176">
        <v>47</v>
      </c>
      <c r="B53" s="1177" t="s">
        <v>127</v>
      </c>
      <c r="C53" s="1178">
        <f>+'Table 8 Membership 2.1.14'!M49</f>
        <v>0</v>
      </c>
      <c r="D53" s="1179">
        <f>+'Table 5C1A-Madison Prep'!D53</f>
        <v>2524.1485257646736</v>
      </c>
      <c r="E53" s="1180">
        <f t="shared" si="30"/>
        <v>0</v>
      </c>
      <c r="F53" s="1180">
        <f>+'Table 5C1A-Madison Prep'!F53</f>
        <v>910.76</v>
      </c>
      <c r="G53" s="1180">
        <f t="shared" si="31"/>
        <v>0</v>
      </c>
      <c r="H53" s="1539">
        <f t="shared" si="32"/>
        <v>0</v>
      </c>
      <c r="I53" s="1181"/>
      <c r="J53" s="1181"/>
      <c r="K53" s="1182">
        <f t="shared" si="33"/>
        <v>0</v>
      </c>
      <c r="L53" s="1539">
        <f t="shared" si="34"/>
        <v>0</v>
      </c>
      <c r="M53" s="1388">
        <f t="shared" si="35"/>
        <v>0</v>
      </c>
      <c r="N53" s="1539">
        <f t="shared" si="36"/>
        <v>0</v>
      </c>
      <c r="O53" s="1179">
        <v>0</v>
      </c>
      <c r="P53" s="1545">
        <f t="shared" si="37"/>
        <v>0</v>
      </c>
      <c r="Q53" s="1181"/>
      <c r="R53" s="1181">
        <f t="shared" si="38"/>
        <v>0</v>
      </c>
      <c r="S53" s="1545">
        <f t="shared" si="39"/>
        <v>0</v>
      </c>
      <c r="T53" s="1545">
        <f t="shared" si="40"/>
        <v>0</v>
      </c>
      <c r="U53" s="1389">
        <f>'Table 5C1A-Madison Prep'!U53</f>
        <v>11701</v>
      </c>
      <c r="V53" s="1515">
        <f t="shared" si="41"/>
        <v>0</v>
      </c>
      <c r="W53" s="1391"/>
      <c r="X53" s="1392">
        <f t="shared" si="42"/>
        <v>0</v>
      </c>
      <c r="Y53" s="1391"/>
      <c r="Z53" s="1392">
        <f t="shared" si="43"/>
        <v>0</v>
      </c>
      <c r="AA53" s="1390">
        <f t="shared" si="44"/>
        <v>0</v>
      </c>
      <c r="AB53" s="1510">
        <f t="shared" si="45"/>
        <v>0</v>
      </c>
      <c r="AC53" s="1394">
        <f t="shared" si="46"/>
        <v>0</v>
      </c>
      <c r="AD53" s="1510">
        <f t="shared" si="47"/>
        <v>0</v>
      </c>
      <c r="AE53" s="1395">
        <v>0</v>
      </c>
      <c r="AF53" s="1510">
        <f t="shared" si="48"/>
        <v>0</v>
      </c>
      <c r="AG53" s="1395"/>
      <c r="AH53" s="1395">
        <f t="shared" si="49"/>
        <v>0</v>
      </c>
      <c r="AI53" s="1510">
        <f t="shared" si="50"/>
        <v>0</v>
      </c>
      <c r="AJ53" s="1505">
        <f t="shared" si="51"/>
        <v>0</v>
      </c>
      <c r="AK53" s="1535">
        <f t="shared" si="52"/>
        <v>0</v>
      </c>
    </row>
    <row r="54" spans="1:37" ht="16.2" customHeight="1">
      <c r="A54" s="1176">
        <v>48</v>
      </c>
      <c r="B54" s="1177" t="s">
        <v>178</v>
      </c>
      <c r="C54" s="1178">
        <f>+'Table 8 Membership 2.1.14'!M50</f>
        <v>0</v>
      </c>
      <c r="D54" s="1179">
        <f>+'Table 5C1A-Madison Prep'!D54</f>
        <v>3983.3582529800719</v>
      </c>
      <c r="E54" s="1180">
        <f t="shared" si="30"/>
        <v>0</v>
      </c>
      <c r="F54" s="1180">
        <f>+'Table 5C1A-Madison Prep'!F54</f>
        <v>871.07</v>
      </c>
      <c r="G54" s="1180">
        <f t="shared" si="31"/>
        <v>0</v>
      </c>
      <c r="H54" s="1539">
        <f t="shared" si="32"/>
        <v>0</v>
      </c>
      <c r="I54" s="1181"/>
      <c r="J54" s="1181"/>
      <c r="K54" s="1182">
        <f t="shared" si="33"/>
        <v>0</v>
      </c>
      <c r="L54" s="1539">
        <f t="shared" si="34"/>
        <v>0</v>
      </c>
      <c r="M54" s="1388">
        <f t="shared" si="35"/>
        <v>0</v>
      </c>
      <c r="N54" s="1539">
        <f t="shared" si="36"/>
        <v>0</v>
      </c>
      <c r="O54" s="1179">
        <v>0</v>
      </c>
      <c r="P54" s="1545">
        <f t="shared" si="37"/>
        <v>0</v>
      </c>
      <c r="Q54" s="1181"/>
      <c r="R54" s="1181">
        <f t="shared" si="38"/>
        <v>0</v>
      </c>
      <c r="S54" s="1545">
        <f t="shared" si="39"/>
        <v>0</v>
      </c>
      <c r="T54" s="1545">
        <f t="shared" si="40"/>
        <v>0</v>
      </c>
      <c r="U54" s="1389">
        <f>'Table 5C1A-Madison Prep'!U54</f>
        <v>7338</v>
      </c>
      <c r="V54" s="1515">
        <f t="shared" si="41"/>
        <v>0</v>
      </c>
      <c r="W54" s="1391"/>
      <c r="X54" s="1392">
        <f t="shared" si="42"/>
        <v>0</v>
      </c>
      <c r="Y54" s="1391"/>
      <c r="Z54" s="1392">
        <f t="shared" si="43"/>
        <v>0</v>
      </c>
      <c r="AA54" s="1390">
        <f t="shared" si="44"/>
        <v>0</v>
      </c>
      <c r="AB54" s="1510">
        <f t="shared" si="45"/>
        <v>0</v>
      </c>
      <c r="AC54" s="1394">
        <f t="shared" si="46"/>
        <v>0</v>
      </c>
      <c r="AD54" s="1510">
        <f t="shared" si="47"/>
        <v>0</v>
      </c>
      <c r="AE54" s="1395">
        <v>0</v>
      </c>
      <c r="AF54" s="1510">
        <f t="shared" si="48"/>
        <v>0</v>
      </c>
      <c r="AG54" s="1395"/>
      <c r="AH54" s="1395">
        <f t="shared" si="49"/>
        <v>0</v>
      </c>
      <c r="AI54" s="1510">
        <f t="shared" si="50"/>
        <v>0</v>
      </c>
      <c r="AJ54" s="1505">
        <f t="shared" si="51"/>
        <v>0</v>
      </c>
      <c r="AK54" s="1535">
        <f t="shared" si="52"/>
        <v>0</v>
      </c>
    </row>
    <row r="55" spans="1:37" ht="16.2" customHeight="1">
      <c r="A55" s="1176">
        <v>49</v>
      </c>
      <c r="B55" s="1177" t="s">
        <v>128</v>
      </c>
      <c r="C55" s="1178">
        <f>+'Table 8 Membership 2.1.14'!M51</f>
        <v>0</v>
      </c>
      <c r="D55" s="1179">
        <f>+'Table 5C1A-Madison Prep'!D55</f>
        <v>4995.8755315659191</v>
      </c>
      <c r="E55" s="1180">
        <f t="shared" si="30"/>
        <v>0</v>
      </c>
      <c r="F55" s="1180">
        <f>+'Table 5C1A-Madison Prep'!F55</f>
        <v>574.43999999999994</v>
      </c>
      <c r="G55" s="1180">
        <f t="shared" si="31"/>
        <v>0</v>
      </c>
      <c r="H55" s="1539">
        <f t="shared" si="32"/>
        <v>0</v>
      </c>
      <c r="I55" s="1181"/>
      <c r="J55" s="1181"/>
      <c r="K55" s="1182">
        <f t="shared" si="33"/>
        <v>0</v>
      </c>
      <c r="L55" s="1539">
        <f t="shared" si="34"/>
        <v>0</v>
      </c>
      <c r="M55" s="1388">
        <f t="shared" si="35"/>
        <v>0</v>
      </c>
      <c r="N55" s="1539">
        <f t="shared" si="36"/>
        <v>0</v>
      </c>
      <c r="O55" s="1179">
        <v>0</v>
      </c>
      <c r="P55" s="1545">
        <f t="shared" si="37"/>
        <v>0</v>
      </c>
      <c r="Q55" s="1181"/>
      <c r="R55" s="1181">
        <f t="shared" si="38"/>
        <v>0</v>
      </c>
      <c r="S55" s="1545">
        <f t="shared" si="39"/>
        <v>0</v>
      </c>
      <c r="T55" s="1545">
        <f t="shared" si="40"/>
        <v>0</v>
      </c>
      <c r="U55" s="1389">
        <f>'Table 5C1A-Madison Prep'!U55</f>
        <v>2353</v>
      </c>
      <c r="V55" s="1515">
        <f t="shared" si="41"/>
        <v>0</v>
      </c>
      <c r="W55" s="1391"/>
      <c r="X55" s="1392">
        <f t="shared" si="42"/>
        <v>0</v>
      </c>
      <c r="Y55" s="1391"/>
      <c r="Z55" s="1392">
        <f t="shared" si="43"/>
        <v>0</v>
      </c>
      <c r="AA55" s="1390">
        <f t="shared" si="44"/>
        <v>0</v>
      </c>
      <c r="AB55" s="1510">
        <f t="shared" si="45"/>
        <v>0</v>
      </c>
      <c r="AC55" s="1394">
        <f t="shared" si="46"/>
        <v>0</v>
      </c>
      <c r="AD55" s="1510">
        <f t="shared" si="47"/>
        <v>0</v>
      </c>
      <c r="AE55" s="1395">
        <v>0</v>
      </c>
      <c r="AF55" s="1510">
        <f t="shared" si="48"/>
        <v>0</v>
      </c>
      <c r="AG55" s="1395"/>
      <c r="AH55" s="1395">
        <f t="shared" si="49"/>
        <v>0</v>
      </c>
      <c r="AI55" s="1510">
        <f t="shared" si="50"/>
        <v>0</v>
      </c>
      <c r="AJ55" s="1505">
        <f t="shared" si="51"/>
        <v>0</v>
      </c>
      <c r="AK55" s="1535">
        <f t="shared" si="52"/>
        <v>0</v>
      </c>
    </row>
    <row r="56" spans="1:37" ht="16.2" customHeight="1">
      <c r="A56" s="1168">
        <v>50</v>
      </c>
      <c r="B56" s="1169" t="s">
        <v>129</v>
      </c>
      <c r="C56" s="1170">
        <f>+'Table 8 Membership 2.1.14'!M52</f>
        <v>0</v>
      </c>
      <c r="D56" s="1171">
        <f>+'Table 5C1A-Madison Prep'!D56</f>
        <v>5177.6892722701677</v>
      </c>
      <c r="E56" s="1172">
        <f t="shared" si="30"/>
        <v>0</v>
      </c>
      <c r="F56" s="1172">
        <f>+'Table 5C1A-Madison Prep'!F56</f>
        <v>634.46</v>
      </c>
      <c r="G56" s="1172">
        <f t="shared" si="31"/>
        <v>0</v>
      </c>
      <c r="H56" s="1540">
        <f t="shared" si="32"/>
        <v>0</v>
      </c>
      <c r="I56" s="1173"/>
      <c r="J56" s="1173"/>
      <c r="K56" s="1174">
        <f t="shared" si="33"/>
        <v>0</v>
      </c>
      <c r="L56" s="1540">
        <f t="shared" si="34"/>
        <v>0</v>
      </c>
      <c r="M56" s="1399">
        <f t="shared" si="35"/>
        <v>0</v>
      </c>
      <c r="N56" s="1540">
        <f t="shared" si="36"/>
        <v>0</v>
      </c>
      <c r="O56" s="1171">
        <v>0</v>
      </c>
      <c r="P56" s="1546">
        <f t="shared" si="37"/>
        <v>0</v>
      </c>
      <c r="Q56" s="1173"/>
      <c r="R56" s="1173">
        <f t="shared" si="38"/>
        <v>0</v>
      </c>
      <c r="S56" s="1546">
        <f t="shared" si="39"/>
        <v>0</v>
      </c>
      <c r="T56" s="1546">
        <f t="shared" si="40"/>
        <v>0</v>
      </c>
      <c r="U56" s="1382">
        <f>'Table 5C1A-Madison Prep'!U56</f>
        <v>3510</v>
      </c>
      <c r="V56" s="1516">
        <f t="shared" si="41"/>
        <v>0</v>
      </c>
      <c r="W56" s="1400"/>
      <c r="X56" s="1383">
        <f t="shared" si="42"/>
        <v>0</v>
      </c>
      <c r="Y56" s="1400"/>
      <c r="Z56" s="1383">
        <f t="shared" si="43"/>
        <v>0</v>
      </c>
      <c r="AA56" s="1384">
        <f t="shared" si="44"/>
        <v>0</v>
      </c>
      <c r="AB56" s="1511">
        <f t="shared" si="45"/>
        <v>0</v>
      </c>
      <c r="AC56" s="1402">
        <f t="shared" si="46"/>
        <v>0</v>
      </c>
      <c r="AD56" s="1511">
        <f t="shared" si="47"/>
        <v>0</v>
      </c>
      <c r="AE56" s="1385">
        <v>0</v>
      </c>
      <c r="AF56" s="1511">
        <f t="shared" si="48"/>
        <v>0</v>
      </c>
      <c r="AG56" s="1385"/>
      <c r="AH56" s="1385">
        <f t="shared" si="49"/>
        <v>0</v>
      </c>
      <c r="AI56" s="1511">
        <f t="shared" si="50"/>
        <v>0</v>
      </c>
      <c r="AJ56" s="1531">
        <f t="shared" si="51"/>
        <v>0</v>
      </c>
      <c r="AK56" s="1536">
        <f t="shared" si="52"/>
        <v>0</v>
      </c>
    </row>
    <row r="57" spans="1:37" ht="16.2" customHeight="1">
      <c r="A57" s="1183">
        <v>51</v>
      </c>
      <c r="B57" s="1184" t="s">
        <v>130</v>
      </c>
      <c r="C57" s="1185">
        <f>+'Table 8 Membership 2.1.14'!M53</f>
        <v>0</v>
      </c>
      <c r="D57" s="1186">
        <f>+'Table 5C1A-Madison Prep'!D57</f>
        <v>4154.1928602178996</v>
      </c>
      <c r="E57" s="1187">
        <f t="shared" si="30"/>
        <v>0</v>
      </c>
      <c r="F57" s="1187">
        <f>+'Table 5C1A-Madison Prep'!F57</f>
        <v>706.66</v>
      </c>
      <c r="G57" s="1187">
        <f t="shared" si="31"/>
        <v>0</v>
      </c>
      <c r="H57" s="1538">
        <f t="shared" si="32"/>
        <v>0</v>
      </c>
      <c r="I57" s="1188"/>
      <c r="J57" s="1188"/>
      <c r="K57" s="1189">
        <f t="shared" si="33"/>
        <v>0</v>
      </c>
      <c r="L57" s="1538">
        <f t="shared" si="34"/>
        <v>0</v>
      </c>
      <c r="M57" s="1372">
        <f t="shared" si="35"/>
        <v>0</v>
      </c>
      <c r="N57" s="1538">
        <f t="shared" si="36"/>
        <v>0</v>
      </c>
      <c r="O57" s="1186">
        <v>0</v>
      </c>
      <c r="P57" s="1544">
        <f t="shared" si="37"/>
        <v>0</v>
      </c>
      <c r="Q57" s="1188"/>
      <c r="R57" s="1188">
        <f t="shared" si="38"/>
        <v>0</v>
      </c>
      <c r="S57" s="1544">
        <f t="shared" si="39"/>
        <v>0</v>
      </c>
      <c r="T57" s="1544">
        <f t="shared" si="40"/>
        <v>0</v>
      </c>
      <c r="U57" s="1373">
        <f>'Table 5C1A-Madison Prep'!U57</f>
        <v>4597</v>
      </c>
      <c r="V57" s="1514">
        <f t="shared" si="41"/>
        <v>0</v>
      </c>
      <c r="W57" s="1375"/>
      <c r="X57" s="1376">
        <f t="shared" si="42"/>
        <v>0</v>
      </c>
      <c r="Y57" s="1375"/>
      <c r="Z57" s="1376">
        <f t="shared" si="43"/>
        <v>0</v>
      </c>
      <c r="AA57" s="1374">
        <f t="shared" si="44"/>
        <v>0</v>
      </c>
      <c r="AB57" s="1509">
        <f t="shared" si="45"/>
        <v>0</v>
      </c>
      <c r="AC57" s="1378">
        <f t="shared" si="46"/>
        <v>0</v>
      </c>
      <c r="AD57" s="1509">
        <f t="shared" si="47"/>
        <v>0</v>
      </c>
      <c r="AE57" s="1379">
        <v>0</v>
      </c>
      <c r="AF57" s="1509">
        <f t="shared" si="48"/>
        <v>0</v>
      </c>
      <c r="AG57" s="1379"/>
      <c r="AH57" s="1379">
        <f t="shared" si="49"/>
        <v>0</v>
      </c>
      <c r="AI57" s="1509">
        <f t="shared" si="50"/>
        <v>0</v>
      </c>
      <c r="AJ57" s="1530">
        <f t="shared" si="51"/>
        <v>0</v>
      </c>
      <c r="AK57" s="1534">
        <f t="shared" si="52"/>
        <v>0</v>
      </c>
    </row>
    <row r="58" spans="1:37" ht="16.2" customHeight="1">
      <c r="A58" s="1176">
        <v>52</v>
      </c>
      <c r="B58" s="1177" t="s">
        <v>131</v>
      </c>
      <c r="C58" s="1178">
        <f>+'Table 8 Membership 2.1.14'!M54</f>
        <v>0</v>
      </c>
      <c r="D58" s="1179">
        <f>+'Table 5C1A-Madison Prep'!D58</f>
        <v>5062.2745845228173</v>
      </c>
      <c r="E58" s="1180">
        <f t="shared" si="30"/>
        <v>0</v>
      </c>
      <c r="F58" s="1180">
        <f>+'Table 5C1A-Madison Prep'!F58</f>
        <v>658.37</v>
      </c>
      <c r="G58" s="1180">
        <f t="shared" si="31"/>
        <v>0</v>
      </c>
      <c r="H58" s="1539">
        <f t="shared" si="32"/>
        <v>0</v>
      </c>
      <c r="I58" s="1181"/>
      <c r="J58" s="1181"/>
      <c r="K58" s="1182">
        <f t="shared" si="33"/>
        <v>0</v>
      </c>
      <c r="L58" s="1539">
        <f t="shared" si="34"/>
        <v>0</v>
      </c>
      <c r="M58" s="1388">
        <f t="shared" si="35"/>
        <v>0</v>
      </c>
      <c r="N58" s="1539">
        <f t="shared" si="36"/>
        <v>0</v>
      </c>
      <c r="O58" s="1179">
        <v>0</v>
      </c>
      <c r="P58" s="1545">
        <f t="shared" si="37"/>
        <v>0</v>
      </c>
      <c r="Q58" s="1181"/>
      <c r="R58" s="1181">
        <f t="shared" si="38"/>
        <v>0</v>
      </c>
      <c r="S58" s="1545">
        <f t="shared" si="39"/>
        <v>0</v>
      </c>
      <c r="T58" s="1545">
        <f t="shared" si="40"/>
        <v>0</v>
      </c>
      <c r="U58" s="1389">
        <f>'Table 5C1A-Madison Prep'!U58</f>
        <v>5212</v>
      </c>
      <c r="V58" s="1515">
        <f t="shared" si="41"/>
        <v>0</v>
      </c>
      <c r="W58" s="1391"/>
      <c r="X58" s="1392">
        <f t="shared" si="42"/>
        <v>0</v>
      </c>
      <c r="Y58" s="1391"/>
      <c r="Z58" s="1392">
        <f t="shared" si="43"/>
        <v>0</v>
      </c>
      <c r="AA58" s="1390">
        <f t="shared" si="44"/>
        <v>0</v>
      </c>
      <c r="AB58" s="1510">
        <f t="shared" si="45"/>
        <v>0</v>
      </c>
      <c r="AC58" s="1394">
        <f t="shared" si="46"/>
        <v>0</v>
      </c>
      <c r="AD58" s="1510">
        <f t="shared" si="47"/>
        <v>0</v>
      </c>
      <c r="AE58" s="1395">
        <v>0</v>
      </c>
      <c r="AF58" s="1510">
        <f t="shared" si="48"/>
        <v>0</v>
      </c>
      <c r="AG58" s="1395"/>
      <c r="AH58" s="1395">
        <f t="shared" si="49"/>
        <v>0</v>
      </c>
      <c r="AI58" s="1510">
        <f t="shared" si="50"/>
        <v>0</v>
      </c>
      <c r="AJ58" s="1505">
        <f t="shared" si="51"/>
        <v>0</v>
      </c>
      <c r="AK58" s="1535">
        <f t="shared" si="52"/>
        <v>0</v>
      </c>
    </row>
    <row r="59" spans="1:37" ht="16.2" customHeight="1">
      <c r="A59" s="1176">
        <v>53</v>
      </c>
      <c r="B59" s="1177" t="s">
        <v>132</v>
      </c>
      <c r="C59" s="1178">
        <f>+'Table 8 Membership 2.1.14'!M55</f>
        <v>0</v>
      </c>
      <c r="D59" s="1179">
        <f>+'Table 5C1A-Madison Prep'!D59</f>
        <v>5060.1508194045482</v>
      </c>
      <c r="E59" s="1180">
        <f t="shared" si="30"/>
        <v>0</v>
      </c>
      <c r="F59" s="1180">
        <f>+'Table 5C1A-Madison Prep'!F59</f>
        <v>689.74</v>
      </c>
      <c r="G59" s="1180">
        <f t="shared" si="31"/>
        <v>0</v>
      </c>
      <c r="H59" s="1539">
        <f t="shared" si="32"/>
        <v>0</v>
      </c>
      <c r="I59" s="1181"/>
      <c r="J59" s="1181"/>
      <c r="K59" s="1182">
        <f t="shared" si="33"/>
        <v>0</v>
      </c>
      <c r="L59" s="1539">
        <f t="shared" si="34"/>
        <v>0</v>
      </c>
      <c r="M59" s="1388">
        <f t="shared" si="35"/>
        <v>0</v>
      </c>
      <c r="N59" s="1539">
        <f t="shared" si="36"/>
        <v>0</v>
      </c>
      <c r="O59" s="1179">
        <v>0</v>
      </c>
      <c r="P59" s="1545">
        <f t="shared" si="37"/>
        <v>0</v>
      </c>
      <c r="Q59" s="1181"/>
      <c r="R59" s="1181">
        <f t="shared" si="38"/>
        <v>0</v>
      </c>
      <c r="S59" s="1545">
        <f t="shared" si="39"/>
        <v>0</v>
      </c>
      <c r="T59" s="1545">
        <f t="shared" si="40"/>
        <v>0</v>
      </c>
      <c r="U59" s="1389">
        <f>'Table 5C1A-Madison Prep'!U59</f>
        <v>2054</v>
      </c>
      <c r="V59" s="1515">
        <f t="shared" si="41"/>
        <v>0</v>
      </c>
      <c r="W59" s="1391"/>
      <c r="X59" s="1392">
        <f t="shared" si="42"/>
        <v>0</v>
      </c>
      <c r="Y59" s="1391"/>
      <c r="Z59" s="1392">
        <f t="shared" si="43"/>
        <v>0</v>
      </c>
      <c r="AA59" s="1390">
        <f t="shared" si="44"/>
        <v>0</v>
      </c>
      <c r="AB59" s="1510">
        <f t="shared" si="45"/>
        <v>0</v>
      </c>
      <c r="AC59" s="1394">
        <f t="shared" si="46"/>
        <v>0</v>
      </c>
      <c r="AD59" s="1510">
        <f t="shared" si="47"/>
        <v>0</v>
      </c>
      <c r="AE59" s="1395">
        <v>0</v>
      </c>
      <c r="AF59" s="1510">
        <f t="shared" si="48"/>
        <v>0</v>
      </c>
      <c r="AG59" s="1395"/>
      <c r="AH59" s="1395">
        <f t="shared" si="49"/>
        <v>0</v>
      </c>
      <c r="AI59" s="1510">
        <f t="shared" si="50"/>
        <v>0</v>
      </c>
      <c r="AJ59" s="1505">
        <f t="shared" si="51"/>
        <v>0</v>
      </c>
      <c r="AK59" s="1535">
        <f t="shared" si="52"/>
        <v>0</v>
      </c>
    </row>
    <row r="60" spans="1:37" ht="16.2" customHeight="1">
      <c r="A60" s="1176">
        <v>54</v>
      </c>
      <c r="B60" s="1177" t="s">
        <v>133</v>
      </c>
      <c r="C60" s="1178">
        <f>+'Table 8 Membership 2.1.14'!M56</f>
        <v>0</v>
      </c>
      <c r="D60" s="1179">
        <f>+'Table 5C1A-Madison Prep'!D60</f>
        <v>5867.0798370516713</v>
      </c>
      <c r="E60" s="1180">
        <f t="shared" si="30"/>
        <v>0</v>
      </c>
      <c r="F60" s="1180">
        <f>+'Table 5C1A-Madison Prep'!F60</f>
        <v>951.45</v>
      </c>
      <c r="G60" s="1180">
        <f t="shared" si="31"/>
        <v>0</v>
      </c>
      <c r="H60" s="1539">
        <f t="shared" si="32"/>
        <v>0</v>
      </c>
      <c r="I60" s="1181"/>
      <c r="J60" s="1181"/>
      <c r="K60" s="1182">
        <f t="shared" si="33"/>
        <v>0</v>
      </c>
      <c r="L60" s="1539">
        <f t="shared" si="34"/>
        <v>0</v>
      </c>
      <c r="M60" s="1388">
        <f t="shared" si="35"/>
        <v>0</v>
      </c>
      <c r="N60" s="1539">
        <f t="shared" si="36"/>
        <v>0</v>
      </c>
      <c r="O60" s="1179">
        <v>0</v>
      </c>
      <c r="P60" s="1545">
        <f t="shared" si="37"/>
        <v>0</v>
      </c>
      <c r="Q60" s="1181"/>
      <c r="R60" s="1181">
        <f t="shared" si="38"/>
        <v>0</v>
      </c>
      <c r="S60" s="1545">
        <f t="shared" si="39"/>
        <v>0</v>
      </c>
      <c r="T60" s="1545">
        <f t="shared" si="40"/>
        <v>0</v>
      </c>
      <c r="U60" s="1389">
        <f>'Table 5C1A-Madison Prep'!U60</f>
        <v>4116</v>
      </c>
      <c r="V60" s="1515">
        <f t="shared" si="41"/>
        <v>0</v>
      </c>
      <c r="W60" s="1391"/>
      <c r="X60" s="1392">
        <f t="shared" si="42"/>
        <v>0</v>
      </c>
      <c r="Y60" s="1391"/>
      <c r="Z60" s="1392">
        <f t="shared" si="43"/>
        <v>0</v>
      </c>
      <c r="AA60" s="1390">
        <f t="shared" si="44"/>
        <v>0</v>
      </c>
      <c r="AB60" s="1510">
        <f t="shared" si="45"/>
        <v>0</v>
      </c>
      <c r="AC60" s="1394">
        <f t="shared" si="46"/>
        <v>0</v>
      </c>
      <c r="AD60" s="1510">
        <f t="shared" si="47"/>
        <v>0</v>
      </c>
      <c r="AE60" s="1395">
        <v>0</v>
      </c>
      <c r="AF60" s="1510">
        <f t="shared" si="48"/>
        <v>0</v>
      </c>
      <c r="AG60" s="1395"/>
      <c r="AH60" s="1395">
        <f t="shared" si="49"/>
        <v>0</v>
      </c>
      <c r="AI60" s="1510">
        <f t="shared" si="50"/>
        <v>0</v>
      </c>
      <c r="AJ60" s="1505">
        <f t="shared" si="51"/>
        <v>0</v>
      </c>
      <c r="AK60" s="1535">
        <f t="shared" si="52"/>
        <v>0</v>
      </c>
    </row>
    <row r="61" spans="1:37" ht="16.2" customHeight="1">
      <c r="A61" s="1168">
        <v>55</v>
      </c>
      <c r="B61" s="1169" t="s">
        <v>134</v>
      </c>
      <c r="C61" s="1170">
        <f>+'Table 8 Membership 2.1.14'!M57</f>
        <v>0</v>
      </c>
      <c r="D61" s="1171">
        <f>+'Table 5C1A-Madison Prep'!D61</f>
        <v>4266.8225491298481</v>
      </c>
      <c r="E61" s="1172">
        <f t="shared" si="30"/>
        <v>0</v>
      </c>
      <c r="F61" s="1172">
        <f>+'Table 5C1A-Madison Prep'!F61</f>
        <v>795.14</v>
      </c>
      <c r="G61" s="1172">
        <f t="shared" si="31"/>
        <v>0</v>
      </c>
      <c r="H61" s="1540">
        <f t="shared" si="32"/>
        <v>0</v>
      </c>
      <c r="I61" s="1173"/>
      <c r="J61" s="1173"/>
      <c r="K61" s="1174">
        <f t="shared" si="33"/>
        <v>0</v>
      </c>
      <c r="L61" s="1540">
        <f t="shared" si="34"/>
        <v>0</v>
      </c>
      <c r="M61" s="1399">
        <f t="shared" si="35"/>
        <v>0</v>
      </c>
      <c r="N61" s="1540">
        <f t="shared" si="36"/>
        <v>0</v>
      </c>
      <c r="O61" s="1171">
        <v>0</v>
      </c>
      <c r="P61" s="1546">
        <f t="shared" si="37"/>
        <v>0</v>
      </c>
      <c r="Q61" s="1173"/>
      <c r="R61" s="1173">
        <f t="shared" si="38"/>
        <v>0</v>
      </c>
      <c r="S61" s="1546">
        <f t="shared" si="39"/>
        <v>0</v>
      </c>
      <c r="T61" s="1546">
        <f t="shared" si="40"/>
        <v>0</v>
      </c>
      <c r="U61" s="1382">
        <f>'Table 5C1A-Madison Prep'!U61</f>
        <v>3532</v>
      </c>
      <c r="V61" s="1516">
        <f t="shared" si="41"/>
        <v>0</v>
      </c>
      <c r="W61" s="1400"/>
      <c r="X61" s="1383">
        <f t="shared" si="42"/>
        <v>0</v>
      </c>
      <c r="Y61" s="1400"/>
      <c r="Z61" s="1383">
        <f t="shared" si="43"/>
        <v>0</v>
      </c>
      <c r="AA61" s="1384">
        <f t="shared" si="44"/>
        <v>0</v>
      </c>
      <c r="AB61" s="1511">
        <f t="shared" si="45"/>
        <v>0</v>
      </c>
      <c r="AC61" s="1402">
        <f t="shared" si="46"/>
        <v>0</v>
      </c>
      <c r="AD61" s="1511">
        <f t="shared" si="47"/>
        <v>0</v>
      </c>
      <c r="AE61" s="1385">
        <v>0</v>
      </c>
      <c r="AF61" s="1511">
        <f t="shared" si="48"/>
        <v>0</v>
      </c>
      <c r="AG61" s="1385"/>
      <c r="AH61" s="1385">
        <f t="shared" si="49"/>
        <v>0</v>
      </c>
      <c r="AI61" s="1511">
        <f t="shared" si="50"/>
        <v>0</v>
      </c>
      <c r="AJ61" s="1531">
        <f t="shared" si="51"/>
        <v>0</v>
      </c>
      <c r="AK61" s="1536">
        <f t="shared" si="52"/>
        <v>0</v>
      </c>
    </row>
    <row r="62" spans="1:37" ht="16.2" customHeight="1">
      <c r="A62" s="1183">
        <v>56</v>
      </c>
      <c r="B62" s="1184" t="s">
        <v>135</v>
      </c>
      <c r="C62" s="1185">
        <f>+'Table 8 Membership 2.1.14'!M58</f>
        <v>0</v>
      </c>
      <c r="D62" s="1186">
        <f>+'Table 5C1A-Madison Prep'!D62</f>
        <v>5028.4909408288286</v>
      </c>
      <c r="E62" s="1187">
        <f t="shared" si="30"/>
        <v>0</v>
      </c>
      <c r="F62" s="1187">
        <f>+'Table 5C1A-Madison Prep'!F62</f>
        <v>614.66000000000008</v>
      </c>
      <c r="G62" s="1187">
        <f t="shared" si="31"/>
        <v>0</v>
      </c>
      <c r="H62" s="1538">
        <f t="shared" si="32"/>
        <v>0</v>
      </c>
      <c r="I62" s="1188"/>
      <c r="J62" s="1188"/>
      <c r="K62" s="1189">
        <f t="shared" si="33"/>
        <v>0</v>
      </c>
      <c r="L62" s="1538">
        <f t="shared" si="34"/>
        <v>0</v>
      </c>
      <c r="M62" s="1372">
        <f t="shared" si="35"/>
        <v>0</v>
      </c>
      <c r="N62" s="1538">
        <f t="shared" si="36"/>
        <v>0</v>
      </c>
      <c r="O62" s="1186">
        <v>0</v>
      </c>
      <c r="P62" s="1544">
        <f t="shared" si="37"/>
        <v>0</v>
      </c>
      <c r="Q62" s="1188"/>
      <c r="R62" s="1188">
        <f t="shared" si="38"/>
        <v>0</v>
      </c>
      <c r="S62" s="1544">
        <f t="shared" si="39"/>
        <v>0</v>
      </c>
      <c r="T62" s="1544">
        <f t="shared" si="40"/>
        <v>0</v>
      </c>
      <c r="U62" s="1373">
        <f>'Table 5C1A-Madison Prep'!U62</f>
        <v>2865</v>
      </c>
      <c r="V62" s="1514">
        <f t="shared" si="41"/>
        <v>0</v>
      </c>
      <c r="W62" s="1375"/>
      <c r="X62" s="1376">
        <f t="shared" si="42"/>
        <v>0</v>
      </c>
      <c r="Y62" s="1375"/>
      <c r="Z62" s="1376">
        <f t="shared" si="43"/>
        <v>0</v>
      </c>
      <c r="AA62" s="1374">
        <f t="shared" si="44"/>
        <v>0</v>
      </c>
      <c r="AB62" s="1509">
        <f t="shared" si="45"/>
        <v>0</v>
      </c>
      <c r="AC62" s="1378">
        <f t="shared" si="46"/>
        <v>0</v>
      </c>
      <c r="AD62" s="1509">
        <f t="shared" si="47"/>
        <v>0</v>
      </c>
      <c r="AE62" s="1379">
        <v>0</v>
      </c>
      <c r="AF62" s="1509">
        <f t="shared" si="48"/>
        <v>0</v>
      </c>
      <c r="AG62" s="1379"/>
      <c r="AH62" s="1379">
        <f t="shared" si="49"/>
        <v>0</v>
      </c>
      <c r="AI62" s="1509">
        <f t="shared" si="50"/>
        <v>0</v>
      </c>
      <c r="AJ62" s="1530">
        <f t="shared" si="51"/>
        <v>0</v>
      </c>
      <c r="AK62" s="1534">
        <f t="shared" si="52"/>
        <v>0</v>
      </c>
    </row>
    <row r="63" spans="1:37" ht="16.2" customHeight="1">
      <c r="A63" s="1176">
        <v>57</v>
      </c>
      <c r="B63" s="1177" t="s">
        <v>136</v>
      </c>
      <c r="C63" s="1178">
        <f>+'Table 8 Membership 2.1.14'!M59</f>
        <v>0</v>
      </c>
      <c r="D63" s="1179">
        <f>+'Table 5C1A-Madison Prep'!D63</f>
        <v>4625.9922979230687</v>
      </c>
      <c r="E63" s="1180">
        <f t="shared" si="30"/>
        <v>0</v>
      </c>
      <c r="F63" s="1180">
        <f>+'Table 5C1A-Madison Prep'!F63</f>
        <v>764.51</v>
      </c>
      <c r="G63" s="1180">
        <f t="shared" si="31"/>
        <v>0</v>
      </c>
      <c r="H63" s="1539">
        <f t="shared" si="32"/>
        <v>0</v>
      </c>
      <c r="I63" s="1181"/>
      <c r="J63" s="1181"/>
      <c r="K63" s="1182">
        <f t="shared" si="33"/>
        <v>0</v>
      </c>
      <c r="L63" s="1539">
        <f t="shared" si="34"/>
        <v>0</v>
      </c>
      <c r="M63" s="1388">
        <f t="shared" si="35"/>
        <v>0</v>
      </c>
      <c r="N63" s="1539">
        <f t="shared" si="36"/>
        <v>0</v>
      </c>
      <c r="O63" s="1179">
        <v>0</v>
      </c>
      <c r="P63" s="1545">
        <f t="shared" si="37"/>
        <v>0</v>
      </c>
      <c r="Q63" s="1181"/>
      <c r="R63" s="1181">
        <f t="shared" si="38"/>
        <v>0</v>
      </c>
      <c r="S63" s="1545">
        <f t="shared" si="39"/>
        <v>0</v>
      </c>
      <c r="T63" s="1545">
        <f t="shared" si="40"/>
        <v>0</v>
      </c>
      <c r="U63" s="1389">
        <f>'Table 5C1A-Madison Prep'!U63</f>
        <v>3395</v>
      </c>
      <c r="V63" s="1515">
        <f t="shared" si="41"/>
        <v>0</v>
      </c>
      <c r="W63" s="1391"/>
      <c r="X63" s="1392">
        <f t="shared" si="42"/>
        <v>0</v>
      </c>
      <c r="Y63" s="1391"/>
      <c r="Z63" s="1392">
        <f t="shared" si="43"/>
        <v>0</v>
      </c>
      <c r="AA63" s="1390">
        <f t="shared" si="44"/>
        <v>0</v>
      </c>
      <c r="AB63" s="1510">
        <f t="shared" si="45"/>
        <v>0</v>
      </c>
      <c r="AC63" s="1394">
        <f t="shared" si="46"/>
        <v>0</v>
      </c>
      <c r="AD63" s="1510">
        <f t="shared" si="47"/>
        <v>0</v>
      </c>
      <c r="AE63" s="1395">
        <v>0</v>
      </c>
      <c r="AF63" s="1510">
        <f t="shared" si="48"/>
        <v>0</v>
      </c>
      <c r="AG63" s="1395"/>
      <c r="AH63" s="1395">
        <f t="shared" si="49"/>
        <v>0</v>
      </c>
      <c r="AI63" s="1510">
        <f t="shared" si="50"/>
        <v>0</v>
      </c>
      <c r="AJ63" s="1505">
        <f t="shared" si="51"/>
        <v>0</v>
      </c>
      <c r="AK63" s="1535">
        <f t="shared" si="52"/>
        <v>0</v>
      </c>
    </row>
    <row r="64" spans="1:37" ht="16.2" customHeight="1">
      <c r="A64" s="1176">
        <v>58</v>
      </c>
      <c r="B64" s="1177" t="s">
        <v>137</v>
      </c>
      <c r="C64" s="1178">
        <f>+'Table 8 Membership 2.1.14'!M60</f>
        <v>0</v>
      </c>
      <c r="D64" s="1179">
        <f>+'Table 5C1A-Madison Prep'!D64</f>
        <v>5673.1129637882123</v>
      </c>
      <c r="E64" s="1180">
        <f t="shared" si="30"/>
        <v>0</v>
      </c>
      <c r="F64" s="1180">
        <f>+'Table 5C1A-Madison Prep'!F64</f>
        <v>697.04</v>
      </c>
      <c r="G64" s="1180">
        <f t="shared" si="31"/>
        <v>0</v>
      </c>
      <c r="H64" s="1539">
        <f t="shared" si="32"/>
        <v>0</v>
      </c>
      <c r="I64" s="1181"/>
      <c r="J64" s="1181"/>
      <c r="K64" s="1182">
        <f t="shared" si="33"/>
        <v>0</v>
      </c>
      <c r="L64" s="1539">
        <f t="shared" si="34"/>
        <v>0</v>
      </c>
      <c r="M64" s="1388">
        <f t="shared" si="35"/>
        <v>0</v>
      </c>
      <c r="N64" s="1539">
        <f t="shared" si="36"/>
        <v>0</v>
      </c>
      <c r="O64" s="1179">
        <v>0</v>
      </c>
      <c r="P64" s="1545">
        <f t="shared" si="37"/>
        <v>0</v>
      </c>
      <c r="Q64" s="1181"/>
      <c r="R64" s="1181">
        <f t="shared" si="38"/>
        <v>0</v>
      </c>
      <c r="S64" s="1545">
        <f t="shared" si="39"/>
        <v>0</v>
      </c>
      <c r="T64" s="1545">
        <f t="shared" si="40"/>
        <v>0</v>
      </c>
      <c r="U64" s="1389">
        <f>'Table 5C1A-Madison Prep'!U64</f>
        <v>2084</v>
      </c>
      <c r="V64" s="1515">
        <f t="shared" si="41"/>
        <v>0</v>
      </c>
      <c r="W64" s="1391"/>
      <c r="X64" s="1392">
        <f t="shared" si="42"/>
        <v>0</v>
      </c>
      <c r="Y64" s="1391"/>
      <c r="Z64" s="1392">
        <f t="shared" si="43"/>
        <v>0</v>
      </c>
      <c r="AA64" s="1390">
        <f t="shared" si="44"/>
        <v>0</v>
      </c>
      <c r="AB64" s="1510">
        <f t="shared" si="45"/>
        <v>0</v>
      </c>
      <c r="AC64" s="1394">
        <f t="shared" si="46"/>
        <v>0</v>
      </c>
      <c r="AD64" s="1510">
        <f t="shared" si="47"/>
        <v>0</v>
      </c>
      <c r="AE64" s="1395">
        <v>0</v>
      </c>
      <c r="AF64" s="1510">
        <f t="shared" si="48"/>
        <v>0</v>
      </c>
      <c r="AG64" s="1395"/>
      <c r="AH64" s="1395">
        <f t="shared" si="49"/>
        <v>0</v>
      </c>
      <c r="AI64" s="1510">
        <f t="shared" si="50"/>
        <v>0</v>
      </c>
      <c r="AJ64" s="1505">
        <f t="shared" si="51"/>
        <v>0</v>
      </c>
      <c r="AK64" s="1535">
        <f t="shared" si="52"/>
        <v>0</v>
      </c>
    </row>
    <row r="65" spans="1:37" ht="16.2" customHeight="1">
      <c r="A65" s="1176">
        <v>59</v>
      </c>
      <c r="B65" s="1177" t="s">
        <v>138</v>
      </c>
      <c r="C65" s="1178">
        <f>+'Table 8 Membership 2.1.14'!M61</f>
        <v>0</v>
      </c>
      <c r="D65" s="1179">
        <f>+'Table 5C1A-Madison Prep'!D65</f>
        <v>6621.946293521848</v>
      </c>
      <c r="E65" s="1180">
        <f t="shared" si="30"/>
        <v>0</v>
      </c>
      <c r="F65" s="1180">
        <f>+'Table 5C1A-Madison Prep'!F65</f>
        <v>689.52</v>
      </c>
      <c r="G65" s="1180">
        <f t="shared" si="31"/>
        <v>0</v>
      </c>
      <c r="H65" s="1539">
        <f t="shared" si="32"/>
        <v>0</v>
      </c>
      <c r="I65" s="1181"/>
      <c r="J65" s="1181"/>
      <c r="K65" s="1182">
        <f t="shared" si="33"/>
        <v>0</v>
      </c>
      <c r="L65" s="1539">
        <f t="shared" si="34"/>
        <v>0</v>
      </c>
      <c r="M65" s="1388">
        <f t="shared" si="35"/>
        <v>0</v>
      </c>
      <c r="N65" s="1539">
        <f t="shared" si="36"/>
        <v>0</v>
      </c>
      <c r="O65" s="1179">
        <v>0</v>
      </c>
      <c r="P65" s="1545">
        <f t="shared" si="37"/>
        <v>0</v>
      </c>
      <c r="Q65" s="1181"/>
      <c r="R65" s="1181">
        <f t="shared" si="38"/>
        <v>0</v>
      </c>
      <c r="S65" s="1545">
        <f t="shared" si="39"/>
        <v>0</v>
      </c>
      <c r="T65" s="1545">
        <f t="shared" si="40"/>
        <v>0</v>
      </c>
      <c r="U65" s="1389">
        <f>'Table 5C1A-Madison Prep'!U65</f>
        <v>1577</v>
      </c>
      <c r="V65" s="1515">
        <f t="shared" si="41"/>
        <v>0</v>
      </c>
      <c r="W65" s="1391"/>
      <c r="X65" s="1392">
        <f t="shared" si="42"/>
        <v>0</v>
      </c>
      <c r="Y65" s="1391"/>
      <c r="Z65" s="1392">
        <f t="shared" si="43"/>
        <v>0</v>
      </c>
      <c r="AA65" s="1390">
        <f t="shared" si="44"/>
        <v>0</v>
      </c>
      <c r="AB65" s="1510">
        <f t="shared" si="45"/>
        <v>0</v>
      </c>
      <c r="AC65" s="1394">
        <f t="shared" si="46"/>
        <v>0</v>
      </c>
      <c r="AD65" s="1510">
        <f t="shared" si="47"/>
        <v>0</v>
      </c>
      <c r="AE65" s="1395">
        <v>0</v>
      </c>
      <c r="AF65" s="1510">
        <f t="shared" si="48"/>
        <v>0</v>
      </c>
      <c r="AG65" s="1395"/>
      <c r="AH65" s="1395">
        <f t="shared" si="49"/>
        <v>0</v>
      </c>
      <c r="AI65" s="1510">
        <f t="shared" si="50"/>
        <v>0</v>
      </c>
      <c r="AJ65" s="1505">
        <f t="shared" si="51"/>
        <v>0</v>
      </c>
      <c r="AK65" s="1535">
        <f t="shared" si="52"/>
        <v>0</v>
      </c>
    </row>
    <row r="66" spans="1:37" ht="16.2" customHeight="1">
      <c r="A66" s="1168">
        <v>60</v>
      </c>
      <c r="B66" s="1169" t="s">
        <v>139</v>
      </c>
      <c r="C66" s="1170">
        <f>+'Table 8 Membership 2.1.14'!M62</f>
        <v>0</v>
      </c>
      <c r="D66" s="1171">
        <f>+'Table 5C1A-Madison Prep'!D66</f>
        <v>5301.224090063828</v>
      </c>
      <c r="E66" s="1172">
        <f t="shared" si="30"/>
        <v>0</v>
      </c>
      <c r="F66" s="1172">
        <f>+'Table 5C1A-Madison Prep'!F66</f>
        <v>594.04</v>
      </c>
      <c r="G66" s="1172">
        <f t="shared" si="31"/>
        <v>0</v>
      </c>
      <c r="H66" s="1540">
        <f t="shared" si="32"/>
        <v>0</v>
      </c>
      <c r="I66" s="1173"/>
      <c r="J66" s="1173"/>
      <c r="K66" s="1174">
        <f t="shared" si="33"/>
        <v>0</v>
      </c>
      <c r="L66" s="1540">
        <f t="shared" si="34"/>
        <v>0</v>
      </c>
      <c r="M66" s="1399">
        <f t="shared" si="35"/>
        <v>0</v>
      </c>
      <c r="N66" s="1540">
        <f t="shared" si="36"/>
        <v>0</v>
      </c>
      <c r="O66" s="1171">
        <v>0</v>
      </c>
      <c r="P66" s="1546">
        <f t="shared" si="37"/>
        <v>0</v>
      </c>
      <c r="Q66" s="1173"/>
      <c r="R66" s="1173">
        <f t="shared" si="38"/>
        <v>0</v>
      </c>
      <c r="S66" s="1546">
        <f t="shared" si="39"/>
        <v>0</v>
      </c>
      <c r="T66" s="1546">
        <f t="shared" si="40"/>
        <v>0</v>
      </c>
      <c r="U66" s="1382">
        <f>'Table 5C1A-Madison Prep'!U66</f>
        <v>3922</v>
      </c>
      <c r="V66" s="1516">
        <f t="shared" si="41"/>
        <v>0</v>
      </c>
      <c r="W66" s="1400"/>
      <c r="X66" s="1383">
        <f t="shared" si="42"/>
        <v>0</v>
      </c>
      <c r="Y66" s="1400"/>
      <c r="Z66" s="1383">
        <f t="shared" si="43"/>
        <v>0</v>
      </c>
      <c r="AA66" s="1384">
        <f t="shared" si="44"/>
        <v>0</v>
      </c>
      <c r="AB66" s="1511">
        <f t="shared" si="45"/>
        <v>0</v>
      </c>
      <c r="AC66" s="1402">
        <f t="shared" si="46"/>
        <v>0</v>
      </c>
      <c r="AD66" s="1511">
        <f t="shared" si="47"/>
        <v>0</v>
      </c>
      <c r="AE66" s="1385">
        <v>0</v>
      </c>
      <c r="AF66" s="1511">
        <f t="shared" si="48"/>
        <v>0</v>
      </c>
      <c r="AG66" s="1385"/>
      <c r="AH66" s="1385">
        <f t="shared" si="49"/>
        <v>0</v>
      </c>
      <c r="AI66" s="1511">
        <f t="shared" si="50"/>
        <v>0</v>
      </c>
      <c r="AJ66" s="1531">
        <f t="shared" si="51"/>
        <v>0</v>
      </c>
      <c r="AK66" s="1536">
        <f t="shared" si="52"/>
        <v>0</v>
      </c>
    </row>
    <row r="67" spans="1:37" ht="16.2" customHeight="1">
      <c r="A67" s="1183">
        <v>61</v>
      </c>
      <c r="B67" s="1184" t="s">
        <v>140</v>
      </c>
      <c r="C67" s="1185">
        <f>+'Table 8 Membership 2.1.14'!M63</f>
        <v>0</v>
      </c>
      <c r="D67" s="1186">
        <f>+'Table 5C1A-Madison Prep'!D67</f>
        <v>2854.1575356369185</v>
      </c>
      <c r="E67" s="1187">
        <f t="shared" si="30"/>
        <v>0</v>
      </c>
      <c r="F67" s="1187">
        <f>+'Table 5C1A-Madison Prep'!F67</f>
        <v>833.70999999999992</v>
      </c>
      <c r="G67" s="1187">
        <f t="shared" si="31"/>
        <v>0</v>
      </c>
      <c r="H67" s="1538">
        <f t="shared" si="32"/>
        <v>0</v>
      </c>
      <c r="I67" s="1188"/>
      <c r="J67" s="1188"/>
      <c r="K67" s="1189">
        <f t="shared" si="33"/>
        <v>0</v>
      </c>
      <c r="L67" s="1538">
        <f t="shared" si="34"/>
        <v>0</v>
      </c>
      <c r="M67" s="1372">
        <f t="shared" si="35"/>
        <v>0</v>
      </c>
      <c r="N67" s="1538">
        <f t="shared" si="36"/>
        <v>0</v>
      </c>
      <c r="O67" s="1186">
        <v>0</v>
      </c>
      <c r="P67" s="1544">
        <f t="shared" si="37"/>
        <v>0</v>
      </c>
      <c r="Q67" s="1188"/>
      <c r="R67" s="1188">
        <f t="shared" si="38"/>
        <v>0</v>
      </c>
      <c r="S67" s="1544">
        <f t="shared" si="39"/>
        <v>0</v>
      </c>
      <c r="T67" s="1544">
        <f t="shared" si="40"/>
        <v>0</v>
      </c>
      <c r="U67" s="1373">
        <f>'Table 5C1A-Madison Prep'!U67</f>
        <v>6745</v>
      </c>
      <c r="V67" s="1514">
        <f t="shared" si="41"/>
        <v>0</v>
      </c>
      <c r="W67" s="1375"/>
      <c r="X67" s="1376">
        <f t="shared" si="42"/>
        <v>0</v>
      </c>
      <c r="Y67" s="1375"/>
      <c r="Z67" s="1376">
        <f t="shared" si="43"/>
        <v>0</v>
      </c>
      <c r="AA67" s="1374">
        <f t="shared" si="44"/>
        <v>0</v>
      </c>
      <c r="AB67" s="1509">
        <f t="shared" si="45"/>
        <v>0</v>
      </c>
      <c r="AC67" s="1378">
        <f t="shared" si="46"/>
        <v>0</v>
      </c>
      <c r="AD67" s="1509">
        <f t="shared" si="47"/>
        <v>0</v>
      </c>
      <c r="AE67" s="1379">
        <v>0</v>
      </c>
      <c r="AF67" s="1509">
        <f t="shared" si="48"/>
        <v>0</v>
      </c>
      <c r="AG67" s="1379"/>
      <c r="AH67" s="1379">
        <f t="shared" si="49"/>
        <v>0</v>
      </c>
      <c r="AI67" s="1509">
        <f t="shared" si="50"/>
        <v>0</v>
      </c>
      <c r="AJ67" s="1530">
        <f t="shared" si="51"/>
        <v>0</v>
      </c>
      <c r="AK67" s="1534">
        <f t="shared" si="52"/>
        <v>0</v>
      </c>
    </row>
    <row r="68" spans="1:37" ht="16.2" customHeight="1">
      <c r="A68" s="1176">
        <v>62</v>
      </c>
      <c r="B68" s="1177" t="s">
        <v>141</v>
      </c>
      <c r="C68" s="1178">
        <f>+'Table 8 Membership 2.1.14'!M64</f>
        <v>0</v>
      </c>
      <c r="D68" s="1179">
        <f>+'Table 5C1A-Madison Prep'!D68</f>
        <v>5901.074538516008</v>
      </c>
      <c r="E68" s="1180">
        <f t="shared" si="30"/>
        <v>0</v>
      </c>
      <c r="F68" s="1180">
        <f>+'Table 5C1A-Madison Prep'!F68</f>
        <v>516.08000000000004</v>
      </c>
      <c r="G68" s="1180">
        <f t="shared" si="31"/>
        <v>0</v>
      </c>
      <c r="H68" s="1539">
        <f t="shared" si="32"/>
        <v>0</v>
      </c>
      <c r="I68" s="1181"/>
      <c r="J68" s="1181"/>
      <c r="K68" s="1182">
        <f t="shared" si="33"/>
        <v>0</v>
      </c>
      <c r="L68" s="1539">
        <f t="shared" si="34"/>
        <v>0</v>
      </c>
      <c r="M68" s="1388">
        <f t="shared" si="35"/>
        <v>0</v>
      </c>
      <c r="N68" s="1539">
        <f t="shared" si="36"/>
        <v>0</v>
      </c>
      <c r="O68" s="1179">
        <v>0</v>
      </c>
      <c r="P68" s="1545">
        <f t="shared" si="37"/>
        <v>0</v>
      </c>
      <c r="Q68" s="1181"/>
      <c r="R68" s="1181">
        <f t="shared" si="38"/>
        <v>0</v>
      </c>
      <c r="S68" s="1545">
        <f t="shared" si="39"/>
        <v>0</v>
      </c>
      <c r="T68" s="1545">
        <f t="shared" si="40"/>
        <v>0</v>
      </c>
      <c r="U68" s="1389">
        <f>'Table 5C1A-Madison Prep'!U68</f>
        <v>1908</v>
      </c>
      <c r="V68" s="1515">
        <f t="shared" si="41"/>
        <v>0</v>
      </c>
      <c r="W68" s="1391"/>
      <c r="X68" s="1392">
        <f t="shared" si="42"/>
        <v>0</v>
      </c>
      <c r="Y68" s="1391"/>
      <c r="Z68" s="1392">
        <f t="shared" si="43"/>
        <v>0</v>
      </c>
      <c r="AA68" s="1390">
        <f t="shared" si="44"/>
        <v>0</v>
      </c>
      <c r="AB68" s="1510">
        <f t="shared" si="45"/>
        <v>0</v>
      </c>
      <c r="AC68" s="1394">
        <f t="shared" si="46"/>
        <v>0</v>
      </c>
      <c r="AD68" s="1510">
        <f t="shared" si="47"/>
        <v>0</v>
      </c>
      <c r="AE68" s="1395">
        <v>0</v>
      </c>
      <c r="AF68" s="1510">
        <f t="shared" si="48"/>
        <v>0</v>
      </c>
      <c r="AG68" s="1395"/>
      <c r="AH68" s="1395">
        <f t="shared" si="49"/>
        <v>0</v>
      </c>
      <c r="AI68" s="1510">
        <f t="shared" si="50"/>
        <v>0</v>
      </c>
      <c r="AJ68" s="1505">
        <f t="shared" si="51"/>
        <v>0</v>
      </c>
      <c r="AK68" s="1535">
        <f t="shared" si="52"/>
        <v>0</v>
      </c>
    </row>
    <row r="69" spans="1:37" ht="16.2" customHeight="1">
      <c r="A69" s="1176">
        <v>63</v>
      </c>
      <c r="B69" s="1177" t="s">
        <v>142</v>
      </c>
      <c r="C69" s="1178">
        <f>+'Table 8 Membership 2.1.14'!M65</f>
        <v>0</v>
      </c>
      <c r="D69" s="1179">
        <f>+'Table 5C1A-Madison Prep'!D69</f>
        <v>4124.3813481848092</v>
      </c>
      <c r="E69" s="1180">
        <f t="shared" si="30"/>
        <v>0</v>
      </c>
      <c r="F69" s="1180">
        <f>+'Table 5C1A-Madison Prep'!F69</f>
        <v>756.79</v>
      </c>
      <c r="G69" s="1180">
        <f t="shared" si="31"/>
        <v>0</v>
      </c>
      <c r="H69" s="1539">
        <f t="shared" si="32"/>
        <v>0</v>
      </c>
      <c r="I69" s="1181"/>
      <c r="J69" s="1181"/>
      <c r="K69" s="1182">
        <f t="shared" si="33"/>
        <v>0</v>
      </c>
      <c r="L69" s="1539">
        <f t="shared" si="34"/>
        <v>0</v>
      </c>
      <c r="M69" s="1388">
        <f t="shared" si="35"/>
        <v>0</v>
      </c>
      <c r="N69" s="1539">
        <f t="shared" si="36"/>
        <v>0</v>
      </c>
      <c r="O69" s="1179">
        <v>0</v>
      </c>
      <c r="P69" s="1545">
        <f t="shared" si="37"/>
        <v>0</v>
      </c>
      <c r="Q69" s="1181"/>
      <c r="R69" s="1181">
        <f t="shared" si="38"/>
        <v>0</v>
      </c>
      <c r="S69" s="1545">
        <f t="shared" si="39"/>
        <v>0</v>
      </c>
      <c r="T69" s="1545">
        <f t="shared" si="40"/>
        <v>0</v>
      </c>
      <c r="U69" s="1389">
        <f>'Table 5C1A-Madison Prep'!U69</f>
        <v>7290</v>
      </c>
      <c r="V69" s="1515">
        <f t="shared" si="41"/>
        <v>0</v>
      </c>
      <c r="W69" s="1391"/>
      <c r="X69" s="1392">
        <f t="shared" si="42"/>
        <v>0</v>
      </c>
      <c r="Y69" s="1391"/>
      <c r="Z69" s="1392">
        <f t="shared" si="43"/>
        <v>0</v>
      </c>
      <c r="AA69" s="1390">
        <f t="shared" si="44"/>
        <v>0</v>
      </c>
      <c r="AB69" s="1510">
        <f t="shared" si="45"/>
        <v>0</v>
      </c>
      <c r="AC69" s="1394">
        <f t="shared" si="46"/>
        <v>0</v>
      </c>
      <c r="AD69" s="1510">
        <f t="shared" si="47"/>
        <v>0</v>
      </c>
      <c r="AE69" s="1395">
        <v>0</v>
      </c>
      <c r="AF69" s="1510">
        <f t="shared" si="48"/>
        <v>0</v>
      </c>
      <c r="AG69" s="1395"/>
      <c r="AH69" s="1395">
        <f t="shared" si="49"/>
        <v>0</v>
      </c>
      <c r="AI69" s="1510">
        <f t="shared" si="50"/>
        <v>0</v>
      </c>
      <c r="AJ69" s="1505">
        <f t="shared" si="51"/>
        <v>0</v>
      </c>
      <c r="AK69" s="1535">
        <f t="shared" si="52"/>
        <v>0</v>
      </c>
    </row>
    <row r="70" spans="1:37" ht="16.2" customHeight="1">
      <c r="A70" s="1176">
        <v>64</v>
      </c>
      <c r="B70" s="1177" t="s">
        <v>143</v>
      </c>
      <c r="C70" s="1178">
        <f>+'Table 8 Membership 2.1.14'!M66</f>
        <v>0</v>
      </c>
      <c r="D70" s="1179">
        <f>+'Table 5C1A-Madison Prep'!D70</f>
        <v>6277.8307532778254</v>
      </c>
      <c r="E70" s="1180">
        <f t="shared" si="30"/>
        <v>0</v>
      </c>
      <c r="F70" s="1180">
        <f>+'Table 5C1A-Madison Prep'!F70</f>
        <v>592.66</v>
      </c>
      <c r="G70" s="1180">
        <f t="shared" si="31"/>
        <v>0</v>
      </c>
      <c r="H70" s="1539">
        <f t="shared" si="32"/>
        <v>0</v>
      </c>
      <c r="I70" s="1181"/>
      <c r="J70" s="1181"/>
      <c r="K70" s="1182">
        <f t="shared" si="33"/>
        <v>0</v>
      </c>
      <c r="L70" s="1539">
        <f t="shared" si="34"/>
        <v>0</v>
      </c>
      <c r="M70" s="1388">
        <f t="shared" si="35"/>
        <v>0</v>
      </c>
      <c r="N70" s="1539">
        <f t="shared" si="36"/>
        <v>0</v>
      </c>
      <c r="O70" s="1179">
        <v>0</v>
      </c>
      <c r="P70" s="1545">
        <f t="shared" si="37"/>
        <v>0</v>
      </c>
      <c r="Q70" s="1181"/>
      <c r="R70" s="1181">
        <f t="shared" si="38"/>
        <v>0</v>
      </c>
      <c r="S70" s="1545">
        <f t="shared" si="39"/>
        <v>0</v>
      </c>
      <c r="T70" s="1545">
        <f t="shared" si="40"/>
        <v>0</v>
      </c>
      <c r="U70" s="1389">
        <f>'Table 5C1A-Madison Prep'!U70</f>
        <v>2721</v>
      </c>
      <c r="V70" s="1515">
        <f t="shared" si="41"/>
        <v>0</v>
      </c>
      <c r="W70" s="1391"/>
      <c r="X70" s="1392">
        <f t="shared" si="42"/>
        <v>0</v>
      </c>
      <c r="Y70" s="1391"/>
      <c r="Z70" s="1392">
        <f t="shared" si="43"/>
        <v>0</v>
      </c>
      <c r="AA70" s="1390">
        <f t="shared" si="44"/>
        <v>0</v>
      </c>
      <c r="AB70" s="1510">
        <f t="shared" si="45"/>
        <v>0</v>
      </c>
      <c r="AC70" s="1394">
        <f t="shared" si="46"/>
        <v>0</v>
      </c>
      <c r="AD70" s="1510">
        <f t="shared" si="47"/>
        <v>0</v>
      </c>
      <c r="AE70" s="1395">
        <v>0</v>
      </c>
      <c r="AF70" s="1510">
        <f t="shared" si="48"/>
        <v>0</v>
      </c>
      <c r="AG70" s="1395"/>
      <c r="AH70" s="1395">
        <f t="shared" si="49"/>
        <v>0</v>
      </c>
      <c r="AI70" s="1510">
        <f t="shared" si="50"/>
        <v>0</v>
      </c>
      <c r="AJ70" s="1505">
        <f t="shared" si="51"/>
        <v>0</v>
      </c>
      <c r="AK70" s="1535">
        <f t="shared" si="52"/>
        <v>0</v>
      </c>
    </row>
    <row r="71" spans="1:37" ht="16.2" customHeight="1">
      <c r="A71" s="1168">
        <v>65</v>
      </c>
      <c r="B71" s="1169" t="s">
        <v>144</v>
      </c>
      <c r="C71" s="1170">
        <f>+'Table 8 Membership 2.1.14'!M67</f>
        <v>0</v>
      </c>
      <c r="D71" s="1171">
        <f>+'Table 5C1A-Madison Prep'!D71</f>
        <v>4775.1605543943642</v>
      </c>
      <c r="E71" s="1172">
        <f t="shared" si="30"/>
        <v>0</v>
      </c>
      <c r="F71" s="1172">
        <f>+'Table 5C1A-Madison Prep'!F71</f>
        <v>829.12</v>
      </c>
      <c r="G71" s="1172">
        <f t="shared" si="31"/>
        <v>0</v>
      </c>
      <c r="H71" s="1540">
        <f t="shared" si="32"/>
        <v>0</v>
      </c>
      <c r="I71" s="1173"/>
      <c r="J71" s="1173"/>
      <c r="K71" s="1174">
        <f t="shared" si="33"/>
        <v>0</v>
      </c>
      <c r="L71" s="1540">
        <f t="shared" si="34"/>
        <v>0</v>
      </c>
      <c r="M71" s="1399">
        <f t="shared" si="35"/>
        <v>0</v>
      </c>
      <c r="N71" s="1540">
        <f t="shared" si="36"/>
        <v>0</v>
      </c>
      <c r="O71" s="1171">
        <v>0</v>
      </c>
      <c r="P71" s="1546">
        <f t="shared" si="37"/>
        <v>0</v>
      </c>
      <c r="Q71" s="1173"/>
      <c r="R71" s="1173">
        <f t="shared" si="38"/>
        <v>0</v>
      </c>
      <c r="S71" s="1546">
        <f t="shared" si="39"/>
        <v>0</v>
      </c>
      <c r="T71" s="1546">
        <f t="shared" si="40"/>
        <v>0</v>
      </c>
      <c r="U71" s="1382">
        <f>'Table 5C1A-Madison Prep'!U71</f>
        <v>5110</v>
      </c>
      <c r="V71" s="1516">
        <f t="shared" si="41"/>
        <v>0</v>
      </c>
      <c r="W71" s="1400"/>
      <c r="X71" s="1383">
        <f t="shared" si="42"/>
        <v>0</v>
      </c>
      <c r="Y71" s="1400"/>
      <c r="Z71" s="1383">
        <f t="shared" si="43"/>
        <v>0</v>
      </c>
      <c r="AA71" s="1384">
        <f t="shared" si="44"/>
        <v>0</v>
      </c>
      <c r="AB71" s="1511">
        <f t="shared" si="45"/>
        <v>0</v>
      </c>
      <c r="AC71" s="1402">
        <f t="shared" si="46"/>
        <v>0</v>
      </c>
      <c r="AD71" s="1511">
        <f t="shared" si="47"/>
        <v>0</v>
      </c>
      <c r="AE71" s="1385">
        <v>0</v>
      </c>
      <c r="AF71" s="1511">
        <f t="shared" si="48"/>
        <v>0</v>
      </c>
      <c r="AG71" s="1385"/>
      <c r="AH71" s="1385">
        <f t="shared" si="49"/>
        <v>0</v>
      </c>
      <c r="AI71" s="1511">
        <f t="shared" si="50"/>
        <v>0</v>
      </c>
      <c r="AJ71" s="1531">
        <f t="shared" si="51"/>
        <v>0</v>
      </c>
      <c r="AK71" s="1536">
        <f t="shared" si="52"/>
        <v>0</v>
      </c>
    </row>
    <row r="72" spans="1:37" ht="16.2" customHeight="1">
      <c r="A72" s="1176">
        <v>66</v>
      </c>
      <c r="B72" s="1177" t="s">
        <v>145</v>
      </c>
      <c r="C72" s="1197">
        <f>+'Table 8 Membership 2.1.14'!M68</f>
        <v>0</v>
      </c>
      <c r="D72" s="1198">
        <f>+'Table 5C1A-Madison Prep'!D72</f>
        <v>6564.0085433910035</v>
      </c>
      <c r="E72" s="1199">
        <f t="shared" ref="E72:E75" si="53">C72*D72</f>
        <v>0</v>
      </c>
      <c r="F72" s="1199">
        <f>+'Table 5C1A-Madison Prep'!F72</f>
        <v>730.06</v>
      </c>
      <c r="G72" s="1199">
        <f t="shared" ref="G72:G75" si="54">C72*F72</f>
        <v>0</v>
      </c>
      <c r="H72" s="1403">
        <f t="shared" ref="H72:H75" si="55">E72+G72</f>
        <v>0</v>
      </c>
      <c r="I72" s="1200"/>
      <c r="J72" s="1200"/>
      <c r="K72" s="1201">
        <f t="shared" ref="K72:K75" si="56">+I72+J72</f>
        <v>0</v>
      </c>
      <c r="L72" s="1403">
        <f t="shared" ref="L72:L75" si="57">+H72+K72</f>
        <v>0</v>
      </c>
      <c r="M72" s="1423">
        <f t="shared" ref="M72:M75" si="58">-(0.25%*L72)</f>
        <v>0</v>
      </c>
      <c r="N72" s="1403">
        <f t="shared" ref="N72:N75" si="59">SUM(L72:M72)</f>
        <v>0</v>
      </c>
      <c r="O72" s="1198">
        <v>0</v>
      </c>
      <c r="P72" s="1398">
        <f t="shared" ref="P72:P75" si="60">SUM(N72:O72)</f>
        <v>0</v>
      </c>
      <c r="Q72" s="1200"/>
      <c r="R72" s="1200">
        <f t="shared" ref="R72:R75" si="61">+P72-Q72</f>
        <v>0</v>
      </c>
      <c r="S72" s="1398">
        <f t="shared" ref="S72:S75" si="62">ROUND(R72/12,0)</f>
        <v>0</v>
      </c>
      <c r="T72" s="1398">
        <f t="shared" ref="T72:T75" si="63">+P72</f>
        <v>0</v>
      </c>
      <c r="U72" s="1389">
        <f>'Table 5C1A-Madison Prep'!U72</f>
        <v>3369</v>
      </c>
      <c r="V72" s="1515">
        <f t="shared" ref="V72:V75" si="64">C72*U72</f>
        <v>0</v>
      </c>
      <c r="W72" s="1391"/>
      <c r="X72" s="1392">
        <f t="shared" ref="X72:X75" si="65">+U72*W72</f>
        <v>0</v>
      </c>
      <c r="Y72" s="1391"/>
      <c r="Z72" s="1392">
        <f t="shared" ref="Z72:Z75" si="66">+U72*Y72*0.5</f>
        <v>0</v>
      </c>
      <c r="AA72" s="1390">
        <f t="shared" ref="AA72:AA75" si="67">+X72+Z72</f>
        <v>0</v>
      </c>
      <c r="AB72" s="1510">
        <f t="shared" ref="AB72:AB75" si="68">+V72+AA72</f>
        <v>0</v>
      </c>
      <c r="AC72" s="1394">
        <f t="shared" ref="AC72:AC75" si="69">-(0.25%*AB72)</f>
        <v>0</v>
      </c>
      <c r="AD72" s="1510">
        <f t="shared" ref="AD72:AD75" si="70">SUM(AB72:AC72)</f>
        <v>0</v>
      </c>
      <c r="AE72" s="1395">
        <v>0</v>
      </c>
      <c r="AF72" s="1510">
        <f t="shared" ref="AF72:AF75" si="71">SUM(AD72:AE72)</f>
        <v>0</v>
      </c>
      <c r="AG72" s="1395"/>
      <c r="AH72" s="1395">
        <f t="shared" ref="AH72:AH75" si="72">+AF72-AG72</f>
        <v>0</v>
      </c>
      <c r="AI72" s="1510">
        <f t="shared" ref="AI72:AI75" si="73">ROUND(AH72/12,0)</f>
        <v>0</v>
      </c>
      <c r="AJ72" s="1505">
        <f t="shared" ref="AJ72:AJ75" si="74">T72+AF72</f>
        <v>0</v>
      </c>
      <c r="AK72" s="1505">
        <f t="shared" ref="AK72:AK75" si="75">S72+AI72</f>
        <v>0</v>
      </c>
    </row>
    <row r="73" spans="1:37" ht="16.2" customHeight="1">
      <c r="A73" s="1176">
        <v>67</v>
      </c>
      <c r="B73" s="1177" t="s">
        <v>30</v>
      </c>
      <c r="C73" s="1197">
        <f>+'Table 8 Membership 2.1.14'!M69</f>
        <v>0</v>
      </c>
      <c r="D73" s="1198">
        <f>+'Table 5C1A-Madison Prep'!D73</f>
        <v>5029.1467736134118</v>
      </c>
      <c r="E73" s="1199">
        <f t="shared" si="53"/>
        <v>0</v>
      </c>
      <c r="F73" s="1199">
        <f>+'Table 5C1A-Madison Prep'!F73</f>
        <v>715.61</v>
      </c>
      <c r="G73" s="1199">
        <f t="shared" si="54"/>
        <v>0</v>
      </c>
      <c r="H73" s="1403">
        <f t="shared" si="55"/>
        <v>0</v>
      </c>
      <c r="I73" s="1200"/>
      <c r="J73" s="1200"/>
      <c r="K73" s="1201">
        <f t="shared" si="56"/>
        <v>0</v>
      </c>
      <c r="L73" s="1403">
        <f t="shared" si="57"/>
        <v>0</v>
      </c>
      <c r="M73" s="1423">
        <f t="shared" si="58"/>
        <v>0</v>
      </c>
      <c r="N73" s="1403">
        <f t="shared" si="59"/>
        <v>0</v>
      </c>
      <c r="O73" s="1198">
        <v>0</v>
      </c>
      <c r="P73" s="1398">
        <f t="shared" si="60"/>
        <v>0</v>
      </c>
      <c r="Q73" s="1200"/>
      <c r="R73" s="1200">
        <f t="shared" si="61"/>
        <v>0</v>
      </c>
      <c r="S73" s="1398">
        <f t="shared" si="62"/>
        <v>0</v>
      </c>
      <c r="T73" s="1398">
        <f t="shared" si="63"/>
        <v>0</v>
      </c>
      <c r="U73" s="1389">
        <f>'Table 5C1A-Madison Prep'!U73</f>
        <v>5015</v>
      </c>
      <c r="V73" s="1515">
        <f t="shared" si="64"/>
        <v>0</v>
      </c>
      <c r="W73" s="1391"/>
      <c r="X73" s="1392">
        <f t="shared" si="65"/>
        <v>0</v>
      </c>
      <c r="Y73" s="1391"/>
      <c r="Z73" s="1392">
        <f t="shared" si="66"/>
        <v>0</v>
      </c>
      <c r="AA73" s="1390">
        <f t="shared" si="67"/>
        <v>0</v>
      </c>
      <c r="AB73" s="1510">
        <f t="shared" si="68"/>
        <v>0</v>
      </c>
      <c r="AC73" s="1394">
        <f t="shared" si="69"/>
        <v>0</v>
      </c>
      <c r="AD73" s="1510">
        <f t="shared" si="70"/>
        <v>0</v>
      </c>
      <c r="AE73" s="1395">
        <v>0</v>
      </c>
      <c r="AF73" s="1510">
        <f t="shared" si="71"/>
        <v>0</v>
      </c>
      <c r="AG73" s="1395"/>
      <c r="AH73" s="1395">
        <f t="shared" si="72"/>
        <v>0</v>
      </c>
      <c r="AI73" s="1510">
        <f t="shared" si="73"/>
        <v>0</v>
      </c>
      <c r="AJ73" s="1505">
        <f t="shared" si="74"/>
        <v>0</v>
      </c>
      <c r="AK73" s="1505">
        <f t="shared" si="75"/>
        <v>0</v>
      </c>
    </row>
    <row r="74" spans="1:37" ht="16.2" customHeight="1">
      <c r="A74" s="1176">
        <v>68</v>
      </c>
      <c r="B74" s="1177" t="s">
        <v>28</v>
      </c>
      <c r="C74" s="1197">
        <f>+'Table 8 Membership 2.1.14'!M70</f>
        <v>0</v>
      </c>
      <c r="D74" s="1198">
        <f>+'Table 5C1A-Madison Prep'!D74</f>
        <v>6390.1644202560601</v>
      </c>
      <c r="E74" s="1199">
        <f t="shared" si="53"/>
        <v>0</v>
      </c>
      <c r="F74" s="1199">
        <f>+'Table 5C1A-Madison Prep'!F74</f>
        <v>798.7</v>
      </c>
      <c r="G74" s="1199">
        <f t="shared" si="54"/>
        <v>0</v>
      </c>
      <c r="H74" s="1403">
        <f t="shared" si="55"/>
        <v>0</v>
      </c>
      <c r="I74" s="1200"/>
      <c r="J74" s="1200"/>
      <c r="K74" s="1201">
        <f t="shared" si="56"/>
        <v>0</v>
      </c>
      <c r="L74" s="1403">
        <f t="shared" si="57"/>
        <v>0</v>
      </c>
      <c r="M74" s="1423">
        <f t="shared" si="58"/>
        <v>0</v>
      </c>
      <c r="N74" s="1403">
        <f t="shared" si="59"/>
        <v>0</v>
      </c>
      <c r="O74" s="1198">
        <v>0</v>
      </c>
      <c r="P74" s="1398">
        <f t="shared" si="60"/>
        <v>0</v>
      </c>
      <c r="Q74" s="1200"/>
      <c r="R74" s="1200">
        <f t="shared" si="61"/>
        <v>0</v>
      </c>
      <c r="S74" s="1398">
        <f t="shared" si="62"/>
        <v>0</v>
      </c>
      <c r="T74" s="1398">
        <f t="shared" si="63"/>
        <v>0</v>
      </c>
      <c r="U74" s="1389">
        <f>'Table 5C1A-Madison Prep'!U74</f>
        <v>2669</v>
      </c>
      <c r="V74" s="1515">
        <f t="shared" si="64"/>
        <v>0</v>
      </c>
      <c r="W74" s="1391"/>
      <c r="X74" s="1392">
        <f t="shared" si="65"/>
        <v>0</v>
      </c>
      <c r="Y74" s="1391"/>
      <c r="Z74" s="1392">
        <f t="shared" si="66"/>
        <v>0</v>
      </c>
      <c r="AA74" s="1390">
        <f t="shared" si="67"/>
        <v>0</v>
      </c>
      <c r="AB74" s="1510">
        <f t="shared" si="68"/>
        <v>0</v>
      </c>
      <c r="AC74" s="1394">
        <f t="shared" si="69"/>
        <v>0</v>
      </c>
      <c r="AD74" s="1510">
        <f t="shared" si="70"/>
        <v>0</v>
      </c>
      <c r="AE74" s="1395">
        <v>0</v>
      </c>
      <c r="AF74" s="1510">
        <f t="shared" si="71"/>
        <v>0</v>
      </c>
      <c r="AG74" s="1395"/>
      <c r="AH74" s="1395">
        <f t="shared" si="72"/>
        <v>0</v>
      </c>
      <c r="AI74" s="1510">
        <f t="shared" si="73"/>
        <v>0</v>
      </c>
      <c r="AJ74" s="1505">
        <f t="shared" si="74"/>
        <v>0</v>
      </c>
      <c r="AK74" s="1505">
        <f t="shared" si="75"/>
        <v>0</v>
      </c>
    </row>
    <row r="75" spans="1:37" ht="16.2" customHeight="1">
      <c r="A75" s="1190">
        <v>69</v>
      </c>
      <c r="B75" s="1191" t="s">
        <v>183</v>
      </c>
      <c r="C75" s="1192">
        <f>+'Table 8 Membership 2.1.14'!M71</f>
        <v>0</v>
      </c>
      <c r="D75" s="1193">
        <f>+'Table 5C1A-Madison Prep'!D75</f>
        <v>5722.4947921281337</v>
      </c>
      <c r="E75" s="1194">
        <f t="shared" si="53"/>
        <v>0</v>
      </c>
      <c r="F75" s="1194">
        <f>+'Table 5C1A-Madison Prep'!F75</f>
        <v>705.67</v>
      </c>
      <c r="G75" s="1194">
        <f t="shared" si="54"/>
        <v>0</v>
      </c>
      <c r="H75" s="1541">
        <f t="shared" si="55"/>
        <v>0</v>
      </c>
      <c r="I75" s="1195"/>
      <c r="J75" s="1195"/>
      <c r="K75" s="1196">
        <f t="shared" si="56"/>
        <v>0</v>
      </c>
      <c r="L75" s="1541">
        <f t="shared" si="57"/>
        <v>0</v>
      </c>
      <c r="M75" s="1405">
        <f t="shared" si="58"/>
        <v>0</v>
      </c>
      <c r="N75" s="1541">
        <f t="shared" si="59"/>
        <v>0</v>
      </c>
      <c r="O75" s="1193">
        <v>0</v>
      </c>
      <c r="P75" s="1547">
        <f t="shared" si="60"/>
        <v>0</v>
      </c>
      <c r="Q75" s="1195"/>
      <c r="R75" s="1195">
        <f t="shared" si="61"/>
        <v>0</v>
      </c>
      <c r="S75" s="1547">
        <f t="shared" si="62"/>
        <v>0</v>
      </c>
      <c r="T75" s="1547">
        <f t="shared" si="63"/>
        <v>0</v>
      </c>
      <c r="U75" s="653">
        <f>'Table 5C1A-Madison Prep'!U75</f>
        <v>3394</v>
      </c>
      <c r="V75" s="1517">
        <f t="shared" si="64"/>
        <v>0</v>
      </c>
      <c r="W75" s="1407"/>
      <c r="X75" s="1408">
        <f t="shared" si="65"/>
        <v>0</v>
      </c>
      <c r="Y75" s="1407"/>
      <c r="Z75" s="1408">
        <f t="shared" si="66"/>
        <v>0</v>
      </c>
      <c r="AA75" s="1406">
        <f t="shared" si="67"/>
        <v>0</v>
      </c>
      <c r="AB75" s="1512">
        <f t="shared" si="68"/>
        <v>0</v>
      </c>
      <c r="AC75" s="1410">
        <f t="shared" si="69"/>
        <v>0</v>
      </c>
      <c r="AD75" s="1512">
        <f t="shared" si="70"/>
        <v>0</v>
      </c>
      <c r="AE75" s="1416">
        <v>0</v>
      </c>
      <c r="AF75" s="1512">
        <f t="shared" si="71"/>
        <v>0</v>
      </c>
      <c r="AG75" s="1416"/>
      <c r="AH75" s="1416">
        <f t="shared" si="72"/>
        <v>0</v>
      </c>
      <c r="AI75" s="1512">
        <f t="shared" si="73"/>
        <v>0</v>
      </c>
      <c r="AJ75" s="1506">
        <f t="shared" si="74"/>
        <v>0</v>
      </c>
      <c r="AK75" s="1506">
        <f t="shared" si="75"/>
        <v>0</v>
      </c>
    </row>
    <row r="76" spans="1:37" ht="16.2" customHeight="1" thickBot="1">
      <c r="A76" s="2221" t="s">
        <v>1045</v>
      </c>
      <c r="B76" s="2194"/>
      <c r="C76" s="470">
        <f>SUM(C7:C75)</f>
        <v>865</v>
      </c>
      <c r="D76" s="471">
        <f>+'Table 5C1A-Madison Prep'!D76</f>
        <v>4479.9292126977662</v>
      </c>
      <c r="E76" s="480">
        <f>SUM(E7:E75)</f>
        <v>3792484.1448394782</v>
      </c>
      <c r="F76" s="480">
        <f>+'Table 5C1A-Madison Prep'!F76</f>
        <v>704.64781030742063</v>
      </c>
      <c r="G76" s="480">
        <f t="shared" ref="G76:R76" si="76">SUM(G7:G75)</f>
        <v>525954.60000000009</v>
      </c>
      <c r="H76" s="1542">
        <f t="shared" si="76"/>
        <v>4318438.7448394783</v>
      </c>
      <c r="I76" s="640">
        <f t="shared" si="76"/>
        <v>0</v>
      </c>
      <c r="J76" s="640">
        <f t="shared" si="76"/>
        <v>0</v>
      </c>
      <c r="K76" s="616">
        <f t="shared" si="76"/>
        <v>0</v>
      </c>
      <c r="L76" s="1560">
        <f t="shared" si="76"/>
        <v>4318438.7448394783</v>
      </c>
      <c r="M76" s="481">
        <f t="shared" si="76"/>
        <v>-10796.096862098695</v>
      </c>
      <c r="N76" s="1542">
        <f t="shared" si="76"/>
        <v>4307642.6479773792</v>
      </c>
      <c r="O76" s="471">
        <f t="shared" si="76"/>
        <v>0</v>
      </c>
      <c r="P76" s="1548">
        <f t="shared" si="76"/>
        <v>4307642.6479773792</v>
      </c>
      <c r="Q76" s="640"/>
      <c r="R76" s="640">
        <f t="shared" si="76"/>
        <v>4307642.6479773792</v>
      </c>
      <c r="S76" s="1548">
        <f>SUM(S7:S75)</f>
        <v>358970</v>
      </c>
      <c r="T76" s="1548">
        <f>SUM(T7:T75)</f>
        <v>4307642.6479773792</v>
      </c>
      <c r="U76" s="658">
        <f>'Table 5C1A-Madison Prep'!U76</f>
        <v>4663</v>
      </c>
      <c r="V76" s="1518">
        <f t="shared" ref="V76:AK76" si="77">SUM(V7:V75)</f>
        <v>3948725</v>
      </c>
      <c r="W76" s="646">
        <f t="shared" si="77"/>
        <v>0</v>
      </c>
      <c r="X76" s="647">
        <f t="shared" si="77"/>
        <v>0</v>
      </c>
      <c r="Y76" s="646">
        <f t="shared" si="77"/>
        <v>0</v>
      </c>
      <c r="Z76" s="647">
        <f t="shared" si="77"/>
        <v>0</v>
      </c>
      <c r="AA76" s="633">
        <f t="shared" si="77"/>
        <v>0</v>
      </c>
      <c r="AB76" s="1520">
        <f t="shared" si="77"/>
        <v>3948725</v>
      </c>
      <c r="AC76" s="482">
        <f t="shared" si="77"/>
        <v>-9871.8125</v>
      </c>
      <c r="AD76" s="1518">
        <f t="shared" si="77"/>
        <v>3938853.1875</v>
      </c>
      <c r="AE76" s="660">
        <f t="shared" si="77"/>
        <v>0</v>
      </c>
      <c r="AF76" s="1518">
        <f t="shared" si="77"/>
        <v>3938853.1875</v>
      </c>
      <c r="AG76" s="647">
        <f t="shared" si="77"/>
        <v>0</v>
      </c>
      <c r="AH76" s="647">
        <f t="shared" si="77"/>
        <v>3938853.1875</v>
      </c>
      <c r="AI76" s="1518">
        <f t="shared" si="77"/>
        <v>328238</v>
      </c>
      <c r="AJ76" s="1532">
        <f t="shared" si="77"/>
        <v>8246495.8354773792</v>
      </c>
      <c r="AK76" s="1532">
        <f t="shared" si="77"/>
        <v>687208</v>
      </c>
    </row>
    <row r="77" spans="1:37" s="594" customFormat="1" ht="16.2" customHeight="1" thickTop="1">
      <c r="A77" s="2330" t="s">
        <v>1039</v>
      </c>
      <c r="B77" s="2338"/>
      <c r="C77" s="1425"/>
      <c r="D77" s="1198"/>
      <c r="E77" s="1198"/>
      <c r="F77" s="1198"/>
      <c r="G77" s="1198"/>
      <c r="H77" s="1198"/>
      <c r="I77" s="1200"/>
      <c r="J77" s="1200"/>
      <c r="K77" s="1200"/>
      <c r="L77" s="1198"/>
      <c r="M77" s="1200"/>
      <c r="N77" s="1198"/>
      <c r="O77" s="1198"/>
      <c r="P77" s="1398">
        <f>'Table 4 Level 4'!$E101</f>
        <v>0</v>
      </c>
      <c r="Q77" s="1200"/>
      <c r="R77" s="1200">
        <f t="shared" ref="R77" si="78">+P77-Q77</f>
        <v>0</v>
      </c>
      <c r="S77" s="1398">
        <f t="shared" ref="S77" si="79">ROUND(R77/12,0)</f>
        <v>0</v>
      </c>
      <c r="T77" s="1398">
        <f>'Table 4 Level 4'!$E101</f>
        <v>0</v>
      </c>
      <c r="U77" s="1389"/>
      <c r="V77" s="1392"/>
      <c r="W77" s="1391"/>
      <c r="X77" s="1392"/>
      <c r="Y77" s="1391"/>
      <c r="Z77" s="1392"/>
      <c r="AA77" s="1392"/>
      <c r="AB77" s="1395"/>
      <c r="AC77" s="1392"/>
      <c r="AD77" s="1395"/>
      <c r="AE77" s="1395"/>
      <c r="AF77" s="1395"/>
      <c r="AG77" s="1395"/>
      <c r="AH77" s="1395"/>
      <c r="AI77" s="1395"/>
      <c r="AJ77" s="1505">
        <f t="shared" ref="AJ77:AJ81" si="80">T77+AF77</f>
        <v>0</v>
      </c>
      <c r="AK77" s="1505">
        <f t="shared" ref="AK77:AK81" si="81">S77+AI77</f>
        <v>0</v>
      </c>
    </row>
    <row r="78" spans="1:37" s="594" customFormat="1" ht="16.2" customHeight="1">
      <c r="A78" s="2332" t="s">
        <v>1040</v>
      </c>
      <c r="B78" s="2339"/>
      <c r="C78" s="1425"/>
      <c r="D78" s="1198"/>
      <c r="E78" s="1198"/>
      <c r="F78" s="1198"/>
      <c r="G78" s="1198"/>
      <c r="H78" s="1198"/>
      <c r="I78" s="1200"/>
      <c r="J78" s="1200"/>
      <c r="K78" s="1200"/>
      <c r="L78" s="1198"/>
      <c r="M78" s="1200"/>
      <c r="N78" s="1198"/>
      <c r="O78" s="1198"/>
      <c r="P78" s="1200">
        <v>0</v>
      </c>
      <c r="Q78" s="1200"/>
      <c r="R78" s="1200"/>
      <c r="S78" s="1200">
        <v>0</v>
      </c>
      <c r="T78" s="1398">
        <f>'Table 4 Level 4'!$J101</f>
        <v>0</v>
      </c>
      <c r="U78" s="1389"/>
      <c r="V78" s="1392"/>
      <c r="W78" s="1391"/>
      <c r="X78" s="1392"/>
      <c r="Y78" s="1391"/>
      <c r="Z78" s="1392"/>
      <c r="AA78" s="1392"/>
      <c r="AB78" s="1395"/>
      <c r="AC78" s="1392"/>
      <c r="AD78" s="1395"/>
      <c r="AE78" s="1395"/>
      <c r="AF78" s="1395"/>
      <c r="AG78" s="1395"/>
      <c r="AH78" s="1395"/>
      <c r="AI78" s="1395"/>
      <c r="AJ78" s="1505">
        <f t="shared" si="80"/>
        <v>0</v>
      </c>
      <c r="AK78" s="1395"/>
    </row>
    <row r="79" spans="1:37" s="594" customFormat="1" ht="16.2" customHeight="1">
      <c r="A79" s="2332" t="s">
        <v>1041</v>
      </c>
      <c r="B79" s="2339"/>
      <c r="C79" s="1425"/>
      <c r="D79" s="1198"/>
      <c r="E79" s="1198"/>
      <c r="F79" s="1198"/>
      <c r="G79" s="1198"/>
      <c r="H79" s="1198"/>
      <c r="I79" s="1200"/>
      <c r="J79" s="1200"/>
      <c r="K79" s="1200"/>
      <c r="L79" s="1198"/>
      <c r="M79" s="1200"/>
      <c r="N79" s="1198"/>
      <c r="O79" s="1198"/>
      <c r="P79" s="1200">
        <v>0</v>
      </c>
      <c r="Q79" s="1200"/>
      <c r="R79" s="1200"/>
      <c r="S79" s="1200">
        <v>0</v>
      </c>
      <c r="T79" s="1398">
        <f>'Table 4 Level 4'!$K101</f>
        <v>0</v>
      </c>
      <c r="U79" s="1389"/>
      <c r="V79" s="1392"/>
      <c r="W79" s="1391"/>
      <c r="X79" s="1392"/>
      <c r="Y79" s="1391"/>
      <c r="Z79" s="1392"/>
      <c r="AA79" s="1392"/>
      <c r="AB79" s="1395"/>
      <c r="AC79" s="1392"/>
      <c r="AD79" s="1395"/>
      <c r="AE79" s="1395"/>
      <c r="AF79" s="1395"/>
      <c r="AG79" s="1395"/>
      <c r="AH79" s="1395"/>
      <c r="AI79" s="1395"/>
      <c r="AJ79" s="1505">
        <f t="shared" si="80"/>
        <v>0</v>
      </c>
      <c r="AK79" s="1395"/>
    </row>
    <row r="80" spans="1:37" s="594" customFormat="1" ht="16.2" customHeight="1">
      <c r="A80" s="2332" t="s">
        <v>1042</v>
      </c>
      <c r="B80" s="2339"/>
      <c r="C80" s="1425"/>
      <c r="D80" s="1198"/>
      <c r="E80" s="1198"/>
      <c r="F80" s="1198"/>
      <c r="G80" s="1198"/>
      <c r="H80" s="1198"/>
      <c r="I80" s="1200"/>
      <c r="J80" s="1200"/>
      <c r="K80" s="1200"/>
      <c r="L80" s="1198"/>
      <c r="M80" s="1200"/>
      <c r="N80" s="1198"/>
      <c r="O80" s="1198"/>
      <c r="P80" s="1200">
        <v>0</v>
      </c>
      <c r="Q80" s="1200"/>
      <c r="R80" s="1200"/>
      <c r="S80" s="1200">
        <v>0</v>
      </c>
      <c r="T80" s="1398">
        <f>'Table 4 Level 4'!$L101</f>
        <v>0</v>
      </c>
      <c r="U80" s="1389"/>
      <c r="V80" s="1392"/>
      <c r="W80" s="1391"/>
      <c r="X80" s="1392"/>
      <c r="Y80" s="1391"/>
      <c r="Z80" s="1392"/>
      <c r="AA80" s="1392"/>
      <c r="AB80" s="1395"/>
      <c r="AC80" s="1392"/>
      <c r="AD80" s="1395"/>
      <c r="AE80" s="1395"/>
      <c r="AF80" s="1395"/>
      <c r="AG80" s="1395"/>
      <c r="AH80" s="1395"/>
      <c r="AI80" s="1395"/>
      <c r="AJ80" s="1505">
        <f t="shared" si="80"/>
        <v>0</v>
      </c>
      <c r="AK80" s="1395"/>
    </row>
    <row r="81" spans="1:37" s="594" customFormat="1" ht="16.2" customHeight="1">
      <c r="A81" s="2340" t="s">
        <v>1043</v>
      </c>
      <c r="B81" s="2341"/>
      <c r="C81" s="1417"/>
      <c r="D81" s="1193"/>
      <c r="E81" s="1193"/>
      <c r="F81" s="1193"/>
      <c r="G81" s="1193"/>
      <c r="H81" s="1193"/>
      <c r="I81" s="1195"/>
      <c r="J81" s="1195"/>
      <c r="K81" s="1195"/>
      <c r="L81" s="1193"/>
      <c r="M81" s="1195"/>
      <c r="N81" s="1193"/>
      <c r="O81" s="1193"/>
      <c r="P81" s="1547">
        <f>'Table 4 Level 4'!$N101</f>
        <v>5200</v>
      </c>
      <c r="Q81" s="1195"/>
      <c r="R81" s="1195">
        <f t="shared" ref="R81" si="82">+P81-Q81</f>
        <v>5200</v>
      </c>
      <c r="S81" s="1547">
        <f t="shared" ref="S81" si="83">ROUND(R81/12,0)</f>
        <v>433</v>
      </c>
      <c r="T81" s="1547">
        <f>'Table 4 Level 4'!$N101</f>
        <v>5200</v>
      </c>
      <c r="U81" s="1418"/>
      <c r="V81" s="1408"/>
      <c r="W81" s="1407"/>
      <c r="X81" s="1408"/>
      <c r="Y81" s="1407"/>
      <c r="Z81" s="1408"/>
      <c r="AA81" s="1408"/>
      <c r="AB81" s="1416"/>
      <c r="AC81" s="1408"/>
      <c r="AD81" s="1416"/>
      <c r="AE81" s="1416"/>
      <c r="AF81" s="1416"/>
      <c r="AG81" s="1416"/>
      <c r="AH81" s="1416"/>
      <c r="AI81" s="1416"/>
      <c r="AJ81" s="1506">
        <f t="shared" si="80"/>
        <v>5200</v>
      </c>
      <c r="AK81" s="1506">
        <f t="shared" si="81"/>
        <v>433</v>
      </c>
    </row>
    <row r="82" spans="1:37" s="594" customFormat="1" ht="16.2" customHeight="1" thickBot="1">
      <c r="A82" s="2221" t="s">
        <v>1044</v>
      </c>
      <c r="B82" s="2194"/>
      <c r="C82" s="1052">
        <f>SUM(C76:C81)</f>
        <v>865</v>
      </c>
      <c r="D82" s="1046">
        <f t="shared" ref="D82:AK82" si="84">SUM(D76:D81)</f>
        <v>4479.9292126977662</v>
      </c>
      <c r="E82" s="1046">
        <f t="shared" si="84"/>
        <v>3792484.1448394782</v>
      </c>
      <c r="F82" s="1046">
        <f t="shared" si="84"/>
        <v>704.64781030742063</v>
      </c>
      <c r="G82" s="1046">
        <f t="shared" si="84"/>
        <v>525954.60000000009</v>
      </c>
      <c r="H82" s="1046">
        <f t="shared" si="84"/>
        <v>4318438.7448394783</v>
      </c>
      <c r="I82" s="1053">
        <f t="shared" si="84"/>
        <v>0</v>
      </c>
      <c r="J82" s="1053">
        <f t="shared" si="84"/>
        <v>0</v>
      </c>
      <c r="K82" s="1053">
        <f t="shared" si="84"/>
        <v>0</v>
      </c>
      <c r="L82" s="1046">
        <f t="shared" si="84"/>
        <v>4318438.7448394783</v>
      </c>
      <c r="M82" s="1053">
        <f t="shared" si="84"/>
        <v>-10796.096862098695</v>
      </c>
      <c r="N82" s="1046">
        <f t="shared" si="84"/>
        <v>4307642.6479773792</v>
      </c>
      <c r="O82" s="1046">
        <f t="shared" si="84"/>
        <v>0</v>
      </c>
      <c r="P82" s="1549">
        <f t="shared" si="84"/>
        <v>4312842.6479773792</v>
      </c>
      <c r="Q82" s="1053">
        <f t="shared" si="84"/>
        <v>0</v>
      </c>
      <c r="R82" s="1053">
        <f t="shared" si="84"/>
        <v>4312842.6479773792</v>
      </c>
      <c r="S82" s="1549">
        <f t="shared" si="84"/>
        <v>359403</v>
      </c>
      <c r="T82" s="1549">
        <f t="shared" si="84"/>
        <v>4312842.6479773792</v>
      </c>
      <c r="U82" s="1058">
        <f t="shared" si="84"/>
        <v>4663</v>
      </c>
      <c r="V82" s="1055">
        <f t="shared" si="84"/>
        <v>3948725</v>
      </c>
      <c r="W82" s="1057">
        <f t="shared" si="84"/>
        <v>0</v>
      </c>
      <c r="X82" s="1055">
        <f t="shared" si="84"/>
        <v>0</v>
      </c>
      <c r="Y82" s="1057">
        <f t="shared" si="84"/>
        <v>0</v>
      </c>
      <c r="Z82" s="1055">
        <f t="shared" si="84"/>
        <v>0</v>
      </c>
      <c r="AA82" s="1055">
        <f t="shared" si="84"/>
        <v>0</v>
      </c>
      <c r="AB82" s="1055">
        <f t="shared" si="84"/>
        <v>3948725</v>
      </c>
      <c r="AC82" s="1055">
        <f t="shared" si="84"/>
        <v>-9871.8125</v>
      </c>
      <c r="AD82" s="1055">
        <f t="shared" si="84"/>
        <v>3938853.1875</v>
      </c>
      <c r="AE82" s="1055">
        <f t="shared" si="84"/>
        <v>0</v>
      </c>
      <c r="AF82" s="1055">
        <f t="shared" si="84"/>
        <v>3938853.1875</v>
      </c>
      <c r="AG82" s="1055">
        <f t="shared" si="84"/>
        <v>0</v>
      </c>
      <c r="AH82" s="1055">
        <f t="shared" si="84"/>
        <v>3938853.1875</v>
      </c>
      <c r="AI82" s="1055">
        <f t="shared" si="84"/>
        <v>328238</v>
      </c>
      <c r="AJ82" s="1504">
        <f t="shared" si="84"/>
        <v>8251695.8354773792</v>
      </c>
      <c r="AK82" s="1504">
        <f t="shared" si="84"/>
        <v>687641</v>
      </c>
    </row>
    <row r="83" spans="1:37" ht="16.2" customHeight="1" thickTop="1"/>
    <row r="84" spans="1:37" ht="16.2" customHeight="1"/>
    <row r="85" spans="1:37" ht="16.2" customHeight="1"/>
    <row r="86" spans="1:37" ht="16.2" customHeight="1"/>
  </sheetData>
  <mergeCells count="43">
    <mergeCell ref="AJ1:AJ4"/>
    <mergeCell ref="AK1:AK4"/>
    <mergeCell ref="AD3:AD4"/>
    <mergeCell ref="AE3:AE4"/>
    <mergeCell ref="AF3:AF4"/>
    <mergeCell ref="AG3:AG4"/>
    <mergeCell ref="AH3:AH4"/>
    <mergeCell ref="AI3:AI4"/>
    <mergeCell ref="AC1:AI1"/>
    <mergeCell ref="U3:U4"/>
    <mergeCell ref="Z3:Z4"/>
    <mergeCell ref="AB3:AB4"/>
    <mergeCell ref="W2:AA2"/>
    <mergeCell ref="N3:N4"/>
    <mergeCell ref="O3:O4"/>
    <mergeCell ref="P3:P4"/>
    <mergeCell ref="W3:W4"/>
    <mergeCell ref="X3:X4"/>
    <mergeCell ref="S3:S4"/>
    <mergeCell ref="T3:T4"/>
    <mergeCell ref="M1:T1"/>
    <mergeCell ref="U1:AB1"/>
    <mergeCell ref="A1:B4"/>
    <mergeCell ref="C1:L1"/>
    <mergeCell ref="I3:I4"/>
    <mergeCell ref="J3:J4"/>
    <mergeCell ref="I2:K2"/>
    <mergeCell ref="K3:K4"/>
    <mergeCell ref="L3:L4"/>
    <mergeCell ref="H3:H4"/>
    <mergeCell ref="C3:C4"/>
    <mergeCell ref="D3:D4"/>
    <mergeCell ref="E3:E4"/>
    <mergeCell ref="F3:F4"/>
    <mergeCell ref="G3:G4"/>
    <mergeCell ref="Y3:Y4"/>
    <mergeCell ref="A82:B82"/>
    <mergeCell ref="A76:B76"/>
    <mergeCell ref="A77:B77"/>
    <mergeCell ref="A78:B78"/>
    <mergeCell ref="A79:B79"/>
    <mergeCell ref="A80:B80"/>
    <mergeCell ref="A81:B81"/>
  </mergeCells>
  <printOptions horizontalCentered="1"/>
  <pageMargins left="0.32" right="0.32" top="0.75" bottom="0.75" header="0.3" footer="0.3"/>
  <pageSetup paperSize="5" scale="60" firstPageNumber="56" orientation="portrait" r:id="rId1"/>
  <headerFooter>
    <oddHeader>&amp;L&amp;"Arial,Bold"&amp;20&amp;K000000Table 5C1-F: FY2014-15 MFP Budget Letter 
Lake Charles Charter Academy</oddHeader>
    <oddFooter>&amp;R&amp;P</oddFooter>
  </headerFooter>
  <colBreaks count="3" manualBreakCount="3">
    <brk id="12" max="1048575" man="1"/>
    <brk id="20" max="1048575" man="1"/>
    <brk id="28" max="81"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K86"/>
  <sheetViews>
    <sheetView view="pageBreakPreview" zoomScale="80" zoomScaleNormal="100" zoomScaleSheetLayoutView="80" workbookViewId="0">
      <pane xSplit="2" ySplit="6" topLeftCell="C7" activePane="bottomRight" state="frozen"/>
      <selection sqref="A1:H1"/>
      <selection pane="topRight" sqref="A1:H1"/>
      <selection pane="bottomLeft" sqref="A1:H1"/>
      <selection pane="bottomRight" sqref="A1:H1"/>
    </sheetView>
  </sheetViews>
  <sheetFormatPr defaultRowHeight="13.2"/>
  <cols>
    <col min="1" max="1" width="5" customWidth="1"/>
    <col min="2" max="2" width="37.6640625" customWidth="1"/>
    <col min="3" max="3" width="12.109375" bestFit="1" customWidth="1"/>
    <col min="4" max="4" width="13.6640625" bestFit="1" customWidth="1"/>
    <col min="5" max="5" width="9.88671875" bestFit="1" customWidth="1"/>
    <col min="6" max="7" width="12.33203125" bestFit="1" customWidth="1"/>
    <col min="8" max="8" width="11.5546875" bestFit="1" customWidth="1"/>
    <col min="9" max="12" width="11.88671875" style="594" bestFit="1" customWidth="1"/>
    <col min="13" max="13" width="10.88671875" bestFit="1" customWidth="1"/>
    <col min="14" max="14" width="13.109375" customWidth="1"/>
    <col min="15" max="15" width="13.44140625" bestFit="1" customWidth="1"/>
    <col min="16" max="16" width="14.6640625" customWidth="1"/>
    <col min="17" max="18" width="14" style="594" customWidth="1"/>
    <col min="19" max="19" width="10.6640625" customWidth="1"/>
    <col min="20" max="20" width="14.88671875" style="594" customWidth="1"/>
    <col min="21" max="22" width="14.5546875" customWidth="1"/>
    <col min="23" max="27" width="11.6640625" style="594" customWidth="1"/>
    <col min="28" max="28" width="14.44140625" style="594" bestFit="1" customWidth="1"/>
    <col min="29" max="29" width="10.5546875" customWidth="1"/>
    <col min="30" max="30" width="14.44140625" bestFit="1" customWidth="1"/>
    <col min="31" max="31" width="11.88671875" bestFit="1" customWidth="1"/>
    <col min="32" max="32" width="14.44140625" bestFit="1" customWidth="1"/>
    <col min="33" max="33" width="9.5546875" style="594" bestFit="1" customWidth="1"/>
    <col min="34" max="34" width="9.33203125" style="594" bestFit="1" customWidth="1"/>
    <col min="35" max="37" width="14.44140625" bestFit="1" customWidth="1"/>
  </cols>
  <sheetData>
    <row r="1" spans="1:37" ht="21.6" customHeight="1">
      <c r="A1" s="2314" t="s">
        <v>351</v>
      </c>
      <c r="B1" s="2315"/>
      <c r="C1" s="2319" t="s">
        <v>1089</v>
      </c>
      <c r="D1" s="2320"/>
      <c r="E1" s="2320"/>
      <c r="F1" s="2320"/>
      <c r="G1" s="2320"/>
      <c r="H1" s="2320"/>
      <c r="I1" s="2320"/>
      <c r="J1" s="2320"/>
      <c r="K1" s="2320"/>
      <c r="L1" s="2321"/>
      <c r="M1" s="2349" t="s">
        <v>1089</v>
      </c>
      <c r="N1" s="2350"/>
      <c r="O1" s="2350"/>
      <c r="P1" s="2350"/>
      <c r="Q1" s="2350"/>
      <c r="R1" s="2350"/>
      <c r="S1" s="2350"/>
      <c r="T1" s="2351"/>
      <c r="U1" s="2268" t="s">
        <v>1247</v>
      </c>
      <c r="V1" s="2266"/>
      <c r="W1" s="2266"/>
      <c r="X1" s="2266"/>
      <c r="Y1" s="2266"/>
      <c r="Z1" s="2266"/>
      <c r="AA1" s="2266"/>
      <c r="AB1" s="2267"/>
      <c r="AC1" s="2268" t="s">
        <v>1247</v>
      </c>
      <c r="AD1" s="2266"/>
      <c r="AE1" s="2266"/>
      <c r="AF1" s="2266"/>
      <c r="AG1" s="2266"/>
      <c r="AH1" s="2266"/>
      <c r="AI1" s="2267"/>
      <c r="AJ1" s="2302" t="s">
        <v>1272</v>
      </c>
      <c r="AK1" s="2302" t="s">
        <v>1273</v>
      </c>
    </row>
    <row r="2" spans="1:37" s="594" customFormat="1" ht="24.6" customHeight="1">
      <c r="A2" s="2233"/>
      <c r="B2" s="2234"/>
      <c r="C2" s="1565"/>
      <c r="D2" s="1566"/>
      <c r="E2" s="1566"/>
      <c r="F2" s="1566"/>
      <c r="G2" s="1566"/>
      <c r="H2" s="1566"/>
      <c r="I2" s="2334" t="s">
        <v>531</v>
      </c>
      <c r="J2" s="2335"/>
      <c r="K2" s="2336"/>
      <c r="L2" s="1567"/>
      <c r="M2" s="1565"/>
      <c r="N2" s="1566"/>
      <c r="O2" s="1566"/>
      <c r="P2" s="1566"/>
      <c r="Q2" s="1566"/>
      <c r="R2" s="1566"/>
      <c r="S2" s="1566"/>
      <c r="T2" s="1567"/>
      <c r="U2" s="1525"/>
      <c r="V2" s="1526"/>
      <c r="W2" s="2362" t="s">
        <v>531</v>
      </c>
      <c r="X2" s="2363"/>
      <c r="Y2" s="2363"/>
      <c r="Z2" s="2363"/>
      <c r="AA2" s="2364"/>
      <c r="AB2" s="1527"/>
      <c r="AC2" s="1525"/>
      <c r="AD2" s="1526"/>
      <c r="AE2" s="1526"/>
      <c r="AF2" s="1526"/>
      <c r="AG2" s="1526"/>
      <c r="AH2" s="1526"/>
      <c r="AI2" s="1527"/>
      <c r="AJ2" s="2303"/>
      <c r="AK2" s="2303"/>
    </row>
    <row r="3" spans="1:37" ht="148.94999999999999" customHeight="1">
      <c r="A3" s="2316"/>
      <c r="B3" s="2234"/>
      <c r="C3" s="2306" t="s">
        <v>933</v>
      </c>
      <c r="D3" s="2318" t="s">
        <v>1110</v>
      </c>
      <c r="E3" s="2318" t="s">
        <v>384</v>
      </c>
      <c r="F3" s="2306" t="s">
        <v>546</v>
      </c>
      <c r="G3" s="2306" t="s">
        <v>330</v>
      </c>
      <c r="H3" s="2306" t="s">
        <v>547</v>
      </c>
      <c r="I3" s="2299" t="s">
        <v>770</v>
      </c>
      <c r="J3" s="2299" t="s">
        <v>769</v>
      </c>
      <c r="K3" s="2299" t="s">
        <v>538</v>
      </c>
      <c r="L3" s="2300" t="s">
        <v>548</v>
      </c>
      <c r="M3" s="1496" t="s">
        <v>333</v>
      </c>
      <c r="N3" s="2306" t="s">
        <v>545</v>
      </c>
      <c r="O3" s="2307" t="s">
        <v>1036</v>
      </c>
      <c r="P3" s="2306" t="s">
        <v>1056</v>
      </c>
      <c r="Q3" s="1537" t="s">
        <v>760</v>
      </c>
      <c r="R3" s="1537" t="s">
        <v>761</v>
      </c>
      <c r="S3" s="2308" t="s">
        <v>544</v>
      </c>
      <c r="T3" s="2308" t="s">
        <v>1057</v>
      </c>
      <c r="U3" s="2309" t="s">
        <v>1267</v>
      </c>
      <c r="V3" s="1507" t="s">
        <v>1268</v>
      </c>
      <c r="W3" s="2312" t="s">
        <v>1253</v>
      </c>
      <c r="X3" s="2312" t="s">
        <v>1251</v>
      </c>
      <c r="Y3" s="2312" t="s">
        <v>1254</v>
      </c>
      <c r="Z3" s="2312" t="s">
        <v>1252</v>
      </c>
      <c r="AA3" s="1498" t="s">
        <v>551</v>
      </c>
      <c r="AB3" s="2313" t="s">
        <v>1269</v>
      </c>
      <c r="AC3" s="1507" t="s">
        <v>1094</v>
      </c>
      <c r="AD3" s="2309" t="s">
        <v>1270</v>
      </c>
      <c r="AE3" s="2307" t="s">
        <v>1036</v>
      </c>
      <c r="AF3" s="2309" t="s">
        <v>1271</v>
      </c>
      <c r="AG3" s="2322" t="s">
        <v>981</v>
      </c>
      <c r="AH3" s="2322" t="s">
        <v>761</v>
      </c>
      <c r="AI3" s="2322" t="s">
        <v>1242</v>
      </c>
      <c r="AJ3" s="2304"/>
      <c r="AK3" s="2304"/>
    </row>
    <row r="4" spans="1:37" ht="19.95" customHeight="1">
      <c r="A4" s="2317"/>
      <c r="B4" s="2236"/>
      <c r="C4" s="2301"/>
      <c r="D4" s="2318"/>
      <c r="E4" s="2318"/>
      <c r="F4" s="2301"/>
      <c r="G4" s="2301"/>
      <c r="H4" s="2301"/>
      <c r="I4" s="2251"/>
      <c r="J4" s="2251"/>
      <c r="K4" s="2251"/>
      <c r="L4" s="2301"/>
      <c r="M4" s="1568">
        <v>2.5000000000000001E-3</v>
      </c>
      <c r="N4" s="2301"/>
      <c r="O4" s="2251"/>
      <c r="P4" s="2301"/>
      <c r="Q4" s="1497"/>
      <c r="R4" s="1497"/>
      <c r="S4" s="2301"/>
      <c r="T4" s="2301"/>
      <c r="U4" s="2280"/>
      <c r="V4" s="1508"/>
      <c r="W4" s="2251"/>
      <c r="X4" s="2251"/>
      <c r="Y4" s="2251"/>
      <c r="Z4" s="2251"/>
      <c r="AA4" s="1494"/>
      <c r="AB4" s="2280" t="s">
        <v>537</v>
      </c>
      <c r="AC4" s="1570">
        <v>2.5000000000000001E-3</v>
      </c>
      <c r="AD4" s="2280"/>
      <c r="AE4" s="2251"/>
      <c r="AF4" s="2280"/>
      <c r="AG4" s="2323"/>
      <c r="AH4" s="2323"/>
      <c r="AI4" s="2323"/>
      <c r="AJ4" s="2305"/>
      <c r="AK4" s="2305"/>
    </row>
    <row r="5" spans="1:37" ht="14.25" customHeight="1">
      <c r="A5" s="463"/>
      <c r="B5" s="464"/>
      <c r="C5" s="465">
        <v>1</v>
      </c>
      <c r="D5" s="465">
        <f t="shared" ref="D5" si="0">C5+1</f>
        <v>2</v>
      </c>
      <c r="E5" s="465">
        <f>D5+1</f>
        <v>3</v>
      </c>
      <c r="F5" s="465">
        <f t="shared" ref="F5:H5" si="1">E5+1</f>
        <v>4</v>
      </c>
      <c r="G5" s="465">
        <f t="shared" si="1"/>
        <v>5</v>
      </c>
      <c r="H5" s="465">
        <f t="shared" si="1"/>
        <v>6</v>
      </c>
      <c r="I5" s="465">
        <f t="shared" ref="I5" si="2">H5+1</f>
        <v>7</v>
      </c>
      <c r="J5" s="465">
        <f t="shared" ref="J5" si="3">I5+1</f>
        <v>8</v>
      </c>
      <c r="K5" s="465">
        <f t="shared" ref="K5" si="4">J5+1</f>
        <v>9</v>
      </c>
      <c r="L5" s="465">
        <f t="shared" ref="L5" si="5">K5+1</f>
        <v>10</v>
      </c>
      <c r="M5" s="465">
        <f t="shared" ref="M5" si="6">L5+1</f>
        <v>11</v>
      </c>
      <c r="N5" s="465">
        <f t="shared" ref="N5" si="7">M5+1</f>
        <v>12</v>
      </c>
      <c r="O5" s="465">
        <f t="shared" ref="O5" si="8">N5+1</f>
        <v>13</v>
      </c>
      <c r="P5" s="465">
        <f t="shared" ref="P5" si="9">O5+1</f>
        <v>14</v>
      </c>
      <c r="Q5" s="465">
        <f t="shared" ref="Q5" si="10">P5+1</f>
        <v>15</v>
      </c>
      <c r="R5" s="465">
        <f t="shared" ref="R5" si="11">Q5+1</f>
        <v>16</v>
      </c>
      <c r="S5" s="465">
        <f t="shared" ref="S5" si="12">R5+1</f>
        <v>17</v>
      </c>
      <c r="T5" s="465">
        <f t="shared" ref="T5" si="13">S5+1</f>
        <v>18</v>
      </c>
      <c r="U5" s="465">
        <f t="shared" ref="U5" si="14">T5+1</f>
        <v>19</v>
      </c>
      <c r="V5" s="465">
        <f t="shared" ref="V5" si="15">U5+1</f>
        <v>20</v>
      </c>
      <c r="W5" s="465">
        <f t="shared" ref="W5" si="16">V5+1</f>
        <v>21</v>
      </c>
      <c r="X5" s="465">
        <f t="shared" ref="X5" si="17">W5+1</f>
        <v>22</v>
      </c>
      <c r="Y5" s="465">
        <f t="shared" ref="Y5" si="18">X5+1</f>
        <v>23</v>
      </c>
      <c r="Z5" s="465">
        <f t="shared" ref="Z5" si="19">Y5+1</f>
        <v>24</v>
      </c>
      <c r="AA5" s="465">
        <f t="shared" ref="AA5" si="20">Z5+1</f>
        <v>25</v>
      </c>
      <c r="AB5" s="465">
        <f t="shared" ref="AB5" si="21">AA5+1</f>
        <v>26</v>
      </c>
      <c r="AC5" s="465">
        <f t="shared" ref="AC5" si="22">AB5+1</f>
        <v>27</v>
      </c>
      <c r="AD5" s="465">
        <f t="shared" ref="AD5" si="23">AC5+1</f>
        <v>28</v>
      </c>
      <c r="AE5" s="465">
        <f t="shared" ref="AE5" si="24">AD5+1</f>
        <v>29</v>
      </c>
      <c r="AF5" s="465">
        <f t="shared" ref="AF5" si="25">AE5+1</f>
        <v>30</v>
      </c>
      <c r="AG5" s="465">
        <f t="shared" ref="AG5" si="26">AF5+1</f>
        <v>31</v>
      </c>
      <c r="AH5" s="465">
        <f t="shared" ref="AH5" si="27">AG5+1</f>
        <v>32</v>
      </c>
      <c r="AI5" s="465">
        <f t="shared" ref="AI5" si="28">AH5+1</f>
        <v>33</v>
      </c>
      <c r="AJ5" s="465">
        <f t="shared" ref="AJ5" si="29">AI5+1</f>
        <v>34</v>
      </c>
      <c r="AK5" s="465">
        <f t="shared" ref="AK5" si="30">AJ5+1</f>
        <v>35</v>
      </c>
    </row>
    <row r="6" spans="1:37" ht="27" hidden="1" customHeight="1">
      <c r="A6" s="472"/>
      <c r="B6" s="473"/>
      <c r="C6" s="473"/>
      <c r="D6" s="473"/>
      <c r="E6" s="473"/>
      <c r="F6" s="473"/>
      <c r="G6" s="473"/>
      <c r="H6" s="473"/>
      <c r="I6" s="596"/>
      <c r="J6" s="596"/>
      <c r="K6" s="596"/>
      <c r="L6" s="596"/>
      <c r="M6" s="473"/>
      <c r="N6" s="473"/>
      <c r="O6" s="473"/>
      <c r="P6" s="473"/>
      <c r="Q6" s="596"/>
      <c r="R6" s="596"/>
      <c r="S6" s="473"/>
      <c r="T6" s="473"/>
      <c r="U6" s="473"/>
      <c r="V6" s="473"/>
      <c r="W6" s="596"/>
      <c r="X6" s="596"/>
      <c r="Y6" s="615"/>
      <c r="Z6" s="615"/>
      <c r="AA6" s="615"/>
      <c r="AB6" s="596"/>
      <c r="AC6" s="473"/>
      <c r="AD6" s="473"/>
      <c r="AE6" s="473"/>
      <c r="AF6" s="473"/>
      <c r="AG6" s="596"/>
      <c r="AH6" s="596"/>
      <c r="AI6" s="473"/>
      <c r="AJ6" s="473"/>
      <c r="AK6" s="473"/>
    </row>
    <row r="7" spans="1:37" ht="16.2" customHeight="1">
      <c r="A7" s="1183">
        <v>1</v>
      </c>
      <c r="B7" s="1184" t="s">
        <v>81</v>
      </c>
      <c r="C7" s="1185">
        <f>+'Table 8 Membership 2.1.14'!P3</f>
        <v>0</v>
      </c>
      <c r="D7" s="1186">
        <f>+'Table 5C1A-Madison Prep'!D7</f>
        <v>4765.8584413349836</v>
      </c>
      <c r="E7" s="1187">
        <f>C7*D7</f>
        <v>0</v>
      </c>
      <c r="F7" s="1187">
        <f>+'Table 5C1A-Madison Prep'!F7</f>
        <v>777.48</v>
      </c>
      <c r="G7" s="1187">
        <f>C7*F7</f>
        <v>0</v>
      </c>
      <c r="H7" s="1538">
        <f>E7+G7</f>
        <v>0</v>
      </c>
      <c r="I7" s="1188"/>
      <c r="J7" s="1188"/>
      <c r="K7" s="1189">
        <f>+I7+J7</f>
        <v>0</v>
      </c>
      <c r="L7" s="1538">
        <f>H7+K7</f>
        <v>0</v>
      </c>
      <c r="M7" s="1372">
        <f>-(0.25%*L7)</f>
        <v>0</v>
      </c>
      <c r="N7" s="1538">
        <f>SUM(L7:M7)</f>
        <v>0</v>
      </c>
      <c r="O7" s="1186">
        <v>0</v>
      </c>
      <c r="P7" s="1544">
        <f>SUM(N7:O7)</f>
        <v>0</v>
      </c>
      <c r="Q7" s="1188"/>
      <c r="R7" s="1188">
        <f>P7-Q7</f>
        <v>0</v>
      </c>
      <c r="S7" s="1544">
        <f>ROUND(R7/12,0)</f>
        <v>0</v>
      </c>
      <c r="T7" s="1544">
        <f>+P7</f>
        <v>0</v>
      </c>
      <c r="U7" s="1373">
        <f>'Table 5C1A-Madison Prep'!U7</f>
        <v>2409</v>
      </c>
      <c r="V7" s="1514">
        <f t="shared" ref="V7:V38" si="31">C7*U7</f>
        <v>0</v>
      </c>
      <c r="W7" s="1375"/>
      <c r="X7" s="1376">
        <f>W7*U7</f>
        <v>0</v>
      </c>
      <c r="Y7" s="1375"/>
      <c r="Z7" s="1376">
        <f t="shared" ref="Z7:Z70" si="32">+U7*Y7*0.5</f>
        <v>0</v>
      </c>
      <c r="AA7" s="1374">
        <f>+Z7+X7</f>
        <v>0</v>
      </c>
      <c r="AB7" s="1509">
        <f>V7+AA7</f>
        <v>0</v>
      </c>
      <c r="AC7" s="1378">
        <f>-(0.25%*AB7)</f>
        <v>0</v>
      </c>
      <c r="AD7" s="1509">
        <f>SUM(AB7:AC7)</f>
        <v>0</v>
      </c>
      <c r="AE7" s="1379">
        <v>0</v>
      </c>
      <c r="AF7" s="1509">
        <f>SUM(AD7:AE7)</f>
        <v>0</v>
      </c>
      <c r="AG7" s="1379"/>
      <c r="AH7" s="1379">
        <f>AF7-AG7</f>
        <v>0</v>
      </c>
      <c r="AI7" s="1509">
        <f>ROUND(AH7/12,0)</f>
        <v>0</v>
      </c>
      <c r="AJ7" s="1530">
        <f>T7+AF7</f>
        <v>0</v>
      </c>
      <c r="AK7" s="1534">
        <f>S7+AI7</f>
        <v>0</v>
      </c>
    </row>
    <row r="8" spans="1:37" ht="16.2" customHeight="1">
      <c r="A8" s="1176">
        <v>2</v>
      </c>
      <c r="B8" s="1177" t="s">
        <v>82</v>
      </c>
      <c r="C8" s="1178">
        <f>+'Table 8 Membership 2.1.14'!P4</f>
        <v>0</v>
      </c>
      <c r="D8" s="1179">
        <f>+'Table 5C1A-Madison Prep'!D8</f>
        <v>6316.6266417386641</v>
      </c>
      <c r="E8" s="1180">
        <f t="shared" ref="E8:E71" si="33">C8*D8</f>
        <v>0</v>
      </c>
      <c r="F8" s="1180">
        <f>+'Table 5C1A-Madison Prep'!F8</f>
        <v>842.32</v>
      </c>
      <c r="G8" s="1180">
        <f t="shared" ref="G8:G71" si="34">C8*F8</f>
        <v>0</v>
      </c>
      <c r="H8" s="1539">
        <f t="shared" ref="H8:H71" si="35">E8+G8</f>
        <v>0</v>
      </c>
      <c r="I8" s="1181"/>
      <c r="J8" s="1181"/>
      <c r="K8" s="1182">
        <f t="shared" ref="K8:K71" si="36">+I8+J8</f>
        <v>0</v>
      </c>
      <c r="L8" s="1539">
        <f t="shared" ref="L8:L38" si="37">H8+K8</f>
        <v>0</v>
      </c>
      <c r="M8" s="1388">
        <f t="shared" ref="M8:M71" si="38">-(0.25%*L8)</f>
        <v>0</v>
      </c>
      <c r="N8" s="1539">
        <f t="shared" ref="N8:N71" si="39">SUM(L8:M8)</f>
        <v>0</v>
      </c>
      <c r="O8" s="1179">
        <v>0</v>
      </c>
      <c r="P8" s="1545">
        <f t="shared" ref="P8:P71" si="40">SUM(N8:O8)</f>
        <v>0</v>
      </c>
      <c r="Q8" s="1181"/>
      <c r="R8" s="1181">
        <f t="shared" ref="R8:R71" si="41">P8-Q8</f>
        <v>0</v>
      </c>
      <c r="S8" s="1545">
        <f t="shared" ref="S8:S71" si="42">ROUND(R8/12,0)</f>
        <v>0</v>
      </c>
      <c r="T8" s="1545">
        <f t="shared" ref="T8:T71" si="43">+P8</f>
        <v>0</v>
      </c>
      <c r="U8" s="1389">
        <f>'Table 5C1A-Madison Prep'!U8</f>
        <v>2829</v>
      </c>
      <c r="V8" s="1515">
        <f t="shared" si="31"/>
        <v>0</v>
      </c>
      <c r="W8" s="1391"/>
      <c r="X8" s="1392">
        <f t="shared" ref="X8:X71" si="44">W8*U8</f>
        <v>0</v>
      </c>
      <c r="Y8" s="1391"/>
      <c r="Z8" s="1392">
        <f t="shared" si="32"/>
        <v>0</v>
      </c>
      <c r="AA8" s="1390">
        <f t="shared" ref="AA8:AA71" si="45">+Z8+X8</f>
        <v>0</v>
      </c>
      <c r="AB8" s="1510">
        <f t="shared" ref="AB8:AB71" si="46">V8+AA8</f>
        <v>0</v>
      </c>
      <c r="AC8" s="1394">
        <f t="shared" ref="AC8:AC71" si="47">-(0.25%*AB8)</f>
        <v>0</v>
      </c>
      <c r="AD8" s="1510">
        <f t="shared" ref="AD8:AD71" si="48">SUM(AB8:AC8)</f>
        <v>0</v>
      </c>
      <c r="AE8" s="1395">
        <v>0</v>
      </c>
      <c r="AF8" s="1510">
        <f t="shared" ref="AF8:AF71" si="49">SUM(AD8:AE8)</f>
        <v>0</v>
      </c>
      <c r="AG8" s="1395"/>
      <c r="AH8" s="1395">
        <f t="shared" ref="AH8:AH71" si="50">AF8-AG8</f>
        <v>0</v>
      </c>
      <c r="AI8" s="1510">
        <f t="shared" ref="AI8:AI71" si="51">ROUND(AH8/12,0)</f>
        <v>0</v>
      </c>
      <c r="AJ8" s="1505">
        <f t="shared" ref="AJ8:AJ71" si="52">T8+AF8</f>
        <v>0</v>
      </c>
      <c r="AK8" s="1535">
        <f t="shared" ref="AK8:AK71" si="53">S8+AI8</f>
        <v>0</v>
      </c>
    </row>
    <row r="9" spans="1:37" ht="16.2" customHeight="1">
      <c r="A9" s="1176">
        <v>3</v>
      </c>
      <c r="B9" s="1177" t="s">
        <v>83</v>
      </c>
      <c r="C9" s="1178">
        <f>+'Table 8 Membership 2.1.14'!P5</f>
        <v>0</v>
      </c>
      <c r="D9" s="1179">
        <f>+'Table 5C1A-Madison Prep'!D9</f>
        <v>4155.1862027396819</v>
      </c>
      <c r="E9" s="1180">
        <f t="shared" si="33"/>
        <v>0</v>
      </c>
      <c r="F9" s="1180">
        <f>+'Table 5C1A-Madison Prep'!F9</f>
        <v>596.84</v>
      </c>
      <c r="G9" s="1180">
        <f t="shared" si="34"/>
        <v>0</v>
      </c>
      <c r="H9" s="1539">
        <f t="shared" si="35"/>
        <v>0</v>
      </c>
      <c r="I9" s="1181"/>
      <c r="J9" s="1181"/>
      <c r="K9" s="1182">
        <f t="shared" si="36"/>
        <v>0</v>
      </c>
      <c r="L9" s="1539">
        <f t="shared" si="37"/>
        <v>0</v>
      </c>
      <c r="M9" s="1388">
        <f t="shared" si="38"/>
        <v>0</v>
      </c>
      <c r="N9" s="1539">
        <f t="shared" si="39"/>
        <v>0</v>
      </c>
      <c r="O9" s="1179">
        <v>0</v>
      </c>
      <c r="P9" s="1545">
        <f t="shared" si="40"/>
        <v>0</v>
      </c>
      <c r="Q9" s="1181"/>
      <c r="R9" s="1181">
        <f t="shared" si="41"/>
        <v>0</v>
      </c>
      <c r="S9" s="1545">
        <f t="shared" si="42"/>
        <v>0</v>
      </c>
      <c r="T9" s="1545">
        <f t="shared" si="43"/>
        <v>0</v>
      </c>
      <c r="U9" s="1389">
        <f>'Table 5C1A-Madison Prep'!U9</f>
        <v>5770</v>
      </c>
      <c r="V9" s="1515">
        <f t="shared" si="31"/>
        <v>0</v>
      </c>
      <c r="W9" s="1391"/>
      <c r="X9" s="1392">
        <f t="shared" si="44"/>
        <v>0</v>
      </c>
      <c r="Y9" s="1391"/>
      <c r="Z9" s="1392">
        <f t="shared" si="32"/>
        <v>0</v>
      </c>
      <c r="AA9" s="1390">
        <f t="shared" si="45"/>
        <v>0</v>
      </c>
      <c r="AB9" s="1510">
        <f t="shared" si="46"/>
        <v>0</v>
      </c>
      <c r="AC9" s="1394">
        <f t="shared" si="47"/>
        <v>0</v>
      </c>
      <c r="AD9" s="1510">
        <f t="shared" si="48"/>
        <v>0</v>
      </c>
      <c r="AE9" s="1395">
        <v>0</v>
      </c>
      <c r="AF9" s="1510">
        <f t="shared" si="49"/>
        <v>0</v>
      </c>
      <c r="AG9" s="1395"/>
      <c r="AH9" s="1395">
        <f t="shared" si="50"/>
        <v>0</v>
      </c>
      <c r="AI9" s="1510">
        <f t="shared" si="51"/>
        <v>0</v>
      </c>
      <c r="AJ9" s="1505">
        <f t="shared" si="52"/>
        <v>0</v>
      </c>
      <c r="AK9" s="1535">
        <f t="shared" si="53"/>
        <v>0</v>
      </c>
    </row>
    <row r="10" spans="1:37" ht="16.2" customHeight="1">
      <c r="A10" s="1176">
        <v>4</v>
      </c>
      <c r="B10" s="1177" t="s">
        <v>84</v>
      </c>
      <c r="C10" s="1178">
        <f>+'Table 8 Membership 2.1.14'!P6</f>
        <v>0</v>
      </c>
      <c r="D10" s="1179">
        <f>+'Table 5C1A-Madison Prep'!D10</f>
        <v>6119.0581446878568</v>
      </c>
      <c r="E10" s="1180">
        <f t="shared" si="33"/>
        <v>0</v>
      </c>
      <c r="F10" s="1180">
        <f>+'Table 5C1A-Madison Prep'!F10</f>
        <v>585.76</v>
      </c>
      <c r="G10" s="1180">
        <f t="shared" si="34"/>
        <v>0</v>
      </c>
      <c r="H10" s="1539">
        <f t="shared" si="35"/>
        <v>0</v>
      </c>
      <c r="I10" s="1181"/>
      <c r="J10" s="1181"/>
      <c r="K10" s="1182">
        <f t="shared" si="36"/>
        <v>0</v>
      </c>
      <c r="L10" s="1539">
        <f t="shared" si="37"/>
        <v>0</v>
      </c>
      <c r="M10" s="1388">
        <f t="shared" si="38"/>
        <v>0</v>
      </c>
      <c r="N10" s="1539">
        <f t="shared" si="39"/>
        <v>0</v>
      </c>
      <c r="O10" s="1179">
        <v>0</v>
      </c>
      <c r="P10" s="1545">
        <f t="shared" si="40"/>
        <v>0</v>
      </c>
      <c r="Q10" s="1181"/>
      <c r="R10" s="1181">
        <f t="shared" si="41"/>
        <v>0</v>
      </c>
      <c r="S10" s="1545">
        <f t="shared" si="42"/>
        <v>0</v>
      </c>
      <c r="T10" s="1545">
        <f t="shared" si="43"/>
        <v>0</v>
      </c>
      <c r="U10" s="1389">
        <f>'Table 5C1A-Madison Prep'!U10</f>
        <v>3287</v>
      </c>
      <c r="V10" s="1515">
        <f t="shared" si="31"/>
        <v>0</v>
      </c>
      <c r="W10" s="1391"/>
      <c r="X10" s="1392">
        <f t="shared" si="44"/>
        <v>0</v>
      </c>
      <c r="Y10" s="1391"/>
      <c r="Z10" s="1392">
        <f t="shared" si="32"/>
        <v>0</v>
      </c>
      <c r="AA10" s="1390">
        <f t="shared" si="45"/>
        <v>0</v>
      </c>
      <c r="AB10" s="1510">
        <f t="shared" si="46"/>
        <v>0</v>
      </c>
      <c r="AC10" s="1394">
        <f t="shared" si="47"/>
        <v>0</v>
      </c>
      <c r="AD10" s="1510">
        <f t="shared" si="48"/>
        <v>0</v>
      </c>
      <c r="AE10" s="1395">
        <v>0</v>
      </c>
      <c r="AF10" s="1510">
        <f t="shared" si="49"/>
        <v>0</v>
      </c>
      <c r="AG10" s="1395"/>
      <c r="AH10" s="1395">
        <f t="shared" si="50"/>
        <v>0</v>
      </c>
      <c r="AI10" s="1510">
        <f t="shared" si="51"/>
        <v>0</v>
      </c>
      <c r="AJ10" s="1505">
        <f t="shared" si="52"/>
        <v>0</v>
      </c>
      <c r="AK10" s="1535">
        <f t="shared" si="53"/>
        <v>0</v>
      </c>
    </row>
    <row r="11" spans="1:37" ht="16.2" customHeight="1">
      <c r="A11" s="1168">
        <v>5</v>
      </c>
      <c r="B11" s="1169" t="s">
        <v>85</v>
      </c>
      <c r="C11" s="1170">
        <f>+'Table 8 Membership 2.1.14'!P7</f>
        <v>0</v>
      </c>
      <c r="D11" s="1171">
        <f>+'Table 5C1A-Madison Prep'!D11</f>
        <v>5268.940566009911</v>
      </c>
      <c r="E11" s="1172">
        <f t="shared" si="33"/>
        <v>0</v>
      </c>
      <c r="F11" s="1172">
        <f>+'Table 5C1A-Madison Prep'!F11</f>
        <v>555.91</v>
      </c>
      <c r="G11" s="1172">
        <f t="shared" si="34"/>
        <v>0</v>
      </c>
      <c r="H11" s="1540">
        <f t="shared" si="35"/>
        <v>0</v>
      </c>
      <c r="I11" s="1173"/>
      <c r="J11" s="1173"/>
      <c r="K11" s="1174">
        <f t="shared" si="36"/>
        <v>0</v>
      </c>
      <c r="L11" s="1540">
        <f t="shared" si="37"/>
        <v>0</v>
      </c>
      <c r="M11" s="1399">
        <f t="shared" si="38"/>
        <v>0</v>
      </c>
      <c r="N11" s="1540">
        <f t="shared" si="39"/>
        <v>0</v>
      </c>
      <c r="O11" s="1171">
        <v>0</v>
      </c>
      <c r="P11" s="1546">
        <f t="shared" si="40"/>
        <v>0</v>
      </c>
      <c r="Q11" s="1175"/>
      <c r="R11" s="1173">
        <f t="shared" si="41"/>
        <v>0</v>
      </c>
      <c r="S11" s="1550">
        <f t="shared" si="42"/>
        <v>0</v>
      </c>
      <c r="T11" s="1550">
        <f t="shared" si="43"/>
        <v>0</v>
      </c>
      <c r="U11" s="1382">
        <f>'Table 5C1A-Madison Prep'!U11</f>
        <v>1921</v>
      </c>
      <c r="V11" s="1516">
        <f t="shared" si="31"/>
        <v>0</v>
      </c>
      <c r="W11" s="1400"/>
      <c r="X11" s="1383">
        <f t="shared" si="44"/>
        <v>0</v>
      </c>
      <c r="Y11" s="1400"/>
      <c r="Z11" s="1383">
        <f t="shared" si="32"/>
        <v>0</v>
      </c>
      <c r="AA11" s="1384">
        <f t="shared" si="45"/>
        <v>0</v>
      </c>
      <c r="AB11" s="1511">
        <f t="shared" si="46"/>
        <v>0</v>
      </c>
      <c r="AC11" s="1402">
        <f t="shared" si="47"/>
        <v>0</v>
      </c>
      <c r="AD11" s="1511">
        <f t="shared" si="48"/>
        <v>0</v>
      </c>
      <c r="AE11" s="1385">
        <v>0</v>
      </c>
      <c r="AF11" s="1511">
        <f t="shared" si="49"/>
        <v>0</v>
      </c>
      <c r="AG11" s="1385"/>
      <c r="AH11" s="1385">
        <f t="shared" si="50"/>
        <v>0</v>
      </c>
      <c r="AI11" s="1511">
        <f t="shared" si="51"/>
        <v>0</v>
      </c>
      <c r="AJ11" s="1531">
        <f t="shared" si="52"/>
        <v>0</v>
      </c>
      <c r="AK11" s="1536">
        <f t="shared" si="53"/>
        <v>0</v>
      </c>
    </row>
    <row r="12" spans="1:37" ht="16.2" customHeight="1">
      <c r="A12" s="1183">
        <v>6</v>
      </c>
      <c r="B12" s="1184" t="s">
        <v>86</v>
      </c>
      <c r="C12" s="1185">
        <f>+'Table 8 Membership 2.1.14'!P8</f>
        <v>0</v>
      </c>
      <c r="D12" s="1186">
        <f>+'Table 5C1A-Madison Prep'!D12</f>
        <v>5378.5086124955869</v>
      </c>
      <c r="E12" s="1187">
        <f t="shared" si="33"/>
        <v>0</v>
      </c>
      <c r="F12" s="1187">
        <f>+'Table 5C1A-Madison Prep'!F12</f>
        <v>545.4799999999999</v>
      </c>
      <c r="G12" s="1187">
        <f t="shared" si="34"/>
        <v>0</v>
      </c>
      <c r="H12" s="1538">
        <f t="shared" si="35"/>
        <v>0</v>
      </c>
      <c r="I12" s="1188"/>
      <c r="J12" s="1188"/>
      <c r="K12" s="1189">
        <f t="shared" si="36"/>
        <v>0</v>
      </c>
      <c r="L12" s="1538">
        <f t="shared" si="37"/>
        <v>0</v>
      </c>
      <c r="M12" s="1372">
        <f t="shared" si="38"/>
        <v>0</v>
      </c>
      <c r="N12" s="1538">
        <f t="shared" si="39"/>
        <v>0</v>
      </c>
      <c r="O12" s="1186">
        <v>0</v>
      </c>
      <c r="P12" s="1544">
        <f t="shared" si="40"/>
        <v>0</v>
      </c>
      <c r="Q12" s="1188"/>
      <c r="R12" s="1188">
        <f t="shared" si="41"/>
        <v>0</v>
      </c>
      <c r="S12" s="1544">
        <f t="shared" si="42"/>
        <v>0</v>
      </c>
      <c r="T12" s="1544">
        <f t="shared" si="43"/>
        <v>0</v>
      </c>
      <c r="U12" s="1373">
        <f>'Table 5C1A-Madison Prep'!U12</f>
        <v>3807</v>
      </c>
      <c r="V12" s="1514">
        <f t="shared" si="31"/>
        <v>0</v>
      </c>
      <c r="W12" s="1375"/>
      <c r="X12" s="1376">
        <f t="shared" si="44"/>
        <v>0</v>
      </c>
      <c r="Y12" s="1375"/>
      <c r="Z12" s="1376">
        <f t="shared" si="32"/>
        <v>0</v>
      </c>
      <c r="AA12" s="1374">
        <f t="shared" si="45"/>
        <v>0</v>
      </c>
      <c r="AB12" s="1509">
        <f t="shared" si="46"/>
        <v>0</v>
      </c>
      <c r="AC12" s="1378">
        <f t="shared" si="47"/>
        <v>0</v>
      </c>
      <c r="AD12" s="1509">
        <f t="shared" si="48"/>
        <v>0</v>
      </c>
      <c r="AE12" s="1379">
        <v>0</v>
      </c>
      <c r="AF12" s="1509">
        <f t="shared" si="49"/>
        <v>0</v>
      </c>
      <c r="AG12" s="1379"/>
      <c r="AH12" s="1379">
        <f t="shared" si="50"/>
        <v>0</v>
      </c>
      <c r="AI12" s="1509">
        <f t="shared" si="51"/>
        <v>0</v>
      </c>
      <c r="AJ12" s="1530">
        <f t="shared" si="52"/>
        <v>0</v>
      </c>
      <c r="AK12" s="1534">
        <f t="shared" si="53"/>
        <v>0</v>
      </c>
    </row>
    <row r="13" spans="1:37" ht="16.2" customHeight="1">
      <c r="A13" s="1176">
        <v>7</v>
      </c>
      <c r="B13" s="1177" t="s">
        <v>87</v>
      </c>
      <c r="C13" s="1178">
        <f>+'Table 8 Membership 2.1.14'!P9</f>
        <v>0</v>
      </c>
      <c r="D13" s="1179">
        <f>+'Table 5C1A-Madison Prep'!D13</f>
        <v>2243.0031963470319</v>
      </c>
      <c r="E13" s="1180">
        <f t="shared" si="33"/>
        <v>0</v>
      </c>
      <c r="F13" s="1180">
        <f>+'Table 5C1A-Madison Prep'!F13</f>
        <v>756.91999999999985</v>
      </c>
      <c r="G13" s="1180">
        <f t="shared" si="34"/>
        <v>0</v>
      </c>
      <c r="H13" s="1539">
        <f t="shared" si="35"/>
        <v>0</v>
      </c>
      <c r="I13" s="1181"/>
      <c r="J13" s="1181"/>
      <c r="K13" s="1182">
        <f t="shared" si="36"/>
        <v>0</v>
      </c>
      <c r="L13" s="1539">
        <f t="shared" si="37"/>
        <v>0</v>
      </c>
      <c r="M13" s="1388">
        <f t="shared" si="38"/>
        <v>0</v>
      </c>
      <c r="N13" s="1539">
        <f t="shared" si="39"/>
        <v>0</v>
      </c>
      <c r="O13" s="1179">
        <v>0</v>
      </c>
      <c r="P13" s="1545">
        <f t="shared" si="40"/>
        <v>0</v>
      </c>
      <c r="Q13" s="1181"/>
      <c r="R13" s="1181">
        <f t="shared" si="41"/>
        <v>0</v>
      </c>
      <c r="S13" s="1545">
        <f t="shared" si="42"/>
        <v>0</v>
      </c>
      <c r="T13" s="1545">
        <f t="shared" si="43"/>
        <v>0</v>
      </c>
      <c r="U13" s="1389">
        <f>'Table 5C1A-Madison Prep'!U13</f>
        <v>11888</v>
      </c>
      <c r="V13" s="1515">
        <f t="shared" si="31"/>
        <v>0</v>
      </c>
      <c r="W13" s="1391"/>
      <c r="X13" s="1392">
        <f t="shared" si="44"/>
        <v>0</v>
      </c>
      <c r="Y13" s="1391"/>
      <c r="Z13" s="1392">
        <f t="shared" si="32"/>
        <v>0</v>
      </c>
      <c r="AA13" s="1390">
        <f t="shared" si="45"/>
        <v>0</v>
      </c>
      <c r="AB13" s="1510">
        <f t="shared" si="46"/>
        <v>0</v>
      </c>
      <c r="AC13" s="1394">
        <f t="shared" si="47"/>
        <v>0</v>
      </c>
      <c r="AD13" s="1510">
        <f t="shared" si="48"/>
        <v>0</v>
      </c>
      <c r="AE13" s="1395">
        <v>0</v>
      </c>
      <c r="AF13" s="1510">
        <f t="shared" si="49"/>
        <v>0</v>
      </c>
      <c r="AG13" s="1395"/>
      <c r="AH13" s="1395">
        <f t="shared" si="50"/>
        <v>0</v>
      </c>
      <c r="AI13" s="1510">
        <f t="shared" si="51"/>
        <v>0</v>
      </c>
      <c r="AJ13" s="1505">
        <f t="shared" si="52"/>
        <v>0</v>
      </c>
      <c r="AK13" s="1535">
        <f t="shared" si="53"/>
        <v>0</v>
      </c>
    </row>
    <row r="14" spans="1:37" ht="16.2" customHeight="1">
      <c r="A14" s="1176">
        <v>8</v>
      </c>
      <c r="B14" s="1177" t="s">
        <v>88</v>
      </c>
      <c r="C14" s="1178">
        <f>+'Table 8 Membership 2.1.14'!P10</f>
        <v>0</v>
      </c>
      <c r="D14" s="1179">
        <f>+'Table 5C1A-Madison Prep'!D14</f>
        <v>4669.802459558854</v>
      </c>
      <c r="E14" s="1180">
        <f t="shared" si="33"/>
        <v>0</v>
      </c>
      <c r="F14" s="1180">
        <f>+'Table 5C1A-Madison Prep'!F14</f>
        <v>725.76</v>
      </c>
      <c r="G14" s="1180">
        <f t="shared" si="34"/>
        <v>0</v>
      </c>
      <c r="H14" s="1539">
        <f t="shared" si="35"/>
        <v>0</v>
      </c>
      <c r="I14" s="1181"/>
      <c r="J14" s="1181"/>
      <c r="K14" s="1182">
        <f t="shared" si="36"/>
        <v>0</v>
      </c>
      <c r="L14" s="1539">
        <f t="shared" si="37"/>
        <v>0</v>
      </c>
      <c r="M14" s="1388">
        <f t="shared" si="38"/>
        <v>0</v>
      </c>
      <c r="N14" s="1539">
        <f t="shared" si="39"/>
        <v>0</v>
      </c>
      <c r="O14" s="1179">
        <v>0</v>
      </c>
      <c r="P14" s="1545">
        <f t="shared" si="40"/>
        <v>0</v>
      </c>
      <c r="Q14" s="1181"/>
      <c r="R14" s="1181">
        <f t="shared" si="41"/>
        <v>0</v>
      </c>
      <c r="S14" s="1545">
        <f t="shared" si="42"/>
        <v>0</v>
      </c>
      <c r="T14" s="1545">
        <f t="shared" si="43"/>
        <v>0</v>
      </c>
      <c r="U14" s="1389">
        <f>'Table 5C1A-Madison Prep'!U14</f>
        <v>4024</v>
      </c>
      <c r="V14" s="1515">
        <f t="shared" si="31"/>
        <v>0</v>
      </c>
      <c r="W14" s="1391"/>
      <c r="X14" s="1392">
        <f t="shared" si="44"/>
        <v>0</v>
      </c>
      <c r="Y14" s="1391"/>
      <c r="Z14" s="1392">
        <f t="shared" si="32"/>
        <v>0</v>
      </c>
      <c r="AA14" s="1390">
        <f t="shared" si="45"/>
        <v>0</v>
      </c>
      <c r="AB14" s="1510">
        <f t="shared" si="46"/>
        <v>0</v>
      </c>
      <c r="AC14" s="1394">
        <f t="shared" si="47"/>
        <v>0</v>
      </c>
      <c r="AD14" s="1510">
        <f t="shared" si="48"/>
        <v>0</v>
      </c>
      <c r="AE14" s="1395">
        <v>0</v>
      </c>
      <c r="AF14" s="1510">
        <f t="shared" si="49"/>
        <v>0</v>
      </c>
      <c r="AG14" s="1395"/>
      <c r="AH14" s="1395">
        <f t="shared" si="50"/>
        <v>0</v>
      </c>
      <c r="AI14" s="1510">
        <f t="shared" si="51"/>
        <v>0</v>
      </c>
      <c r="AJ14" s="1505">
        <f t="shared" si="52"/>
        <v>0</v>
      </c>
      <c r="AK14" s="1535">
        <f t="shared" si="53"/>
        <v>0</v>
      </c>
    </row>
    <row r="15" spans="1:37" ht="16.2" customHeight="1">
      <c r="A15" s="1176">
        <v>9</v>
      </c>
      <c r="B15" s="1177" t="s">
        <v>89</v>
      </c>
      <c r="C15" s="1178">
        <f>+'Table 8 Membership 2.1.14'!P11</f>
        <v>0</v>
      </c>
      <c r="D15" s="1179">
        <f>+'Table 5C1A-Madison Prep'!D15</f>
        <v>4632.4615072045008</v>
      </c>
      <c r="E15" s="1180">
        <f t="shared" si="33"/>
        <v>0</v>
      </c>
      <c r="F15" s="1180">
        <f>+'Table 5C1A-Madison Prep'!F15</f>
        <v>744.76</v>
      </c>
      <c r="G15" s="1180">
        <f t="shared" si="34"/>
        <v>0</v>
      </c>
      <c r="H15" s="1539">
        <f t="shared" si="35"/>
        <v>0</v>
      </c>
      <c r="I15" s="1181"/>
      <c r="J15" s="1181"/>
      <c r="K15" s="1182">
        <f t="shared" si="36"/>
        <v>0</v>
      </c>
      <c r="L15" s="1539">
        <f t="shared" si="37"/>
        <v>0</v>
      </c>
      <c r="M15" s="1388">
        <f t="shared" si="38"/>
        <v>0</v>
      </c>
      <c r="N15" s="1539">
        <f t="shared" si="39"/>
        <v>0</v>
      </c>
      <c r="O15" s="1179">
        <v>0</v>
      </c>
      <c r="P15" s="1545">
        <f t="shared" si="40"/>
        <v>0</v>
      </c>
      <c r="Q15" s="1181"/>
      <c r="R15" s="1181">
        <f t="shared" si="41"/>
        <v>0</v>
      </c>
      <c r="S15" s="1545">
        <f t="shared" si="42"/>
        <v>0</v>
      </c>
      <c r="T15" s="1545">
        <f t="shared" si="43"/>
        <v>0</v>
      </c>
      <c r="U15" s="1389">
        <f>'Table 5C1A-Madison Prep'!U15</f>
        <v>4828</v>
      </c>
      <c r="V15" s="1515">
        <f t="shared" si="31"/>
        <v>0</v>
      </c>
      <c r="W15" s="1391"/>
      <c r="X15" s="1392">
        <f t="shared" si="44"/>
        <v>0</v>
      </c>
      <c r="Y15" s="1391"/>
      <c r="Z15" s="1392">
        <f t="shared" si="32"/>
        <v>0</v>
      </c>
      <c r="AA15" s="1390">
        <f t="shared" si="45"/>
        <v>0</v>
      </c>
      <c r="AB15" s="1510">
        <f t="shared" si="46"/>
        <v>0</v>
      </c>
      <c r="AC15" s="1394">
        <f t="shared" si="47"/>
        <v>0</v>
      </c>
      <c r="AD15" s="1510">
        <f t="shared" si="48"/>
        <v>0</v>
      </c>
      <c r="AE15" s="1395">
        <v>0</v>
      </c>
      <c r="AF15" s="1510">
        <f t="shared" si="49"/>
        <v>0</v>
      </c>
      <c r="AG15" s="1395"/>
      <c r="AH15" s="1395">
        <f t="shared" si="50"/>
        <v>0</v>
      </c>
      <c r="AI15" s="1510">
        <f t="shared" si="51"/>
        <v>0</v>
      </c>
      <c r="AJ15" s="1505">
        <f t="shared" si="52"/>
        <v>0</v>
      </c>
      <c r="AK15" s="1535">
        <f t="shared" si="53"/>
        <v>0</v>
      </c>
    </row>
    <row r="16" spans="1:37" ht="16.2" customHeight="1">
      <c r="A16" s="1168">
        <v>10</v>
      </c>
      <c r="B16" s="1169" t="s">
        <v>90</v>
      </c>
      <c r="C16" s="1170">
        <f>+'Table 8 Membership 2.1.14'!P12</f>
        <v>0</v>
      </c>
      <c r="D16" s="1171">
        <f>+'Table 5C1A-Madison Prep'!D16</f>
        <v>4384.374733918472</v>
      </c>
      <c r="E16" s="1172">
        <f t="shared" si="33"/>
        <v>0</v>
      </c>
      <c r="F16" s="1172">
        <f>+'Table 5C1A-Madison Prep'!F16</f>
        <v>608.04000000000008</v>
      </c>
      <c r="G16" s="1172">
        <f t="shared" si="34"/>
        <v>0</v>
      </c>
      <c r="H16" s="1540">
        <f t="shared" si="35"/>
        <v>0</v>
      </c>
      <c r="I16" s="1173"/>
      <c r="J16" s="1173"/>
      <c r="K16" s="1174">
        <f t="shared" si="36"/>
        <v>0</v>
      </c>
      <c r="L16" s="1540">
        <f t="shared" si="37"/>
        <v>0</v>
      </c>
      <c r="M16" s="1399">
        <f t="shared" si="38"/>
        <v>0</v>
      </c>
      <c r="N16" s="1540">
        <f t="shared" si="39"/>
        <v>0</v>
      </c>
      <c r="O16" s="1171">
        <v>0</v>
      </c>
      <c r="P16" s="1546">
        <f t="shared" si="40"/>
        <v>0</v>
      </c>
      <c r="Q16" s="1175"/>
      <c r="R16" s="1173">
        <f t="shared" si="41"/>
        <v>0</v>
      </c>
      <c r="S16" s="1550">
        <f t="shared" si="42"/>
        <v>0</v>
      </c>
      <c r="T16" s="1550">
        <f t="shared" si="43"/>
        <v>0</v>
      </c>
      <c r="U16" s="1382">
        <f>'Table 5C1A-Madison Prep'!U16</f>
        <v>4565</v>
      </c>
      <c r="V16" s="1516">
        <f t="shared" si="31"/>
        <v>0</v>
      </c>
      <c r="W16" s="1400"/>
      <c r="X16" s="1383">
        <f t="shared" si="44"/>
        <v>0</v>
      </c>
      <c r="Y16" s="1400"/>
      <c r="Z16" s="1383">
        <f t="shared" si="32"/>
        <v>0</v>
      </c>
      <c r="AA16" s="1384">
        <f t="shared" si="45"/>
        <v>0</v>
      </c>
      <c r="AB16" s="1511">
        <f t="shared" si="46"/>
        <v>0</v>
      </c>
      <c r="AC16" s="1402">
        <f t="shared" si="47"/>
        <v>0</v>
      </c>
      <c r="AD16" s="1511">
        <f t="shared" si="48"/>
        <v>0</v>
      </c>
      <c r="AE16" s="1385">
        <v>0</v>
      </c>
      <c r="AF16" s="1511">
        <f t="shared" si="49"/>
        <v>0</v>
      </c>
      <c r="AG16" s="1385"/>
      <c r="AH16" s="1385">
        <f t="shared" si="50"/>
        <v>0</v>
      </c>
      <c r="AI16" s="1511">
        <f t="shared" si="51"/>
        <v>0</v>
      </c>
      <c r="AJ16" s="1531">
        <f t="shared" si="52"/>
        <v>0</v>
      </c>
      <c r="AK16" s="1536">
        <f t="shared" si="53"/>
        <v>0</v>
      </c>
    </row>
    <row r="17" spans="1:37" ht="16.2" customHeight="1">
      <c r="A17" s="1183">
        <v>11</v>
      </c>
      <c r="B17" s="1184" t="s">
        <v>91</v>
      </c>
      <c r="C17" s="1185">
        <f>+'Table 8 Membership 2.1.14'!P13</f>
        <v>0</v>
      </c>
      <c r="D17" s="1186">
        <f>+'Table 5C1A-Madison Prep'!D17</f>
        <v>7098.5372236353351</v>
      </c>
      <c r="E17" s="1187">
        <f t="shared" si="33"/>
        <v>0</v>
      </c>
      <c r="F17" s="1187">
        <f>+'Table 5C1A-Madison Prep'!F17</f>
        <v>706.55</v>
      </c>
      <c r="G17" s="1187">
        <f t="shared" si="34"/>
        <v>0</v>
      </c>
      <c r="H17" s="1538">
        <f t="shared" si="35"/>
        <v>0</v>
      </c>
      <c r="I17" s="1188"/>
      <c r="J17" s="1188"/>
      <c r="K17" s="1189">
        <f t="shared" si="36"/>
        <v>0</v>
      </c>
      <c r="L17" s="1538">
        <f t="shared" si="37"/>
        <v>0</v>
      </c>
      <c r="M17" s="1372">
        <f t="shared" si="38"/>
        <v>0</v>
      </c>
      <c r="N17" s="1538">
        <f t="shared" si="39"/>
        <v>0</v>
      </c>
      <c r="O17" s="1186">
        <v>0</v>
      </c>
      <c r="P17" s="1544">
        <f t="shared" si="40"/>
        <v>0</v>
      </c>
      <c r="Q17" s="1188"/>
      <c r="R17" s="1188">
        <f t="shared" si="41"/>
        <v>0</v>
      </c>
      <c r="S17" s="1544">
        <f t="shared" si="42"/>
        <v>0</v>
      </c>
      <c r="T17" s="1544">
        <f t="shared" si="43"/>
        <v>0</v>
      </c>
      <c r="U17" s="1373">
        <f>'Table 5C1A-Madison Prep'!U17</f>
        <v>3587</v>
      </c>
      <c r="V17" s="1514">
        <f t="shared" si="31"/>
        <v>0</v>
      </c>
      <c r="W17" s="1375"/>
      <c r="X17" s="1376">
        <f t="shared" si="44"/>
        <v>0</v>
      </c>
      <c r="Y17" s="1375"/>
      <c r="Z17" s="1376">
        <f t="shared" si="32"/>
        <v>0</v>
      </c>
      <c r="AA17" s="1374">
        <f t="shared" si="45"/>
        <v>0</v>
      </c>
      <c r="AB17" s="1509">
        <f t="shared" si="46"/>
        <v>0</v>
      </c>
      <c r="AC17" s="1378">
        <f t="shared" si="47"/>
        <v>0</v>
      </c>
      <c r="AD17" s="1509">
        <f t="shared" si="48"/>
        <v>0</v>
      </c>
      <c r="AE17" s="1379">
        <v>0</v>
      </c>
      <c r="AF17" s="1509">
        <f t="shared" si="49"/>
        <v>0</v>
      </c>
      <c r="AG17" s="1379"/>
      <c r="AH17" s="1379">
        <f t="shared" si="50"/>
        <v>0</v>
      </c>
      <c r="AI17" s="1509">
        <f t="shared" si="51"/>
        <v>0</v>
      </c>
      <c r="AJ17" s="1530">
        <f t="shared" si="52"/>
        <v>0</v>
      </c>
      <c r="AK17" s="1534">
        <f t="shared" si="53"/>
        <v>0</v>
      </c>
    </row>
    <row r="18" spans="1:37" ht="16.2" customHeight="1">
      <c r="A18" s="1176">
        <v>12</v>
      </c>
      <c r="B18" s="1177" t="s">
        <v>92</v>
      </c>
      <c r="C18" s="1178">
        <f>+'Table 8 Membership 2.1.14'!P14</f>
        <v>0</v>
      </c>
      <c r="D18" s="1179">
        <f>+'Table 5C1A-Madison Prep'!D18</f>
        <v>1666.6040983606558</v>
      </c>
      <c r="E18" s="1180">
        <f t="shared" si="33"/>
        <v>0</v>
      </c>
      <c r="F18" s="1180">
        <f>+'Table 5C1A-Madison Prep'!F18</f>
        <v>1063.31</v>
      </c>
      <c r="G18" s="1180">
        <f t="shared" si="34"/>
        <v>0</v>
      </c>
      <c r="H18" s="1539">
        <f t="shared" si="35"/>
        <v>0</v>
      </c>
      <c r="I18" s="1181"/>
      <c r="J18" s="1181"/>
      <c r="K18" s="1182">
        <f t="shared" si="36"/>
        <v>0</v>
      </c>
      <c r="L18" s="1539">
        <f t="shared" si="37"/>
        <v>0</v>
      </c>
      <c r="M18" s="1388">
        <f t="shared" si="38"/>
        <v>0</v>
      </c>
      <c r="N18" s="1539">
        <f t="shared" si="39"/>
        <v>0</v>
      </c>
      <c r="O18" s="1179">
        <v>0</v>
      </c>
      <c r="P18" s="1545">
        <f t="shared" si="40"/>
        <v>0</v>
      </c>
      <c r="Q18" s="1181"/>
      <c r="R18" s="1181">
        <f t="shared" si="41"/>
        <v>0</v>
      </c>
      <c r="S18" s="1545">
        <f t="shared" si="42"/>
        <v>0</v>
      </c>
      <c r="T18" s="1545">
        <f t="shared" si="43"/>
        <v>0</v>
      </c>
      <c r="U18" s="1389">
        <f>'Table 5C1A-Madison Prep'!U18</f>
        <v>8094</v>
      </c>
      <c r="V18" s="1515">
        <f t="shared" si="31"/>
        <v>0</v>
      </c>
      <c r="W18" s="1391"/>
      <c r="X18" s="1392">
        <f t="shared" si="44"/>
        <v>0</v>
      </c>
      <c r="Y18" s="1391"/>
      <c r="Z18" s="1392">
        <f t="shared" si="32"/>
        <v>0</v>
      </c>
      <c r="AA18" s="1390">
        <f t="shared" si="45"/>
        <v>0</v>
      </c>
      <c r="AB18" s="1510">
        <f t="shared" si="46"/>
        <v>0</v>
      </c>
      <c r="AC18" s="1394">
        <f t="shared" si="47"/>
        <v>0</v>
      </c>
      <c r="AD18" s="1510">
        <f t="shared" si="48"/>
        <v>0</v>
      </c>
      <c r="AE18" s="1395">
        <v>0</v>
      </c>
      <c r="AF18" s="1510">
        <f t="shared" si="49"/>
        <v>0</v>
      </c>
      <c r="AG18" s="1395"/>
      <c r="AH18" s="1395">
        <f t="shared" si="50"/>
        <v>0</v>
      </c>
      <c r="AI18" s="1510">
        <f t="shared" si="51"/>
        <v>0</v>
      </c>
      <c r="AJ18" s="1505">
        <f t="shared" si="52"/>
        <v>0</v>
      </c>
      <c r="AK18" s="1535">
        <f t="shared" si="53"/>
        <v>0</v>
      </c>
    </row>
    <row r="19" spans="1:37" ht="16.2" customHeight="1">
      <c r="A19" s="1176">
        <v>13</v>
      </c>
      <c r="B19" s="1177" t="s">
        <v>93</v>
      </c>
      <c r="C19" s="1178">
        <f>+'Table 8 Membership 2.1.14'!P15</f>
        <v>0</v>
      </c>
      <c r="D19" s="1179">
        <f>+'Table 5C1A-Madison Prep'!D19</f>
        <v>6433.6297758332212</v>
      </c>
      <c r="E19" s="1180">
        <f t="shared" si="33"/>
        <v>0</v>
      </c>
      <c r="F19" s="1180">
        <f>+'Table 5C1A-Madison Prep'!F19</f>
        <v>749.43000000000006</v>
      </c>
      <c r="G19" s="1180">
        <f t="shared" si="34"/>
        <v>0</v>
      </c>
      <c r="H19" s="1539">
        <f t="shared" si="35"/>
        <v>0</v>
      </c>
      <c r="I19" s="1181"/>
      <c r="J19" s="1181"/>
      <c r="K19" s="1182">
        <f t="shared" si="36"/>
        <v>0</v>
      </c>
      <c r="L19" s="1539">
        <f t="shared" si="37"/>
        <v>0</v>
      </c>
      <c r="M19" s="1388">
        <f t="shared" si="38"/>
        <v>0</v>
      </c>
      <c r="N19" s="1539">
        <f t="shared" si="39"/>
        <v>0</v>
      </c>
      <c r="O19" s="1179">
        <v>0</v>
      </c>
      <c r="P19" s="1545">
        <f t="shared" si="40"/>
        <v>0</v>
      </c>
      <c r="Q19" s="1181"/>
      <c r="R19" s="1181">
        <f t="shared" si="41"/>
        <v>0</v>
      </c>
      <c r="S19" s="1545">
        <f t="shared" si="42"/>
        <v>0</v>
      </c>
      <c r="T19" s="1545">
        <f t="shared" si="43"/>
        <v>0</v>
      </c>
      <c r="U19" s="1389">
        <f>'Table 5C1A-Madison Prep'!U19</f>
        <v>2842</v>
      </c>
      <c r="V19" s="1515">
        <f t="shared" si="31"/>
        <v>0</v>
      </c>
      <c r="W19" s="1391"/>
      <c r="X19" s="1392">
        <f t="shared" si="44"/>
        <v>0</v>
      </c>
      <c r="Y19" s="1391"/>
      <c r="Z19" s="1392">
        <f t="shared" si="32"/>
        <v>0</v>
      </c>
      <c r="AA19" s="1390">
        <f t="shared" si="45"/>
        <v>0</v>
      </c>
      <c r="AB19" s="1510">
        <f t="shared" si="46"/>
        <v>0</v>
      </c>
      <c r="AC19" s="1394">
        <f t="shared" si="47"/>
        <v>0</v>
      </c>
      <c r="AD19" s="1510">
        <f t="shared" si="48"/>
        <v>0</v>
      </c>
      <c r="AE19" s="1395">
        <v>0</v>
      </c>
      <c r="AF19" s="1510">
        <f t="shared" si="49"/>
        <v>0</v>
      </c>
      <c r="AG19" s="1395"/>
      <c r="AH19" s="1395">
        <f t="shared" si="50"/>
        <v>0</v>
      </c>
      <c r="AI19" s="1510">
        <f t="shared" si="51"/>
        <v>0</v>
      </c>
      <c r="AJ19" s="1505">
        <f t="shared" si="52"/>
        <v>0</v>
      </c>
      <c r="AK19" s="1535">
        <f t="shared" si="53"/>
        <v>0</v>
      </c>
    </row>
    <row r="20" spans="1:37" ht="16.2" customHeight="1">
      <c r="A20" s="1176">
        <v>14</v>
      </c>
      <c r="B20" s="1177" t="s">
        <v>94</v>
      </c>
      <c r="C20" s="1178">
        <f>+'Table 8 Membership 2.1.14'!P16</f>
        <v>0</v>
      </c>
      <c r="D20" s="1179">
        <f>+'Table 5C1A-Madison Prep'!D20</f>
        <v>5334.9509412500001</v>
      </c>
      <c r="E20" s="1180">
        <f t="shared" si="33"/>
        <v>0</v>
      </c>
      <c r="F20" s="1180">
        <f>+'Table 5C1A-Madison Prep'!F20</f>
        <v>809.9799999999999</v>
      </c>
      <c r="G20" s="1180">
        <f t="shared" si="34"/>
        <v>0</v>
      </c>
      <c r="H20" s="1539">
        <f t="shared" si="35"/>
        <v>0</v>
      </c>
      <c r="I20" s="1181"/>
      <c r="J20" s="1181"/>
      <c r="K20" s="1182">
        <f t="shared" si="36"/>
        <v>0</v>
      </c>
      <c r="L20" s="1539">
        <f t="shared" si="37"/>
        <v>0</v>
      </c>
      <c r="M20" s="1388">
        <f t="shared" si="38"/>
        <v>0</v>
      </c>
      <c r="N20" s="1539">
        <f t="shared" si="39"/>
        <v>0</v>
      </c>
      <c r="O20" s="1179">
        <v>0</v>
      </c>
      <c r="P20" s="1545">
        <f t="shared" si="40"/>
        <v>0</v>
      </c>
      <c r="Q20" s="1181"/>
      <c r="R20" s="1181">
        <f t="shared" si="41"/>
        <v>0</v>
      </c>
      <c r="S20" s="1545">
        <f t="shared" si="42"/>
        <v>0</v>
      </c>
      <c r="T20" s="1545">
        <f t="shared" si="43"/>
        <v>0</v>
      </c>
      <c r="U20" s="1389">
        <f>'Table 5C1A-Madison Prep'!U20</f>
        <v>4205</v>
      </c>
      <c r="V20" s="1515">
        <f t="shared" si="31"/>
        <v>0</v>
      </c>
      <c r="W20" s="1391"/>
      <c r="X20" s="1392">
        <f t="shared" si="44"/>
        <v>0</v>
      </c>
      <c r="Y20" s="1391"/>
      <c r="Z20" s="1392">
        <f t="shared" si="32"/>
        <v>0</v>
      </c>
      <c r="AA20" s="1390">
        <f t="shared" si="45"/>
        <v>0</v>
      </c>
      <c r="AB20" s="1510">
        <f t="shared" si="46"/>
        <v>0</v>
      </c>
      <c r="AC20" s="1394">
        <f t="shared" si="47"/>
        <v>0</v>
      </c>
      <c r="AD20" s="1510">
        <f t="shared" si="48"/>
        <v>0</v>
      </c>
      <c r="AE20" s="1395">
        <v>0</v>
      </c>
      <c r="AF20" s="1510">
        <f t="shared" si="49"/>
        <v>0</v>
      </c>
      <c r="AG20" s="1395"/>
      <c r="AH20" s="1395">
        <f t="shared" si="50"/>
        <v>0</v>
      </c>
      <c r="AI20" s="1510">
        <f t="shared" si="51"/>
        <v>0</v>
      </c>
      <c r="AJ20" s="1505">
        <f t="shared" si="52"/>
        <v>0</v>
      </c>
      <c r="AK20" s="1535">
        <f t="shared" si="53"/>
        <v>0</v>
      </c>
    </row>
    <row r="21" spans="1:37" ht="16.2" customHeight="1">
      <c r="A21" s="1168">
        <v>15</v>
      </c>
      <c r="B21" s="1169" t="s">
        <v>95</v>
      </c>
      <c r="C21" s="1170">
        <f>+'Table 8 Membership 2.1.14'!P17</f>
        <v>0</v>
      </c>
      <c r="D21" s="1171">
        <f>+'Table 5C1A-Madison Prep'!D21</f>
        <v>5749.8285214059952</v>
      </c>
      <c r="E21" s="1172">
        <f t="shared" si="33"/>
        <v>0</v>
      </c>
      <c r="F21" s="1172">
        <f>+'Table 5C1A-Madison Prep'!F21</f>
        <v>553.79999999999995</v>
      </c>
      <c r="G21" s="1172">
        <f t="shared" si="34"/>
        <v>0</v>
      </c>
      <c r="H21" s="1540">
        <f t="shared" si="35"/>
        <v>0</v>
      </c>
      <c r="I21" s="1173"/>
      <c r="J21" s="1173"/>
      <c r="K21" s="1174">
        <f t="shared" si="36"/>
        <v>0</v>
      </c>
      <c r="L21" s="1540">
        <f t="shared" si="37"/>
        <v>0</v>
      </c>
      <c r="M21" s="1399">
        <f t="shared" si="38"/>
        <v>0</v>
      </c>
      <c r="N21" s="1540">
        <f t="shared" si="39"/>
        <v>0</v>
      </c>
      <c r="O21" s="1171">
        <v>0</v>
      </c>
      <c r="P21" s="1546">
        <f t="shared" si="40"/>
        <v>0</v>
      </c>
      <c r="Q21" s="1175"/>
      <c r="R21" s="1173">
        <f t="shared" si="41"/>
        <v>0</v>
      </c>
      <c r="S21" s="1550">
        <f t="shared" si="42"/>
        <v>0</v>
      </c>
      <c r="T21" s="1550">
        <f t="shared" si="43"/>
        <v>0</v>
      </c>
      <c r="U21" s="1382">
        <f>'Table 5C1A-Madison Prep'!U21</f>
        <v>2535</v>
      </c>
      <c r="V21" s="1516">
        <f t="shared" si="31"/>
        <v>0</v>
      </c>
      <c r="W21" s="1400"/>
      <c r="X21" s="1383">
        <f t="shared" si="44"/>
        <v>0</v>
      </c>
      <c r="Y21" s="1400"/>
      <c r="Z21" s="1383">
        <f t="shared" si="32"/>
        <v>0</v>
      </c>
      <c r="AA21" s="1384">
        <f t="shared" si="45"/>
        <v>0</v>
      </c>
      <c r="AB21" s="1511">
        <f t="shared" si="46"/>
        <v>0</v>
      </c>
      <c r="AC21" s="1402">
        <f t="shared" si="47"/>
        <v>0</v>
      </c>
      <c r="AD21" s="1511">
        <f t="shared" si="48"/>
        <v>0</v>
      </c>
      <c r="AE21" s="1385">
        <v>0</v>
      </c>
      <c r="AF21" s="1511">
        <f t="shared" si="49"/>
        <v>0</v>
      </c>
      <c r="AG21" s="1385"/>
      <c r="AH21" s="1385">
        <f t="shared" si="50"/>
        <v>0</v>
      </c>
      <c r="AI21" s="1511">
        <f t="shared" si="51"/>
        <v>0</v>
      </c>
      <c r="AJ21" s="1531">
        <f t="shared" si="52"/>
        <v>0</v>
      </c>
      <c r="AK21" s="1536">
        <f t="shared" si="53"/>
        <v>0</v>
      </c>
    </row>
    <row r="22" spans="1:37" ht="16.2" customHeight="1">
      <c r="A22" s="1183">
        <v>16</v>
      </c>
      <c r="B22" s="1184" t="s">
        <v>96</v>
      </c>
      <c r="C22" s="1185">
        <f>+'Table 8 Membership 2.1.14'!P18</f>
        <v>0</v>
      </c>
      <c r="D22" s="1186">
        <f>+'Table 5C1A-Madison Prep'!D22</f>
        <v>1980.2494354342025</v>
      </c>
      <c r="E22" s="1187">
        <f t="shared" si="33"/>
        <v>0</v>
      </c>
      <c r="F22" s="1187">
        <f>+'Table 5C1A-Madison Prep'!F22</f>
        <v>686.73</v>
      </c>
      <c r="G22" s="1187">
        <f t="shared" si="34"/>
        <v>0</v>
      </c>
      <c r="H22" s="1538">
        <f t="shared" si="35"/>
        <v>0</v>
      </c>
      <c r="I22" s="1188"/>
      <c r="J22" s="1188"/>
      <c r="K22" s="1189">
        <f t="shared" si="36"/>
        <v>0</v>
      </c>
      <c r="L22" s="1538">
        <f t="shared" si="37"/>
        <v>0</v>
      </c>
      <c r="M22" s="1372">
        <f t="shared" si="38"/>
        <v>0</v>
      </c>
      <c r="N22" s="1538">
        <f t="shared" si="39"/>
        <v>0</v>
      </c>
      <c r="O22" s="1186">
        <v>0</v>
      </c>
      <c r="P22" s="1544">
        <f t="shared" si="40"/>
        <v>0</v>
      </c>
      <c r="Q22" s="1188"/>
      <c r="R22" s="1188">
        <f t="shared" si="41"/>
        <v>0</v>
      </c>
      <c r="S22" s="1544">
        <f t="shared" si="42"/>
        <v>0</v>
      </c>
      <c r="T22" s="1544">
        <f t="shared" si="43"/>
        <v>0</v>
      </c>
      <c r="U22" s="1373">
        <f>'Table 5C1A-Madison Prep'!U22</f>
        <v>12768</v>
      </c>
      <c r="V22" s="1514">
        <f t="shared" si="31"/>
        <v>0</v>
      </c>
      <c r="W22" s="1375"/>
      <c r="X22" s="1376">
        <f t="shared" si="44"/>
        <v>0</v>
      </c>
      <c r="Y22" s="1375"/>
      <c r="Z22" s="1376">
        <f t="shared" si="32"/>
        <v>0</v>
      </c>
      <c r="AA22" s="1374">
        <f t="shared" si="45"/>
        <v>0</v>
      </c>
      <c r="AB22" s="1509">
        <f t="shared" si="46"/>
        <v>0</v>
      </c>
      <c r="AC22" s="1378">
        <f t="shared" si="47"/>
        <v>0</v>
      </c>
      <c r="AD22" s="1509">
        <f t="shared" si="48"/>
        <v>0</v>
      </c>
      <c r="AE22" s="1379">
        <v>0</v>
      </c>
      <c r="AF22" s="1509">
        <f t="shared" si="49"/>
        <v>0</v>
      </c>
      <c r="AG22" s="1379"/>
      <c r="AH22" s="1379">
        <f t="shared" si="50"/>
        <v>0</v>
      </c>
      <c r="AI22" s="1509">
        <f t="shared" si="51"/>
        <v>0</v>
      </c>
      <c r="AJ22" s="1530">
        <f t="shared" si="52"/>
        <v>0</v>
      </c>
      <c r="AK22" s="1534">
        <f t="shared" si="53"/>
        <v>0</v>
      </c>
    </row>
    <row r="23" spans="1:37" ht="16.2" customHeight="1">
      <c r="A23" s="1176">
        <v>17</v>
      </c>
      <c r="B23" s="1177" t="s">
        <v>97</v>
      </c>
      <c r="C23" s="1178">
        <f>+'Table 8 Membership 2.1.14'!P19</f>
        <v>0</v>
      </c>
      <c r="D23" s="1179">
        <f>+'Table 5C1A-Madison Prep'!D23</f>
        <v>3363.5980368254495</v>
      </c>
      <c r="E23" s="1180">
        <f t="shared" si="33"/>
        <v>0</v>
      </c>
      <c r="F23" s="1180">
        <f>+'Table 5C1A-Madison Prep'!F23</f>
        <v>801.47762416806802</v>
      </c>
      <c r="G23" s="1180">
        <f t="shared" si="34"/>
        <v>0</v>
      </c>
      <c r="H23" s="1539">
        <f t="shared" si="35"/>
        <v>0</v>
      </c>
      <c r="I23" s="1181"/>
      <c r="J23" s="1181"/>
      <c r="K23" s="1182">
        <f t="shared" si="36"/>
        <v>0</v>
      </c>
      <c r="L23" s="1539">
        <f t="shared" si="37"/>
        <v>0</v>
      </c>
      <c r="M23" s="1388">
        <f t="shared" si="38"/>
        <v>0</v>
      </c>
      <c r="N23" s="1539">
        <f t="shared" si="39"/>
        <v>0</v>
      </c>
      <c r="O23" s="1179">
        <v>0</v>
      </c>
      <c r="P23" s="1545">
        <f t="shared" si="40"/>
        <v>0</v>
      </c>
      <c r="Q23" s="1181"/>
      <c r="R23" s="1181">
        <f t="shared" si="41"/>
        <v>0</v>
      </c>
      <c r="S23" s="1545">
        <f t="shared" si="42"/>
        <v>0</v>
      </c>
      <c r="T23" s="1545">
        <f t="shared" si="43"/>
        <v>0</v>
      </c>
      <c r="U23" s="1389">
        <f>'Table 5C1A-Madison Prep'!U23</f>
        <v>7050</v>
      </c>
      <c r="V23" s="1515">
        <f t="shared" si="31"/>
        <v>0</v>
      </c>
      <c r="W23" s="1391"/>
      <c r="X23" s="1392">
        <f t="shared" si="44"/>
        <v>0</v>
      </c>
      <c r="Y23" s="1391"/>
      <c r="Z23" s="1392">
        <f t="shared" si="32"/>
        <v>0</v>
      </c>
      <c r="AA23" s="1390">
        <f t="shared" si="45"/>
        <v>0</v>
      </c>
      <c r="AB23" s="1510">
        <f t="shared" si="46"/>
        <v>0</v>
      </c>
      <c r="AC23" s="1394">
        <f t="shared" si="47"/>
        <v>0</v>
      </c>
      <c r="AD23" s="1510">
        <f t="shared" si="48"/>
        <v>0</v>
      </c>
      <c r="AE23" s="1395">
        <v>0</v>
      </c>
      <c r="AF23" s="1510">
        <f t="shared" si="49"/>
        <v>0</v>
      </c>
      <c r="AG23" s="1395"/>
      <c r="AH23" s="1395">
        <f t="shared" si="50"/>
        <v>0</v>
      </c>
      <c r="AI23" s="1510">
        <f t="shared" si="51"/>
        <v>0</v>
      </c>
      <c r="AJ23" s="1505">
        <f t="shared" si="52"/>
        <v>0</v>
      </c>
      <c r="AK23" s="1535">
        <f t="shared" si="53"/>
        <v>0</v>
      </c>
    </row>
    <row r="24" spans="1:37" ht="16.2" customHeight="1">
      <c r="A24" s="1176">
        <v>18</v>
      </c>
      <c r="B24" s="1177" t="s">
        <v>98</v>
      </c>
      <c r="C24" s="1178">
        <f>+'Table 8 Membership 2.1.14'!P20</f>
        <v>0</v>
      </c>
      <c r="D24" s="1179">
        <f>+'Table 5C1A-Madison Prep'!D24</f>
        <v>6354.5533500475731</v>
      </c>
      <c r="E24" s="1180">
        <f t="shared" si="33"/>
        <v>0</v>
      </c>
      <c r="F24" s="1180">
        <f>+'Table 5C1A-Madison Prep'!F24</f>
        <v>845.94999999999993</v>
      </c>
      <c r="G24" s="1180">
        <f t="shared" si="34"/>
        <v>0</v>
      </c>
      <c r="H24" s="1539">
        <f t="shared" si="35"/>
        <v>0</v>
      </c>
      <c r="I24" s="1181"/>
      <c r="J24" s="1181"/>
      <c r="K24" s="1182">
        <f t="shared" si="36"/>
        <v>0</v>
      </c>
      <c r="L24" s="1539">
        <f t="shared" si="37"/>
        <v>0</v>
      </c>
      <c r="M24" s="1388">
        <f t="shared" si="38"/>
        <v>0</v>
      </c>
      <c r="N24" s="1539">
        <f t="shared" si="39"/>
        <v>0</v>
      </c>
      <c r="O24" s="1179">
        <v>0</v>
      </c>
      <c r="P24" s="1545">
        <f t="shared" si="40"/>
        <v>0</v>
      </c>
      <c r="Q24" s="1181"/>
      <c r="R24" s="1181">
        <f t="shared" si="41"/>
        <v>0</v>
      </c>
      <c r="S24" s="1545">
        <f t="shared" si="42"/>
        <v>0</v>
      </c>
      <c r="T24" s="1545">
        <f t="shared" si="43"/>
        <v>0</v>
      </c>
      <c r="U24" s="1389">
        <f>'Table 5C1A-Madison Prep'!U24</f>
        <v>2526</v>
      </c>
      <c r="V24" s="1515">
        <f t="shared" si="31"/>
        <v>0</v>
      </c>
      <c r="W24" s="1391"/>
      <c r="X24" s="1392">
        <f t="shared" si="44"/>
        <v>0</v>
      </c>
      <c r="Y24" s="1391"/>
      <c r="Z24" s="1392">
        <f t="shared" si="32"/>
        <v>0</v>
      </c>
      <c r="AA24" s="1390">
        <f t="shared" si="45"/>
        <v>0</v>
      </c>
      <c r="AB24" s="1510">
        <f t="shared" si="46"/>
        <v>0</v>
      </c>
      <c r="AC24" s="1394">
        <f t="shared" si="47"/>
        <v>0</v>
      </c>
      <c r="AD24" s="1510">
        <f t="shared" si="48"/>
        <v>0</v>
      </c>
      <c r="AE24" s="1395">
        <v>0</v>
      </c>
      <c r="AF24" s="1510">
        <f t="shared" si="49"/>
        <v>0</v>
      </c>
      <c r="AG24" s="1395"/>
      <c r="AH24" s="1395">
        <f t="shared" si="50"/>
        <v>0</v>
      </c>
      <c r="AI24" s="1510">
        <f t="shared" si="51"/>
        <v>0</v>
      </c>
      <c r="AJ24" s="1505">
        <f t="shared" si="52"/>
        <v>0</v>
      </c>
      <c r="AK24" s="1535">
        <f t="shared" si="53"/>
        <v>0</v>
      </c>
    </row>
    <row r="25" spans="1:37" ht="16.2" customHeight="1">
      <c r="A25" s="1176">
        <v>19</v>
      </c>
      <c r="B25" s="1177" t="s">
        <v>99</v>
      </c>
      <c r="C25" s="1178">
        <f>+'Table 8 Membership 2.1.14'!P21</f>
        <v>0</v>
      </c>
      <c r="D25" s="1179">
        <f>+'Table 5C1A-Madison Prep'!D25</f>
        <v>5314.3921869460446</v>
      </c>
      <c r="E25" s="1180">
        <f t="shared" si="33"/>
        <v>0</v>
      </c>
      <c r="F25" s="1180">
        <f>+'Table 5C1A-Madison Prep'!F25</f>
        <v>905.43</v>
      </c>
      <c r="G25" s="1180">
        <f t="shared" si="34"/>
        <v>0</v>
      </c>
      <c r="H25" s="1539">
        <f t="shared" si="35"/>
        <v>0</v>
      </c>
      <c r="I25" s="1181"/>
      <c r="J25" s="1181"/>
      <c r="K25" s="1182">
        <f t="shared" si="36"/>
        <v>0</v>
      </c>
      <c r="L25" s="1539">
        <f t="shared" si="37"/>
        <v>0</v>
      </c>
      <c r="M25" s="1388">
        <f t="shared" si="38"/>
        <v>0</v>
      </c>
      <c r="N25" s="1539">
        <f t="shared" si="39"/>
        <v>0</v>
      </c>
      <c r="O25" s="1179">
        <v>0</v>
      </c>
      <c r="P25" s="1545">
        <f t="shared" si="40"/>
        <v>0</v>
      </c>
      <c r="Q25" s="1181"/>
      <c r="R25" s="1181">
        <f t="shared" si="41"/>
        <v>0</v>
      </c>
      <c r="S25" s="1545">
        <f t="shared" si="42"/>
        <v>0</v>
      </c>
      <c r="T25" s="1545">
        <f t="shared" si="43"/>
        <v>0</v>
      </c>
      <c r="U25" s="1389">
        <f>'Table 5C1A-Madison Prep'!U25</f>
        <v>2908</v>
      </c>
      <c r="V25" s="1515">
        <f t="shared" si="31"/>
        <v>0</v>
      </c>
      <c r="W25" s="1391"/>
      <c r="X25" s="1392">
        <f t="shared" si="44"/>
        <v>0</v>
      </c>
      <c r="Y25" s="1391"/>
      <c r="Z25" s="1392">
        <f t="shared" si="32"/>
        <v>0</v>
      </c>
      <c r="AA25" s="1390">
        <f t="shared" si="45"/>
        <v>0</v>
      </c>
      <c r="AB25" s="1510">
        <f t="shared" si="46"/>
        <v>0</v>
      </c>
      <c r="AC25" s="1394">
        <f t="shared" si="47"/>
        <v>0</v>
      </c>
      <c r="AD25" s="1510">
        <f t="shared" si="48"/>
        <v>0</v>
      </c>
      <c r="AE25" s="1395">
        <v>0</v>
      </c>
      <c r="AF25" s="1510">
        <f t="shared" si="49"/>
        <v>0</v>
      </c>
      <c r="AG25" s="1395"/>
      <c r="AH25" s="1395">
        <f t="shared" si="50"/>
        <v>0</v>
      </c>
      <c r="AI25" s="1510">
        <f t="shared" si="51"/>
        <v>0</v>
      </c>
      <c r="AJ25" s="1505">
        <f t="shared" si="52"/>
        <v>0</v>
      </c>
      <c r="AK25" s="1535">
        <f t="shared" si="53"/>
        <v>0</v>
      </c>
    </row>
    <row r="26" spans="1:37" ht="16.2" customHeight="1">
      <c r="A26" s="1168">
        <v>20</v>
      </c>
      <c r="B26" s="1169" t="s">
        <v>100</v>
      </c>
      <c r="C26" s="1170">
        <f>+'Table 8 Membership 2.1.14'!P22</f>
        <v>0</v>
      </c>
      <c r="D26" s="1171">
        <f>+'Table 5C1A-Madison Prep'!D26</f>
        <v>5278.5201565562011</v>
      </c>
      <c r="E26" s="1172">
        <f t="shared" si="33"/>
        <v>0</v>
      </c>
      <c r="F26" s="1172">
        <f>+'Table 5C1A-Madison Prep'!F26</f>
        <v>586.16999999999996</v>
      </c>
      <c r="G26" s="1172">
        <f t="shared" si="34"/>
        <v>0</v>
      </c>
      <c r="H26" s="1540">
        <f t="shared" si="35"/>
        <v>0</v>
      </c>
      <c r="I26" s="1173"/>
      <c r="J26" s="1173"/>
      <c r="K26" s="1174">
        <f t="shared" si="36"/>
        <v>0</v>
      </c>
      <c r="L26" s="1540">
        <f t="shared" si="37"/>
        <v>0</v>
      </c>
      <c r="M26" s="1399">
        <f t="shared" si="38"/>
        <v>0</v>
      </c>
      <c r="N26" s="1540">
        <f t="shared" si="39"/>
        <v>0</v>
      </c>
      <c r="O26" s="1171">
        <v>0</v>
      </c>
      <c r="P26" s="1546">
        <f t="shared" si="40"/>
        <v>0</v>
      </c>
      <c r="Q26" s="1175"/>
      <c r="R26" s="1173">
        <f t="shared" si="41"/>
        <v>0</v>
      </c>
      <c r="S26" s="1550">
        <f t="shared" si="42"/>
        <v>0</v>
      </c>
      <c r="T26" s="1550">
        <f t="shared" si="43"/>
        <v>0</v>
      </c>
      <c r="U26" s="1382">
        <f>'Table 5C1A-Madison Prep'!U26</f>
        <v>2432</v>
      </c>
      <c r="V26" s="1516">
        <f t="shared" si="31"/>
        <v>0</v>
      </c>
      <c r="W26" s="1400"/>
      <c r="X26" s="1383">
        <f t="shared" si="44"/>
        <v>0</v>
      </c>
      <c r="Y26" s="1400"/>
      <c r="Z26" s="1383">
        <f t="shared" si="32"/>
        <v>0</v>
      </c>
      <c r="AA26" s="1384">
        <f t="shared" si="45"/>
        <v>0</v>
      </c>
      <c r="AB26" s="1511">
        <f t="shared" si="46"/>
        <v>0</v>
      </c>
      <c r="AC26" s="1402">
        <f t="shared" si="47"/>
        <v>0</v>
      </c>
      <c r="AD26" s="1511">
        <f t="shared" si="48"/>
        <v>0</v>
      </c>
      <c r="AE26" s="1385">
        <v>0</v>
      </c>
      <c r="AF26" s="1511">
        <f t="shared" si="49"/>
        <v>0</v>
      </c>
      <c r="AG26" s="1385"/>
      <c r="AH26" s="1385">
        <f t="shared" si="50"/>
        <v>0</v>
      </c>
      <c r="AI26" s="1511">
        <f t="shared" si="51"/>
        <v>0</v>
      </c>
      <c r="AJ26" s="1531">
        <f t="shared" si="52"/>
        <v>0</v>
      </c>
      <c r="AK26" s="1536">
        <f t="shared" si="53"/>
        <v>0</v>
      </c>
    </row>
    <row r="27" spans="1:37" ht="16.2" customHeight="1">
      <c r="A27" s="1183">
        <v>21</v>
      </c>
      <c r="B27" s="1184" t="s">
        <v>101</v>
      </c>
      <c r="C27" s="1185">
        <f>+'Table 8 Membership 2.1.14'!P23</f>
        <v>0</v>
      </c>
      <c r="D27" s="1186">
        <f>+'Table 5C1A-Madison Prep'!D27</f>
        <v>6082.3042295867763</v>
      </c>
      <c r="E27" s="1187">
        <f t="shared" si="33"/>
        <v>0</v>
      </c>
      <c r="F27" s="1187">
        <f>+'Table 5C1A-Madison Prep'!F27</f>
        <v>610.35</v>
      </c>
      <c r="G27" s="1187">
        <f t="shared" si="34"/>
        <v>0</v>
      </c>
      <c r="H27" s="1538">
        <f t="shared" si="35"/>
        <v>0</v>
      </c>
      <c r="I27" s="1188"/>
      <c r="J27" s="1188"/>
      <c r="K27" s="1189">
        <f t="shared" si="36"/>
        <v>0</v>
      </c>
      <c r="L27" s="1538">
        <f t="shared" si="37"/>
        <v>0</v>
      </c>
      <c r="M27" s="1372">
        <f t="shared" si="38"/>
        <v>0</v>
      </c>
      <c r="N27" s="1538">
        <f t="shared" si="39"/>
        <v>0</v>
      </c>
      <c r="O27" s="1186">
        <v>0</v>
      </c>
      <c r="P27" s="1544">
        <f t="shared" si="40"/>
        <v>0</v>
      </c>
      <c r="Q27" s="1188"/>
      <c r="R27" s="1188">
        <f t="shared" si="41"/>
        <v>0</v>
      </c>
      <c r="S27" s="1544">
        <f t="shared" si="42"/>
        <v>0</v>
      </c>
      <c r="T27" s="1544">
        <f t="shared" si="43"/>
        <v>0</v>
      </c>
      <c r="U27" s="1373">
        <f>'Table 5C1A-Madison Prep'!U27</f>
        <v>2460</v>
      </c>
      <c r="V27" s="1514">
        <f t="shared" si="31"/>
        <v>0</v>
      </c>
      <c r="W27" s="1375"/>
      <c r="X27" s="1376">
        <f t="shared" si="44"/>
        <v>0</v>
      </c>
      <c r="Y27" s="1375"/>
      <c r="Z27" s="1376">
        <f t="shared" si="32"/>
        <v>0</v>
      </c>
      <c r="AA27" s="1374">
        <f t="shared" si="45"/>
        <v>0</v>
      </c>
      <c r="AB27" s="1509">
        <f t="shared" si="46"/>
        <v>0</v>
      </c>
      <c r="AC27" s="1378">
        <f t="shared" si="47"/>
        <v>0</v>
      </c>
      <c r="AD27" s="1509">
        <f t="shared" si="48"/>
        <v>0</v>
      </c>
      <c r="AE27" s="1379">
        <v>0</v>
      </c>
      <c r="AF27" s="1509">
        <f t="shared" si="49"/>
        <v>0</v>
      </c>
      <c r="AG27" s="1379"/>
      <c r="AH27" s="1379">
        <f t="shared" si="50"/>
        <v>0</v>
      </c>
      <c r="AI27" s="1509">
        <f t="shared" si="51"/>
        <v>0</v>
      </c>
      <c r="AJ27" s="1530">
        <f t="shared" si="52"/>
        <v>0</v>
      </c>
      <c r="AK27" s="1534">
        <f t="shared" si="53"/>
        <v>0</v>
      </c>
    </row>
    <row r="28" spans="1:37" ht="16.2" customHeight="1">
      <c r="A28" s="1176">
        <v>22</v>
      </c>
      <c r="B28" s="1177" t="s">
        <v>102</v>
      </c>
      <c r="C28" s="1178">
        <f>+'Table 8 Membership 2.1.14'!P24</f>
        <v>0</v>
      </c>
      <c r="D28" s="1179">
        <f>+'Table 5C1A-Madison Prep'!D28</f>
        <v>6416.1099808195995</v>
      </c>
      <c r="E28" s="1180">
        <f t="shared" si="33"/>
        <v>0</v>
      </c>
      <c r="F28" s="1180">
        <f>+'Table 5C1A-Madison Prep'!F28</f>
        <v>496.36</v>
      </c>
      <c r="G28" s="1180">
        <f t="shared" si="34"/>
        <v>0</v>
      </c>
      <c r="H28" s="1539">
        <f t="shared" si="35"/>
        <v>0</v>
      </c>
      <c r="I28" s="1181"/>
      <c r="J28" s="1181"/>
      <c r="K28" s="1182">
        <f t="shared" si="36"/>
        <v>0</v>
      </c>
      <c r="L28" s="1539">
        <f t="shared" si="37"/>
        <v>0</v>
      </c>
      <c r="M28" s="1388">
        <f t="shared" si="38"/>
        <v>0</v>
      </c>
      <c r="N28" s="1539">
        <f t="shared" si="39"/>
        <v>0</v>
      </c>
      <c r="O28" s="1179">
        <v>0</v>
      </c>
      <c r="P28" s="1545">
        <f t="shared" si="40"/>
        <v>0</v>
      </c>
      <c r="Q28" s="1181"/>
      <c r="R28" s="1181">
        <f t="shared" si="41"/>
        <v>0</v>
      </c>
      <c r="S28" s="1545">
        <f t="shared" si="42"/>
        <v>0</v>
      </c>
      <c r="T28" s="1545">
        <f t="shared" si="43"/>
        <v>0</v>
      </c>
      <c r="U28" s="1389">
        <f>'Table 5C1A-Madison Prep'!U28</f>
        <v>1613</v>
      </c>
      <c r="V28" s="1515">
        <f t="shared" si="31"/>
        <v>0</v>
      </c>
      <c r="W28" s="1391"/>
      <c r="X28" s="1392">
        <f t="shared" si="44"/>
        <v>0</v>
      </c>
      <c r="Y28" s="1391"/>
      <c r="Z28" s="1392">
        <f t="shared" si="32"/>
        <v>0</v>
      </c>
      <c r="AA28" s="1390">
        <f t="shared" si="45"/>
        <v>0</v>
      </c>
      <c r="AB28" s="1510">
        <f t="shared" si="46"/>
        <v>0</v>
      </c>
      <c r="AC28" s="1394">
        <f t="shared" si="47"/>
        <v>0</v>
      </c>
      <c r="AD28" s="1510">
        <f t="shared" si="48"/>
        <v>0</v>
      </c>
      <c r="AE28" s="1395">
        <v>0</v>
      </c>
      <c r="AF28" s="1510">
        <f t="shared" si="49"/>
        <v>0</v>
      </c>
      <c r="AG28" s="1395"/>
      <c r="AH28" s="1395">
        <f t="shared" si="50"/>
        <v>0</v>
      </c>
      <c r="AI28" s="1510">
        <f t="shared" si="51"/>
        <v>0</v>
      </c>
      <c r="AJ28" s="1505">
        <f t="shared" si="52"/>
        <v>0</v>
      </c>
      <c r="AK28" s="1535">
        <f t="shared" si="53"/>
        <v>0</v>
      </c>
    </row>
    <row r="29" spans="1:37" ht="16.2" customHeight="1">
      <c r="A29" s="1176">
        <v>23</v>
      </c>
      <c r="B29" s="1177" t="s">
        <v>103</v>
      </c>
      <c r="C29" s="1178">
        <f>+'Table 8 Membership 2.1.14'!P25</f>
        <v>0</v>
      </c>
      <c r="D29" s="1179">
        <f>+'Table 5C1A-Madison Prep'!D29</f>
        <v>5011.0215265979159</v>
      </c>
      <c r="E29" s="1180">
        <f t="shared" si="33"/>
        <v>0</v>
      </c>
      <c r="F29" s="1180">
        <f>+'Table 5C1A-Madison Prep'!F29</f>
        <v>688.58</v>
      </c>
      <c r="G29" s="1180">
        <f t="shared" si="34"/>
        <v>0</v>
      </c>
      <c r="H29" s="1539">
        <f t="shared" si="35"/>
        <v>0</v>
      </c>
      <c r="I29" s="1181"/>
      <c r="J29" s="1181"/>
      <c r="K29" s="1182">
        <f t="shared" si="36"/>
        <v>0</v>
      </c>
      <c r="L29" s="1539">
        <f t="shared" si="37"/>
        <v>0</v>
      </c>
      <c r="M29" s="1388">
        <f t="shared" si="38"/>
        <v>0</v>
      </c>
      <c r="N29" s="1539">
        <f t="shared" si="39"/>
        <v>0</v>
      </c>
      <c r="O29" s="1179">
        <v>0</v>
      </c>
      <c r="P29" s="1545">
        <f t="shared" si="40"/>
        <v>0</v>
      </c>
      <c r="Q29" s="1181"/>
      <c r="R29" s="1181">
        <f t="shared" si="41"/>
        <v>0</v>
      </c>
      <c r="S29" s="1545">
        <f t="shared" si="42"/>
        <v>0</v>
      </c>
      <c r="T29" s="1545">
        <f t="shared" si="43"/>
        <v>0</v>
      </c>
      <c r="U29" s="1389">
        <f>'Table 5C1A-Madison Prep'!U29</f>
        <v>3473</v>
      </c>
      <c r="V29" s="1515">
        <f t="shared" si="31"/>
        <v>0</v>
      </c>
      <c r="W29" s="1391"/>
      <c r="X29" s="1392">
        <f t="shared" si="44"/>
        <v>0</v>
      </c>
      <c r="Y29" s="1391"/>
      <c r="Z29" s="1392">
        <f t="shared" si="32"/>
        <v>0</v>
      </c>
      <c r="AA29" s="1390">
        <f t="shared" si="45"/>
        <v>0</v>
      </c>
      <c r="AB29" s="1510">
        <f t="shared" si="46"/>
        <v>0</v>
      </c>
      <c r="AC29" s="1394">
        <f t="shared" si="47"/>
        <v>0</v>
      </c>
      <c r="AD29" s="1510">
        <f t="shared" si="48"/>
        <v>0</v>
      </c>
      <c r="AE29" s="1395">
        <v>0</v>
      </c>
      <c r="AF29" s="1510">
        <f t="shared" si="49"/>
        <v>0</v>
      </c>
      <c r="AG29" s="1395"/>
      <c r="AH29" s="1395">
        <f t="shared" si="50"/>
        <v>0</v>
      </c>
      <c r="AI29" s="1510">
        <f t="shared" si="51"/>
        <v>0</v>
      </c>
      <c r="AJ29" s="1505">
        <f t="shared" si="52"/>
        <v>0</v>
      </c>
      <c r="AK29" s="1535">
        <f t="shared" si="53"/>
        <v>0</v>
      </c>
    </row>
    <row r="30" spans="1:37" ht="16.2" customHeight="1">
      <c r="A30" s="1176">
        <v>24</v>
      </c>
      <c r="B30" s="1177" t="s">
        <v>104</v>
      </c>
      <c r="C30" s="1178">
        <f>+'Table 8 Membership 2.1.14'!P26</f>
        <v>0</v>
      </c>
      <c r="D30" s="1179">
        <f>+'Table 5C1A-Madison Prep'!D30</f>
        <v>2611.6740361576999</v>
      </c>
      <c r="E30" s="1180">
        <f t="shared" si="33"/>
        <v>0</v>
      </c>
      <c r="F30" s="1180">
        <f>+'Table 5C1A-Madison Prep'!F30</f>
        <v>854.24999999999989</v>
      </c>
      <c r="G30" s="1180">
        <f t="shared" si="34"/>
        <v>0</v>
      </c>
      <c r="H30" s="1539">
        <f t="shared" si="35"/>
        <v>0</v>
      </c>
      <c r="I30" s="1181"/>
      <c r="J30" s="1181"/>
      <c r="K30" s="1182">
        <f t="shared" si="36"/>
        <v>0</v>
      </c>
      <c r="L30" s="1539">
        <f t="shared" si="37"/>
        <v>0</v>
      </c>
      <c r="M30" s="1388">
        <f t="shared" si="38"/>
        <v>0</v>
      </c>
      <c r="N30" s="1539">
        <f t="shared" si="39"/>
        <v>0</v>
      </c>
      <c r="O30" s="1179">
        <v>0</v>
      </c>
      <c r="P30" s="1545">
        <f t="shared" si="40"/>
        <v>0</v>
      </c>
      <c r="Q30" s="1181"/>
      <c r="R30" s="1181">
        <f t="shared" si="41"/>
        <v>0</v>
      </c>
      <c r="S30" s="1545">
        <f t="shared" si="42"/>
        <v>0</v>
      </c>
      <c r="T30" s="1545">
        <f t="shared" si="43"/>
        <v>0</v>
      </c>
      <c r="U30" s="1389">
        <f>'Table 5C1A-Madison Prep'!U30</f>
        <v>10053</v>
      </c>
      <c r="V30" s="1515">
        <f t="shared" si="31"/>
        <v>0</v>
      </c>
      <c r="W30" s="1391"/>
      <c r="X30" s="1392">
        <f t="shared" si="44"/>
        <v>0</v>
      </c>
      <c r="Y30" s="1391"/>
      <c r="Z30" s="1392">
        <f t="shared" si="32"/>
        <v>0</v>
      </c>
      <c r="AA30" s="1390">
        <f t="shared" si="45"/>
        <v>0</v>
      </c>
      <c r="AB30" s="1510">
        <f t="shared" si="46"/>
        <v>0</v>
      </c>
      <c r="AC30" s="1394">
        <f t="shared" si="47"/>
        <v>0</v>
      </c>
      <c r="AD30" s="1510">
        <f t="shared" si="48"/>
        <v>0</v>
      </c>
      <c r="AE30" s="1395">
        <v>0</v>
      </c>
      <c r="AF30" s="1510">
        <f t="shared" si="49"/>
        <v>0</v>
      </c>
      <c r="AG30" s="1395"/>
      <c r="AH30" s="1395">
        <f t="shared" si="50"/>
        <v>0</v>
      </c>
      <c r="AI30" s="1510">
        <f t="shared" si="51"/>
        <v>0</v>
      </c>
      <c r="AJ30" s="1505">
        <f t="shared" si="52"/>
        <v>0</v>
      </c>
      <c r="AK30" s="1535">
        <f t="shared" si="53"/>
        <v>0</v>
      </c>
    </row>
    <row r="31" spans="1:37" ht="16.2" customHeight="1">
      <c r="A31" s="1168">
        <v>25</v>
      </c>
      <c r="B31" s="1169" t="s">
        <v>105</v>
      </c>
      <c r="C31" s="1170">
        <f>+'Table 8 Membership 2.1.14'!P27</f>
        <v>0</v>
      </c>
      <c r="D31" s="1171">
        <f>+'Table 5C1A-Madison Prep'!D31</f>
        <v>4173.0720274945697</v>
      </c>
      <c r="E31" s="1172">
        <f t="shared" si="33"/>
        <v>0</v>
      </c>
      <c r="F31" s="1172">
        <f>+'Table 5C1A-Madison Prep'!F31</f>
        <v>653.73</v>
      </c>
      <c r="G31" s="1172">
        <f t="shared" si="34"/>
        <v>0</v>
      </c>
      <c r="H31" s="1540">
        <f t="shared" si="35"/>
        <v>0</v>
      </c>
      <c r="I31" s="1173"/>
      <c r="J31" s="1173"/>
      <c r="K31" s="1174">
        <f t="shared" si="36"/>
        <v>0</v>
      </c>
      <c r="L31" s="1540">
        <f t="shared" si="37"/>
        <v>0</v>
      </c>
      <c r="M31" s="1399">
        <f t="shared" si="38"/>
        <v>0</v>
      </c>
      <c r="N31" s="1540">
        <f t="shared" si="39"/>
        <v>0</v>
      </c>
      <c r="O31" s="1171">
        <v>0</v>
      </c>
      <c r="P31" s="1546">
        <f t="shared" si="40"/>
        <v>0</v>
      </c>
      <c r="Q31" s="1175"/>
      <c r="R31" s="1173">
        <f t="shared" si="41"/>
        <v>0</v>
      </c>
      <c r="S31" s="1550">
        <f t="shared" si="42"/>
        <v>0</v>
      </c>
      <c r="T31" s="1550">
        <f t="shared" si="43"/>
        <v>0</v>
      </c>
      <c r="U31" s="1382">
        <f>'Table 5C1A-Madison Prep'!U31</f>
        <v>5073</v>
      </c>
      <c r="V31" s="1516">
        <f t="shared" si="31"/>
        <v>0</v>
      </c>
      <c r="W31" s="1400"/>
      <c r="X31" s="1383">
        <f t="shared" si="44"/>
        <v>0</v>
      </c>
      <c r="Y31" s="1400"/>
      <c r="Z31" s="1383">
        <f t="shared" si="32"/>
        <v>0</v>
      </c>
      <c r="AA31" s="1384">
        <f t="shared" si="45"/>
        <v>0</v>
      </c>
      <c r="AB31" s="1511">
        <f t="shared" si="46"/>
        <v>0</v>
      </c>
      <c r="AC31" s="1402">
        <f t="shared" si="47"/>
        <v>0</v>
      </c>
      <c r="AD31" s="1511">
        <f t="shared" si="48"/>
        <v>0</v>
      </c>
      <c r="AE31" s="1385">
        <v>0</v>
      </c>
      <c r="AF31" s="1511">
        <f t="shared" si="49"/>
        <v>0</v>
      </c>
      <c r="AG31" s="1385"/>
      <c r="AH31" s="1385">
        <f t="shared" si="50"/>
        <v>0</v>
      </c>
      <c r="AI31" s="1511">
        <f t="shared" si="51"/>
        <v>0</v>
      </c>
      <c r="AJ31" s="1531">
        <f t="shared" si="52"/>
        <v>0</v>
      </c>
      <c r="AK31" s="1536">
        <f t="shared" si="53"/>
        <v>0</v>
      </c>
    </row>
    <row r="32" spans="1:37" ht="16.2" customHeight="1">
      <c r="A32" s="1183">
        <v>26</v>
      </c>
      <c r="B32" s="1184" t="s">
        <v>106</v>
      </c>
      <c r="C32" s="1185">
        <f>+'Table 8 Membership 2.1.14'!P28</f>
        <v>0</v>
      </c>
      <c r="D32" s="1186">
        <f>+'Table 5C1A-Madison Prep'!D32</f>
        <v>3424.5649970570835</v>
      </c>
      <c r="E32" s="1187">
        <f t="shared" si="33"/>
        <v>0</v>
      </c>
      <c r="F32" s="1187">
        <f>+'Table 5C1A-Madison Prep'!F32</f>
        <v>836.83</v>
      </c>
      <c r="G32" s="1187">
        <f t="shared" si="34"/>
        <v>0</v>
      </c>
      <c r="H32" s="1538">
        <f t="shared" si="35"/>
        <v>0</v>
      </c>
      <c r="I32" s="1188"/>
      <c r="J32" s="1188"/>
      <c r="K32" s="1189">
        <f t="shared" si="36"/>
        <v>0</v>
      </c>
      <c r="L32" s="1538">
        <f t="shared" si="37"/>
        <v>0</v>
      </c>
      <c r="M32" s="1372">
        <f t="shared" si="38"/>
        <v>0</v>
      </c>
      <c r="N32" s="1538">
        <f t="shared" si="39"/>
        <v>0</v>
      </c>
      <c r="O32" s="1186">
        <v>0</v>
      </c>
      <c r="P32" s="1544">
        <f t="shared" si="40"/>
        <v>0</v>
      </c>
      <c r="Q32" s="1188"/>
      <c r="R32" s="1188">
        <f t="shared" si="41"/>
        <v>0</v>
      </c>
      <c r="S32" s="1544">
        <f t="shared" si="42"/>
        <v>0</v>
      </c>
      <c r="T32" s="1544">
        <f t="shared" si="43"/>
        <v>0</v>
      </c>
      <c r="U32" s="1373">
        <f>'Table 5C1A-Madison Prep'!U32</f>
        <v>5260</v>
      </c>
      <c r="V32" s="1514">
        <f t="shared" si="31"/>
        <v>0</v>
      </c>
      <c r="W32" s="1375"/>
      <c r="X32" s="1376">
        <f t="shared" si="44"/>
        <v>0</v>
      </c>
      <c r="Y32" s="1375"/>
      <c r="Z32" s="1376">
        <f t="shared" si="32"/>
        <v>0</v>
      </c>
      <c r="AA32" s="1374">
        <f t="shared" si="45"/>
        <v>0</v>
      </c>
      <c r="AB32" s="1509">
        <f t="shared" si="46"/>
        <v>0</v>
      </c>
      <c r="AC32" s="1378">
        <f t="shared" si="47"/>
        <v>0</v>
      </c>
      <c r="AD32" s="1509">
        <f t="shared" si="48"/>
        <v>0</v>
      </c>
      <c r="AE32" s="1379">
        <v>0</v>
      </c>
      <c r="AF32" s="1509">
        <f t="shared" si="49"/>
        <v>0</v>
      </c>
      <c r="AG32" s="1379"/>
      <c r="AH32" s="1379">
        <f t="shared" si="50"/>
        <v>0</v>
      </c>
      <c r="AI32" s="1509">
        <f t="shared" si="51"/>
        <v>0</v>
      </c>
      <c r="AJ32" s="1530">
        <f t="shared" si="52"/>
        <v>0</v>
      </c>
      <c r="AK32" s="1534">
        <f t="shared" si="53"/>
        <v>0</v>
      </c>
    </row>
    <row r="33" spans="1:37" ht="16.2" customHeight="1">
      <c r="A33" s="1176">
        <v>27</v>
      </c>
      <c r="B33" s="1177" t="s">
        <v>107</v>
      </c>
      <c r="C33" s="1178">
        <f>+'Table 8 Membership 2.1.14'!P29</f>
        <v>0</v>
      </c>
      <c r="D33" s="1179">
        <f>+'Table 5C1A-Madison Prep'!D33</f>
        <v>5804.9013839977006</v>
      </c>
      <c r="E33" s="1180">
        <f t="shared" si="33"/>
        <v>0</v>
      </c>
      <c r="F33" s="1180">
        <f>+'Table 5C1A-Madison Prep'!F33</f>
        <v>693.06</v>
      </c>
      <c r="G33" s="1180">
        <f t="shared" si="34"/>
        <v>0</v>
      </c>
      <c r="H33" s="1539">
        <f t="shared" si="35"/>
        <v>0</v>
      </c>
      <c r="I33" s="1181"/>
      <c r="J33" s="1181"/>
      <c r="K33" s="1182">
        <f t="shared" si="36"/>
        <v>0</v>
      </c>
      <c r="L33" s="1539">
        <f t="shared" si="37"/>
        <v>0</v>
      </c>
      <c r="M33" s="1388">
        <f t="shared" si="38"/>
        <v>0</v>
      </c>
      <c r="N33" s="1539">
        <f t="shared" si="39"/>
        <v>0</v>
      </c>
      <c r="O33" s="1179">
        <v>0</v>
      </c>
      <c r="P33" s="1545">
        <f t="shared" si="40"/>
        <v>0</v>
      </c>
      <c r="Q33" s="1181"/>
      <c r="R33" s="1181">
        <f t="shared" si="41"/>
        <v>0</v>
      </c>
      <c r="S33" s="1545">
        <f t="shared" si="42"/>
        <v>0</v>
      </c>
      <c r="T33" s="1545">
        <f t="shared" si="43"/>
        <v>0</v>
      </c>
      <c r="U33" s="1389">
        <f>'Table 5C1A-Madison Prep'!U33</f>
        <v>3169</v>
      </c>
      <c r="V33" s="1515">
        <f t="shared" si="31"/>
        <v>0</v>
      </c>
      <c r="W33" s="1391"/>
      <c r="X33" s="1392">
        <f t="shared" si="44"/>
        <v>0</v>
      </c>
      <c r="Y33" s="1391"/>
      <c r="Z33" s="1392">
        <f t="shared" si="32"/>
        <v>0</v>
      </c>
      <c r="AA33" s="1390">
        <f t="shared" si="45"/>
        <v>0</v>
      </c>
      <c r="AB33" s="1510">
        <f t="shared" si="46"/>
        <v>0</v>
      </c>
      <c r="AC33" s="1394">
        <f t="shared" si="47"/>
        <v>0</v>
      </c>
      <c r="AD33" s="1510">
        <f t="shared" si="48"/>
        <v>0</v>
      </c>
      <c r="AE33" s="1395">
        <v>0</v>
      </c>
      <c r="AF33" s="1510">
        <f t="shared" si="49"/>
        <v>0</v>
      </c>
      <c r="AG33" s="1395"/>
      <c r="AH33" s="1395">
        <f t="shared" si="50"/>
        <v>0</v>
      </c>
      <c r="AI33" s="1510">
        <f t="shared" si="51"/>
        <v>0</v>
      </c>
      <c r="AJ33" s="1505">
        <f t="shared" si="52"/>
        <v>0</v>
      </c>
      <c r="AK33" s="1535">
        <f t="shared" si="53"/>
        <v>0</v>
      </c>
    </row>
    <row r="34" spans="1:37" ht="16.2" customHeight="1">
      <c r="A34" s="1176">
        <v>28</v>
      </c>
      <c r="B34" s="1177" t="s">
        <v>108</v>
      </c>
      <c r="C34" s="1178">
        <f>+'Table 8 Membership 2.1.14'!P30</f>
        <v>1</v>
      </c>
      <c r="D34" s="1179">
        <f>+'Table 5C1A-Madison Prep'!D34</f>
        <v>3137.4158846568821</v>
      </c>
      <c r="E34" s="1180">
        <f t="shared" si="33"/>
        <v>3137.4158846568821</v>
      </c>
      <c r="F34" s="1180">
        <f>+'Table 5C1A-Madison Prep'!F34</f>
        <v>694.4</v>
      </c>
      <c r="G34" s="1180">
        <f t="shared" si="34"/>
        <v>694.4</v>
      </c>
      <c r="H34" s="1539">
        <f t="shared" si="35"/>
        <v>3831.8158846568822</v>
      </c>
      <c r="I34" s="1181"/>
      <c r="J34" s="1181"/>
      <c r="K34" s="1182">
        <f t="shared" si="36"/>
        <v>0</v>
      </c>
      <c r="L34" s="1539">
        <f t="shared" si="37"/>
        <v>3831.8158846568822</v>
      </c>
      <c r="M34" s="1388">
        <f t="shared" si="38"/>
        <v>-9.5795397116422052</v>
      </c>
      <c r="N34" s="1539">
        <f t="shared" si="39"/>
        <v>3822.23634494524</v>
      </c>
      <c r="O34" s="1179">
        <v>0</v>
      </c>
      <c r="P34" s="1545">
        <f t="shared" si="40"/>
        <v>3822.23634494524</v>
      </c>
      <c r="Q34" s="1181"/>
      <c r="R34" s="1181">
        <f t="shared" si="41"/>
        <v>3822.23634494524</v>
      </c>
      <c r="S34" s="1545">
        <f t="shared" si="42"/>
        <v>319</v>
      </c>
      <c r="T34" s="1545">
        <f t="shared" si="43"/>
        <v>3822.23634494524</v>
      </c>
      <c r="U34" s="1389">
        <f>'Table 5C1A-Madison Prep'!U34</f>
        <v>5790</v>
      </c>
      <c r="V34" s="1515">
        <f t="shared" si="31"/>
        <v>5790</v>
      </c>
      <c r="W34" s="1391"/>
      <c r="X34" s="1392">
        <f t="shared" si="44"/>
        <v>0</v>
      </c>
      <c r="Y34" s="1391"/>
      <c r="Z34" s="1392">
        <f t="shared" si="32"/>
        <v>0</v>
      </c>
      <c r="AA34" s="1390">
        <f t="shared" si="45"/>
        <v>0</v>
      </c>
      <c r="AB34" s="1510">
        <f t="shared" si="46"/>
        <v>5790</v>
      </c>
      <c r="AC34" s="1394">
        <f t="shared" si="47"/>
        <v>-14.475</v>
      </c>
      <c r="AD34" s="1510">
        <f t="shared" si="48"/>
        <v>5775.5249999999996</v>
      </c>
      <c r="AE34" s="1395">
        <v>0</v>
      </c>
      <c r="AF34" s="1510">
        <f t="shared" si="49"/>
        <v>5775.5249999999996</v>
      </c>
      <c r="AG34" s="1395"/>
      <c r="AH34" s="1395">
        <f t="shared" si="50"/>
        <v>5775.5249999999996</v>
      </c>
      <c r="AI34" s="1510">
        <f t="shared" si="51"/>
        <v>481</v>
      </c>
      <c r="AJ34" s="1505">
        <f t="shared" si="52"/>
        <v>9597.7613449452401</v>
      </c>
      <c r="AK34" s="1535">
        <f t="shared" si="53"/>
        <v>800</v>
      </c>
    </row>
    <row r="35" spans="1:37" ht="16.2" customHeight="1">
      <c r="A35" s="1176">
        <v>29</v>
      </c>
      <c r="B35" s="1177" t="s">
        <v>109</v>
      </c>
      <c r="C35" s="1178">
        <f>+'Table 8 Membership 2.1.14'!P31</f>
        <v>0</v>
      </c>
      <c r="D35" s="1179">
        <f>+'Table 5C1A-Madison Prep'!D35</f>
        <v>3839.0123210173724</v>
      </c>
      <c r="E35" s="1180">
        <f t="shared" si="33"/>
        <v>0</v>
      </c>
      <c r="F35" s="1180">
        <f>+'Table 5C1A-Madison Prep'!F35</f>
        <v>754.94999999999993</v>
      </c>
      <c r="G35" s="1180">
        <f t="shared" si="34"/>
        <v>0</v>
      </c>
      <c r="H35" s="1539">
        <f t="shared" si="35"/>
        <v>0</v>
      </c>
      <c r="I35" s="1181"/>
      <c r="J35" s="1181"/>
      <c r="K35" s="1182">
        <f t="shared" si="36"/>
        <v>0</v>
      </c>
      <c r="L35" s="1539">
        <f t="shared" si="37"/>
        <v>0</v>
      </c>
      <c r="M35" s="1388">
        <f t="shared" si="38"/>
        <v>0</v>
      </c>
      <c r="N35" s="1539">
        <f t="shared" si="39"/>
        <v>0</v>
      </c>
      <c r="O35" s="1179">
        <v>0</v>
      </c>
      <c r="P35" s="1545">
        <f t="shared" si="40"/>
        <v>0</v>
      </c>
      <c r="Q35" s="1181"/>
      <c r="R35" s="1181">
        <f t="shared" si="41"/>
        <v>0</v>
      </c>
      <c r="S35" s="1545">
        <f t="shared" si="42"/>
        <v>0</v>
      </c>
      <c r="T35" s="1545">
        <f t="shared" si="43"/>
        <v>0</v>
      </c>
      <c r="U35" s="1389">
        <f>'Table 5C1A-Madison Prep'!U35</f>
        <v>5069</v>
      </c>
      <c r="V35" s="1515">
        <f t="shared" si="31"/>
        <v>0</v>
      </c>
      <c r="W35" s="1391"/>
      <c r="X35" s="1392">
        <f t="shared" si="44"/>
        <v>0</v>
      </c>
      <c r="Y35" s="1391"/>
      <c r="Z35" s="1392">
        <f t="shared" si="32"/>
        <v>0</v>
      </c>
      <c r="AA35" s="1390">
        <f t="shared" si="45"/>
        <v>0</v>
      </c>
      <c r="AB35" s="1510">
        <f t="shared" si="46"/>
        <v>0</v>
      </c>
      <c r="AC35" s="1394">
        <f t="shared" si="47"/>
        <v>0</v>
      </c>
      <c r="AD35" s="1510">
        <f t="shared" si="48"/>
        <v>0</v>
      </c>
      <c r="AE35" s="1395">
        <v>0</v>
      </c>
      <c r="AF35" s="1510">
        <f t="shared" si="49"/>
        <v>0</v>
      </c>
      <c r="AG35" s="1395"/>
      <c r="AH35" s="1395">
        <f t="shared" si="50"/>
        <v>0</v>
      </c>
      <c r="AI35" s="1510">
        <f t="shared" si="51"/>
        <v>0</v>
      </c>
      <c r="AJ35" s="1505">
        <f t="shared" si="52"/>
        <v>0</v>
      </c>
      <c r="AK35" s="1535">
        <f t="shared" si="53"/>
        <v>0</v>
      </c>
    </row>
    <row r="36" spans="1:37" ht="16.2" customHeight="1">
      <c r="A36" s="1168">
        <v>30</v>
      </c>
      <c r="B36" s="1169" t="s">
        <v>110</v>
      </c>
      <c r="C36" s="1170">
        <f>+'Table 8 Membership 2.1.14'!P32</f>
        <v>0</v>
      </c>
      <c r="D36" s="1171">
        <f>+'Table 5C1A-Madison Prep'!D36</f>
        <v>5804.5327273996763</v>
      </c>
      <c r="E36" s="1172">
        <f t="shared" si="33"/>
        <v>0</v>
      </c>
      <c r="F36" s="1172">
        <f>+'Table 5C1A-Madison Prep'!F36</f>
        <v>727.17</v>
      </c>
      <c r="G36" s="1172">
        <f t="shared" si="34"/>
        <v>0</v>
      </c>
      <c r="H36" s="1540">
        <f t="shared" si="35"/>
        <v>0</v>
      </c>
      <c r="I36" s="1173"/>
      <c r="J36" s="1173"/>
      <c r="K36" s="1174">
        <f t="shared" si="36"/>
        <v>0</v>
      </c>
      <c r="L36" s="1540">
        <f t="shared" si="37"/>
        <v>0</v>
      </c>
      <c r="M36" s="1399">
        <f t="shared" si="38"/>
        <v>0</v>
      </c>
      <c r="N36" s="1540">
        <f t="shared" si="39"/>
        <v>0</v>
      </c>
      <c r="O36" s="1171">
        <v>0</v>
      </c>
      <c r="P36" s="1546">
        <f t="shared" si="40"/>
        <v>0</v>
      </c>
      <c r="Q36" s="1175"/>
      <c r="R36" s="1173">
        <f t="shared" si="41"/>
        <v>0</v>
      </c>
      <c r="S36" s="1550">
        <f t="shared" si="42"/>
        <v>0</v>
      </c>
      <c r="T36" s="1550">
        <f t="shared" si="43"/>
        <v>0</v>
      </c>
      <c r="U36" s="1382">
        <f>'Table 5C1A-Madison Prep'!U36</f>
        <v>3609</v>
      </c>
      <c r="V36" s="1516">
        <f t="shared" si="31"/>
        <v>0</v>
      </c>
      <c r="W36" s="1400"/>
      <c r="X36" s="1383">
        <f t="shared" si="44"/>
        <v>0</v>
      </c>
      <c r="Y36" s="1400"/>
      <c r="Z36" s="1383">
        <f t="shared" si="32"/>
        <v>0</v>
      </c>
      <c r="AA36" s="1384">
        <f t="shared" si="45"/>
        <v>0</v>
      </c>
      <c r="AB36" s="1511">
        <f t="shared" si="46"/>
        <v>0</v>
      </c>
      <c r="AC36" s="1402">
        <f t="shared" si="47"/>
        <v>0</v>
      </c>
      <c r="AD36" s="1511">
        <f t="shared" si="48"/>
        <v>0</v>
      </c>
      <c r="AE36" s="1385">
        <v>0</v>
      </c>
      <c r="AF36" s="1511">
        <f t="shared" si="49"/>
        <v>0</v>
      </c>
      <c r="AG36" s="1385"/>
      <c r="AH36" s="1385">
        <f t="shared" si="50"/>
        <v>0</v>
      </c>
      <c r="AI36" s="1511">
        <f t="shared" si="51"/>
        <v>0</v>
      </c>
      <c r="AJ36" s="1531">
        <f t="shared" si="52"/>
        <v>0</v>
      </c>
      <c r="AK36" s="1536">
        <f t="shared" si="53"/>
        <v>0</v>
      </c>
    </row>
    <row r="37" spans="1:37" ht="16.2" customHeight="1">
      <c r="A37" s="1183">
        <v>31</v>
      </c>
      <c r="B37" s="1184" t="s">
        <v>111</v>
      </c>
      <c r="C37" s="1185">
        <f>+'Table 8 Membership 2.1.14'!P33</f>
        <v>0</v>
      </c>
      <c r="D37" s="1186">
        <f>+'Table 5C1A-Madison Prep'!D37</f>
        <v>4520.6176716868531</v>
      </c>
      <c r="E37" s="1187">
        <f t="shared" si="33"/>
        <v>0</v>
      </c>
      <c r="F37" s="1187">
        <f>+'Table 5C1A-Madison Prep'!F37</f>
        <v>620.83000000000004</v>
      </c>
      <c r="G37" s="1187">
        <f t="shared" si="34"/>
        <v>0</v>
      </c>
      <c r="H37" s="1538">
        <f t="shared" si="35"/>
        <v>0</v>
      </c>
      <c r="I37" s="1188"/>
      <c r="J37" s="1188"/>
      <c r="K37" s="1189">
        <f t="shared" si="36"/>
        <v>0</v>
      </c>
      <c r="L37" s="1538">
        <f t="shared" si="37"/>
        <v>0</v>
      </c>
      <c r="M37" s="1372">
        <f t="shared" si="38"/>
        <v>0</v>
      </c>
      <c r="N37" s="1538">
        <f t="shared" si="39"/>
        <v>0</v>
      </c>
      <c r="O37" s="1186">
        <v>0</v>
      </c>
      <c r="P37" s="1544">
        <f t="shared" si="40"/>
        <v>0</v>
      </c>
      <c r="Q37" s="1188"/>
      <c r="R37" s="1188">
        <f t="shared" si="41"/>
        <v>0</v>
      </c>
      <c r="S37" s="1544">
        <f t="shared" si="42"/>
        <v>0</v>
      </c>
      <c r="T37" s="1544">
        <f t="shared" si="43"/>
        <v>0</v>
      </c>
      <c r="U37" s="1373">
        <f>'Table 5C1A-Madison Prep'!U37</f>
        <v>5043</v>
      </c>
      <c r="V37" s="1514">
        <f t="shared" si="31"/>
        <v>0</v>
      </c>
      <c r="W37" s="1375"/>
      <c r="X37" s="1376">
        <f t="shared" si="44"/>
        <v>0</v>
      </c>
      <c r="Y37" s="1375"/>
      <c r="Z37" s="1376">
        <f t="shared" si="32"/>
        <v>0</v>
      </c>
      <c r="AA37" s="1374">
        <f t="shared" si="45"/>
        <v>0</v>
      </c>
      <c r="AB37" s="1509">
        <f t="shared" si="46"/>
        <v>0</v>
      </c>
      <c r="AC37" s="1378">
        <f t="shared" si="47"/>
        <v>0</v>
      </c>
      <c r="AD37" s="1509">
        <f t="shared" si="48"/>
        <v>0</v>
      </c>
      <c r="AE37" s="1379">
        <v>0</v>
      </c>
      <c r="AF37" s="1509">
        <f t="shared" si="49"/>
        <v>0</v>
      </c>
      <c r="AG37" s="1379"/>
      <c r="AH37" s="1379">
        <f t="shared" si="50"/>
        <v>0</v>
      </c>
      <c r="AI37" s="1509">
        <f t="shared" si="51"/>
        <v>0</v>
      </c>
      <c r="AJ37" s="1530">
        <f t="shared" si="52"/>
        <v>0</v>
      </c>
      <c r="AK37" s="1534">
        <f t="shared" si="53"/>
        <v>0</v>
      </c>
    </row>
    <row r="38" spans="1:37" ht="16.2" customHeight="1">
      <c r="A38" s="1176">
        <v>32</v>
      </c>
      <c r="B38" s="1177" t="s">
        <v>112</v>
      </c>
      <c r="C38" s="1178">
        <f>+'Table 8 Membership 2.1.14'!P34</f>
        <v>0</v>
      </c>
      <c r="D38" s="1179">
        <f>+'Table 5C1A-Madison Prep'!D38</f>
        <v>5652.819189061127</v>
      </c>
      <c r="E38" s="1180">
        <f t="shared" si="33"/>
        <v>0</v>
      </c>
      <c r="F38" s="1180">
        <f>+'Table 5C1A-Madison Prep'!F38</f>
        <v>559.77</v>
      </c>
      <c r="G38" s="1180">
        <f t="shared" si="34"/>
        <v>0</v>
      </c>
      <c r="H38" s="1539">
        <f t="shared" si="35"/>
        <v>0</v>
      </c>
      <c r="I38" s="1181"/>
      <c r="J38" s="1181"/>
      <c r="K38" s="1182">
        <f t="shared" si="36"/>
        <v>0</v>
      </c>
      <c r="L38" s="1539">
        <f t="shared" si="37"/>
        <v>0</v>
      </c>
      <c r="M38" s="1388">
        <f t="shared" si="38"/>
        <v>0</v>
      </c>
      <c r="N38" s="1539">
        <f t="shared" si="39"/>
        <v>0</v>
      </c>
      <c r="O38" s="1179">
        <v>0</v>
      </c>
      <c r="P38" s="1545">
        <f t="shared" si="40"/>
        <v>0</v>
      </c>
      <c r="Q38" s="1181"/>
      <c r="R38" s="1181">
        <f t="shared" si="41"/>
        <v>0</v>
      </c>
      <c r="S38" s="1545">
        <f t="shared" si="42"/>
        <v>0</v>
      </c>
      <c r="T38" s="1545">
        <f t="shared" si="43"/>
        <v>0</v>
      </c>
      <c r="U38" s="1389">
        <f>'Table 5C1A-Madison Prep'!U38</f>
        <v>2121</v>
      </c>
      <c r="V38" s="1515">
        <f t="shared" si="31"/>
        <v>0</v>
      </c>
      <c r="W38" s="1391"/>
      <c r="X38" s="1392">
        <f t="shared" si="44"/>
        <v>0</v>
      </c>
      <c r="Y38" s="1391"/>
      <c r="Z38" s="1392">
        <f t="shared" si="32"/>
        <v>0</v>
      </c>
      <c r="AA38" s="1390">
        <f t="shared" si="45"/>
        <v>0</v>
      </c>
      <c r="AB38" s="1510">
        <f t="shared" si="46"/>
        <v>0</v>
      </c>
      <c r="AC38" s="1394">
        <f t="shared" si="47"/>
        <v>0</v>
      </c>
      <c r="AD38" s="1510">
        <f t="shared" si="48"/>
        <v>0</v>
      </c>
      <c r="AE38" s="1395">
        <v>0</v>
      </c>
      <c r="AF38" s="1510">
        <f t="shared" si="49"/>
        <v>0</v>
      </c>
      <c r="AG38" s="1395"/>
      <c r="AH38" s="1395">
        <f t="shared" si="50"/>
        <v>0</v>
      </c>
      <c r="AI38" s="1510">
        <f t="shared" si="51"/>
        <v>0</v>
      </c>
      <c r="AJ38" s="1505">
        <f t="shared" si="52"/>
        <v>0</v>
      </c>
      <c r="AK38" s="1535">
        <f t="shared" si="53"/>
        <v>0</v>
      </c>
    </row>
    <row r="39" spans="1:37" ht="16.2" customHeight="1">
      <c r="A39" s="1176">
        <v>33</v>
      </c>
      <c r="B39" s="1177" t="s">
        <v>113</v>
      </c>
      <c r="C39" s="1178">
        <f>+'Table 8 Membership 2.1.14'!P35</f>
        <v>0</v>
      </c>
      <c r="D39" s="1179">
        <f>+'Table 5C1A-Madison Prep'!D39</f>
        <v>5456.2254558085233</v>
      </c>
      <c r="E39" s="1180">
        <f t="shared" si="33"/>
        <v>0</v>
      </c>
      <c r="F39" s="1180">
        <f>+'Table 5C1A-Madison Prep'!F39</f>
        <v>655.31000000000006</v>
      </c>
      <c r="G39" s="1180">
        <f t="shared" si="34"/>
        <v>0</v>
      </c>
      <c r="H39" s="1539">
        <f t="shared" si="35"/>
        <v>0</v>
      </c>
      <c r="I39" s="1181"/>
      <c r="J39" s="1181"/>
      <c r="K39" s="1182">
        <f t="shared" si="36"/>
        <v>0</v>
      </c>
      <c r="L39" s="1539">
        <f t="shared" ref="L39:L70" si="54">H39+K39</f>
        <v>0</v>
      </c>
      <c r="M39" s="1388">
        <f t="shared" si="38"/>
        <v>0</v>
      </c>
      <c r="N39" s="1539">
        <f t="shared" si="39"/>
        <v>0</v>
      </c>
      <c r="O39" s="1179">
        <v>0</v>
      </c>
      <c r="P39" s="1545">
        <f t="shared" si="40"/>
        <v>0</v>
      </c>
      <c r="Q39" s="1181"/>
      <c r="R39" s="1181">
        <f t="shared" si="41"/>
        <v>0</v>
      </c>
      <c r="S39" s="1545">
        <f t="shared" si="42"/>
        <v>0</v>
      </c>
      <c r="T39" s="1545">
        <f t="shared" si="43"/>
        <v>0</v>
      </c>
      <c r="U39" s="1389">
        <f>'Table 5C1A-Madison Prep'!U39</f>
        <v>3616</v>
      </c>
      <c r="V39" s="1515">
        <f t="shared" ref="V39:V70" si="55">C39*U39</f>
        <v>0</v>
      </c>
      <c r="W39" s="1391"/>
      <c r="X39" s="1392">
        <f t="shared" si="44"/>
        <v>0</v>
      </c>
      <c r="Y39" s="1391"/>
      <c r="Z39" s="1392">
        <f t="shared" si="32"/>
        <v>0</v>
      </c>
      <c r="AA39" s="1390">
        <f t="shared" si="45"/>
        <v>0</v>
      </c>
      <c r="AB39" s="1510">
        <f t="shared" si="46"/>
        <v>0</v>
      </c>
      <c r="AC39" s="1394">
        <f t="shared" si="47"/>
        <v>0</v>
      </c>
      <c r="AD39" s="1510">
        <f t="shared" si="48"/>
        <v>0</v>
      </c>
      <c r="AE39" s="1395">
        <v>0</v>
      </c>
      <c r="AF39" s="1510">
        <f t="shared" si="49"/>
        <v>0</v>
      </c>
      <c r="AG39" s="1395"/>
      <c r="AH39" s="1395">
        <f t="shared" si="50"/>
        <v>0</v>
      </c>
      <c r="AI39" s="1510">
        <f t="shared" si="51"/>
        <v>0</v>
      </c>
      <c r="AJ39" s="1505">
        <f t="shared" si="52"/>
        <v>0</v>
      </c>
      <c r="AK39" s="1535">
        <f t="shared" si="53"/>
        <v>0</v>
      </c>
    </row>
    <row r="40" spans="1:37" ht="16.2" customHeight="1">
      <c r="A40" s="1176">
        <v>34</v>
      </c>
      <c r="B40" s="1177" t="s">
        <v>114</v>
      </c>
      <c r="C40" s="1178">
        <f>+'Table 8 Membership 2.1.14'!P36</f>
        <v>0</v>
      </c>
      <c r="D40" s="1179">
        <f>+'Table 5C1A-Madison Prep'!D40</f>
        <v>6292.0976842789005</v>
      </c>
      <c r="E40" s="1180">
        <f t="shared" si="33"/>
        <v>0</v>
      </c>
      <c r="F40" s="1180">
        <f>+'Table 5C1A-Madison Prep'!F40</f>
        <v>644.11000000000013</v>
      </c>
      <c r="G40" s="1180">
        <f t="shared" si="34"/>
        <v>0</v>
      </c>
      <c r="H40" s="1539">
        <f t="shared" si="35"/>
        <v>0</v>
      </c>
      <c r="I40" s="1181"/>
      <c r="J40" s="1181"/>
      <c r="K40" s="1182">
        <f t="shared" si="36"/>
        <v>0</v>
      </c>
      <c r="L40" s="1539">
        <f t="shared" si="54"/>
        <v>0</v>
      </c>
      <c r="M40" s="1388">
        <f t="shared" si="38"/>
        <v>0</v>
      </c>
      <c r="N40" s="1539">
        <f t="shared" si="39"/>
        <v>0</v>
      </c>
      <c r="O40" s="1179">
        <v>0</v>
      </c>
      <c r="P40" s="1545">
        <f t="shared" si="40"/>
        <v>0</v>
      </c>
      <c r="Q40" s="1181"/>
      <c r="R40" s="1181">
        <f t="shared" si="41"/>
        <v>0</v>
      </c>
      <c r="S40" s="1545">
        <f t="shared" si="42"/>
        <v>0</v>
      </c>
      <c r="T40" s="1545">
        <f t="shared" si="43"/>
        <v>0</v>
      </c>
      <c r="U40" s="1389">
        <f>'Table 5C1A-Madison Prep'!U40</f>
        <v>2721</v>
      </c>
      <c r="V40" s="1515">
        <f t="shared" si="55"/>
        <v>0</v>
      </c>
      <c r="W40" s="1391"/>
      <c r="X40" s="1392">
        <f t="shared" si="44"/>
        <v>0</v>
      </c>
      <c r="Y40" s="1391"/>
      <c r="Z40" s="1392">
        <f t="shared" si="32"/>
        <v>0</v>
      </c>
      <c r="AA40" s="1390">
        <f t="shared" si="45"/>
        <v>0</v>
      </c>
      <c r="AB40" s="1510">
        <f t="shared" si="46"/>
        <v>0</v>
      </c>
      <c r="AC40" s="1394">
        <f t="shared" si="47"/>
        <v>0</v>
      </c>
      <c r="AD40" s="1510">
        <f t="shared" si="48"/>
        <v>0</v>
      </c>
      <c r="AE40" s="1395">
        <v>0</v>
      </c>
      <c r="AF40" s="1510">
        <f t="shared" si="49"/>
        <v>0</v>
      </c>
      <c r="AG40" s="1395"/>
      <c r="AH40" s="1395">
        <f t="shared" si="50"/>
        <v>0</v>
      </c>
      <c r="AI40" s="1510">
        <f t="shared" si="51"/>
        <v>0</v>
      </c>
      <c r="AJ40" s="1505">
        <f t="shared" si="52"/>
        <v>0</v>
      </c>
      <c r="AK40" s="1535">
        <f t="shared" si="53"/>
        <v>0</v>
      </c>
    </row>
    <row r="41" spans="1:37" ht="16.2" customHeight="1">
      <c r="A41" s="1168">
        <v>35</v>
      </c>
      <c r="B41" s="1169" t="s">
        <v>115</v>
      </c>
      <c r="C41" s="1170">
        <f>+'Table 8 Membership 2.1.14'!P37</f>
        <v>0</v>
      </c>
      <c r="D41" s="1171">
        <f>+'Table 5C1A-Madison Prep'!D41</f>
        <v>5166.2482060477605</v>
      </c>
      <c r="E41" s="1172">
        <f t="shared" si="33"/>
        <v>0</v>
      </c>
      <c r="F41" s="1172">
        <f>+'Table 5C1A-Madison Prep'!F41</f>
        <v>537.96</v>
      </c>
      <c r="G41" s="1172">
        <f t="shared" si="34"/>
        <v>0</v>
      </c>
      <c r="H41" s="1540">
        <f t="shared" si="35"/>
        <v>0</v>
      </c>
      <c r="I41" s="1173"/>
      <c r="J41" s="1173"/>
      <c r="K41" s="1174">
        <f t="shared" si="36"/>
        <v>0</v>
      </c>
      <c r="L41" s="1540">
        <f t="shared" si="54"/>
        <v>0</v>
      </c>
      <c r="M41" s="1399">
        <f t="shared" si="38"/>
        <v>0</v>
      </c>
      <c r="N41" s="1540">
        <f t="shared" si="39"/>
        <v>0</v>
      </c>
      <c r="O41" s="1171">
        <v>0</v>
      </c>
      <c r="P41" s="1546">
        <f t="shared" si="40"/>
        <v>0</v>
      </c>
      <c r="Q41" s="1175"/>
      <c r="R41" s="1173">
        <f t="shared" si="41"/>
        <v>0</v>
      </c>
      <c r="S41" s="1550">
        <f t="shared" si="42"/>
        <v>0</v>
      </c>
      <c r="T41" s="1550">
        <f t="shared" si="43"/>
        <v>0</v>
      </c>
      <c r="U41" s="1382">
        <f>'Table 5C1A-Madison Prep'!U41</f>
        <v>3255</v>
      </c>
      <c r="V41" s="1516">
        <f t="shared" si="55"/>
        <v>0</v>
      </c>
      <c r="W41" s="1400"/>
      <c r="X41" s="1383">
        <f t="shared" si="44"/>
        <v>0</v>
      </c>
      <c r="Y41" s="1400"/>
      <c r="Z41" s="1383">
        <f t="shared" si="32"/>
        <v>0</v>
      </c>
      <c r="AA41" s="1384">
        <f t="shared" si="45"/>
        <v>0</v>
      </c>
      <c r="AB41" s="1511">
        <f t="shared" si="46"/>
        <v>0</v>
      </c>
      <c r="AC41" s="1402">
        <f t="shared" si="47"/>
        <v>0</v>
      </c>
      <c r="AD41" s="1511">
        <f t="shared" si="48"/>
        <v>0</v>
      </c>
      <c r="AE41" s="1385">
        <v>0</v>
      </c>
      <c r="AF41" s="1511">
        <f t="shared" si="49"/>
        <v>0</v>
      </c>
      <c r="AG41" s="1385"/>
      <c r="AH41" s="1385">
        <f t="shared" si="50"/>
        <v>0</v>
      </c>
      <c r="AI41" s="1511">
        <f t="shared" si="51"/>
        <v>0</v>
      </c>
      <c r="AJ41" s="1531">
        <f t="shared" si="52"/>
        <v>0</v>
      </c>
      <c r="AK41" s="1536">
        <f t="shared" si="53"/>
        <v>0</v>
      </c>
    </row>
    <row r="42" spans="1:37" ht="16.2" customHeight="1">
      <c r="A42" s="1183">
        <v>36</v>
      </c>
      <c r="B42" s="1184" t="s">
        <v>116</v>
      </c>
      <c r="C42" s="1185">
        <f>+'Table 8 Membership 2.1.14'!P38</f>
        <v>0</v>
      </c>
      <c r="D42" s="1186">
        <f>+'Table 5C1A-Madison Prep'!D42</f>
        <v>3602.7009974327857</v>
      </c>
      <c r="E42" s="1187">
        <f t="shared" si="33"/>
        <v>0</v>
      </c>
      <c r="F42" s="1187">
        <f>+'Table 5C1A-Madison Prep'!F42</f>
        <v>746.0335616438357</v>
      </c>
      <c r="G42" s="1187">
        <f t="shared" si="34"/>
        <v>0</v>
      </c>
      <c r="H42" s="1538">
        <f t="shared" si="35"/>
        <v>0</v>
      </c>
      <c r="I42" s="1188"/>
      <c r="J42" s="1188"/>
      <c r="K42" s="1189">
        <f t="shared" si="36"/>
        <v>0</v>
      </c>
      <c r="L42" s="1538">
        <f t="shared" si="54"/>
        <v>0</v>
      </c>
      <c r="M42" s="1372">
        <f t="shared" si="38"/>
        <v>0</v>
      </c>
      <c r="N42" s="1538">
        <f t="shared" si="39"/>
        <v>0</v>
      </c>
      <c r="O42" s="1186">
        <v>0</v>
      </c>
      <c r="P42" s="1544">
        <f t="shared" si="40"/>
        <v>0</v>
      </c>
      <c r="Q42" s="1188"/>
      <c r="R42" s="1188">
        <f t="shared" si="41"/>
        <v>0</v>
      </c>
      <c r="S42" s="1544">
        <f t="shared" si="42"/>
        <v>0</v>
      </c>
      <c r="T42" s="1544">
        <f t="shared" si="43"/>
        <v>0</v>
      </c>
      <c r="U42" s="1373">
        <f>'Table 5C1A-Madison Prep'!U42</f>
        <v>5435</v>
      </c>
      <c r="V42" s="1514">
        <f t="shared" si="55"/>
        <v>0</v>
      </c>
      <c r="W42" s="1375"/>
      <c r="X42" s="1376">
        <f t="shared" si="44"/>
        <v>0</v>
      </c>
      <c r="Y42" s="1375"/>
      <c r="Z42" s="1376">
        <f t="shared" si="32"/>
        <v>0</v>
      </c>
      <c r="AA42" s="1374">
        <f t="shared" si="45"/>
        <v>0</v>
      </c>
      <c r="AB42" s="1509">
        <f t="shared" si="46"/>
        <v>0</v>
      </c>
      <c r="AC42" s="1378">
        <f t="shared" si="47"/>
        <v>0</v>
      </c>
      <c r="AD42" s="1509">
        <f t="shared" si="48"/>
        <v>0</v>
      </c>
      <c r="AE42" s="1379">
        <v>0</v>
      </c>
      <c r="AF42" s="1509">
        <f t="shared" si="49"/>
        <v>0</v>
      </c>
      <c r="AG42" s="1379"/>
      <c r="AH42" s="1379">
        <f t="shared" si="50"/>
        <v>0</v>
      </c>
      <c r="AI42" s="1509">
        <f t="shared" si="51"/>
        <v>0</v>
      </c>
      <c r="AJ42" s="1530">
        <f t="shared" si="52"/>
        <v>0</v>
      </c>
      <c r="AK42" s="1534">
        <f t="shared" si="53"/>
        <v>0</v>
      </c>
    </row>
    <row r="43" spans="1:37" ht="16.2" customHeight="1">
      <c r="A43" s="1176">
        <v>37</v>
      </c>
      <c r="B43" s="1177" t="s">
        <v>117</v>
      </c>
      <c r="C43" s="1178">
        <f>+'Table 8 Membership 2.1.14'!P39</f>
        <v>0</v>
      </c>
      <c r="D43" s="1179">
        <f>+'Table 5C1A-Madison Prep'!D43</f>
        <v>5665.3839260317691</v>
      </c>
      <c r="E43" s="1180">
        <f t="shared" si="33"/>
        <v>0</v>
      </c>
      <c r="F43" s="1180">
        <f>+'Table 5C1A-Madison Prep'!F43</f>
        <v>653.61</v>
      </c>
      <c r="G43" s="1180">
        <f t="shared" si="34"/>
        <v>0</v>
      </c>
      <c r="H43" s="1539">
        <f t="shared" si="35"/>
        <v>0</v>
      </c>
      <c r="I43" s="1181"/>
      <c r="J43" s="1181"/>
      <c r="K43" s="1182">
        <f t="shared" si="36"/>
        <v>0</v>
      </c>
      <c r="L43" s="1539">
        <f t="shared" si="54"/>
        <v>0</v>
      </c>
      <c r="M43" s="1388">
        <f t="shared" si="38"/>
        <v>0</v>
      </c>
      <c r="N43" s="1539">
        <f t="shared" si="39"/>
        <v>0</v>
      </c>
      <c r="O43" s="1179">
        <v>0</v>
      </c>
      <c r="P43" s="1545">
        <f t="shared" si="40"/>
        <v>0</v>
      </c>
      <c r="Q43" s="1181"/>
      <c r="R43" s="1181">
        <f t="shared" si="41"/>
        <v>0</v>
      </c>
      <c r="S43" s="1545">
        <f t="shared" si="42"/>
        <v>0</v>
      </c>
      <c r="T43" s="1545">
        <f t="shared" si="43"/>
        <v>0</v>
      </c>
      <c r="U43" s="1389">
        <f>'Table 5C1A-Madison Prep'!U43</f>
        <v>3520</v>
      </c>
      <c r="V43" s="1515">
        <f t="shared" si="55"/>
        <v>0</v>
      </c>
      <c r="W43" s="1391"/>
      <c r="X43" s="1392">
        <f t="shared" si="44"/>
        <v>0</v>
      </c>
      <c r="Y43" s="1391"/>
      <c r="Z43" s="1392">
        <f t="shared" si="32"/>
        <v>0</v>
      </c>
      <c r="AA43" s="1390">
        <f t="shared" si="45"/>
        <v>0</v>
      </c>
      <c r="AB43" s="1510">
        <f t="shared" si="46"/>
        <v>0</v>
      </c>
      <c r="AC43" s="1394">
        <f t="shared" si="47"/>
        <v>0</v>
      </c>
      <c r="AD43" s="1510">
        <f t="shared" si="48"/>
        <v>0</v>
      </c>
      <c r="AE43" s="1395">
        <v>0</v>
      </c>
      <c r="AF43" s="1510">
        <f t="shared" si="49"/>
        <v>0</v>
      </c>
      <c r="AG43" s="1395"/>
      <c r="AH43" s="1395">
        <f t="shared" si="50"/>
        <v>0</v>
      </c>
      <c r="AI43" s="1510">
        <f t="shared" si="51"/>
        <v>0</v>
      </c>
      <c r="AJ43" s="1505">
        <f t="shared" si="52"/>
        <v>0</v>
      </c>
      <c r="AK43" s="1535">
        <f t="shared" si="53"/>
        <v>0</v>
      </c>
    </row>
    <row r="44" spans="1:37" ht="16.2" customHeight="1">
      <c r="A44" s="1176">
        <v>38</v>
      </c>
      <c r="B44" s="1177" t="s">
        <v>118</v>
      </c>
      <c r="C44" s="1178">
        <f>+'Table 8 Membership 2.1.14'!P40</f>
        <v>0</v>
      </c>
      <c r="D44" s="1179">
        <f>+'Table 5C1A-Madison Prep'!D44</f>
        <v>2088.8017552916881</v>
      </c>
      <c r="E44" s="1180">
        <f t="shared" si="33"/>
        <v>0</v>
      </c>
      <c r="F44" s="1180">
        <f>+'Table 5C1A-Madison Prep'!F44</f>
        <v>829.92000000000007</v>
      </c>
      <c r="G44" s="1180">
        <f t="shared" si="34"/>
        <v>0</v>
      </c>
      <c r="H44" s="1539">
        <f t="shared" si="35"/>
        <v>0</v>
      </c>
      <c r="I44" s="1181"/>
      <c r="J44" s="1181"/>
      <c r="K44" s="1182">
        <f t="shared" si="36"/>
        <v>0</v>
      </c>
      <c r="L44" s="1539">
        <f t="shared" si="54"/>
        <v>0</v>
      </c>
      <c r="M44" s="1388">
        <f t="shared" si="38"/>
        <v>0</v>
      </c>
      <c r="N44" s="1539">
        <f t="shared" si="39"/>
        <v>0</v>
      </c>
      <c r="O44" s="1179">
        <v>0</v>
      </c>
      <c r="P44" s="1545">
        <f t="shared" si="40"/>
        <v>0</v>
      </c>
      <c r="Q44" s="1181"/>
      <c r="R44" s="1181">
        <f t="shared" si="41"/>
        <v>0</v>
      </c>
      <c r="S44" s="1545">
        <f t="shared" si="42"/>
        <v>0</v>
      </c>
      <c r="T44" s="1545">
        <f t="shared" si="43"/>
        <v>0</v>
      </c>
      <c r="U44" s="1389">
        <f>'Table 5C1A-Madison Prep'!U44</f>
        <v>11379</v>
      </c>
      <c r="V44" s="1515">
        <f t="shared" si="55"/>
        <v>0</v>
      </c>
      <c r="W44" s="1391"/>
      <c r="X44" s="1392">
        <f t="shared" si="44"/>
        <v>0</v>
      </c>
      <c r="Y44" s="1391"/>
      <c r="Z44" s="1392">
        <f t="shared" si="32"/>
        <v>0</v>
      </c>
      <c r="AA44" s="1390">
        <f t="shared" si="45"/>
        <v>0</v>
      </c>
      <c r="AB44" s="1510">
        <f t="shared" si="46"/>
        <v>0</v>
      </c>
      <c r="AC44" s="1394">
        <f t="shared" si="47"/>
        <v>0</v>
      </c>
      <c r="AD44" s="1510">
        <f t="shared" si="48"/>
        <v>0</v>
      </c>
      <c r="AE44" s="1395">
        <v>0</v>
      </c>
      <c r="AF44" s="1510">
        <f t="shared" si="49"/>
        <v>0</v>
      </c>
      <c r="AG44" s="1395"/>
      <c r="AH44" s="1395">
        <f t="shared" si="50"/>
        <v>0</v>
      </c>
      <c r="AI44" s="1510">
        <f t="shared" si="51"/>
        <v>0</v>
      </c>
      <c r="AJ44" s="1505">
        <f t="shared" si="52"/>
        <v>0</v>
      </c>
      <c r="AK44" s="1535">
        <f t="shared" si="53"/>
        <v>0</v>
      </c>
    </row>
    <row r="45" spans="1:37" ht="16.2" customHeight="1">
      <c r="A45" s="1176">
        <v>39</v>
      </c>
      <c r="B45" s="1177" t="s">
        <v>119</v>
      </c>
      <c r="C45" s="1178">
        <f>+'Table 8 Membership 2.1.14'!P41</f>
        <v>0</v>
      </c>
      <c r="D45" s="1179">
        <f>+'Table 5C1A-Madison Prep'!D45</f>
        <v>3656.9056809295676</v>
      </c>
      <c r="E45" s="1180">
        <f t="shared" si="33"/>
        <v>0</v>
      </c>
      <c r="F45" s="1180">
        <f>+'Table 5C1A-Madison Prep'!F45</f>
        <v>779.65573042776396</v>
      </c>
      <c r="G45" s="1180">
        <f t="shared" si="34"/>
        <v>0</v>
      </c>
      <c r="H45" s="1539">
        <f t="shared" si="35"/>
        <v>0</v>
      </c>
      <c r="I45" s="1181"/>
      <c r="J45" s="1181"/>
      <c r="K45" s="1182">
        <f t="shared" si="36"/>
        <v>0</v>
      </c>
      <c r="L45" s="1539">
        <f t="shared" si="54"/>
        <v>0</v>
      </c>
      <c r="M45" s="1388">
        <f t="shared" si="38"/>
        <v>0</v>
      </c>
      <c r="N45" s="1539">
        <f t="shared" si="39"/>
        <v>0</v>
      </c>
      <c r="O45" s="1179">
        <v>0</v>
      </c>
      <c r="P45" s="1545">
        <f t="shared" si="40"/>
        <v>0</v>
      </c>
      <c r="Q45" s="1181"/>
      <c r="R45" s="1181">
        <f t="shared" si="41"/>
        <v>0</v>
      </c>
      <c r="S45" s="1545">
        <f t="shared" si="42"/>
        <v>0</v>
      </c>
      <c r="T45" s="1545">
        <f t="shared" si="43"/>
        <v>0</v>
      </c>
      <c r="U45" s="1389">
        <f>'Table 5C1A-Madison Prep'!U45</f>
        <v>4955</v>
      </c>
      <c r="V45" s="1515">
        <f t="shared" si="55"/>
        <v>0</v>
      </c>
      <c r="W45" s="1391"/>
      <c r="X45" s="1392">
        <f t="shared" si="44"/>
        <v>0</v>
      </c>
      <c r="Y45" s="1391"/>
      <c r="Z45" s="1392">
        <f t="shared" si="32"/>
        <v>0</v>
      </c>
      <c r="AA45" s="1390">
        <f t="shared" si="45"/>
        <v>0</v>
      </c>
      <c r="AB45" s="1510">
        <f t="shared" si="46"/>
        <v>0</v>
      </c>
      <c r="AC45" s="1394">
        <f t="shared" si="47"/>
        <v>0</v>
      </c>
      <c r="AD45" s="1510">
        <f t="shared" si="48"/>
        <v>0</v>
      </c>
      <c r="AE45" s="1395">
        <v>0</v>
      </c>
      <c r="AF45" s="1510">
        <f t="shared" si="49"/>
        <v>0</v>
      </c>
      <c r="AG45" s="1395"/>
      <c r="AH45" s="1395">
        <f t="shared" si="50"/>
        <v>0</v>
      </c>
      <c r="AI45" s="1510">
        <f t="shared" si="51"/>
        <v>0</v>
      </c>
      <c r="AJ45" s="1505">
        <f t="shared" si="52"/>
        <v>0</v>
      </c>
      <c r="AK45" s="1535">
        <f t="shared" si="53"/>
        <v>0</v>
      </c>
    </row>
    <row r="46" spans="1:37" ht="16.2" customHeight="1">
      <c r="A46" s="1168">
        <v>40</v>
      </c>
      <c r="B46" s="1169" t="s">
        <v>120</v>
      </c>
      <c r="C46" s="1170">
        <f>+'Table 8 Membership 2.1.14'!P42</f>
        <v>0</v>
      </c>
      <c r="D46" s="1171">
        <f>+'Table 5C1A-Madison Prep'!D46</f>
        <v>5121.8110285698403</v>
      </c>
      <c r="E46" s="1172">
        <f t="shared" si="33"/>
        <v>0</v>
      </c>
      <c r="F46" s="1172">
        <f>+'Table 5C1A-Madison Prep'!F46</f>
        <v>700.2700000000001</v>
      </c>
      <c r="G46" s="1172">
        <f t="shared" si="34"/>
        <v>0</v>
      </c>
      <c r="H46" s="1540">
        <f t="shared" si="35"/>
        <v>0</v>
      </c>
      <c r="I46" s="1173"/>
      <c r="J46" s="1173"/>
      <c r="K46" s="1174">
        <f t="shared" si="36"/>
        <v>0</v>
      </c>
      <c r="L46" s="1540">
        <f t="shared" si="54"/>
        <v>0</v>
      </c>
      <c r="M46" s="1399">
        <f t="shared" si="38"/>
        <v>0</v>
      </c>
      <c r="N46" s="1540">
        <f t="shared" si="39"/>
        <v>0</v>
      </c>
      <c r="O46" s="1171">
        <v>0</v>
      </c>
      <c r="P46" s="1546">
        <f t="shared" si="40"/>
        <v>0</v>
      </c>
      <c r="Q46" s="1175"/>
      <c r="R46" s="1173">
        <f t="shared" si="41"/>
        <v>0</v>
      </c>
      <c r="S46" s="1550">
        <f t="shared" si="42"/>
        <v>0</v>
      </c>
      <c r="T46" s="1550">
        <f t="shared" si="43"/>
        <v>0</v>
      </c>
      <c r="U46" s="1382">
        <f>'Table 5C1A-Madison Prep'!U46</f>
        <v>3069</v>
      </c>
      <c r="V46" s="1516">
        <f t="shared" si="55"/>
        <v>0</v>
      </c>
      <c r="W46" s="1400"/>
      <c r="X46" s="1383">
        <f t="shared" si="44"/>
        <v>0</v>
      </c>
      <c r="Y46" s="1400"/>
      <c r="Z46" s="1383">
        <f t="shared" si="32"/>
        <v>0</v>
      </c>
      <c r="AA46" s="1384">
        <f t="shared" si="45"/>
        <v>0</v>
      </c>
      <c r="AB46" s="1511">
        <f t="shared" si="46"/>
        <v>0</v>
      </c>
      <c r="AC46" s="1402">
        <f t="shared" si="47"/>
        <v>0</v>
      </c>
      <c r="AD46" s="1511">
        <f t="shared" si="48"/>
        <v>0</v>
      </c>
      <c r="AE46" s="1385">
        <v>0</v>
      </c>
      <c r="AF46" s="1511">
        <f t="shared" si="49"/>
        <v>0</v>
      </c>
      <c r="AG46" s="1385"/>
      <c r="AH46" s="1385">
        <f t="shared" si="50"/>
        <v>0</v>
      </c>
      <c r="AI46" s="1511">
        <f t="shared" si="51"/>
        <v>0</v>
      </c>
      <c r="AJ46" s="1531">
        <f t="shared" si="52"/>
        <v>0</v>
      </c>
      <c r="AK46" s="1536">
        <f t="shared" si="53"/>
        <v>0</v>
      </c>
    </row>
    <row r="47" spans="1:37" ht="16.2" customHeight="1">
      <c r="A47" s="1183">
        <v>41</v>
      </c>
      <c r="B47" s="1184" t="s">
        <v>121</v>
      </c>
      <c r="C47" s="1185">
        <f>+'Table 8 Membership 2.1.14'!P43</f>
        <v>0</v>
      </c>
      <c r="D47" s="1186">
        <f>+'Table 5C1A-Madison Prep'!D47</f>
        <v>3291.1948574716475</v>
      </c>
      <c r="E47" s="1187">
        <f t="shared" si="33"/>
        <v>0</v>
      </c>
      <c r="F47" s="1187">
        <f>+'Table 5C1A-Madison Prep'!F47</f>
        <v>886.22</v>
      </c>
      <c r="G47" s="1187">
        <f t="shared" si="34"/>
        <v>0</v>
      </c>
      <c r="H47" s="1538">
        <f t="shared" si="35"/>
        <v>0</v>
      </c>
      <c r="I47" s="1188"/>
      <c r="J47" s="1188"/>
      <c r="K47" s="1189">
        <f t="shared" si="36"/>
        <v>0</v>
      </c>
      <c r="L47" s="1538">
        <f t="shared" si="54"/>
        <v>0</v>
      </c>
      <c r="M47" s="1372">
        <f t="shared" si="38"/>
        <v>0</v>
      </c>
      <c r="N47" s="1538">
        <f t="shared" si="39"/>
        <v>0</v>
      </c>
      <c r="O47" s="1186">
        <v>0</v>
      </c>
      <c r="P47" s="1544">
        <f t="shared" si="40"/>
        <v>0</v>
      </c>
      <c r="Q47" s="1188"/>
      <c r="R47" s="1188">
        <f t="shared" si="41"/>
        <v>0</v>
      </c>
      <c r="S47" s="1544">
        <f t="shared" si="42"/>
        <v>0</v>
      </c>
      <c r="T47" s="1544">
        <f t="shared" si="43"/>
        <v>0</v>
      </c>
      <c r="U47" s="1373">
        <f>'Table 5C1A-Madison Prep'!U47</f>
        <v>8478</v>
      </c>
      <c r="V47" s="1514">
        <f t="shared" si="55"/>
        <v>0</v>
      </c>
      <c r="W47" s="1375"/>
      <c r="X47" s="1376">
        <f t="shared" si="44"/>
        <v>0</v>
      </c>
      <c r="Y47" s="1375"/>
      <c r="Z47" s="1376">
        <f t="shared" si="32"/>
        <v>0</v>
      </c>
      <c r="AA47" s="1374">
        <f t="shared" si="45"/>
        <v>0</v>
      </c>
      <c r="AB47" s="1509">
        <f t="shared" si="46"/>
        <v>0</v>
      </c>
      <c r="AC47" s="1378">
        <f t="shared" si="47"/>
        <v>0</v>
      </c>
      <c r="AD47" s="1509">
        <f t="shared" si="48"/>
        <v>0</v>
      </c>
      <c r="AE47" s="1379">
        <v>0</v>
      </c>
      <c r="AF47" s="1509">
        <f t="shared" si="49"/>
        <v>0</v>
      </c>
      <c r="AG47" s="1379"/>
      <c r="AH47" s="1379">
        <f t="shared" si="50"/>
        <v>0</v>
      </c>
      <c r="AI47" s="1509">
        <f t="shared" si="51"/>
        <v>0</v>
      </c>
      <c r="AJ47" s="1530">
        <f t="shared" si="52"/>
        <v>0</v>
      </c>
      <c r="AK47" s="1534">
        <f t="shared" si="53"/>
        <v>0</v>
      </c>
    </row>
    <row r="48" spans="1:37" ht="16.2" customHeight="1">
      <c r="A48" s="1176">
        <v>42</v>
      </c>
      <c r="B48" s="1177" t="s">
        <v>122</v>
      </c>
      <c r="C48" s="1178">
        <f>+'Table 8 Membership 2.1.14'!P44</f>
        <v>0</v>
      </c>
      <c r="D48" s="1179">
        <f>+'Table 5C1A-Madison Prep'!D48</f>
        <v>5113.6077751368684</v>
      </c>
      <c r="E48" s="1180">
        <f t="shared" si="33"/>
        <v>0</v>
      </c>
      <c r="F48" s="1180">
        <f>+'Table 5C1A-Madison Prep'!F48</f>
        <v>534.28</v>
      </c>
      <c r="G48" s="1180">
        <f t="shared" si="34"/>
        <v>0</v>
      </c>
      <c r="H48" s="1539">
        <f t="shared" si="35"/>
        <v>0</v>
      </c>
      <c r="I48" s="1181"/>
      <c r="J48" s="1181"/>
      <c r="K48" s="1182">
        <f t="shared" si="36"/>
        <v>0</v>
      </c>
      <c r="L48" s="1539">
        <f t="shared" si="54"/>
        <v>0</v>
      </c>
      <c r="M48" s="1388">
        <f t="shared" si="38"/>
        <v>0</v>
      </c>
      <c r="N48" s="1539">
        <f t="shared" si="39"/>
        <v>0</v>
      </c>
      <c r="O48" s="1179">
        <v>0</v>
      </c>
      <c r="P48" s="1545">
        <f t="shared" si="40"/>
        <v>0</v>
      </c>
      <c r="Q48" s="1181"/>
      <c r="R48" s="1181">
        <f t="shared" si="41"/>
        <v>0</v>
      </c>
      <c r="S48" s="1545">
        <f t="shared" si="42"/>
        <v>0</v>
      </c>
      <c r="T48" s="1545">
        <f t="shared" si="43"/>
        <v>0</v>
      </c>
      <c r="U48" s="1389">
        <f>'Table 5C1A-Madison Prep'!U48</f>
        <v>3578</v>
      </c>
      <c r="V48" s="1515">
        <f t="shared" si="55"/>
        <v>0</v>
      </c>
      <c r="W48" s="1391"/>
      <c r="X48" s="1392">
        <f t="shared" si="44"/>
        <v>0</v>
      </c>
      <c r="Y48" s="1391"/>
      <c r="Z48" s="1392">
        <f t="shared" si="32"/>
        <v>0</v>
      </c>
      <c r="AA48" s="1390">
        <f t="shared" si="45"/>
        <v>0</v>
      </c>
      <c r="AB48" s="1510">
        <f t="shared" si="46"/>
        <v>0</v>
      </c>
      <c r="AC48" s="1394">
        <f t="shared" si="47"/>
        <v>0</v>
      </c>
      <c r="AD48" s="1510">
        <f t="shared" si="48"/>
        <v>0</v>
      </c>
      <c r="AE48" s="1395">
        <v>0</v>
      </c>
      <c r="AF48" s="1510">
        <f t="shared" si="49"/>
        <v>0</v>
      </c>
      <c r="AG48" s="1395"/>
      <c r="AH48" s="1395">
        <f t="shared" si="50"/>
        <v>0</v>
      </c>
      <c r="AI48" s="1510">
        <f t="shared" si="51"/>
        <v>0</v>
      </c>
      <c r="AJ48" s="1505">
        <f t="shared" si="52"/>
        <v>0</v>
      </c>
      <c r="AK48" s="1535">
        <f t="shared" si="53"/>
        <v>0</v>
      </c>
    </row>
    <row r="49" spans="1:37" ht="16.2" customHeight="1">
      <c r="A49" s="1176">
        <v>43</v>
      </c>
      <c r="B49" s="1177" t="s">
        <v>123</v>
      </c>
      <c r="C49" s="1178">
        <f>+'Table 8 Membership 2.1.14'!P45</f>
        <v>0</v>
      </c>
      <c r="D49" s="1179">
        <f>+'Table 5C1A-Madison Prep'!D49</f>
        <v>5788.74387205947</v>
      </c>
      <c r="E49" s="1180">
        <f t="shared" si="33"/>
        <v>0</v>
      </c>
      <c r="F49" s="1180">
        <f>+'Table 5C1A-Madison Prep'!F49</f>
        <v>574.6099999999999</v>
      </c>
      <c r="G49" s="1180">
        <f t="shared" si="34"/>
        <v>0</v>
      </c>
      <c r="H49" s="1539">
        <f t="shared" si="35"/>
        <v>0</v>
      </c>
      <c r="I49" s="1181"/>
      <c r="J49" s="1181"/>
      <c r="K49" s="1182">
        <f t="shared" si="36"/>
        <v>0</v>
      </c>
      <c r="L49" s="1539">
        <f t="shared" si="54"/>
        <v>0</v>
      </c>
      <c r="M49" s="1388">
        <f t="shared" si="38"/>
        <v>0</v>
      </c>
      <c r="N49" s="1539">
        <f t="shared" si="39"/>
        <v>0</v>
      </c>
      <c r="O49" s="1179">
        <v>0</v>
      </c>
      <c r="P49" s="1545">
        <f t="shared" si="40"/>
        <v>0</v>
      </c>
      <c r="Q49" s="1181"/>
      <c r="R49" s="1181">
        <f t="shared" si="41"/>
        <v>0</v>
      </c>
      <c r="S49" s="1545">
        <f t="shared" si="42"/>
        <v>0</v>
      </c>
      <c r="T49" s="1545">
        <f t="shared" si="43"/>
        <v>0</v>
      </c>
      <c r="U49" s="1389">
        <f>'Table 5C1A-Madison Prep'!U49</f>
        <v>3205</v>
      </c>
      <c r="V49" s="1515">
        <f t="shared" si="55"/>
        <v>0</v>
      </c>
      <c r="W49" s="1391"/>
      <c r="X49" s="1392">
        <f t="shared" si="44"/>
        <v>0</v>
      </c>
      <c r="Y49" s="1391"/>
      <c r="Z49" s="1392">
        <f t="shared" si="32"/>
        <v>0</v>
      </c>
      <c r="AA49" s="1390">
        <f t="shared" si="45"/>
        <v>0</v>
      </c>
      <c r="AB49" s="1510">
        <f t="shared" si="46"/>
        <v>0</v>
      </c>
      <c r="AC49" s="1394">
        <f t="shared" si="47"/>
        <v>0</v>
      </c>
      <c r="AD49" s="1510">
        <f t="shared" si="48"/>
        <v>0</v>
      </c>
      <c r="AE49" s="1395">
        <v>0</v>
      </c>
      <c r="AF49" s="1510">
        <f t="shared" si="49"/>
        <v>0</v>
      </c>
      <c r="AG49" s="1395"/>
      <c r="AH49" s="1395">
        <f t="shared" si="50"/>
        <v>0</v>
      </c>
      <c r="AI49" s="1510">
        <f t="shared" si="51"/>
        <v>0</v>
      </c>
      <c r="AJ49" s="1505">
        <f t="shared" si="52"/>
        <v>0</v>
      </c>
      <c r="AK49" s="1535">
        <f t="shared" si="53"/>
        <v>0</v>
      </c>
    </row>
    <row r="50" spans="1:37" ht="16.2" customHeight="1">
      <c r="A50" s="1176">
        <v>44</v>
      </c>
      <c r="B50" s="1177" t="s">
        <v>124</v>
      </c>
      <c r="C50" s="1178">
        <f>+'Table 8 Membership 2.1.14'!P46</f>
        <v>0</v>
      </c>
      <c r="D50" s="1179">
        <f>+'Table 5C1A-Madison Prep'!D50</f>
        <v>4897.5958151820359</v>
      </c>
      <c r="E50" s="1180">
        <f t="shared" si="33"/>
        <v>0</v>
      </c>
      <c r="F50" s="1180">
        <f>+'Table 5C1A-Madison Prep'!F50</f>
        <v>663.16000000000008</v>
      </c>
      <c r="G50" s="1180">
        <f t="shared" si="34"/>
        <v>0</v>
      </c>
      <c r="H50" s="1539">
        <f t="shared" si="35"/>
        <v>0</v>
      </c>
      <c r="I50" s="1181"/>
      <c r="J50" s="1181"/>
      <c r="K50" s="1182">
        <f t="shared" si="36"/>
        <v>0</v>
      </c>
      <c r="L50" s="1539">
        <f t="shared" si="54"/>
        <v>0</v>
      </c>
      <c r="M50" s="1388">
        <f t="shared" si="38"/>
        <v>0</v>
      </c>
      <c r="N50" s="1539">
        <f t="shared" si="39"/>
        <v>0</v>
      </c>
      <c r="O50" s="1179">
        <v>0</v>
      </c>
      <c r="P50" s="1545">
        <f t="shared" si="40"/>
        <v>0</v>
      </c>
      <c r="Q50" s="1181"/>
      <c r="R50" s="1181">
        <f t="shared" si="41"/>
        <v>0</v>
      </c>
      <c r="S50" s="1545">
        <f t="shared" si="42"/>
        <v>0</v>
      </c>
      <c r="T50" s="1545">
        <f t="shared" si="43"/>
        <v>0</v>
      </c>
      <c r="U50" s="1389">
        <f>'Table 5C1A-Madison Prep'!U50</f>
        <v>3719</v>
      </c>
      <c r="V50" s="1515">
        <f t="shared" si="55"/>
        <v>0</v>
      </c>
      <c r="W50" s="1391"/>
      <c r="X50" s="1392">
        <f t="shared" si="44"/>
        <v>0</v>
      </c>
      <c r="Y50" s="1391"/>
      <c r="Z50" s="1392">
        <f t="shared" si="32"/>
        <v>0</v>
      </c>
      <c r="AA50" s="1390">
        <f t="shared" si="45"/>
        <v>0</v>
      </c>
      <c r="AB50" s="1510">
        <f t="shared" si="46"/>
        <v>0</v>
      </c>
      <c r="AC50" s="1394">
        <f t="shared" si="47"/>
        <v>0</v>
      </c>
      <c r="AD50" s="1510">
        <f t="shared" si="48"/>
        <v>0</v>
      </c>
      <c r="AE50" s="1395">
        <v>0</v>
      </c>
      <c r="AF50" s="1510">
        <f t="shared" si="49"/>
        <v>0</v>
      </c>
      <c r="AG50" s="1395"/>
      <c r="AH50" s="1395">
        <f t="shared" si="50"/>
        <v>0</v>
      </c>
      <c r="AI50" s="1510">
        <f t="shared" si="51"/>
        <v>0</v>
      </c>
      <c r="AJ50" s="1505">
        <f t="shared" si="52"/>
        <v>0</v>
      </c>
      <c r="AK50" s="1535">
        <f t="shared" si="53"/>
        <v>0</v>
      </c>
    </row>
    <row r="51" spans="1:37" ht="16.2" customHeight="1">
      <c r="A51" s="1168">
        <v>45</v>
      </c>
      <c r="B51" s="1169" t="s">
        <v>125</v>
      </c>
      <c r="C51" s="1170">
        <f>+'Table 8 Membership 2.1.14'!P47</f>
        <v>0</v>
      </c>
      <c r="D51" s="1171">
        <f>+'Table 5C1A-Madison Prep'!D51</f>
        <v>2054.0472499469101</v>
      </c>
      <c r="E51" s="1172">
        <f t="shared" si="33"/>
        <v>0</v>
      </c>
      <c r="F51" s="1172">
        <f>+'Table 5C1A-Madison Prep'!F51</f>
        <v>753.96000000000015</v>
      </c>
      <c r="G51" s="1172">
        <f t="shared" si="34"/>
        <v>0</v>
      </c>
      <c r="H51" s="1540">
        <f t="shared" si="35"/>
        <v>0</v>
      </c>
      <c r="I51" s="1173"/>
      <c r="J51" s="1173"/>
      <c r="K51" s="1174">
        <f t="shared" si="36"/>
        <v>0</v>
      </c>
      <c r="L51" s="1540">
        <f t="shared" si="54"/>
        <v>0</v>
      </c>
      <c r="M51" s="1399">
        <f t="shared" si="38"/>
        <v>0</v>
      </c>
      <c r="N51" s="1540">
        <f t="shared" si="39"/>
        <v>0</v>
      </c>
      <c r="O51" s="1171">
        <v>0</v>
      </c>
      <c r="P51" s="1546">
        <f t="shared" si="40"/>
        <v>0</v>
      </c>
      <c r="Q51" s="1175"/>
      <c r="R51" s="1173">
        <f t="shared" si="41"/>
        <v>0</v>
      </c>
      <c r="S51" s="1550">
        <f t="shared" si="42"/>
        <v>0</v>
      </c>
      <c r="T51" s="1550">
        <f t="shared" si="43"/>
        <v>0</v>
      </c>
      <c r="U51" s="1382">
        <f>'Table 5C1A-Madison Prep'!U51</f>
        <v>12169</v>
      </c>
      <c r="V51" s="1516">
        <f t="shared" si="55"/>
        <v>0</v>
      </c>
      <c r="W51" s="1400"/>
      <c r="X51" s="1383">
        <f t="shared" si="44"/>
        <v>0</v>
      </c>
      <c r="Y51" s="1400"/>
      <c r="Z51" s="1383">
        <f t="shared" si="32"/>
        <v>0</v>
      </c>
      <c r="AA51" s="1384">
        <f t="shared" si="45"/>
        <v>0</v>
      </c>
      <c r="AB51" s="1511">
        <f t="shared" si="46"/>
        <v>0</v>
      </c>
      <c r="AC51" s="1402">
        <f t="shared" si="47"/>
        <v>0</v>
      </c>
      <c r="AD51" s="1511">
        <f t="shared" si="48"/>
        <v>0</v>
      </c>
      <c r="AE51" s="1385">
        <v>0</v>
      </c>
      <c r="AF51" s="1511">
        <f t="shared" si="49"/>
        <v>0</v>
      </c>
      <c r="AG51" s="1385"/>
      <c r="AH51" s="1385">
        <f t="shared" si="50"/>
        <v>0</v>
      </c>
      <c r="AI51" s="1511">
        <f t="shared" si="51"/>
        <v>0</v>
      </c>
      <c r="AJ51" s="1531">
        <f t="shared" si="52"/>
        <v>0</v>
      </c>
      <c r="AK51" s="1536">
        <f t="shared" si="53"/>
        <v>0</v>
      </c>
    </row>
    <row r="52" spans="1:37" ht="16.2" customHeight="1">
      <c r="A52" s="1183">
        <v>46</v>
      </c>
      <c r="B52" s="1184" t="s">
        <v>126</v>
      </c>
      <c r="C52" s="1185">
        <f>+'Table 8 Membership 2.1.14'!P48</f>
        <v>0</v>
      </c>
      <c r="D52" s="1186">
        <f>+'Table 5C1A-Madison Prep'!D52</f>
        <v>6051.2144468088381</v>
      </c>
      <c r="E52" s="1187">
        <f t="shared" si="33"/>
        <v>0</v>
      </c>
      <c r="F52" s="1187">
        <f>+'Table 5C1A-Madison Prep'!F52</f>
        <v>728.06</v>
      </c>
      <c r="G52" s="1187">
        <f t="shared" si="34"/>
        <v>0</v>
      </c>
      <c r="H52" s="1538">
        <f t="shared" si="35"/>
        <v>0</v>
      </c>
      <c r="I52" s="1188"/>
      <c r="J52" s="1188"/>
      <c r="K52" s="1189">
        <f t="shared" si="36"/>
        <v>0</v>
      </c>
      <c r="L52" s="1538">
        <f t="shared" si="54"/>
        <v>0</v>
      </c>
      <c r="M52" s="1372">
        <f t="shared" si="38"/>
        <v>0</v>
      </c>
      <c r="N52" s="1538">
        <f t="shared" si="39"/>
        <v>0</v>
      </c>
      <c r="O52" s="1186">
        <v>0</v>
      </c>
      <c r="P52" s="1544">
        <f t="shared" si="40"/>
        <v>0</v>
      </c>
      <c r="Q52" s="1188"/>
      <c r="R52" s="1188">
        <f t="shared" si="41"/>
        <v>0</v>
      </c>
      <c r="S52" s="1544">
        <f t="shared" si="42"/>
        <v>0</v>
      </c>
      <c r="T52" s="1544">
        <f t="shared" si="43"/>
        <v>0</v>
      </c>
      <c r="U52" s="1373">
        <f>'Table 5C1A-Madison Prep'!U52</f>
        <v>2713</v>
      </c>
      <c r="V52" s="1514">
        <f t="shared" si="55"/>
        <v>0</v>
      </c>
      <c r="W52" s="1375"/>
      <c r="X52" s="1376">
        <f t="shared" si="44"/>
        <v>0</v>
      </c>
      <c r="Y52" s="1375"/>
      <c r="Z52" s="1376">
        <f t="shared" si="32"/>
        <v>0</v>
      </c>
      <c r="AA52" s="1374">
        <f t="shared" si="45"/>
        <v>0</v>
      </c>
      <c r="AB52" s="1509">
        <f t="shared" si="46"/>
        <v>0</v>
      </c>
      <c r="AC52" s="1378">
        <f t="shared" si="47"/>
        <v>0</v>
      </c>
      <c r="AD52" s="1509">
        <f t="shared" si="48"/>
        <v>0</v>
      </c>
      <c r="AE52" s="1379">
        <v>0</v>
      </c>
      <c r="AF52" s="1509">
        <f t="shared" si="49"/>
        <v>0</v>
      </c>
      <c r="AG52" s="1379"/>
      <c r="AH52" s="1379">
        <f t="shared" si="50"/>
        <v>0</v>
      </c>
      <c r="AI52" s="1509">
        <f t="shared" si="51"/>
        <v>0</v>
      </c>
      <c r="AJ52" s="1530">
        <f t="shared" si="52"/>
        <v>0</v>
      </c>
      <c r="AK52" s="1534">
        <f t="shared" si="53"/>
        <v>0</v>
      </c>
    </row>
    <row r="53" spans="1:37" ht="16.2" customHeight="1">
      <c r="A53" s="1176">
        <v>47</v>
      </c>
      <c r="B53" s="1177" t="s">
        <v>127</v>
      </c>
      <c r="C53" s="1178">
        <f>+'Table 8 Membership 2.1.14'!P49</f>
        <v>0</v>
      </c>
      <c r="D53" s="1179">
        <f>+'Table 5C1A-Madison Prep'!D53</f>
        <v>2524.1485257646736</v>
      </c>
      <c r="E53" s="1180">
        <f t="shared" si="33"/>
        <v>0</v>
      </c>
      <c r="F53" s="1180">
        <f>+'Table 5C1A-Madison Prep'!F53</f>
        <v>910.76</v>
      </c>
      <c r="G53" s="1180">
        <f t="shared" si="34"/>
        <v>0</v>
      </c>
      <c r="H53" s="1539">
        <f t="shared" si="35"/>
        <v>0</v>
      </c>
      <c r="I53" s="1181"/>
      <c r="J53" s="1181"/>
      <c r="K53" s="1182">
        <f t="shared" si="36"/>
        <v>0</v>
      </c>
      <c r="L53" s="1539">
        <f t="shared" si="54"/>
        <v>0</v>
      </c>
      <c r="M53" s="1388">
        <f t="shared" si="38"/>
        <v>0</v>
      </c>
      <c r="N53" s="1539">
        <f t="shared" si="39"/>
        <v>0</v>
      </c>
      <c r="O53" s="1179">
        <v>0</v>
      </c>
      <c r="P53" s="1545">
        <f t="shared" si="40"/>
        <v>0</v>
      </c>
      <c r="Q53" s="1181"/>
      <c r="R53" s="1181">
        <f t="shared" si="41"/>
        <v>0</v>
      </c>
      <c r="S53" s="1545">
        <f t="shared" si="42"/>
        <v>0</v>
      </c>
      <c r="T53" s="1545">
        <f t="shared" si="43"/>
        <v>0</v>
      </c>
      <c r="U53" s="1389">
        <f>'Table 5C1A-Madison Prep'!U53</f>
        <v>11701</v>
      </c>
      <c r="V53" s="1515">
        <f t="shared" si="55"/>
        <v>0</v>
      </c>
      <c r="W53" s="1391"/>
      <c r="X53" s="1392">
        <f t="shared" si="44"/>
        <v>0</v>
      </c>
      <c r="Y53" s="1391"/>
      <c r="Z53" s="1392">
        <f t="shared" si="32"/>
        <v>0</v>
      </c>
      <c r="AA53" s="1390">
        <f t="shared" si="45"/>
        <v>0</v>
      </c>
      <c r="AB53" s="1510">
        <f t="shared" si="46"/>
        <v>0</v>
      </c>
      <c r="AC53" s="1394">
        <f t="shared" si="47"/>
        <v>0</v>
      </c>
      <c r="AD53" s="1510">
        <f t="shared" si="48"/>
        <v>0</v>
      </c>
      <c r="AE53" s="1395">
        <v>0</v>
      </c>
      <c r="AF53" s="1510">
        <f t="shared" si="49"/>
        <v>0</v>
      </c>
      <c r="AG53" s="1395"/>
      <c r="AH53" s="1395">
        <f t="shared" si="50"/>
        <v>0</v>
      </c>
      <c r="AI53" s="1510">
        <f t="shared" si="51"/>
        <v>0</v>
      </c>
      <c r="AJ53" s="1505">
        <f t="shared" si="52"/>
        <v>0</v>
      </c>
      <c r="AK53" s="1535">
        <f t="shared" si="53"/>
        <v>0</v>
      </c>
    </row>
    <row r="54" spans="1:37" ht="16.2" customHeight="1">
      <c r="A54" s="1176">
        <v>48</v>
      </c>
      <c r="B54" s="1177" t="s">
        <v>178</v>
      </c>
      <c r="C54" s="1178">
        <f>+'Table 8 Membership 2.1.14'!P50</f>
        <v>0</v>
      </c>
      <c r="D54" s="1179">
        <f>+'Table 5C1A-Madison Prep'!D54</f>
        <v>3983.3582529800719</v>
      </c>
      <c r="E54" s="1180">
        <f t="shared" si="33"/>
        <v>0</v>
      </c>
      <c r="F54" s="1180">
        <f>+'Table 5C1A-Madison Prep'!F54</f>
        <v>871.07</v>
      </c>
      <c r="G54" s="1180">
        <f t="shared" si="34"/>
        <v>0</v>
      </c>
      <c r="H54" s="1539">
        <f t="shared" si="35"/>
        <v>0</v>
      </c>
      <c r="I54" s="1181"/>
      <c r="J54" s="1181"/>
      <c r="K54" s="1182">
        <f t="shared" si="36"/>
        <v>0</v>
      </c>
      <c r="L54" s="1539">
        <f t="shared" si="54"/>
        <v>0</v>
      </c>
      <c r="M54" s="1388">
        <f t="shared" si="38"/>
        <v>0</v>
      </c>
      <c r="N54" s="1539">
        <f t="shared" si="39"/>
        <v>0</v>
      </c>
      <c r="O54" s="1179">
        <v>0</v>
      </c>
      <c r="P54" s="1545">
        <f t="shared" si="40"/>
        <v>0</v>
      </c>
      <c r="Q54" s="1181"/>
      <c r="R54" s="1181">
        <f t="shared" si="41"/>
        <v>0</v>
      </c>
      <c r="S54" s="1545">
        <f t="shared" si="42"/>
        <v>0</v>
      </c>
      <c r="T54" s="1545">
        <f t="shared" si="43"/>
        <v>0</v>
      </c>
      <c r="U54" s="1389">
        <f>'Table 5C1A-Madison Prep'!U54</f>
        <v>7338</v>
      </c>
      <c r="V54" s="1515">
        <f t="shared" si="55"/>
        <v>0</v>
      </c>
      <c r="W54" s="1391"/>
      <c r="X54" s="1392">
        <f t="shared" si="44"/>
        <v>0</v>
      </c>
      <c r="Y54" s="1391"/>
      <c r="Z54" s="1392">
        <f t="shared" si="32"/>
        <v>0</v>
      </c>
      <c r="AA54" s="1390">
        <f t="shared" si="45"/>
        <v>0</v>
      </c>
      <c r="AB54" s="1510">
        <f t="shared" si="46"/>
        <v>0</v>
      </c>
      <c r="AC54" s="1394">
        <f t="shared" si="47"/>
        <v>0</v>
      </c>
      <c r="AD54" s="1510">
        <f t="shared" si="48"/>
        <v>0</v>
      </c>
      <c r="AE54" s="1395">
        <v>0</v>
      </c>
      <c r="AF54" s="1510">
        <f t="shared" si="49"/>
        <v>0</v>
      </c>
      <c r="AG54" s="1395"/>
      <c r="AH54" s="1395">
        <f t="shared" si="50"/>
        <v>0</v>
      </c>
      <c r="AI54" s="1510">
        <f t="shared" si="51"/>
        <v>0</v>
      </c>
      <c r="AJ54" s="1505">
        <f t="shared" si="52"/>
        <v>0</v>
      </c>
      <c r="AK54" s="1535">
        <f t="shared" si="53"/>
        <v>0</v>
      </c>
    </row>
    <row r="55" spans="1:37" ht="16.2" customHeight="1">
      <c r="A55" s="1176">
        <v>49</v>
      </c>
      <c r="B55" s="1177" t="s">
        <v>128</v>
      </c>
      <c r="C55" s="1178">
        <f>+'Table 8 Membership 2.1.14'!P51</f>
        <v>195</v>
      </c>
      <c r="D55" s="1179">
        <f>+'Table 5C1A-Madison Prep'!D55</f>
        <v>4995.8755315659191</v>
      </c>
      <c r="E55" s="1180">
        <f t="shared" si="33"/>
        <v>974195.72865535424</v>
      </c>
      <c r="F55" s="1180">
        <f>+'Table 5C1A-Madison Prep'!F55</f>
        <v>574.43999999999994</v>
      </c>
      <c r="G55" s="1180">
        <f t="shared" si="34"/>
        <v>112015.79999999999</v>
      </c>
      <c r="H55" s="1539">
        <f t="shared" si="35"/>
        <v>1086211.5286553542</v>
      </c>
      <c r="I55" s="1181"/>
      <c r="J55" s="1181"/>
      <c r="K55" s="1182">
        <f t="shared" si="36"/>
        <v>0</v>
      </c>
      <c r="L55" s="1539">
        <f t="shared" si="54"/>
        <v>1086211.5286553542</v>
      </c>
      <c r="M55" s="1388">
        <f t="shared" si="38"/>
        <v>-2715.5288216383856</v>
      </c>
      <c r="N55" s="1539">
        <f t="shared" si="39"/>
        <v>1083495.9998337158</v>
      </c>
      <c r="O55" s="1179">
        <f>32467-2697</f>
        <v>29770</v>
      </c>
      <c r="P55" s="1545">
        <f t="shared" si="40"/>
        <v>1113265.9998337158</v>
      </c>
      <c r="Q55" s="1181"/>
      <c r="R55" s="1181">
        <f t="shared" si="41"/>
        <v>1113265.9998337158</v>
      </c>
      <c r="S55" s="1545">
        <f t="shared" si="42"/>
        <v>92772</v>
      </c>
      <c r="T55" s="1545">
        <f t="shared" si="43"/>
        <v>1113265.9998337158</v>
      </c>
      <c r="U55" s="1389">
        <f>'Table 5C1A-Madison Prep'!U55</f>
        <v>2353</v>
      </c>
      <c r="V55" s="1515">
        <f t="shared" si="55"/>
        <v>458835</v>
      </c>
      <c r="W55" s="1391"/>
      <c r="X55" s="1392">
        <f t="shared" si="44"/>
        <v>0</v>
      </c>
      <c r="Y55" s="1391"/>
      <c r="Z55" s="1392">
        <f t="shared" si="32"/>
        <v>0</v>
      </c>
      <c r="AA55" s="1390">
        <f t="shared" si="45"/>
        <v>0</v>
      </c>
      <c r="AB55" s="1510">
        <f t="shared" si="46"/>
        <v>458835</v>
      </c>
      <c r="AC55" s="1394">
        <f t="shared" si="47"/>
        <v>-1147.0875000000001</v>
      </c>
      <c r="AD55" s="1510">
        <f t="shared" si="48"/>
        <v>457687.91249999998</v>
      </c>
      <c r="AE55" s="1395">
        <f>-1172.5+14412</f>
        <v>13239.5</v>
      </c>
      <c r="AF55" s="1510">
        <f t="shared" si="49"/>
        <v>470927.41249999998</v>
      </c>
      <c r="AG55" s="1395"/>
      <c r="AH55" s="1395">
        <f t="shared" si="50"/>
        <v>470927.41249999998</v>
      </c>
      <c r="AI55" s="1510">
        <f t="shared" si="51"/>
        <v>39244</v>
      </c>
      <c r="AJ55" s="1505">
        <f t="shared" si="52"/>
        <v>1584193.4123337157</v>
      </c>
      <c r="AK55" s="1535">
        <f t="shared" si="53"/>
        <v>132016</v>
      </c>
    </row>
    <row r="56" spans="1:37" ht="16.2" customHeight="1">
      <c r="A56" s="1168">
        <v>50</v>
      </c>
      <c r="B56" s="1169" t="s">
        <v>129</v>
      </c>
      <c r="C56" s="1170">
        <f>+'Table 8 Membership 2.1.14'!P52</f>
        <v>0</v>
      </c>
      <c r="D56" s="1171">
        <f>+'Table 5C1A-Madison Prep'!D56</f>
        <v>5177.6892722701677</v>
      </c>
      <c r="E56" s="1172">
        <f t="shared" si="33"/>
        <v>0</v>
      </c>
      <c r="F56" s="1172">
        <f>+'Table 5C1A-Madison Prep'!F56</f>
        <v>634.46</v>
      </c>
      <c r="G56" s="1172">
        <f t="shared" si="34"/>
        <v>0</v>
      </c>
      <c r="H56" s="1540">
        <f t="shared" si="35"/>
        <v>0</v>
      </c>
      <c r="I56" s="1173"/>
      <c r="J56" s="1173"/>
      <c r="K56" s="1174">
        <f t="shared" si="36"/>
        <v>0</v>
      </c>
      <c r="L56" s="1540">
        <f t="shared" si="54"/>
        <v>0</v>
      </c>
      <c r="M56" s="1399">
        <f t="shared" si="38"/>
        <v>0</v>
      </c>
      <c r="N56" s="1540">
        <f t="shared" si="39"/>
        <v>0</v>
      </c>
      <c r="O56" s="1171">
        <v>0</v>
      </c>
      <c r="P56" s="1546">
        <f t="shared" si="40"/>
        <v>0</v>
      </c>
      <c r="Q56" s="1175"/>
      <c r="R56" s="1173">
        <f t="shared" si="41"/>
        <v>0</v>
      </c>
      <c r="S56" s="1550">
        <f t="shared" si="42"/>
        <v>0</v>
      </c>
      <c r="T56" s="1550">
        <f t="shared" si="43"/>
        <v>0</v>
      </c>
      <c r="U56" s="1382">
        <f>'Table 5C1A-Madison Prep'!U56</f>
        <v>3510</v>
      </c>
      <c r="V56" s="1516">
        <f t="shared" si="55"/>
        <v>0</v>
      </c>
      <c r="W56" s="1400"/>
      <c r="X56" s="1383">
        <f t="shared" si="44"/>
        <v>0</v>
      </c>
      <c r="Y56" s="1400"/>
      <c r="Z56" s="1383">
        <f t="shared" si="32"/>
        <v>0</v>
      </c>
      <c r="AA56" s="1384">
        <f t="shared" si="45"/>
        <v>0</v>
      </c>
      <c r="AB56" s="1511">
        <f t="shared" si="46"/>
        <v>0</v>
      </c>
      <c r="AC56" s="1402">
        <f t="shared" si="47"/>
        <v>0</v>
      </c>
      <c r="AD56" s="1511">
        <f t="shared" si="48"/>
        <v>0</v>
      </c>
      <c r="AE56" s="1385">
        <v>0</v>
      </c>
      <c r="AF56" s="1511">
        <f t="shared" si="49"/>
        <v>0</v>
      </c>
      <c r="AG56" s="1385"/>
      <c r="AH56" s="1385">
        <f t="shared" si="50"/>
        <v>0</v>
      </c>
      <c r="AI56" s="1511">
        <f t="shared" si="51"/>
        <v>0</v>
      </c>
      <c r="AJ56" s="1531">
        <f t="shared" si="52"/>
        <v>0</v>
      </c>
      <c r="AK56" s="1536">
        <f t="shared" si="53"/>
        <v>0</v>
      </c>
    </row>
    <row r="57" spans="1:37" ht="16.2" customHeight="1">
      <c r="A57" s="1183">
        <v>51</v>
      </c>
      <c r="B57" s="1184" t="s">
        <v>130</v>
      </c>
      <c r="C57" s="1185">
        <f>+'Table 8 Membership 2.1.14'!P53</f>
        <v>0</v>
      </c>
      <c r="D57" s="1186">
        <f>+'Table 5C1A-Madison Prep'!D57</f>
        <v>4154.1928602178996</v>
      </c>
      <c r="E57" s="1187">
        <f t="shared" si="33"/>
        <v>0</v>
      </c>
      <c r="F57" s="1187">
        <f>+'Table 5C1A-Madison Prep'!F57</f>
        <v>706.66</v>
      </c>
      <c r="G57" s="1187">
        <f t="shared" si="34"/>
        <v>0</v>
      </c>
      <c r="H57" s="1538">
        <f t="shared" si="35"/>
        <v>0</v>
      </c>
      <c r="I57" s="1188"/>
      <c r="J57" s="1188"/>
      <c r="K57" s="1189">
        <f t="shared" si="36"/>
        <v>0</v>
      </c>
      <c r="L57" s="1538">
        <f t="shared" si="54"/>
        <v>0</v>
      </c>
      <c r="M57" s="1372">
        <f t="shared" si="38"/>
        <v>0</v>
      </c>
      <c r="N57" s="1538">
        <f t="shared" si="39"/>
        <v>0</v>
      </c>
      <c r="O57" s="1186">
        <v>0</v>
      </c>
      <c r="P57" s="1544">
        <f t="shared" si="40"/>
        <v>0</v>
      </c>
      <c r="Q57" s="1188"/>
      <c r="R57" s="1188">
        <f t="shared" si="41"/>
        <v>0</v>
      </c>
      <c r="S57" s="1544">
        <f t="shared" si="42"/>
        <v>0</v>
      </c>
      <c r="T57" s="1544">
        <f t="shared" si="43"/>
        <v>0</v>
      </c>
      <c r="U57" s="1373">
        <f>'Table 5C1A-Madison Prep'!U57</f>
        <v>4597</v>
      </c>
      <c r="V57" s="1514">
        <f t="shared" si="55"/>
        <v>0</v>
      </c>
      <c r="W57" s="1375"/>
      <c r="X57" s="1376">
        <f t="shared" si="44"/>
        <v>0</v>
      </c>
      <c r="Y57" s="1375"/>
      <c r="Z57" s="1376">
        <f t="shared" si="32"/>
        <v>0</v>
      </c>
      <c r="AA57" s="1374">
        <f t="shared" si="45"/>
        <v>0</v>
      </c>
      <c r="AB57" s="1509">
        <f t="shared" si="46"/>
        <v>0</v>
      </c>
      <c r="AC57" s="1378">
        <f t="shared" si="47"/>
        <v>0</v>
      </c>
      <c r="AD57" s="1509">
        <f t="shared" si="48"/>
        <v>0</v>
      </c>
      <c r="AE57" s="1379">
        <v>0</v>
      </c>
      <c r="AF57" s="1509">
        <f t="shared" si="49"/>
        <v>0</v>
      </c>
      <c r="AG57" s="1379"/>
      <c r="AH57" s="1379">
        <f t="shared" si="50"/>
        <v>0</v>
      </c>
      <c r="AI57" s="1509">
        <f t="shared" si="51"/>
        <v>0</v>
      </c>
      <c r="AJ57" s="1530">
        <f t="shared" si="52"/>
        <v>0</v>
      </c>
      <c r="AK57" s="1534">
        <f t="shared" si="53"/>
        <v>0</v>
      </c>
    </row>
    <row r="58" spans="1:37" ht="16.2" customHeight="1">
      <c r="A58" s="1176">
        <v>52</v>
      </c>
      <c r="B58" s="1177" t="s">
        <v>131</v>
      </c>
      <c r="C58" s="1178">
        <f>+'Table 8 Membership 2.1.14'!P54</f>
        <v>0</v>
      </c>
      <c r="D58" s="1179">
        <f>+'Table 5C1A-Madison Prep'!D58</f>
        <v>5062.2745845228173</v>
      </c>
      <c r="E58" s="1180">
        <f t="shared" si="33"/>
        <v>0</v>
      </c>
      <c r="F58" s="1180">
        <f>+'Table 5C1A-Madison Prep'!F58</f>
        <v>658.37</v>
      </c>
      <c r="G58" s="1180">
        <f t="shared" si="34"/>
        <v>0</v>
      </c>
      <c r="H58" s="1539">
        <f t="shared" si="35"/>
        <v>0</v>
      </c>
      <c r="I58" s="1181"/>
      <c r="J58" s="1181"/>
      <c r="K58" s="1182">
        <f t="shared" si="36"/>
        <v>0</v>
      </c>
      <c r="L58" s="1539">
        <f t="shared" si="54"/>
        <v>0</v>
      </c>
      <c r="M58" s="1388">
        <f t="shared" si="38"/>
        <v>0</v>
      </c>
      <c r="N58" s="1539">
        <f t="shared" si="39"/>
        <v>0</v>
      </c>
      <c r="O58" s="1179">
        <v>0</v>
      </c>
      <c r="P58" s="1545">
        <f t="shared" si="40"/>
        <v>0</v>
      </c>
      <c r="Q58" s="1181"/>
      <c r="R58" s="1181">
        <f t="shared" si="41"/>
        <v>0</v>
      </c>
      <c r="S58" s="1545">
        <f t="shared" si="42"/>
        <v>0</v>
      </c>
      <c r="T58" s="1545">
        <f t="shared" si="43"/>
        <v>0</v>
      </c>
      <c r="U58" s="1389">
        <f>'Table 5C1A-Madison Prep'!U58</f>
        <v>5212</v>
      </c>
      <c r="V58" s="1515">
        <f t="shared" si="55"/>
        <v>0</v>
      </c>
      <c r="W58" s="1391"/>
      <c r="X58" s="1392">
        <f t="shared" si="44"/>
        <v>0</v>
      </c>
      <c r="Y58" s="1391"/>
      <c r="Z58" s="1392">
        <f t="shared" si="32"/>
        <v>0</v>
      </c>
      <c r="AA58" s="1390">
        <f t="shared" si="45"/>
        <v>0</v>
      </c>
      <c r="AB58" s="1510">
        <f t="shared" si="46"/>
        <v>0</v>
      </c>
      <c r="AC58" s="1394">
        <f t="shared" si="47"/>
        <v>0</v>
      </c>
      <c r="AD58" s="1510">
        <f t="shared" si="48"/>
        <v>0</v>
      </c>
      <c r="AE58" s="1395">
        <v>0</v>
      </c>
      <c r="AF58" s="1510">
        <f t="shared" si="49"/>
        <v>0</v>
      </c>
      <c r="AG58" s="1395"/>
      <c r="AH58" s="1395">
        <f t="shared" si="50"/>
        <v>0</v>
      </c>
      <c r="AI58" s="1510">
        <f t="shared" si="51"/>
        <v>0</v>
      </c>
      <c r="AJ58" s="1505">
        <f t="shared" si="52"/>
        <v>0</v>
      </c>
      <c r="AK58" s="1535">
        <f t="shared" si="53"/>
        <v>0</v>
      </c>
    </row>
    <row r="59" spans="1:37" ht="16.2" customHeight="1">
      <c r="A59" s="1176">
        <v>53</v>
      </c>
      <c r="B59" s="1177" t="s">
        <v>132</v>
      </c>
      <c r="C59" s="1178">
        <f>+'Table 8 Membership 2.1.14'!P55</f>
        <v>0</v>
      </c>
      <c r="D59" s="1179">
        <f>+'Table 5C1A-Madison Prep'!D59</f>
        <v>5060.1508194045482</v>
      </c>
      <c r="E59" s="1180">
        <f t="shared" si="33"/>
        <v>0</v>
      </c>
      <c r="F59" s="1180">
        <f>+'Table 5C1A-Madison Prep'!F59</f>
        <v>689.74</v>
      </c>
      <c r="G59" s="1180">
        <f t="shared" si="34"/>
        <v>0</v>
      </c>
      <c r="H59" s="1539">
        <f t="shared" si="35"/>
        <v>0</v>
      </c>
      <c r="I59" s="1181"/>
      <c r="J59" s="1181"/>
      <c r="K59" s="1182">
        <f t="shared" si="36"/>
        <v>0</v>
      </c>
      <c r="L59" s="1539">
        <f t="shared" si="54"/>
        <v>0</v>
      </c>
      <c r="M59" s="1388">
        <f t="shared" si="38"/>
        <v>0</v>
      </c>
      <c r="N59" s="1539">
        <f t="shared" si="39"/>
        <v>0</v>
      </c>
      <c r="O59" s="1179">
        <v>0</v>
      </c>
      <c r="P59" s="1545">
        <f t="shared" si="40"/>
        <v>0</v>
      </c>
      <c r="Q59" s="1181"/>
      <c r="R59" s="1181">
        <f t="shared" si="41"/>
        <v>0</v>
      </c>
      <c r="S59" s="1545">
        <f t="shared" si="42"/>
        <v>0</v>
      </c>
      <c r="T59" s="1545">
        <f t="shared" si="43"/>
        <v>0</v>
      </c>
      <c r="U59" s="1389">
        <f>'Table 5C1A-Madison Prep'!U59</f>
        <v>2054</v>
      </c>
      <c r="V59" s="1515">
        <f t="shared" si="55"/>
        <v>0</v>
      </c>
      <c r="W59" s="1391"/>
      <c r="X59" s="1392">
        <f t="shared" si="44"/>
        <v>0</v>
      </c>
      <c r="Y59" s="1391"/>
      <c r="Z59" s="1392">
        <f t="shared" si="32"/>
        <v>0</v>
      </c>
      <c r="AA59" s="1390">
        <f t="shared" si="45"/>
        <v>0</v>
      </c>
      <c r="AB59" s="1510">
        <f t="shared" si="46"/>
        <v>0</v>
      </c>
      <c r="AC59" s="1394">
        <f t="shared" si="47"/>
        <v>0</v>
      </c>
      <c r="AD59" s="1510">
        <f t="shared" si="48"/>
        <v>0</v>
      </c>
      <c r="AE59" s="1395">
        <v>0</v>
      </c>
      <c r="AF59" s="1510">
        <f t="shared" si="49"/>
        <v>0</v>
      </c>
      <c r="AG59" s="1395"/>
      <c r="AH59" s="1395">
        <f t="shared" si="50"/>
        <v>0</v>
      </c>
      <c r="AI59" s="1510">
        <f t="shared" si="51"/>
        <v>0</v>
      </c>
      <c r="AJ59" s="1505">
        <f t="shared" si="52"/>
        <v>0</v>
      </c>
      <c r="AK59" s="1535">
        <f t="shared" si="53"/>
        <v>0</v>
      </c>
    </row>
    <row r="60" spans="1:37" ht="16.2" customHeight="1">
      <c r="A60" s="1176">
        <v>54</v>
      </c>
      <c r="B60" s="1177" t="s">
        <v>133</v>
      </c>
      <c r="C60" s="1178">
        <f>+'Table 8 Membership 2.1.14'!P56</f>
        <v>0</v>
      </c>
      <c r="D60" s="1179">
        <f>+'Table 5C1A-Madison Prep'!D60</f>
        <v>5867.0798370516713</v>
      </c>
      <c r="E60" s="1180">
        <f t="shared" si="33"/>
        <v>0</v>
      </c>
      <c r="F60" s="1180">
        <f>+'Table 5C1A-Madison Prep'!F60</f>
        <v>951.45</v>
      </c>
      <c r="G60" s="1180">
        <f t="shared" si="34"/>
        <v>0</v>
      </c>
      <c r="H60" s="1539">
        <f t="shared" si="35"/>
        <v>0</v>
      </c>
      <c r="I60" s="1181"/>
      <c r="J60" s="1181"/>
      <c r="K60" s="1182">
        <f t="shared" si="36"/>
        <v>0</v>
      </c>
      <c r="L60" s="1539">
        <f t="shared" si="54"/>
        <v>0</v>
      </c>
      <c r="M60" s="1388">
        <f t="shared" si="38"/>
        <v>0</v>
      </c>
      <c r="N60" s="1539">
        <f t="shared" si="39"/>
        <v>0</v>
      </c>
      <c r="O60" s="1179">
        <v>0</v>
      </c>
      <c r="P60" s="1545">
        <f t="shared" si="40"/>
        <v>0</v>
      </c>
      <c r="Q60" s="1181"/>
      <c r="R60" s="1181">
        <f t="shared" si="41"/>
        <v>0</v>
      </c>
      <c r="S60" s="1545">
        <f t="shared" si="42"/>
        <v>0</v>
      </c>
      <c r="T60" s="1545">
        <f t="shared" si="43"/>
        <v>0</v>
      </c>
      <c r="U60" s="1389">
        <f>'Table 5C1A-Madison Prep'!U60</f>
        <v>4116</v>
      </c>
      <c r="V60" s="1515">
        <f t="shared" si="55"/>
        <v>0</v>
      </c>
      <c r="W60" s="1391"/>
      <c r="X60" s="1392">
        <f t="shared" si="44"/>
        <v>0</v>
      </c>
      <c r="Y60" s="1391"/>
      <c r="Z60" s="1392">
        <f t="shared" si="32"/>
        <v>0</v>
      </c>
      <c r="AA60" s="1390">
        <f t="shared" si="45"/>
        <v>0</v>
      </c>
      <c r="AB60" s="1510">
        <f t="shared" si="46"/>
        <v>0</v>
      </c>
      <c r="AC60" s="1394">
        <f t="shared" si="47"/>
        <v>0</v>
      </c>
      <c r="AD60" s="1510">
        <f t="shared" si="48"/>
        <v>0</v>
      </c>
      <c r="AE60" s="1395">
        <v>0</v>
      </c>
      <c r="AF60" s="1510">
        <f t="shared" si="49"/>
        <v>0</v>
      </c>
      <c r="AG60" s="1395"/>
      <c r="AH60" s="1395">
        <f t="shared" si="50"/>
        <v>0</v>
      </c>
      <c r="AI60" s="1510">
        <f t="shared" si="51"/>
        <v>0</v>
      </c>
      <c r="AJ60" s="1505">
        <f t="shared" si="52"/>
        <v>0</v>
      </c>
      <c r="AK60" s="1535">
        <f t="shared" si="53"/>
        <v>0</v>
      </c>
    </row>
    <row r="61" spans="1:37" ht="16.2" customHeight="1">
      <c r="A61" s="1168">
        <v>55</v>
      </c>
      <c r="B61" s="1169" t="s">
        <v>134</v>
      </c>
      <c r="C61" s="1170">
        <f>+'Table 8 Membership 2.1.14'!P57</f>
        <v>0</v>
      </c>
      <c r="D61" s="1171">
        <f>+'Table 5C1A-Madison Prep'!D61</f>
        <v>4266.8225491298481</v>
      </c>
      <c r="E61" s="1172">
        <f t="shared" si="33"/>
        <v>0</v>
      </c>
      <c r="F61" s="1172">
        <f>+'Table 5C1A-Madison Prep'!F61</f>
        <v>795.14</v>
      </c>
      <c r="G61" s="1172">
        <f t="shared" si="34"/>
        <v>0</v>
      </c>
      <c r="H61" s="1540">
        <f t="shared" si="35"/>
        <v>0</v>
      </c>
      <c r="I61" s="1173"/>
      <c r="J61" s="1173"/>
      <c r="K61" s="1174">
        <f t="shared" si="36"/>
        <v>0</v>
      </c>
      <c r="L61" s="1540">
        <f t="shared" si="54"/>
        <v>0</v>
      </c>
      <c r="M61" s="1399">
        <f t="shared" si="38"/>
        <v>0</v>
      </c>
      <c r="N61" s="1540">
        <f t="shared" si="39"/>
        <v>0</v>
      </c>
      <c r="O61" s="1171">
        <v>0</v>
      </c>
      <c r="P61" s="1546">
        <f t="shared" si="40"/>
        <v>0</v>
      </c>
      <c r="Q61" s="1175"/>
      <c r="R61" s="1173">
        <f t="shared" si="41"/>
        <v>0</v>
      </c>
      <c r="S61" s="1550">
        <f t="shared" si="42"/>
        <v>0</v>
      </c>
      <c r="T61" s="1550">
        <f t="shared" si="43"/>
        <v>0</v>
      </c>
      <c r="U61" s="1382">
        <f>'Table 5C1A-Madison Prep'!U61</f>
        <v>3532</v>
      </c>
      <c r="V61" s="1516">
        <f t="shared" si="55"/>
        <v>0</v>
      </c>
      <c r="W61" s="1400"/>
      <c r="X61" s="1383">
        <f t="shared" si="44"/>
        <v>0</v>
      </c>
      <c r="Y61" s="1400"/>
      <c r="Z61" s="1383">
        <f t="shared" si="32"/>
        <v>0</v>
      </c>
      <c r="AA61" s="1384">
        <f t="shared" si="45"/>
        <v>0</v>
      </c>
      <c r="AB61" s="1511">
        <f t="shared" si="46"/>
        <v>0</v>
      </c>
      <c r="AC61" s="1402">
        <f t="shared" si="47"/>
        <v>0</v>
      </c>
      <c r="AD61" s="1511">
        <f t="shared" si="48"/>
        <v>0</v>
      </c>
      <c r="AE61" s="1385">
        <v>0</v>
      </c>
      <c r="AF61" s="1511">
        <f t="shared" si="49"/>
        <v>0</v>
      </c>
      <c r="AG61" s="1385"/>
      <c r="AH61" s="1385">
        <f t="shared" si="50"/>
        <v>0</v>
      </c>
      <c r="AI61" s="1511">
        <f t="shared" si="51"/>
        <v>0</v>
      </c>
      <c r="AJ61" s="1531">
        <f t="shared" si="52"/>
        <v>0</v>
      </c>
      <c r="AK61" s="1536">
        <f t="shared" si="53"/>
        <v>0</v>
      </c>
    </row>
    <row r="62" spans="1:37" ht="16.2" customHeight="1">
      <c r="A62" s="1183">
        <v>56</v>
      </c>
      <c r="B62" s="1184" t="s">
        <v>135</v>
      </c>
      <c r="C62" s="1185">
        <f>+'Table 8 Membership 2.1.14'!P58</f>
        <v>0</v>
      </c>
      <c r="D62" s="1186">
        <f>+'Table 5C1A-Madison Prep'!D62</f>
        <v>5028.4909408288286</v>
      </c>
      <c r="E62" s="1187">
        <f t="shared" si="33"/>
        <v>0</v>
      </c>
      <c r="F62" s="1187">
        <f>+'Table 5C1A-Madison Prep'!F62</f>
        <v>614.66000000000008</v>
      </c>
      <c r="G62" s="1187">
        <f t="shared" si="34"/>
        <v>0</v>
      </c>
      <c r="H62" s="1538">
        <f t="shared" si="35"/>
        <v>0</v>
      </c>
      <c r="I62" s="1188"/>
      <c r="J62" s="1188"/>
      <c r="K62" s="1189">
        <f t="shared" si="36"/>
        <v>0</v>
      </c>
      <c r="L62" s="1538">
        <f t="shared" si="54"/>
        <v>0</v>
      </c>
      <c r="M62" s="1372">
        <f t="shared" si="38"/>
        <v>0</v>
      </c>
      <c r="N62" s="1538">
        <f t="shared" si="39"/>
        <v>0</v>
      </c>
      <c r="O62" s="1186">
        <v>0</v>
      </c>
      <c r="P62" s="1544">
        <f t="shared" si="40"/>
        <v>0</v>
      </c>
      <c r="Q62" s="1188"/>
      <c r="R62" s="1188">
        <f t="shared" si="41"/>
        <v>0</v>
      </c>
      <c r="S62" s="1544">
        <f t="shared" si="42"/>
        <v>0</v>
      </c>
      <c r="T62" s="1544">
        <f t="shared" si="43"/>
        <v>0</v>
      </c>
      <c r="U62" s="1373">
        <f>'Table 5C1A-Madison Prep'!U62</f>
        <v>2865</v>
      </c>
      <c r="V62" s="1514">
        <f t="shared" si="55"/>
        <v>0</v>
      </c>
      <c r="W62" s="1375"/>
      <c r="X62" s="1376">
        <f t="shared" si="44"/>
        <v>0</v>
      </c>
      <c r="Y62" s="1375"/>
      <c r="Z62" s="1376">
        <f t="shared" si="32"/>
        <v>0</v>
      </c>
      <c r="AA62" s="1374">
        <f t="shared" si="45"/>
        <v>0</v>
      </c>
      <c r="AB62" s="1509">
        <f t="shared" si="46"/>
        <v>0</v>
      </c>
      <c r="AC62" s="1378">
        <f t="shared" si="47"/>
        <v>0</v>
      </c>
      <c r="AD62" s="1509">
        <f t="shared" si="48"/>
        <v>0</v>
      </c>
      <c r="AE62" s="1379">
        <v>0</v>
      </c>
      <c r="AF62" s="1509">
        <f t="shared" si="49"/>
        <v>0</v>
      </c>
      <c r="AG62" s="1379"/>
      <c r="AH62" s="1379">
        <f t="shared" si="50"/>
        <v>0</v>
      </c>
      <c r="AI62" s="1509">
        <f t="shared" si="51"/>
        <v>0</v>
      </c>
      <c r="AJ62" s="1530">
        <f t="shared" si="52"/>
        <v>0</v>
      </c>
      <c r="AK62" s="1534">
        <f t="shared" si="53"/>
        <v>0</v>
      </c>
    </row>
    <row r="63" spans="1:37" ht="16.2" customHeight="1">
      <c r="A63" s="1176">
        <v>57</v>
      </c>
      <c r="B63" s="1177" t="s">
        <v>136</v>
      </c>
      <c r="C63" s="1178">
        <f>+'Table 8 Membership 2.1.14'!P59</f>
        <v>0</v>
      </c>
      <c r="D63" s="1179">
        <f>+'Table 5C1A-Madison Prep'!D63</f>
        <v>4625.9922979230687</v>
      </c>
      <c r="E63" s="1180">
        <f t="shared" si="33"/>
        <v>0</v>
      </c>
      <c r="F63" s="1180">
        <f>+'Table 5C1A-Madison Prep'!F63</f>
        <v>764.51</v>
      </c>
      <c r="G63" s="1180">
        <f t="shared" si="34"/>
        <v>0</v>
      </c>
      <c r="H63" s="1539">
        <f t="shared" si="35"/>
        <v>0</v>
      </c>
      <c r="I63" s="1181"/>
      <c r="J63" s="1181"/>
      <c r="K63" s="1182">
        <f t="shared" si="36"/>
        <v>0</v>
      </c>
      <c r="L63" s="1539">
        <f t="shared" si="54"/>
        <v>0</v>
      </c>
      <c r="M63" s="1388">
        <f t="shared" si="38"/>
        <v>0</v>
      </c>
      <c r="N63" s="1539">
        <f t="shared" si="39"/>
        <v>0</v>
      </c>
      <c r="O63" s="1179">
        <v>0</v>
      </c>
      <c r="P63" s="1545">
        <f t="shared" si="40"/>
        <v>0</v>
      </c>
      <c r="Q63" s="1181"/>
      <c r="R63" s="1181">
        <f t="shared" si="41"/>
        <v>0</v>
      </c>
      <c r="S63" s="1545">
        <f t="shared" si="42"/>
        <v>0</v>
      </c>
      <c r="T63" s="1545">
        <f t="shared" si="43"/>
        <v>0</v>
      </c>
      <c r="U63" s="1389">
        <f>'Table 5C1A-Madison Prep'!U63</f>
        <v>3395</v>
      </c>
      <c r="V63" s="1515">
        <f t="shared" si="55"/>
        <v>0</v>
      </c>
      <c r="W63" s="1391"/>
      <c r="X63" s="1392">
        <f t="shared" si="44"/>
        <v>0</v>
      </c>
      <c r="Y63" s="1391"/>
      <c r="Z63" s="1392">
        <f t="shared" si="32"/>
        <v>0</v>
      </c>
      <c r="AA63" s="1390">
        <f t="shared" si="45"/>
        <v>0</v>
      </c>
      <c r="AB63" s="1510">
        <f t="shared" si="46"/>
        <v>0</v>
      </c>
      <c r="AC63" s="1394">
        <f t="shared" si="47"/>
        <v>0</v>
      </c>
      <c r="AD63" s="1510">
        <f t="shared" si="48"/>
        <v>0</v>
      </c>
      <c r="AE63" s="1395">
        <v>0</v>
      </c>
      <c r="AF63" s="1510">
        <f t="shared" si="49"/>
        <v>0</v>
      </c>
      <c r="AG63" s="1395"/>
      <c r="AH63" s="1395">
        <f t="shared" si="50"/>
        <v>0</v>
      </c>
      <c r="AI63" s="1510">
        <f t="shared" si="51"/>
        <v>0</v>
      </c>
      <c r="AJ63" s="1505">
        <f t="shared" si="52"/>
        <v>0</v>
      </c>
      <c r="AK63" s="1535">
        <f t="shared" si="53"/>
        <v>0</v>
      </c>
    </row>
    <row r="64" spans="1:37" ht="16.2" customHeight="1">
      <c r="A64" s="1176">
        <v>58</v>
      </c>
      <c r="B64" s="1177" t="s">
        <v>137</v>
      </c>
      <c r="C64" s="1178">
        <f>+'Table 8 Membership 2.1.14'!P60</f>
        <v>0</v>
      </c>
      <c r="D64" s="1179">
        <f>+'Table 5C1A-Madison Prep'!D64</f>
        <v>5673.1129637882123</v>
      </c>
      <c r="E64" s="1180">
        <f t="shared" si="33"/>
        <v>0</v>
      </c>
      <c r="F64" s="1180">
        <f>+'Table 5C1A-Madison Prep'!F64</f>
        <v>697.04</v>
      </c>
      <c r="G64" s="1180">
        <f t="shared" si="34"/>
        <v>0</v>
      </c>
      <c r="H64" s="1539">
        <f t="shared" si="35"/>
        <v>0</v>
      </c>
      <c r="I64" s="1181"/>
      <c r="J64" s="1181"/>
      <c r="K64" s="1182">
        <f t="shared" si="36"/>
        <v>0</v>
      </c>
      <c r="L64" s="1539">
        <f t="shared" si="54"/>
        <v>0</v>
      </c>
      <c r="M64" s="1388">
        <f t="shared" si="38"/>
        <v>0</v>
      </c>
      <c r="N64" s="1539">
        <f t="shared" si="39"/>
        <v>0</v>
      </c>
      <c r="O64" s="1179">
        <v>0</v>
      </c>
      <c r="P64" s="1545">
        <f t="shared" si="40"/>
        <v>0</v>
      </c>
      <c r="Q64" s="1181"/>
      <c r="R64" s="1181">
        <f t="shared" si="41"/>
        <v>0</v>
      </c>
      <c r="S64" s="1545">
        <f t="shared" si="42"/>
        <v>0</v>
      </c>
      <c r="T64" s="1545">
        <f t="shared" si="43"/>
        <v>0</v>
      </c>
      <c r="U64" s="1389">
        <f>'Table 5C1A-Madison Prep'!U64</f>
        <v>2084</v>
      </c>
      <c r="V64" s="1515">
        <f t="shared" si="55"/>
        <v>0</v>
      </c>
      <c r="W64" s="1391"/>
      <c r="X64" s="1392">
        <f t="shared" si="44"/>
        <v>0</v>
      </c>
      <c r="Y64" s="1391"/>
      <c r="Z64" s="1392">
        <f t="shared" si="32"/>
        <v>0</v>
      </c>
      <c r="AA64" s="1390">
        <f t="shared" si="45"/>
        <v>0</v>
      </c>
      <c r="AB64" s="1510">
        <f t="shared" si="46"/>
        <v>0</v>
      </c>
      <c r="AC64" s="1394">
        <f t="shared" si="47"/>
        <v>0</v>
      </c>
      <c r="AD64" s="1510">
        <f t="shared" si="48"/>
        <v>0</v>
      </c>
      <c r="AE64" s="1395">
        <v>0</v>
      </c>
      <c r="AF64" s="1510">
        <f t="shared" si="49"/>
        <v>0</v>
      </c>
      <c r="AG64" s="1395"/>
      <c r="AH64" s="1395">
        <f t="shared" si="50"/>
        <v>0</v>
      </c>
      <c r="AI64" s="1510">
        <f t="shared" si="51"/>
        <v>0</v>
      </c>
      <c r="AJ64" s="1505">
        <f t="shared" si="52"/>
        <v>0</v>
      </c>
      <c r="AK64" s="1535">
        <f t="shared" si="53"/>
        <v>0</v>
      </c>
    </row>
    <row r="65" spans="1:37" ht="16.2" customHeight="1">
      <c r="A65" s="1176">
        <v>59</v>
      </c>
      <c r="B65" s="1177" t="s">
        <v>138</v>
      </c>
      <c r="C65" s="1178">
        <f>+'Table 8 Membership 2.1.14'!P61</f>
        <v>0</v>
      </c>
      <c r="D65" s="1179">
        <f>+'Table 5C1A-Madison Prep'!D65</f>
        <v>6621.946293521848</v>
      </c>
      <c r="E65" s="1180">
        <f t="shared" si="33"/>
        <v>0</v>
      </c>
      <c r="F65" s="1180">
        <f>+'Table 5C1A-Madison Prep'!F65</f>
        <v>689.52</v>
      </c>
      <c r="G65" s="1180">
        <f t="shared" si="34"/>
        <v>0</v>
      </c>
      <c r="H65" s="1539">
        <f t="shared" si="35"/>
        <v>0</v>
      </c>
      <c r="I65" s="1181"/>
      <c r="J65" s="1181"/>
      <c r="K65" s="1182">
        <f t="shared" si="36"/>
        <v>0</v>
      </c>
      <c r="L65" s="1539">
        <f t="shared" si="54"/>
        <v>0</v>
      </c>
      <c r="M65" s="1388">
        <f t="shared" si="38"/>
        <v>0</v>
      </c>
      <c r="N65" s="1539">
        <f t="shared" si="39"/>
        <v>0</v>
      </c>
      <c r="O65" s="1179">
        <v>0</v>
      </c>
      <c r="P65" s="1545">
        <f t="shared" si="40"/>
        <v>0</v>
      </c>
      <c r="Q65" s="1181"/>
      <c r="R65" s="1181">
        <f t="shared" si="41"/>
        <v>0</v>
      </c>
      <c r="S65" s="1545">
        <f t="shared" si="42"/>
        <v>0</v>
      </c>
      <c r="T65" s="1545">
        <f t="shared" si="43"/>
        <v>0</v>
      </c>
      <c r="U65" s="1389">
        <f>'Table 5C1A-Madison Prep'!U65</f>
        <v>1577</v>
      </c>
      <c r="V65" s="1515">
        <f t="shared" si="55"/>
        <v>0</v>
      </c>
      <c r="W65" s="1391"/>
      <c r="X65" s="1392">
        <f t="shared" si="44"/>
        <v>0</v>
      </c>
      <c r="Y65" s="1391"/>
      <c r="Z65" s="1392">
        <f t="shared" si="32"/>
        <v>0</v>
      </c>
      <c r="AA65" s="1390">
        <f t="shared" si="45"/>
        <v>0</v>
      </c>
      <c r="AB65" s="1510">
        <f t="shared" si="46"/>
        <v>0</v>
      </c>
      <c r="AC65" s="1394">
        <f t="shared" si="47"/>
        <v>0</v>
      </c>
      <c r="AD65" s="1510">
        <f t="shared" si="48"/>
        <v>0</v>
      </c>
      <c r="AE65" s="1395">
        <v>0</v>
      </c>
      <c r="AF65" s="1510">
        <f t="shared" si="49"/>
        <v>0</v>
      </c>
      <c r="AG65" s="1395"/>
      <c r="AH65" s="1395">
        <f t="shared" si="50"/>
        <v>0</v>
      </c>
      <c r="AI65" s="1510">
        <f t="shared" si="51"/>
        <v>0</v>
      </c>
      <c r="AJ65" s="1505">
        <f t="shared" si="52"/>
        <v>0</v>
      </c>
      <c r="AK65" s="1535">
        <f t="shared" si="53"/>
        <v>0</v>
      </c>
    </row>
    <row r="66" spans="1:37" ht="16.2" customHeight="1">
      <c r="A66" s="1168">
        <v>60</v>
      </c>
      <c r="B66" s="1169" t="s">
        <v>139</v>
      </c>
      <c r="C66" s="1170">
        <f>+'Table 8 Membership 2.1.14'!P62</f>
        <v>0</v>
      </c>
      <c r="D66" s="1171">
        <f>+'Table 5C1A-Madison Prep'!D66</f>
        <v>5301.224090063828</v>
      </c>
      <c r="E66" s="1172">
        <f t="shared" si="33"/>
        <v>0</v>
      </c>
      <c r="F66" s="1172">
        <f>+'Table 5C1A-Madison Prep'!F66</f>
        <v>594.04</v>
      </c>
      <c r="G66" s="1172">
        <f t="shared" si="34"/>
        <v>0</v>
      </c>
      <c r="H66" s="1540">
        <f t="shared" si="35"/>
        <v>0</v>
      </c>
      <c r="I66" s="1173"/>
      <c r="J66" s="1173"/>
      <c r="K66" s="1174">
        <f t="shared" si="36"/>
        <v>0</v>
      </c>
      <c r="L66" s="1540">
        <f t="shared" si="54"/>
        <v>0</v>
      </c>
      <c r="M66" s="1399">
        <f t="shared" si="38"/>
        <v>0</v>
      </c>
      <c r="N66" s="1540">
        <f t="shared" si="39"/>
        <v>0</v>
      </c>
      <c r="O66" s="1171">
        <v>0</v>
      </c>
      <c r="P66" s="1546">
        <f t="shared" si="40"/>
        <v>0</v>
      </c>
      <c r="Q66" s="1175"/>
      <c r="R66" s="1173">
        <f t="shared" si="41"/>
        <v>0</v>
      </c>
      <c r="S66" s="1550">
        <f t="shared" si="42"/>
        <v>0</v>
      </c>
      <c r="T66" s="1550">
        <f t="shared" si="43"/>
        <v>0</v>
      </c>
      <c r="U66" s="1382">
        <f>'Table 5C1A-Madison Prep'!U66</f>
        <v>3922</v>
      </c>
      <c r="V66" s="1516">
        <f t="shared" si="55"/>
        <v>0</v>
      </c>
      <c r="W66" s="1400"/>
      <c r="X66" s="1383">
        <f t="shared" si="44"/>
        <v>0</v>
      </c>
      <c r="Y66" s="1400"/>
      <c r="Z66" s="1383">
        <f t="shared" si="32"/>
        <v>0</v>
      </c>
      <c r="AA66" s="1384">
        <f t="shared" si="45"/>
        <v>0</v>
      </c>
      <c r="AB66" s="1511">
        <f t="shared" si="46"/>
        <v>0</v>
      </c>
      <c r="AC66" s="1402">
        <f t="shared" si="47"/>
        <v>0</v>
      </c>
      <c r="AD66" s="1511">
        <f t="shared" si="48"/>
        <v>0</v>
      </c>
      <c r="AE66" s="1385">
        <v>0</v>
      </c>
      <c r="AF66" s="1511">
        <f t="shared" si="49"/>
        <v>0</v>
      </c>
      <c r="AG66" s="1385"/>
      <c r="AH66" s="1385">
        <f t="shared" si="50"/>
        <v>0</v>
      </c>
      <c r="AI66" s="1511">
        <f t="shared" si="51"/>
        <v>0</v>
      </c>
      <c r="AJ66" s="1531">
        <f t="shared" si="52"/>
        <v>0</v>
      </c>
      <c r="AK66" s="1536">
        <f t="shared" si="53"/>
        <v>0</v>
      </c>
    </row>
    <row r="67" spans="1:37" ht="16.2" customHeight="1">
      <c r="A67" s="1183">
        <v>61</v>
      </c>
      <c r="B67" s="1184" t="s">
        <v>140</v>
      </c>
      <c r="C67" s="1185">
        <f>+'Table 8 Membership 2.1.14'!P63</f>
        <v>0</v>
      </c>
      <c r="D67" s="1186">
        <f>+'Table 5C1A-Madison Prep'!D67</f>
        <v>2854.1575356369185</v>
      </c>
      <c r="E67" s="1187">
        <f t="shared" si="33"/>
        <v>0</v>
      </c>
      <c r="F67" s="1187">
        <f>+'Table 5C1A-Madison Prep'!F67</f>
        <v>833.70999999999992</v>
      </c>
      <c r="G67" s="1187">
        <f t="shared" si="34"/>
        <v>0</v>
      </c>
      <c r="H67" s="1538">
        <f t="shared" si="35"/>
        <v>0</v>
      </c>
      <c r="I67" s="1188"/>
      <c r="J67" s="1188"/>
      <c r="K67" s="1189">
        <f t="shared" si="36"/>
        <v>0</v>
      </c>
      <c r="L67" s="1538">
        <f t="shared" si="54"/>
        <v>0</v>
      </c>
      <c r="M67" s="1372">
        <f t="shared" si="38"/>
        <v>0</v>
      </c>
      <c r="N67" s="1538">
        <f t="shared" si="39"/>
        <v>0</v>
      </c>
      <c r="O67" s="1186">
        <v>0</v>
      </c>
      <c r="P67" s="1544">
        <f t="shared" si="40"/>
        <v>0</v>
      </c>
      <c r="Q67" s="1188"/>
      <c r="R67" s="1188">
        <f t="shared" si="41"/>
        <v>0</v>
      </c>
      <c r="S67" s="1544">
        <f t="shared" si="42"/>
        <v>0</v>
      </c>
      <c r="T67" s="1544">
        <f t="shared" si="43"/>
        <v>0</v>
      </c>
      <c r="U67" s="1373">
        <f>'Table 5C1A-Madison Prep'!U67</f>
        <v>6745</v>
      </c>
      <c r="V67" s="1514">
        <f t="shared" si="55"/>
        <v>0</v>
      </c>
      <c r="W67" s="1375"/>
      <c r="X67" s="1376">
        <f t="shared" si="44"/>
        <v>0</v>
      </c>
      <c r="Y67" s="1375"/>
      <c r="Z67" s="1376">
        <f t="shared" si="32"/>
        <v>0</v>
      </c>
      <c r="AA67" s="1374">
        <f t="shared" si="45"/>
        <v>0</v>
      </c>
      <c r="AB67" s="1509">
        <f t="shared" si="46"/>
        <v>0</v>
      </c>
      <c r="AC67" s="1378">
        <f t="shared" si="47"/>
        <v>0</v>
      </c>
      <c r="AD67" s="1509">
        <f t="shared" si="48"/>
        <v>0</v>
      </c>
      <c r="AE67" s="1379">
        <v>0</v>
      </c>
      <c r="AF67" s="1509">
        <f t="shared" si="49"/>
        <v>0</v>
      </c>
      <c r="AG67" s="1379"/>
      <c r="AH67" s="1379">
        <f t="shared" si="50"/>
        <v>0</v>
      </c>
      <c r="AI67" s="1509">
        <f t="shared" si="51"/>
        <v>0</v>
      </c>
      <c r="AJ67" s="1530">
        <f t="shared" si="52"/>
        <v>0</v>
      </c>
      <c r="AK67" s="1534">
        <f t="shared" si="53"/>
        <v>0</v>
      </c>
    </row>
    <row r="68" spans="1:37" ht="16.2" customHeight="1">
      <c r="A68" s="1176">
        <v>62</v>
      </c>
      <c r="B68" s="1177" t="s">
        <v>141</v>
      </c>
      <c r="C68" s="1178">
        <f>+'Table 8 Membership 2.1.14'!P64</f>
        <v>0</v>
      </c>
      <c r="D68" s="1179">
        <f>+'Table 5C1A-Madison Prep'!D68</f>
        <v>5901.074538516008</v>
      </c>
      <c r="E68" s="1180">
        <f t="shared" si="33"/>
        <v>0</v>
      </c>
      <c r="F68" s="1180">
        <f>+'Table 5C1A-Madison Prep'!F68</f>
        <v>516.08000000000004</v>
      </c>
      <c r="G68" s="1180">
        <f t="shared" si="34"/>
        <v>0</v>
      </c>
      <c r="H68" s="1539">
        <f t="shared" si="35"/>
        <v>0</v>
      </c>
      <c r="I68" s="1181"/>
      <c r="J68" s="1181"/>
      <c r="K68" s="1182">
        <f t="shared" si="36"/>
        <v>0</v>
      </c>
      <c r="L68" s="1539">
        <f t="shared" si="54"/>
        <v>0</v>
      </c>
      <c r="M68" s="1388">
        <f t="shared" si="38"/>
        <v>0</v>
      </c>
      <c r="N68" s="1539">
        <f t="shared" si="39"/>
        <v>0</v>
      </c>
      <c r="O68" s="1179">
        <v>0</v>
      </c>
      <c r="P68" s="1545">
        <f t="shared" si="40"/>
        <v>0</v>
      </c>
      <c r="Q68" s="1181"/>
      <c r="R68" s="1181">
        <f t="shared" si="41"/>
        <v>0</v>
      </c>
      <c r="S68" s="1545">
        <f t="shared" si="42"/>
        <v>0</v>
      </c>
      <c r="T68" s="1545">
        <f t="shared" si="43"/>
        <v>0</v>
      </c>
      <c r="U68" s="1389">
        <f>'Table 5C1A-Madison Prep'!U68</f>
        <v>1908</v>
      </c>
      <c r="V68" s="1515">
        <f t="shared" si="55"/>
        <v>0</v>
      </c>
      <c r="W68" s="1391"/>
      <c r="X68" s="1392">
        <f t="shared" si="44"/>
        <v>0</v>
      </c>
      <c r="Y68" s="1391"/>
      <c r="Z68" s="1392">
        <f t="shared" si="32"/>
        <v>0</v>
      </c>
      <c r="AA68" s="1390">
        <f t="shared" si="45"/>
        <v>0</v>
      </c>
      <c r="AB68" s="1510">
        <f t="shared" si="46"/>
        <v>0</v>
      </c>
      <c r="AC68" s="1394">
        <f t="shared" si="47"/>
        <v>0</v>
      </c>
      <c r="AD68" s="1510">
        <f t="shared" si="48"/>
        <v>0</v>
      </c>
      <c r="AE68" s="1395">
        <v>0</v>
      </c>
      <c r="AF68" s="1510">
        <f t="shared" si="49"/>
        <v>0</v>
      </c>
      <c r="AG68" s="1395"/>
      <c r="AH68" s="1395">
        <f t="shared" si="50"/>
        <v>0</v>
      </c>
      <c r="AI68" s="1510">
        <f t="shared" si="51"/>
        <v>0</v>
      </c>
      <c r="AJ68" s="1505">
        <f t="shared" si="52"/>
        <v>0</v>
      </c>
      <c r="AK68" s="1535">
        <f t="shared" si="53"/>
        <v>0</v>
      </c>
    </row>
    <row r="69" spans="1:37" ht="16.2" customHeight="1">
      <c r="A69" s="1176">
        <v>63</v>
      </c>
      <c r="B69" s="1177" t="s">
        <v>142</v>
      </c>
      <c r="C69" s="1178">
        <f>+'Table 8 Membership 2.1.14'!P65</f>
        <v>0</v>
      </c>
      <c r="D69" s="1179">
        <f>+'Table 5C1A-Madison Prep'!D69</f>
        <v>4124.3813481848092</v>
      </c>
      <c r="E69" s="1180">
        <f t="shared" si="33"/>
        <v>0</v>
      </c>
      <c r="F69" s="1180">
        <f>+'Table 5C1A-Madison Prep'!F69</f>
        <v>756.79</v>
      </c>
      <c r="G69" s="1180">
        <f t="shared" si="34"/>
        <v>0</v>
      </c>
      <c r="H69" s="1539">
        <f t="shared" si="35"/>
        <v>0</v>
      </c>
      <c r="I69" s="1181"/>
      <c r="J69" s="1181"/>
      <c r="K69" s="1182">
        <f t="shared" si="36"/>
        <v>0</v>
      </c>
      <c r="L69" s="1539">
        <f t="shared" si="54"/>
        <v>0</v>
      </c>
      <c r="M69" s="1388">
        <f t="shared" si="38"/>
        <v>0</v>
      </c>
      <c r="N69" s="1539">
        <f t="shared" si="39"/>
        <v>0</v>
      </c>
      <c r="O69" s="1179">
        <v>0</v>
      </c>
      <c r="P69" s="1545">
        <f t="shared" si="40"/>
        <v>0</v>
      </c>
      <c r="Q69" s="1181"/>
      <c r="R69" s="1181">
        <f t="shared" si="41"/>
        <v>0</v>
      </c>
      <c r="S69" s="1545">
        <f t="shared" si="42"/>
        <v>0</v>
      </c>
      <c r="T69" s="1545">
        <f t="shared" si="43"/>
        <v>0</v>
      </c>
      <c r="U69" s="1389">
        <f>'Table 5C1A-Madison Prep'!U69</f>
        <v>7290</v>
      </c>
      <c r="V69" s="1515">
        <f t="shared" si="55"/>
        <v>0</v>
      </c>
      <c r="W69" s="1391"/>
      <c r="X69" s="1392">
        <f t="shared" si="44"/>
        <v>0</v>
      </c>
      <c r="Y69" s="1391"/>
      <c r="Z69" s="1392">
        <f t="shared" si="32"/>
        <v>0</v>
      </c>
      <c r="AA69" s="1390">
        <f t="shared" si="45"/>
        <v>0</v>
      </c>
      <c r="AB69" s="1510">
        <f t="shared" si="46"/>
        <v>0</v>
      </c>
      <c r="AC69" s="1394">
        <f t="shared" si="47"/>
        <v>0</v>
      </c>
      <c r="AD69" s="1510">
        <f t="shared" si="48"/>
        <v>0</v>
      </c>
      <c r="AE69" s="1395">
        <v>0</v>
      </c>
      <c r="AF69" s="1510">
        <f t="shared" si="49"/>
        <v>0</v>
      </c>
      <c r="AG69" s="1395"/>
      <c r="AH69" s="1395">
        <f t="shared" si="50"/>
        <v>0</v>
      </c>
      <c r="AI69" s="1510">
        <f t="shared" si="51"/>
        <v>0</v>
      </c>
      <c r="AJ69" s="1505">
        <f t="shared" si="52"/>
        <v>0</v>
      </c>
      <c r="AK69" s="1535">
        <f t="shared" si="53"/>
        <v>0</v>
      </c>
    </row>
    <row r="70" spans="1:37" ht="16.2" customHeight="1">
      <c r="A70" s="1176">
        <v>64</v>
      </c>
      <c r="B70" s="1177" t="s">
        <v>143</v>
      </c>
      <c r="C70" s="1178">
        <f>+'Table 8 Membership 2.1.14'!P66</f>
        <v>0</v>
      </c>
      <c r="D70" s="1179">
        <f>+'Table 5C1A-Madison Prep'!D70</f>
        <v>6277.8307532778254</v>
      </c>
      <c r="E70" s="1180">
        <f t="shared" si="33"/>
        <v>0</v>
      </c>
      <c r="F70" s="1180">
        <f>+'Table 5C1A-Madison Prep'!F70</f>
        <v>592.66</v>
      </c>
      <c r="G70" s="1180">
        <f t="shared" si="34"/>
        <v>0</v>
      </c>
      <c r="H70" s="1539">
        <f t="shared" si="35"/>
        <v>0</v>
      </c>
      <c r="I70" s="1181"/>
      <c r="J70" s="1181"/>
      <c r="K70" s="1182">
        <f t="shared" si="36"/>
        <v>0</v>
      </c>
      <c r="L70" s="1539">
        <f t="shared" si="54"/>
        <v>0</v>
      </c>
      <c r="M70" s="1388">
        <f t="shared" si="38"/>
        <v>0</v>
      </c>
      <c r="N70" s="1539">
        <f t="shared" si="39"/>
        <v>0</v>
      </c>
      <c r="O70" s="1179">
        <v>0</v>
      </c>
      <c r="P70" s="1545">
        <f t="shared" si="40"/>
        <v>0</v>
      </c>
      <c r="Q70" s="1181"/>
      <c r="R70" s="1181">
        <f t="shared" si="41"/>
        <v>0</v>
      </c>
      <c r="S70" s="1545">
        <f t="shared" si="42"/>
        <v>0</v>
      </c>
      <c r="T70" s="1545">
        <f t="shared" si="43"/>
        <v>0</v>
      </c>
      <c r="U70" s="1389">
        <f>'Table 5C1A-Madison Prep'!U70</f>
        <v>2721</v>
      </c>
      <c r="V70" s="1515">
        <f t="shared" si="55"/>
        <v>0</v>
      </c>
      <c r="W70" s="1391"/>
      <c r="X70" s="1392">
        <f t="shared" si="44"/>
        <v>0</v>
      </c>
      <c r="Y70" s="1391"/>
      <c r="Z70" s="1392">
        <f t="shared" si="32"/>
        <v>0</v>
      </c>
      <c r="AA70" s="1390">
        <f t="shared" si="45"/>
        <v>0</v>
      </c>
      <c r="AB70" s="1510">
        <f t="shared" si="46"/>
        <v>0</v>
      </c>
      <c r="AC70" s="1394">
        <f t="shared" si="47"/>
        <v>0</v>
      </c>
      <c r="AD70" s="1510">
        <f t="shared" si="48"/>
        <v>0</v>
      </c>
      <c r="AE70" s="1395">
        <v>0</v>
      </c>
      <c r="AF70" s="1510">
        <f t="shared" si="49"/>
        <v>0</v>
      </c>
      <c r="AG70" s="1395"/>
      <c r="AH70" s="1395">
        <f t="shared" si="50"/>
        <v>0</v>
      </c>
      <c r="AI70" s="1510">
        <f t="shared" si="51"/>
        <v>0</v>
      </c>
      <c r="AJ70" s="1505">
        <f t="shared" si="52"/>
        <v>0</v>
      </c>
      <c r="AK70" s="1535">
        <f t="shared" si="53"/>
        <v>0</v>
      </c>
    </row>
    <row r="71" spans="1:37" ht="16.2" customHeight="1">
      <c r="A71" s="1168">
        <v>65</v>
      </c>
      <c r="B71" s="1169" t="s">
        <v>144</v>
      </c>
      <c r="C71" s="1170">
        <f>+'Table 8 Membership 2.1.14'!P67</f>
        <v>0</v>
      </c>
      <c r="D71" s="1171">
        <f>+'Table 5C1A-Madison Prep'!D71</f>
        <v>4775.1605543943642</v>
      </c>
      <c r="E71" s="1172">
        <f t="shared" si="33"/>
        <v>0</v>
      </c>
      <c r="F71" s="1172">
        <f>+'Table 5C1A-Madison Prep'!F71</f>
        <v>829.12</v>
      </c>
      <c r="G71" s="1172">
        <f t="shared" si="34"/>
        <v>0</v>
      </c>
      <c r="H71" s="1540">
        <f t="shared" si="35"/>
        <v>0</v>
      </c>
      <c r="I71" s="1173"/>
      <c r="J71" s="1173"/>
      <c r="K71" s="1174">
        <f t="shared" si="36"/>
        <v>0</v>
      </c>
      <c r="L71" s="1540">
        <f t="shared" ref="L71:L75" si="56">H71+K71</f>
        <v>0</v>
      </c>
      <c r="M71" s="1399">
        <f t="shared" si="38"/>
        <v>0</v>
      </c>
      <c r="N71" s="1540">
        <f t="shared" si="39"/>
        <v>0</v>
      </c>
      <c r="O71" s="1171">
        <v>0</v>
      </c>
      <c r="P71" s="1546">
        <f t="shared" si="40"/>
        <v>0</v>
      </c>
      <c r="Q71" s="1175"/>
      <c r="R71" s="1173">
        <f t="shared" si="41"/>
        <v>0</v>
      </c>
      <c r="S71" s="1550">
        <f t="shared" si="42"/>
        <v>0</v>
      </c>
      <c r="T71" s="1550">
        <f t="shared" si="43"/>
        <v>0</v>
      </c>
      <c r="U71" s="1382">
        <f>'Table 5C1A-Madison Prep'!U71</f>
        <v>5110</v>
      </c>
      <c r="V71" s="1516">
        <f t="shared" ref="V71:V75" si="57">C71*U71</f>
        <v>0</v>
      </c>
      <c r="W71" s="1400"/>
      <c r="X71" s="1383">
        <f t="shared" si="44"/>
        <v>0</v>
      </c>
      <c r="Y71" s="1400"/>
      <c r="Z71" s="1383">
        <f t="shared" ref="Z71:Z74" si="58">+U71*Y71*0.5</f>
        <v>0</v>
      </c>
      <c r="AA71" s="1384">
        <f t="shared" si="45"/>
        <v>0</v>
      </c>
      <c r="AB71" s="1511">
        <f t="shared" si="46"/>
        <v>0</v>
      </c>
      <c r="AC71" s="1402">
        <f t="shared" si="47"/>
        <v>0</v>
      </c>
      <c r="AD71" s="1511">
        <f t="shared" si="48"/>
        <v>0</v>
      </c>
      <c r="AE71" s="1385">
        <v>0</v>
      </c>
      <c r="AF71" s="1511">
        <f t="shared" si="49"/>
        <v>0</v>
      </c>
      <c r="AG71" s="1385"/>
      <c r="AH71" s="1385">
        <f t="shared" si="50"/>
        <v>0</v>
      </c>
      <c r="AI71" s="1511">
        <f t="shared" si="51"/>
        <v>0</v>
      </c>
      <c r="AJ71" s="1531">
        <f t="shared" si="52"/>
        <v>0</v>
      </c>
      <c r="AK71" s="1536">
        <f t="shared" si="53"/>
        <v>0</v>
      </c>
    </row>
    <row r="72" spans="1:37" ht="16.2" customHeight="1">
      <c r="A72" s="1176">
        <v>66</v>
      </c>
      <c r="B72" s="1177" t="s">
        <v>145</v>
      </c>
      <c r="C72" s="1197">
        <f>+'Table 8 Membership 2.1.14'!P68</f>
        <v>0</v>
      </c>
      <c r="D72" s="1198">
        <f>+'Table 5C1A-Madison Prep'!D72</f>
        <v>6564.0085433910035</v>
      </c>
      <c r="E72" s="1199">
        <f t="shared" ref="E72:E75" si="59">C72*D72</f>
        <v>0</v>
      </c>
      <c r="F72" s="1199">
        <f>+'Table 5C1A-Madison Prep'!F72</f>
        <v>730.06</v>
      </c>
      <c r="G72" s="1199">
        <f t="shared" ref="G72:G75" si="60">C72*F72</f>
        <v>0</v>
      </c>
      <c r="H72" s="1403">
        <f t="shared" ref="H72:H75" si="61">E72+G72</f>
        <v>0</v>
      </c>
      <c r="I72" s="1200"/>
      <c r="J72" s="1200"/>
      <c r="K72" s="1201">
        <f t="shared" ref="K72:K75" si="62">+I72+J72</f>
        <v>0</v>
      </c>
      <c r="L72" s="1403">
        <f t="shared" si="56"/>
        <v>0</v>
      </c>
      <c r="M72" s="1423">
        <f t="shared" ref="M72:M75" si="63">-(0.25%*L72)</f>
        <v>0</v>
      </c>
      <c r="N72" s="1403">
        <f t="shared" ref="N72:N75" si="64">SUM(L72:M72)</f>
        <v>0</v>
      </c>
      <c r="O72" s="1198">
        <v>0</v>
      </c>
      <c r="P72" s="1398">
        <f t="shared" ref="P72:P75" si="65">SUM(N72:O72)</f>
        <v>0</v>
      </c>
      <c r="Q72" s="1181"/>
      <c r="R72" s="1200">
        <f t="shared" ref="R72:R75" si="66">P72-Q72</f>
        <v>0</v>
      </c>
      <c r="S72" s="1545">
        <f t="shared" ref="S72:S75" si="67">ROUND(R72/12,0)</f>
        <v>0</v>
      </c>
      <c r="T72" s="1545">
        <f t="shared" ref="T72:T75" si="68">+P72</f>
        <v>0</v>
      </c>
      <c r="U72" s="1389">
        <f>'Table 5C1A-Madison Prep'!U72</f>
        <v>3369</v>
      </c>
      <c r="V72" s="1515">
        <f t="shared" si="57"/>
        <v>0</v>
      </c>
      <c r="W72" s="1391"/>
      <c r="X72" s="1392">
        <f t="shared" ref="X72:X75" si="69">W72*U72</f>
        <v>0</v>
      </c>
      <c r="Y72" s="1391"/>
      <c r="Z72" s="1392">
        <f t="shared" si="58"/>
        <v>0</v>
      </c>
      <c r="AA72" s="1390">
        <f t="shared" ref="AA72:AA75" si="70">+Z72+X72</f>
        <v>0</v>
      </c>
      <c r="AB72" s="1510">
        <f t="shared" ref="AB72:AB75" si="71">V72+AA72</f>
        <v>0</v>
      </c>
      <c r="AC72" s="1394">
        <f t="shared" ref="AC72:AC75" si="72">-(0.25%*AB72)</f>
        <v>0</v>
      </c>
      <c r="AD72" s="1510">
        <f t="shared" ref="AD72:AD75" si="73">SUM(AB72:AC72)</f>
        <v>0</v>
      </c>
      <c r="AE72" s="1395">
        <v>0</v>
      </c>
      <c r="AF72" s="1510">
        <f t="shared" ref="AF72:AF75" si="74">SUM(AD72:AE72)</f>
        <v>0</v>
      </c>
      <c r="AG72" s="1395"/>
      <c r="AH72" s="1395">
        <f t="shared" ref="AH72:AH75" si="75">AF72-AG72</f>
        <v>0</v>
      </c>
      <c r="AI72" s="1510">
        <f t="shared" ref="AI72:AI75" si="76">ROUND(AH72/12,0)</f>
        <v>0</v>
      </c>
      <c r="AJ72" s="1505">
        <f t="shared" ref="AJ72:AJ75" si="77">T72+AF72</f>
        <v>0</v>
      </c>
      <c r="AK72" s="1505">
        <f t="shared" ref="AK72:AK75" si="78">S72+AI72</f>
        <v>0</v>
      </c>
    </row>
    <row r="73" spans="1:37" ht="16.2" customHeight="1">
      <c r="A73" s="1176">
        <v>67</v>
      </c>
      <c r="B73" s="1177" t="s">
        <v>30</v>
      </c>
      <c r="C73" s="1197">
        <f>+'Table 8 Membership 2.1.14'!P69</f>
        <v>0</v>
      </c>
      <c r="D73" s="1198">
        <f>+'Table 5C1A-Madison Prep'!D73</f>
        <v>5029.1467736134118</v>
      </c>
      <c r="E73" s="1199">
        <f t="shared" si="59"/>
        <v>0</v>
      </c>
      <c r="F73" s="1199">
        <f>+'Table 5C1A-Madison Prep'!F73</f>
        <v>715.61</v>
      </c>
      <c r="G73" s="1199">
        <f t="shared" si="60"/>
        <v>0</v>
      </c>
      <c r="H73" s="1403">
        <f t="shared" si="61"/>
        <v>0</v>
      </c>
      <c r="I73" s="1200"/>
      <c r="J73" s="1200"/>
      <c r="K73" s="1201">
        <f t="shared" si="62"/>
        <v>0</v>
      </c>
      <c r="L73" s="1403">
        <f t="shared" si="56"/>
        <v>0</v>
      </c>
      <c r="M73" s="1423">
        <f t="shared" si="63"/>
        <v>0</v>
      </c>
      <c r="N73" s="1403">
        <f t="shared" si="64"/>
        <v>0</v>
      </c>
      <c r="O73" s="1198">
        <v>0</v>
      </c>
      <c r="P73" s="1398">
        <f t="shared" si="65"/>
        <v>0</v>
      </c>
      <c r="Q73" s="1181"/>
      <c r="R73" s="1200">
        <f t="shared" si="66"/>
        <v>0</v>
      </c>
      <c r="S73" s="1545">
        <f t="shared" si="67"/>
        <v>0</v>
      </c>
      <c r="T73" s="1545">
        <f t="shared" si="68"/>
        <v>0</v>
      </c>
      <c r="U73" s="1389">
        <f>'Table 5C1A-Madison Prep'!U73</f>
        <v>5015</v>
      </c>
      <c r="V73" s="1515">
        <f t="shared" si="57"/>
        <v>0</v>
      </c>
      <c r="W73" s="1391"/>
      <c r="X73" s="1392">
        <f t="shared" si="69"/>
        <v>0</v>
      </c>
      <c r="Y73" s="1391"/>
      <c r="Z73" s="1392">
        <f t="shared" si="58"/>
        <v>0</v>
      </c>
      <c r="AA73" s="1390">
        <f t="shared" si="70"/>
        <v>0</v>
      </c>
      <c r="AB73" s="1510">
        <f t="shared" si="71"/>
        <v>0</v>
      </c>
      <c r="AC73" s="1394">
        <f t="shared" si="72"/>
        <v>0</v>
      </c>
      <c r="AD73" s="1510">
        <f t="shared" si="73"/>
        <v>0</v>
      </c>
      <c r="AE73" s="1395">
        <v>0</v>
      </c>
      <c r="AF73" s="1510">
        <f t="shared" si="74"/>
        <v>0</v>
      </c>
      <c r="AG73" s="1395"/>
      <c r="AH73" s="1395">
        <f t="shared" si="75"/>
        <v>0</v>
      </c>
      <c r="AI73" s="1510">
        <f t="shared" si="76"/>
        <v>0</v>
      </c>
      <c r="AJ73" s="1505">
        <f t="shared" si="77"/>
        <v>0</v>
      </c>
      <c r="AK73" s="1505">
        <f t="shared" si="78"/>
        <v>0</v>
      </c>
    </row>
    <row r="74" spans="1:37" ht="16.2" customHeight="1">
      <c r="A74" s="1176">
        <v>68</v>
      </c>
      <c r="B74" s="1177" t="s">
        <v>28</v>
      </c>
      <c r="C74" s="1197">
        <f>+'Table 8 Membership 2.1.14'!P70</f>
        <v>0</v>
      </c>
      <c r="D74" s="1198">
        <f>+'Table 5C1A-Madison Prep'!D74</f>
        <v>6390.1644202560601</v>
      </c>
      <c r="E74" s="1199">
        <f t="shared" si="59"/>
        <v>0</v>
      </c>
      <c r="F74" s="1199">
        <f>+'Table 5C1A-Madison Prep'!F74</f>
        <v>798.7</v>
      </c>
      <c r="G74" s="1199">
        <f t="shared" si="60"/>
        <v>0</v>
      </c>
      <c r="H74" s="1403">
        <f t="shared" si="61"/>
        <v>0</v>
      </c>
      <c r="I74" s="1200"/>
      <c r="J74" s="1200"/>
      <c r="K74" s="1201">
        <f t="shared" si="62"/>
        <v>0</v>
      </c>
      <c r="L74" s="1403">
        <f t="shared" si="56"/>
        <v>0</v>
      </c>
      <c r="M74" s="1423">
        <f t="shared" si="63"/>
        <v>0</v>
      </c>
      <c r="N74" s="1403">
        <f t="shared" si="64"/>
        <v>0</v>
      </c>
      <c r="O74" s="1198">
        <v>0</v>
      </c>
      <c r="P74" s="1398">
        <f t="shared" si="65"/>
        <v>0</v>
      </c>
      <c r="Q74" s="1181"/>
      <c r="R74" s="1200">
        <f t="shared" si="66"/>
        <v>0</v>
      </c>
      <c r="S74" s="1545">
        <f t="shared" si="67"/>
        <v>0</v>
      </c>
      <c r="T74" s="1545">
        <f t="shared" si="68"/>
        <v>0</v>
      </c>
      <c r="U74" s="1389">
        <f>'Table 5C1A-Madison Prep'!U74</f>
        <v>2669</v>
      </c>
      <c r="V74" s="1515">
        <f t="shared" si="57"/>
        <v>0</v>
      </c>
      <c r="W74" s="1391"/>
      <c r="X74" s="1392">
        <f t="shared" si="69"/>
        <v>0</v>
      </c>
      <c r="Y74" s="1391"/>
      <c r="Z74" s="1392">
        <f t="shared" si="58"/>
        <v>0</v>
      </c>
      <c r="AA74" s="1390">
        <f t="shared" si="70"/>
        <v>0</v>
      </c>
      <c r="AB74" s="1510">
        <f t="shared" si="71"/>
        <v>0</v>
      </c>
      <c r="AC74" s="1394">
        <f t="shared" si="72"/>
        <v>0</v>
      </c>
      <c r="AD74" s="1510">
        <f t="shared" si="73"/>
        <v>0</v>
      </c>
      <c r="AE74" s="1395">
        <v>0</v>
      </c>
      <c r="AF74" s="1510">
        <f t="shared" si="74"/>
        <v>0</v>
      </c>
      <c r="AG74" s="1395"/>
      <c r="AH74" s="1395">
        <f t="shared" si="75"/>
        <v>0</v>
      </c>
      <c r="AI74" s="1510">
        <f t="shared" si="76"/>
        <v>0</v>
      </c>
      <c r="AJ74" s="1505">
        <f t="shared" si="77"/>
        <v>0</v>
      </c>
      <c r="AK74" s="1505">
        <f t="shared" si="78"/>
        <v>0</v>
      </c>
    </row>
    <row r="75" spans="1:37" ht="16.2" customHeight="1">
      <c r="A75" s="1190">
        <v>69</v>
      </c>
      <c r="B75" s="1191" t="s">
        <v>183</v>
      </c>
      <c r="C75" s="1192">
        <f>+'Table 8 Membership 2.1.14'!P71</f>
        <v>0</v>
      </c>
      <c r="D75" s="1193">
        <f>+'Table 5C1A-Madison Prep'!D75</f>
        <v>5722.4947921281337</v>
      </c>
      <c r="E75" s="1194">
        <f t="shared" si="59"/>
        <v>0</v>
      </c>
      <c r="F75" s="1194">
        <f>+'Table 5C1A-Madison Prep'!F75</f>
        <v>705.67</v>
      </c>
      <c r="G75" s="1194">
        <f t="shared" si="60"/>
        <v>0</v>
      </c>
      <c r="H75" s="1541">
        <f t="shared" si="61"/>
        <v>0</v>
      </c>
      <c r="I75" s="1195"/>
      <c r="J75" s="1195"/>
      <c r="K75" s="1196">
        <f t="shared" si="62"/>
        <v>0</v>
      </c>
      <c r="L75" s="1541">
        <f t="shared" si="56"/>
        <v>0</v>
      </c>
      <c r="M75" s="1405">
        <f t="shared" si="63"/>
        <v>0</v>
      </c>
      <c r="N75" s="1541">
        <f t="shared" si="64"/>
        <v>0</v>
      </c>
      <c r="O75" s="1193">
        <v>0</v>
      </c>
      <c r="P75" s="1547">
        <f t="shared" si="65"/>
        <v>0</v>
      </c>
      <c r="Q75" s="634"/>
      <c r="R75" s="1195">
        <f t="shared" si="66"/>
        <v>0</v>
      </c>
      <c r="S75" s="1551">
        <f t="shared" si="67"/>
        <v>0</v>
      </c>
      <c r="T75" s="1551">
        <f t="shared" si="68"/>
        <v>0</v>
      </c>
      <c r="U75" s="653">
        <f>'Table 5C1A-Madison Prep'!U75</f>
        <v>3394</v>
      </c>
      <c r="V75" s="1517">
        <f t="shared" si="57"/>
        <v>0</v>
      </c>
      <c r="W75" s="1407"/>
      <c r="X75" s="1408">
        <f t="shared" si="69"/>
        <v>0</v>
      </c>
      <c r="Y75" s="1407"/>
      <c r="Z75" s="1408">
        <f>+U75*Y75*0.5</f>
        <v>0</v>
      </c>
      <c r="AA75" s="1406">
        <f t="shared" si="70"/>
        <v>0</v>
      </c>
      <c r="AB75" s="1512">
        <f t="shared" si="71"/>
        <v>0</v>
      </c>
      <c r="AC75" s="1410">
        <f t="shared" si="72"/>
        <v>0</v>
      </c>
      <c r="AD75" s="1512">
        <f t="shared" si="73"/>
        <v>0</v>
      </c>
      <c r="AE75" s="1416">
        <v>0</v>
      </c>
      <c r="AF75" s="1512">
        <f t="shared" si="74"/>
        <v>0</v>
      </c>
      <c r="AG75" s="661"/>
      <c r="AH75" s="1416">
        <f t="shared" si="75"/>
        <v>0</v>
      </c>
      <c r="AI75" s="1529">
        <f t="shared" si="76"/>
        <v>0</v>
      </c>
      <c r="AJ75" s="1506">
        <f t="shared" si="77"/>
        <v>0</v>
      </c>
      <c r="AK75" s="1506">
        <f t="shared" si="78"/>
        <v>0</v>
      </c>
    </row>
    <row r="76" spans="1:37" ht="16.2" customHeight="1" thickBot="1">
      <c r="A76" s="2221" t="s">
        <v>1045</v>
      </c>
      <c r="B76" s="2194"/>
      <c r="C76" s="470">
        <f>SUM(C7:C75)</f>
        <v>196</v>
      </c>
      <c r="D76" s="471">
        <f>+'Table 5C1A-Madison Prep'!D76</f>
        <v>4479.9292126977662</v>
      </c>
      <c r="E76" s="480">
        <f>SUM(E7:E75)</f>
        <v>977333.14454001107</v>
      </c>
      <c r="F76" s="480">
        <f>+'Table 5C1A-Madison Prep'!F76</f>
        <v>704.64781030742063</v>
      </c>
      <c r="G76" s="480">
        <f t="shared" ref="G76:R76" si="79">SUM(G7:G75)</f>
        <v>112710.19999999998</v>
      </c>
      <c r="H76" s="1542">
        <f t="shared" si="79"/>
        <v>1090043.3445400111</v>
      </c>
      <c r="I76" s="641">
        <f t="shared" si="79"/>
        <v>0</v>
      </c>
      <c r="J76" s="641">
        <f t="shared" si="79"/>
        <v>0</v>
      </c>
      <c r="K76" s="630">
        <f t="shared" si="79"/>
        <v>0</v>
      </c>
      <c r="L76" s="1562">
        <f t="shared" si="79"/>
        <v>1090043.3445400111</v>
      </c>
      <c r="M76" s="481">
        <f t="shared" si="79"/>
        <v>-2725.1083613500277</v>
      </c>
      <c r="N76" s="1542">
        <f t="shared" si="79"/>
        <v>1087318.236178661</v>
      </c>
      <c r="O76" s="471">
        <f t="shared" si="79"/>
        <v>29770</v>
      </c>
      <c r="P76" s="1548">
        <f t="shared" si="79"/>
        <v>1117088.236178661</v>
      </c>
      <c r="Q76" s="636"/>
      <c r="R76" s="636">
        <f t="shared" si="79"/>
        <v>1117088.236178661</v>
      </c>
      <c r="S76" s="1548">
        <f>SUM(S7:S75)</f>
        <v>93091</v>
      </c>
      <c r="T76" s="1548">
        <f>SUM(T7:T75)</f>
        <v>1117088.236178661</v>
      </c>
      <c r="U76" s="658">
        <f>'Table 5C1A-Madison Prep'!U76</f>
        <v>4663</v>
      </c>
      <c r="V76" s="1518">
        <f t="shared" ref="V76:AK76" si="80">SUM(V7:V75)</f>
        <v>464625</v>
      </c>
      <c r="W76" s="649">
        <f t="shared" si="80"/>
        <v>0</v>
      </c>
      <c r="X76" s="650">
        <f t="shared" si="80"/>
        <v>0</v>
      </c>
      <c r="Y76" s="646">
        <f t="shared" si="80"/>
        <v>0</v>
      </c>
      <c r="Z76" s="647">
        <f t="shared" si="80"/>
        <v>0</v>
      </c>
      <c r="AA76" s="633">
        <f t="shared" si="80"/>
        <v>0</v>
      </c>
      <c r="AB76" s="1521">
        <f t="shared" si="80"/>
        <v>464625</v>
      </c>
      <c r="AC76" s="482">
        <f t="shared" si="80"/>
        <v>-1161.5625</v>
      </c>
      <c r="AD76" s="1518">
        <f t="shared" si="80"/>
        <v>463463.4375</v>
      </c>
      <c r="AE76" s="660">
        <f t="shared" si="80"/>
        <v>13239.5</v>
      </c>
      <c r="AF76" s="1518">
        <f t="shared" si="80"/>
        <v>476702.9375</v>
      </c>
      <c r="AG76" s="660">
        <f t="shared" si="80"/>
        <v>0</v>
      </c>
      <c r="AH76" s="660">
        <f t="shared" si="80"/>
        <v>476702.9375</v>
      </c>
      <c r="AI76" s="1518">
        <f t="shared" si="80"/>
        <v>39725</v>
      </c>
      <c r="AJ76" s="1532">
        <f t="shared" si="80"/>
        <v>1593791.173678661</v>
      </c>
      <c r="AK76" s="1532">
        <f t="shared" si="80"/>
        <v>132816</v>
      </c>
    </row>
    <row r="77" spans="1:37" s="594" customFormat="1" ht="16.2" customHeight="1" thickTop="1">
      <c r="A77" s="2330" t="s">
        <v>1039</v>
      </c>
      <c r="B77" s="2338"/>
      <c r="C77" s="1425"/>
      <c r="D77" s="1198"/>
      <c r="E77" s="1198"/>
      <c r="F77" s="1198"/>
      <c r="G77" s="1198"/>
      <c r="H77" s="1198"/>
      <c r="I77" s="1200"/>
      <c r="J77" s="1200"/>
      <c r="K77" s="1200"/>
      <c r="L77" s="1198"/>
      <c r="M77" s="1200"/>
      <c r="N77" s="1198"/>
      <c r="O77" s="1198"/>
      <c r="P77" s="1398">
        <f>'Table 4 Level 4'!$E104</f>
        <v>0</v>
      </c>
      <c r="Q77" s="1181"/>
      <c r="R77" s="1200">
        <f t="shared" ref="R77" si="81">P77-Q77</f>
        <v>0</v>
      </c>
      <c r="S77" s="1545">
        <f t="shared" ref="S77" si="82">ROUND(R77/12,0)</f>
        <v>0</v>
      </c>
      <c r="T77" s="1545">
        <f>'Table 4 Level 4'!$E104</f>
        <v>0</v>
      </c>
      <c r="U77" s="1389"/>
      <c r="V77" s="1392"/>
      <c r="W77" s="1391"/>
      <c r="X77" s="1392"/>
      <c r="Y77" s="1391"/>
      <c r="Z77" s="1392"/>
      <c r="AA77" s="1392"/>
      <c r="AB77" s="1395"/>
      <c r="AC77" s="1392"/>
      <c r="AD77" s="1395"/>
      <c r="AE77" s="1395"/>
      <c r="AF77" s="1395"/>
      <c r="AG77" s="1395"/>
      <c r="AH77" s="1395"/>
      <c r="AI77" s="1395"/>
      <c r="AJ77" s="1505">
        <f t="shared" ref="AJ77:AJ81" si="83">T77+AF77</f>
        <v>0</v>
      </c>
      <c r="AK77" s="1505">
        <f t="shared" ref="AK77:AK81" si="84">S77+AI77</f>
        <v>0</v>
      </c>
    </row>
    <row r="78" spans="1:37" s="594" customFormat="1" ht="16.2" customHeight="1">
      <c r="A78" s="2332" t="s">
        <v>1040</v>
      </c>
      <c r="B78" s="2339"/>
      <c r="C78" s="1425"/>
      <c r="D78" s="1198"/>
      <c r="E78" s="1198"/>
      <c r="F78" s="1198"/>
      <c r="G78" s="1198"/>
      <c r="H78" s="1198"/>
      <c r="I78" s="1200"/>
      <c r="J78" s="1200"/>
      <c r="K78" s="1200"/>
      <c r="L78" s="1198"/>
      <c r="M78" s="1200"/>
      <c r="N78" s="1198"/>
      <c r="O78" s="1198"/>
      <c r="P78" s="1200">
        <v>0</v>
      </c>
      <c r="Q78" s="1181"/>
      <c r="R78" s="1200"/>
      <c r="S78" s="1181">
        <v>0</v>
      </c>
      <c r="T78" s="1545">
        <f>'Table 4 Level 4'!$J104</f>
        <v>0</v>
      </c>
      <c r="U78" s="1389"/>
      <c r="V78" s="1392"/>
      <c r="W78" s="1391"/>
      <c r="X78" s="1392"/>
      <c r="Y78" s="1391"/>
      <c r="Z78" s="1392"/>
      <c r="AA78" s="1392"/>
      <c r="AB78" s="1395"/>
      <c r="AC78" s="1392"/>
      <c r="AD78" s="1395"/>
      <c r="AE78" s="1395"/>
      <c r="AF78" s="1395"/>
      <c r="AG78" s="1395"/>
      <c r="AH78" s="1395"/>
      <c r="AI78" s="1395"/>
      <c r="AJ78" s="1505">
        <f t="shared" si="83"/>
        <v>0</v>
      </c>
      <c r="AK78" s="1395"/>
    </row>
    <row r="79" spans="1:37" s="594" customFormat="1" ht="16.2" customHeight="1">
      <c r="A79" s="2332" t="s">
        <v>1041</v>
      </c>
      <c r="B79" s="2339"/>
      <c r="C79" s="1425"/>
      <c r="D79" s="1198"/>
      <c r="E79" s="1198"/>
      <c r="F79" s="1198"/>
      <c r="G79" s="1198"/>
      <c r="H79" s="1198"/>
      <c r="I79" s="1200"/>
      <c r="J79" s="1200"/>
      <c r="K79" s="1200"/>
      <c r="L79" s="1198"/>
      <c r="M79" s="1200"/>
      <c r="N79" s="1198"/>
      <c r="O79" s="1198"/>
      <c r="P79" s="1200">
        <v>0</v>
      </c>
      <c r="Q79" s="1181"/>
      <c r="R79" s="1200"/>
      <c r="S79" s="1181">
        <v>0</v>
      </c>
      <c r="T79" s="1545">
        <f>'Table 4 Level 4'!$K104</f>
        <v>0</v>
      </c>
      <c r="U79" s="1389"/>
      <c r="V79" s="1392"/>
      <c r="W79" s="1391"/>
      <c r="X79" s="1392"/>
      <c r="Y79" s="1391"/>
      <c r="Z79" s="1392"/>
      <c r="AA79" s="1392"/>
      <c r="AB79" s="1395"/>
      <c r="AC79" s="1392"/>
      <c r="AD79" s="1395"/>
      <c r="AE79" s="1395"/>
      <c r="AF79" s="1395"/>
      <c r="AG79" s="1395"/>
      <c r="AH79" s="1395"/>
      <c r="AI79" s="1395"/>
      <c r="AJ79" s="1505">
        <f t="shared" si="83"/>
        <v>0</v>
      </c>
      <c r="AK79" s="1395"/>
    </row>
    <row r="80" spans="1:37" s="594" customFormat="1" ht="16.2" customHeight="1">
      <c r="A80" s="2332" t="s">
        <v>1042</v>
      </c>
      <c r="B80" s="2339"/>
      <c r="C80" s="1425"/>
      <c r="D80" s="1198"/>
      <c r="E80" s="1198"/>
      <c r="F80" s="1198"/>
      <c r="G80" s="1198"/>
      <c r="H80" s="1198"/>
      <c r="I80" s="1200"/>
      <c r="J80" s="1200"/>
      <c r="K80" s="1200"/>
      <c r="L80" s="1198"/>
      <c r="M80" s="1200"/>
      <c r="N80" s="1198"/>
      <c r="O80" s="1198"/>
      <c r="P80" s="1200">
        <v>0</v>
      </c>
      <c r="Q80" s="1181"/>
      <c r="R80" s="1200"/>
      <c r="S80" s="1181">
        <v>0</v>
      </c>
      <c r="T80" s="1545">
        <f>'Table 4 Level 4'!$L104</f>
        <v>0</v>
      </c>
      <c r="U80" s="1389"/>
      <c r="V80" s="1392"/>
      <c r="W80" s="1391"/>
      <c r="X80" s="1392"/>
      <c r="Y80" s="1391"/>
      <c r="Z80" s="1392"/>
      <c r="AA80" s="1392"/>
      <c r="AB80" s="1395"/>
      <c r="AC80" s="1392"/>
      <c r="AD80" s="1395"/>
      <c r="AE80" s="1395"/>
      <c r="AF80" s="1395"/>
      <c r="AG80" s="1395"/>
      <c r="AH80" s="1395"/>
      <c r="AI80" s="1395"/>
      <c r="AJ80" s="1505">
        <f t="shared" si="83"/>
        <v>0</v>
      </c>
      <c r="AK80" s="1395"/>
    </row>
    <row r="81" spans="1:37" s="594" customFormat="1" ht="16.2" customHeight="1">
      <c r="A81" s="2340" t="s">
        <v>1043</v>
      </c>
      <c r="B81" s="2341"/>
      <c r="C81" s="1417"/>
      <c r="D81" s="1193"/>
      <c r="E81" s="1193"/>
      <c r="F81" s="1193"/>
      <c r="G81" s="1193"/>
      <c r="H81" s="1193"/>
      <c r="I81" s="1195"/>
      <c r="J81" s="1195"/>
      <c r="K81" s="1195"/>
      <c r="L81" s="1193"/>
      <c r="M81" s="1195"/>
      <c r="N81" s="1193"/>
      <c r="O81" s="1193"/>
      <c r="P81" s="1547">
        <f>'Table 4 Level 4'!$N104</f>
        <v>3146</v>
      </c>
      <c r="Q81" s="1420"/>
      <c r="R81" s="1195">
        <f t="shared" ref="R81" si="85">P81-Q81</f>
        <v>3146</v>
      </c>
      <c r="S81" s="1552">
        <f t="shared" ref="S81" si="86">ROUND(R81/12,0)</f>
        <v>262</v>
      </c>
      <c r="T81" s="1552">
        <f>'Table 4 Level 4'!$N104</f>
        <v>3146</v>
      </c>
      <c r="U81" s="1418"/>
      <c r="V81" s="1408"/>
      <c r="W81" s="1407"/>
      <c r="X81" s="1408"/>
      <c r="Y81" s="1407"/>
      <c r="Z81" s="1408"/>
      <c r="AA81" s="1408"/>
      <c r="AB81" s="1416"/>
      <c r="AC81" s="1408"/>
      <c r="AD81" s="1416"/>
      <c r="AE81" s="1416"/>
      <c r="AF81" s="1416"/>
      <c r="AG81" s="1416"/>
      <c r="AH81" s="1416"/>
      <c r="AI81" s="1416"/>
      <c r="AJ81" s="1506">
        <f t="shared" si="83"/>
        <v>3146</v>
      </c>
      <c r="AK81" s="1506">
        <f t="shared" si="84"/>
        <v>262</v>
      </c>
    </row>
    <row r="82" spans="1:37" s="594" customFormat="1" ht="16.2" customHeight="1" thickBot="1">
      <c r="A82" s="2221" t="s">
        <v>1044</v>
      </c>
      <c r="B82" s="2194"/>
      <c r="C82" s="1052">
        <f>SUM(C76:C81)</f>
        <v>196</v>
      </c>
      <c r="D82" s="1046">
        <f t="shared" ref="D82:AK82" si="87">SUM(D76:D81)</f>
        <v>4479.9292126977662</v>
      </c>
      <c r="E82" s="1046">
        <f t="shared" si="87"/>
        <v>977333.14454001107</v>
      </c>
      <c r="F82" s="1046">
        <f t="shared" si="87"/>
        <v>704.64781030742063</v>
      </c>
      <c r="G82" s="1046">
        <f t="shared" si="87"/>
        <v>112710.19999999998</v>
      </c>
      <c r="H82" s="1046">
        <f t="shared" si="87"/>
        <v>1090043.3445400111</v>
      </c>
      <c r="I82" s="1053">
        <f t="shared" si="87"/>
        <v>0</v>
      </c>
      <c r="J82" s="1053">
        <f t="shared" si="87"/>
        <v>0</v>
      </c>
      <c r="K82" s="1053">
        <f t="shared" si="87"/>
        <v>0</v>
      </c>
      <c r="L82" s="1046">
        <f t="shared" si="87"/>
        <v>1090043.3445400111</v>
      </c>
      <c r="M82" s="1053">
        <f t="shared" si="87"/>
        <v>-2725.1083613500277</v>
      </c>
      <c r="N82" s="1046">
        <f t="shared" si="87"/>
        <v>1087318.236178661</v>
      </c>
      <c r="O82" s="1046">
        <f t="shared" si="87"/>
        <v>29770</v>
      </c>
      <c r="P82" s="1549">
        <f t="shared" si="87"/>
        <v>1120234.236178661</v>
      </c>
      <c r="Q82" s="1053">
        <f t="shared" si="87"/>
        <v>0</v>
      </c>
      <c r="R82" s="1053">
        <f t="shared" si="87"/>
        <v>1120234.236178661</v>
      </c>
      <c r="S82" s="1549">
        <f t="shared" si="87"/>
        <v>93353</v>
      </c>
      <c r="T82" s="1549">
        <f t="shared" si="87"/>
        <v>1120234.236178661</v>
      </c>
      <c r="U82" s="1058">
        <f t="shared" si="87"/>
        <v>4663</v>
      </c>
      <c r="V82" s="1055">
        <f t="shared" si="87"/>
        <v>464625</v>
      </c>
      <c r="W82" s="1057">
        <f t="shared" si="87"/>
        <v>0</v>
      </c>
      <c r="X82" s="1055">
        <f t="shared" si="87"/>
        <v>0</v>
      </c>
      <c r="Y82" s="1057">
        <f t="shared" si="87"/>
        <v>0</v>
      </c>
      <c r="Z82" s="1055">
        <f t="shared" si="87"/>
        <v>0</v>
      </c>
      <c r="AA82" s="1055">
        <f t="shared" si="87"/>
        <v>0</v>
      </c>
      <c r="AB82" s="1055">
        <f t="shared" si="87"/>
        <v>464625</v>
      </c>
      <c r="AC82" s="1055">
        <f t="shared" si="87"/>
        <v>-1161.5625</v>
      </c>
      <c r="AD82" s="1055">
        <f t="shared" si="87"/>
        <v>463463.4375</v>
      </c>
      <c r="AE82" s="1055">
        <f t="shared" si="87"/>
        <v>13239.5</v>
      </c>
      <c r="AF82" s="1055">
        <f t="shared" si="87"/>
        <v>476702.9375</v>
      </c>
      <c r="AG82" s="1055">
        <f t="shared" si="87"/>
        <v>0</v>
      </c>
      <c r="AH82" s="1055">
        <f t="shared" si="87"/>
        <v>476702.9375</v>
      </c>
      <c r="AI82" s="1055">
        <f t="shared" si="87"/>
        <v>39725</v>
      </c>
      <c r="AJ82" s="1504">
        <f t="shared" si="87"/>
        <v>1596937.173678661</v>
      </c>
      <c r="AK82" s="1504">
        <f t="shared" si="87"/>
        <v>133078</v>
      </c>
    </row>
    <row r="83" spans="1:37" ht="16.2" customHeight="1" thickTop="1"/>
    <row r="84" spans="1:37" ht="16.2" customHeight="1"/>
    <row r="85" spans="1:37" ht="16.2" customHeight="1"/>
    <row r="86" spans="1:37" ht="16.2" customHeight="1"/>
  </sheetData>
  <mergeCells count="43">
    <mergeCell ref="AG3:AG4"/>
    <mergeCell ref="AH3:AH4"/>
    <mergeCell ref="AI3:AI4"/>
    <mergeCell ref="U1:AB1"/>
    <mergeCell ref="AC1:AI1"/>
    <mergeCell ref="W3:W4"/>
    <mergeCell ref="X3:X4"/>
    <mergeCell ref="W2:AA2"/>
    <mergeCell ref="Y3:Y4"/>
    <mergeCell ref="Z3:Z4"/>
    <mergeCell ref="A1:B4"/>
    <mergeCell ref="P3:P4"/>
    <mergeCell ref="S3:S4"/>
    <mergeCell ref="U3:U4"/>
    <mergeCell ref="I3:I4"/>
    <mergeCell ref="J3:J4"/>
    <mergeCell ref="I2:K2"/>
    <mergeCell ref="T3:T4"/>
    <mergeCell ref="M1:T1"/>
    <mergeCell ref="C1:L1"/>
    <mergeCell ref="AJ1:AJ4"/>
    <mergeCell ref="AK1:AK4"/>
    <mergeCell ref="C3:C4"/>
    <mergeCell ref="D3:D4"/>
    <mergeCell ref="E3:E4"/>
    <mergeCell ref="F3:F4"/>
    <mergeCell ref="G3:G4"/>
    <mergeCell ref="AD3:AD4"/>
    <mergeCell ref="AE3:AE4"/>
    <mergeCell ref="AF3:AF4"/>
    <mergeCell ref="H3:H4"/>
    <mergeCell ref="N3:N4"/>
    <mergeCell ref="O3:O4"/>
    <mergeCell ref="AB3:AB4"/>
    <mergeCell ref="K3:K4"/>
    <mergeCell ref="L3:L4"/>
    <mergeCell ref="A82:B82"/>
    <mergeCell ref="A76:B76"/>
    <mergeCell ref="A77:B77"/>
    <mergeCell ref="A78:B78"/>
    <mergeCell ref="A79:B79"/>
    <mergeCell ref="A80:B80"/>
    <mergeCell ref="A81:B81"/>
  </mergeCells>
  <printOptions horizontalCentered="1"/>
  <pageMargins left="0.32" right="0.32" top="0.75" bottom="0.75" header="0.3" footer="0.3"/>
  <pageSetup paperSize="5" scale="60" firstPageNumber="56" orientation="portrait" r:id="rId1"/>
  <headerFooter>
    <oddHeader>&amp;L&amp;"Arial,Bold"&amp;20&amp;K000000Table 5C1-G: FY2014-15 MFP Budget Letter 
J.S. Clark Leadership Academy</oddHeader>
    <oddFooter>&amp;R&amp;P</oddFooter>
  </headerFooter>
  <colBreaks count="3" manualBreakCount="3">
    <brk id="12" max="1048575" man="1"/>
    <brk id="20" max="1048575" man="1"/>
    <brk id="28" max="81"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K86"/>
  <sheetViews>
    <sheetView view="pageBreakPreview" zoomScale="80" zoomScaleNormal="100" zoomScaleSheetLayoutView="80" workbookViewId="0">
      <pane xSplit="2" ySplit="6" topLeftCell="C7" activePane="bottomRight" state="frozen"/>
      <selection sqref="A1:H1"/>
      <selection pane="topRight" sqref="A1:H1"/>
      <selection pane="bottomLeft" sqref="A1:H1"/>
      <selection pane="bottomRight" sqref="A1:H1"/>
    </sheetView>
  </sheetViews>
  <sheetFormatPr defaultRowHeight="13.2"/>
  <cols>
    <col min="1" max="1" width="5" customWidth="1"/>
    <col min="2" max="2" width="37.6640625" customWidth="1"/>
    <col min="3" max="3" width="12" bestFit="1" customWidth="1"/>
    <col min="4" max="4" width="14.33203125" bestFit="1" customWidth="1"/>
    <col min="5" max="5" width="10.109375" bestFit="1" customWidth="1"/>
    <col min="6" max="7" width="12.33203125" bestFit="1" customWidth="1"/>
    <col min="8" max="8" width="11.44140625" bestFit="1" customWidth="1"/>
    <col min="9" max="12" width="11.88671875" style="594" bestFit="1" customWidth="1"/>
    <col min="13" max="13" width="10.88671875" bestFit="1" customWidth="1"/>
    <col min="14" max="14" width="13.109375" customWidth="1"/>
    <col min="15" max="15" width="13.44140625" bestFit="1" customWidth="1"/>
    <col min="16" max="16" width="14.6640625" customWidth="1"/>
    <col min="17" max="18" width="14" style="594" customWidth="1"/>
    <col min="19" max="19" width="10.6640625" customWidth="1"/>
    <col min="20" max="20" width="14.88671875" style="594" customWidth="1"/>
    <col min="21" max="22" width="14.5546875" customWidth="1"/>
    <col min="23" max="27" width="11.6640625" style="594" customWidth="1"/>
    <col min="28" max="28" width="14.44140625" style="594" bestFit="1" customWidth="1"/>
    <col min="29" max="29" width="10.5546875" customWidth="1"/>
    <col min="30" max="30" width="14.44140625" bestFit="1" customWidth="1"/>
    <col min="31" max="31" width="11.88671875" bestFit="1" customWidth="1"/>
    <col min="32" max="32" width="14.44140625" bestFit="1" customWidth="1"/>
    <col min="33" max="33" width="9.5546875" style="594" bestFit="1" customWidth="1"/>
    <col min="34" max="34" width="10.6640625" style="594" bestFit="1" customWidth="1"/>
    <col min="35" max="37" width="14.44140625" bestFit="1" customWidth="1"/>
  </cols>
  <sheetData>
    <row r="1" spans="1:37" ht="21.6" customHeight="1">
      <c r="A1" s="2314" t="s">
        <v>356</v>
      </c>
      <c r="B1" s="2315"/>
      <c r="C1" s="2319" t="s">
        <v>1089</v>
      </c>
      <c r="D1" s="2320"/>
      <c r="E1" s="2320"/>
      <c r="F1" s="2320"/>
      <c r="G1" s="2320"/>
      <c r="H1" s="2320"/>
      <c r="I1" s="2320"/>
      <c r="J1" s="2320"/>
      <c r="K1" s="2320"/>
      <c r="L1" s="2321"/>
      <c r="M1" s="2349" t="s">
        <v>1089</v>
      </c>
      <c r="N1" s="2350"/>
      <c r="O1" s="2350"/>
      <c r="P1" s="2350"/>
      <c r="Q1" s="2350"/>
      <c r="R1" s="2350"/>
      <c r="S1" s="2350"/>
      <c r="T1" s="2351"/>
      <c r="U1" s="2268" t="s">
        <v>1247</v>
      </c>
      <c r="V1" s="2266"/>
      <c r="W1" s="2266"/>
      <c r="X1" s="2266"/>
      <c r="Y1" s="2266"/>
      <c r="Z1" s="2266"/>
      <c r="AA1" s="2266"/>
      <c r="AB1" s="2267"/>
      <c r="AC1" s="2268" t="s">
        <v>1247</v>
      </c>
      <c r="AD1" s="2266"/>
      <c r="AE1" s="2266"/>
      <c r="AF1" s="2266"/>
      <c r="AG1" s="2266"/>
      <c r="AH1" s="2266"/>
      <c r="AI1" s="2267"/>
      <c r="AJ1" s="2302" t="s">
        <v>1272</v>
      </c>
      <c r="AK1" s="2302" t="s">
        <v>1273</v>
      </c>
    </row>
    <row r="2" spans="1:37" s="594" customFormat="1" ht="24.6" customHeight="1">
      <c r="A2" s="2233"/>
      <c r="B2" s="2234"/>
      <c r="C2" s="1565"/>
      <c r="D2" s="1566"/>
      <c r="E2" s="1566"/>
      <c r="F2" s="1566"/>
      <c r="G2" s="1566"/>
      <c r="H2" s="1566"/>
      <c r="I2" s="2334" t="s">
        <v>531</v>
      </c>
      <c r="J2" s="2335"/>
      <c r="K2" s="2336"/>
      <c r="L2" s="1567"/>
      <c r="M2" s="1565"/>
      <c r="N2" s="1566"/>
      <c r="O2" s="1566"/>
      <c r="P2" s="1566"/>
      <c r="Q2" s="1566"/>
      <c r="R2" s="1566"/>
      <c r="S2" s="1566"/>
      <c r="T2" s="1567"/>
      <c r="U2" s="1525"/>
      <c r="V2" s="1526"/>
      <c r="W2" s="2362" t="s">
        <v>531</v>
      </c>
      <c r="X2" s="2363"/>
      <c r="Y2" s="2363"/>
      <c r="Z2" s="2363"/>
      <c r="AA2" s="2364"/>
      <c r="AB2" s="1527"/>
      <c r="AC2" s="1525"/>
      <c r="AD2" s="1526"/>
      <c r="AE2" s="1526"/>
      <c r="AF2" s="1526"/>
      <c r="AG2" s="1526"/>
      <c r="AH2" s="1526"/>
      <c r="AI2" s="1527"/>
      <c r="AJ2" s="2303"/>
      <c r="AK2" s="2303"/>
    </row>
    <row r="3" spans="1:37" ht="148.94999999999999" customHeight="1">
      <c r="A3" s="2316"/>
      <c r="B3" s="2234"/>
      <c r="C3" s="2306" t="s">
        <v>933</v>
      </c>
      <c r="D3" s="2318" t="s">
        <v>1110</v>
      </c>
      <c r="E3" s="2318" t="s">
        <v>384</v>
      </c>
      <c r="F3" s="2306" t="s">
        <v>546</v>
      </c>
      <c r="G3" s="2306" t="s">
        <v>330</v>
      </c>
      <c r="H3" s="2306" t="s">
        <v>547</v>
      </c>
      <c r="I3" s="2299" t="s">
        <v>770</v>
      </c>
      <c r="J3" s="2299" t="s">
        <v>769</v>
      </c>
      <c r="K3" s="2299" t="s">
        <v>538</v>
      </c>
      <c r="L3" s="2300" t="s">
        <v>548</v>
      </c>
      <c r="M3" s="1496" t="s">
        <v>333</v>
      </c>
      <c r="N3" s="2306" t="s">
        <v>545</v>
      </c>
      <c r="O3" s="2307" t="s">
        <v>1036</v>
      </c>
      <c r="P3" s="2306" t="s">
        <v>1056</v>
      </c>
      <c r="Q3" s="1537" t="s">
        <v>760</v>
      </c>
      <c r="R3" s="1537" t="s">
        <v>761</v>
      </c>
      <c r="S3" s="2308" t="s">
        <v>544</v>
      </c>
      <c r="T3" s="2308" t="s">
        <v>1057</v>
      </c>
      <c r="U3" s="2309" t="s">
        <v>1267</v>
      </c>
      <c r="V3" s="1507" t="s">
        <v>1268</v>
      </c>
      <c r="W3" s="2312" t="s">
        <v>1253</v>
      </c>
      <c r="X3" s="2312" t="s">
        <v>1251</v>
      </c>
      <c r="Y3" s="2312" t="s">
        <v>1254</v>
      </c>
      <c r="Z3" s="2312" t="s">
        <v>1252</v>
      </c>
      <c r="AA3" s="1498" t="s">
        <v>551</v>
      </c>
      <c r="AB3" s="2313" t="s">
        <v>1269</v>
      </c>
      <c r="AC3" s="1507" t="s">
        <v>1094</v>
      </c>
      <c r="AD3" s="2309" t="s">
        <v>1270</v>
      </c>
      <c r="AE3" s="2307" t="s">
        <v>1036</v>
      </c>
      <c r="AF3" s="2309" t="s">
        <v>1271</v>
      </c>
      <c r="AG3" s="2322" t="s">
        <v>981</v>
      </c>
      <c r="AH3" s="2322" t="s">
        <v>761</v>
      </c>
      <c r="AI3" s="2322" t="s">
        <v>1242</v>
      </c>
      <c r="AJ3" s="2304"/>
      <c r="AK3" s="2304"/>
    </row>
    <row r="4" spans="1:37" ht="19.95" customHeight="1">
      <c r="A4" s="2317"/>
      <c r="B4" s="2236"/>
      <c r="C4" s="2301"/>
      <c r="D4" s="2318"/>
      <c r="E4" s="2318"/>
      <c r="F4" s="2301"/>
      <c r="G4" s="2301"/>
      <c r="H4" s="2301"/>
      <c r="I4" s="2251"/>
      <c r="J4" s="2251"/>
      <c r="K4" s="2251"/>
      <c r="L4" s="2301"/>
      <c r="M4" s="1568">
        <v>2.5000000000000001E-3</v>
      </c>
      <c r="N4" s="2301"/>
      <c r="O4" s="2251"/>
      <c r="P4" s="2301"/>
      <c r="Q4" s="1497"/>
      <c r="R4" s="1497"/>
      <c r="S4" s="2301"/>
      <c r="T4" s="2301"/>
      <c r="U4" s="2280"/>
      <c r="V4" s="1508"/>
      <c r="W4" s="2251"/>
      <c r="X4" s="2251"/>
      <c r="Y4" s="2251"/>
      <c r="Z4" s="2251"/>
      <c r="AA4" s="1494"/>
      <c r="AB4" s="2280" t="s">
        <v>537</v>
      </c>
      <c r="AC4" s="1570">
        <v>2.5000000000000001E-3</v>
      </c>
      <c r="AD4" s="2280"/>
      <c r="AE4" s="2251"/>
      <c r="AF4" s="2280"/>
      <c r="AG4" s="2323"/>
      <c r="AH4" s="2323"/>
      <c r="AI4" s="2323"/>
      <c r="AJ4" s="2305"/>
      <c r="AK4" s="2305"/>
    </row>
    <row r="5" spans="1:37" ht="14.25" customHeight="1">
      <c r="A5" s="463"/>
      <c r="B5" s="464"/>
      <c r="C5" s="465">
        <v>1</v>
      </c>
      <c r="D5" s="465">
        <f t="shared" ref="D5" si="0">C5+1</f>
        <v>2</v>
      </c>
      <c r="E5" s="465">
        <f>D5+1</f>
        <v>3</v>
      </c>
      <c r="F5" s="465">
        <f t="shared" ref="F5:P5" si="1">E5+1</f>
        <v>4</v>
      </c>
      <c r="G5" s="465">
        <f t="shared" si="1"/>
        <v>5</v>
      </c>
      <c r="H5" s="465">
        <f t="shared" si="1"/>
        <v>6</v>
      </c>
      <c r="I5" s="465">
        <f t="shared" ref="I5" si="2">H5+1</f>
        <v>7</v>
      </c>
      <c r="J5" s="465">
        <f t="shared" ref="J5" si="3">I5+1</f>
        <v>8</v>
      </c>
      <c r="K5" s="465">
        <f t="shared" ref="K5" si="4">J5+1</f>
        <v>9</v>
      </c>
      <c r="L5" s="465">
        <f t="shared" ref="L5" si="5">K5+1</f>
        <v>10</v>
      </c>
      <c r="M5" s="465">
        <f t="shared" ref="M5" si="6">L5+1</f>
        <v>11</v>
      </c>
      <c r="N5" s="465">
        <f t="shared" si="1"/>
        <v>12</v>
      </c>
      <c r="O5" s="465">
        <f t="shared" si="1"/>
        <v>13</v>
      </c>
      <c r="P5" s="465">
        <f t="shared" si="1"/>
        <v>14</v>
      </c>
      <c r="Q5" s="465">
        <f t="shared" ref="Q5" si="7">P5+1</f>
        <v>15</v>
      </c>
      <c r="R5" s="465">
        <f t="shared" ref="R5" si="8">Q5+1</f>
        <v>16</v>
      </c>
      <c r="S5" s="465">
        <f t="shared" ref="S5" si="9">R5+1</f>
        <v>17</v>
      </c>
      <c r="T5" s="465">
        <f t="shared" ref="T5" si="10">S5+1</f>
        <v>18</v>
      </c>
      <c r="U5" s="465">
        <f t="shared" ref="U5" si="11">T5+1</f>
        <v>19</v>
      </c>
      <c r="V5" s="465">
        <f t="shared" ref="V5" si="12">U5+1</f>
        <v>20</v>
      </c>
      <c r="W5" s="465">
        <f t="shared" ref="W5" si="13">V5+1</f>
        <v>21</v>
      </c>
      <c r="X5" s="465">
        <f t="shared" ref="X5" si="14">W5+1</f>
        <v>22</v>
      </c>
      <c r="Y5" s="465">
        <f t="shared" ref="Y5" si="15">X5+1</f>
        <v>23</v>
      </c>
      <c r="Z5" s="465">
        <f t="shared" ref="Z5" si="16">Y5+1</f>
        <v>24</v>
      </c>
      <c r="AA5" s="465">
        <f t="shared" ref="AA5" si="17">Z5+1</f>
        <v>25</v>
      </c>
      <c r="AB5" s="465">
        <f t="shared" ref="AB5" si="18">AA5+1</f>
        <v>26</v>
      </c>
      <c r="AC5" s="465">
        <f t="shared" ref="AC5" si="19">AB5+1</f>
        <v>27</v>
      </c>
      <c r="AD5" s="465">
        <f t="shared" ref="AD5" si="20">AC5+1</f>
        <v>28</v>
      </c>
      <c r="AE5" s="465">
        <f t="shared" ref="AE5" si="21">AD5+1</f>
        <v>29</v>
      </c>
      <c r="AF5" s="465">
        <f t="shared" ref="AF5" si="22">AE5+1</f>
        <v>30</v>
      </c>
      <c r="AG5" s="465">
        <f t="shared" ref="AG5" si="23">AF5+1</f>
        <v>31</v>
      </c>
      <c r="AH5" s="465">
        <f t="shared" ref="AH5" si="24">AG5+1</f>
        <v>32</v>
      </c>
      <c r="AI5" s="465">
        <f t="shared" ref="AI5" si="25">AH5+1</f>
        <v>33</v>
      </c>
      <c r="AJ5" s="465">
        <f t="shared" ref="AJ5" si="26">AI5+1</f>
        <v>34</v>
      </c>
      <c r="AK5" s="465">
        <f t="shared" ref="AK5" si="27">AJ5+1</f>
        <v>35</v>
      </c>
    </row>
    <row r="6" spans="1:37" ht="27" hidden="1" customHeight="1">
      <c r="A6" s="472"/>
      <c r="B6" s="473"/>
      <c r="C6" s="473"/>
      <c r="D6" s="473"/>
      <c r="E6" s="473"/>
      <c r="F6" s="473"/>
      <c r="G6" s="473"/>
      <c r="H6" s="473"/>
      <c r="I6" s="615"/>
      <c r="J6" s="615"/>
      <c r="K6" s="615"/>
      <c r="L6" s="615"/>
      <c r="M6" s="473"/>
      <c r="N6" s="473"/>
      <c r="O6" s="473"/>
      <c r="P6" s="473"/>
      <c r="Q6" s="615"/>
      <c r="R6" s="615"/>
      <c r="S6" s="473"/>
      <c r="T6" s="473"/>
      <c r="U6" s="473"/>
      <c r="V6" s="473"/>
      <c r="W6" s="615"/>
      <c r="X6" s="615"/>
      <c r="Y6" s="615"/>
      <c r="Z6" s="615"/>
      <c r="AA6" s="615"/>
      <c r="AB6" s="615"/>
      <c r="AC6" s="473"/>
      <c r="AD6" s="473"/>
      <c r="AE6" s="473"/>
      <c r="AF6" s="473"/>
      <c r="AG6" s="615"/>
      <c r="AH6" s="615"/>
      <c r="AI6" s="473"/>
      <c r="AJ6" s="473"/>
      <c r="AK6" s="473"/>
    </row>
    <row r="7" spans="1:37" ht="16.2" customHeight="1">
      <c r="A7" s="1183">
        <v>1</v>
      </c>
      <c r="B7" s="1184" t="s">
        <v>81</v>
      </c>
      <c r="C7" s="1185">
        <f>+'Table 8 Membership 2.1.14'!G3</f>
        <v>0</v>
      </c>
      <c r="D7" s="1186">
        <f>+'Table 5C1A-Madison Prep'!D7</f>
        <v>4765.8584413349836</v>
      </c>
      <c r="E7" s="1187">
        <f>C7*D7</f>
        <v>0</v>
      </c>
      <c r="F7" s="1187">
        <f>+'Table 5C1A-Madison Prep'!F7</f>
        <v>777.48</v>
      </c>
      <c r="G7" s="1187">
        <f>C7*F7</f>
        <v>0</v>
      </c>
      <c r="H7" s="1538">
        <f>E7+G7</f>
        <v>0</v>
      </c>
      <c r="I7" s="1188"/>
      <c r="J7" s="1188"/>
      <c r="K7" s="1189">
        <f>+I7+J7</f>
        <v>0</v>
      </c>
      <c r="L7" s="1538">
        <f>+H7+K7</f>
        <v>0</v>
      </c>
      <c r="M7" s="1372">
        <f>-(0.25%*L7)</f>
        <v>0</v>
      </c>
      <c r="N7" s="1538">
        <f>SUM(L7:M7)</f>
        <v>0</v>
      </c>
      <c r="O7" s="1186">
        <v>0</v>
      </c>
      <c r="P7" s="1544">
        <f>SUM(N7:O7)</f>
        <v>0</v>
      </c>
      <c r="Q7" s="1188"/>
      <c r="R7" s="1188">
        <f>+P7-Q7</f>
        <v>0</v>
      </c>
      <c r="S7" s="1544">
        <f>ROUND(R7/12,0)</f>
        <v>0</v>
      </c>
      <c r="T7" s="1544">
        <f>+P7</f>
        <v>0</v>
      </c>
      <c r="U7" s="1373">
        <f>'Table 5C1A-Madison Prep'!U7</f>
        <v>2409</v>
      </c>
      <c r="V7" s="1514">
        <f>C7*U7</f>
        <v>0</v>
      </c>
      <c r="W7" s="1375"/>
      <c r="X7" s="1376">
        <f>+U7*W7</f>
        <v>0</v>
      </c>
      <c r="Y7" s="1375"/>
      <c r="Z7" s="1376">
        <f t="shared" ref="Z7:Z70" si="28">+U7*Y7*0.5</f>
        <v>0</v>
      </c>
      <c r="AA7" s="1374">
        <f t="shared" ref="AA7:AA70" si="29">+X7+Z7</f>
        <v>0</v>
      </c>
      <c r="AB7" s="1509">
        <f t="shared" ref="AB7:AB70" si="30">+AA7+V7</f>
        <v>0</v>
      </c>
      <c r="AC7" s="1378">
        <f t="shared" ref="AC7:AC70" si="31">-(0.25%*AB7)</f>
        <v>0</v>
      </c>
      <c r="AD7" s="1509">
        <f>SUM(AB7:AC7)</f>
        <v>0</v>
      </c>
      <c r="AE7" s="1379">
        <v>0</v>
      </c>
      <c r="AF7" s="1509">
        <f>SUM(AD7:AE7)</f>
        <v>0</v>
      </c>
      <c r="AG7" s="1379"/>
      <c r="AH7" s="1379">
        <f>+AF7-AG7</f>
        <v>0</v>
      </c>
      <c r="AI7" s="1509">
        <f>ROUND(AH7/12,0)</f>
        <v>0</v>
      </c>
      <c r="AJ7" s="1530">
        <f>T7+AF7</f>
        <v>0</v>
      </c>
      <c r="AK7" s="1534">
        <f>S7+AI7</f>
        <v>0</v>
      </c>
    </row>
    <row r="8" spans="1:37" ht="16.2" customHeight="1">
      <c r="A8" s="1176">
        <v>2</v>
      </c>
      <c r="B8" s="1177" t="s">
        <v>82</v>
      </c>
      <c r="C8" s="1178">
        <f>+'Table 8 Membership 2.1.14'!G4</f>
        <v>0</v>
      </c>
      <c r="D8" s="1179">
        <f>+'Table 5C1A-Madison Prep'!D8</f>
        <v>6316.6266417386641</v>
      </c>
      <c r="E8" s="1180">
        <f t="shared" ref="E8:E71" si="32">C8*D8</f>
        <v>0</v>
      </c>
      <c r="F8" s="1180">
        <f>+'Table 5C1A-Madison Prep'!F8</f>
        <v>842.32</v>
      </c>
      <c r="G8" s="1180">
        <f t="shared" ref="G8:G71" si="33">C8*F8</f>
        <v>0</v>
      </c>
      <c r="H8" s="1539">
        <f t="shared" ref="H8:H71" si="34">E8+G8</f>
        <v>0</v>
      </c>
      <c r="I8" s="1181"/>
      <c r="J8" s="1181"/>
      <c r="K8" s="1182">
        <f t="shared" ref="K8:K71" si="35">+I8+J8</f>
        <v>0</v>
      </c>
      <c r="L8" s="1539">
        <f t="shared" ref="L8:L71" si="36">+H8+K8</f>
        <v>0</v>
      </c>
      <c r="M8" s="1388">
        <f t="shared" ref="M8:M71" si="37">-(0.25%*L8)</f>
        <v>0</v>
      </c>
      <c r="N8" s="1539">
        <f t="shared" ref="N8:N71" si="38">SUM(L8:M8)</f>
        <v>0</v>
      </c>
      <c r="O8" s="1179">
        <v>0</v>
      </c>
      <c r="P8" s="1545">
        <f t="shared" ref="P8:P71" si="39">SUM(N8:O8)</f>
        <v>0</v>
      </c>
      <c r="Q8" s="1181"/>
      <c r="R8" s="1181">
        <f t="shared" ref="R8:R71" si="40">+P8-Q8</f>
        <v>0</v>
      </c>
      <c r="S8" s="1545">
        <f t="shared" ref="S8:S71" si="41">ROUND(R8/12,0)</f>
        <v>0</v>
      </c>
      <c r="T8" s="1545">
        <f t="shared" ref="T8:T71" si="42">+P8</f>
        <v>0</v>
      </c>
      <c r="U8" s="1389">
        <f>'Table 5C1A-Madison Prep'!U8</f>
        <v>2829</v>
      </c>
      <c r="V8" s="1515">
        <f t="shared" ref="V8:V71" si="43">C8*U8</f>
        <v>0</v>
      </c>
      <c r="W8" s="1391"/>
      <c r="X8" s="1392">
        <f t="shared" ref="X8:X71" si="44">+U8*W8</f>
        <v>0</v>
      </c>
      <c r="Y8" s="1391"/>
      <c r="Z8" s="1392">
        <f t="shared" si="28"/>
        <v>0</v>
      </c>
      <c r="AA8" s="1390">
        <f t="shared" si="29"/>
        <v>0</v>
      </c>
      <c r="AB8" s="1510">
        <f t="shared" si="30"/>
        <v>0</v>
      </c>
      <c r="AC8" s="1394">
        <f t="shared" si="31"/>
        <v>0</v>
      </c>
      <c r="AD8" s="1510">
        <f t="shared" ref="AD8:AD71" si="45">SUM(AB8:AC8)</f>
        <v>0</v>
      </c>
      <c r="AE8" s="1395">
        <v>0</v>
      </c>
      <c r="AF8" s="1510">
        <f t="shared" ref="AF8:AF71" si="46">SUM(AD8:AE8)</f>
        <v>0</v>
      </c>
      <c r="AG8" s="1395"/>
      <c r="AH8" s="1395">
        <f t="shared" ref="AH8:AH71" si="47">+AF8-AG8</f>
        <v>0</v>
      </c>
      <c r="AI8" s="1510">
        <f t="shared" ref="AI8:AI71" si="48">ROUND(AH8/12,0)</f>
        <v>0</v>
      </c>
      <c r="AJ8" s="1505">
        <f t="shared" ref="AJ8:AJ71" si="49">T8+AF8</f>
        <v>0</v>
      </c>
      <c r="AK8" s="1535">
        <f t="shared" ref="AK8:AK71" si="50">S8+AI8</f>
        <v>0</v>
      </c>
    </row>
    <row r="9" spans="1:37" ht="16.2" customHeight="1">
      <c r="A9" s="1176">
        <v>3</v>
      </c>
      <c r="B9" s="1177" t="s">
        <v>83</v>
      </c>
      <c r="C9" s="1178">
        <f>+'Table 8 Membership 2.1.14'!G5</f>
        <v>0</v>
      </c>
      <c r="D9" s="1179">
        <f>+'Table 5C1A-Madison Prep'!D9</f>
        <v>4155.1862027396819</v>
      </c>
      <c r="E9" s="1180">
        <f t="shared" si="32"/>
        <v>0</v>
      </c>
      <c r="F9" s="1180">
        <f>+'Table 5C1A-Madison Prep'!F9</f>
        <v>596.84</v>
      </c>
      <c r="G9" s="1180">
        <f t="shared" si="33"/>
        <v>0</v>
      </c>
      <c r="H9" s="1539">
        <f t="shared" si="34"/>
        <v>0</v>
      </c>
      <c r="I9" s="1181"/>
      <c r="J9" s="1181"/>
      <c r="K9" s="1182">
        <f t="shared" si="35"/>
        <v>0</v>
      </c>
      <c r="L9" s="1539">
        <f t="shared" si="36"/>
        <v>0</v>
      </c>
      <c r="M9" s="1388">
        <f t="shared" si="37"/>
        <v>0</v>
      </c>
      <c r="N9" s="1539">
        <f t="shared" si="38"/>
        <v>0</v>
      </c>
      <c r="O9" s="1179">
        <v>0</v>
      </c>
      <c r="P9" s="1545">
        <f t="shared" si="39"/>
        <v>0</v>
      </c>
      <c r="Q9" s="1181"/>
      <c r="R9" s="1181">
        <f t="shared" si="40"/>
        <v>0</v>
      </c>
      <c r="S9" s="1545">
        <f t="shared" si="41"/>
        <v>0</v>
      </c>
      <c r="T9" s="1545">
        <f t="shared" si="42"/>
        <v>0</v>
      </c>
      <c r="U9" s="1389">
        <f>'Table 5C1A-Madison Prep'!U9</f>
        <v>5770</v>
      </c>
      <c r="V9" s="1515">
        <f t="shared" si="43"/>
        <v>0</v>
      </c>
      <c r="W9" s="1391"/>
      <c r="X9" s="1392">
        <f t="shared" si="44"/>
        <v>0</v>
      </c>
      <c r="Y9" s="1391"/>
      <c r="Z9" s="1392">
        <f t="shared" si="28"/>
        <v>0</v>
      </c>
      <c r="AA9" s="1390">
        <f t="shared" si="29"/>
        <v>0</v>
      </c>
      <c r="AB9" s="1510">
        <f t="shared" si="30"/>
        <v>0</v>
      </c>
      <c r="AC9" s="1394">
        <f t="shared" si="31"/>
        <v>0</v>
      </c>
      <c r="AD9" s="1510">
        <f t="shared" si="45"/>
        <v>0</v>
      </c>
      <c r="AE9" s="1395">
        <v>0</v>
      </c>
      <c r="AF9" s="1510">
        <f t="shared" si="46"/>
        <v>0</v>
      </c>
      <c r="AG9" s="1395"/>
      <c r="AH9" s="1395">
        <f t="shared" si="47"/>
        <v>0</v>
      </c>
      <c r="AI9" s="1510">
        <f t="shared" si="48"/>
        <v>0</v>
      </c>
      <c r="AJ9" s="1505">
        <f t="shared" si="49"/>
        <v>0</v>
      </c>
      <c r="AK9" s="1535">
        <f t="shared" si="50"/>
        <v>0</v>
      </c>
    </row>
    <row r="10" spans="1:37" ht="16.2" customHeight="1">
      <c r="A10" s="1176">
        <v>4</v>
      </c>
      <c r="B10" s="1177" t="s">
        <v>84</v>
      </c>
      <c r="C10" s="1178">
        <f>+'Table 8 Membership 2.1.14'!G6</f>
        <v>0</v>
      </c>
      <c r="D10" s="1179">
        <f>+'Table 5C1A-Madison Prep'!D10</f>
        <v>6119.0581446878568</v>
      </c>
      <c r="E10" s="1180">
        <f t="shared" si="32"/>
        <v>0</v>
      </c>
      <c r="F10" s="1180">
        <f>+'Table 5C1A-Madison Prep'!F10</f>
        <v>585.76</v>
      </c>
      <c r="G10" s="1180">
        <f t="shared" si="33"/>
        <v>0</v>
      </c>
      <c r="H10" s="1539">
        <f t="shared" si="34"/>
        <v>0</v>
      </c>
      <c r="I10" s="1181"/>
      <c r="J10" s="1181"/>
      <c r="K10" s="1182">
        <f t="shared" si="35"/>
        <v>0</v>
      </c>
      <c r="L10" s="1539">
        <f t="shared" si="36"/>
        <v>0</v>
      </c>
      <c r="M10" s="1388">
        <f t="shared" si="37"/>
        <v>0</v>
      </c>
      <c r="N10" s="1539">
        <f t="shared" si="38"/>
        <v>0</v>
      </c>
      <c r="O10" s="1179">
        <v>0</v>
      </c>
      <c r="P10" s="1545">
        <f t="shared" si="39"/>
        <v>0</v>
      </c>
      <c r="Q10" s="1181"/>
      <c r="R10" s="1181">
        <f t="shared" si="40"/>
        <v>0</v>
      </c>
      <c r="S10" s="1545">
        <f t="shared" si="41"/>
        <v>0</v>
      </c>
      <c r="T10" s="1545">
        <f t="shared" si="42"/>
        <v>0</v>
      </c>
      <c r="U10" s="1389">
        <f>'Table 5C1A-Madison Prep'!U10</f>
        <v>3287</v>
      </c>
      <c r="V10" s="1515">
        <f t="shared" si="43"/>
        <v>0</v>
      </c>
      <c r="W10" s="1391"/>
      <c r="X10" s="1392">
        <f t="shared" si="44"/>
        <v>0</v>
      </c>
      <c r="Y10" s="1391"/>
      <c r="Z10" s="1392">
        <f t="shared" si="28"/>
        <v>0</v>
      </c>
      <c r="AA10" s="1390">
        <f t="shared" si="29"/>
        <v>0</v>
      </c>
      <c r="AB10" s="1510">
        <f t="shared" si="30"/>
        <v>0</v>
      </c>
      <c r="AC10" s="1394">
        <f t="shared" si="31"/>
        <v>0</v>
      </c>
      <c r="AD10" s="1510">
        <f t="shared" si="45"/>
        <v>0</v>
      </c>
      <c r="AE10" s="1395">
        <v>0</v>
      </c>
      <c r="AF10" s="1510">
        <f t="shared" si="46"/>
        <v>0</v>
      </c>
      <c r="AG10" s="1395"/>
      <c r="AH10" s="1395">
        <f t="shared" si="47"/>
        <v>0</v>
      </c>
      <c r="AI10" s="1510">
        <f t="shared" si="48"/>
        <v>0</v>
      </c>
      <c r="AJ10" s="1505">
        <f t="shared" si="49"/>
        <v>0</v>
      </c>
      <c r="AK10" s="1535">
        <f t="shared" si="50"/>
        <v>0</v>
      </c>
    </row>
    <row r="11" spans="1:37" ht="16.2" customHeight="1">
      <c r="A11" s="1168">
        <v>5</v>
      </c>
      <c r="B11" s="1169" t="s">
        <v>85</v>
      </c>
      <c r="C11" s="1170">
        <f>+'Table 8 Membership 2.1.14'!G7</f>
        <v>0</v>
      </c>
      <c r="D11" s="1171">
        <f>+'Table 5C1A-Madison Prep'!D11</f>
        <v>5268.940566009911</v>
      </c>
      <c r="E11" s="1172">
        <f t="shared" si="32"/>
        <v>0</v>
      </c>
      <c r="F11" s="1172">
        <f>+'Table 5C1A-Madison Prep'!F11</f>
        <v>555.91</v>
      </c>
      <c r="G11" s="1172">
        <f t="shared" si="33"/>
        <v>0</v>
      </c>
      <c r="H11" s="1540">
        <f t="shared" si="34"/>
        <v>0</v>
      </c>
      <c r="I11" s="1173"/>
      <c r="J11" s="1173"/>
      <c r="K11" s="1174">
        <f t="shared" si="35"/>
        <v>0</v>
      </c>
      <c r="L11" s="1540">
        <f t="shared" si="36"/>
        <v>0</v>
      </c>
      <c r="M11" s="1399">
        <f t="shared" si="37"/>
        <v>0</v>
      </c>
      <c r="N11" s="1540">
        <f t="shared" si="38"/>
        <v>0</v>
      </c>
      <c r="O11" s="1171">
        <v>0</v>
      </c>
      <c r="P11" s="1546">
        <f t="shared" si="39"/>
        <v>0</v>
      </c>
      <c r="Q11" s="1173"/>
      <c r="R11" s="1173">
        <f t="shared" si="40"/>
        <v>0</v>
      </c>
      <c r="S11" s="1546">
        <f t="shared" si="41"/>
        <v>0</v>
      </c>
      <c r="T11" s="1546">
        <f t="shared" si="42"/>
        <v>0</v>
      </c>
      <c r="U11" s="1382">
        <f>'Table 5C1A-Madison Prep'!U11</f>
        <v>1921</v>
      </c>
      <c r="V11" s="1516">
        <f t="shared" si="43"/>
        <v>0</v>
      </c>
      <c r="W11" s="1400"/>
      <c r="X11" s="1383">
        <f t="shared" si="44"/>
        <v>0</v>
      </c>
      <c r="Y11" s="1400"/>
      <c r="Z11" s="1383">
        <f t="shared" si="28"/>
        <v>0</v>
      </c>
      <c r="AA11" s="1384">
        <f t="shared" si="29"/>
        <v>0</v>
      </c>
      <c r="AB11" s="1511">
        <f t="shared" si="30"/>
        <v>0</v>
      </c>
      <c r="AC11" s="1402">
        <f t="shared" si="31"/>
        <v>0</v>
      </c>
      <c r="AD11" s="1511">
        <f t="shared" si="45"/>
        <v>0</v>
      </c>
      <c r="AE11" s="1385">
        <v>0</v>
      </c>
      <c r="AF11" s="1511">
        <f t="shared" si="46"/>
        <v>0</v>
      </c>
      <c r="AG11" s="1385"/>
      <c r="AH11" s="1385">
        <f t="shared" si="47"/>
        <v>0</v>
      </c>
      <c r="AI11" s="1511">
        <f t="shared" si="48"/>
        <v>0</v>
      </c>
      <c r="AJ11" s="1531">
        <f t="shared" si="49"/>
        <v>0</v>
      </c>
      <c r="AK11" s="1536">
        <f t="shared" si="50"/>
        <v>0</v>
      </c>
    </row>
    <row r="12" spans="1:37" ht="16.2" customHeight="1">
      <c r="A12" s="1183">
        <v>6</v>
      </c>
      <c r="B12" s="1184" t="s">
        <v>86</v>
      </c>
      <c r="C12" s="1185">
        <f>+'Table 8 Membership 2.1.14'!G8</f>
        <v>0</v>
      </c>
      <c r="D12" s="1186">
        <f>+'Table 5C1A-Madison Prep'!D12</f>
        <v>5378.5086124955869</v>
      </c>
      <c r="E12" s="1187">
        <f t="shared" si="32"/>
        <v>0</v>
      </c>
      <c r="F12" s="1187">
        <f>+'Table 5C1A-Madison Prep'!F12</f>
        <v>545.4799999999999</v>
      </c>
      <c r="G12" s="1187">
        <f t="shared" si="33"/>
        <v>0</v>
      </c>
      <c r="H12" s="1538">
        <f t="shared" si="34"/>
        <v>0</v>
      </c>
      <c r="I12" s="1188"/>
      <c r="J12" s="1188"/>
      <c r="K12" s="1189">
        <f t="shared" si="35"/>
        <v>0</v>
      </c>
      <c r="L12" s="1538">
        <f t="shared" si="36"/>
        <v>0</v>
      </c>
      <c r="M12" s="1372">
        <f t="shared" si="37"/>
        <v>0</v>
      </c>
      <c r="N12" s="1538">
        <f t="shared" si="38"/>
        <v>0</v>
      </c>
      <c r="O12" s="1186">
        <v>0</v>
      </c>
      <c r="P12" s="1544">
        <f t="shared" si="39"/>
        <v>0</v>
      </c>
      <c r="Q12" s="1188"/>
      <c r="R12" s="1188">
        <f t="shared" si="40"/>
        <v>0</v>
      </c>
      <c r="S12" s="1544">
        <f t="shared" si="41"/>
        <v>0</v>
      </c>
      <c r="T12" s="1544">
        <f t="shared" si="42"/>
        <v>0</v>
      </c>
      <c r="U12" s="1373">
        <f>'Table 5C1A-Madison Prep'!U12</f>
        <v>3807</v>
      </c>
      <c r="V12" s="1514">
        <f t="shared" si="43"/>
        <v>0</v>
      </c>
      <c r="W12" s="1375"/>
      <c r="X12" s="1376">
        <f t="shared" si="44"/>
        <v>0</v>
      </c>
      <c r="Y12" s="1375"/>
      <c r="Z12" s="1376">
        <f t="shared" si="28"/>
        <v>0</v>
      </c>
      <c r="AA12" s="1374">
        <f t="shared" si="29"/>
        <v>0</v>
      </c>
      <c r="AB12" s="1509">
        <f t="shared" si="30"/>
        <v>0</v>
      </c>
      <c r="AC12" s="1378">
        <f t="shared" si="31"/>
        <v>0</v>
      </c>
      <c r="AD12" s="1509">
        <f t="shared" si="45"/>
        <v>0</v>
      </c>
      <c r="AE12" s="1379">
        <v>0</v>
      </c>
      <c r="AF12" s="1509">
        <f t="shared" si="46"/>
        <v>0</v>
      </c>
      <c r="AG12" s="1379"/>
      <c r="AH12" s="1379">
        <f t="shared" si="47"/>
        <v>0</v>
      </c>
      <c r="AI12" s="1509">
        <f t="shared" si="48"/>
        <v>0</v>
      </c>
      <c r="AJ12" s="1530">
        <f t="shared" si="49"/>
        <v>0</v>
      </c>
      <c r="AK12" s="1534">
        <f t="shared" si="50"/>
        <v>0</v>
      </c>
    </row>
    <row r="13" spans="1:37" ht="16.2" customHeight="1">
      <c r="A13" s="1176">
        <v>7</v>
      </c>
      <c r="B13" s="1177" t="s">
        <v>87</v>
      </c>
      <c r="C13" s="1178">
        <f>+'Table 8 Membership 2.1.14'!G9</f>
        <v>0</v>
      </c>
      <c r="D13" s="1179">
        <f>+'Table 5C1A-Madison Prep'!D13</f>
        <v>2243.0031963470319</v>
      </c>
      <c r="E13" s="1180">
        <f t="shared" si="32"/>
        <v>0</v>
      </c>
      <c r="F13" s="1180">
        <f>+'Table 5C1A-Madison Prep'!F13</f>
        <v>756.91999999999985</v>
      </c>
      <c r="G13" s="1180">
        <f t="shared" si="33"/>
        <v>0</v>
      </c>
      <c r="H13" s="1539">
        <f t="shared" si="34"/>
        <v>0</v>
      </c>
      <c r="I13" s="1181"/>
      <c r="J13" s="1181"/>
      <c r="K13" s="1182">
        <f t="shared" si="35"/>
        <v>0</v>
      </c>
      <c r="L13" s="1539">
        <f t="shared" si="36"/>
        <v>0</v>
      </c>
      <c r="M13" s="1388">
        <f t="shared" si="37"/>
        <v>0</v>
      </c>
      <c r="N13" s="1539">
        <f t="shared" si="38"/>
        <v>0</v>
      </c>
      <c r="O13" s="1179">
        <v>0</v>
      </c>
      <c r="P13" s="1545">
        <f t="shared" si="39"/>
        <v>0</v>
      </c>
      <c r="Q13" s="1181"/>
      <c r="R13" s="1181">
        <f t="shared" si="40"/>
        <v>0</v>
      </c>
      <c r="S13" s="1545">
        <f t="shared" si="41"/>
        <v>0</v>
      </c>
      <c r="T13" s="1545">
        <f t="shared" si="42"/>
        <v>0</v>
      </c>
      <c r="U13" s="1389">
        <f>'Table 5C1A-Madison Prep'!U13</f>
        <v>11888</v>
      </c>
      <c r="V13" s="1515">
        <f t="shared" si="43"/>
        <v>0</v>
      </c>
      <c r="W13" s="1391"/>
      <c r="X13" s="1392">
        <f t="shared" si="44"/>
        <v>0</v>
      </c>
      <c r="Y13" s="1391"/>
      <c r="Z13" s="1392">
        <f t="shared" si="28"/>
        <v>0</v>
      </c>
      <c r="AA13" s="1390">
        <f t="shared" si="29"/>
        <v>0</v>
      </c>
      <c r="AB13" s="1510">
        <f t="shared" si="30"/>
        <v>0</v>
      </c>
      <c r="AC13" s="1394">
        <f t="shared" si="31"/>
        <v>0</v>
      </c>
      <c r="AD13" s="1510">
        <f t="shared" si="45"/>
        <v>0</v>
      </c>
      <c r="AE13" s="1395">
        <v>0</v>
      </c>
      <c r="AF13" s="1510">
        <f t="shared" si="46"/>
        <v>0</v>
      </c>
      <c r="AG13" s="1395"/>
      <c r="AH13" s="1395">
        <f t="shared" si="47"/>
        <v>0</v>
      </c>
      <c r="AI13" s="1510">
        <f t="shared" si="48"/>
        <v>0</v>
      </c>
      <c r="AJ13" s="1505">
        <f t="shared" si="49"/>
        <v>0</v>
      </c>
      <c r="AK13" s="1535">
        <f t="shared" si="50"/>
        <v>0</v>
      </c>
    </row>
    <row r="14" spans="1:37" ht="16.2" customHeight="1">
      <c r="A14" s="1176">
        <v>8</v>
      </c>
      <c r="B14" s="1177" t="s">
        <v>88</v>
      </c>
      <c r="C14" s="1178">
        <f>+'Table 8 Membership 2.1.14'!G10</f>
        <v>0</v>
      </c>
      <c r="D14" s="1179">
        <f>+'Table 5C1A-Madison Prep'!D14</f>
        <v>4669.802459558854</v>
      </c>
      <c r="E14" s="1180">
        <f t="shared" si="32"/>
        <v>0</v>
      </c>
      <c r="F14" s="1180">
        <f>+'Table 5C1A-Madison Prep'!F14</f>
        <v>725.76</v>
      </c>
      <c r="G14" s="1180">
        <f t="shared" si="33"/>
        <v>0</v>
      </c>
      <c r="H14" s="1539">
        <f t="shared" si="34"/>
        <v>0</v>
      </c>
      <c r="I14" s="1181"/>
      <c r="J14" s="1181"/>
      <c r="K14" s="1182">
        <f t="shared" si="35"/>
        <v>0</v>
      </c>
      <c r="L14" s="1539">
        <f t="shared" si="36"/>
        <v>0</v>
      </c>
      <c r="M14" s="1388">
        <f t="shared" si="37"/>
        <v>0</v>
      </c>
      <c r="N14" s="1539">
        <f t="shared" si="38"/>
        <v>0</v>
      </c>
      <c r="O14" s="1179">
        <v>0</v>
      </c>
      <c r="P14" s="1545">
        <f t="shared" si="39"/>
        <v>0</v>
      </c>
      <c r="Q14" s="1181"/>
      <c r="R14" s="1181">
        <f t="shared" si="40"/>
        <v>0</v>
      </c>
      <c r="S14" s="1545">
        <f t="shared" si="41"/>
        <v>0</v>
      </c>
      <c r="T14" s="1545">
        <f t="shared" si="42"/>
        <v>0</v>
      </c>
      <c r="U14" s="1389">
        <f>'Table 5C1A-Madison Prep'!U14</f>
        <v>4024</v>
      </c>
      <c r="V14" s="1515">
        <f t="shared" si="43"/>
        <v>0</v>
      </c>
      <c r="W14" s="1391"/>
      <c r="X14" s="1392">
        <f t="shared" si="44"/>
        <v>0</v>
      </c>
      <c r="Y14" s="1391"/>
      <c r="Z14" s="1392">
        <f t="shared" si="28"/>
        <v>0</v>
      </c>
      <c r="AA14" s="1390">
        <f t="shared" si="29"/>
        <v>0</v>
      </c>
      <c r="AB14" s="1510">
        <f t="shared" si="30"/>
        <v>0</v>
      </c>
      <c r="AC14" s="1394">
        <f t="shared" si="31"/>
        <v>0</v>
      </c>
      <c r="AD14" s="1510">
        <f t="shared" si="45"/>
        <v>0</v>
      </c>
      <c r="AE14" s="1395">
        <v>0</v>
      </c>
      <c r="AF14" s="1510">
        <f t="shared" si="46"/>
        <v>0</v>
      </c>
      <c r="AG14" s="1395"/>
      <c r="AH14" s="1395">
        <f t="shared" si="47"/>
        <v>0</v>
      </c>
      <c r="AI14" s="1510">
        <f t="shared" si="48"/>
        <v>0</v>
      </c>
      <c r="AJ14" s="1505">
        <f t="shared" si="49"/>
        <v>0</v>
      </c>
      <c r="AK14" s="1535">
        <f t="shared" si="50"/>
        <v>0</v>
      </c>
    </row>
    <row r="15" spans="1:37" ht="16.2" customHeight="1">
      <c r="A15" s="1176">
        <v>9</v>
      </c>
      <c r="B15" s="1177" t="s">
        <v>89</v>
      </c>
      <c r="C15" s="1178">
        <f>+'Table 8 Membership 2.1.14'!G11</f>
        <v>0</v>
      </c>
      <c r="D15" s="1179">
        <f>+'Table 5C1A-Madison Prep'!D15</f>
        <v>4632.4615072045008</v>
      </c>
      <c r="E15" s="1180">
        <f t="shared" si="32"/>
        <v>0</v>
      </c>
      <c r="F15" s="1180">
        <f>+'Table 5C1A-Madison Prep'!F15</f>
        <v>744.76</v>
      </c>
      <c r="G15" s="1180">
        <f t="shared" si="33"/>
        <v>0</v>
      </c>
      <c r="H15" s="1539">
        <f t="shared" si="34"/>
        <v>0</v>
      </c>
      <c r="I15" s="1181"/>
      <c r="J15" s="1181"/>
      <c r="K15" s="1182">
        <f t="shared" si="35"/>
        <v>0</v>
      </c>
      <c r="L15" s="1539">
        <f t="shared" si="36"/>
        <v>0</v>
      </c>
      <c r="M15" s="1388">
        <f t="shared" si="37"/>
        <v>0</v>
      </c>
      <c r="N15" s="1539">
        <f t="shared" si="38"/>
        <v>0</v>
      </c>
      <c r="O15" s="1179">
        <v>0</v>
      </c>
      <c r="P15" s="1545">
        <f t="shared" si="39"/>
        <v>0</v>
      </c>
      <c r="Q15" s="1181"/>
      <c r="R15" s="1181">
        <f t="shared" si="40"/>
        <v>0</v>
      </c>
      <c r="S15" s="1545">
        <f t="shared" si="41"/>
        <v>0</v>
      </c>
      <c r="T15" s="1545">
        <f t="shared" si="42"/>
        <v>0</v>
      </c>
      <c r="U15" s="1389">
        <f>'Table 5C1A-Madison Prep'!U15</f>
        <v>4828</v>
      </c>
      <c r="V15" s="1515">
        <f t="shared" si="43"/>
        <v>0</v>
      </c>
      <c r="W15" s="1391"/>
      <c r="X15" s="1392">
        <f t="shared" si="44"/>
        <v>0</v>
      </c>
      <c r="Y15" s="1391"/>
      <c r="Z15" s="1392">
        <f t="shared" si="28"/>
        <v>0</v>
      </c>
      <c r="AA15" s="1390">
        <f t="shared" si="29"/>
        <v>0</v>
      </c>
      <c r="AB15" s="1510">
        <f t="shared" si="30"/>
        <v>0</v>
      </c>
      <c r="AC15" s="1394">
        <f t="shared" si="31"/>
        <v>0</v>
      </c>
      <c r="AD15" s="1510">
        <f t="shared" si="45"/>
        <v>0</v>
      </c>
      <c r="AE15" s="1395">
        <v>0</v>
      </c>
      <c r="AF15" s="1510">
        <f t="shared" si="46"/>
        <v>0</v>
      </c>
      <c r="AG15" s="1395"/>
      <c r="AH15" s="1395">
        <f t="shared" si="47"/>
        <v>0</v>
      </c>
      <c r="AI15" s="1510">
        <f t="shared" si="48"/>
        <v>0</v>
      </c>
      <c r="AJ15" s="1505">
        <f t="shared" si="49"/>
        <v>0</v>
      </c>
      <c r="AK15" s="1535">
        <f t="shared" si="50"/>
        <v>0</v>
      </c>
    </row>
    <row r="16" spans="1:37" ht="16.2" customHeight="1">
      <c r="A16" s="1168">
        <v>10</v>
      </c>
      <c r="B16" s="1169" t="s">
        <v>90</v>
      </c>
      <c r="C16" s="1170">
        <f>+'Table 8 Membership 2.1.14'!G12</f>
        <v>671</v>
      </c>
      <c r="D16" s="1171">
        <f>+'Table 5C1A-Madison Prep'!D16</f>
        <v>4384.374733918472</v>
      </c>
      <c r="E16" s="1172">
        <f t="shared" si="32"/>
        <v>2941915.4464592948</v>
      </c>
      <c r="F16" s="1172">
        <f>+'Table 5C1A-Madison Prep'!F16</f>
        <v>608.04000000000008</v>
      </c>
      <c r="G16" s="1172">
        <f t="shared" si="33"/>
        <v>407994.84</v>
      </c>
      <c r="H16" s="1540">
        <f t="shared" si="34"/>
        <v>3349910.2864592946</v>
      </c>
      <c r="I16" s="1173"/>
      <c r="J16" s="1173"/>
      <c r="K16" s="1174">
        <f t="shared" si="35"/>
        <v>0</v>
      </c>
      <c r="L16" s="1540">
        <f t="shared" si="36"/>
        <v>3349910.2864592946</v>
      </c>
      <c r="M16" s="1399">
        <f t="shared" si="37"/>
        <v>-8374.7757161482368</v>
      </c>
      <c r="N16" s="1540">
        <f t="shared" si="38"/>
        <v>3341535.5107431463</v>
      </c>
      <c r="O16" s="1171">
        <v>0</v>
      </c>
      <c r="P16" s="1546">
        <f t="shared" si="39"/>
        <v>3341535.5107431463</v>
      </c>
      <c r="Q16" s="1173"/>
      <c r="R16" s="1173">
        <f t="shared" si="40"/>
        <v>3341535.5107431463</v>
      </c>
      <c r="S16" s="1546">
        <f t="shared" si="41"/>
        <v>278461</v>
      </c>
      <c r="T16" s="1546">
        <f t="shared" si="42"/>
        <v>3341535.5107431463</v>
      </c>
      <c r="U16" s="1382">
        <f>'Table 5C1A-Madison Prep'!U16</f>
        <v>4565</v>
      </c>
      <c r="V16" s="1516">
        <f t="shared" si="43"/>
        <v>3063115</v>
      </c>
      <c r="W16" s="1400"/>
      <c r="X16" s="1383">
        <f t="shared" si="44"/>
        <v>0</v>
      </c>
      <c r="Y16" s="1400"/>
      <c r="Z16" s="1383">
        <f t="shared" si="28"/>
        <v>0</v>
      </c>
      <c r="AA16" s="1384">
        <f t="shared" si="29"/>
        <v>0</v>
      </c>
      <c r="AB16" s="1511">
        <f t="shared" si="30"/>
        <v>3063115</v>
      </c>
      <c r="AC16" s="1402">
        <f t="shared" si="31"/>
        <v>-7657.7875000000004</v>
      </c>
      <c r="AD16" s="1511">
        <f t="shared" si="45"/>
        <v>3055457.2124999999</v>
      </c>
      <c r="AE16" s="1385">
        <v>0</v>
      </c>
      <c r="AF16" s="1511">
        <f t="shared" si="46"/>
        <v>3055457.2124999999</v>
      </c>
      <c r="AG16" s="1385"/>
      <c r="AH16" s="1385">
        <f t="shared" si="47"/>
        <v>3055457.2124999999</v>
      </c>
      <c r="AI16" s="1511">
        <f t="shared" si="48"/>
        <v>254621</v>
      </c>
      <c r="AJ16" s="1531">
        <f t="shared" si="49"/>
        <v>6396992.7232431462</v>
      </c>
      <c r="AK16" s="1536">
        <f t="shared" si="50"/>
        <v>533082</v>
      </c>
    </row>
    <row r="17" spans="1:37" ht="16.2" customHeight="1">
      <c r="A17" s="1183">
        <v>11</v>
      </c>
      <c r="B17" s="1184" t="s">
        <v>91</v>
      </c>
      <c r="C17" s="1185">
        <f>+'Table 8 Membership 2.1.14'!G13</f>
        <v>0</v>
      </c>
      <c r="D17" s="1186">
        <f>+'Table 5C1A-Madison Prep'!D17</f>
        <v>7098.5372236353351</v>
      </c>
      <c r="E17" s="1187">
        <f t="shared" si="32"/>
        <v>0</v>
      </c>
      <c r="F17" s="1187">
        <f>+'Table 5C1A-Madison Prep'!F17</f>
        <v>706.55</v>
      </c>
      <c r="G17" s="1187">
        <f t="shared" si="33"/>
        <v>0</v>
      </c>
      <c r="H17" s="1538">
        <f t="shared" si="34"/>
        <v>0</v>
      </c>
      <c r="I17" s="1188"/>
      <c r="J17" s="1188"/>
      <c r="K17" s="1189">
        <f t="shared" si="35"/>
        <v>0</v>
      </c>
      <c r="L17" s="1538">
        <f t="shared" si="36"/>
        <v>0</v>
      </c>
      <c r="M17" s="1372">
        <f t="shared" si="37"/>
        <v>0</v>
      </c>
      <c r="N17" s="1538">
        <f t="shared" si="38"/>
        <v>0</v>
      </c>
      <c r="O17" s="1186">
        <v>0</v>
      </c>
      <c r="P17" s="1544">
        <f t="shared" si="39"/>
        <v>0</v>
      </c>
      <c r="Q17" s="1188"/>
      <c r="R17" s="1188">
        <f t="shared" si="40"/>
        <v>0</v>
      </c>
      <c r="S17" s="1544">
        <f t="shared" si="41"/>
        <v>0</v>
      </c>
      <c r="T17" s="1544">
        <f t="shared" si="42"/>
        <v>0</v>
      </c>
      <c r="U17" s="1373">
        <f>'Table 5C1A-Madison Prep'!U17</f>
        <v>3587</v>
      </c>
      <c r="V17" s="1514">
        <f t="shared" si="43"/>
        <v>0</v>
      </c>
      <c r="W17" s="1375"/>
      <c r="X17" s="1376">
        <f t="shared" si="44"/>
        <v>0</v>
      </c>
      <c r="Y17" s="1375"/>
      <c r="Z17" s="1376">
        <f t="shared" si="28"/>
        <v>0</v>
      </c>
      <c r="AA17" s="1374">
        <f t="shared" si="29"/>
        <v>0</v>
      </c>
      <c r="AB17" s="1509">
        <f t="shared" si="30"/>
        <v>0</v>
      </c>
      <c r="AC17" s="1378">
        <f t="shared" si="31"/>
        <v>0</v>
      </c>
      <c r="AD17" s="1509">
        <f t="shared" si="45"/>
        <v>0</v>
      </c>
      <c r="AE17" s="1379">
        <v>0</v>
      </c>
      <c r="AF17" s="1509">
        <f t="shared" si="46"/>
        <v>0</v>
      </c>
      <c r="AG17" s="1379"/>
      <c r="AH17" s="1379">
        <f t="shared" si="47"/>
        <v>0</v>
      </c>
      <c r="AI17" s="1509">
        <f t="shared" si="48"/>
        <v>0</v>
      </c>
      <c r="AJ17" s="1530">
        <f t="shared" si="49"/>
        <v>0</v>
      </c>
      <c r="AK17" s="1534">
        <f t="shared" si="50"/>
        <v>0</v>
      </c>
    </row>
    <row r="18" spans="1:37" ht="16.2" customHeight="1">
      <c r="A18" s="1176">
        <v>12</v>
      </c>
      <c r="B18" s="1177" t="s">
        <v>92</v>
      </c>
      <c r="C18" s="1178">
        <f>+'Table 8 Membership 2.1.14'!G14</f>
        <v>0</v>
      </c>
      <c r="D18" s="1179">
        <f>+'Table 5C1A-Madison Prep'!D18</f>
        <v>1666.6040983606558</v>
      </c>
      <c r="E18" s="1180">
        <f t="shared" si="32"/>
        <v>0</v>
      </c>
      <c r="F18" s="1180">
        <f>+'Table 5C1A-Madison Prep'!F18</f>
        <v>1063.31</v>
      </c>
      <c r="G18" s="1180">
        <f t="shared" si="33"/>
        <v>0</v>
      </c>
      <c r="H18" s="1539">
        <f t="shared" si="34"/>
        <v>0</v>
      </c>
      <c r="I18" s="1181"/>
      <c r="J18" s="1181"/>
      <c r="K18" s="1182">
        <f t="shared" si="35"/>
        <v>0</v>
      </c>
      <c r="L18" s="1539">
        <f t="shared" si="36"/>
        <v>0</v>
      </c>
      <c r="M18" s="1388">
        <f t="shared" si="37"/>
        <v>0</v>
      </c>
      <c r="N18" s="1539">
        <f t="shared" si="38"/>
        <v>0</v>
      </c>
      <c r="O18" s="1179">
        <v>0</v>
      </c>
      <c r="P18" s="1545">
        <f t="shared" si="39"/>
        <v>0</v>
      </c>
      <c r="Q18" s="1181"/>
      <c r="R18" s="1181">
        <f t="shared" si="40"/>
        <v>0</v>
      </c>
      <c r="S18" s="1545">
        <f t="shared" si="41"/>
        <v>0</v>
      </c>
      <c r="T18" s="1545">
        <f t="shared" si="42"/>
        <v>0</v>
      </c>
      <c r="U18" s="1389">
        <f>'Table 5C1A-Madison Prep'!U18</f>
        <v>8094</v>
      </c>
      <c r="V18" s="1515">
        <f t="shared" si="43"/>
        <v>0</v>
      </c>
      <c r="W18" s="1391"/>
      <c r="X18" s="1392">
        <f t="shared" si="44"/>
        <v>0</v>
      </c>
      <c r="Y18" s="1391"/>
      <c r="Z18" s="1392">
        <f t="shared" si="28"/>
        <v>0</v>
      </c>
      <c r="AA18" s="1390">
        <f t="shared" si="29"/>
        <v>0</v>
      </c>
      <c r="AB18" s="1510">
        <f t="shared" si="30"/>
        <v>0</v>
      </c>
      <c r="AC18" s="1394">
        <f t="shared" si="31"/>
        <v>0</v>
      </c>
      <c r="AD18" s="1510">
        <f t="shared" si="45"/>
        <v>0</v>
      </c>
      <c r="AE18" s="1395">
        <v>0</v>
      </c>
      <c r="AF18" s="1510">
        <f t="shared" si="46"/>
        <v>0</v>
      </c>
      <c r="AG18" s="1395"/>
      <c r="AH18" s="1395">
        <f t="shared" si="47"/>
        <v>0</v>
      </c>
      <c r="AI18" s="1510">
        <f t="shared" si="48"/>
        <v>0</v>
      </c>
      <c r="AJ18" s="1505">
        <f t="shared" si="49"/>
        <v>0</v>
      </c>
      <c r="AK18" s="1535">
        <f t="shared" si="50"/>
        <v>0</v>
      </c>
    </row>
    <row r="19" spans="1:37" ht="16.2" customHeight="1">
      <c r="A19" s="1176">
        <v>13</v>
      </c>
      <c r="B19" s="1177" t="s">
        <v>93</v>
      </c>
      <c r="C19" s="1178">
        <f>+'Table 8 Membership 2.1.14'!G15</f>
        <v>0</v>
      </c>
      <c r="D19" s="1179">
        <f>+'Table 5C1A-Madison Prep'!D19</f>
        <v>6433.6297758332212</v>
      </c>
      <c r="E19" s="1180">
        <f t="shared" si="32"/>
        <v>0</v>
      </c>
      <c r="F19" s="1180">
        <f>+'Table 5C1A-Madison Prep'!F19</f>
        <v>749.43000000000006</v>
      </c>
      <c r="G19" s="1180">
        <f t="shared" si="33"/>
        <v>0</v>
      </c>
      <c r="H19" s="1539">
        <f t="shared" si="34"/>
        <v>0</v>
      </c>
      <c r="I19" s="1181"/>
      <c r="J19" s="1181"/>
      <c r="K19" s="1182">
        <f t="shared" si="35"/>
        <v>0</v>
      </c>
      <c r="L19" s="1539">
        <f t="shared" si="36"/>
        <v>0</v>
      </c>
      <c r="M19" s="1388">
        <f t="shared" si="37"/>
        <v>0</v>
      </c>
      <c r="N19" s="1539">
        <f t="shared" si="38"/>
        <v>0</v>
      </c>
      <c r="O19" s="1179">
        <v>0</v>
      </c>
      <c r="P19" s="1545">
        <f t="shared" si="39"/>
        <v>0</v>
      </c>
      <c r="Q19" s="1181"/>
      <c r="R19" s="1181">
        <f t="shared" si="40"/>
        <v>0</v>
      </c>
      <c r="S19" s="1545">
        <f t="shared" si="41"/>
        <v>0</v>
      </c>
      <c r="T19" s="1545">
        <f t="shared" si="42"/>
        <v>0</v>
      </c>
      <c r="U19" s="1389">
        <f>'Table 5C1A-Madison Prep'!U19</f>
        <v>2842</v>
      </c>
      <c r="V19" s="1515">
        <f t="shared" si="43"/>
        <v>0</v>
      </c>
      <c r="W19" s="1391"/>
      <c r="X19" s="1392">
        <f t="shared" si="44"/>
        <v>0</v>
      </c>
      <c r="Y19" s="1391"/>
      <c r="Z19" s="1392">
        <f t="shared" si="28"/>
        <v>0</v>
      </c>
      <c r="AA19" s="1390">
        <f t="shared" si="29"/>
        <v>0</v>
      </c>
      <c r="AB19" s="1510">
        <f t="shared" si="30"/>
        <v>0</v>
      </c>
      <c r="AC19" s="1394">
        <f t="shared" si="31"/>
        <v>0</v>
      </c>
      <c r="AD19" s="1510">
        <f t="shared" si="45"/>
        <v>0</v>
      </c>
      <c r="AE19" s="1395">
        <v>0</v>
      </c>
      <c r="AF19" s="1510">
        <f t="shared" si="46"/>
        <v>0</v>
      </c>
      <c r="AG19" s="1395"/>
      <c r="AH19" s="1395">
        <f t="shared" si="47"/>
        <v>0</v>
      </c>
      <c r="AI19" s="1510">
        <f t="shared" si="48"/>
        <v>0</v>
      </c>
      <c r="AJ19" s="1505">
        <f t="shared" si="49"/>
        <v>0</v>
      </c>
      <c r="AK19" s="1535">
        <f t="shared" si="50"/>
        <v>0</v>
      </c>
    </row>
    <row r="20" spans="1:37" ht="16.2" customHeight="1">
      <c r="A20" s="1176">
        <v>14</v>
      </c>
      <c r="B20" s="1177" t="s">
        <v>94</v>
      </c>
      <c r="C20" s="1178">
        <f>+'Table 8 Membership 2.1.14'!G16</f>
        <v>0</v>
      </c>
      <c r="D20" s="1179">
        <f>+'Table 5C1A-Madison Prep'!D20</f>
        <v>5334.9509412500001</v>
      </c>
      <c r="E20" s="1180">
        <f t="shared" si="32"/>
        <v>0</v>
      </c>
      <c r="F20" s="1180">
        <f>+'Table 5C1A-Madison Prep'!F20</f>
        <v>809.9799999999999</v>
      </c>
      <c r="G20" s="1180">
        <f t="shared" si="33"/>
        <v>0</v>
      </c>
      <c r="H20" s="1539">
        <f t="shared" si="34"/>
        <v>0</v>
      </c>
      <c r="I20" s="1181"/>
      <c r="J20" s="1181"/>
      <c r="K20" s="1182">
        <f t="shared" si="35"/>
        <v>0</v>
      </c>
      <c r="L20" s="1539">
        <f t="shared" si="36"/>
        <v>0</v>
      </c>
      <c r="M20" s="1388">
        <f t="shared" si="37"/>
        <v>0</v>
      </c>
      <c r="N20" s="1539">
        <f t="shared" si="38"/>
        <v>0</v>
      </c>
      <c r="O20" s="1179">
        <v>0</v>
      </c>
      <c r="P20" s="1545">
        <f t="shared" si="39"/>
        <v>0</v>
      </c>
      <c r="Q20" s="1181"/>
      <c r="R20" s="1181">
        <f t="shared" si="40"/>
        <v>0</v>
      </c>
      <c r="S20" s="1545">
        <f t="shared" si="41"/>
        <v>0</v>
      </c>
      <c r="T20" s="1545">
        <f t="shared" si="42"/>
        <v>0</v>
      </c>
      <c r="U20" s="1389">
        <f>'Table 5C1A-Madison Prep'!U20</f>
        <v>4205</v>
      </c>
      <c r="V20" s="1515">
        <f t="shared" si="43"/>
        <v>0</v>
      </c>
      <c r="W20" s="1391"/>
      <c r="X20" s="1392">
        <f t="shared" si="44"/>
        <v>0</v>
      </c>
      <c r="Y20" s="1391"/>
      <c r="Z20" s="1392">
        <f t="shared" si="28"/>
        <v>0</v>
      </c>
      <c r="AA20" s="1390">
        <f t="shared" si="29"/>
        <v>0</v>
      </c>
      <c r="AB20" s="1510">
        <f t="shared" si="30"/>
        <v>0</v>
      </c>
      <c r="AC20" s="1394">
        <f t="shared" si="31"/>
        <v>0</v>
      </c>
      <c r="AD20" s="1510">
        <f t="shared" si="45"/>
        <v>0</v>
      </c>
      <c r="AE20" s="1395">
        <v>0</v>
      </c>
      <c r="AF20" s="1510">
        <f t="shared" si="46"/>
        <v>0</v>
      </c>
      <c r="AG20" s="1395"/>
      <c r="AH20" s="1395">
        <f t="shared" si="47"/>
        <v>0</v>
      </c>
      <c r="AI20" s="1510">
        <f t="shared" si="48"/>
        <v>0</v>
      </c>
      <c r="AJ20" s="1505">
        <f t="shared" si="49"/>
        <v>0</v>
      </c>
      <c r="AK20" s="1535">
        <f t="shared" si="50"/>
        <v>0</v>
      </c>
    </row>
    <row r="21" spans="1:37" ht="16.2" customHeight="1">
      <c r="A21" s="1168">
        <v>15</v>
      </c>
      <c r="B21" s="1169" t="s">
        <v>95</v>
      </c>
      <c r="C21" s="1170">
        <f>+'Table 8 Membership 2.1.14'!G17</f>
        <v>0</v>
      </c>
      <c r="D21" s="1171">
        <f>+'Table 5C1A-Madison Prep'!D21</f>
        <v>5749.8285214059952</v>
      </c>
      <c r="E21" s="1172">
        <f t="shared" si="32"/>
        <v>0</v>
      </c>
      <c r="F21" s="1172">
        <f>+'Table 5C1A-Madison Prep'!F21</f>
        <v>553.79999999999995</v>
      </c>
      <c r="G21" s="1172">
        <f t="shared" si="33"/>
        <v>0</v>
      </c>
      <c r="H21" s="1540">
        <f t="shared" si="34"/>
        <v>0</v>
      </c>
      <c r="I21" s="1173"/>
      <c r="J21" s="1173"/>
      <c r="K21" s="1174">
        <f t="shared" si="35"/>
        <v>0</v>
      </c>
      <c r="L21" s="1540">
        <f t="shared" si="36"/>
        <v>0</v>
      </c>
      <c r="M21" s="1399">
        <f t="shared" si="37"/>
        <v>0</v>
      </c>
      <c r="N21" s="1540">
        <f t="shared" si="38"/>
        <v>0</v>
      </c>
      <c r="O21" s="1171">
        <v>0</v>
      </c>
      <c r="P21" s="1546">
        <f t="shared" si="39"/>
        <v>0</v>
      </c>
      <c r="Q21" s="1173"/>
      <c r="R21" s="1173">
        <f t="shared" si="40"/>
        <v>0</v>
      </c>
      <c r="S21" s="1546">
        <f t="shared" si="41"/>
        <v>0</v>
      </c>
      <c r="T21" s="1546">
        <f t="shared" si="42"/>
        <v>0</v>
      </c>
      <c r="U21" s="1382">
        <f>'Table 5C1A-Madison Prep'!U21</f>
        <v>2535</v>
      </c>
      <c r="V21" s="1516">
        <f t="shared" si="43"/>
        <v>0</v>
      </c>
      <c r="W21" s="1400"/>
      <c r="X21" s="1383">
        <f t="shared" si="44"/>
        <v>0</v>
      </c>
      <c r="Y21" s="1400"/>
      <c r="Z21" s="1383">
        <f t="shared" si="28"/>
        <v>0</v>
      </c>
      <c r="AA21" s="1384">
        <f t="shared" si="29"/>
        <v>0</v>
      </c>
      <c r="AB21" s="1511">
        <f t="shared" si="30"/>
        <v>0</v>
      </c>
      <c r="AC21" s="1402">
        <f t="shared" si="31"/>
        <v>0</v>
      </c>
      <c r="AD21" s="1511">
        <f t="shared" si="45"/>
        <v>0</v>
      </c>
      <c r="AE21" s="1385">
        <v>0</v>
      </c>
      <c r="AF21" s="1511">
        <f t="shared" si="46"/>
        <v>0</v>
      </c>
      <c r="AG21" s="1385"/>
      <c r="AH21" s="1385">
        <f t="shared" si="47"/>
        <v>0</v>
      </c>
      <c r="AI21" s="1511">
        <f t="shared" si="48"/>
        <v>0</v>
      </c>
      <c r="AJ21" s="1531">
        <f t="shared" si="49"/>
        <v>0</v>
      </c>
      <c r="AK21" s="1536">
        <f t="shared" si="50"/>
        <v>0</v>
      </c>
    </row>
    <row r="22" spans="1:37" ht="16.2" customHeight="1">
      <c r="A22" s="1183">
        <v>16</v>
      </c>
      <c r="B22" s="1184" t="s">
        <v>96</v>
      </c>
      <c r="C22" s="1185">
        <f>+'Table 8 Membership 2.1.14'!G18</f>
        <v>0</v>
      </c>
      <c r="D22" s="1186">
        <f>+'Table 5C1A-Madison Prep'!D22</f>
        <v>1980.2494354342025</v>
      </c>
      <c r="E22" s="1187">
        <f t="shared" si="32"/>
        <v>0</v>
      </c>
      <c r="F22" s="1187">
        <f>+'Table 5C1A-Madison Prep'!F22</f>
        <v>686.73</v>
      </c>
      <c r="G22" s="1187">
        <f t="shared" si="33"/>
        <v>0</v>
      </c>
      <c r="H22" s="1538">
        <f t="shared" si="34"/>
        <v>0</v>
      </c>
      <c r="I22" s="1188"/>
      <c r="J22" s="1188"/>
      <c r="K22" s="1189">
        <f t="shared" si="35"/>
        <v>0</v>
      </c>
      <c r="L22" s="1538">
        <f t="shared" si="36"/>
        <v>0</v>
      </c>
      <c r="M22" s="1372">
        <f t="shared" si="37"/>
        <v>0</v>
      </c>
      <c r="N22" s="1538">
        <f t="shared" si="38"/>
        <v>0</v>
      </c>
      <c r="O22" s="1186">
        <v>0</v>
      </c>
      <c r="P22" s="1544">
        <f t="shared" si="39"/>
        <v>0</v>
      </c>
      <c r="Q22" s="1188"/>
      <c r="R22" s="1188">
        <f t="shared" si="40"/>
        <v>0</v>
      </c>
      <c r="S22" s="1544">
        <f t="shared" si="41"/>
        <v>0</v>
      </c>
      <c r="T22" s="1544">
        <f t="shared" si="42"/>
        <v>0</v>
      </c>
      <c r="U22" s="1373">
        <f>'Table 5C1A-Madison Prep'!U22</f>
        <v>12768</v>
      </c>
      <c r="V22" s="1514">
        <f t="shared" si="43"/>
        <v>0</v>
      </c>
      <c r="W22" s="1375"/>
      <c r="X22" s="1376">
        <f t="shared" si="44"/>
        <v>0</v>
      </c>
      <c r="Y22" s="1375"/>
      <c r="Z22" s="1376">
        <f t="shared" si="28"/>
        <v>0</v>
      </c>
      <c r="AA22" s="1374">
        <f t="shared" si="29"/>
        <v>0</v>
      </c>
      <c r="AB22" s="1509">
        <f t="shared" si="30"/>
        <v>0</v>
      </c>
      <c r="AC22" s="1378">
        <f t="shared" si="31"/>
        <v>0</v>
      </c>
      <c r="AD22" s="1509">
        <f t="shared" si="45"/>
        <v>0</v>
      </c>
      <c r="AE22" s="1379">
        <v>0</v>
      </c>
      <c r="AF22" s="1509">
        <f t="shared" si="46"/>
        <v>0</v>
      </c>
      <c r="AG22" s="1379"/>
      <c r="AH22" s="1379">
        <f t="shared" si="47"/>
        <v>0</v>
      </c>
      <c r="AI22" s="1509">
        <f t="shared" si="48"/>
        <v>0</v>
      </c>
      <c r="AJ22" s="1530">
        <f t="shared" si="49"/>
        <v>0</v>
      </c>
      <c r="AK22" s="1534">
        <f t="shared" si="50"/>
        <v>0</v>
      </c>
    </row>
    <row r="23" spans="1:37" ht="16.2" customHeight="1">
      <c r="A23" s="1176">
        <v>17</v>
      </c>
      <c r="B23" s="1177" t="s">
        <v>97</v>
      </c>
      <c r="C23" s="1178">
        <f>+'Table 8 Membership 2.1.14'!G19</f>
        <v>0</v>
      </c>
      <c r="D23" s="1179">
        <f>+'Table 5C1A-Madison Prep'!D23</f>
        <v>3363.5980368254495</v>
      </c>
      <c r="E23" s="1180">
        <f t="shared" si="32"/>
        <v>0</v>
      </c>
      <c r="F23" s="1180">
        <f>+'Table 5C1A-Madison Prep'!F23</f>
        <v>801.47762416806802</v>
      </c>
      <c r="G23" s="1180">
        <f t="shared" si="33"/>
        <v>0</v>
      </c>
      <c r="H23" s="1539">
        <f t="shared" si="34"/>
        <v>0</v>
      </c>
      <c r="I23" s="1181"/>
      <c r="J23" s="1181"/>
      <c r="K23" s="1182">
        <f t="shared" si="35"/>
        <v>0</v>
      </c>
      <c r="L23" s="1539">
        <f t="shared" si="36"/>
        <v>0</v>
      </c>
      <c r="M23" s="1388">
        <f t="shared" si="37"/>
        <v>0</v>
      </c>
      <c r="N23" s="1539">
        <f t="shared" si="38"/>
        <v>0</v>
      </c>
      <c r="O23" s="1179">
        <v>0</v>
      </c>
      <c r="P23" s="1545">
        <f t="shared" si="39"/>
        <v>0</v>
      </c>
      <c r="Q23" s="1181"/>
      <c r="R23" s="1181">
        <f t="shared" si="40"/>
        <v>0</v>
      </c>
      <c r="S23" s="1545">
        <f t="shared" si="41"/>
        <v>0</v>
      </c>
      <c r="T23" s="1545">
        <f t="shared" si="42"/>
        <v>0</v>
      </c>
      <c r="U23" s="1389">
        <f>'Table 5C1A-Madison Prep'!U23</f>
        <v>7050</v>
      </c>
      <c r="V23" s="1515">
        <f t="shared" si="43"/>
        <v>0</v>
      </c>
      <c r="W23" s="1391"/>
      <c r="X23" s="1392">
        <f t="shared" si="44"/>
        <v>0</v>
      </c>
      <c r="Y23" s="1391"/>
      <c r="Z23" s="1392">
        <f t="shared" si="28"/>
        <v>0</v>
      </c>
      <c r="AA23" s="1390">
        <f t="shared" si="29"/>
        <v>0</v>
      </c>
      <c r="AB23" s="1510">
        <f t="shared" si="30"/>
        <v>0</v>
      </c>
      <c r="AC23" s="1394">
        <f t="shared" si="31"/>
        <v>0</v>
      </c>
      <c r="AD23" s="1510">
        <f t="shared" si="45"/>
        <v>0</v>
      </c>
      <c r="AE23" s="1395">
        <v>0</v>
      </c>
      <c r="AF23" s="1510">
        <f t="shared" si="46"/>
        <v>0</v>
      </c>
      <c r="AG23" s="1395"/>
      <c r="AH23" s="1395">
        <f t="shared" si="47"/>
        <v>0</v>
      </c>
      <c r="AI23" s="1510">
        <f t="shared" si="48"/>
        <v>0</v>
      </c>
      <c r="AJ23" s="1505">
        <f t="shared" si="49"/>
        <v>0</v>
      </c>
      <c r="AK23" s="1535">
        <f t="shared" si="50"/>
        <v>0</v>
      </c>
    </row>
    <row r="24" spans="1:37" ht="16.2" customHeight="1">
      <c r="A24" s="1176">
        <v>18</v>
      </c>
      <c r="B24" s="1177" t="s">
        <v>98</v>
      </c>
      <c r="C24" s="1178">
        <f>+'Table 8 Membership 2.1.14'!G20</f>
        <v>0</v>
      </c>
      <c r="D24" s="1179">
        <f>+'Table 5C1A-Madison Prep'!D24</f>
        <v>6354.5533500475731</v>
      </c>
      <c r="E24" s="1180">
        <f t="shared" si="32"/>
        <v>0</v>
      </c>
      <c r="F24" s="1180">
        <f>+'Table 5C1A-Madison Prep'!F24</f>
        <v>845.94999999999993</v>
      </c>
      <c r="G24" s="1180">
        <f t="shared" si="33"/>
        <v>0</v>
      </c>
      <c r="H24" s="1539">
        <f t="shared" si="34"/>
        <v>0</v>
      </c>
      <c r="I24" s="1181"/>
      <c r="J24" s="1181"/>
      <c r="K24" s="1182">
        <f t="shared" si="35"/>
        <v>0</v>
      </c>
      <c r="L24" s="1539">
        <f t="shared" si="36"/>
        <v>0</v>
      </c>
      <c r="M24" s="1388">
        <f t="shared" si="37"/>
        <v>0</v>
      </c>
      <c r="N24" s="1539">
        <f t="shared" si="38"/>
        <v>0</v>
      </c>
      <c r="O24" s="1179">
        <v>0</v>
      </c>
      <c r="P24" s="1545">
        <f t="shared" si="39"/>
        <v>0</v>
      </c>
      <c r="Q24" s="1181"/>
      <c r="R24" s="1181">
        <f t="shared" si="40"/>
        <v>0</v>
      </c>
      <c r="S24" s="1545">
        <f t="shared" si="41"/>
        <v>0</v>
      </c>
      <c r="T24" s="1545">
        <f t="shared" si="42"/>
        <v>0</v>
      </c>
      <c r="U24" s="1389">
        <f>'Table 5C1A-Madison Prep'!U24</f>
        <v>2526</v>
      </c>
      <c r="V24" s="1515">
        <f t="shared" si="43"/>
        <v>0</v>
      </c>
      <c r="W24" s="1391"/>
      <c r="X24" s="1392">
        <f t="shared" si="44"/>
        <v>0</v>
      </c>
      <c r="Y24" s="1391"/>
      <c r="Z24" s="1392">
        <f t="shared" si="28"/>
        <v>0</v>
      </c>
      <c r="AA24" s="1390">
        <f t="shared" si="29"/>
        <v>0</v>
      </c>
      <c r="AB24" s="1510">
        <f t="shared" si="30"/>
        <v>0</v>
      </c>
      <c r="AC24" s="1394">
        <f t="shared" si="31"/>
        <v>0</v>
      </c>
      <c r="AD24" s="1510">
        <f t="shared" si="45"/>
        <v>0</v>
      </c>
      <c r="AE24" s="1395">
        <v>0</v>
      </c>
      <c r="AF24" s="1510">
        <f t="shared" si="46"/>
        <v>0</v>
      </c>
      <c r="AG24" s="1395"/>
      <c r="AH24" s="1395">
        <f t="shared" si="47"/>
        <v>0</v>
      </c>
      <c r="AI24" s="1510">
        <f t="shared" si="48"/>
        <v>0</v>
      </c>
      <c r="AJ24" s="1505">
        <f t="shared" si="49"/>
        <v>0</v>
      </c>
      <c r="AK24" s="1535">
        <f t="shared" si="50"/>
        <v>0</v>
      </c>
    </row>
    <row r="25" spans="1:37" ht="16.2" customHeight="1">
      <c r="A25" s="1176">
        <v>19</v>
      </c>
      <c r="B25" s="1177" t="s">
        <v>99</v>
      </c>
      <c r="C25" s="1178">
        <f>+'Table 8 Membership 2.1.14'!G21</f>
        <v>0</v>
      </c>
      <c r="D25" s="1179">
        <f>+'Table 5C1A-Madison Prep'!D25</f>
        <v>5314.3921869460446</v>
      </c>
      <c r="E25" s="1180">
        <f t="shared" si="32"/>
        <v>0</v>
      </c>
      <c r="F25" s="1180">
        <f>+'Table 5C1A-Madison Prep'!F25</f>
        <v>905.43</v>
      </c>
      <c r="G25" s="1180">
        <f t="shared" si="33"/>
        <v>0</v>
      </c>
      <c r="H25" s="1539">
        <f t="shared" si="34"/>
        <v>0</v>
      </c>
      <c r="I25" s="1181"/>
      <c r="J25" s="1181"/>
      <c r="K25" s="1182">
        <f t="shared" si="35"/>
        <v>0</v>
      </c>
      <c r="L25" s="1539">
        <f t="shared" si="36"/>
        <v>0</v>
      </c>
      <c r="M25" s="1388">
        <f t="shared" si="37"/>
        <v>0</v>
      </c>
      <c r="N25" s="1539">
        <f t="shared" si="38"/>
        <v>0</v>
      </c>
      <c r="O25" s="1179">
        <v>0</v>
      </c>
      <c r="P25" s="1545">
        <f t="shared" si="39"/>
        <v>0</v>
      </c>
      <c r="Q25" s="1181"/>
      <c r="R25" s="1181">
        <f t="shared" si="40"/>
        <v>0</v>
      </c>
      <c r="S25" s="1545">
        <f t="shared" si="41"/>
        <v>0</v>
      </c>
      <c r="T25" s="1545">
        <f t="shared" si="42"/>
        <v>0</v>
      </c>
      <c r="U25" s="1389">
        <f>'Table 5C1A-Madison Prep'!U25</f>
        <v>2908</v>
      </c>
      <c r="V25" s="1515">
        <f t="shared" si="43"/>
        <v>0</v>
      </c>
      <c r="W25" s="1391"/>
      <c r="X25" s="1392">
        <f t="shared" si="44"/>
        <v>0</v>
      </c>
      <c r="Y25" s="1391"/>
      <c r="Z25" s="1392">
        <f t="shared" si="28"/>
        <v>0</v>
      </c>
      <c r="AA25" s="1390">
        <f t="shared" si="29"/>
        <v>0</v>
      </c>
      <c r="AB25" s="1510">
        <f t="shared" si="30"/>
        <v>0</v>
      </c>
      <c r="AC25" s="1394">
        <f t="shared" si="31"/>
        <v>0</v>
      </c>
      <c r="AD25" s="1510">
        <f t="shared" si="45"/>
        <v>0</v>
      </c>
      <c r="AE25" s="1395">
        <v>0</v>
      </c>
      <c r="AF25" s="1510">
        <f t="shared" si="46"/>
        <v>0</v>
      </c>
      <c r="AG25" s="1395"/>
      <c r="AH25" s="1395">
        <f t="shared" si="47"/>
        <v>0</v>
      </c>
      <c r="AI25" s="1510">
        <f t="shared" si="48"/>
        <v>0</v>
      </c>
      <c r="AJ25" s="1505">
        <f t="shared" si="49"/>
        <v>0</v>
      </c>
      <c r="AK25" s="1535">
        <f t="shared" si="50"/>
        <v>0</v>
      </c>
    </row>
    <row r="26" spans="1:37" ht="16.2" customHeight="1">
      <c r="A26" s="1168">
        <v>20</v>
      </c>
      <c r="B26" s="1169" t="s">
        <v>100</v>
      </c>
      <c r="C26" s="1170">
        <f>+'Table 8 Membership 2.1.14'!G22</f>
        <v>0</v>
      </c>
      <c r="D26" s="1171">
        <f>+'Table 5C1A-Madison Prep'!D26</f>
        <v>5278.5201565562011</v>
      </c>
      <c r="E26" s="1172">
        <f t="shared" si="32"/>
        <v>0</v>
      </c>
      <c r="F26" s="1172">
        <f>+'Table 5C1A-Madison Prep'!F26</f>
        <v>586.16999999999996</v>
      </c>
      <c r="G26" s="1172">
        <f t="shared" si="33"/>
        <v>0</v>
      </c>
      <c r="H26" s="1540">
        <f t="shared" si="34"/>
        <v>0</v>
      </c>
      <c r="I26" s="1173"/>
      <c r="J26" s="1173"/>
      <c r="K26" s="1174">
        <f t="shared" si="35"/>
        <v>0</v>
      </c>
      <c r="L26" s="1540">
        <f t="shared" si="36"/>
        <v>0</v>
      </c>
      <c r="M26" s="1399">
        <f t="shared" si="37"/>
        <v>0</v>
      </c>
      <c r="N26" s="1540">
        <f t="shared" si="38"/>
        <v>0</v>
      </c>
      <c r="O26" s="1171">
        <v>0</v>
      </c>
      <c r="P26" s="1546">
        <f t="shared" si="39"/>
        <v>0</v>
      </c>
      <c r="Q26" s="1173"/>
      <c r="R26" s="1173">
        <f t="shared" si="40"/>
        <v>0</v>
      </c>
      <c r="S26" s="1546">
        <f t="shared" si="41"/>
        <v>0</v>
      </c>
      <c r="T26" s="1546">
        <f t="shared" si="42"/>
        <v>0</v>
      </c>
      <c r="U26" s="1382">
        <f>'Table 5C1A-Madison Prep'!U26</f>
        <v>2432</v>
      </c>
      <c r="V26" s="1516">
        <f t="shared" si="43"/>
        <v>0</v>
      </c>
      <c r="W26" s="1400"/>
      <c r="X26" s="1383">
        <f t="shared" si="44"/>
        <v>0</v>
      </c>
      <c r="Y26" s="1400"/>
      <c r="Z26" s="1383">
        <f t="shared" si="28"/>
        <v>0</v>
      </c>
      <c r="AA26" s="1384">
        <f t="shared" si="29"/>
        <v>0</v>
      </c>
      <c r="AB26" s="1511">
        <f t="shared" si="30"/>
        <v>0</v>
      </c>
      <c r="AC26" s="1402">
        <f t="shared" si="31"/>
        <v>0</v>
      </c>
      <c r="AD26" s="1511">
        <f t="shared" si="45"/>
        <v>0</v>
      </c>
      <c r="AE26" s="1385">
        <v>0</v>
      </c>
      <c r="AF26" s="1511">
        <f t="shared" si="46"/>
        <v>0</v>
      </c>
      <c r="AG26" s="1385"/>
      <c r="AH26" s="1385">
        <f t="shared" si="47"/>
        <v>0</v>
      </c>
      <c r="AI26" s="1511">
        <f t="shared" si="48"/>
        <v>0</v>
      </c>
      <c r="AJ26" s="1531">
        <f t="shared" si="49"/>
        <v>0</v>
      </c>
      <c r="AK26" s="1536">
        <f t="shared" si="50"/>
        <v>0</v>
      </c>
    </row>
    <row r="27" spans="1:37" ht="16.2" customHeight="1">
      <c r="A27" s="1183">
        <v>21</v>
      </c>
      <c r="B27" s="1184" t="s">
        <v>101</v>
      </c>
      <c r="C27" s="1185">
        <f>+'Table 8 Membership 2.1.14'!G23</f>
        <v>0</v>
      </c>
      <c r="D27" s="1186">
        <f>+'Table 5C1A-Madison Prep'!D27</f>
        <v>6082.3042295867763</v>
      </c>
      <c r="E27" s="1187">
        <f t="shared" si="32"/>
        <v>0</v>
      </c>
      <c r="F27" s="1187">
        <f>+'Table 5C1A-Madison Prep'!F27</f>
        <v>610.35</v>
      </c>
      <c r="G27" s="1187">
        <f t="shared" si="33"/>
        <v>0</v>
      </c>
      <c r="H27" s="1538">
        <f t="shared" si="34"/>
        <v>0</v>
      </c>
      <c r="I27" s="1188"/>
      <c r="J27" s="1188"/>
      <c r="K27" s="1189">
        <f t="shared" si="35"/>
        <v>0</v>
      </c>
      <c r="L27" s="1538">
        <f t="shared" si="36"/>
        <v>0</v>
      </c>
      <c r="M27" s="1372">
        <f t="shared" si="37"/>
        <v>0</v>
      </c>
      <c r="N27" s="1538">
        <f t="shared" si="38"/>
        <v>0</v>
      </c>
      <c r="O27" s="1186">
        <v>0</v>
      </c>
      <c r="P27" s="1544">
        <f t="shared" si="39"/>
        <v>0</v>
      </c>
      <c r="Q27" s="1188"/>
      <c r="R27" s="1188">
        <f t="shared" si="40"/>
        <v>0</v>
      </c>
      <c r="S27" s="1544">
        <f t="shared" si="41"/>
        <v>0</v>
      </c>
      <c r="T27" s="1544">
        <f t="shared" si="42"/>
        <v>0</v>
      </c>
      <c r="U27" s="1373">
        <f>'Table 5C1A-Madison Prep'!U27</f>
        <v>2460</v>
      </c>
      <c r="V27" s="1514">
        <f t="shared" si="43"/>
        <v>0</v>
      </c>
      <c r="W27" s="1375"/>
      <c r="X27" s="1376">
        <f t="shared" si="44"/>
        <v>0</v>
      </c>
      <c r="Y27" s="1375"/>
      <c r="Z27" s="1376">
        <f t="shared" si="28"/>
        <v>0</v>
      </c>
      <c r="AA27" s="1374">
        <f t="shared" si="29"/>
        <v>0</v>
      </c>
      <c r="AB27" s="1509">
        <f t="shared" si="30"/>
        <v>0</v>
      </c>
      <c r="AC27" s="1378">
        <f t="shared" si="31"/>
        <v>0</v>
      </c>
      <c r="AD27" s="1509">
        <f t="shared" si="45"/>
        <v>0</v>
      </c>
      <c r="AE27" s="1379">
        <v>0</v>
      </c>
      <c r="AF27" s="1509">
        <f t="shared" si="46"/>
        <v>0</v>
      </c>
      <c r="AG27" s="1379"/>
      <c r="AH27" s="1379">
        <f t="shared" si="47"/>
        <v>0</v>
      </c>
      <c r="AI27" s="1509">
        <f t="shared" si="48"/>
        <v>0</v>
      </c>
      <c r="AJ27" s="1530">
        <f t="shared" si="49"/>
        <v>0</v>
      </c>
      <c r="AK27" s="1534">
        <f t="shared" si="50"/>
        <v>0</v>
      </c>
    </row>
    <row r="28" spans="1:37" ht="16.2" customHeight="1">
      <c r="A28" s="1176">
        <v>22</v>
      </c>
      <c r="B28" s="1177" t="s">
        <v>102</v>
      </c>
      <c r="C28" s="1178">
        <f>+'Table 8 Membership 2.1.14'!G24</f>
        <v>0</v>
      </c>
      <c r="D28" s="1179">
        <f>+'Table 5C1A-Madison Prep'!D28</f>
        <v>6416.1099808195995</v>
      </c>
      <c r="E28" s="1180">
        <f t="shared" si="32"/>
        <v>0</v>
      </c>
      <c r="F28" s="1180">
        <f>+'Table 5C1A-Madison Prep'!F28</f>
        <v>496.36</v>
      </c>
      <c r="G28" s="1180">
        <f t="shared" si="33"/>
        <v>0</v>
      </c>
      <c r="H28" s="1539">
        <f t="shared" si="34"/>
        <v>0</v>
      </c>
      <c r="I28" s="1181"/>
      <c r="J28" s="1181"/>
      <c r="K28" s="1182">
        <f t="shared" si="35"/>
        <v>0</v>
      </c>
      <c r="L28" s="1539">
        <f t="shared" si="36"/>
        <v>0</v>
      </c>
      <c r="M28" s="1388">
        <f t="shared" si="37"/>
        <v>0</v>
      </c>
      <c r="N28" s="1539">
        <f t="shared" si="38"/>
        <v>0</v>
      </c>
      <c r="O28" s="1179">
        <v>0</v>
      </c>
      <c r="P28" s="1545">
        <f t="shared" si="39"/>
        <v>0</v>
      </c>
      <c r="Q28" s="1181"/>
      <c r="R28" s="1181">
        <f t="shared" si="40"/>
        <v>0</v>
      </c>
      <c r="S28" s="1545">
        <f t="shared" si="41"/>
        <v>0</v>
      </c>
      <c r="T28" s="1545">
        <f t="shared" si="42"/>
        <v>0</v>
      </c>
      <c r="U28" s="1389">
        <f>'Table 5C1A-Madison Prep'!U28</f>
        <v>1613</v>
      </c>
      <c r="V28" s="1515">
        <f t="shared" si="43"/>
        <v>0</v>
      </c>
      <c r="W28" s="1391"/>
      <c r="X28" s="1392">
        <f t="shared" si="44"/>
        <v>0</v>
      </c>
      <c r="Y28" s="1391"/>
      <c r="Z28" s="1392">
        <f t="shared" si="28"/>
        <v>0</v>
      </c>
      <c r="AA28" s="1390">
        <f t="shared" si="29"/>
        <v>0</v>
      </c>
      <c r="AB28" s="1510">
        <f t="shared" si="30"/>
        <v>0</v>
      </c>
      <c r="AC28" s="1394">
        <f t="shared" si="31"/>
        <v>0</v>
      </c>
      <c r="AD28" s="1510">
        <f t="shared" si="45"/>
        <v>0</v>
      </c>
      <c r="AE28" s="1395">
        <v>0</v>
      </c>
      <c r="AF28" s="1510">
        <f t="shared" si="46"/>
        <v>0</v>
      </c>
      <c r="AG28" s="1395"/>
      <c r="AH28" s="1395">
        <f t="shared" si="47"/>
        <v>0</v>
      </c>
      <c r="AI28" s="1510">
        <f t="shared" si="48"/>
        <v>0</v>
      </c>
      <c r="AJ28" s="1505">
        <f t="shared" si="49"/>
        <v>0</v>
      </c>
      <c r="AK28" s="1535">
        <f t="shared" si="50"/>
        <v>0</v>
      </c>
    </row>
    <row r="29" spans="1:37" ht="16.2" customHeight="1">
      <c r="A29" s="1176">
        <v>23</v>
      </c>
      <c r="B29" s="1177" t="s">
        <v>103</v>
      </c>
      <c r="C29" s="1178">
        <f>+'Table 8 Membership 2.1.14'!G25</f>
        <v>0</v>
      </c>
      <c r="D29" s="1179">
        <f>+'Table 5C1A-Madison Prep'!D29</f>
        <v>5011.0215265979159</v>
      </c>
      <c r="E29" s="1180">
        <f t="shared" si="32"/>
        <v>0</v>
      </c>
      <c r="F29" s="1180">
        <f>+'Table 5C1A-Madison Prep'!F29</f>
        <v>688.58</v>
      </c>
      <c r="G29" s="1180">
        <f t="shared" si="33"/>
        <v>0</v>
      </c>
      <c r="H29" s="1539">
        <f t="shared" si="34"/>
        <v>0</v>
      </c>
      <c r="I29" s="1181"/>
      <c r="J29" s="1181"/>
      <c r="K29" s="1182">
        <f t="shared" si="35"/>
        <v>0</v>
      </c>
      <c r="L29" s="1539">
        <f t="shared" si="36"/>
        <v>0</v>
      </c>
      <c r="M29" s="1388">
        <f t="shared" si="37"/>
        <v>0</v>
      </c>
      <c r="N29" s="1539">
        <f t="shared" si="38"/>
        <v>0</v>
      </c>
      <c r="O29" s="1179">
        <v>0</v>
      </c>
      <c r="P29" s="1545">
        <f t="shared" si="39"/>
        <v>0</v>
      </c>
      <c r="Q29" s="1181"/>
      <c r="R29" s="1181">
        <f t="shared" si="40"/>
        <v>0</v>
      </c>
      <c r="S29" s="1545">
        <f t="shared" si="41"/>
        <v>0</v>
      </c>
      <c r="T29" s="1545">
        <f t="shared" si="42"/>
        <v>0</v>
      </c>
      <c r="U29" s="1389">
        <f>'Table 5C1A-Madison Prep'!U29</f>
        <v>3473</v>
      </c>
      <c r="V29" s="1515">
        <f t="shared" si="43"/>
        <v>0</v>
      </c>
      <c r="W29" s="1391"/>
      <c r="X29" s="1392">
        <f t="shared" si="44"/>
        <v>0</v>
      </c>
      <c r="Y29" s="1391"/>
      <c r="Z29" s="1392">
        <f t="shared" si="28"/>
        <v>0</v>
      </c>
      <c r="AA29" s="1390">
        <f t="shared" si="29"/>
        <v>0</v>
      </c>
      <c r="AB29" s="1510">
        <f t="shared" si="30"/>
        <v>0</v>
      </c>
      <c r="AC29" s="1394">
        <f t="shared" si="31"/>
        <v>0</v>
      </c>
      <c r="AD29" s="1510">
        <f t="shared" si="45"/>
        <v>0</v>
      </c>
      <c r="AE29" s="1395">
        <v>0</v>
      </c>
      <c r="AF29" s="1510">
        <f t="shared" si="46"/>
        <v>0</v>
      </c>
      <c r="AG29" s="1395"/>
      <c r="AH29" s="1395">
        <f t="shared" si="47"/>
        <v>0</v>
      </c>
      <c r="AI29" s="1510">
        <f t="shared" si="48"/>
        <v>0</v>
      </c>
      <c r="AJ29" s="1505">
        <f t="shared" si="49"/>
        <v>0</v>
      </c>
      <c r="AK29" s="1535">
        <f t="shared" si="50"/>
        <v>0</v>
      </c>
    </row>
    <row r="30" spans="1:37" ht="16.2" customHeight="1">
      <c r="A30" s="1176">
        <v>24</v>
      </c>
      <c r="B30" s="1177" t="s">
        <v>104</v>
      </c>
      <c r="C30" s="1178">
        <f>+'Table 8 Membership 2.1.14'!G26</f>
        <v>0</v>
      </c>
      <c r="D30" s="1179">
        <f>+'Table 5C1A-Madison Prep'!D30</f>
        <v>2611.6740361576999</v>
      </c>
      <c r="E30" s="1180">
        <f t="shared" si="32"/>
        <v>0</v>
      </c>
      <c r="F30" s="1180">
        <f>+'Table 5C1A-Madison Prep'!F30</f>
        <v>854.24999999999989</v>
      </c>
      <c r="G30" s="1180">
        <f t="shared" si="33"/>
        <v>0</v>
      </c>
      <c r="H30" s="1539">
        <f t="shared" si="34"/>
        <v>0</v>
      </c>
      <c r="I30" s="1181"/>
      <c r="J30" s="1181"/>
      <c r="K30" s="1182">
        <f t="shared" si="35"/>
        <v>0</v>
      </c>
      <c r="L30" s="1539">
        <f t="shared" si="36"/>
        <v>0</v>
      </c>
      <c r="M30" s="1388">
        <f t="shared" si="37"/>
        <v>0</v>
      </c>
      <c r="N30" s="1539">
        <f t="shared" si="38"/>
        <v>0</v>
      </c>
      <c r="O30" s="1179">
        <v>0</v>
      </c>
      <c r="P30" s="1545">
        <f t="shared" si="39"/>
        <v>0</v>
      </c>
      <c r="Q30" s="1181"/>
      <c r="R30" s="1181">
        <f t="shared" si="40"/>
        <v>0</v>
      </c>
      <c r="S30" s="1545">
        <f t="shared" si="41"/>
        <v>0</v>
      </c>
      <c r="T30" s="1545">
        <f t="shared" si="42"/>
        <v>0</v>
      </c>
      <c r="U30" s="1389">
        <f>'Table 5C1A-Madison Prep'!U30</f>
        <v>10053</v>
      </c>
      <c r="V30" s="1515">
        <f t="shared" si="43"/>
        <v>0</v>
      </c>
      <c r="W30" s="1391"/>
      <c r="X30" s="1392">
        <f t="shared" si="44"/>
        <v>0</v>
      </c>
      <c r="Y30" s="1391"/>
      <c r="Z30" s="1392">
        <f t="shared" si="28"/>
        <v>0</v>
      </c>
      <c r="AA30" s="1390">
        <f t="shared" si="29"/>
        <v>0</v>
      </c>
      <c r="AB30" s="1510">
        <f t="shared" si="30"/>
        <v>0</v>
      </c>
      <c r="AC30" s="1394">
        <f t="shared" si="31"/>
        <v>0</v>
      </c>
      <c r="AD30" s="1510">
        <f t="shared" si="45"/>
        <v>0</v>
      </c>
      <c r="AE30" s="1395">
        <v>0</v>
      </c>
      <c r="AF30" s="1510">
        <f t="shared" si="46"/>
        <v>0</v>
      </c>
      <c r="AG30" s="1395"/>
      <c r="AH30" s="1395">
        <f t="shared" si="47"/>
        <v>0</v>
      </c>
      <c r="AI30" s="1510">
        <f t="shared" si="48"/>
        <v>0</v>
      </c>
      <c r="AJ30" s="1505">
        <f t="shared" si="49"/>
        <v>0</v>
      </c>
      <c r="AK30" s="1535">
        <f t="shared" si="50"/>
        <v>0</v>
      </c>
    </row>
    <row r="31" spans="1:37" ht="16.2" customHeight="1">
      <c r="A31" s="1168">
        <v>25</v>
      </c>
      <c r="B31" s="1169" t="s">
        <v>105</v>
      </c>
      <c r="C31" s="1170">
        <f>+'Table 8 Membership 2.1.14'!G27</f>
        <v>0</v>
      </c>
      <c r="D31" s="1171">
        <f>+'Table 5C1A-Madison Prep'!D31</f>
        <v>4173.0720274945697</v>
      </c>
      <c r="E31" s="1172">
        <f t="shared" si="32"/>
        <v>0</v>
      </c>
      <c r="F31" s="1172">
        <f>+'Table 5C1A-Madison Prep'!F31</f>
        <v>653.73</v>
      </c>
      <c r="G31" s="1172">
        <f t="shared" si="33"/>
        <v>0</v>
      </c>
      <c r="H31" s="1540">
        <f t="shared" si="34"/>
        <v>0</v>
      </c>
      <c r="I31" s="1173"/>
      <c r="J31" s="1173"/>
      <c r="K31" s="1174">
        <f t="shared" si="35"/>
        <v>0</v>
      </c>
      <c r="L31" s="1540">
        <f t="shared" si="36"/>
        <v>0</v>
      </c>
      <c r="M31" s="1399">
        <f t="shared" si="37"/>
        <v>0</v>
      </c>
      <c r="N31" s="1540">
        <f t="shared" si="38"/>
        <v>0</v>
      </c>
      <c r="O31" s="1171">
        <v>0</v>
      </c>
      <c r="P31" s="1546">
        <f t="shared" si="39"/>
        <v>0</v>
      </c>
      <c r="Q31" s="1173"/>
      <c r="R31" s="1173">
        <f t="shared" si="40"/>
        <v>0</v>
      </c>
      <c r="S31" s="1546">
        <f t="shared" si="41"/>
        <v>0</v>
      </c>
      <c r="T31" s="1546">
        <f t="shared" si="42"/>
        <v>0</v>
      </c>
      <c r="U31" s="1382">
        <f>'Table 5C1A-Madison Prep'!U31</f>
        <v>5073</v>
      </c>
      <c r="V31" s="1516">
        <f t="shared" si="43"/>
        <v>0</v>
      </c>
      <c r="W31" s="1400"/>
      <c r="X31" s="1383">
        <f t="shared" si="44"/>
        <v>0</v>
      </c>
      <c r="Y31" s="1400"/>
      <c r="Z31" s="1383">
        <f t="shared" si="28"/>
        <v>0</v>
      </c>
      <c r="AA31" s="1384">
        <f t="shared" si="29"/>
        <v>0</v>
      </c>
      <c r="AB31" s="1511">
        <f t="shared" si="30"/>
        <v>0</v>
      </c>
      <c r="AC31" s="1402">
        <f t="shared" si="31"/>
        <v>0</v>
      </c>
      <c r="AD31" s="1511">
        <f t="shared" si="45"/>
        <v>0</v>
      </c>
      <c r="AE31" s="1385">
        <v>0</v>
      </c>
      <c r="AF31" s="1511">
        <f t="shared" si="46"/>
        <v>0</v>
      </c>
      <c r="AG31" s="1385"/>
      <c r="AH31" s="1385">
        <f t="shared" si="47"/>
        <v>0</v>
      </c>
      <c r="AI31" s="1511">
        <f t="shared" si="48"/>
        <v>0</v>
      </c>
      <c r="AJ31" s="1531">
        <f t="shared" si="49"/>
        <v>0</v>
      </c>
      <c r="AK31" s="1536">
        <f t="shared" si="50"/>
        <v>0</v>
      </c>
    </row>
    <row r="32" spans="1:37" ht="16.2" customHeight="1">
      <c r="A32" s="1183">
        <v>26</v>
      </c>
      <c r="B32" s="1184" t="s">
        <v>106</v>
      </c>
      <c r="C32" s="1185">
        <f>+'Table 8 Membership 2.1.14'!G28</f>
        <v>0</v>
      </c>
      <c r="D32" s="1186">
        <f>+'Table 5C1A-Madison Prep'!D32</f>
        <v>3424.5649970570835</v>
      </c>
      <c r="E32" s="1187">
        <f t="shared" si="32"/>
        <v>0</v>
      </c>
      <c r="F32" s="1187">
        <f>+'Table 5C1A-Madison Prep'!F32</f>
        <v>836.83</v>
      </c>
      <c r="G32" s="1187">
        <f t="shared" si="33"/>
        <v>0</v>
      </c>
      <c r="H32" s="1538">
        <f t="shared" si="34"/>
        <v>0</v>
      </c>
      <c r="I32" s="1188"/>
      <c r="J32" s="1188"/>
      <c r="K32" s="1189">
        <f t="shared" si="35"/>
        <v>0</v>
      </c>
      <c r="L32" s="1538">
        <f t="shared" si="36"/>
        <v>0</v>
      </c>
      <c r="M32" s="1372">
        <f t="shared" si="37"/>
        <v>0</v>
      </c>
      <c r="N32" s="1538">
        <f t="shared" si="38"/>
        <v>0</v>
      </c>
      <c r="O32" s="1186">
        <v>0</v>
      </c>
      <c r="P32" s="1544">
        <f t="shared" si="39"/>
        <v>0</v>
      </c>
      <c r="Q32" s="1188"/>
      <c r="R32" s="1188">
        <f t="shared" si="40"/>
        <v>0</v>
      </c>
      <c r="S32" s="1544">
        <f t="shared" si="41"/>
        <v>0</v>
      </c>
      <c r="T32" s="1544">
        <f t="shared" si="42"/>
        <v>0</v>
      </c>
      <c r="U32" s="1373">
        <f>'Table 5C1A-Madison Prep'!U32</f>
        <v>5260</v>
      </c>
      <c r="V32" s="1514">
        <f t="shared" si="43"/>
        <v>0</v>
      </c>
      <c r="W32" s="1375"/>
      <c r="X32" s="1376">
        <f t="shared" si="44"/>
        <v>0</v>
      </c>
      <c r="Y32" s="1375"/>
      <c r="Z32" s="1376">
        <f t="shared" si="28"/>
        <v>0</v>
      </c>
      <c r="AA32" s="1374">
        <f t="shared" si="29"/>
        <v>0</v>
      </c>
      <c r="AB32" s="1509">
        <f t="shared" si="30"/>
        <v>0</v>
      </c>
      <c r="AC32" s="1378">
        <f t="shared" si="31"/>
        <v>0</v>
      </c>
      <c r="AD32" s="1509">
        <f t="shared" si="45"/>
        <v>0</v>
      </c>
      <c r="AE32" s="1379">
        <v>0</v>
      </c>
      <c r="AF32" s="1509">
        <f t="shared" si="46"/>
        <v>0</v>
      </c>
      <c r="AG32" s="1379"/>
      <c r="AH32" s="1379">
        <f t="shared" si="47"/>
        <v>0</v>
      </c>
      <c r="AI32" s="1509">
        <f t="shared" si="48"/>
        <v>0</v>
      </c>
      <c r="AJ32" s="1530">
        <f t="shared" si="49"/>
        <v>0</v>
      </c>
      <c r="AK32" s="1534">
        <f t="shared" si="50"/>
        <v>0</v>
      </c>
    </row>
    <row r="33" spans="1:37" ht="16.2" customHeight="1">
      <c r="A33" s="1176">
        <v>27</v>
      </c>
      <c r="B33" s="1177" t="s">
        <v>107</v>
      </c>
      <c r="C33" s="1178">
        <f>+'Table 8 Membership 2.1.14'!G29</f>
        <v>0</v>
      </c>
      <c r="D33" s="1179">
        <f>+'Table 5C1A-Madison Prep'!D33</f>
        <v>5804.9013839977006</v>
      </c>
      <c r="E33" s="1180">
        <f t="shared" si="32"/>
        <v>0</v>
      </c>
      <c r="F33" s="1180">
        <f>+'Table 5C1A-Madison Prep'!F33</f>
        <v>693.06</v>
      </c>
      <c r="G33" s="1180">
        <f t="shared" si="33"/>
        <v>0</v>
      </c>
      <c r="H33" s="1539">
        <f t="shared" si="34"/>
        <v>0</v>
      </c>
      <c r="I33" s="1181"/>
      <c r="J33" s="1181"/>
      <c r="K33" s="1182">
        <f t="shared" si="35"/>
        <v>0</v>
      </c>
      <c r="L33" s="1539">
        <f t="shared" si="36"/>
        <v>0</v>
      </c>
      <c r="M33" s="1388">
        <f t="shared" si="37"/>
        <v>0</v>
      </c>
      <c r="N33" s="1539">
        <f t="shared" si="38"/>
        <v>0</v>
      </c>
      <c r="O33" s="1179">
        <v>0</v>
      </c>
      <c r="P33" s="1545">
        <f t="shared" si="39"/>
        <v>0</v>
      </c>
      <c r="Q33" s="1181"/>
      <c r="R33" s="1181">
        <f t="shared" si="40"/>
        <v>0</v>
      </c>
      <c r="S33" s="1545">
        <f t="shared" si="41"/>
        <v>0</v>
      </c>
      <c r="T33" s="1545">
        <f t="shared" si="42"/>
        <v>0</v>
      </c>
      <c r="U33" s="1389">
        <f>'Table 5C1A-Madison Prep'!U33</f>
        <v>3169</v>
      </c>
      <c r="V33" s="1515">
        <f t="shared" si="43"/>
        <v>0</v>
      </c>
      <c r="W33" s="1391"/>
      <c r="X33" s="1392">
        <f t="shared" si="44"/>
        <v>0</v>
      </c>
      <c r="Y33" s="1391"/>
      <c r="Z33" s="1392">
        <f t="shared" si="28"/>
        <v>0</v>
      </c>
      <c r="AA33" s="1390">
        <f t="shared" si="29"/>
        <v>0</v>
      </c>
      <c r="AB33" s="1510">
        <f t="shared" si="30"/>
        <v>0</v>
      </c>
      <c r="AC33" s="1394">
        <f t="shared" si="31"/>
        <v>0</v>
      </c>
      <c r="AD33" s="1510">
        <f t="shared" si="45"/>
        <v>0</v>
      </c>
      <c r="AE33" s="1395">
        <v>0</v>
      </c>
      <c r="AF33" s="1510">
        <f t="shared" si="46"/>
        <v>0</v>
      </c>
      <c r="AG33" s="1395"/>
      <c r="AH33" s="1395">
        <f t="shared" si="47"/>
        <v>0</v>
      </c>
      <c r="AI33" s="1510">
        <f t="shared" si="48"/>
        <v>0</v>
      </c>
      <c r="AJ33" s="1505">
        <f t="shared" si="49"/>
        <v>0</v>
      </c>
      <c r="AK33" s="1535">
        <f t="shared" si="50"/>
        <v>0</v>
      </c>
    </row>
    <row r="34" spans="1:37" ht="16.2" customHeight="1">
      <c r="A34" s="1176">
        <v>28</v>
      </c>
      <c r="B34" s="1177" t="s">
        <v>108</v>
      </c>
      <c r="C34" s="1178">
        <f>+'Table 8 Membership 2.1.14'!G30</f>
        <v>0</v>
      </c>
      <c r="D34" s="1179">
        <f>+'Table 5C1A-Madison Prep'!D34</f>
        <v>3137.4158846568821</v>
      </c>
      <c r="E34" s="1180">
        <f t="shared" si="32"/>
        <v>0</v>
      </c>
      <c r="F34" s="1180">
        <f>+'Table 5C1A-Madison Prep'!F34</f>
        <v>694.4</v>
      </c>
      <c r="G34" s="1180">
        <f t="shared" si="33"/>
        <v>0</v>
      </c>
      <c r="H34" s="1539">
        <f t="shared" si="34"/>
        <v>0</v>
      </c>
      <c r="I34" s="1181"/>
      <c r="J34" s="1181"/>
      <c r="K34" s="1182">
        <f t="shared" si="35"/>
        <v>0</v>
      </c>
      <c r="L34" s="1539">
        <f t="shared" si="36"/>
        <v>0</v>
      </c>
      <c r="M34" s="1388">
        <f t="shared" si="37"/>
        <v>0</v>
      </c>
      <c r="N34" s="1539">
        <f t="shared" si="38"/>
        <v>0</v>
      </c>
      <c r="O34" s="1179">
        <v>0</v>
      </c>
      <c r="P34" s="1545">
        <f t="shared" si="39"/>
        <v>0</v>
      </c>
      <c r="Q34" s="1181"/>
      <c r="R34" s="1181">
        <f t="shared" si="40"/>
        <v>0</v>
      </c>
      <c r="S34" s="1545">
        <f t="shared" si="41"/>
        <v>0</v>
      </c>
      <c r="T34" s="1545">
        <f t="shared" si="42"/>
        <v>0</v>
      </c>
      <c r="U34" s="1389">
        <f>'Table 5C1A-Madison Prep'!U34</f>
        <v>5790</v>
      </c>
      <c r="V34" s="1515">
        <f t="shared" si="43"/>
        <v>0</v>
      </c>
      <c r="W34" s="1391"/>
      <c r="X34" s="1392">
        <f t="shared" si="44"/>
        <v>0</v>
      </c>
      <c r="Y34" s="1391"/>
      <c r="Z34" s="1392">
        <f t="shared" si="28"/>
        <v>0</v>
      </c>
      <c r="AA34" s="1390">
        <f t="shared" si="29"/>
        <v>0</v>
      </c>
      <c r="AB34" s="1510">
        <f t="shared" si="30"/>
        <v>0</v>
      </c>
      <c r="AC34" s="1394">
        <f t="shared" si="31"/>
        <v>0</v>
      </c>
      <c r="AD34" s="1510">
        <f t="shared" si="45"/>
        <v>0</v>
      </c>
      <c r="AE34" s="1395">
        <v>0</v>
      </c>
      <c r="AF34" s="1510">
        <f t="shared" si="46"/>
        <v>0</v>
      </c>
      <c r="AG34" s="1395"/>
      <c r="AH34" s="1395">
        <f t="shared" si="47"/>
        <v>0</v>
      </c>
      <c r="AI34" s="1510">
        <f t="shared" si="48"/>
        <v>0</v>
      </c>
      <c r="AJ34" s="1505">
        <f t="shared" si="49"/>
        <v>0</v>
      </c>
      <c r="AK34" s="1535">
        <f t="shared" si="50"/>
        <v>0</v>
      </c>
    </row>
    <row r="35" spans="1:37" ht="16.2" customHeight="1">
      <c r="A35" s="1176">
        <v>29</v>
      </c>
      <c r="B35" s="1177" t="s">
        <v>109</v>
      </c>
      <c r="C35" s="1178">
        <f>+'Table 8 Membership 2.1.14'!G31</f>
        <v>0</v>
      </c>
      <c r="D35" s="1179">
        <f>+'Table 5C1A-Madison Prep'!D35</f>
        <v>3839.0123210173724</v>
      </c>
      <c r="E35" s="1180">
        <f t="shared" si="32"/>
        <v>0</v>
      </c>
      <c r="F35" s="1180">
        <f>+'Table 5C1A-Madison Prep'!F35</f>
        <v>754.94999999999993</v>
      </c>
      <c r="G35" s="1180">
        <f t="shared" si="33"/>
        <v>0</v>
      </c>
      <c r="H35" s="1539">
        <f t="shared" si="34"/>
        <v>0</v>
      </c>
      <c r="I35" s="1181"/>
      <c r="J35" s="1181"/>
      <c r="K35" s="1182">
        <f t="shared" si="35"/>
        <v>0</v>
      </c>
      <c r="L35" s="1539">
        <f t="shared" si="36"/>
        <v>0</v>
      </c>
      <c r="M35" s="1388">
        <f t="shared" si="37"/>
        <v>0</v>
      </c>
      <c r="N35" s="1539">
        <f t="shared" si="38"/>
        <v>0</v>
      </c>
      <c r="O35" s="1179">
        <v>0</v>
      </c>
      <c r="P35" s="1545">
        <f t="shared" si="39"/>
        <v>0</v>
      </c>
      <c r="Q35" s="1181"/>
      <c r="R35" s="1181">
        <f t="shared" si="40"/>
        <v>0</v>
      </c>
      <c r="S35" s="1545">
        <f t="shared" si="41"/>
        <v>0</v>
      </c>
      <c r="T35" s="1545">
        <f t="shared" si="42"/>
        <v>0</v>
      </c>
      <c r="U35" s="1389">
        <f>'Table 5C1A-Madison Prep'!U35</f>
        <v>5069</v>
      </c>
      <c r="V35" s="1515">
        <f t="shared" si="43"/>
        <v>0</v>
      </c>
      <c r="W35" s="1391"/>
      <c r="X35" s="1392">
        <f t="shared" si="44"/>
        <v>0</v>
      </c>
      <c r="Y35" s="1391"/>
      <c r="Z35" s="1392">
        <f t="shared" si="28"/>
        <v>0</v>
      </c>
      <c r="AA35" s="1390">
        <f t="shared" si="29"/>
        <v>0</v>
      </c>
      <c r="AB35" s="1510">
        <f t="shared" si="30"/>
        <v>0</v>
      </c>
      <c r="AC35" s="1394">
        <f t="shared" si="31"/>
        <v>0</v>
      </c>
      <c r="AD35" s="1510">
        <f t="shared" si="45"/>
        <v>0</v>
      </c>
      <c r="AE35" s="1395">
        <v>0</v>
      </c>
      <c r="AF35" s="1510">
        <f t="shared" si="46"/>
        <v>0</v>
      </c>
      <c r="AG35" s="1395"/>
      <c r="AH35" s="1395">
        <f t="shared" si="47"/>
        <v>0</v>
      </c>
      <c r="AI35" s="1510">
        <f t="shared" si="48"/>
        <v>0</v>
      </c>
      <c r="AJ35" s="1505">
        <f t="shared" si="49"/>
        <v>0</v>
      </c>
      <c r="AK35" s="1535">
        <f t="shared" si="50"/>
        <v>0</v>
      </c>
    </row>
    <row r="36" spans="1:37" ht="16.2" customHeight="1">
      <c r="A36" s="1168">
        <v>30</v>
      </c>
      <c r="B36" s="1169" t="s">
        <v>110</v>
      </c>
      <c r="C36" s="1170">
        <f>+'Table 8 Membership 2.1.14'!G32</f>
        <v>0</v>
      </c>
      <c r="D36" s="1171">
        <f>+'Table 5C1A-Madison Prep'!D36</f>
        <v>5804.5327273996763</v>
      </c>
      <c r="E36" s="1172">
        <f t="shared" si="32"/>
        <v>0</v>
      </c>
      <c r="F36" s="1172">
        <f>+'Table 5C1A-Madison Prep'!F36</f>
        <v>727.17</v>
      </c>
      <c r="G36" s="1172">
        <f t="shared" si="33"/>
        <v>0</v>
      </c>
      <c r="H36" s="1540">
        <f t="shared" si="34"/>
        <v>0</v>
      </c>
      <c r="I36" s="1173"/>
      <c r="J36" s="1173"/>
      <c r="K36" s="1174">
        <f t="shared" si="35"/>
        <v>0</v>
      </c>
      <c r="L36" s="1540">
        <f t="shared" si="36"/>
        <v>0</v>
      </c>
      <c r="M36" s="1399">
        <f t="shared" si="37"/>
        <v>0</v>
      </c>
      <c r="N36" s="1540">
        <f t="shared" si="38"/>
        <v>0</v>
      </c>
      <c r="O36" s="1171">
        <v>0</v>
      </c>
      <c r="P36" s="1546">
        <f t="shared" si="39"/>
        <v>0</v>
      </c>
      <c r="Q36" s="1173"/>
      <c r="R36" s="1173">
        <f t="shared" si="40"/>
        <v>0</v>
      </c>
      <c r="S36" s="1546">
        <f t="shared" si="41"/>
        <v>0</v>
      </c>
      <c r="T36" s="1546">
        <f t="shared" si="42"/>
        <v>0</v>
      </c>
      <c r="U36" s="1382">
        <f>'Table 5C1A-Madison Prep'!U36</f>
        <v>3609</v>
      </c>
      <c r="V36" s="1516">
        <f t="shared" si="43"/>
        <v>0</v>
      </c>
      <c r="W36" s="1400"/>
      <c r="X36" s="1383">
        <f t="shared" si="44"/>
        <v>0</v>
      </c>
      <c r="Y36" s="1400"/>
      <c r="Z36" s="1383">
        <f t="shared" si="28"/>
        <v>0</v>
      </c>
      <c r="AA36" s="1384">
        <f t="shared" si="29"/>
        <v>0</v>
      </c>
      <c r="AB36" s="1511">
        <f t="shared" si="30"/>
        <v>0</v>
      </c>
      <c r="AC36" s="1402">
        <f t="shared" si="31"/>
        <v>0</v>
      </c>
      <c r="AD36" s="1511">
        <f t="shared" si="45"/>
        <v>0</v>
      </c>
      <c r="AE36" s="1385">
        <v>0</v>
      </c>
      <c r="AF36" s="1511">
        <f t="shared" si="46"/>
        <v>0</v>
      </c>
      <c r="AG36" s="1385"/>
      <c r="AH36" s="1385">
        <f t="shared" si="47"/>
        <v>0</v>
      </c>
      <c r="AI36" s="1511">
        <f t="shared" si="48"/>
        <v>0</v>
      </c>
      <c r="AJ36" s="1531">
        <f t="shared" si="49"/>
        <v>0</v>
      </c>
      <c r="AK36" s="1536">
        <f t="shared" si="50"/>
        <v>0</v>
      </c>
    </row>
    <row r="37" spans="1:37" ht="16.2" customHeight="1">
      <c r="A37" s="1183">
        <v>31</v>
      </c>
      <c r="B37" s="1184" t="s">
        <v>111</v>
      </c>
      <c r="C37" s="1185">
        <f>+'Table 8 Membership 2.1.14'!G33</f>
        <v>0</v>
      </c>
      <c r="D37" s="1186">
        <f>+'Table 5C1A-Madison Prep'!D37</f>
        <v>4520.6176716868531</v>
      </c>
      <c r="E37" s="1187">
        <f t="shared" si="32"/>
        <v>0</v>
      </c>
      <c r="F37" s="1187">
        <f>+'Table 5C1A-Madison Prep'!F37</f>
        <v>620.83000000000004</v>
      </c>
      <c r="G37" s="1187">
        <f t="shared" si="33"/>
        <v>0</v>
      </c>
      <c r="H37" s="1538">
        <f t="shared" si="34"/>
        <v>0</v>
      </c>
      <c r="I37" s="1188"/>
      <c r="J37" s="1188"/>
      <c r="K37" s="1189">
        <f t="shared" si="35"/>
        <v>0</v>
      </c>
      <c r="L37" s="1538">
        <f t="shared" si="36"/>
        <v>0</v>
      </c>
      <c r="M37" s="1372">
        <f t="shared" si="37"/>
        <v>0</v>
      </c>
      <c r="N37" s="1538">
        <f t="shared" si="38"/>
        <v>0</v>
      </c>
      <c r="O37" s="1186">
        <v>0</v>
      </c>
      <c r="P37" s="1544">
        <f t="shared" si="39"/>
        <v>0</v>
      </c>
      <c r="Q37" s="1188"/>
      <c r="R37" s="1188">
        <f t="shared" si="40"/>
        <v>0</v>
      </c>
      <c r="S37" s="1544">
        <f t="shared" si="41"/>
        <v>0</v>
      </c>
      <c r="T37" s="1544">
        <f t="shared" si="42"/>
        <v>0</v>
      </c>
      <c r="U37" s="1373">
        <f>'Table 5C1A-Madison Prep'!U37</f>
        <v>5043</v>
      </c>
      <c r="V37" s="1514">
        <f t="shared" si="43"/>
        <v>0</v>
      </c>
      <c r="W37" s="1375"/>
      <c r="X37" s="1376">
        <f t="shared" si="44"/>
        <v>0</v>
      </c>
      <c r="Y37" s="1375"/>
      <c r="Z37" s="1376">
        <f t="shared" si="28"/>
        <v>0</v>
      </c>
      <c r="AA37" s="1374">
        <f t="shared" si="29"/>
        <v>0</v>
      </c>
      <c r="AB37" s="1509">
        <f t="shared" si="30"/>
        <v>0</v>
      </c>
      <c r="AC37" s="1378">
        <f t="shared" si="31"/>
        <v>0</v>
      </c>
      <c r="AD37" s="1509">
        <f t="shared" si="45"/>
        <v>0</v>
      </c>
      <c r="AE37" s="1379">
        <v>0</v>
      </c>
      <c r="AF37" s="1509">
        <f t="shared" si="46"/>
        <v>0</v>
      </c>
      <c r="AG37" s="1379"/>
      <c r="AH37" s="1379">
        <f t="shared" si="47"/>
        <v>0</v>
      </c>
      <c r="AI37" s="1509">
        <f t="shared" si="48"/>
        <v>0</v>
      </c>
      <c r="AJ37" s="1530">
        <f t="shared" si="49"/>
        <v>0</v>
      </c>
      <c r="AK37" s="1534">
        <f t="shared" si="50"/>
        <v>0</v>
      </c>
    </row>
    <row r="38" spans="1:37" ht="16.2" customHeight="1">
      <c r="A38" s="1176">
        <v>32</v>
      </c>
      <c r="B38" s="1177" t="s">
        <v>112</v>
      </c>
      <c r="C38" s="1178">
        <f>+'Table 8 Membership 2.1.14'!G34</f>
        <v>0</v>
      </c>
      <c r="D38" s="1179">
        <f>+'Table 5C1A-Madison Prep'!D38</f>
        <v>5652.819189061127</v>
      </c>
      <c r="E38" s="1180">
        <f t="shared" si="32"/>
        <v>0</v>
      </c>
      <c r="F38" s="1180">
        <f>+'Table 5C1A-Madison Prep'!F38</f>
        <v>559.77</v>
      </c>
      <c r="G38" s="1180">
        <f t="shared" si="33"/>
        <v>0</v>
      </c>
      <c r="H38" s="1539">
        <f t="shared" si="34"/>
        <v>0</v>
      </c>
      <c r="I38" s="1181"/>
      <c r="J38" s="1181"/>
      <c r="K38" s="1182">
        <f t="shared" si="35"/>
        <v>0</v>
      </c>
      <c r="L38" s="1539">
        <f t="shared" si="36"/>
        <v>0</v>
      </c>
      <c r="M38" s="1388">
        <f t="shared" si="37"/>
        <v>0</v>
      </c>
      <c r="N38" s="1539">
        <f t="shared" si="38"/>
        <v>0</v>
      </c>
      <c r="O38" s="1179">
        <v>0</v>
      </c>
      <c r="P38" s="1545">
        <f t="shared" si="39"/>
        <v>0</v>
      </c>
      <c r="Q38" s="1181"/>
      <c r="R38" s="1181">
        <f t="shared" si="40"/>
        <v>0</v>
      </c>
      <c r="S38" s="1545">
        <f t="shared" si="41"/>
        <v>0</v>
      </c>
      <c r="T38" s="1545">
        <f t="shared" si="42"/>
        <v>0</v>
      </c>
      <c r="U38" s="1389">
        <f>'Table 5C1A-Madison Prep'!U38</f>
        <v>2121</v>
      </c>
      <c r="V38" s="1515">
        <f t="shared" si="43"/>
        <v>0</v>
      </c>
      <c r="W38" s="1391"/>
      <c r="X38" s="1392">
        <f t="shared" si="44"/>
        <v>0</v>
      </c>
      <c r="Y38" s="1391"/>
      <c r="Z38" s="1392">
        <f t="shared" si="28"/>
        <v>0</v>
      </c>
      <c r="AA38" s="1390">
        <f t="shared" si="29"/>
        <v>0</v>
      </c>
      <c r="AB38" s="1510">
        <f t="shared" si="30"/>
        <v>0</v>
      </c>
      <c r="AC38" s="1394">
        <f t="shared" si="31"/>
        <v>0</v>
      </c>
      <c r="AD38" s="1510">
        <f t="shared" si="45"/>
        <v>0</v>
      </c>
      <c r="AE38" s="1395">
        <v>0</v>
      </c>
      <c r="AF38" s="1510">
        <f t="shared" si="46"/>
        <v>0</v>
      </c>
      <c r="AG38" s="1395"/>
      <c r="AH38" s="1395">
        <f t="shared" si="47"/>
        <v>0</v>
      </c>
      <c r="AI38" s="1510">
        <f t="shared" si="48"/>
        <v>0</v>
      </c>
      <c r="AJ38" s="1505">
        <f t="shared" si="49"/>
        <v>0</v>
      </c>
      <c r="AK38" s="1535">
        <f t="shared" si="50"/>
        <v>0</v>
      </c>
    </row>
    <row r="39" spans="1:37" ht="16.2" customHeight="1">
      <c r="A39" s="1176">
        <v>33</v>
      </c>
      <c r="B39" s="1177" t="s">
        <v>113</v>
      </c>
      <c r="C39" s="1178">
        <f>+'Table 8 Membership 2.1.14'!G35</f>
        <v>0</v>
      </c>
      <c r="D39" s="1179">
        <f>+'Table 5C1A-Madison Prep'!D39</f>
        <v>5456.2254558085233</v>
      </c>
      <c r="E39" s="1180">
        <f t="shared" si="32"/>
        <v>0</v>
      </c>
      <c r="F39" s="1180">
        <f>+'Table 5C1A-Madison Prep'!F39</f>
        <v>655.31000000000006</v>
      </c>
      <c r="G39" s="1180">
        <f t="shared" si="33"/>
        <v>0</v>
      </c>
      <c r="H39" s="1539">
        <f t="shared" si="34"/>
        <v>0</v>
      </c>
      <c r="I39" s="1181"/>
      <c r="J39" s="1181"/>
      <c r="K39" s="1182">
        <f t="shared" si="35"/>
        <v>0</v>
      </c>
      <c r="L39" s="1539">
        <f t="shared" si="36"/>
        <v>0</v>
      </c>
      <c r="M39" s="1388">
        <f t="shared" si="37"/>
        <v>0</v>
      </c>
      <c r="N39" s="1539">
        <f t="shared" si="38"/>
        <v>0</v>
      </c>
      <c r="O39" s="1179">
        <v>0</v>
      </c>
      <c r="P39" s="1545">
        <f t="shared" si="39"/>
        <v>0</v>
      </c>
      <c r="Q39" s="1181"/>
      <c r="R39" s="1181">
        <f t="shared" si="40"/>
        <v>0</v>
      </c>
      <c r="S39" s="1545">
        <f t="shared" si="41"/>
        <v>0</v>
      </c>
      <c r="T39" s="1545">
        <f t="shared" si="42"/>
        <v>0</v>
      </c>
      <c r="U39" s="1389">
        <f>'Table 5C1A-Madison Prep'!U39</f>
        <v>3616</v>
      </c>
      <c r="V39" s="1515">
        <f t="shared" si="43"/>
        <v>0</v>
      </c>
      <c r="W39" s="1391"/>
      <c r="X39" s="1392">
        <f t="shared" si="44"/>
        <v>0</v>
      </c>
      <c r="Y39" s="1391"/>
      <c r="Z39" s="1392">
        <f t="shared" si="28"/>
        <v>0</v>
      </c>
      <c r="AA39" s="1390">
        <f t="shared" si="29"/>
        <v>0</v>
      </c>
      <c r="AB39" s="1510">
        <f t="shared" si="30"/>
        <v>0</v>
      </c>
      <c r="AC39" s="1394">
        <f t="shared" si="31"/>
        <v>0</v>
      </c>
      <c r="AD39" s="1510">
        <f t="shared" si="45"/>
        <v>0</v>
      </c>
      <c r="AE39" s="1395">
        <v>0</v>
      </c>
      <c r="AF39" s="1510">
        <f t="shared" si="46"/>
        <v>0</v>
      </c>
      <c r="AG39" s="1395"/>
      <c r="AH39" s="1395">
        <f t="shared" si="47"/>
        <v>0</v>
      </c>
      <c r="AI39" s="1510">
        <f t="shared" si="48"/>
        <v>0</v>
      </c>
      <c r="AJ39" s="1505">
        <f t="shared" si="49"/>
        <v>0</v>
      </c>
      <c r="AK39" s="1535">
        <f t="shared" si="50"/>
        <v>0</v>
      </c>
    </row>
    <row r="40" spans="1:37" ht="16.2" customHeight="1">
      <c r="A40" s="1176">
        <v>34</v>
      </c>
      <c r="B40" s="1177" t="s">
        <v>114</v>
      </c>
      <c r="C40" s="1178">
        <f>+'Table 8 Membership 2.1.14'!G36</f>
        <v>0</v>
      </c>
      <c r="D40" s="1179">
        <f>+'Table 5C1A-Madison Prep'!D40</f>
        <v>6292.0976842789005</v>
      </c>
      <c r="E40" s="1180">
        <f t="shared" si="32"/>
        <v>0</v>
      </c>
      <c r="F40" s="1180">
        <f>+'Table 5C1A-Madison Prep'!F40</f>
        <v>644.11000000000013</v>
      </c>
      <c r="G40" s="1180">
        <f t="shared" si="33"/>
        <v>0</v>
      </c>
      <c r="H40" s="1539">
        <f t="shared" si="34"/>
        <v>0</v>
      </c>
      <c r="I40" s="1181"/>
      <c r="J40" s="1181"/>
      <c r="K40" s="1182">
        <f t="shared" si="35"/>
        <v>0</v>
      </c>
      <c r="L40" s="1539">
        <f t="shared" si="36"/>
        <v>0</v>
      </c>
      <c r="M40" s="1388">
        <f t="shared" si="37"/>
        <v>0</v>
      </c>
      <c r="N40" s="1539">
        <f t="shared" si="38"/>
        <v>0</v>
      </c>
      <c r="O40" s="1179">
        <v>0</v>
      </c>
      <c r="P40" s="1545">
        <f t="shared" si="39"/>
        <v>0</v>
      </c>
      <c r="Q40" s="1181"/>
      <c r="R40" s="1181">
        <f t="shared" si="40"/>
        <v>0</v>
      </c>
      <c r="S40" s="1545">
        <f t="shared" si="41"/>
        <v>0</v>
      </c>
      <c r="T40" s="1545">
        <f t="shared" si="42"/>
        <v>0</v>
      </c>
      <c r="U40" s="1389">
        <f>'Table 5C1A-Madison Prep'!U40</f>
        <v>2721</v>
      </c>
      <c r="V40" s="1515">
        <f t="shared" si="43"/>
        <v>0</v>
      </c>
      <c r="W40" s="1391"/>
      <c r="X40" s="1392">
        <f t="shared" si="44"/>
        <v>0</v>
      </c>
      <c r="Y40" s="1391"/>
      <c r="Z40" s="1392">
        <f t="shared" si="28"/>
        <v>0</v>
      </c>
      <c r="AA40" s="1390">
        <f t="shared" si="29"/>
        <v>0</v>
      </c>
      <c r="AB40" s="1510">
        <f t="shared" si="30"/>
        <v>0</v>
      </c>
      <c r="AC40" s="1394">
        <f t="shared" si="31"/>
        <v>0</v>
      </c>
      <c r="AD40" s="1510">
        <f t="shared" si="45"/>
        <v>0</v>
      </c>
      <c r="AE40" s="1395">
        <v>0</v>
      </c>
      <c r="AF40" s="1510">
        <f t="shared" si="46"/>
        <v>0</v>
      </c>
      <c r="AG40" s="1395"/>
      <c r="AH40" s="1395">
        <f t="shared" si="47"/>
        <v>0</v>
      </c>
      <c r="AI40" s="1510">
        <f t="shared" si="48"/>
        <v>0</v>
      </c>
      <c r="AJ40" s="1505">
        <f t="shared" si="49"/>
        <v>0</v>
      </c>
      <c r="AK40" s="1535">
        <f t="shared" si="50"/>
        <v>0</v>
      </c>
    </row>
    <row r="41" spans="1:37" ht="16.2" customHeight="1">
      <c r="A41" s="1168">
        <v>35</v>
      </c>
      <c r="B41" s="1169" t="s">
        <v>115</v>
      </c>
      <c r="C41" s="1170">
        <f>+'Table 8 Membership 2.1.14'!G37</f>
        <v>0</v>
      </c>
      <c r="D41" s="1171">
        <f>+'Table 5C1A-Madison Prep'!D41</f>
        <v>5166.2482060477605</v>
      </c>
      <c r="E41" s="1172">
        <f t="shared" si="32"/>
        <v>0</v>
      </c>
      <c r="F41" s="1172">
        <f>+'Table 5C1A-Madison Prep'!F41</f>
        <v>537.96</v>
      </c>
      <c r="G41" s="1172">
        <f t="shared" si="33"/>
        <v>0</v>
      </c>
      <c r="H41" s="1540">
        <f t="shared" si="34"/>
        <v>0</v>
      </c>
      <c r="I41" s="1173"/>
      <c r="J41" s="1173"/>
      <c r="K41" s="1174">
        <f t="shared" si="35"/>
        <v>0</v>
      </c>
      <c r="L41" s="1540">
        <f t="shared" si="36"/>
        <v>0</v>
      </c>
      <c r="M41" s="1399">
        <f t="shared" si="37"/>
        <v>0</v>
      </c>
      <c r="N41" s="1540">
        <f t="shared" si="38"/>
        <v>0</v>
      </c>
      <c r="O41" s="1171">
        <v>0</v>
      </c>
      <c r="P41" s="1546">
        <f t="shared" si="39"/>
        <v>0</v>
      </c>
      <c r="Q41" s="1173"/>
      <c r="R41" s="1173">
        <f t="shared" si="40"/>
        <v>0</v>
      </c>
      <c r="S41" s="1546">
        <f t="shared" si="41"/>
        <v>0</v>
      </c>
      <c r="T41" s="1546">
        <f t="shared" si="42"/>
        <v>0</v>
      </c>
      <c r="U41" s="1382">
        <f>'Table 5C1A-Madison Prep'!U41</f>
        <v>3255</v>
      </c>
      <c r="V41" s="1516">
        <f t="shared" si="43"/>
        <v>0</v>
      </c>
      <c r="W41" s="1400"/>
      <c r="X41" s="1383">
        <f t="shared" si="44"/>
        <v>0</v>
      </c>
      <c r="Y41" s="1400"/>
      <c r="Z41" s="1383">
        <f t="shared" si="28"/>
        <v>0</v>
      </c>
      <c r="AA41" s="1384">
        <f t="shared" si="29"/>
        <v>0</v>
      </c>
      <c r="AB41" s="1511">
        <f t="shared" si="30"/>
        <v>0</v>
      </c>
      <c r="AC41" s="1402">
        <f t="shared" si="31"/>
        <v>0</v>
      </c>
      <c r="AD41" s="1511">
        <f t="shared" si="45"/>
        <v>0</v>
      </c>
      <c r="AE41" s="1385">
        <v>0</v>
      </c>
      <c r="AF41" s="1511">
        <f t="shared" si="46"/>
        <v>0</v>
      </c>
      <c r="AG41" s="1385"/>
      <c r="AH41" s="1385">
        <f t="shared" si="47"/>
        <v>0</v>
      </c>
      <c r="AI41" s="1511">
        <f t="shared" si="48"/>
        <v>0</v>
      </c>
      <c r="AJ41" s="1531">
        <f t="shared" si="49"/>
        <v>0</v>
      </c>
      <c r="AK41" s="1536">
        <f t="shared" si="50"/>
        <v>0</v>
      </c>
    </row>
    <row r="42" spans="1:37" ht="16.2" customHeight="1">
      <c r="A42" s="1183">
        <v>36</v>
      </c>
      <c r="B42" s="1184" t="s">
        <v>116</v>
      </c>
      <c r="C42" s="1185">
        <f>+'Table 8 Membership 2.1.14'!G38</f>
        <v>0</v>
      </c>
      <c r="D42" s="1186">
        <f>+'Table 5C1A-Madison Prep'!D42</f>
        <v>3602.7009974327857</v>
      </c>
      <c r="E42" s="1187">
        <f t="shared" si="32"/>
        <v>0</v>
      </c>
      <c r="F42" s="1187">
        <f>+'Table 5C1A-Madison Prep'!F42</f>
        <v>746.0335616438357</v>
      </c>
      <c r="G42" s="1187">
        <f t="shared" si="33"/>
        <v>0</v>
      </c>
      <c r="H42" s="1538">
        <f t="shared" si="34"/>
        <v>0</v>
      </c>
      <c r="I42" s="1188"/>
      <c r="J42" s="1188"/>
      <c r="K42" s="1189">
        <f t="shared" si="35"/>
        <v>0</v>
      </c>
      <c r="L42" s="1538">
        <f t="shared" si="36"/>
        <v>0</v>
      </c>
      <c r="M42" s="1372">
        <f t="shared" si="37"/>
        <v>0</v>
      </c>
      <c r="N42" s="1538">
        <f t="shared" si="38"/>
        <v>0</v>
      </c>
      <c r="O42" s="1186">
        <v>0</v>
      </c>
      <c r="P42" s="1544">
        <f t="shared" si="39"/>
        <v>0</v>
      </c>
      <c r="Q42" s="1188"/>
      <c r="R42" s="1188">
        <f t="shared" si="40"/>
        <v>0</v>
      </c>
      <c r="S42" s="1544">
        <f t="shared" si="41"/>
        <v>0</v>
      </c>
      <c r="T42" s="1544">
        <f t="shared" si="42"/>
        <v>0</v>
      </c>
      <c r="U42" s="1373">
        <f>'Table 5C1A-Madison Prep'!U42</f>
        <v>5435</v>
      </c>
      <c r="V42" s="1514">
        <f t="shared" si="43"/>
        <v>0</v>
      </c>
      <c r="W42" s="1375"/>
      <c r="X42" s="1376">
        <f t="shared" si="44"/>
        <v>0</v>
      </c>
      <c r="Y42" s="1375"/>
      <c r="Z42" s="1376">
        <f t="shared" si="28"/>
        <v>0</v>
      </c>
      <c r="AA42" s="1374">
        <f t="shared" si="29"/>
        <v>0</v>
      </c>
      <c r="AB42" s="1509">
        <f t="shared" si="30"/>
        <v>0</v>
      </c>
      <c r="AC42" s="1378">
        <f t="shared" si="31"/>
        <v>0</v>
      </c>
      <c r="AD42" s="1509">
        <f t="shared" si="45"/>
        <v>0</v>
      </c>
      <c r="AE42" s="1379">
        <v>0</v>
      </c>
      <c r="AF42" s="1509">
        <f t="shared" si="46"/>
        <v>0</v>
      </c>
      <c r="AG42" s="1379"/>
      <c r="AH42" s="1379">
        <f t="shared" si="47"/>
        <v>0</v>
      </c>
      <c r="AI42" s="1509">
        <f t="shared" si="48"/>
        <v>0</v>
      </c>
      <c r="AJ42" s="1530">
        <f t="shared" si="49"/>
        <v>0</v>
      </c>
      <c r="AK42" s="1534">
        <f t="shared" si="50"/>
        <v>0</v>
      </c>
    </row>
    <row r="43" spans="1:37" ht="16.2" customHeight="1">
      <c r="A43" s="1176">
        <v>37</v>
      </c>
      <c r="B43" s="1177" t="s">
        <v>117</v>
      </c>
      <c r="C43" s="1178">
        <f>+'Table 8 Membership 2.1.14'!G39</f>
        <v>0</v>
      </c>
      <c r="D43" s="1179">
        <f>+'Table 5C1A-Madison Prep'!D43</f>
        <v>5665.3839260317691</v>
      </c>
      <c r="E43" s="1180">
        <f t="shared" si="32"/>
        <v>0</v>
      </c>
      <c r="F43" s="1180">
        <f>+'Table 5C1A-Madison Prep'!F43</f>
        <v>653.61</v>
      </c>
      <c r="G43" s="1180">
        <f t="shared" si="33"/>
        <v>0</v>
      </c>
      <c r="H43" s="1539">
        <f t="shared" si="34"/>
        <v>0</v>
      </c>
      <c r="I43" s="1181"/>
      <c r="J43" s="1181"/>
      <c r="K43" s="1182">
        <f t="shared" si="35"/>
        <v>0</v>
      </c>
      <c r="L43" s="1539">
        <f t="shared" si="36"/>
        <v>0</v>
      </c>
      <c r="M43" s="1388">
        <f t="shared" si="37"/>
        <v>0</v>
      </c>
      <c r="N43" s="1539">
        <f t="shared" si="38"/>
        <v>0</v>
      </c>
      <c r="O43" s="1179">
        <v>0</v>
      </c>
      <c r="P43" s="1545">
        <f t="shared" si="39"/>
        <v>0</v>
      </c>
      <c r="Q43" s="1181"/>
      <c r="R43" s="1181">
        <f t="shared" si="40"/>
        <v>0</v>
      </c>
      <c r="S43" s="1545">
        <f t="shared" si="41"/>
        <v>0</v>
      </c>
      <c r="T43" s="1545">
        <f t="shared" si="42"/>
        <v>0</v>
      </c>
      <c r="U43" s="1389">
        <f>'Table 5C1A-Madison Prep'!U43</f>
        <v>3520</v>
      </c>
      <c r="V43" s="1515">
        <f t="shared" si="43"/>
        <v>0</v>
      </c>
      <c r="W43" s="1391"/>
      <c r="X43" s="1392">
        <f t="shared" si="44"/>
        <v>0</v>
      </c>
      <c r="Y43" s="1391"/>
      <c r="Z43" s="1392">
        <f t="shared" si="28"/>
        <v>0</v>
      </c>
      <c r="AA43" s="1390">
        <f t="shared" si="29"/>
        <v>0</v>
      </c>
      <c r="AB43" s="1510">
        <f t="shared" si="30"/>
        <v>0</v>
      </c>
      <c r="AC43" s="1394">
        <f t="shared" si="31"/>
        <v>0</v>
      </c>
      <c r="AD43" s="1510">
        <f t="shared" si="45"/>
        <v>0</v>
      </c>
      <c r="AE43" s="1395">
        <v>0</v>
      </c>
      <c r="AF43" s="1510">
        <f t="shared" si="46"/>
        <v>0</v>
      </c>
      <c r="AG43" s="1395"/>
      <c r="AH43" s="1395">
        <f t="shared" si="47"/>
        <v>0</v>
      </c>
      <c r="AI43" s="1510">
        <f t="shared" si="48"/>
        <v>0</v>
      </c>
      <c r="AJ43" s="1505">
        <f t="shared" si="49"/>
        <v>0</v>
      </c>
      <c r="AK43" s="1535">
        <f t="shared" si="50"/>
        <v>0</v>
      </c>
    </row>
    <row r="44" spans="1:37" ht="16.2" customHeight="1">
      <c r="A44" s="1176">
        <v>38</v>
      </c>
      <c r="B44" s="1177" t="s">
        <v>118</v>
      </c>
      <c r="C44" s="1178">
        <f>+'Table 8 Membership 2.1.14'!G40</f>
        <v>0</v>
      </c>
      <c r="D44" s="1179">
        <f>+'Table 5C1A-Madison Prep'!D44</f>
        <v>2088.8017552916881</v>
      </c>
      <c r="E44" s="1180">
        <f t="shared" si="32"/>
        <v>0</v>
      </c>
      <c r="F44" s="1180">
        <f>+'Table 5C1A-Madison Prep'!F44</f>
        <v>829.92000000000007</v>
      </c>
      <c r="G44" s="1180">
        <f t="shared" si="33"/>
        <v>0</v>
      </c>
      <c r="H44" s="1539">
        <f t="shared" si="34"/>
        <v>0</v>
      </c>
      <c r="I44" s="1181"/>
      <c r="J44" s="1181"/>
      <c r="K44" s="1182">
        <f t="shared" si="35"/>
        <v>0</v>
      </c>
      <c r="L44" s="1539">
        <f t="shared" si="36"/>
        <v>0</v>
      </c>
      <c r="M44" s="1388">
        <f t="shared" si="37"/>
        <v>0</v>
      </c>
      <c r="N44" s="1539">
        <f t="shared" si="38"/>
        <v>0</v>
      </c>
      <c r="O44" s="1179">
        <v>0</v>
      </c>
      <c r="P44" s="1545">
        <f t="shared" si="39"/>
        <v>0</v>
      </c>
      <c r="Q44" s="1181"/>
      <c r="R44" s="1181">
        <f t="shared" si="40"/>
        <v>0</v>
      </c>
      <c r="S44" s="1545">
        <f t="shared" si="41"/>
        <v>0</v>
      </c>
      <c r="T44" s="1545">
        <f t="shared" si="42"/>
        <v>0</v>
      </c>
      <c r="U44" s="1389">
        <f>'Table 5C1A-Madison Prep'!U44</f>
        <v>11379</v>
      </c>
      <c r="V44" s="1515">
        <f t="shared" si="43"/>
        <v>0</v>
      </c>
      <c r="W44" s="1391"/>
      <c r="X44" s="1392">
        <f t="shared" si="44"/>
        <v>0</v>
      </c>
      <c r="Y44" s="1391"/>
      <c r="Z44" s="1392">
        <f t="shared" si="28"/>
        <v>0</v>
      </c>
      <c r="AA44" s="1390">
        <f t="shared" si="29"/>
        <v>0</v>
      </c>
      <c r="AB44" s="1510">
        <f t="shared" si="30"/>
        <v>0</v>
      </c>
      <c r="AC44" s="1394">
        <f t="shared" si="31"/>
        <v>0</v>
      </c>
      <c r="AD44" s="1510">
        <f t="shared" si="45"/>
        <v>0</v>
      </c>
      <c r="AE44" s="1395">
        <v>0</v>
      </c>
      <c r="AF44" s="1510">
        <f t="shared" si="46"/>
        <v>0</v>
      </c>
      <c r="AG44" s="1395"/>
      <c r="AH44" s="1395">
        <f t="shared" si="47"/>
        <v>0</v>
      </c>
      <c r="AI44" s="1510">
        <f t="shared" si="48"/>
        <v>0</v>
      </c>
      <c r="AJ44" s="1505">
        <f t="shared" si="49"/>
        <v>0</v>
      </c>
      <c r="AK44" s="1535">
        <f t="shared" si="50"/>
        <v>0</v>
      </c>
    </row>
    <row r="45" spans="1:37" ht="16.2" customHeight="1">
      <c r="A45" s="1176">
        <v>39</v>
      </c>
      <c r="B45" s="1177" t="s">
        <v>119</v>
      </c>
      <c r="C45" s="1178">
        <f>+'Table 8 Membership 2.1.14'!G41</f>
        <v>0</v>
      </c>
      <c r="D45" s="1179">
        <f>+'Table 5C1A-Madison Prep'!D45</f>
        <v>3656.9056809295676</v>
      </c>
      <c r="E45" s="1180">
        <f t="shared" si="32"/>
        <v>0</v>
      </c>
      <c r="F45" s="1180">
        <f>+'Table 5C1A-Madison Prep'!F45</f>
        <v>779.65573042776396</v>
      </c>
      <c r="G45" s="1180">
        <f t="shared" si="33"/>
        <v>0</v>
      </c>
      <c r="H45" s="1539">
        <f t="shared" si="34"/>
        <v>0</v>
      </c>
      <c r="I45" s="1181"/>
      <c r="J45" s="1181"/>
      <c r="K45" s="1182">
        <f t="shared" si="35"/>
        <v>0</v>
      </c>
      <c r="L45" s="1539">
        <f t="shared" si="36"/>
        <v>0</v>
      </c>
      <c r="M45" s="1388">
        <f t="shared" si="37"/>
        <v>0</v>
      </c>
      <c r="N45" s="1539">
        <f t="shared" si="38"/>
        <v>0</v>
      </c>
      <c r="O45" s="1179">
        <v>0</v>
      </c>
      <c r="P45" s="1545">
        <f t="shared" si="39"/>
        <v>0</v>
      </c>
      <c r="Q45" s="1181"/>
      <c r="R45" s="1181">
        <f t="shared" si="40"/>
        <v>0</v>
      </c>
      <c r="S45" s="1545">
        <f t="shared" si="41"/>
        <v>0</v>
      </c>
      <c r="T45" s="1545">
        <f t="shared" si="42"/>
        <v>0</v>
      </c>
      <c r="U45" s="1389">
        <f>'Table 5C1A-Madison Prep'!U45</f>
        <v>4955</v>
      </c>
      <c r="V45" s="1515">
        <f t="shared" si="43"/>
        <v>0</v>
      </c>
      <c r="W45" s="1391"/>
      <c r="X45" s="1392">
        <f t="shared" si="44"/>
        <v>0</v>
      </c>
      <c r="Y45" s="1391"/>
      <c r="Z45" s="1392">
        <f t="shared" si="28"/>
        <v>0</v>
      </c>
      <c r="AA45" s="1390">
        <f t="shared" si="29"/>
        <v>0</v>
      </c>
      <c r="AB45" s="1510">
        <f t="shared" si="30"/>
        <v>0</v>
      </c>
      <c r="AC45" s="1394">
        <f t="shared" si="31"/>
        <v>0</v>
      </c>
      <c r="AD45" s="1510">
        <f t="shared" si="45"/>
        <v>0</v>
      </c>
      <c r="AE45" s="1395">
        <v>0</v>
      </c>
      <c r="AF45" s="1510">
        <f t="shared" si="46"/>
        <v>0</v>
      </c>
      <c r="AG45" s="1395"/>
      <c r="AH45" s="1395">
        <f t="shared" si="47"/>
        <v>0</v>
      </c>
      <c r="AI45" s="1510">
        <f t="shared" si="48"/>
        <v>0</v>
      </c>
      <c r="AJ45" s="1505">
        <f t="shared" si="49"/>
        <v>0</v>
      </c>
      <c r="AK45" s="1535">
        <f t="shared" si="50"/>
        <v>0</v>
      </c>
    </row>
    <row r="46" spans="1:37" ht="16.2" customHeight="1">
      <c r="A46" s="1168">
        <v>40</v>
      </c>
      <c r="B46" s="1169" t="s">
        <v>120</v>
      </c>
      <c r="C46" s="1170">
        <f>+'Table 8 Membership 2.1.14'!G42</f>
        <v>0</v>
      </c>
      <c r="D46" s="1171">
        <f>+'Table 5C1A-Madison Prep'!D46</f>
        <v>5121.8110285698403</v>
      </c>
      <c r="E46" s="1172">
        <f t="shared" si="32"/>
        <v>0</v>
      </c>
      <c r="F46" s="1172">
        <f>+'Table 5C1A-Madison Prep'!F46</f>
        <v>700.2700000000001</v>
      </c>
      <c r="G46" s="1172">
        <f t="shared" si="33"/>
        <v>0</v>
      </c>
      <c r="H46" s="1540">
        <f t="shared" si="34"/>
        <v>0</v>
      </c>
      <c r="I46" s="1173"/>
      <c r="J46" s="1173"/>
      <c r="K46" s="1174">
        <f t="shared" si="35"/>
        <v>0</v>
      </c>
      <c r="L46" s="1540">
        <f t="shared" si="36"/>
        <v>0</v>
      </c>
      <c r="M46" s="1399">
        <f t="shared" si="37"/>
        <v>0</v>
      </c>
      <c r="N46" s="1540">
        <f t="shared" si="38"/>
        <v>0</v>
      </c>
      <c r="O46" s="1171">
        <v>0</v>
      </c>
      <c r="P46" s="1546">
        <f t="shared" si="39"/>
        <v>0</v>
      </c>
      <c r="Q46" s="1173"/>
      <c r="R46" s="1173">
        <f t="shared" si="40"/>
        <v>0</v>
      </c>
      <c r="S46" s="1546">
        <f t="shared" si="41"/>
        <v>0</v>
      </c>
      <c r="T46" s="1546">
        <f t="shared" si="42"/>
        <v>0</v>
      </c>
      <c r="U46" s="1382">
        <f>'Table 5C1A-Madison Prep'!U46</f>
        <v>3069</v>
      </c>
      <c r="V46" s="1516">
        <f t="shared" si="43"/>
        <v>0</v>
      </c>
      <c r="W46" s="1400"/>
      <c r="X46" s="1383">
        <f t="shared" si="44"/>
        <v>0</v>
      </c>
      <c r="Y46" s="1400"/>
      <c r="Z46" s="1383">
        <f t="shared" si="28"/>
        <v>0</v>
      </c>
      <c r="AA46" s="1384">
        <f t="shared" si="29"/>
        <v>0</v>
      </c>
      <c r="AB46" s="1511">
        <f t="shared" si="30"/>
        <v>0</v>
      </c>
      <c r="AC46" s="1402">
        <f t="shared" si="31"/>
        <v>0</v>
      </c>
      <c r="AD46" s="1511">
        <f t="shared" si="45"/>
        <v>0</v>
      </c>
      <c r="AE46" s="1385">
        <v>0</v>
      </c>
      <c r="AF46" s="1511">
        <f t="shared" si="46"/>
        <v>0</v>
      </c>
      <c r="AG46" s="1385"/>
      <c r="AH46" s="1385">
        <f t="shared" si="47"/>
        <v>0</v>
      </c>
      <c r="AI46" s="1511">
        <f t="shared" si="48"/>
        <v>0</v>
      </c>
      <c r="AJ46" s="1531">
        <f t="shared" si="49"/>
        <v>0</v>
      </c>
      <c r="AK46" s="1536">
        <f t="shared" si="50"/>
        <v>0</v>
      </c>
    </row>
    <row r="47" spans="1:37" ht="16.2" customHeight="1">
      <c r="A47" s="1183">
        <v>41</v>
      </c>
      <c r="B47" s="1184" t="s">
        <v>121</v>
      </c>
      <c r="C47" s="1185">
        <f>+'Table 8 Membership 2.1.14'!G43</f>
        <v>0</v>
      </c>
      <c r="D47" s="1186">
        <f>+'Table 5C1A-Madison Prep'!D47</f>
        <v>3291.1948574716475</v>
      </c>
      <c r="E47" s="1187">
        <f t="shared" si="32"/>
        <v>0</v>
      </c>
      <c r="F47" s="1187">
        <f>+'Table 5C1A-Madison Prep'!F47</f>
        <v>886.22</v>
      </c>
      <c r="G47" s="1187">
        <f t="shared" si="33"/>
        <v>0</v>
      </c>
      <c r="H47" s="1538">
        <f t="shared" si="34"/>
        <v>0</v>
      </c>
      <c r="I47" s="1188"/>
      <c r="J47" s="1188"/>
      <c r="K47" s="1189">
        <f t="shared" si="35"/>
        <v>0</v>
      </c>
      <c r="L47" s="1538">
        <f t="shared" si="36"/>
        <v>0</v>
      </c>
      <c r="M47" s="1372">
        <f t="shared" si="37"/>
        <v>0</v>
      </c>
      <c r="N47" s="1538">
        <f t="shared" si="38"/>
        <v>0</v>
      </c>
      <c r="O47" s="1186">
        <v>0</v>
      </c>
      <c r="P47" s="1544">
        <f t="shared" si="39"/>
        <v>0</v>
      </c>
      <c r="Q47" s="1188"/>
      <c r="R47" s="1188">
        <f t="shared" si="40"/>
        <v>0</v>
      </c>
      <c r="S47" s="1544">
        <f t="shared" si="41"/>
        <v>0</v>
      </c>
      <c r="T47" s="1544">
        <f t="shared" si="42"/>
        <v>0</v>
      </c>
      <c r="U47" s="1373">
        <f>'Table 5C1A-Madison Prep'!U47</f>
        <v>8478</v>
      </c>
      <c r="V47" s="1514">
        <f t="shared" si="43"/>
        <v>0</v>
      </c>
      <c r="W47" s="1375"/>
      <c r="X47" s="1376">
        <f t="shared" si="44"/>
        <v>0</v>
      </c>
      <c r="Y47" s="1375"/>
      <c r="Z47" s="1376">
        <f t="shared" si="28"/>
        <v>0</v>
      </c>
      <c r="AA47" s="1374">
        <f t="shared" si="29"/>
        <v>0</v>
      </c>
      <c r="AB47" s="1509">
        <f t="shared" si="30"/>
        <v>0</v>
      </c>
      <c r="AC47" s="1378">
        <f t="shared" si="31"/>
        <v>0</v>
      </c>
      <c r="AD47" s="1509">
        <f t="shared" si="45"/>
        <v>0</v>
      </c>
      <c r="AE47" s="1379">
        <v>0</v>
      </c>
      <c r="AF47" s="1509">
        <f t="shared" si="46"/>
        <v>0</v>
      </c>
      <c r="AG47" s="1379"/>
      <c r="AH47" s="1379">
        <f t="shared" si="47"/>
        <v>0</v>
      </c>
      <c r="AI47" s="1509">
        <f t="shared" si="48"/>
        <v>0</v>
      </c>
      <c r="AJ47" s="1530">
        <f t="shared" si="49"/>
        <v>0</v>
      </c>
      <c r="AK47" s="1534">
        <f t="shared" si="50"/>
        <v>0</v>
      </c>
    </row>
    <row r="48" spans="1:37" ht="16.2" customHeight="1">
      <c r="A48" s="1176">
        <v>42</v>
      </c>
      <c r="B48" s="1177" t="s">
        <v>122</v>
      </c>
      <c r="C48" s="1178">
        <f>+'Table 8 Membership 2.1.14'!G44</f>
        <v>0</v>
      </c>
      <c r="D48" s="1179">
        <f>+'Table 5C1A-Madison Prep'!D48</f>
        <v>5113.6077751368684</v>
      </c>
      <c r="E48" s="1180">
        <f t="shared" si="32"/>
        <v>0</v>
      </c>
      <c r="F48" s="1180">
        <f>+'Table 5C1A-Madison Prep'!F48</f>
        <v>534.28</v>
      </c>
      <c r="G48" s="1180">
        <f t="shared" si="33"/>
        <v>0</v>
      </c>
      <c r="H48" s="1539">
        <f t="shared" si="34"/>
        <v>0</v>
      </c>
      <c r="I48" s="1181"/>
      <c r="J48" s="1181"/>
      <c r="K48" s="1182">
        <f t="shared" si="35"/>
        <v>0</v>
      </c>
      <c r="L48" s="1539">
        <f t="shared" si="36"/>
        <v>0</v>
      </c>
      <c r="M48" s="1388">
        <f t="shared" si="37"/>
        <v>0</v>
      </c>
      <c r="N48" s="1539">
        <f t="shared" si="38"/>
        <v>0</v>
      </c>
      <c r="O48" s="1179">
        <v>0</v>
      </c>
      <c r="P48" s="1545">
        <f t="shared" si="39"/>
        <v>0</v>
      </c>
      <c r="Q48" s="1181"/>
      <c r="R48" s="1181">
        <f t="shared" si="40"/>
        <v>0</v>
      </c>
      <c r="S48" s="1545">
        <f t="shared" si="41"/>
        <v>0</v>
      </c>
      <c r="T48" s="1545">
        <f t="shared" si="42"/>
        <v>0</v>
      </c>
      <c r="U48" s="1389">
        <f>'Table 5C1A-Madison Prep'!U48</f>
        <v>3578</v>
      </c>
      <c r="V48" s="1515">
        <f t="shared" si="43"/>
        <v>0</v>
      </c>
      <c r="W48" s="1391"/>
      <c r="X48" s="1392">
        <f t="shared" si="44"/>
        <v>0</v>
      </c>
      <c r="Y48" s="1391"/>
      <c r="Z48" s="1392">
        <f t="shared" si="28"/>
        <v>0</v>
      </c>
      <c r="AA48" s="1390">
        <f t="shared" si="29"/>
        <v>0</v>
      </c>
      <c r="AB48" s="1510">
        <f t="shared" si="30"/>
        <v>0</v>
      </c>
      <c r="AC48" s="1394">
        <f t="shared" si="31"/>
        <v>0</v>
      </c>
      <c r="AD48" s="1510">
        <f t="shared" si="45"/>
        <v>0</v>
      </c>
      <c r="AE48" s="1395">
        <v>0</v>
      </c>
      <c r="AF48" s="1510">
        <f t="shared" si="46"/>
        <v>0</v>
      </c>
      <c r="AG48" s="1395"/>
      <c r="AH48" s="1395">
        <f t="shared" si="47"/>
        <v>0</v>
      </c>
      <c r="AI48" s="1510">
        <f t="shared" si="48"/>
        <v>0</v>
      </c>
      <c r="AJ48" s="1505">
        <f t="shared" si="49"/>
        <v>0</v>
      </c>
      <c r="AK48" s="1535">
        <f t="shared" si="50"/>
        <v>0</v>
      </c>
    </row>
    <row r="49" spans="1:37" ht="16.2" customHeight="1">
      <c r="A49" s="1176">
        <v>43</v>
      </c>
      <c r="B49" s="1177" t="s">
        <v>123</v>
      </c>
      <c r="C49" s="1178">
        <f>+'Table 8 Membership 2.1.14'!G45</f>
        <v>0</v>
      </c>
      <c r="D49" s="1179">
        <f>+'Table 5C1A-Madison Prep'!D49</f>
        <v>5788.74387205947</v>
      </c>
      <c r="E49" s="1180">
        <f t="shared" si="32"/>
        <v>0</v>
      </c>
      <c r="F49" s="1180">
        <f>+'Table 5C1A-Madison Prep'!F49</f>
        <v>574.6099999999999</v>
      </c>
      <c r="G49" s="1180">
        <f t="shared" si="33"/>
        <v>0</v>
      </c>
      <c r="H49" s="1539">
        <f t="shared" si="34"/>
        <v>0</v>
      </c>
      <c r="I49" s="1181"/>
      <c r="J49" s="1181"/>
      <c r="K49" s="1182">
        <f t="shared" si="35"/>
        <v>0</v>
      </c>
      <c r="L49" s="1539">
        <f t="shared" si="36"/>
        <v>0</v>
      </c>
      <c r="M49" s="1388">
        <f t="shared" si="37"/>
        <v>0</v>
      </c>
      <c r="N49" s="1539">
        <f t="shared" si="38"/>
        <v>0</v>
      </c>
      <c r="O49" s="1179">
        <v>0</v>
      </c>
      <c r="P49" s="1545">
        <f t="shared" si="39"/>
        <v>0</v>
      </c>
      <c r="Q49" s="1181"/>
      <c r="R49" s="1181">
        <f t="shared" si="40"/>
        <v>0</v>
      </c>
      <c r="S49" s="1545">
        <f t="shared" si="41"/>
        <v>0</v>
      </c>
      <c r="T49" s="1545">
        <f t="shared" si="42"/>
        <v>0</v>
      </c>
      <c r="U49" s="1389">
        <f>'Table 5C1A-Madison Prep'!U49</f>
        <v>3205</v>
      </c>
      <c r="V49" s="1515">
        <f t="shared" si="43"/>
        <v>0</v>
      </c>
      <c r="W49" s="1391"/>
      <c r="X49" s="1392">
        <f t="shared" si="44"/>
        <v>0</v>
      </c>
      <c r="Y49" s="1391"/>
      <c r="Z49" s="1392">
        <f t="shared" si="28"/>
        <v>0</v>
      </c>
      <c r="AA49" s="1390">
        <f t="shared" si="29"/>
        <v>0</v>
      </c>
      <c r="AB49" s="1510">
        <f t="shared" si="30"/>
        <v>0</v>
      </c>
      <c r="AC49" s="1394">
        <f t="shared" si="31"/>
        <v>0</v>
      </c>
      <c r="AD49" s="1510">
        <f t="shared" si="45"/>
        <v>0</v>
      </c>
      <c r="AE49" s="1395">
        <v>0</v>
      </c>
      <c r="AF49" s="1510">
        <f t="shared" si="46"/>
        <v>0</v>
      </c>
      <c r="AG49" s="1395"/>
      <c r="AH49" s="1395">
        <f t="shared" si="47"/>
        <v>0</v>
      </c>
      <c r="AI49" s="1510">
        <f t="shared" si="48"/>
        <v>0</v>
      </c>
      <c r="AJ49" s="1505">
        <f t="shared" si="49"/>
        <v>0</v>
      </c>
      <c r="AK49" s="1535">
        <f t="shared" si="50"/>
        <v>0</v>
      </c>
    </row>
    <row r="50" spans="1:37" ht="16.2" customHeight="1">
      <c r="A50" s="1176">
        <v>44</v>
      </c>
      <c r="B50" s="1177" t="s">
        <v>124</v>
      </c>
      <c r="C50" s="1178">
        <f>+'Table 8 Membership 2.1.14'!G46</f>
        <v>0</v>
      </c>
      <c r="D50" s="1179">
        <f>+'Table 5C1A-Madison Prep'!D50</f>
        <v>4897.5958151820359</v>
      </c>
      <c r="E50" s="1180">
        <f t="shared" si="32"/>
        <v>0</v>
      </c>
      <c r="F50" s="1180">
        <f>+'Table 5C1A-Madison Prep'!F50</f>
        <v>663.16000000000008</v>
      </c>
      <c r="G50" s="1180">
        <f t="shared" si="33"/>
        <v>0</v>
      </c>
      <c r="H50" s="1539">
        <f t="shared" si="34"/>
        <v>0</v>
      </c>
      <c r="I50" s="1181"/>
      <c r="J50" s="1181"/>
      <c r="K50" s="1182">
        <f t="shared" si="35"/>
        <v>0</v>
      </c>
      <c r="L50" s="1539">
        <f t="shared" si="36"/>
        <v>0</v>
      </c>
      <c r="M50" s="1388">
        <f t="shared" si="37"/>
        <v>0</v>
      </c>
      <c r="N50" s="1539">
        <f t="shared" si="38"/>
        <v>0</v>
      </c>
      <c r="O50" s="1179">
        <v>0</v>
      </c>
      <c r="P50" s="1545">
        <f t="shared" si="39"/>
        <v>0</v>
      </c>
      <c r="Q50" s="1181"/>
      <c r="R50" s="1181">
        <f t="shared" si="40"/>
        <v>0</v>
      </c>
      <c r="S50" s="1545">
        <f t="shared" si="41"/>
        <v>0</v>
      </c>
      <c r="T50" s="1545">
        <f t="shared" si="42"/>
        <v>0</v>
      </c>
      <c r="U50" s="1389">
        <f>'Table 5C1A-Madison Prep'!U50</f>
        <v>3719</v>
      </c>
      <c r="V50" s="1515">
        <f t="shared" si="43"/>
        <v>0</v>
      </c>
      <c r="W50" s="1391"/>
      <c r="X50" s="1392">
        <f t="shared" si="44"/>
        <v>0</v>
      </c>
      <c r="Y50" s="1391"/>
      <c r="Z50" s="1392">
        <f t="shared" si="28"/>
        <v>0</v>
      </c>
      <c r="AA50" s="1390">
        <f t="shared" si="29"/>
        <v>0</v>
      </c>
      <c r="AB50" s="1510">
        <f t="shared" si="30"/>
        <v>0</v>
      </c>
      <c r="AC50" s="1394">
        <f t="shared" si="31"/>
        <v>0</v>
      </c>
      <c r="AD50" s="1510">
        <f t="shared" si="45"/>
        <v>0</v>
      </c>
      <c r="AE50" s="1395">
        <v>0</v>
      </c>
      <c r="AF50" s="1510">
        <f t="shared" si="46"/>
        <v>0</v>
      </c>
      <c r="AG50" s="1395"/>
      <c r="AH50" s="1395">
        <f t="shared" si="47"/>
        <v>0</v>
      </c>
      <c r="AI50" s="1510">
        <f t="shared" si="48"/>
        <v>0</v>
      </c>
      <c r="AJ50" s="1505">
        <f t="shared" si="49"/>
        <v>0</v>
      </c>
      <c r="AK50" s="1535">
        <f t="shared" si="50"/>
        <v>0</v>
      </c>
    </row>
    <row r="51" spans="1:37" ht="16.2" customHeight="1">
      <c r="A51" s="1168">
        <v>45</v>
      </c>
      <c r="B51" s="1169" t="s">
        <v>125</v>
      </c>
      <c r="C51" s="1170">
        <f>+'Table 8 Membership 2.1.14'!G47</f>
        <v>0</v>
      </c>
      <c r="D51" s="1171">
        <f>+'Table 5C1A-Madison Prep'!D51</f>
        <v>2054.0472499469101</v>
      </c>
      <c r="E51" s="1172">
        <f t="shared" si="32"/>
        <v>0</v>
      </c>
      <c r="F51" s="1172">
        <f>+'Table 5C1A-Madison Prep'!F51</f>
        <v>753.96000000000015</v>
      </c>
      <c r="G51" s="1172">
        <f t="shared" si="33"/>
        <v>0</v>
      </c>
      <c r="H51" s="1540">
        <f t="shared" si="34"/>
        <v>0</v>
      </c>
      <c r="I51" s="1173"/>
      <c r="J51" s="1173"/>
      <c r="K51" s="1174">
        <f t="shared" si="35"/>
        <v>0</v>
      </c>
      <c r="L51" s="1540">
        <f t="shared" si="36"/>
        <v>0</v>
      </c>
      <c r="M51" s="1399">
        <f t="shared" si="37"/>
        <v>0</v>
      </c>
      <c r="N51" s="1540">
        <f t="shared" si="38"/>
        <v>0</v>
      </c>
      <c r="O51" s="1171">
        <v>0</v>
      </c>
      <c r="P51" s="1546">
        <f t="shared" si="39"/>
        <v>0</v>
      </c>
      <c r="Q51" s="1173"/>
      <c r="R51" s="1173">
        <f t="shared" si="40"/>
        <v>0</v>
      </c>
      <c r="S51" s="1546">
        <f t="shared" si="41"/>
        <v>0</v>
      </c>
      <c r="T51" s="1546">
        <f t="shared" si="42"/>
        <v>0</v>
      </c>
      <c r="U51" s="1382">
        <f>'Table 5C1A-Madison Prep'!U51</f>
        <v>12169</v>
      </c>
      <c r="V51" s="1516">
        <f t="shared" si="43"/>
        <v>0</v>
      </c>
      <c r="W51" s="1400"/>
      <c r="X51" s="1383">
        <f t="shared" si="44"/>
        <v>0</v>
      </c>
      <c r="Y51" s="1400"/>
      <c r="Z51" s="1383">
        <f t="shared" si="28"/>
        <v>0</v>
      </c>
      <c r="AA51" s="1384">
        <f t="shared" si="29"/>
        <v>0</v>
      </c>
      <c r="AB51" s="1511">
        <f t="shared" si="30"/>
        <v>0</v>
      </c>
      <c r="AC51" s="1402">
        <f t="shared" si="31"/>
        <v>0</v>
      </c>
      <c r="AD51" s="1511">
        <f t="shared" si="45"/>
        <v>0</v>
      </c>
      <c r="AE51" s="1385">
        <v>0</v>
      </c>
      <c r="AF51" s="1511">
        <f t="shared" si="46"/>
        <v>0</v>
      </c>
      <c r="AG51" s="1385"/>
      <c r="AH51" s="1385">
        <f t="shared" si="47"/>
        <v>0</v>
      </c>
      <c r="AI51" s="1511">
        <f t="shared" si="48"/>
        <v>0</v>
      </c>
      <c r="AJ51" s="1531">
        <f t="shared" si="49"/>
        <v>0</v>
      </c>
      <c r="AK51" s="1536">
        <f t="shared" si="50"/>
        <v>0</v>
      </c>
    </row>
    <row r="52" spans="1:37" ht="16.2" customHeight="1">
      <c r="A52" s="1183">
        <v>46</v>
      </c>
      <c r="B52" s="1184" t="s">
        <v>126</v>
      </c>
      <c r="C52" s="1185">
        <f>+'Table 8 Membership 2.1.14'!G48</f>
        <v>0</v>
      </c>
      <c r="D52" s="1186">
        <f>+'Table 5C1A-Madison Prep'!D52</f>
        <v>6051.2144468088381</v>
      </c>
      <c r="E52" s="1187">
        <f t="shared" si="32"/>
        <v>0</v>
      </c>
      <c r="F52" s="1187">
        <f>+'Table 5C1A-Madison Prep'!F52</f>
        <v>728.06</v>
      </c>
      <c r="G52" s="1187">
        <f t="shared" si="33"/>
        <v>0</v>
      </c>
      <c r="H52" s="1538">
        <f t="shared" si="34"/>
        <v>0</v>
      </c>
      <c r="I52" s="1188"/>
      <c r="J52" s="1188"/>
      <c r="K52" s="1189">
        <f t="shared" si="35"/>
        <v>0</v>
      </c>
      <c r="L52" s="1538">
        <f t="shared" si="36"/>
        <v>0</v>
      </c>
      <c r="M52" s="1372">
        <f t="shared" si="37"/>
        <v>0</v>
      </c>
      <c r="N52" s="1538">
        <f t="shared" si="38"/>
        <v>0</v>
      </c>
      <c r="O52" s="1186">
        <v>0</v>
      </c>
      <c r="P52" s="1544">
        <f t="shared" si="39"/>
        <v>0</v>
      </c>
      <c r="Q52" s="1188"/>
      <c r="R52" s="1188">
        <f t="shared" si="40"/>
        <v>0</v>
      </c>
      <c r="S52" s="1544">
        <f t="shared" si="41"/>
        <v>0</v>
      </c>
      <c r="T52" s="1544">
        <f t="shared" si="42"/>
        <v>0</v>
      </c>
      <c r="U52" s="1373">
        <f>'Table 5C1A-Madison Prep'!U52</f>
        <v>2713</v>
      </c>
      <c r="V52" s="1514">
        <f t="shared" si="43"/>
        <v>0</v>
      </c>
      <c r="W52" s="1375"/>
      <c r="X52" s="1376">
        <f t="shared" si="44"/>
        <v>0</v>
      </c>
      <c r="Y52" s="1375"/>
      <c r="Z52" s="1376">
        <f t="shared" si="28"/>
        <v>0</v>
      </c>
      <c r="AA52" s="1374">
        <f t="shared" si="29"/>
        <v>0</v>
      </c>
      <c r="AB52" s="1509">
        <f t="shared" si="30"/>
        <v>0</v>
      </c>
      <c r="AC52" s="1378">
        <f t="shared" si="31"/>
        <v>0</v>
      </c>
      <c r="AD52" s="1509">
        <f t="shared" si="45"/>
        <v>0</v>
      </c>
      <c r="AE52" s="1379">
        <v>0</v>
      </c>
      <c r="AF52" s="1509">
        <f t="shared" si="46"/>
        <v>0</v>
      </c>
      <c r="AG52" s="1379"/>
      <c r="AH52" s="1379">
        <f t="shared" si="47"/>
        <v>0</v>
      </c>
      <c r="AI52" s="1509">
        <f t="shared" si="48"/>
        <v>0</v>
      </c>
      <c r="AJ52" s="1530">
        <f t="shared" si="49"/>
        <v>0</v>
      </c>
      <c r="AK52" s="1534">
        <f t="shared" si="50"/>
        <v>0</v>
      </c>
    </row>
    <row r="53" spans="1:37" ht="16.2" customHeight="1">
      <c r="A53" s="1176">
        <v>47</v>
      </c>
      <c r="B53" s="1177" t="s">
        <v>127</v>
      </c>
      <c r="C53" s="1178">
        <f>+'Table 8 Membership 2.1.14'!G49</f>
        <v>0</v>
      </c>
      <c r="D53" s="1179">
        <f>+'Table 5C1A-Madison Prep'!D53</f>
        <v>2524.1485257646736</v>
      </c>
      <c r="E53" s="1180">
        <f t="shared" si="32"/>
        <v>0</v>
      </c>
      <c r="F53" s="1180">
        <f>+'Table 5C1A-Madison Prep'!F53</f>
        <v>910.76</v>
      </c>
      <c r="G53" s="1180">
        <f t="shared" si="33"/>
        <v>0</v>
      </c>
      <c r="H53" s="1539">
        <f t="shared" si="34"/>
        <v>0</v>
      </c>
      <c r="I53" s="1181"/>
      <c r="J53" s="1181"/>
      <c r="K53" s="1182">
        <f t="shared" si="35"/>
        <v>0</v>
      </c>
      <c r="L53" s="1539">
        <f t="shared" si="36"/>
        <v>0</v>
      </c>
      <c r="M53" s="1388">
        <f t="shared" si="37"/>
        <v>0</v>
      </c>
      <c r="N53" s="1539">
        <f t="shared" si="38"/>
        <v>0</v>
      </c>
      <c r="O53" s="1179">
        <v>0</v>
      </c>
      <c r="P53" s="1545">
        <f t="shared" si="39"/>
        <v>0</v>
      </c>
      <c r="Q53" s="1181"/>
      <c r="R53" s="1181">
        <f t="shared" si="40"/>
        <v>0</v>
      </c>
      <c r="S53" s="1545">
        <f t="shared" si="41"/>
        <v>0</v>
      </c>
      <c r="T53" s="1545">
        <f t="shared" si="42"/>
        <v>0</v>
      </c>
      <c r="U53" s="1389">
        <f>'Table 5C1A-Madison Prep'!U53</f>
        <v>11701</v>
      </c>
      <c r="V53" s="1515">
        <f t="shared" si="43"/>
        <v>0</v>
      </c>
      <c r="W53" s="1391"/>
      <c r="X53" s="1392">
        <f t="shared" si="44"/>
        <v>0</v>
      </c>
      <c r="Y53" s="1391"/>
      <c r="Z53" s="1392">
        <f t="shared" si="28"/>
        <v>0</v>
      </c>
      <c r="AA53" s="1390">
        <f t="shared" si="29"/>
        <v>0</v>
      </c>
      <c r="AB53" s="1510">
        <f t="shared" si="30"/>
        <v>0</v>
      </c>
      <c r="AC53" s="1394">
        <f t="shared" si="31"/>
        <v>0</v>
      </c>
      <c r="AD53" s="1510">
        <f t="shared" si="45"/>
        <v>0</v>
      </c>
      <c r="AE53" s="1395">
        <v>0</v>
      </c>
      <c r="AF53" s="1510">
        <f t="shared" si="46"/>
        <v>0</v>
      </c>
      <c r="AG53" s="1395"/>
      <c r="AH53" s="1395">
        <f t="shared" si="47"/>
        <v>0</v>
      </c>
      <c r="AI53" s="1510">
        <f t="shared" si="48"/>
        <v>0</v>
      </c>
      <c r="AJ53" s="1505">
        <f t="shared" si="49"/>
        <v>0</v>
      </c>
      <c r="AK53" s="1535">
        <f t="shared" si="50"/>
        <v>0</v>
      </c>
    </row>
    <row r="54" spans="1:37" ht="16.2" customHeight="1">
      <c r="A54" s="1176">
        <v>48</v>
      </c>
      <c r="B54" s="1177" t="s">
        <v>178</v>
      </c>
      <c r="C54" s="1178">
        <f>+'Table 8 Membership 2.1.14'!G50</f>
        <v>0</v>
      </c>
      <c r="D54" s="1179">
        <f>+'Table 5C1A-Madison Prep'!D54</f>
        <v>3983.3582529800719</v>
      </c>
      <c r="E54" s="1180">
        <f t="shared" si="32"/>
        <v>0</v>
      </c>
      <c r="F54" s="1180">
        <f>+'Table 5C1A-Madison Prep'!F54</f>
        <v>871.07</v>
      </c>
      <c r="G54" s="1180">
        <f t="shared" si="33"/>
        <v>0</v>
      </c>
      <c r="H54" s="1539">
        <f t="shared" si="34"/>
        <v>0</v>
      </c>
      <c r="I54" s="1181"/>
      <c r="J54" s="1181"/>
      <c r="K54" s="1182">
        <f t="shared" si="35"/>
        <v>0</v>
      </c>
      <c r="L54" s="1539">
        <f t="shared" si="36"/>
        <v>0</v>
      </c>
      <c r="M54" s="1388">
        <f t="shared" si="37"/>
        <v>0</v>
      </c>
      <c r="N54" s="1539">
        <f t="shared" si="38"/>
        <v>0</v>
      </c>
      <c r="O54" s="1179">
        <v>0</v>
      </c>
      <c r="P54" s="1545">
        <f t="shared" si="39"/>
        <v>0</v>
      </c>
      <c r="Q54" s="1181"/>
      <c r="R54" s="1181">
        <f t="shared" si="40"/>
        <v>0</v>
      </c>
      <c r="S54" s="1545">
        <f t="shared" si="41"/>
        <v>0</v>
      </c>
      <c r="T54" s="1545">
        <f t="shared" si="42"/>
        <v>0</v>
      </c>
      <c r="U54" s="1389">
        <f>'Table 5C1A-Madison Prep'!U54</f>
        <v>7338</v>
      </c>
      <c r="V54" s="1515">
        <f t="shared" si="43"/>
        <v>0</v>
      </c>
      <c r="W54" s="1391"/>
      <c r="X54" s="1392">
        <f t="shared" si="44"/>
        <v>0</v>
      </c>
      <c r="Y54" s="1391"/>
      <c r="Z54" s="1392">
        <f t="shared" si="28"/>
        <v>0</v>
      </c>
      <c r="AA54" s="1390">
        <f t="shared" si="29"/>
        <v>0</v>
      </c>
      <c r="AB54" s="1510">
        <f t="shared" si="30"/>
        <v>0</v>
      </c>
      <c r="AC54" s="1394">
        <f t="shared" si="31"/>
        <v>0</v>
      </c>
      <c r="AD54" s="1510">
        <f t="shared" si="45"/>
        <v>0</v>
      </c>
      <c r="AE54" s="1395">
        <v>0</v>
      </c>
      <c r="AF54" s="1510">
        <f t="shared" si="46"/>
        <v>0</v>
      </c>
      <c r="AG54" s="1395"/>
      <c r="AH54" s="1395">
        <f t="shared" si="47"/>
        <v>0</v>
      </c>
      <c r="AI54" s="1510">
        <f t="shared" si="48"/>
        <v>0</v>
      </c>
      <c r="AJ54" s="1505">
        <f t="shared" si="49"/>
        <v>0</v>
      </c>
      <c r="AK54" s="1535">
        <f t="shared" si="50"/>
        <v>0</v>
      </c>
    </row>
    <row r="55" spans="1:37" ht="16.2" customHeight="1">
      <c r="A55" s="1176">
        <v>49</v>
      </c>
      <c r="B55" s="1177" t="s">
        <v>128</v>
      </c>
      <c r="C55" s="1178">
        <f>+'Table 8 Membership 2.1.14'!G51</f>
        <v>0</v>
      </c>
      <c r="D55" s="1179">
        <f>+'Table 5C1A-Madison Prep'!D55</f>
        <v>4995.8755315659191</v>
      </c>
      <c r="E55" s="1180">
        <f t="shared" si="32"/>
        <v>0</v>
      </c>
      <c r="F55" s="1180">
        <f>+'Table 5C1A-Madison Prep'!F55</f>
        <v>574.43999999999994</v>
      </c>
      <c r="G55" s="1180">
        <f t="shared" si="33"/>
        <v>0</v>
      </c>
      <c r="H55" s="1539">
        <f t="shared" si="34"/>
        <v>0</v>
      </c>
      <c r="I55" s="1181"/>
      <c r="J55" s="1181"/>
      <c r="K55" s="1182">
        <f t="shared" si="35"/>
        <v>0</v>
      </c>
      <c r="L55" s="1539">
        <f t="shared" si="36"/>
        <v>0</v>
      </c>
      <c r="M55" s="1388">
        <f t="shared" si="37"/>
        <v>0</v>
      </c>
      <c r="N55" s="1539">
        <f t="shared" si="38"/>
        <v>0</v>
      </c>
      <c r="O55" s="1179">
        <v>0</v>
      </c>
      <c r="P55" s="1545">
        <f t="shared" si="39"/>
        <v>0</v>
      </c>
      <c r="Q55" s="1181"/>
      <c r="R55" s="1181">
        <f t="shared" si="40"/>
        <v>0</v>
      </c>
      <c r="S55" s="1545">
        <f t="shared" si="41"/>
        <v>0</v>
      </c>
      <c r="T55" s="1545">
        <f t="shared" si="42"/>
        <v>0</v>
      </c>
      <c r="U55" s="1389">
        <f>'Table 5C1A-Madison Prep'!U55</f>
        <v>2353</v>
      </c>
      <c r="V55" s="1515">
        <f t="shared" si="43"/>
        <v>0</v>
      </c>
      <c r="W55" s="1391"/>
      <c r="X55" s="1392">
        <f t="shared" si="44"/>
        <v>0</v>
      </c>
      <c r="Y55" s="1391"/>
      <c r="Z55" s="1392">
        <f t="shared" si="28"/>
        <v>0</v>
      </c>
      <c r="AA55" s="1390">
        <f t="shared" si="29"/>
        <v>0</v>
      </c>
      <c r="AB55" s="1510">
        <f t="shared" si="30"/>
        <v>0</v>
      </c>
      <c r="AC55" s="1394">
        <f t="shared" si="31"/>
        <v>0</v>
      </c>
      <c r="AD55" s="1510">
        <f t="shared" si="45"/>
        <v>0</v>
      </c>
      <c r="AE55" s="1395">
        <v>0</v>
      </c>
      <c r="AF55" s="1510">
        <f t="shared" si="46"/>
        <v>0</v>
      </c>
      <c r="AG55" s="1395"/>
      <c r="AH55" s="1395">
        <f t="shared" si="47"/>
        <v>0</v>
      </c>
      <c r="AI55" s="1510">
        <f t="shared" si="48"/>
        <v>0</v>
      </c>
      <c r="AJ55" s="1505">
        <f t="shared" si="49"/>
        <v>0</v>
      </c>
      <c r="AK55" s="1535">
        <f t="shared" si="50"/>
        <v>0</v>
      </c>
    </row>
    <row r="56" spans="1:37" ht="16.2" customHeight="1">
      <c r="A56" s="1168">
        <v>50</v>
      </c>
      <c r="B56" s="1169" t="s">
        <v>129</v>
      </c>
      <c r="C56" s="1170">
        <f>+'Table 8 Membership 2.1.14'!G52</f>
        <v>0</v>
      </c>
      <c r="D56" s="1171">
        <f>+'Table 5C1A-Madison Prep'!D56</f>
        <v>5177.6892722701677</v>
      </c>
      <c r="E56" s="1172">
        <f t="shared" si="32"/>
        <v>0</v>
      </c>
      <c r="F56" s="1172">
        <f>+'Table 5C1A-Madison Prep'!F56</f>
        <v>634.46</v>
      </c>
      <c r="G56" s="1172">
        <f t="shared" si="33"/>
        <v>0</v>
      </c>
      <c r="H56" s="1540">
        <f t="shared" si="34"/>
        <v>0</v>
      </c>
      <c r="I56" s="1173"/>
      <c r="J56" s="1173"/>
      <c r="K56" s="1174">
        <f t="shared" si="35"/>
        <v>0</v>
      </c>
      <c r="L56" s="1540">
        <f t="shared" si="36"/>
        <v>0</v>
      </c>
      <c r="M56" s="1399">
        <f t="shared" si="37"/>
        <v>0</v>
      </c>
      <c r="N56" s="1540">
        <f t="shared" si="38"/>
        <v>0</v>
      </c>
      <c r="O56" s="1171">
        <v>0</v>
      </c>
      <c r="P56" s="1546">
        <f t="shared" si="39"/>
        <v>0</v>
      </c>
      <c r="Q56" s="1173"/>
      <c r="R56" s="1173">
        <f t="shared" si="40"/>
        <v>0</v>
      </c>
      <c r="S56" s="1546">
        <f t="shared" si="41"/>
        <v>0</v>
      </c>
      <c r="T56" s="1546">
        <f t="shared" si="42"/>
        <v>0</v>
      </c>
      <c r="U56" s="1382">
        <f>'Table 5C1A-Madison Prep'!U56</f>
        <v>3510</v>
      </c>
      <c r="V56" s="1516">
        <f t="shared" si="43"/>
        <v>0</v>
      </c>
      <c r="W56" s="1400"/>
      <c r="X56" s="1383">
        <f t="shared" si="44"/>
        <v>0</v>
      </c>
      <c r="Y56" s="1400"/>
      <c r="Z56" s="1383">
        <f t="shared" si="28"/>
        <v>0</v>
      </c>
      <c r="AA56" s="1384">
        <f t="shared" si="29"/>
        <v>0</v>
      </c>
      <c r="AB56" s="1511">
        <f t="shared" si="30"/>
        <v>0</v>
      </c>
      <c r="AC56" s="1402">
        <f t="shared" si="31"/>
        <v>0</v>
      </c>
      <c r="AD56" s="1511">
        <f t="shared" si="45"/>
        <v>0</v>
      </c>
      <c r="AE56" s="1385">
        <v>0</v>
      </c>
      <c r="AF56" s="1511">
        <f t="shared" si="46"/>
        <v>0</v>
      </c>
      <c r="AG56" s="1385"/>
      <c r="AH56" s="1385">
        <f t="shared" si="47"/>
        <v>0</v>
      </c>
      <c r="AI56" s="1511">
        <f t="shared" si="48"/>
        <v>0</v>
      </c>
      <c r="AJ56" s="1531">
        <f t="shared" si="49"/>
        <v>0</v>
      </c>
      <c r="AK56" s="1536">
        <f t="shared" si="50"/>
        <v>0</v>
      </c>
    </row>
    <row r="57" spans="1:37" ht="16.2" customHeight="1">
      <c r="A57" s="1183">
        <v>51</v>
      </c>
      <c r="B57" s="1184" t="s">
        <v>130</v>
      </c>
      <c r="C57" s="1185">
        <f>+'Table 8 Membership 2.1.14'!G53</f>
        <v>0</v>
      </c>
      <c r="D57" s="1186">
        <f>+'Table 5C1A-Madison Prep'!D57</f>
        <v>4154.1928602178996</v>
      </c>
      <c r="E57" s="1187">
        <f t="shared" si="32"/>
        <v>0</v>
      </c>
      <c r="F57" s="1187">
        <f>+'Table 5C1A-Madison Prep'!F57</f>
        <v>706.66</v>
      </c>
      <c r="G57" s="1187">
        <f t="shared" si="33"/>
        <v>0</v>
      </c>
      <c r="H57" s="1538">
        <f t="shared" si="34"/>
        <v>0</v>
      </c>
      <c r="I57" s="1188"/>
      <c r="J57" s="1188"/>
      <c r="K57" s="1189">
        <f t="shared" si="35"/>
        <v>0</v>
      </c>
      <c r="L57" s="1538">
        <f t="shared" si="36"/>
        <v>0</v>
      </c>
      <c r="M57" s="1372">
        <f t="shared" si="37"/>
        <v>0</v>
      </c>
      <c r="N57" s="1538">
        <f t="shared" si="38"/>
        <v>0</v>
      </c>
      <c r="O57" s="1186">
        <v>0</v>
      </c>
      <c r="P57" s="1544">
        <f t="shared" si="39"/>
        <v>0</v>
      </c>
      <c r="Q57" s="1188"/>
      <c r="R57" s="1188">
        <f t="shared" si="40"/>
        <v>0</v>
      </c>
      <c r="S57" s="1544">
        <f t="shared" si="41"/>
        <v>0</v>
      </c>
      <c r="T57" s="1544">
        <f t="shared" si="42"/>
        <v>0</v>
      </c>
      <c r="U57" s="1373">
        <f>'Table 5C1A-Madison Prep'!U57</f>
        <v>4597</v>
      </c>
      <c r="V57" s="1514">
        <f t="shared" si="43"/>
        <v>0</v>
      </c>
      <c r="W57" s="1375"/>
      <c r="X57" s="1376">
        <f t="shared" si="44"/>
        <v>0</v>
      </c>
      <c r="Y57" s="1375"/>
      <c r="Z57" s="1376">
        <f t="shared" si="28"/>
        <v>0</v>
      </c>
      <c r="AA57" s="1374">
        <f t="shared" si="29"/>
        <v>0</v>
      </c>
      <c r="AB57" s="1509">
        <f t="shared" si="30"/>
        <v>0</v>
      </c>
      <c r="AC57" s="1378">
        <f t="shared" si="31"/>
        <v>0</v>
      </c>
      <c r="AD57" s="1509">
        <f t="shared" si="45"/>
        <v>0</v>
      </c>
      <c r="AE57" s="1379">
        <v>0</v>
      </c>
      <c r="AF57" s="1509">
        <f t="shared" si="46"/>
        <v>0</v>
      </c>
      <c r="AG57" s="1379"/>
      <c r="AH57" s="1379">
        <f t="shared" si="47"/>
        <v>0</v>
      </c>
      <c r="AI57" s="1509">
        <f t="shared" si="48"/>
        <v>0</v>
      </c>
      <c r="AJ57" s="1530">
        <f t="shared" si="49"/>
        <v>0</v>
      </c>
      <c r="AK57" s="1534">
        <f t="shared" si="50"/>
        <v>0</v>
      </c>
    </row>
    <row r="58" spans="1:37" ht="16.2" customHeight="1">
      <c r="A58" s="1176">
        <v>52</v>
      </c>
      <c r="B58" s="1177" t="s">
        <v>131</v>
      </c>
      <c r="C58" s="1178">
        <f>+'Table 8 Membership 2.1.14'!G54</f>
        <v>0</v>
      </c>
      <c r="D58" s="1179">
        <f>+'Table 5C1A-Madison Prep'!D58</f>
        <v>5062.2745845228173</v>
      </c>
      <c r="E58" s="1180">
        <f t="shared" si="32"/>
        <v>0</v>
      </c>
      <c r="F58" s="1180">
        <f>+'Table 5C1A-Madison Prep'!F58</f>
        <v>658.37</v>
      </c>
      <c r="G58" s="1180">
        <f t="shared" si="33"/>
        <v>0</v>
      </c>
      <c r="H58" s="1539">
        <f t="shared" si="34"/>
        <v>0</v>
      </c>
      <c r="I58" s="1181"/>
      <c r="J58" s="1181"/>
      <c r="K58" s="1182">
        <f t="shared" si="35"/>
        <v>0</v>
      </c>
      <c r="L58" s="1539">
        <f t="shared" si="36"/>
        <v>0</v>
      </c>
      <c r="M58" s="1388">
        <f t="shared" si="37"/>
        <v>0</v>
      </c>
      <c r="N58" s="1539">
        <f t="shared" si="38"/>
        <v>0</v>
      </c>
      <c r="O58" s="1179">
        <v>0</v>
      </c>
      <c r="P58" s="1545">
        <f t="shared" si="39"/>
        <v>0</v>
      </c>
      <c r="Q58" s="1181"/>
      <c r="R58" s="1181">
        <f t="shared" si="40"/>
        <v>0</v>
      </c>
      <c r="S58" s="1545">
        <f t="shared" si="41"/>
        <v>0</v>
      </c>
      <c r="T58" s="1545">
        <f t="shared" si="42"/>
        <v>0</v>
      </c>
      <c r="U58" s="1389">
        <f>'Table 5C1A-Madison Prep'!U58</f>
        <v>5212</v>
      </c>
      <c r="V58" s="1515">
        <f t="shared" si="43"/>
        <v>0</v>
      </c>
      <c r="W58" s="1391"/>
      <c r="X58" s="1392">
        <f t="shared" si="44"/>
        <v>0</v>
      </c>
      <c r="Y58" s="1391"/>
      <c r="Z58" s="1392">
        <f t="shared" si="28"/>
        <v>0</v>
      </c>
      <c r="AA58" s="1390">
        <f t="shared" si="29"/>
        <v>0</v>
      </c>
      <c r="AB58" s="1510">
        <f t="shared" si="30"/>
        <v>0</v>
      </c>
      <c r="AC58" s="1394">
        <f t="shared" si="31"/>
        <v>0</v>
      </c>
      <c r="AD58" s="1510">
        <f t="shared" si="45"/>
        <v>0</v>
      </c>
      <c r="AE58" s="1395">
        <v>0</v>
      </c>
      <c r="AF58" s="1510">
        <f t="shared" si="46"/>
        <v>0</v>
      </c>
      <c r="AG58" s="1395"/>
      <c r="AH58" s="1395">
        <f t="shared" si="47"/>
        <v>0</v>
      </c>
      <c r="AI58" s="1510">
        <f t="shared" si="48"/>
        <v>0</v>
      </c>
      <c r="AJ58" s="1505">
        <f t="shared" si="49"/>
        <v>0</v>
      </c>
      <c r="AK58" s="1535">
        <f t="shared" si="50"/>
        <v>0</v>
      </c>
    </row>
    <row r="59" spans="1:37" ht="16.2" customHeight="1">
      <c r="A59" s="1176">
        <v>53</v>
      </c>
      <c r="B59" s="1177" t="s">
        <v>132</v>
      </c>
      <c r="C59" s="1178">
        <f>+'Table 8 Membership 2.1.14'!G55</f>
        <v>0</v>
      </c>
      <c r="D59" s="1179">
        <f>+'Table 5C1A-Madison Prep'!D59</f>
        <v>5060.1508194045482</v>
      </c>
      <c r="E59" s="1180">
        <f t="shared" si="32"/>
        <v>0</v>
      </c>
      <c r="F59" s="1180">
        <f>+'Table 5C1A-Madison Prep'!F59</f>
        <v>689.74</v>
      </c>
      <c r="G59" s="1180">
        <f t="shared" si="33"/>
        <v>0</v>
      </c>
      <c r="H59" s="1539">
        <f t="shared" si="34"/>
        <v>0</v>
      </c>
      <c r="I59" s="1181"/>
      <c r="J59" s="1181"/>
      <c r="K59" s="1182">
        <f t="shared" si="35"/>
        <v>0</v>
      </c>
      <c r="L59" s="1539">
        <f t="shared" si="36"/>
        <v>0</v>
      </c>
      <c r="M59" s="1388">
        <f t="shared" si="37"/>
        <v>0</v>
      </c>
      <c r="N59" s="1539">
        <f t="shared" si="38"/>
        <v>0</v>
      </c>
      <c r="O59" s="1179">
        <v>0</v>
      </c>
      <c r="P59" s="1545">
        <f t="shared" si="39"/>
        <v>0</v>
      </c>
      <c r="Q59" s="1181"/>
      <c r="R59" s="1181">
        <f t="shared" si="40"/>
        <v>0</v>
      </c>
      <c r="S59" s="1545">
        <f t="shared" si="41"/>
        <v>0</v>
      </c>
      <c r="T59" s="1545">
        <f t="shared" si="42"/>
        <v>0</v>
      </c>
      <c r="U59" s="1389">
        <f>'Table 5C1A-Madison Prep'!U59</f>
        <v>2054</v>
      </c>
      <c r="V59" s="1515">
        <f t="shared" si="43"/>
        <v>0</v>
      </c>
      <c r="W59" s="1391"/>
      <c r="X59" s="1392">
        <f t="shared" si="44"/>
        <v>0</v>
      </c>
      <c r="Y59" s="1391"/>
      <c r="Z59" s="1392">
        <f t="shared" si="28"/>
        <v>0</v>
      </c>
      <c r="AA59" s="1390">
        <f t="shared" si="29"/>
        <v>0</v>
      </c>
      <c r="AB59" s="1510">
        <f t="shared" si="30"/>
        <v>0</v>
      </c>
      <c r="AC59" s="1394">
        <f t="shared" si="31"/>
        <v>0</v>
      </c>
      <c r="AD59" s="1510">
        <f t="shared" si="45"/>
        <v>0</v>
      </c>
      <c r="AE59" s="1395">
        <v>0</v>
      </c>
      <c r="AF59" s="1510">
        <f t="shared" si="46"/>
        <v>0</v>
      </c>
      <c r="AG59" s="1395"/>
      <c r="AH59" s="1395">
        <f t="shared" si="47"/>
        <v>0</v>
      </c>
      <c r="AI59" s="1510">
        <f t="shared" si="48"/>
        <v>0</v>
      </c>
      <c r="AJ59" s="1505">
        <f t="shared" si="49"/>
        <v>0</v>
      </c>
      <c r="AK59" s="1535">
        <f t="shared" si="50"/>
        <v>0</v>
      </c>
    </row>
    <row r="60" spans="1:37" ht="16.2" customHeight="1">
      <c r="A60" s="1176">
        <v>54</v>
      </c>
      <c r="B60" s="1177" t="s">
        <v>133</v>
      </c>
      <c r="C60" s="1178">
        <f>+'Table 8 Membership 2.1.14'!G56</f>
        <v>0</v>
      </c>
      <c r="D60" s="1179">
        <f>+'Table 5C1A-Madison Prep'!D60</f>
        <v>5867.0798370516713</v>
      </c>
      <c r="E60" s="1180">
        <f t="shared" si="32"/>
        <v>0</v>
      </c>
      <c r="F60" s="1180">
        <f>+'Table 5C1A-Madison Prep'!F60</f>
        <v>951.45</v>
      </c>
      <c r="G60" s="1180">
        <f t="shared" si="33"/>
        <v>0</v>
      </c>
      <c r="H60" s="1539">
        <f t="shared" si="34"/>
        <v>0</v>
      </c>
      <c r="I60" s="1181"/>
      <c r="J60" s="1181"/>
      <c r="K60" s="1182">
        <f t="shared" si="35"/>
        <v>0</v>
      </c>
      <c r="L60" s="1539">
        <f t="shared" si="36"/>
        <v>0</v>
      </c>
      <c r="M60" s="1388">
        <f t="shared" si="37"/>
        <v>0</v>
      </c>
      <c r="N60" s="1539">
        <f t="shared" si="38"/>
        <v>0</v>
      </c>
      <c r="O60" s="1179">
        <v>0</v>
      </c>
      <c r="P60" s="1545">
        <f t="shared" si="39"/>
        <v>0</v>
      </c>
      <c r="Q60" s="1181"/>
      <c r="R60" s="1181">
        <f t="shared" si="40"/>
        <v>0</v>
      </c>
      <c r="S60" s="1545">
        <f t="shared" si="41"/>
        <v>0</v>
      </c>
      <c r="T60" s="1545">
        <f t="shared" si="42"/>
        <v>0</v>
      </c>
      <c r="U60" s="1389">
        <f>'Table 5C1A-Madison Prep'!U60</f>
        <v>4116</v>
      </c>
      <c r="V60" s="1515">
        <f t="shared" si="43"/>
        <v>0</v>
      </c>
      <c r="W60" s="1391"/>
      <c r="X60" s="1392">
        <f t="shared" si="44"/>
        <v>0</v>
      </c>
      <c r="Y60" s="1391"/>
      <c r="Z60" s="1392">
        <f t="shared" si="28"/>
        <v>0</v>
      </c>
      <c r="AA60" s="1390">
        <f t="shared" si="29"/>
        <v>0</v>
      </c>
      <c r="AB60" s="1510">
        <f t="shared" si="30"/>
        <v>0</v>
      </c>
      <c r="AC60" s="1394">
        <f t="shared" si="31"/>
        <v>0</v>
      </c>
      <c r="AD60" s="1510">
        <f t="shared" si="45"/>
        <v>0</v>
      </c>
      <c r="AE60" s="1395">
        <v>0</v>
      </c>
      <c r="AF60" s="1510">
        <f t="shared" si="46"/>
        <v>0</v>
      </c>
      <c r="AG60" s="1395"/>
      <c r="AH60" s="1395">
        <f t="shared" si="47"/>
        <v>0</v>
      </c>
      <c r="AI60" s="1510">
        <f t="shared" si="48"/>
        <v>0</v>
      </c>
      <c r="AJ60" s="1505">
        <f t="shared" si="49"/>
        <v>0</v>
      </c>
      <c r="AK60" s="1535">
        <f t="shared" si="50"/>
        <v>0</v>
      </c>
    </row>
    <row r="61" spans="1:37" ht="16.2" customHeight="1">
      <c r="A61" s="1168">
        <v>55</v>
      </c>
      <c r="B61" s="1169" t="s">
        <v>134</v>
      </c>
      <c r="C61" s="1170">
        <f>+'Table 8 Membership 2.1.14'!G57</f>
        <v>0</v>
      </c>
      <c r="D61" s="1171">
        <f>+'Table 5C1A-Madison Prep'!D61</f>
        <v>4266.8225491298481</v>
      </c>
      <c r="E61" s="1172">
        <f t="shared" si="32"/>
        <v>0</v>
      </c>
      <c r="F61" s="1172">
        <f>+'Table 5C1A-Madison Prep'!F61</f>
        <v>795.14</v>
      </c>
      <c r="G61" s="1172">
        <f t="shared" si="33"/>
        <v>0</v>
      </c>
      <c r="H61" s="1540">
        <f t="shared" si="34"/>
        <v>0</v>
      </c>
      <c r="I61" s="1173"/>
      <c r="J61" s="1173"/>
      <c r="K61" s="1174">
        <f t="shared" si="35"/>
        <v>0</v>
      </c>
      <c r="L61" s="1540">
        <f t="shared" si="36"/>
        <v>0</v>
      </c>
      <c r="M61" s="1399">
        <f t="shared" si="37"/>
        <v>0</v>
      </c>
      <c r="N61" s="1540">
        <f t="shared" si="38"/>
        <v>0</v>
      </c>
      <c r="O61" s="1171">
        <v>0</v>
      </c>
      <c r="P61" s="1546">
        <f t="shared" si="39"/>
        <v>0</v>
      </c>
      <c r="Q61" s="1173"/>
      <c r="R61" s="1173">
        <f t="shared" si="40"/>
        <v>0</v>
      </c>
      <c r="S61" s="1546">
        <f t="shared" si="41"/>
        <v>0</v>
      </c>
      <c r="T61" s="1546">
        <f t="shared" si="42"/>
        <v>0</v>
      </c>
      <c r="U61" s="1382">
        <f>'Table 5C1A-Madison Prep'!U61</f>
        <v>3532</v>
      </c>
      <c r="V61" s="1516">
        <f t="shared" si="43"/>
        <v>0</v>
      </c>
      <c r="W61" s="1400"/>
      <c r="X61" s="1383">
        <f t="shared" si="44"/>
        <v>0</v>
      </c>
      <c r="Y61" s="1400"/>
      <c r="Z61" s="1383">
        <f t="shared" si="28"/>
        <v>0</v>
      </c>
      <c r="AA61" s="1384">
        <f t="shared" si="29"/>
        <v>0</v>
      </c>
      <c r="AB61" s="1511">
        <f t="shared" si="30"/>
        <v>0</v>
      </c>
      <c r="AC61" s="1402">
        <f t="shared" si="31"/>
        <v>0</v>
      </c>
      <c r="AD61" s="1511">
        <f t="shared" si="45"/>
        <v>0</v>
      </c>
      <c r="AE61" s="1385">
        <v>0</v>
      </c>
      <c r="AF61" s="1511">
        <f t="shared" si="46"/>
        <v>0</v>
      </c>
      <c r="AG61" s="1385"/>
      <c r="AH61" s="1385">
        <f t="shared" si="47"/>
        <v>0</v>
      </c>
      <c r="AI61" s="1511">
        <f t="shared" si="48"/>
        <v>0</v>
      </c>
      <c r="AJ61" s="1531">
        <f t="shared" si="49"/>
        <v>0</v>
      </c>
      <c r="AK61" s="1536">
        <f t="shared" si="50"/>
        <v>0</v>
      </c>
    </row>
    <row r="62" spans="1:37" ht="16.2" customHeight="1">
      <c r="A62" s="1183">
        <v>56</v>
      </c>
      <c r="B62" s="1184" t="s">
        <v>135</v>
      </c>
      <c r="C62" s="1185">
        <f>+'Table 8 Membership 2.1.14'!G58</f>
        <v>0</v>
      </c>
      <c r="D62" s="1186">
        <f>+'Table 5C1A-Madison Prep'!D62</f>
        <v>5028.4909408288286</v>
      </c>
      <c r="E62" s="1187">
        <f t="shared" si="32"/>
        <v>0</v>
      </c>
      <c r="F62" s="1187">
        <f>+'Table 5C1A-Madison Prep'!F62</f>
        <v>614.66000000000008</v>
      </c>
      <c r="G62" s="1187">
        <f t="shared" si="33"/>
        <v>0</v>
      </c>
      <c r="H62" s="1538">
        <f t="shared" si="34"/>
        <v>0</v>
      </c>
      <c r="I62" s="1188"/>
      <c r="J62" s="1188"/>
      <c r="K62" s="1189">
        <f t="shared" si="35"/>
        <v>0</v>
      </c>
      <c r="L62" s="1538">
        <f t="shared" si="36"/>
        <v>0</v>
      </c>
      <c r="M62" s="1372">
        <f t="shared" si="37"/>
        <v>0</v>
      </c>
      <c r="N62" s="1538">
        <f t="shared" si="38"/>
        <v>0</v>
      </c>
      <c r="O62" s="1186">
        <v>0</v>
      </c>
      <c r="P62" s="1544">
        <f t="shared" si="39"/>
        <v>0</v>
      </c>
      <c r="Q62" s="1188"/>
      <c r="R62" s="1188">
        <f t="shared" si="40"/>
        <v>0</v>
      </c>
      <c r="S62" s="1544">
        <f t="shared" si="41"/>
        <v>0</v>
      </c>
      <c r="T62" s="1544">
        <f t="shared" si="42"/>
        <v>0</v>
      </c>
      <c r="U62" s="1373">
        <f>'Table 5C1A-Madison Prep'!U62</f>
        <v>2865</v>
      </c>
      <c r="V62" s="1514">
        <f t="shared" si="43"/>
        <v>0</v>
      </c>
      <c r="W62" s="1375"/>
      <c r="X62" s="1376">
        <f t="shared" si="44"/>
        <v>0</v>
      </c>
      <c r="Y62" s="1375"/>
      <c r="Z62" s="1376">
        <f t="shared" si="28"/>
        <v>0</v>
      </c>
      <c r="AA62" s="1374">
        <f t="shared" si="29"/>
        <v>0</v>
      </c>
      <c r="AB62" s="1509">
        <f t="shared" si="30"/>
        <v>0</v>
      </c>
      <c r="AC62" s="1378">
        <f t="shared" si="31"/>
        <v>0</v>
      </c>
      <c r="AD62" s="1509">
        <f t="shared" si="45"/>
        <v>0</v>
      </c>
      <c r="AE62" s="1379">
        <v>0</v>
      </c>
      <c r="AF62" s="1509">
        <f t="shared" si="46"/>
        <v>0</v>
      </c>
      <c r="AG62" s="1379"/>
      <c r="AH62" s="1379">
        <f t="shared" si="47"/>
        <v>0</v>
      </c>
      <c r="AI62" s="1509">
        <f t="shared" si="48"/>
        <v>0</v>
      </c>
      <c r="AJ62" s="1530">
        <f t="shared" si="49"/>
        <v>0</v>
      </c>
      <c r="AK62" s="1534">
        <f t="shared" si="50"/>
        <v>0</v>
      </c>
    </row>
    <row r="63" spans="1:37" ht="16.2" customHeight="1">
      <c r="A63" s="1176">
        <v>57</v>
      </c>
      <c r="B63" s="1177" t="s">
        <v>136</v>
      </c>
      <c r="C63" s="1178">
        <f>+'Table 8 Membership 2.1.14'!G59</f>
        <v>0</v>
      </c>
      <c r="D63" s="1179">
        <f>+'Table 5C1A-Madison Prep'!D63</f>
        <v>4625.9922979230687</v>
      </c>
      <c r="E63" s="1180">
        <f t="shared" si="32"/>
        <v>0</v>
      </c>
      <c r="F63" s="1180">
        <f>+'Table 5C1A-Madison Prep'!F63</f>
        <v>764.51</v>
      </c>
      <c r="G63" s="1180">
        <f t="shared" si="33"/>
        <v>0</v>
      </c>
      <c r="H63" s="1539">
        <f t="shared" si="34"/>
        <v>0</v>
      </c>
      <c r="I63" s="1181"/>
      <c r="J63" s="1181"/>
      <c r="K63" s="1182">
        <f t="shared" si="35"/>
        <v>0</v>
      </c>
      <c r="L63" s="1539">
        <f t="shared" si="36"/>
        <v>0</v>
      </c>
      <c r="M63" s="1388">
        <f t="shared" si="37"/>
        <v>0</v>
      </c>
      <c r="N63" s="1539">
        <f t="shared" si="38"/>
        <v>0</v>
      </c>
      <c r="O63" s="1179">
        <v>0</v>
      </c>
      <c r="P63" s="1545">
        <f t="shared" si="39"/>
        <v>0</v>
      </c>
      <c r="Q63" s="1181"/>
      <c r="R63" s="1181">
        <f t="shared" si="40"/>
        <v>0</v>
      </c>
      <c r="S63" s="1545">
        <f t="shared" si="41"/>
        <v>0</v>
      </c>
      <c r="T63" s="1545">
        <f t="shared" si="42"/>
        <v>0</v>
      </c>
      <c r="U63" s="1389">
        <f>'Table 5C1A-Madison Prep'!U63</f>
        <v>3395</v>
      </c>
      <c r="V63" s="1515">
        <f t="shared" si="43"/>
        <v>0</v>
      </c>
      <c r="W63" s="1391"/>
      <c r="X63" s="1392">
        <f t="shared" si="44"/>
        <v>0</v>
      </c>
      <c r="Y63" s="1391"/>
      <c r="Z63" s="1392">
        <f t="shared" si="28"/>
        <v>0</v>
      </c>
      <c r="AA63" s="1390">
        <f t="shared" si="29"/>
        <v>0</v>
      </c>
      <c r="AB63" s="1510">
        <f t="shared" si="30"/>
        <v>0</v>
      </c>
      <c r="AC63" s="1394">
        <f t="shared" si="31"/>
        <v>0</v>
      </c>
      <c r="AD63" s="1510">
        <f t="shared" si="45"/>
        <v>0</v>
      </c>
      <c r="AE63" s="1395">
        <v>0</v>
      </c>
      <c r="AF63" s="1510">
        <f t="shared" si="46"/>
        <v>0</v>
      </c>
      <c r="AG63" s="1395"/>
      <c r="AH63" s="1395">
        <f t="shared" si="47"/>
        <v>0</v>
      </c>
      <c r="AI63" s="1510">
        <f t="shared" si="48"/>
        <v>0</v>
      </c>
      <c r="AJ63" s="1505">
        <f t="shared" si="49"/>
        <v>0</v>
      </c>
      <c r="AK63" s="1535">
        <f t="shared" si="50"/>
        <v>0</v>
      </c>
    </row>
    <row r="64" spans="1:37" ht="16.2" customHeight="1">
      <c r="A64" s="1176">
        <v>58</v>
      </c>
      <c r="B64" s="1177" t="s">
        <v>137</v>
      </c>
      <c r="C64" s="1178">
        <f>+'Table 8 Membership 2.1.14'!G60</f>
        <v>0</v>
      </c>
      <c r="D64" s="1179">
        <f>+'Table 5C1A-Madison Prep'!D64</f>
        <v>5673.1129637882123</v>
      </c>
      <c r="E64" s="1180">
        <f t="shared" si="32"/>
        <v>0</v>
      </c>
      <c r="F64" s="1180">
        <f>+'Table 5C1A-Madison Prep'!F64</f>
        <v>697.04</v>
      </c>
      <c r="G64" s="1180">
        <f t="shared" si="33"/>
        <v>0</v>
      </c>
      <c r="H64" s="1539">
        <f t="shared" si="34"/>
        <v>0</v>
      </c>
      <c r="I64" s="1181"/>
      <c r="J64" s="1181"/>
      <c r="K64" s="1182">
        <f t="shared" si="35"/>
        <v>0</v>
      </c>
      <c r="L64" s="1539">
        <f t="shared" si="36"/>
        <v>0</v>
      </c>
      <c r="M64" s="1388">
        <f t="shared" si="37"/>
        <v>0</v>
      </c>
      <c r="N64" s="1539">
        <f t="shared" si="38"/>
        <v>0</v>
      </c>
      <c r="O64" s="1179">
        <v>0</v>
      </c>
      <c r="P64" s="1545">
        <f t="shared" si="39"/>
        <v>0</v>
      </c>
      <c r="Q64" s="1181"/>
      <c r="R64" s="1181">
        <f t="shared" si="40"/>
        <v>0</v>
      </c>
      <c r="S64" s="1545">
        <f t="shared" si="41"/>
        <v>0</v>
      </c>
      <c r="T64" s="1545">
        <f t="shared" si="42"/>
        <v>0</v>
      </c>
      <c r="U64" s="1389">
        <f>'Table 5C1A-Madison Prep'!U64</f>
        <v>2084</v>
      </c>
      <c r="V64" s="1515">
        <f t="shared" si="43"/>
        <v>0</v>
      </c>
      <c r="W64" s="1391"/>
      <c r="X64" s="1392">
        <f t="shared" si="44"/>
        <v>0</v>
      </c>
      <c r="Y64" s="1391"/>
      <c r="Z64" s="1392">
        <f t="shared" si="28"/>
        <v>0</v>
      </c>
      <c r="AA64" s="1390">
        <f t="shared" si="29"/>
        <v>0</v>
      </c>
      <c r="AB64" s="1510">
        <f t="shared" si="30"/>
        <v>0</v>
      </c>
      <c r="AC64" s="1394">
        <f t="shared" si="31"/>
        <v>0</v>
      </c>
      <c r="AD64" s="1510">
        <f t="shared" si="45"/>
        <v>0</v>
      </c>
      <c r="AE64" s="1395">
        <v>0</v>
      </c>
      <c r="AF64" s="1510">
        <f t="shared" si="46"/>
        <v>0</v>
      </c>
      <c r="AG64" s="1395"/>
      <c r="AH64" s="1395">
        <f t="shared" si="47"/>
        <v>0</v>
      </c>
      <c r="AI64" s="1510">
        <f t="shared" si="48"/>
        <v>0</v>
      </c>
      <c r="AJ64" s="1505">
        <f t="shared" si="49"/>
        <v>0</v>
      </c>
      <c r="AK64" s="1535">
        <f t="shared" si="50"/>
        <v>0</v>
      </c>
    </row>
    <row r="65" spans="1:37" ht="16.2" customHeight="1">
      <c r="A65" s="1176">
        <v>59</v>
      </c>
      <c r="B65" s="1177" t="s">
        <v>138</v>
      </c>
      <c r="C65" s="1178">
        <f>+'Table 8 Membership 2.1.14'!G61</f>
        <v>0</v>
      </c>
      <c r="D65" s="1179">
        <f>+'Table 5C1A-Madison Prep'!D65</f>
        <v>6621.946293521848</v>
      </c>
      <c r="E65" s="1180">
        <f t="shared" si="32"/>
        <v>0</v>
      </c>
      <c r="F65" s="1180">
        <f>+'Table 5C1A-Madison Prep'!F65</f>
        <v>689.52</v>
      </c>
      <c r="G65" s="1180">
        <f t="shared" si="33"/>
        <v>0</v>
      </c>
      <c r="H65" s="1539">
        <f t="shared" si="34"/>
        <v>0</v>
      </c>
      <c r="I65" s="1181"/>
      <c r="J65" s="1181"/>
      <c r="K65" s="1182">
        <f t="shared" si="35"/>
        <v>0</v>
      </c>
      <c r="L65" s="1539">
        <f t="shared" si="36"/>
        <v>0</v>
      </c>
      <c r="M65" s="1388">
        <f t="shared" si="37"/>
        <v>0</v>
      </c>
      <c r="N65" s="1539">
        <f t="shared" si="38"/>
        <v>0</v>
      </c>
      <c r="O65" s="1179">
        <v>0</v>
      </c>
      <c r="P65" s="1545">
        <f t="shared" si="39"/>
        <v>0</v>
      </c>
      <c r="Q65" s="1181"/>
      <c r="R65" s="1181">
        <f t="shared" si="40"/>
        <v>0</v>
      </c>
      <c r="S65" s="1545">
        <f t="shared" si="41"/>
        <v>0</v>
      </c>
      <c r="T65" s="1545">
        <f t="shared" si="42"/>
        <v>0</v>
      </c>
      <c r="U65" s="1389">
        <f>'Table 5C1A-Madison Prep'!U65</f>
        <v>1577</v>
      </c>
      <c r="V65" s="1515">
        <f t="shared" si="43"/>
        <v>0</v>
      </c>
      <c r="W65" s="1391"/>
      <c r="X65" s="1392">
        <f t="shared" si="44"/>
        <v>0</v>
      </c>
      <c r="Y65" s="1391"/>
      <c r="Z65" s="1392">
        <f t="shared" si="28"/>
        <v>0</v>
      </c>
      <c r="AA65" s="1390">
        <f t="shared" si="29"/>
        <v>0</v>
      </c>
      <c r="AB65" s="1510">
        <f t="shared" si="30"/>
        <v>0</v>
      </c>
      <c r="AC65" s="1394">
        <f t="shared" si="31"/>
        <v>0</v>
      </c>
      <c r="AD65" s="1510">
        <f t="shared" si="45"/>
        <v>0</v>
      </c>
      <c r="AE65" s="1395">
        <v>0</v>
      </c>
      <c r="AF65" s="1510">
        <f t="shared" si="46"/>
        <v>0</v>
      </c>
      <c r="AG65" s="1395"/>
      <c r="AH65" s="1395">
        <f t="shared" si="47"/>
        <v>0</v>
      </c>
      <c r="AI65" s="1510">
        <f t="shared" si="48"/>
        <v>0</v>
      </c>
      <c r="AJ65" s="1505">
        <f t="shared" si="49"/>
        <v>0</v>
      </c>
      <c r="AK65" s="1535">
        <f t="shared" si="50"/>
        <v>0</v>
      </c>
    </row>
    <row r="66" spans="1:37" ht="16.2" customHeight="1">
      <c r="A66" s="1168">
        <v>60</v>
      </c>
      <c r="B66" s="1169" t="s">
        <v>139</v>
      </c>
      <c r="C66" s="1170">
        <f>+'Table 8 Membership 2.1.14'!G62</f>
        <v>0</v>
      </c>
      <c r="D66" s="1171">
        <f>+'Table 5C1A-Madison Prep'!D66</f>
        <v>5301.224090063828</v>
      </c>
      <c r="E66" s="1172">
        <f t="shared" si="32"/>
        <v>0</v>
      </c>
      <c r="F66" s="1172">
        <f>+'Table 5C1A-Madison Prep'!F66</f>
        <v>594.04</v>
      </c>
      <c r="G66" s="1172">
        <f t="shared" si="33"/>
        <v>0</v>
      </c>
      <c r="H66" s="1540">
        <f t="shared" si="34"/>
        <v>0</v>
      </c>
      <c r="I66" s="1173"/>
      <c r="J66" s="1173"/>
      <c r="K66" s="1174">
        <f t="shared" si="35"/>
        <v>0</v>
      </c>
      <c r="L66" s="1540">
        <f t="shared" si="36"/>
        <v>0</v>
      </c>
      <c r="M66" s="1399">
        <f t="shared" si="37"/>
        <v>0</v>
      </c>
      <c r="N66" s="1540">
        <f t="shared" si="38"/>
        <v>0</v>
      </c>
      <c r="O66" s="1171">
        <v>0</v>
      </c>
      <c r="P66" s="1546">
        <f t="shared" si="39"/>
        <v>0</v>
      </c>
      <c r="Q66" s="1173"/>
      <c r="R66" s="1173">
        <f t="shared" si="40"/>
        <v>0</v>
      </c>
      <c r="S66" s="1546">
        <f t="shared" si="41"/>
        <v>0</v>
      </c>
      <c r="T66" s="1546">
        <f t="shared" si="42"/>
        <v>0</v>
      </c>
      <c r="U66" s="1382">
        <f>'Table 5C1A-Madison Prep'!U66</f>
        <v>3922</v>
      </c>
      <c r="V66" s="1516">
        <f t="shared" si="43"/>
        <v>0</v>
      </c>
      <c r="W66" s="1400"/>
      <c r="X66" s="1383">
        <f t="shared" si="44"/>
        <v>0</v>
      </c>
      <c r="Y66" s="1400"/>
      <c r="Z66" s="1383">
        <f t="shared" si="28"/>
        <v>0</v>
      </c>
      <c r="AA66" s="1384">
        <f t="shared" si="29"/>
        <v>0</v>
      </c>
      <c r="AB66" s="1511">
        <f t="shared" si="30"/>
        <v>0</v>
      </c>
      <c r="AC66" s="1402">
        <f t="shared" si="31"/>
        <v>0</v>
      </c>
      <c r="AD66" s="1511">
        <f t="shared" si="45"/>
        <v>0</v>
      </c>
      <c r="AE66" s="1385">
        <v>0</v>
      </c>
      <c r="AF66" s="1511">
        <f t="shared" si="46"/>
        <v>0</v>
      </c>
      <c r="AG66" s="1385"/>
      <c r="AH66" s="1385">
        <f t="shared" si="47"/>
        <v>0</v>
      </c>
      <c r="AI66" s="1511">
        <f t="shared" si="48"/>
        <v>0</v>
      </c>
      <c r="AJ66" s="1531">
        <f t="shared" si="49"/>
        <v>0</v>
      </c>
      <c r="AK66" s="1536">
        <f t="shared" si="50"/>
        <v>0</v>
      </c>
    </row>
    <row r="67" spans="1:37" ht="16.2" customHeight="1">
      <c r="A67" s="1183">
        <v>61</v>
      </c>
      <c r="B67" s="1184" t="s">
        <v>140</v>
      </c>
      <c r="C67" s="1185">
        <f>+'Table 8 Membership 2.1.14'!G63</f>
        <v>0</v>
      </c>
      <c r="D67" s="1186">
        <f>+'Table 5C1A-Madison Prep'!D67</f>
        <v>2854.1575356369185</v>
      </c>
      <c r="E67" s="1187">
        <f t="shared" si="32"/>
        <v>0</v>
      </c>
      <c r="F67" s="1187">
        <f>+'Table 5C1A-Madison Prep'!F67</f>
        <v>833.70999999999992</v>
      </c>
      <c r="G67" s="1187">
        <f t="shared" si="33"/>
        <v>0</v>
      </c>
      <c r="H67" s="1538">
        <f t="shared" si="34"/>
        <v>0</v>
      </c>
      <c r="I67" s="1188"/>
      <c r="J67" s="1188"/>
      <c r="K67" s="1189">
        <f t="shared" si="35"/>
        <v>0</v>
      </c>
      <c r="L67" s="1538">
        <f t="shared" si="36"/>
        <v>0</v>
      </c>
      <c r="M67" s="1372">
        <f t="shared" si="37"/>
        <v>0</v>
      </c>
      <c r="N67" s="1538">
        <f t="shared" si="38"/>
        <v>0</v>
      </c>
      <c r="O67" s="1186">
        <v>0</v>
      </c>
      <c r="P67" s="1544">
        <f t="shared" si="39"/>
        <v>0</v>
      </c>
      <c r="Q67" s="1188"/>
      <c r="R67" s="1188">
        <f t="shared" si="40"/>
        <v>0</v>
      </c>
      <c r="S67" s="1544">
        <f t="shared" si="41"/>
        <v>0</v>
      </c>
      <c r="T67" s="1544">
        <f t="shared" si="42"/>
        <v>0</v>
      </c>
      <c r="U67" s="1373">
        <f>'Table 5C1A-Madison Prep'!U67</f>
        <v>6745</v>
      </c>
      <c r="V67" s="1514">
        <f t="shared" si="43"/>
        <v>0</v>
      </c>
      <c r="W67" s="1375"/>
      <c r="X67" s="1376">
        <f t="shared" si="44"/>
        <v>0</v>
      </c>
      <c r="Y67" s="1375"/>
      <c r="Z67" s="1376">
        <f t="shared" si="28"/>
        <v>0</v>
      </c>
      <c r="AA67" s="1374">
        <f t="shared" si="29"/>
        <v>0</v>
      </c>
      <c r="AB67" s="1509">
        <f t="shared" si="30"/>
        <v>0</v>
      </c>
      <c r="AC67" s="1378">
        <f t="shared" si="31"/>
        <v>0</v>
      </c>
      <c r="AD67" s="1509">
        <f t="shared" si="45"/>
        <v>0</v>
      </c>
      <c r="AE67" s="1379">
        <v>0</v>
      </c>
      <c r="AF67" s="1509">
        <f t="shared" si="46"/>
        <v>0</v>
      </c>
      <c r="AG67" s="1379"/>
      <c r="AH67" s="1379">
        <f t="shared" si="47"/>
        <v>0</v>
      </c>
      <c r="AI67" s="1509">
        <f t="shared" si="48"/>
        <v>0</v>
      </c>
      <c r="AJ67" s="1530">
        <f t="shared" si="49"/>
        <v>0</v>
      </c>
      <c r="AK67" s="1534">
        <f t="shared" si="50"/>
        <v>0</v>
      </c>
    </row>
    <row r="68" spans="1:37" ht="16.2" customHeight="1">
      <c r="A68" s="1176">
        <v>62</v>
      </c>
      <c r="B68" s="1177" t="s">
        <v>141</v>
      </c>
      <c r="C68" s="1178">
        <f>+'Table 8 Membership 2.1.14'!G64</f>
        <v>0</v>
      </c>
      <c r="D68" s="1179">
        <f>+'Table 5C1A-Madison Prep'!D68</f>
        <v>5901.074538516008</v>
      </c>
      <c r="E68" s="1180">
        <f t="shared" si="32"/>
        <v>0</v>
      </c>
      <c r="F68" s="1180">
        <f>+'Table 5C1A-Madison Prep'!F68</f>
        <v>516.08000000000004</v>
      </c>
      <c r="G68" s="1180">
        <f t="shared" si="33"/>
        <v>0</v>
      </c>
      <c r="H68" s="1539">
        <f t="shared" si="34"/>
        <v>0</v>
      </c>
      <c r="I68" s="1181"/>
      <c r="J68" s="1181"/>
      <c r="K68" s="1182">
        <f t="shared" si="35"/>
        <v>0</v>
      </c>
      <c r="L68" s="1539">
        <f t="shared" si="36"/>
        <v>0</v>
      </c>
      <c r="M68" s="1388">
        <f t="shared" si="37"/>
        <v>0</v>
      </c>
      <c r="N68" s="1539">
        <f t="shared" si="38"/>
        <v>0</v>
      </c>
      <c r="O68" s="1179">
        <v>0</v>
      </c>
      <c r="P68" s="1545">
        <f t="shared" si="39"/>
        <v>0</v>
      </c>
      <c r="Q68" s="1181"/>
      <c r="R68" s="1181">
        <f t="shared" si="40"/>
        <v>0</v>
      </c>
      <c r="S68" s="1545">
        <f t="shared" si="41"/>
        <v>0</v>
      </c>
      <c r="T68" s="1545">
        <f t="shared" si="42"/>
        <v>0</v>
      </c>
      <c r="U68" s="1389">
        <f>'Table 5C1A-Madison Prep'!U68</f>
        <v>1908</v>
      </c>
      <c r="V68" s="1515">
        <f t="shared" si="43"/>
        <v>0</v>
      </c>
      <c r="W68" s="1391"/>
      <c r="X68" s="1392">
        <f t="shared" si="44"/>
        <v>0</v>
      </c>
      <c r="Y68" s="1391"/>
      <c r="Z68" s="1392">
        <f t="shared" si="28"/>
        <v>0</v>
      </c>
      <c r="AA68" s="1390">
        <f t="shared" si="29"/>
        <v>0</v>
      </c>
      <c r="AB68" s="1510">
        <f t="shared" si="30"/>
        <v>0</v>
      </c>
      <c r="AC68" s="1394">
        <f t="shared" si="31"/>
        <v>0</v>
      </c>
      <c r="AD68" s="1510">
        <f t="shared" si="45"/>
        <v>0</v>
      </c>
      <c r="AE68" s="1395">
        <v>0</v>
      </c>
      <c r="AF68" s="1510">
        <f t="shared" si="46"/>
        <v>0</v>
      </c>
      <c r="AG68" s="1395"/>
      <c r="AH68" s="1395">
        <f t="shared" si="47"/>
        <v>0</v>
      </c>
      <c r="AI68" s="1510">
        <f t="shared" si="48"/>
        <v>0</v>
      </c>
      <c r="AJ68" s="1505">
        <f t="shared" si="49"/>
        <v>0</v>
      </c>
      <c r="AK68" s="1535">
        <f t="shared" si="50"/>
        <v>0</v>
      </c>
    </row>
    <row r="69" spans="1:37" ht="16.2" customHeight="1">
      <c r="A69" s="1176">
        <v>63</v>
      </c>
      <c r="B69" s="1177" t="s">
        <v>142</v>
      </c>
      <c r="C69" s="1178">
        <f>+'Table 8 Membership 2.1.14'!G65</f>
        <v>0</v>
      </c>
      <c r="D69" s="1179">
        <f>+'Table 5C1A-Madison Prep'!D69</f>
        <v>4124.3813481848092</v>
      </c>
      <c r="E69" s="1180">
        <f t="shared" si="32"/>
        <v>0</v>
      </c>
      <c r="F69" s="1180">
        <f>+'Table 5C1A-Madison Prep'!F69</f>
        <v>756.79</v>
      </c>
      <c r="G69" s="1180">
        <f t="shared" si="33"/>
        <v>0</v>
      </c>
      <c r="H69" s="1539">
        <f t="shared" si="34"/>
        <v>0</v>
      </c>
      <c r="I69" s="1181"/>
      <c r="J69" s="1181"/>
      <c r="K69" s="1182">
        <f t="shared" si="35"/>
        <v>0</v>
      </c>
      <c r="L69" s="1539">
        <f t="shared" si="36"/>
        <v>0</v>
      </c>
      <c r="M69" s="1388">
        <f t="shared" si="37"/>
        <v>0</v>
      </c>
      <c r="N69" s="1539">
        <f t="shared" si="38"/>
        <v>0</v>
      </c>
      <c r="O69" s="1179">
        <v>0</v>
      </c>
      <c r="P69" s="1545">
        <f t="shared" si="39"/>
        <v>0</v>
      </c>
      <c r="Q69" s="1181"/>
      <c r="R69" s="1181">
        <f t="shared" si="40"/>
        <v>0</v>
      </c>
      <c r="S69" s="1545">
        <f t="shared" si="41"/>
        <v>0</v>
      </c>
      <c r="T69" s="1545">
        <f t="shared" si="42"/>
        <v>0</v>
      </c>
      <c r="U69" s="1389">
        <f>'Table 5C1A-Madison Prep'!U69</f>
        <v>7290</v>
      </c>
      <c r="V69" s="1515">
        <f t="shared" si="43"/>
        <v>0</v>
      </c>
      <c r="W69" s="1391"/>
      <c r="X69" s="1392">
        <f t="shared" si="44"/>
        <v>0</v>
      </c>
      <c r="Y69" s="1391"/>
      <c r="Z69" s="1392">
        <f t="shared" si="28"/>
        <v>0</v>
      </c>
      <c r="AA69" s="1390">
        <f t="shared" si="29"/>
        <v>0</v>
      </c>
      <c r="AB69" s="1510">
        <f t="shared" si="30"/>
        <v>0</v>
      </c>
      <c r="AC69" s="1394">
        <f t="shared" si="31"/>
        <v>0</v>
      </c>
      <c r="AD69" s="1510">
        <f t="shared" si="45"/>
        <v>0</v>
      </c>
      <c r="AE69" s="1395">
        <v>0</v>
      </c>
      <c r="AF69" s="1510">
        <f t="shared" si="46"/>
        <v>0</v>
      </c>
      <c r="AG69" s="1395"/>
      <c r="AH69" s="1395">
        <f t="shared" si="47"/>
        <v>0</v>
      </c>
      <c r="AI69" s="1510">
        <f t="shared" si="48"/>
        <v>0</v>
      </c>
      <c r="AJ69" s="1505">
        <f t="shared" si="49"/>
        <v>0</v>
      </c>
      <c r="AK69" s="1535">
        <f t="shared" si="50"/>
        <v>0</v>
      </c>
    </row>
    <row r="70" spans="1:37" ht="16.2" customHeight="1">
      <c r="A70" s="1176">
        <v>64</v>
      </c>
      <c r="B70" s="1177" t="s">
        <v>143</v>
      </c>
      <c r="C70" s="1178">
        <f>+'Table 8 Membership 2.1.14'!G66</f>
        <v>0</v>
      </c>
      <c r="D70" s="1179">
        <f>+'Table 5C1A-Madison Prep'!D70</f>
        <v>6277.8307532778254</v>
      </c>
      <c r="E70" s="1180">
        <f t="shared" si="32"/>
        <v>0</v>
      </c>
      <c r="F70" s="1180">
        <f>+'Table 5C1A-Madison Prep'!F70</f>
        <v>592.66</v>
      </c>
      <c r="G70" s="1180">
        <f t="shared" si="33"/>
        <v>0</v>
      </c>
      <c r="H70" s="1539">
        <f t="shared" si="34"/>
        <v>0</v>
      </c>
      <c r="I70" s="1181"/>
      <c r="J70" s="1181"/>
      <c r="K70" s="1182">
        <f t="shared" si="35"/>
        <v>0</v>
      </c>
      <c r="L70" s="1539">
        <f t="shared" si="36"/>
        <v>0</v>
      </c>
      <c r="M70" s="1388">
        <f t="shared" si="37"/>
        <v>0</v>
      </c>
      <c r="N70" s="1539">
        <f t="shared" si="38"/>
        <v>0</v>
      </c>
      <c r="O70" s="1179">
        <v>0</v>
      </c>
      <c r="P70" s="1545">
        <f t="shared" si="39"/>
        <v>0</v>
      </c>
      <c r="Q70" s="1181"/>
      <c r="R70" s="1181">
        <f t="shared" si="40"/>
        <v>0</v>
      </c>
      <c r="S70" s="1545">
        <f t="shared" si="41"/>
        <v>0</v>
      </c>
      <c r="T70" s="1545">
        <f t="shared" si="42"/>
        <v>0</v>
      </c>
      <c r="U70" s="1389">
        <f>'Table 5C1A-Madison Prep'!U70</f>
        <v>2721</v>
      </c>
      <c r="V70" s="1515">
        <f t="shared" si="43"/>
        <v>0</v>
      </c>
      <c r="W70" s="1391"/>
      <c r="X70" s="1392">
        <f t="shared" si="44"/>
        <v>0</v>
      </c>
      <c r="Y70" s="1391"/>
      <c r="Z70" s="1392">
        <f t="shared" si="28"/>
        <v>0</v>
      </c>
      <c r="AA70" s="1390">
        <f t="shared" si="29"/>
        <v>0</v>
      </c>
      <c r="AB70" s="1510">
        <f t="shared" si="30"/>
        <v>0</v>
      </c>
      <c r="AC70" s="1394">
        <f t="shared" si="31"/>
        <v>0</v>
      </c>
      <c r="AD70" s="1510">
        <f t="shared" si="45"/>
        <v>0</v>
      </c>
      <c r="AE70" s="1395">
        <v>0</v>
      </c>
      <c r="AF70" s="1510">
        <f t="shared" si="46"/>
        <v>0</v>
      </c>
      <c r="AG70" s="1395"/>
      <c r="AH70" s="1395">
        <f t="shared" si="47"/>
        <v>0</v>
      </c>
      <c r="AI70" s="1510">
        <f t="shared" si="48"/>
        <v>0</v>
      </c>
      <c r="AJ70" s="1505">
        <f t="shared" si="49"/>
        <v>0</v>
      </c>
      <c r="AK70" s="1535">
        <f t="shared" si="50"/>
        <v>0</v>
      </c>
    </row>
    <row r="71" spans="1:37" ht="16.2" customHeight="1">
      <c r="A71" s="1168">
        <v>65</v>
      </c>
      <c r="B71" s="1169" t="s">
        <v>144</v>
      </c>
      <c r="C71" s="1170">
        <f>+'Table 8 Membership 2.1.14'!G67</f>
        <v>0</v>
      </c>
      <c r="D71" s="1171">
        <f>+'Table 5C1A-Madison Prep'!D71</f>
        <v>4775.1605543943642</v>
      </c>
      <c r="E71" s="1172">
        <f t="shared" si="32"/>
        <v>0</v>
      </c>
      <c r="F71" s="1172">
        <f>+'Table 5C1A-Madison Prep'!F71</f>
        <v>829.12</v>
      </c>
      <c r="G71" s="1172">
        <f t="shared" si="33"/>
        <v>0</v>
      </c>
      <c r="H71" s="1540">
        <f t="shared" si="34"/>
        <v>0</v>
      </c>
      <c r="I71" s="1173"/>
      <c r="J71" s="1173"/>
      <c r="K71" s="1174">
        <f t="shared" si="35"/>
        <v>0</v>
      </c>
      <c r="L71" s="1540">
        <f t="shared" si="36"/>
        <v>0</v>
      </c>
      <c r="M71" s="1399">
        <f t="shared" si="37"/>
        <v>0</v>
      </c>
      <c r="N71" s="1540">
        <f t="shared" si="38"/>
        <v>0</v>
      </c>
      <c r="O71" s="1171">
        <v>0</v>
      </c>
      <c r="P71" s="1546">
        <f t="shared" si="39"/>
        <v>0</v>
      </c>
      <c r="Q71" s="1173"/>
      <c r="R71" s="1173">
        <f t="shared" si="40"/>
        <v>0</v>
      </c>
      <c r="S71" s="1546">
        <f t="shared" si="41"/>
        <v>0</v>
      </c>
      <c r="T71" s="1546">
        <f t="shared" si="42"/>
        <v>0</v>
      </c>
      <c r="U71" s="1382">
        <f>'Table 5C1A-Madison Prep'!U71</f>
        <v>5110</v>
      </c>
      <c r="V71" s="1516">
        <f t="shared" si="43"/>
        <v>0</v>
      </c>
      <c r="W71" s="1400"/>
      <c r="X71" s="1383">
        <f t="shared" si="44"/>
        <v>0</v>
      </c>
      <c r="Y71" s="1400"/>
      <c r="Z71" s="1383">
        <f t="shared" ref="Z71:Z74" si="51">+U71*Y71*0.5</f>
        <v>0</v>
      </c>
      <c r="AA71" s="1384">
        <f t="shared" ref="AA71:AA74" si="52">+X71+Z71</f>
        <v>0</v>
      </c>
      <c r="AB71" s="1511">
        <f t="shared" ref="AB71:AB74" si="53">+AA71+V71</f>
        <v>0</v>
      </c>
      <c r="AC71" s="1402">
        <f t="shared" ref="AC71:AC74" si="54">-(0.25%*AB71)</f>
        <v>0</v>
      </c>
      <c r="AD71" s="1511">
        <f t="shared" si="45"/>
        <v>0</v>
      </c>
      <c r="AE71" s="1385">
        <v>0</v>
      </c>
      <c r="AF71" s="1511">
        <f t="shared" si="46"/>
        <v>0</v>
      </c>
      <c r="AG71" s="1385"/>
      <c r="AH71" s="1385">
        <f t="shared" si="47"/>
        <v>0</v>
      </c>
      <c r="AI71" s="1511">
        <f t="shared" si="48"/>
        <v>0</v>
      </c>
      <c r="AJ71" s="1531">
        <f t="shared" si="49"/>
        <v>0</v>
      </c>
      <c r="AK71" s="1536">
        <f t="shared" si="50"/>
        <v>0</v>
      </c>
    </row>
    <row r="72" spans="1:37" ht="16.2" customHeight="1">
      <c r="A72" s="1176">
        <v>66</v>
      </c>
      <c r="B72" s="1177" t="s">
        <v>145</v>
      </c>
      <c r="C72" s="1197">
        <f>+'Table 8 Membership 2.1.14'!G68</f>
        <v>0</v>
      </c>
      <c r="D72" s="1198">
        <f>+'Table 5C1A-Madison Prep'!D72</f>
        <v>6564.0085433910035</v>
      </c>
      <c r="E72" s="1199">
        <f t="shared" ref="E72:E75" si="55">C72*D72</f>
        <v>0</v>
      </c>
      <c r="F72" s="1199">
        <f>+'Table 5C1A-Madison Prep'!F72</f>
        <v>730.06</v>
      </c>
      <c r="G72" s="1199">
        <f t="shared" ref="G72:G75" si="56">C72*F72</f>
        <v>0</v>
      </c>
      <c r="H72" s="1403">
        <f t="shared" ref="H72:H75" si="57">E72+G72</f>
        <v>0</v>
      </c>
      <c r="I72" s="1200"/>
      <c r="J72" s="1200"/>
      <c r="K72" s="1201">
        <f t="shared" ref="K72:K75" si="58">+I72+J72</f>
        <v>0</v>
      </c>
      <c r="L72" s="1403">
        <f t="shared" ref="L72:L75" si="59">+H72+K72</f>
        <v>0</v>
      </c>
      <c r="M72" s="1423">
        <f t="shared" ref="M72:M75" si="60">-(0.25%*L72)</f>
        <v>0</v>
      </c>
      <c r="N72" s="1403">
        <f t="shared" ref="N72:N75" si="61">SUM(L72:M72)</f>
        <v>0</v>
      </c>
      <c r="O72" s="1198">
        <v>0</v>
      </c>
      <c r="P72" s="1398">
        <f t="shared" ref="P72:P75" si="62">SUM(N72:O72)</f>
        <v>0</v>
      </c>
      <c r="Q72" s="1200"/>
      <c r="R72" s="1200">
        <f t="shared" ref="R72:R75" si="63">+P72-Q72</f>
        <v>0</v>
      </c>
      <c r="S72" s="1398">
        <f t="shared" ref="S72:S75" si="64">ROUND(R72/12,0)</f>
        <v>0</v>
      </c>
      <c r="T72" s="1398">
        <f t="shared" ref="T72:T75" si="65">+P72</f>
        <v>0</v>
      </c>
      <c r="U72" s="1389">
        <f>'Table 5C1A-Madison Prep'!U72</f>
        <v>3369</v>
      </c>
      <c r="V72" s="1515">
        <f t="shared" ref="V72:V75" si="66">C72*U72</f>
        <v>0</v>
      </c>
      <c r="W72" s="1391"/>
      <c r="X72" s="1392">
        <f t="shared" ref="X72:X75" si="67">+U72*W72</f>
        <v>0</v>
      </c>
      <c r="Y72" s="1391"/>
      <c r="Z72" s="1392">
        <f t="shared" si="51"/>
        <v>0</v>
      </c>
      <c r="AA72" s="1390">
        <f t="shared" si="52"/>
        <v>0</v>
      </c>
      <c r="AB72" s="1510">
        <f t="shared" si="53"/>
        <v>0</v>
      </c>
      <c r="AC72" s="1394">
        <f t="shared" si="54"/>
        <v>0</v>
      </c>
      <c r="AD72" s="1510">
        <f t="shared" ref="AD72:AD75" si="68">SUM(AB72:AC72)</f>
        <v>0</v>
      </c>
      <c r="AE72" s="1395">
        <v>0</v>
      </c>
      <c r="AF72" s="1510">
        <f t="shared" ref="AF72:AF75" si="69">SUM(AD72:AE72)</f>
        <v>0</v>
      </c>
      <c r="AG72" s="1395"/>
      <c r="AH72" s="1395">
        <f t="shared" ref="AH72:AH75" si="70">+AF72-AG72</f>
        <v>0</v>
      </c>
      <c r="AI72" s="1510">
        <f t="shared" ref="AI72:AI75" si="71">ROUND(AH72/12,0)</f>
        <v>0</v>
      </c>
      <c r="AJ72" s="1505">
        <f t="shared" ref="AJ72:AJ75" si="72">T72+AF72</f>
        <v>0</v>
      </c>
      <c r="AK72" s="1505">
        <f t="shared" ref="AK72:AK75" si="73">S72+AI72</f>
        <v>0</v>
      </c>
    </row>
    <row r="73" spans="1:37" ht="16.2" customHeight="1">
      <c r="A73" s="1176">
        <v>67</v>
      </c>
      <c r="B73" s="1177" t="s">
        <v>30</v>
      </c>
      <c r="C73" s="1197">
        <f>+'Table 8 Membership 2.1.14'!G69</f>
        <v>0</v>
      </c>
      <c r="D73" s="1198">
        <f>+'Table 5C1A-Madison Prep'!D73</f>
        <v>5029.1467736134118</v>
      </c>
      <c r="E73" s="1199">
        <f t="shared" si="55"/>
        <v>0</v>
      </c>
      <c r="F73" s="1199">
        <f>+'Table 5C1A-Madison Prep'!F73</f>
        <v>715.61</v>
      </c>
      <c r="G73" s="1199">
        <f t="shared" si="56"/>
        <v>0</v>
      </c>
      <c r="H73" s="1403">
        <f t="shared" si="57"/>
        <v>0</v>
      </c>
      <c r="I73" s="1200"/>
      <c r="J73" s="1200"/>
      <c r="K73" s="1201">
        <f t="shared" si="58"/>
        <v>0</v>
      </c>
      <c r="L73" s="1403">
        <f t="shared" si="59"/>
        <v>0</v>
      </c>
      <c r="M73" s="1423">
        <f t="shared" si="60"/>
        <v>0</v>
      </c>
      <c r="N73" s="1403">
        <f t="shared" si="61"/>
        <v>0</v>
      </c>
      <c r="O73" s="1198">
        <v>0</v>
      </c>
      <c r="P73" s="1398">
        <f t="shared" si="62"/>
        <v>0</v>
      </c>
      <c r="Q73" s="1200"/>
      <c r="R73" s="1200">
        <f t="shared" si="63"/>
        <v>0</v>
      </c>
      <c r="S73" s="1398">
        <f t="shared" si="64"/>
        <v>0</v>
      </c>
      <c r="T73" s="1398">
        <f t="shared" si="65"/>
        <v>0</v>
      </c>
      <c r="U73" s="1389">
        <f>'Table 5C1A-Madison Prep'!U73</f>
        <v>5015</v>
      </c>
      <c r="V73" s="1515">
        <f t="shared" si="66"/>
        <v>0</v>
      </c>
      <c r="W73" s="1391"/>
      <c r="X73" s="1392">
        <f t="shared" si="67"/>
        <v>0</v>
      </c>
      <c r="Y73" s="1391"/>
      <c r="Z73" s="1392">
        <f t="shared" si="51"/>
        <v>0</v>
      </c>
      <c r="AA73" s="1390">
        <f t="shared" si="52"/>
        <v>0</v>
      </c>
      <c r="AB73" s="1510">
        <f t="shared" si="53"/>
        <v>0</v>
      </c>
      <c r="AC73" s="1394">
        <f t="shared" si="54"/>
        <v>0</v>
      </c>
      <c r="AD73" s="1510">
        <f t="shared" si="68"/>
        <v>0</v>
      </c>
      <c r="AE73" s="1395">
        <v>0</v>
      </c>
      <c r="AF73" s="1510">
        <f t="shared" si="69"/>
        <v>0</v>
      </c>
      <c r="AG73" s="1395"/>
      <c r="AH73" s="1395">
        <f t="shared" si="70"/>
        <v>0</v>
      </c>
      <c r="AI73" s="1510">
        <f t="shared" si="71"/>
        <v>0</v>
      </c>
      <c r="AJ73" s="1505">
        <f t="shared" si="72"/>
        <v>0</v>
      </c>
      <c r="AK73" s="1505">
        <f t="shared" si="73"/>
        <v>0</v>
      </c>
    </row>
    <row r="74" spans="1:37" ht="16.2" customHeight="1">
      <c r="A74" s="1176">
        <v>68</v>
      </c>
      <c r="B74" s="1177" t="s">
        <v>28</v>
      </c>
      <c r="C74" s="1197">
        <f>+'Table 8 Membership 2.1.14'!G70</f>
        <v>0</v>
      </c>
      <c r="D74" s="1198">
        <f>+'Table 5C1A-Madison Prep'!D74</f>
        <v>6390.1644202560601</v>
      </c>
      <c r="E74" s="1199">
        <f t="shared" si="55"/>
        <v>0</v>
      </c>
      <c r="F74" s="1199">
        <f>+'Table 5C1A-Madison Prep'!F74</f>
        <v>798.7</v>
      </c>
      <c r="G74" s="1199">
        <f t="shared" si="56"/>
        <v>0</v>
      </c>
      <c r="H74" s="1403">
        <f t="shared" si="57"/>
        <v>0</v>
      </c>
      <c r="I74" s="1200"/>
      <c r="J74" s="1200"/>
      <c r="K74" s="1201">
        <f t="shared" si="58"/>
        <v>0</v>
      </c>
      <c r="L74" s="1403">
        <f t="shared" si="59"/>
        <v>0</v>
      </c>
      <c r="M74" s="1423">
        <f t="shared" si="60"/>
        <v>0</v>
      </c>
      <c r="N74" s="1403">
        <f t="shared" si="61"/>
        <v>0</v>
      </c>
      <c r="O74" s="1198">
        <v>0</v>
      </c>
      <c r="P74" s="1398">
        <f t="shared" si="62"/>
        <v>0</v>
      </c>
      <c r="Q74" s="1200"/>
      <c r="R74" s="1200">
        <f t="shared" si="63"/>
        <v>0</v>
      </c>
      <c r="S74" s="1398">
        <f t="shared" si="64"/>
        <v>0</v>
      </c>
      <c r="T74" s="1398">
        <f t="shared" si="65"/>
        <v>0</v>
      </c>
      <c r="U74" s="1389">
        <f>'Table 5C1A-Madison Prep'!U74</f>
        <v>2669</v>
      </c>
      <c r="V74" s="1515">
        <f t="shared" si="66"/>
        <v>0</v>
      </c>
      <c r="W74" s="1391"/>
      <c r="X74" s="1392">
        <f t="shared" si="67"/>
        <v>0</v>
      </c>
      <c r="Y74" s="1391"/>
      <c r="Z74" s="1392">
        <f t="shared" si="51"/>
        <v>0</v>
      </c>
      <c r="AA74" s="1390">
        <f t="shared" si="52"/>
        <v>0</v>
      </c>
      <c r="AB74" s="1510">
        <f t="shared" si="53"/>
        <v>0</v>
      </c>
      <c r="AC74" s="1394">
        <f t="shared" si="54"/>
        <v>0</v>
      </c>
      <c r="AD74" s="1510">
        <f t="shared" si="68"/>
        <v>0</v>
      </c>
      <c r="AE74" s="1395">
        <v>0</v>
      </c>
      <c r="AF74" s="1510">
        <f t="shared" si="69"/>
        <v>0</v>
      </c>
      <c r="AG74" s="1395"/>
      <c r="AH74" s="1395">
        <f t="shared" si="70"/>
        <v>0</v>
      </c>
      <c r="AI74" s="1510">
        <f t="shared" si="71"/>
        <v>0</v>
      </c>
      <c r="AJ74" s="1505">
        <f t="shared" si="72"/>
        <v>0</v>
      </c>
      <c r="AK74" s="1505">
        <f t="shared" si="73"/>
        <v>0</v>
      </c>
    </row>
    <row r="75" spans="1:37" ht="16.2" customHeight="1">
      <c r="A75" s="1190">
        <v>69</v>
      </c>
      <c r="B75" s="1191" t="s">
        <v>183</v>
      </c>
      <c r="C75" s="1192">
        <f>+'Table 8 Membership 2.1.14'!G71</f>
        <v>0</v>
      </c>
      <c r="D75" s="1193">
        <f>+'Table 5C1A-Madison Prep'!D75</f>
        <v>5722.4947921281337</v>
      </c>
      <c r="E75" s="1194">
        <f t="shared" si="55"/>
        <v>0</v>
      </c>
      <c r="F75" s="1194">
        <f>+'Table 5C1A-Madison Prep'!F75</f>
        <v>705.67</v>
      </c>
      <c r="G75" s="1194">
        <f t="shared" si="56"/>
        <v>0</v>
      </c>
      <c r="H75" s="1541">
        <f t="shared" si="57"/>
        <v>0</v>
      </c>
      <c r="I75" s="1195"/>
      <c r="J75" s="1195"/>
      <c r="K75" s="1196">
        <f t="shared" si="58"/>
        <v>0</v>
      </c>
      <c r="L75" s="1541">
        <f t="shared" si="59"/>
        <v>0</v>
      </c>
      <c r="M75" s="1405">
        <f t="shared" si="60"/>
        <v>0</v>
      </c>
      <c r="N75" s="1541">
        <f t="shared" si="61"/>
        <v>0</v>
      </c>
      <c r="O75" s="1193">
        <v>0</v>
      </c>
      <c r="P75" s="1547">
        <f t="shared" si="62"/>
        <v>0</v>
      </c>
      <c r="Q75" s="1195"/>
      <c r="R75" s="1195">
        <f t="shared" si="63"/>
        <v>0</v>
      </c>
      <c r="S75" s="1547">
        <f t="shared" si="64"/>
        <v>0</v>
      </c>
      <c r="T75" s="1547">
        <f t="shared" si="65"/>
        <v>0</v>
      </c>
      <c r="U75" s="653">
        <f>'Table 5C1A-Madison Prep'!U75</f>
        <v>3394</v>
      </c>
      <c r="V75" s="1517">
        <f t="shared" si="66"/>
        <v>0</v>
      </c>
      <c r="W75" s="1407"/>
      <c r="X75" s="1408">
        <f t="shared" si="67"/>
        <v>0</v>
      </c>
      <c r="Y75" s="1407"/>
      <c r="Z75" s="1408">
        <f>+U75*Y75*0.5</f>
        <v>0</v>
      </c>
      <c r="AA75" s="1406">
        <f t="shared" ref="AA75" si="74">+X75+Z75</f>
        <v>0</v>
      </c>
      <c r="AB75" s="1512">
        <f t="shared" ref="AB75" si="75">+AA75+V75</f>
        <v>0</v>
      </c>
      <c r="AC75" s="1410">
        <f>-(0.25%*AB75)</f>
        <v>0</v>
      </c>
      <c r="AD75" s="1512">
        <f t="shared" si="68"/>
        <v>0</v>
      </c>
      <c r="AE75" s="1416">
        <v>0</v>
      </c>
      <c r="AF75" s="1512">
        <f t="shared" si="69"/>
        <v>0</v>
      </c>
      <c r="AG75" s="1416"/>
      <c r="AH75" s="1416">
        <f t="shared" si="70"/>
        <v>0</v>
      </c>
      <c r="AI75" s="1512">
        <f t="shared" si="71"/>
        <v>0</v>
      </c>
      <c r="AJ75" s="1506">
        <f t="shared" si="72"/>
        <v>0</v>
      </c>
      <c r="AK75" s="1506">
        <f t="shared" si="73"/>
        <v>0</v>
      </c>
    </row>
    <row r="76" spans="1:37" ht="16.2" customHeight="1" thickBot="1">
      <c r="A76" s="2221" t="s">
        <v>1045</v>
      </c>
      <c r="B76" s="2194"/>
      <c r="C76" s="470">
        <f>SUM(C7:C75)</f>
        <v>671</v>
      </c>
      <c r="D76" s="471">
        <f>+'Table 5C1A-Madison Prep'!D76</f>
        <v>4479.9292126977662</v>
      </c>
      <c r="E76" s="480">
        <f>SUM(E7:E75)</f>
        <v>2941915.4464592948</v>
      </c>
      <c r="F76" s="480">
        <f>+'Table 5C1A-Madison Prep'!F76</f>
        <v>704.64781030742063</v>
      </c>
      <c r="G76" s="480">
        <f t="shared" ref="G76:R76" si="76">SUM(G7:G75)</f>
        <v>407994.84</v>
      </c>
      <c r="H76" s="1542">
        <f t="shared" si="76"/>
        <v>3349910.2864592946</v>
      </c>
      <c r="I76" s="640">
        <f t="shared" si="76"/>
        <v>0</v>
      </c>
      <c r="J76" s="640">
        <f t="shared" si="76"/>
        <v>0</v>
      </c>
      <c r="K76" s="616">
        <f t="shared" si="76"/>
        <v>0</v>
      </c>
      <c r="L76" s="1560">
        <f t="shared" si="76"/>
        <v>3349910.2864592946</v>
      </c>
      <c r="M76" s="481">
        <f t="shared" si="76"/>
        <v>-8374.7757161482368</v>
      </c>
      <c r="N76" s="1542">
        <f t="shared" si="76"/>
        <v>3341535.5107431463</v>
      </c>
      <c r="O76" s="481">
        <f t="shared" si="76"/>
        <v>0</v>
      </c>
      <c r="P76" s="1548">
        <f t="shared" si="76"/>
        <v>3341535.5107431463</v>
      </c>
      <c r="Q76" s="640"/>
      <c r="R76" s="640">
        <f t="shared" si="76"/>
        <v>3341535.5107431463</v>
      </c>
      <c r="S76" s="1548">
        <f>SUM(S7:S75)</f>
        <v>278461</v>
      </c>
      <c r="T76" s="1548">
        <f>SUM(T7:T75)</f>
        <v>3341535.5107431463</v>
      </c>
      <c r="U76" s="658">
        <f>'Table 5C1A-Madison Prep'!U76</f>
        <v>4663</v>
      </c>
      <c r="V76" s="1518">
        <f t="shared" ref="V76:AK76" si="77">SUM(V7:V75)</f>
        <v>3063115</v>
      </c>
      <c r="W76" s="646">
        <f t="shared" si="77"/>
        <v>0</v>
      </c>
      <c r="X76" s="647">
        <f t="shared" si="77"/>
        <v>0</v>
      </c>
      <c r="Y76" s="646">
        <f t="shared" si="77"/>
        <v>0</v>
      </c>
      <c r="Z76" s="647">
        <f t="shared" si="77"/>
        <v>0</v>
      </c>
      <c r="AA76" s="633">
        <f t="shared" si="77"/>
        <v>0</v>
      </c>
      <c r="AB76" s="1520">
        <f t="shared" si="77"/>
        <v>3063115</v>
      </c>
      <c r="AC76" s="482">
        <f t="shared" si="77"/>
        <v>-7657.7875000000004</v>
      </c>
      <c r="AD76" s="1518">
        <f t="shared" si="77"/>
        <v>3055457.2124999999</v>
      </c>
      <c r="AE76" s="660">
        <f t="shared" si="77"/>
        <v>0</v>
      </c>
      <c r="AF76" s="1518">
        <f t="shared" si="77"/>
        <v>3055457.2124999999</v>
      </c>
      <c r="AG76" s="647">
        <f t="shared" si="77"/>
        <v>0</v>
      </c>
      <c r="AH76" s="647">
        <f t="shared" si="77"/>
        <v>3055457.2124999999</v>
      </c>
      <c r="AI76" s="1518">
        <f t="shared" si="77"/>
        <v>254621</v>
      </c>
      <c r="AJ76" s="1532">
        <f t="shared" si="77"/>
        <v>6396992.7232431462</v>
      </c>
      <c r="AK76" s="1532">
        <f t="shared" si="77"/>
        <v>533082</v>
      </c>
    </row>
    <row r="77" spans="1:37" s="594" customFormat="1" ht="16.2" customHeight="1" thickTop="1">
      <c r="A77" s="2330" t="s">
        <v>1039</v>
      </c>
      <c r="B77" s="2338"/>
      <c r="C77" s="1425"/>
      <c r="D77" s="1198"/>
      <c r="E77" s="1198"/>
      <c r="F77" s="1198"/>
      <c r="G77" s="1198"/>
      <c r="H77" s="1198"/>
      <c r="I77" s="1200"/>
      <c r="J77" s="1200"/>
      <c r="K77" s="1200"/>
      <c r="L77" s="1198"/>
      <c r="M77" s="1200"/>
      <c r="N77" s="1198"/>
      <c r="O77" s="1198"/>
      <c r="P77" s="1398">
        <f>'Table 4 Level 4'!$E94</f>
        <v>0</v>
      </c>
      <c r="Q77" s="1200"/>
      <c r="R77" s="1200">
        <f t="shared" ref="R77" si="78">+P77-Q77</f>
        <v>0</v>
      </c>
      <c r="S77" s="1398">
        <f t="shared" ref="S77" si="79">ROUND(R77/12,0)</f>
        <v>0</v>
      </c>
      <c r="T77" s="1398">
        <f>'Table 4 Level 4'!$E94</f>
        <v>0</v>
      </c>
      <c r="U77" s="1389"/>
      <c r="V77" s="1392"/>
      <c r="W77" s="1391"/>
      <c r="X77" s="1392"/>
      <c r="Y77" s="1391"/>
      <c r="Z77" s="1392"/>
      <c r="AA77" s="1392"/>
      <c r="AB77" s="1395"/>
      <c r="AC77" s="1392"/>
      <c r="AD77" s="1395"/>
      <c r="AE77" s="1395"/>
      <c r="AF77" s="1395"/>
      <c r="AG77" s="1395"/>
      <c r="AH77" s="1395"/>
      <c r="AI77" s="1395"/>
      <c r="AJ77" s="1505">
        <f t="shared" ref="AJ77:AJ81" si="80">T77+AF77</f>
        <v>0</v>
      </c>
      <c r="AK77" s="1505">
        <f t="shared" ref="AK77:AK81" si="81">S77+AI77</f>
        <v>0</v>
      </c>
    </row>
    <row r="78" spans="1:37" s="594" customFormat="1" ht="16.2" customHeight="1">
      <c r="A78" s="2332" t="s">
        <v>1040</v>
      </c>
      <c r="B78" s="2339"/>
      <c r="C78" s="1425"/>
      <c r="D78" s="1198"/>
      <c r="E78" s="1198"/>
      <c r="F78" s="1198"/>
      <c r="G78" s="1198"/>
      <c r="H78" s="1198"/>
      <c r="I78" s="1200"/>
      <c r="J78" s="1200"/>
      <c r="K78" s="1200"/>
      <c r="L78" s="1198"/>
      <c r="M78" s="1200"/>
      <c r="N78" s="1198"/>
      <c r="O78" s="1198"/>
      <c r="P78" s="1200">
        <v>0</v>
      </c>
      <c r="Q78" s="1200"/>
      <c r="R78" s="1200"/>
      <c r="S78" s="1200">
        <v>0</v>
      </c>
      <c r="T78" s="1398">
        <f>'Table 4 Level 4'!$J94</f>
        <v>0</v>
      </c>
      <c r="U78" s="1389"/>
      <c r="V78" s="1392"/>
      <c r="W78" s="1391"/>
      <c r="X78" s="1392"/>
      <c r="Y78" s="1391"/>
      <c r="Z78" s="1392"/>
      <c r="AA78" s="1392"/>
      <c r="AB78" s="1395"/>
      <c r="AC78" s="1392"/>
      <c r="AD78" s="1395"/>
      <c r="AE78" s="1395"/>
      <c r="AF78" s="1395"/>
      <c r="AG78" s="1395"/>
      <c r="AH78" s="1395"/>
      <c r="AI78" s="1395"/>
      <c r="AJ78" s="1505">
        <f t="shared" si="80"/>
        <v>0</v>
      </c>
      <c r="AK78" s="1395"/>
    </row>
    <row r="79" spans="1:37" s="594" customFormat="1" ht="16.2" customHeight="1">
      <c r="A79" s="2332" t="s">
        <v>1041</v>
      </c>
      <c r="B79" s="2339"/>
      <c r="C79" s="1425"/>
      <c r="D79" s="1198"/>
      <c r="E79" s="1198"/>
      <c r="F79" s="1198"/>
      <c r="G79" s="1198"/>
      <c r="H79" s="1198"/>
      <c r="I79" s="1200"/>
      <c r="J79" s="1200"/>
      <c r="K79" s="1200"/>
      <c r="L79" s="1198"/>
      <c r="M79" s="1200"/>
      <c r="N79" s="1198"/>
      <c r="O79" s="1198"/>
      <c r="P79" s="1200">
        <v>0</v>
      </c>
      <c r="Q79" s="1200"/>
      <c r="R79" s="1200"/>
      <c r="S79" s="1200">
        <v>0</v>
      </c>
      <c r="T79" s="1398">
        <f>'Table 4 Level 4'!$K94</f>
        <v>0</v>
      </c>
      <c r="U79" s="1389"/>
      <c r="V79" s="1392"/>
      <c r="W79" s="1391"/>
      <c r="X79" s="1392"/>
      <c r="Y79" s="1391"/>
      <c r="Z79" s="1392"/>
      <c r="AA79" s="1392"/>
      <c r="AB79" s="1395"/>
      <c r="AC79" s="1392"/>
      <c r="AD79" s="1395"/>
      <c r="AE79" s="1395"/>
      <c r="AF79" s="1395"/>
      <c r="AG79" s="1395"/>
      <c r="AH79" s="1395"/>
      <c r="AI79" s="1395"/>
      <c r="AJ79" s="1505">
        <f t="shared" si="80"/>
        <v>0</v>
      </c>
      <c r="AK79" s="1395"/>
    </row>
    <row r="80" spans="1:37" s="594" customFormat="1" ht="16.2" customHeight="1">
      <c r="A80" s="2332" t="s">
        <v>1042</v>
      </c>
      <c r="B80" s="2339"/>
      <c r="C80" s="1425"/>
      <c r="D80" s="1198"/>
      <c r="E80" s="1198"/>
      <c r="F80" s="1198"/>
      <c r="G80" s="1198"/>
      <c r="H80" s="1198"/>
      <c r="I80" s="1200"/>
      <c r="J80" s="1200"/>
      <c r="K80" s="1200"/>
      <c r="L80" s="1198"/>
      <c r="M80" s="1200"/>
      <c r="N80" s="1198"/>
      <c r="O80" s="1198"/>
      <c r="P80" s="1200">
        <v>0</v>
      </c>
      <c r="Q80" s="1200"/>
      <c r="R80" s="1200"/>
      <c r="S80" s="1200">
        <v>0</v>
      </c>
      <c r="T80" s="1398">
        <f>'Table 4 Level 4'!$L94</f>
        <v>0</v>
      </c>
      <c r="U80" s="1389"/>
      <c r="V80" s="1392"/>
      <c r="W80" s="1391"/>
      <c r="X80" s="1392"/>
      <c r="Y80" s="1391"/>
      <c r="Z80" s="1392"/>
      <c r="AA80" s="1392"/>
      <c r="AB80" s="1395"/>
      <c r="AC80" s="1392"/>
      <c r="AD80" s="1395"/>
      <c r="AE80" s="1395"/>
      <c r="AF80" s="1395"/>
      <c r="AG80" s="1395"/>
      <c r="AH80" s="1395"/>
      <c r="AI80" s="1395"/>
      <c r="AJ80" s="1505">
        <f t="shared" si="80"/>
        <v>0</v>
      </c>
      <c r="AK80" s="1395"/>
    </row>
    <row r="81" spans="1:37" s="594" customFormat="1" ht="16.2" customHeight="1">
      <c r="A81" s="2340" t="s">
        <v>1043</v>
      </c>
      <c r="B81" s="2341"/>
      <c r="C81" s="1417"/>
      <c r="D81" s="1193"/>
      <c r="E81" s="1193"/>
      <c r="F81" s="1193"/>
      <c r="G81" s="1193"/>
      <c r="H81" s="1193"/>
      <c r="I81" s="1195"/>
      <c r="J81" s="1195"/>
      <c r="K81" s="1195"/>
      <c r="L81" s="1193"/>
      <c r="M81" s="1195"/>
      <c r="N81" s="1193"/>
      <c r="O81" s="1193"/>
      <c r="P81" s="1547">
        <f>'Table 4 Level 4'!$N94</f>
        <v>1924</v>
      </c>
      <c r="Q81" s="1195"/>
      <c r="R81" s="1195">
        <f t="shared" ref="R81" si="82">+P81-Q81</f>
        <v>1924</v>
      </c>
      <c r="S81" s="1547">
        <f t="shared" ref="S81" si="83">ROUND(R81/12,0)</f>
        <v>160</v>
      </c>
      <c r="T81" s="1547">
        <f>'Table 4 Level 4'!$N94</f>
        <v>1924</v>
      </c>
      <c r="U81" s="1418"/>
      <c r="V81" s="1408"/>
      <c r="W81" s="1407"/>
      <c r="X81" s="1408"/>
      <c r="Y81" s="1407"/>
      <c r="Z81" s="1408"/>
      <c r="AA81" s="1408"/>
      <c r="AB81" s="1416"/>
      <c r="AC81" s="1408"/>
      <c r="AD81" s="1416"/>
      <c r="AE81" s="1416"/>
      <c r="AF81" s="1416"/>
      <c r="AG81" s="1416"/>
      <c r="AH81" s="1416"/>
      <c r="AI81" s="1416"/>
      <c r="AJ81" s="1506">
        <f t="shared" si="80"/>
        <v>1924</v>
      </c>
      <c r="AK81" s="1506">
        <f t="shared" si="81"/>
        <v>160</v>
      </c>
    </row>
    <row r="82" spans="1:37" s="594" customFormat="1" ht="16.2" customHeight="1" thickBot="1">
      <c r="A82" s="2221" t="s">
        <v>1044</v>
      </c>
      <c r="B82" s="2194"/>
      <c r="C82" s="1052">
        <f>SUM(C76:C81)</f>
        <v>671</v>
      </c>
      <c r="D82" s="1046">
        <f t="shared" ref="D82:AK82" si="84">SUM(D76:D81)</f>
        <v>4479.9292126977662</v>
      </c>
      <c r="E82" s="1046">
        <f t="shared" si="84"/>
        <v>2941915.4464592948</v>
      </c>
      <c r="F82" s="1046">
        <f t="shared" si="84"/>
        <v>704.64781030742063</v>
      </c>
      <c r="G82" s="1046">
        <f t="shared" si="84"/>
        <v>407994.84</v>
      </c>
      <c r="H82" s="1046">
        <f t="shared" si="84"/>
        <v>3349910.2864592946</v>
      </c>
      <c r="I82" s="1053">
        <f t="shared" si="84"/>
        <v>0</v>
      </c>
      <c r="J82" s="1053">
        <f t="shared" si="84"/>
        <v>0</v>
      </c>
      <c r="K82" s="1053">
        <f t="shared" si="84"/>
        <v>0</v>
      </c>
      <c r="L82" s="1046">
        <f t="shared" si="84"/>
        <v>3349910.2864592946</v>
      </c>
      <c r="M82" s="1053">
        <f t="shared" si="84"/>
        <v>-8374.7757161482368</v>
      </c>
      <c r="N82" s="1046">
        <f t="shared" si="84"/>
        <v>3341535.5107431463</v>
      </c>
      <c r="O82" s="1049">
        <f t="shared" si="84"/>
        <v>0</v>
      </c>
      <c r="P82" s="1549">
        <f t="shared" si="84"/>
        <v>3343459.5107431463</v>
      </c>
      <c r="Q82" s="1053">
        <f t="shared" si="84"/>
        <v>0</v>
      </c>
      <c r="R82" s="1053">
        <f t="shared" si="84"/>
        <v>3343459.5107431463</v>
      </c>
      <c r="S82" s="1549">
        <f t="shared" si="84"/>
        <v>278621</v>
      </c>
      <c r="T82" s="1549">
        <f t="shared" si="84"/>
        <v>3343459.5107431463</v>
      </c>
      <c r="U82" s="1058">
        <f t="shared" si="84"/>
        <v>4663</v>
      </c>
      <c r="V82" s="1055">
        <f t="shared" si="84"/>
        <v>3063115</v>
      </c>
      <c r="W82" s="1057">
        <f t="shared" si="84"/>
        <v>0</v>
      </c>
      <c r="X82" s="1055">
        <f t="shared" si="84"/>
        <v>0</v>
      </c>
      <c r="Y82" s="1057">
        <f t="shared" si="84"/>
        <v>0</v>
      </c>
      <c r="Z82" s="1055">
        <f t="shared" si="84"/>
        <v>0</v>
      </c>
      <c r="AA82" s="1055">
        <f t="shared" si="84"/>
        <v>0</v>
      </c>
      <c r="AB82" s="1055">
        <f t="shared" si="84"/>
        <v>3063115</v>
      </c>
      <c r="AC82" s="1055">
        <f t="shared" si="84"/>
        <v>-7657.7875000000004</v>
      </c>
      <c r="AD82" s="1055">
        <f t="shared" si="84"/>
        <v>3055457.2124999999</v>
      </c>
      <c r="AE82" s="1055">
        <f t="shared" si="84"/>
        <v>0</v>
      </c>
      <c r="AF82" s="1055">
        <f t="shared" si="84"/>
        <v>3055457.2124999999</v>
      </c>
      <c r="AG82" s="1055">
        <f t="shared" si="84"/>
        <v>0</v>
      </c>
      <c r="AH82" s="1055">
        <f t="shared" si="84"/>
        <v>3055457.2124999999</v>
      </c>
      <c r="AI82" s="1055">
        <f t="shared" si="84"/>
        <v>254621</v>
      </c>
      <c r="AJ82" s="1504">
        <f t="shared" si="84"/>
        <v>6398916.7232431462</v>
      </c>
      <c r="AK82" s="1504">
        <f t="shared" si="84"/>
        <v>533242</v>
      </c>
    </row>
    <row r="83" spans="1:37" ht="16.2" customHeight="1" thickTop="1"/>
    <row r="84" spans="1:37" ht="16.2" customHeight="1"/>
    <row r="85" spans="1:37" ht="16.2" customHeight="1"/>
    <row r="86" spans="1:37" ht="16.2" customHeight="1"/>
  </sheetData>
  <mergeCells count="43">
    <mergeCell ref="AC1:AI1"/>
    <mergeCell ref="AJ1:AJ4"/>
    <mergeCell ref="AK1:AK4"/>
    <mergeCell ref="C3:C4"/>
    <mergeCell ref="D3:D4"/>
    <mergeCell ref="E3:E4"/>
    <mergeCell ref="F3:F4"/>
    <mergeCell ref="G3:G4"/>
    <mergeCell ref="AD3:AD4"/>
    <mergeCell ref="AE3:AE4"/>
    <mergeCell ref="AF3:AF4"/>
    <mergeCell ref="H3:H4"/>
    <mergeCell ref="N3:N4"/>
    <mergeCell ref="O3:O4"/>
    <mergeCell ref="P3:P4"/>
    <mergeCell ref="S3:S4"/>
    <mergeCell ref="X3:X4"/>
    <mergeCell ref="Y3:Y4"/>
    <mergeCell ref="Z3:Z4"/>
    <mergeCell ref="U3:U4"/>
    <mergeCell ref="A1:B4"/>
    <mergeCell ref="I2:K2"/>
    <mergeCell ref="I3:I4"/>
    <mergeCell ref="J3:J4"/>
    <mergeCell ref="K3:K4"/>
    <mergeCell ref="L3:L4"/>
    <mergeCell ref="C1:L1"/>
    <mergeCell ref="AI3:AI4"/>
    <mergeCell ref="U1:AB1"/>
    <mergeCell ref="A82:B82"/>
    <mergeCell ref="A76:B76"/>
    <mergeCell ref="A77:B77"/>
    <mergeCell ref="A78:B78"/>
    <mergeCell ref="A79:B79"/>
    <mergeCell ref="A80:B80"/>
    <mergeCell ref="A81:B81"/>
    <mergeCell ref="AB3:AB4"/>
    <mergeCell ref="T3:T4"/>
    <mergeCell ref="M1:T1"/>
    <mergeCell ref="AG3:AG4"/>
    <mergeCell ref="AH3:AH4"/>
    <mergeCell ref="W2:AA2"/>
    <mergeCell ref="W3:W4"/>
  </mergeCells>
  <printOptions horizontalCentered="1"/>
  <pageMargins left="0.32" right="0.32" top="0.75" bottom="0.75" header="0.3" footer="0.3"/>
  <pageSetup paperSize="5" scale="60" firstPageNumber="56" orientation="portrait" r:id="rId1"/>
  <headerFooter>
    <oddHeader>&amp;L&amp;"Arial,Bold"&amp;20&amp;K000000Table 5C1-H: FY2014-15 MFP Budget Letter 
Southwest LA Charter Academy</oddHeader>
    <oddFooter>&amp;R&amp;P</oddFooter>
  </headerFooter>
  <colBreaks count="3" manualBreakCount="3">
    <brk id="12" max="1048575" man="1"/>
    <brk id="20" max="1048575" man="1"/>
    <brk id="28" max="81"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K86"/>
  <sheetViews>
    <sheetView view="pageBreakPreview" zoomScale="80" zoomScaleNormal="100" zoomScaleSheetLayoutView="80" workbookViewId="0">
      <pane xSplit="2" ySplit="6" topLeftCell="C7" activePane="bottomRight" state="frozen"/>
      <selection sqref="A1:H1"/>
      <selection pane="topRight" sqref="A1:H1"/>
      <selection pane="bottomLeft" sqref="A1:H1"/>
      <selection pane="bottomRight" sqref="A1:H1"/>
    </sheetView>
  </sheetViews>
  <sheetFormatPr defaultColWidth="8.88671875" defaultRowHeight="13.2"/>
  <cols>
    <col min="1" max="1" width="5" style="520" customWidth="1"/>
    <col min="2" max="2" width="37.6640625" style="520" customWidth="1"/>
    <col min="3" max="3" width="12.109375" style="520" bestFit="1" customWidth="1"/>
    <col min="4" max="4" width="13.6640625" style="520" bestFit="1" customWidth="1"/>
    <col min="5" max="5" width="9.88671875" style="520" bestFit="1" customWidth="1"/>
    <col min="6" max="7" width="12.33203125" style="520" bestFit="1" customWidth="1"/>
    <col min="8" max="8" width="11.5546875" style="520" bestFit="1" customWidth="1"/>
    <col min="9" max="12" width="11.88671875" style="608" bestFit="1" customWidth="1"/>
    <col min="13" max="13" width="10.88671875" style="520" bestFit="1" customWidth="1"/>
    <col min="14" max="14" width="13.109375" style="520" customWidth="1"/>
    <col min="15" max="15" width="13.44140625" style="520" bestFit="1" customWidth="1"/>
    <col min="16" max="16" width="14.6640625" style="520" customWidth="1"/>
    <col min="17" max="18" width="14" style="608" customWidth="1"/>
    <col min="19" max="19" width="10.6640625" style="520" customWidth="1"/>
    <col min="20" max="20" width="14.88671875" style="608" customWidth="1"/>
    <col min="21" max="22" width="14.5546875" style="520" customWidth="1"/>
    <col min="23" max="27" width="11.6640625" style="608" customWidth="1"/>
    <col min="28" max="28" width="14.44140625" style="608" bestFit="1" customWidth="1"/>
    <col min="29" max="29" width="10.5546875" style="520" customWidth="1"/>
    <col min="30" max="30" width="14.44140625" style="520" bestFit="1" customWidth="1"/>
    <col min="31" max="31" width="11.88671875" style="520" bestFit="1" customWidth="1"/>
    <col min="32" max="32" width="14.44140625" style="520" bestFit="1" customWidth="1"/>
    <col min="33" max="33" width="9.5546875" style="608" bestFit="1" customWidth="1"/>
    <col min="34" max="34" width="9.33203125" style="608" bestFit="1" customWidth="1"/>
    <col min="35" max="37" width="14.44140625" style="520" bestFit="1" customWidth="1"/>
    <col min="38" max="16384" width="8.88671875" style="520"/>
  </cols>
  <sheetData>
    <row r="1" spans="1:37" ht="21.6" customHeight="1">
      <c r="A1" s="2367" t="s">
        <v>523</v>
      </c>
      <c r="B1" s="2368"/>
      <c r="C1" s="2319" t="s">
        <v>1089</v>
      </c>
      <c r="D1" s="2320"/>
      <c r="E1" s="2320"/>
      <c r="F1" s="2320"/>
      <c r="G1" s="2320"/>
      <c r="H1" s="2320"/>
      <c r="I1" s="2320"/>
      <c r="J1" s="2320"/>
      <c r="K1" s="2320"/>
      <c r="L1" s="2321"/>
      <c r="M1" s="2349" t="s">
        <v>1089</v>
      </c>
      <c r="N1" s="2350"/>
      <c r="O1" s="2350"/>
      <c r="P1" s="2350"/>
      <c r="Q1" s="2350"/>
      <c r="R1" s="2350"/>
      <c r="S1" s="2350"/>
      <c r="T1" s="2351"/>
      <c r="U1" s="2268" t="s">
        <v>1247</v>
      </c>
      <c r="V1" s="2266"/>
      <c r="W1" s="2266"/>
      <c r="X1" s="2266"/>
      <c r="Y1" s="2266"/>
      <c r="Z1" s="2266"/>
      <c r="AA1" s="2266"/>
      <c r="AB1" s="2267"/>
      <c r="AC1" s="2268" t="s">
        <v>1247</v>
      </c>
      <c r="AD1" s="2266"/>
      <c r="AE1" s="2266"/>
      <c r="AF1" s="2266"/>
      <c r="AG1" s="2266"/>
      <c r="AH1" s="2266"/>
      <c r="AI1" s="2267"/>
      <c r="AJ1" s="2302" t="s">
        <v>1272</v>
      </c>
      <c r="AK1" s="2302" t="s">
        <v>1273</v>
      </c>
    </row>
    <row r="2" spans="1:37" s="608" customFormat="1" ht="24.6" customHeight="1">
      <c r="A2" s="2369"/>
      <c r="B2" s="2370"/>
      <c r="C2" s="1565"/>
      <c r="D2" s="1566"/>
      <c r="E2" s="1566"/>
      <c r="F2" s="1566"/>
      <c r="G2" s="1566"/>
      <c r="H2" s="1566"/>
      <c r="I2" s="2334" t="s">
        <v>531</v>
      </c>
      <c r="J2" s="2335"/>
      <c r="K2" s="2336"/>
      <c r="L2" s="1567"/>
      <c r="M2" s="1565"/>
      <c r="N2" s="1566"/>
      <c r="O2" s="1566"/>
      <c r="P2" s="1566"/>
      <c r="Q2" s="1566"/>
      <c r="R2" s="1566"/>
      <c r="S2" s="1566"/>
      <c r="T2" s="1567"/>
      <c r="U2" s="1525"/>
      <c r="V2" s="1526"/>
      <c r="W2" s="2362" t="s">
        <v>531</v>
      </c>
      <c r="X2" s="2363"/>
      <c r="Y2" s="2363"/>
      <c r="Z2" s="2363"/>
      <c r="AA2" s="2364"/>
      <c r="AB2" s="1527"/>
      <c r="AC2" s="1525"/>
      <c r="AD2" s="1526"/>
      <c r="AE2" s="1526"/>
      <c r="AF2" s="1526"/>
      <c r="AG2" s="1526"/>
      <c r="AH2" s="1526"/>
      <c r="AI2" s="1527"/>
      <c r="AJ2" s="2303"/>
      <c r="AK2" s="2303"/>
    </row>
    <row r="3" spans="1:37" ht="148.94999999999999" customHeight="1">
      <c r="A3" s="2371"/>
      <c r="B3" s="2370"/>
      <c r="C3" s="2318" t="s">
        <v>933</v>
      </c>
      <c r="D3" s="2318" t="s">
        <v>1110</v>
      </c>
      <c r="E3" s="2318" t="s">
        <v>384</v>
      </c>
      <c r="F3" s="2306" t="s">
        <v>546</v>
      </c>
      <c r="G3" s="2306" t="s">
        <v>330</v>
      </c>
      <c r="H3" s="2306" t="s">
        <v>547</v>
      </c>
      <c r="I3" s="2299" t="s">
        <v>770</v>
      </c>
      <c r="J3" s="2299" t="s">
        <v>769</v>
      </c>
      <c r="K3" s="2299" t="s">
        <v>538</v>
      </c>
      <c r="L3" s="2300" t="s">
        <v>548</v>
      </c>
      <c r="M3" s="1496" t="s">
        <v>333</v>
      </c>
      <c r="N3" s="2306" t="s">
        <v>545</v>
      </c>
      <c r="O3" s="2307" t="s">
        <v>1036</v>
      </c>
      <c r="P3" s="2306" t="s">
        <v>1056</v>
      </c>
      <c r="Q3" s="1537" t="s">
        <v>760</v>
      </c>
      <c r="R3" s="1537" t="s">
        <v>761</v>
      </c>
      <c r="S3" s="2308" t="s">
        <v>544</v>
      </c>
      <c r="T3" s="2308" t="s">
        <v>1057</v>
      </c>
      <c r="U3" s="2309" t="s">
        <v>1267</v>
      </c>
      <c r="V3" s="1507" t="s">
        <v>1268</v>
      </c>
      <c r="W3" s="2312" t="s">
        <v>1253</v>
      </c>
      <c r="X3" s="2312" t="s">
        <v>1251</v>
      </c>
      <c r="Y3" s="2312" t="s">
        <v>1254</v>
      </c>
      <c r="Z3" s="2312" t="s">
        <v>1252</v>
      </c>
      <c r="AA3" s="1498" t="s">
        <v>551</v>
      </c>
      <c r="AB3" s="2313" t="s">
        <v>1269</v>
      </c>
      <c r="AC3" s="1507" t="s">
        <v>1094</v>
      </c>
      <c r="AD3" s="2309" t="s">
        <v>1270</v>
      </c>
      <c r="AE3" s="2307" t="s">
        <v>1036</v>
      </c>
      <c r="AF3" s="2309" t="s">
        <v>1271</v>
      </c>
      <c r="AG3" s="2322" t="s">
        <v>981</v>
      </c>
      <c r="AH3" s="2322" t="s">
        <v>761</v>
      </c>
      <c r="AI3" s="2322" t="s">
        <v>1242</v>
      </c>
      <c r="AJ3" s="2304"/>
      <c r="AK3" s="2304"/>
    </row>
    <row r="4" spans="1:37" ht="19.95" customHeight="1">
      <c r="A4" s="2372"/>
      <c r="B4" s="2373"/>
      <c r="C4" s="2318"/>
      <c r="D4" s="2318"/>
      <c r="E4" s="2318"/>
      <c r="F4" s="2301"/>
      <c r="G4" s="2301"/>
      <c r="H4" s="2301"/>
      <c r="I4" s="2251"/>
      <c r="J4" s="2251"/>
      <c r="K4" s="2251"/>
      <c r="L4" s="2301"/>
      <c r="M4" s="1568">
        <v>2.5000000000000001E-3</v>
      </c>
      <c r="N4" s="2301"/>
      <c r="O4" s="2251"/>
      <c r="P4" s="2301"/>
      <c r="Q4" s="1497"/>
      <c r="R4" s="1497"/>
      <c r="S4" s="2301"/>
      <c r="T4" s="2301"/>
      <c r="U4" s="2280"/>
      <c r="V4" s="1508"/>
      <c r="W4" s="2251"/>
      <c r="X4" s="2251"/>
      <c r="Y4" s="2251"/>
      <c r="Z4" s="2251"/>
      <c r="AA4" s="1494"/>
      <c r="AB4" s="2280" t="s">
        <v>537</v>
      </c>
      <c r="AC4" s="1570">
        <v>2.5000000000000001E-3</v>
      </c>
      <c r="AD4" s="2280"/>
      <c r="AE4" s="2251"/>
      <c r="AF4" s="2280"/>
      <c r="AG4" s="2323"/>
      <c r="AH4" s="2323"/>
      <c r="AI4" s="2323"/>
      <c r="AJ4" s="2305"/>
      <c r="AK4" s="2305"/>
    </row>
    <row r="5" spans="1:37" ht="14.25" customHeight="1">
      <c r="A5" s="463"/>
      <c r="B5" s="464"/>
      <c r="C5" s="465">
        <v>1</v>
      </c>
      <c r="D5" s="465">
        <f t="shared" ref="D5" si="0">C5+1</f>
        <v>2</v>
      </c>
      <c r="E5" s="465">
        <f>D5+1</f>
        <v>3</v>
      </c>
      <c r="F5" s="465">
        <f t="shared" ref="F5:P5" si="1">E5+1</f>
        <v>4</v>
      </c>
      <c r="G5" s="465">
        <f t="shared" si="1"/>
        <v>5</v>
      </c>
      <c r="H5" s="465">
        <f t="shared" si="1"/>
        <v>6</v>
      </c>
      <c r="I5" s="465">
        <f t="shared" ref="I5" si="2">H5+1</f>
        <v>7</v>
      </c>
      <c r="J5" s="465">
        <f t="shared" ref="J5" si="3">I5+1</f>
        <v>8</v>
      </c>
      <c r="K5" s="465">
        <f t="shared" ref="K5" si="4">J5+1</f>
        <v>9</v>
      </c>
      <c r="L5" s="465">
        <f t="shared" ref="L5" si="5">K5+1</f>
        <v>10</v>
      </c>
      <c r="M5" s="465">
        <f t="shared" ref="M5" si="6">L5+1</f>
        <v>11</v>
      </c>
      <c r="N5" s="465">
        <f t="shared" si="1"/>
        <v>12</v>
      </c>
      <c r="O5" s="465">
        <f t="shared" si="1"/>
        <v>13</v>
      </c>
      <c r="P5" s="465">
        <f t="shared" si="1"/>
        <v>14</v>
      </c>
      <c r="Q5" s="465">
        <f t="shared" ref="Q5" si="7">P5+1</f>
        <v>15</v>
      </c>
      <c r="R5" s="465">
        <f t="shared" ref="R5" si="8">Q5+1</f>
        <v>16</v>
      </c>
      <c r="S5" s="465">
        <f t="shared" ref="S5" si="9">R5+1</f>
        <v>17</v>
      </c>
      <c r="T5" s="465">
        <f t="shared" ref="T5" si="10">S5+1</f>
        <v>18</v>
      </c>
      <c r="U5" s="465">
        <f t="shared" ref="U5" si="11">T5+1</f>
        <v>19</v>
      </c>
      <c r="V5" s="465">
        <f t="shared" ref="V5" si="12">U5+1</f>
        <v>20</v>
      </c>
      <c r="W5" s="465">
        <f t="shared" ref="W5" si="13">V5+1</f>
        <v>21</v>
      </c>
      <c r="X5" s="465">
        <f t="shared" ref="X5" si="14">W5+1</f>
        <v>22</v>
      </c>
      <c r="Y5" s="465">
        <f t="shared" ref="Y5" si="15">X5+1</f>
        <v>23</v>
      </c>
      <c r="Z5" s="465">
        <f t="shared" ref="Z5" si="16">Y5+1</f>
        <v>24</v>
      </c>
      <c r="AA5" s="465">
        <f t="shared" ref="AA5" si="17">Z5+1</f>
        <v>25</v>
      </c>
      <c r="AB5" s="465">
        <f t="shared" ref="AB5" si="18">AA5+1</f>
        <v>26</v>
      </c>
      <c r="AC5" s="465">
        <f t="shared" ref="AC5" si="19">AB5+1</f>
        <v>27</v>
      </c>
      <c r="AD5" s="465">
        <f t="shared" ref="AD5" si="20">AC5+1</f>
        <v>28</v>
      </c>
      <c r="AE5" s="465">
        <f t="shared" ref="AE5" si="21">AD5+1</f>
        <v>29</v>
      </c>
      <c r="AF5" s="465">
        <f t="shared" ref="AF5" si="22">AE5+1</f>
        <v>30</v>
      </c>
      <c r="AG5" s="465">
        <f t="shared" ref="AG5" si="23">AF5+1</f>
        <v>31</v>
      </c>
      <c r="AH5" s="465">
        <f t="shared" ref="AH5" si="24">AG5+1</f>
        <v>32</v>
      </c>
      <c r="AI5" s="465">
        <f t="shared" ref="AI5" si="25">AH5+1</f>
        <v>33</v>
      </c>
      <c r="AJ5" s="465">
        <f t="shared" ref="AJ5" si="26">AI5+1</f>
        <v>34</v>
      </c>
      <c r="AK5" s="465">
        <f t="shared" ref="AK5" si="27">AJ5+1</f>
        <v>35</v>
      </c>
    </row>
    <row r="6" spans="1:37" ht="27" hidden="1" customHeight="1">
      <c r="A6" s="472"/>
      <c r="B6" s="473"/>
      <c r="C6" s="473"/>
      <c r="D6" s="473"/>
      <c r="E6" s="473"/>
      <c r="F6" s="473"/>
      <c r="G6" s="473"/>
      <c r="H6" s="473"/>
      <c r="I6" s="615"/>
      <c r="J6" s="615"/>
      <c r="K6" s="615"/>
      <c r="L6" s="615"/>
      <c r="M6" s="473"/>
      <c r="N6" s="473"/>
      <c r="O6" s="473"/>
      <c r="P6" s="473"/>
      <c r="Q6" s="615"/>
      <c r="R6" s="615"/>
      <c r="S6" s="473"/>
      <c r="T6" s="473"/>
      <c r="U6" s="473"/>
      <c r="V6" s="473"/>
      <c r="W6" s="615"/>
      <c r="X6" s="615"/>
      <c r="Y6" s="615"/>
      <c r="Z6" s="615"/>
      <c r="AA6" s="615"/>
      <c r="AB6" s="615"/>
      <c r="AC6" s="473"/>
      <c r="AD6" s="473"/>
      <c r="AE6" s="473"/>
      <c r="AF6" s="473"/>
      <c r="AG6" s="615"/>
      <c r="AH6" s="615"/>
      <c r="AI6" s="473"/>
      <c r="AJ6" s="473"/>
      <c r="AK6" s="473"/>
    </row>
    <row r="7" spans="1:37" ht="16.2" customHeight="1">
      <c r="A7" s="1183">
        <v>1</v>
      </c>
      <c r="B7" s="1184" t="s">
        <v>81</v>
      </c>
      <c r="C7" s="1185">
        <f>+'Table 8 Membership 2.1.14'!V3</f>
        <v>0</v>
      </c>
      <c r="D7" s="1186">
        <f>+'Table 5C1A-Madison Prep'!D7</f>
        <v>4765.8584413349836</v>
      </c>
      <c r="E7" s="1187">
        <f>C7*D7</f>
        <v>0</v>
      </c>
      <c r="F7" s="1187">
        <f>+'Table 5C1A-Madison Prep'!F7</f>
        <v>777.48</v>
      </c>
      <c r="G7" s="1187">
        <f>C7*F7</f>
        <v>0</v>
      </c>
      <c r="H7" s="1538">
        <f>E7+G7</f>
        <v>0</v>
      </c>
      <c r="I7" s="1188"/>
      <c r="J7" s="1188"/>
      <c r="K7" s="1189">
        <f>+I7+J7</f>
        <v>0</v>
      </c>
      <c r="L7" s="1538">
        <f>+H7+K7</f>
        <v>0</v>
      </c>
      <c r="M7" s="1372">
        <f>-(0.25%*L7)</f>
        <v>0</v>
      </c>
      <c r="N7" s="1538">
        <f>SUM(L7:M7)</f>
        <v>0</v>
      </c>
      <c r="O7" s="1186">
        <v>0</v>
      </c>
      <c r="P7" s="1544">
        <f>SUM(N7:O7)</f>
        <v>0</v>
      </c>
      <c r="Q7" s="1188"/>
      <c r="R7" s="1188">
        <f>+P7-Q7</f>
        <v>0</v>
      </c>
      <c r="S7" s="1544">
        <f>ROUND(R7/12,0)</f>
        <v>0</v>
      </c>
      <c r="T7" s="1544">
        <f>+P7</f>
        <v>0</v>
      </c>
      <c r="U7" s="1373">
        <f>'Table 5C1A-Madison Prep'!U7</f>
        <v>2409</v>
      </c>
      <c r="V7" s="1514">
        <f>C7*U7</f>
        <v>0</v>
      </c>
      <c r="W7" s="1375"/>
      <c r="X7" s="1376">
        <f>+U7*W7</f>
        <v>0</v>
      </c>
      <c r="Y7" s="1375"/>
      <c r="Z7" s="1376">
        <f t="shared" ref="Z7:Z70" si="28">+U7*Y7*0.5</f>
        <v>0</v>
      </c>
      <c r="AA7" s="1374">
        <f t="shared" ref="AA7:AA70" si="29">+X7+Z7</f>
        <v>0</v>
      </c>
      <c r="AB7" s="1509">
        <f t="shared" ref="AB7:AB70" si="30">+V7+AA7</f>
        <v>0</v>
      </c>
      <c r="AC7" s="1378">
        <f t="shared" ref="AC7:AC70" si="31">-(0.25%*AB7)</f>
        <v>0</v>
      </c>
      <c r="AD7" s="1509">
        <f>SUM(AB7:AC7)</f>
        <v>0</v>
      </c>
      <c r="AE7" s="1379">
        <v>0</v>
      </c>
      <c r="AF7" s="1509">
        <f>SUM(AD7:AE7)</f>
        <v>0</v>
      </c>
      <c r="AG7" s="1379"/>
      <c r="AH7" s="1379">
        <f>+AF7-AG7</f>
        <v>0</v>
      </c>
      <c r="AI7" s="1509">
        <f>ROUND(AH7/12,0)</f>
        <v>0</v>
      </c>
      <c r="AJ7" s="1530">
        <f>T7+AF7</f>
        <v>0</v>
      </c>
      <c r="AK7" s="1534">
        <f>S7+AI7</f>
        <v>0</v>
      </c>
    </row>
    <row r="8" spans="1:37" ht="16.2" customHeight="1">
      <c r="A8" s="1176">
        <v>2</v>
      </c>
      <c r="B8" s="1177" t="s">
        <v>82</v>
      </c>
      <c r="C8" s="1178">
        <f>+'Table 8 Membership 2.1.14'!V4</f>
        <v>0</v>
      </c>
      <c r="D8" s="1179">
        <f>+'Table 5C1A-Madison Prep'!D8</f>
        <v>6316.6266417386641</v>
      </c>
      <c r="E8" s="1180">
        <f t="shared" ref="E8:E71" si="32">C8*D8</f>
        <v>0</v>
      </c>
      <c r="F8" s="1180">
        <f>+'Table 5C1A-Madison Prep'!F8</f>
        <v>842.32</v>
      </c>
      <c r="G8" s="1180">
        <f t="shared" ref="G8:G71" si="33">C8*F8</f>
        <v>0</v>
      </c>
      <c r="H8" s="1539">
        <f t="shared" ref="H8:H71" si="34">E8+G8</f>
        <v>0</v>
      </c>
      <c r="I8" s="1181"/>
      <c r="J8" s="1181"/>
      <c r="K8" s="1182">
        <f t="shared" ref="K8:K71" si="35">+I8+J8</f>
        <v>0</v>
      </c>
      <c r="L8" s="1539">
        <f t="shared" ref="L8:L71" si="36">+H8+K8</f>
        <v>0</v>
      </c>
      <c r="M8" s="1388">
        <f t="shared" ref="M8:M71" si="37">-(0.25%*L8)</f>
        <v>0</v>
      </c>
      <c r="N8" s="1539">
        <f t="shared" ref="N8:N71" si="38">SUM(L8:M8)</f>
        <v>0</v>
      </c>
      <c r="O8" s="1179">
        <v>0</v>
      </c>
      <c r="P8" s="1545">
        <f t="shared" ref="P8:P71" si="39">SUM(N8:O8)</f>
        <v>0</v>
      </c>
      <c r="Q8" s="1181"/>
      <c r="R8" s="1181">
        <f t="shared" ref="R8:R71" si="40">+P8-Q8</f>
        <v>0</v>
      </c>
      <c r="S8" s="1545">
        <f t="shared" ref="S8:S71" si="41">ROUND(R8/12,0)</f>
        <v>0</v>
      </c>
      <c r="T8" s="1545">
        <f t="shared" ref="T8:T71" si="42">+P8</f>
        <v>0</v>
      </c>
      <c r="U8" s="1389">
        <f>'Table 5C1A-Madison Prep'!U8</f>
        <v>2829</v>
      </c>
      <c r="V8" s="1515">
        <f t="shared" ref="V8:V71" si="43">C8*U8</f>
        <v>0</v>
      </c>
      <c r="W8" s="1391"/>
      <c r="X8" s="1392">
        <f t="shared" ref="X8:X71" si="44">+U8*W8</f>
        <v>0</v>
      </c>
      <c r="Y8" s="1391"/>
      <c r="Z8" s="1392">
        <f t="shared" si="28"/>
        <v>0</v>
      </c>
      <c r="AA8" s="1390">
        <f t="shared" si="29"/>
        <v>0</v>
      </c>
      <c r="AB8" s="1510">
        <f t="shared" si="30"/>
        <v>0</v>
      </c>
      <c r="AC8" s="1394">
        <f t="shared" si="31"/>
        <v>0</v>
      </c>
      <c r="AD8" s="1510">
        <f t="shared" ref="AD8:AD71" si="45">SUM(AB8:AC8)</f>
        <v>0</v>
      </c>
      <c r="AE8" s="1395">
        <v>0</v>
      </c>
      <c r="AF8" s="1510">
        <f t="shared" ref="AF8:AF71" si="46">SUM(AD8:AE8)</f>
        <v>0</v>
      </c>
      <c r="AG8" s="1395"/>
      <c r="AH8" s="1395">
        <f t="shared" ref="AH8:AH71" si="47">+AF8-AG8</f>
        <v>0</v>
      </c>
      <c r="AI8" s="1510">
        <f t="shared" ref="AI8:AI71" si="48">ROUND(AH8/12,0)</f>
        <v>0</v>
      </c>
      <c r="AJ8" s="1505">
        <f t="shared" ref="AJ8:AJ71" si="49">T8+AF8</f>
        <v>0</v>
      </c>
      <c r="AK8" s="1535">
        <f t="shared" ref="AK8:AK71" si="50">S8+AI8</f>
        <v>0</v>
      </c>
    </row>
    <row r="9" spans="1:37" ht="16.2" customHeight="1">
      <c r="A9" s="1176">
        <v>3</v>
      </c>
      <c r="B9" s="1177" t="s">
        <v>83</v>
      </c>
      <c r="C9" s="1178">
        <f>+'Table 8 Membership 2.1.14'!V5</f>
        <v>8</v>
      </c>
      <c r="D9" s="1179">
        <f>+'Table 5C1A-Madison Prep'!D9</f>
        <v>4155.1862027396819</v>
      </c>
      <c r="E9" s="1180">
        <f t="shared" si="32"/>
        <v>33241.489621917455</v>
      </c>
      <c r="F9" s="1180">
        <f>+'Table 5C1A-Madison Prep'!F9</f>
        <v>596.84</v>
      </c>
      <c r="G9" s="1180">
        <f t="shared" si="33"/>
        <v>4774.72</v>
      </c>
      <c r="H9" s="1539">
        <f t="shared" si="34"/>
        <v>38016.209621917456</v>
      </c>
      <c r="I9" s="1181"/>
      <c r="J9" s="1181"/>
      <c r="K9" s="1182">
        <f t="shared" si="35"/>
        <v>0</v>
      </c>
      <c r="L9" s="1539">
        <f t="shared" si="36"/>
        <v>38016.209621917456</v>
      </c>
      <c r="M9" s="1388">
        <f t="shared" si="37"/>
        <v>-95.040524054793636</v>
      </c>
      <c r="N9" s="1539">
        <f t="shared" si="38"/>
        <v>37921.169097862665</v>
      </c>
      <c r="O9" s="1179">
        <v>0</v>
      </c>
      <c r="P9" s="1545">
        <f t="shared" si="39"/>
        <v>37921.169097862665</v>
      </c>
      <c r="Q9" s="1181"/>
      <c r="R9" s="1181">
        <f t="shared" si="40"/>
        <v>37921.169097862665</v>
      </c>
      <c r="S9" s="1545">
        <f t="shared" si="41"/>
        <v>3160</v>
      </c>
      <c r="T9" s="1545">
        <f t="shared" si="42"/>
        <v>37921.169097862665</v>
      </c>
      <c r="U9" s="1389">
        <f>'Table 5C1A-Madison Prep'!U9</f>
        <v>5770</v>
      </c>
      <c r="V9" s="1515">
        <f t="shared" si="43"/>
        <v>46160</v>
      </c>
      <c r="W9" s="1391"/>
      <c r="X9" s="1392">
        <f t="shared" si="44"/>
        <v>0</v>
      </c>
      <c r="Y9" s="1391"/>
      <c r="Z9" s="1392">
        <f t="shared" si="28"/>
        <v>0</v>
      </c>
      <c r="AA9" s="1390">
        <f t="shared" si="29"/>
        <v>0</v>
      </c>
      <c r="AB9" s="1510">
        <f t="shared" si="30"/>
        <v>46160</v>
      </c>
      <c r="AC9" s="1394">
        <f t="shared" si="31"/>
        <v>-115.4</v>
      </c>
      <c r="AD9" s="1510">
        <f t="shared" si="45"/>
        <v>46044.6</v>
      </c>
      <c r="AE9" s="1395">
        <v>0</v>
      </c>
      <c r="AF9" s="1510">
        <f t="shared" si="46"/>
        <v>46044.6</v>
      </c>
      <c r="AG9" s="1395"/>
      <c r="AH9" s="1395">
        <f t="shared" si="47"/>
        <v>46044.6</v>
      </c>
      <c r="AI9" s="1510">
        <f t="shared" si="48"/>
        <v>3837</v>
      </c>
      <c r="AJ9" s="1505">
        <f t="shared" si="49"/>
        <v>83965.769097862663</v>
      </c>
      <c r="AK9" s="1535">
        <f t="shared" si="50"/>
        <v>6997</v>
      </c>
    </row>
    <row r="10" spans="1:37" ht="16.2" customHeight="1">
      <c r="A10" s="1176">
        <v>4</v>
      </c>
      <c r="B10" s="1177" t="s">
        <v>84</v>
      </c>
      <c r="C10" s="1178">
        <f>+'Table 8 Membership 2.1.14'!V6</f>
        <v>0</v>
      </c>
      <c r="D10" s="1179">
        <f>+'Table 5C1A-Madison Prep'!D10</f>
        <v>6119.0581446878568</v>
      </c>
      <c r="E10" s="1180">
        <f t="shared" si="32"/>
        <v>0</v>
      </c>
      <c r="F10" s="1180">
        <f>+'Table 5C1A-Madison Prep'!F10</f>
        <v>585.76</v>
      </c>
      <c r="G10" s="1180">
        <f t="shared" si="33"/>
        <v>0</v>
      </c>
      <c r="H10" s="1539">
        <f t="shared" si="34"/>
        <v>0</v>
      </c>
      <c r="I10" s="1181"/>
      <c r="J10" s="1181"/>
      <c r="K10" s="1182">
        <f t="shared" si="35"/>
        <v>0</v>
      </c>
      <c r="L10" s="1539">
        <f t="shared" si="36"/>
        <v>0</v>
      </c>
      <c r="M10" s="1388">
        <f t="shared" si="37"/>
        <v>0</v>
      </c>
      <c r="N10" s="1539">
        <f t="shared" si="38"/>
        <v>0</v>
      </c>
      <c r="O10" s="1179">
        <v>0</v>
      </c>
      <c r="P10" s="1545">
        <f t="shared" si="39"/>
        <v>0</v>
      </c>
      <c r="Q10" s="1181"/>
      <c r="R10" s="1181">
        <f t="shared" si="40"/>
        <v>0</v>
      </c>
      <c r="S10" s="1545">
        <f t="shared" si="41"/>
        <v>0</v>
      </c>
      <c r="T10" s="1545">
        <f t="shared" si="42"/>
        <v>0</v>
      </c>
      <c r="U10" s="1389">
        <f>'Table 5C1A-Madison Prep'!U10</f>
        <v>3287</v>
      </c>
      <c r="V10" s="1515">
        <f t="shared" si="43"/>
        <v>0</v>
      </c>
      <c r="W10" s="1391"/>
      <c r="X10" s="1392">
        <f t="shared" si="44"/>
        <v>0</v>
      </c>
      <c r="Y10" s="1391"/>
      <c r="Z10" s="1392">
        <f t="shared" si="28"/>
        <v>0</v>
      </c>
      <c r="AA10" s="1390">
        <f t="shared" si="29"/>
        <v>0</v>
      </c>
      <c r="AB10" s="1510">
        <f t="shared" si="30"/>
        <v>0</v>
      </c>
      <c r="AC10" s="1394">
        <f t="shared" si="31"/>
        <v>0</v>
      </c>
      <c r="AD10" s="1510">
        <f t="shared" si="45"/>
        <v>0</v>
      </c>
      <c r="AE10" s="1395">
        <v>0</v>
      </c>
      <c r="AF10" s="1510">
        <f t="shared" si="46"/>
        <v>0</v>
      </c>
      <c r="AG10" s="1395"/>
      <c r="AH10" s="1395">
        <f t="shared" si="47"/>
        <v>0</v>
      </c>
      <c r="AI10" s="1510">
        <f t="shared" si="48"/>
        <v>0</v>
      </c>
      <c r="AJ10" s="1505">
        <f t="shared" si="49"/>
        <v>0</v>
      </c>
      <c r="AK10" s="1535">
        <f t="shared" si="50"/>
        <v>0</v>
      </c>
    </row>
    <row r="11" spans="1:37" ht="16.2" customHeight="1">
      <c r="A11" s="1168">
        <v>5</v>
      </c>
      <c r="B11" s="1169" t="s">
        <v>85</v>
      </c>
      <c r="C11" s="1170">
        <f>+'Table 8 Membership 2.1.14'!V7</f>
        <v>0</v>
      </c>
      <c r="D11" s="1171">
        <f>+'Table 5C1A-Madison Prep'!D11</f>
        <v>5268.940566009911</v>
      </c>
      <c r="E11" s="1172">
        <f t="shared" si="32"/>
        <v>0</v>
      </c>
      <c r="F11" s="1172">
        <f>+'Table 5C1A-Madison Prep'!F11</f>
        <v>555.91</v>
      </c>
      <c r="G11" s="1172">
        <f t="shared" si="33"/>
        <v>0</v>
      </c>
      <c r="H11" s="1540">
        <f t="shared" si="34"/>
        <v>0</v>
      </c>
      <c r="I11" s="1173"/>
      <c r="J11" s="1173"/>
      <c r="K11" s="1174">
        <f t="shared" si="35"/>
        <v>0</v>
      </c>
      <c r="L11" s="1540">
        <f t="shared" si="36"/>
        <v>0</v>
      </c>
      <c r="M11" s="1399">
        <f t="shared" si="37"/>
        <v>0</v>
      </c>
      <c r="N11" s="1540">
        <f t="shared" si="38"/>
        <v>0</v>
      </c>
      <c r="O11" s="1171">
        <v>0</v>
      </c>
      <c r="P11" s="1546">
        <f t="shared" si="39"/>
        <v>0</v>
      </c>
      <c r="Q11" s="1173"/>
      <c r="R11" s="1173">
        <f t="shared" si="40"/>
        <v>0</v>
      </c>
      <c r="S11" s="1546">
        <f t="shared" si="41"/>
        <v>0</v>
      </c>
      <c r="T11" s="1546">
        <f t="shared" si="42"/>
        <v>0</v>
      </c>
      <c r="U11" s="1382">
        <f>'Table 5C1A-Madison Prep'!U11</f>
        <v>1921</v>
      </c>
      <c r="V11" s="1516">
        <f t="shared" si="43"/>
        <v>0</v>
      </c>
      <c r="W11" s="1400"/>
      <c r="X11" s="1383">
        <f t="shared" si="44"/>
        <v>0</v>
      </c>
      <c r="Y11" s="1400"/>
      <c r="Z11" s="1383">
        <f t="shared" si="28"/>
        <v>0</v>
      </c>
      <c r="AA11" s="1384">
        <f t="shared" si="29"/>
        <v>0</v>
      </c>
      <c r="AB11" s="1511">
        <f t="shared" si="30"/>
        <v>0</v>
      </c>
      <c r="AC11" s="1402">
        <f t="shared" si="31"/>
        <v>0</v>
      </c>
      <c r="AD11" s="1511">
        <f t="shared" si="45"/>
        <v>0</v>
      </c>
      <c r="AE11" s="1385">
        <v>0</v>
      </c>
      <c r="AF11" s="1511">
        <f t="shared" si="46"/>
        <v>0</v>
      </c>
      <c r="AG11" s="1385"/>
      <c r="AH11" s="1385">
        <f t="shared" si="47"/>
        <v>0</v>
      </c>
      <c r="AI11" s="1511">
        <f t="shared" si="48"/>
        <v>0</v>
      </c>
      <c r="AJ11" s="1531">
        <f t="shared" si="49"/>
        <v>0</v>
      </c>
      <c r="AK11" s="1536">
        <f t="shared" si="50"/>
        <v>0</v>
      </c>
    </row>
    <row r="12" spans="1:37" ht="16.2" customHeight="1">
      <c r="A12" s="1183">
        <v>6</v>
      </c>
      <c r="B12" s="1184" t="s">
        <v>86</v>
      </c>
      <c r="C12" s="1185">
        <f>+'Table 8 Membership 2.1.14'!V8</f>
        <v>0</v>
      </c>
      <c r="D12" s="1186">
        <f>+'Table 5C1A-Madison Prep'!D12</f>
        <v>5378.5086124955869</v>
      </c>
      <c r="E12" s="1187">
        <f t="shared" si="32"/>
        <v>0</v>
      </c>
      <c r="F12" s="1187">
        <f>+'Table 5C1A-Madison Prep'!F12</f>
        <v>545.4799999999999</v>
      </c>
      <c r="G12" s="1187">
        <f t="shared" si="33"/>
        <v>0</v>
      </c>
      <c r="H12" s="1538">
        <f t="shared" si="34"/>
        <v>0</v>
      </c>
      <c r="I12" s="1188"/>
      <c r="J12" s="1188"/>
      <c r="K12" s="1189">
        <f t="shared" si="35"/>
        <v>0</v>
      </c>
      <c r="L12" s="1538">
        <f t="shared" si="36"/>
        <v>0</v>
      </c>
      <c r="M12" s="1372">
        <f t="shared" si="37"/>
        <v>0</v>
      </c>
      <c r="N12" s="1538">
        <f t="shared" si="38"/>
        <v>0</v>
      </c>
      <c r="O12" s="1186">
        <v>0</v>
      </c>
      <c r="P12" s="1544">
        <f t="shared" si="39"/>
        <v>0</v>
      </c>
      <c r="Q12" s="1188"/>
      <c r="R12" s="1188">
        <f t="shared" si="40"/>
        <v>0</v>
      </c>
      <c r="S12" s="1544">
        <f t="shared" si="41"/>
        <v>0</v>
      </c>
      <c r="T12" s="1544">
        <f t="shared" si="42"/>
        <v>0</v>
      </c>
      <c r="U12" s="1373">
        <f>'Table 5C1A-Madison Prep'!U12</f>
        <v>3807</v>
      </c>
      <c r="V12" s="1514">
        <f t="shared" si="43"/>
        <v>0</v>
      </c>
      <c r="W12" s="1375"/>
      <c r="X12" s="1376">
        <f t="shared" si="44"/>
        <v>0</v>
      </c>
      <c r="Y12" s="1375"/>
      <c r="Z12" s="1376">
        <f t="shared" si="28"/>
        <v>0</v>
      </c>
      <c r="AA12" s="1374">
        <f t="shared" si="29"/>
        <v>0</v>
      </c>
      <c r="AB12" s="1509">
        <f t="shared" si="30"/>
        <v>0</v>
      </c>
      <c r="AC12" s="1378">
        <f t="shared" si="31"/>
        <v>0</v>
      </c>
      <c r="AD12" s="1509">
        <f t="shared" si="45"/>
        <v>0</v>
      </c>
      <c r="AE12" s="1379">
        <v>0</v>
      </c>
      <c r="AF12" s="1509">
        <f t="shared" si="46"/>
        <v>0</v>
      </c>
      <c r="AG12" s="1379"/>
      <c r="AH12" s="1379">
        <f t="shared" si="47"/>
        <v>0</v>
      </c>
      <c r="AI12" s="1509">
        <f t="shared" si="48"/>
        <v>0</v>
      </c>
      <c r="AJ12" s="1530">
        <f t="shared" si="49"/>
        <v>0</v>
      </c>
      <c r="AK12" s="1534">
        <f t="shared" si="50"/>
        <v>0</v>
      </c>
    </row>
    <row r="13" spans="1:37" ht="16.2" customHeight="1">
      <c r="A13" s="1176">
        <v>7</v>
      </c>
      <c r="B13" s="1177" t="s">
        <v>87</v>
      </c>
      <c r="C13" s="1178">
        <f>+'Table 8 Membership 2.1.14'!V9</f>
        <v>0</v>
      </c>
      <c r="D13" s="1179">
        <f>+'Table 5C1A-Madison Prep'!D13</f>
        <v>2243.0031963470319</v>
      </c>
      <c r="E13" s="1180">
        <f t="shared" si="32"/>
        <v>0</v>
      </c>
      <c r="F13" s="1180">
        <f>+'Table 5C1A-Madison Prep'!F13</f>
        <v>756.91999999999985</v>
      </c>
      <c r="G13" s="1180">
        <f t="shared" si="33"/>
        <v>0</v>
      </c>
      <c r="H13" s="1539">
        <f t="shared" si="34"/>
        <v>0</v>
      </c>
      <c r="I13" s="1181"/>
      <c r="J13" s="1181"/>
      <c r="K13" s="1182">
        <f t="shared" si="35"/>
        <v>0</v>
      </c>
      <c r="L13" s="1539">
        <f t="shared" si="36"/>
        <v>0</v>
      </c>
      <c r="M13" s="1388">
        <f t="shared" si="37"/>
        <v>0</v>
      </c>
      <c r="N13" s="1539">
        <f t="shared" si="38"/>
        <v>0</v>
      </c>
      <c r="O13" s="1179">
        <v>0</v>
      </c>
      <c r="P13" s="1545">
        <f t="shared" si="39"/>
        <v>0</v>
      </c>
      <c r="Q13" s="1181"/>
      <c r="R13" s="1181">
        <f t="shared" si="40"/>
        <v>0</v>
      </c>
      <c r="S13" s="1545">
        <f t="shared" si="41"/>
        <v>0</v>
      </c>
      <c r="T13" s="1545">
        <f t="shared" si="42"/>
        <v>0</v>
      </c>
      <c r="U13" s="1389">
        <f>'Table 5C1A-Madison Prep'!U13</f>
        <v>11888</v>
      </c>
      <c r="V13" s="1515">
        <f t="shared" si="43"/>
        <v>0</v>
      </c>
      <c r="W13" s="1391"/>
      <c r="X13" s="1392">
        <f t="shared" si="44"/>
        <v>0</v>
      </c>
      <c r="Y13" s="1391"/>
      <c r="Z13" s="1392">
        <f t="shared" si="28"/>
        <v>0</v>
      </c>
      <c r="AA13" s="1390">
        <f t="shared" si="29"/>
        <v>0</v>
      </c>
      <c r="AB13" s="1510">
        <f t="shared" si="30"/>
        <v>0</v>
      </c>
      <c r="AC13" s="1394">
        <f t="shared" si="31"/>
        <v>0</v>
      </c>
      <c r="AD13" s="1510">
        <f t="shared" si="45"/>
        <v>0</v>
      </c>
      <c r="AE13" s="1395">
        <v>0</v>
      </c>
      <c r="AF13" s="1510">
        <f t="shared" si="46"/>
        <v>0</v>
      </c>
      <c r="AG13" s="1395"/>
      <c r="AH13" s="1395">
        <f t="shared" si="47"/>
        <v>0</v>
      </c>
      <c r="AI13" s="1510">
        <f t="shared" si="48"/>
        <v>0</v>
      </c>
      <c r="AJ13" s="1505">
        <f t="shared" si="49"/>
        <v>0</v>
      </c>
      <c r="AK13" s="1535">
        <f t="shared" si="50"/>
        <v>0</v>
      </c>
    </row>
    <row r="14" spans="1:37" ht="16.2" customHeight="1">
      <c r="A14" s="1176">
        <v>8</v>
      </c>
      <c r="B14" s="1177" t="s">
        <v>88</v>
      </c>
      <c r="C14" s="1178">
        <f>+'Table 8 Membership 2.1.14'!V10</f>
        <v>0</v>
      </c>
      <c r="D14" s="1179">
        <f>+'Table 5C1A-Madison Prep'!D14</f>
        <v>4669.802459558854</v>
      </c>
      <c r="E14" s="1180">
        <f t="shared" si="32"/>
        <v>0</v>
      </c>
      <c r="F14" s="1180">
        <f>+'Table 5C1A-Madison Prep'!F14</f>
        <v>725.76</v>
      </c>
      <c r="G14" s="1180">
        <f t="shared" si="33"/>
        <v>0</v>
      </c>
      <c r="H14" s="1539">
        <f t="shared" si="34"/>
        <v>0</v>
      </c>
      <c r="I14" s="1181"/>
      <c r="J14" s="1181"/>
      <c r="K14" s="1182">
        <f t="shared" si="35"/>
        <v>0</v>
      </c>
      <c r="L14" s="1539">
        <f t="shared" si="36"/>
        <v>0</v>
      </c>
      <c r="M14" s="1388">
        <f t="shared" si="37"/>
        <v>0</v>
      </c>
      <c r="N14" s="1539">
        <f t="shared" si="38"/>
        <v>0</v>
      </c>
      <c r="O14" s="1179">
        <v>0</v>
      </c>
      <c r="P14" s="1545">
        <f t="shared" si="39"/>
        <v>0</v>
      </c>
      <c r="Q14" s="1181"/>
      <c r="R14" s="1181">
        <f t="shared" si="40"/>
        <v>0</v>
      </c>
      <c r="S14" s="1545">
        <f t="shared" si="41"/>
        <v>0</v>
      </c>
      <c r="T14" s="1545">
        <f t="shared" si="42"/>
        <v>0</v>
      </c>
      <c r="U14" s="1389">
        <f>'Table 5C1A-Madison Prep'!U14</f>
        <v>4024</v>
      </c>
      <c r="V14" s="1515">
        <f t="shared" si="43"/>
        <v>0</v>
      </c>
      <c r="W14" s="1391"/>
      <c r="X14" s="1392">
        <f t="shared" si="44"/>
        <v>0</v>
      </c>
      <c r="Y14" s="1391"/>
      <c r="Z14" s="1392">
        <f t="shared" si="28"/>
        <v>0</v>
      </c>
      <c r="AA14" s="1390">
        <f t="shared" si="29"/>
        <v>0</v>
      </c>
      <c r="AB14" s="1510">
        <f t="shared" si="30"/>
        <v>0</v>
      </c>
      <c r="AC14" s="1394">
        <f t="shared" si="31"/>
        <v>0</v>
      </c>
      <c r="AD14" s="1510">
        <f t="shared" si="45"/>
        <v>0</v>
      </c>
      <c r="AE14" s="1395">
        <v>0</v>
      </c>
      <c r="AF14" s="1510">
        <f t="shared" si="46"/>
        <v>0</v>
      </c>
      <c r="AG14" s="1395"/>
      <c r="AH14" s="1395">
        <f t="shared" si="47"/>
        <v>0</v>
      </c>
      <c r="AI14" s="1510">
        <f t="shared" si="48"/>
        <v>0</v>
      </c>
      <c r="AJ14" s="1505">
        <f t="shared" si="49"/>
        <v>0</v>
      </c>
      <c r="AK14" s="1535">
        <f t="shared" si="50"/>
        <v>0</v>
      </c>
    </row>
    <row r="15" spans="1:37" ht="16.2" customHeight="1">
      <c r="A15" s="1176">
        <v>9</v>
      </c>
      <c r="B15" s="1177" t="s">
        <v>89</v>
      </c>
      <c r="C15" s="1178">
        <f>+'Table 8 Membership 2.1.14'!V11</f>
        <v>0</v>
      </c>
      <c r="D15" s="1179">
        <f>+'Table 5C1A-Madison Prep'!D15</f>
        <v>4632.4615072045008</v>
      </c>
      <c r="E15" s="1180">
        <f t="shared" si="32"/>
        <v>0</v>
      </c>
      <c r="F15" s="1180">
        <f>+'Table 5C1A-Madison Prep'!F15</f>
        <v>744.76</v>
      </c>
      <c r="G15" s="1180">
        <f t="shared" si="33"/>
        <v>0</v>
      </c>
      <c r="H15" s="1539">
        <f t="shared" si="34"/>
        <v>0</v>
      </c>
      <c r="I15" s="1181"/>
      <c r="J15" s="1181"/>
      <c r="K15" s="1182">
        <f t="shared" si="35"/>
        <v>0</v>
      </c>
      <c r="L15" s="1539">
        <f t="shared" si="36"/>
        <v>0</v>
      </c>
      <c r="M15" s="1388">
        <f t="shared" si="37"/>
        <v>0</v>
      </c>
      <c r="N15" s="1539">
        <f t="shared" si="38"/>
        <v>0</v>
      </c>
      <c r="O15" s="1179">
        <v>0</v>
      </c>
      <c r="P15" s="1545">
        <f t="shared" si="39"/>
        <v>0</v>
      </c>
      <c r="Q15" s="1181"/>
      <c r="R15" s="1181">
        <f t="shared" si="40"/>
        <v>0</v>
      </c>
      <c r="S15" s="1545">
        <f t="shared" si="41"/>
        <v>0</v>
      </c>
      <c r="T15" s="1545">
        <f t="shared" si="42"/>
        <v>0</v>
      </c>
      <c r="U15" s="1389">
        <f>'Table 5C1A-Madison Prep'!U15</f>
        <v>4828</v>
      </c>
      <c r="V15" s="1515">
        <f t="shared" si="43"/>
        <v>0</v>
      </c>
      <c r="W15" s="1391"/>
      <c r="X15" s="1392">
        <f t="shared" si="44"/>
        <v>0</v>
      </c>
      <c r="Y15" s="1391"/>
      <c r="Z15" s="1392">
        <f t="shared" si="28"/>
        <v>0</v>
      </c>
      <c r="AA15" s="1390">
        <f t="shared" si="29"/>
        <v>0</v>
      </c>
      <c r="AB15" s="1510">
        <f t="shared" si="30"/>
        <v>0</v>
      </c>
      <c r="AC15" s="1394">
        <f t="shared" si="31"/>
        <v>0</v>
      </c>
      <c r="AD15" s="1510">
        <f t="shared" si="45"/>
        <v>0</v>
      </c>
      <c r="AE15" s="1395">
        <v>0</v>
      </c>
      <c r="AF15" s="1510">
        <f t="shared" si="46"/>
        <v>0</v>
      </c>
      <c r="AG15" s="1395"/>
      <c r="AH15" s="1395">
        <f t="shared" si="47"/>
        <v>0</v>
      </c>
      <c r="AI15" s="1510">
        <f t="shared" si="48"/>
        <v>0</v>
      </c>
      <c r="AJ15" s="1505">
        <f t="shared" si="49"/>
        <v>0</v>
      </c>
      <c r="AK15" s="1535">
        <f t="shared" si="50"/>
        <v>0</v>
      </c>
    </row>
    <row r="16" spans="1:37" ht="16.2" customHeight="1">
      <c r="A16" s="1168">
        <v>10</v>
      </c>
      <c r="B16" s="1169" t="s">
        <v>90</v>
      </c>
      <c r="C16" s="1170">
        <f>+'Table 8 Membership 2.1.14'!V12</f>
        <v>0</v>
      </c>
      <c r="D16" s="1171">
        <f>+'Table 5C1A-Madison Prep'!D16</f>
        <v>4384.374733918472</v>
      </c>
      <c r="E16" s="1172">
        <f t="shared" si="32"/>
        <v>0</v>
      </c>
      <c r="F16" s="1172">
        <f>+'Table 5C1A-Madison Prep'!F16</f>
        <v>608.04000000000008</v>
      </c>
      <c r="G16" s="1172">
        <f t="shared" si="33"/>
        <v>0</v>
      </c>
      <c r="H16" s="1540">
        <f t="shared" si="34"/>
        <v>0</v>
      </c>
      <c r="I16" s="1173"/>
      <c r="J16" s="1173"/>
      <c r="K16" s="1174">
        <f t="shared" si="35"/>
        <v>0</v>
      </c>
      <c r="L16" s="1540">
        <f t="shared" si="36"/>
        <v>0</v>
      </c>
      <c r="M16" s="1399">
        <f t="shared" si="37"/>
        <v>0</v>
      </c>
      <c r="N16" s="1540">
        <f t="shared" si="38"/>
        <v>0</v>
      </c>
      <c r="O16" s="1171">
        <v>0</v>
      </c>
      <c r="P16" s="1546">
        <f t="shared" si="39"/>
        <v>0</v>
      </c>
      <c r="Q16" s="1173"/>
      <c r="R16" s="1173">
        <f t="shared" si="40"/>
        <v>0</v>
      </c>
      <c r="S16" s="1546">
        <f t="shared" si="41"/>
        <v>0</v>
      </c>
      <c r="T16" s="1546">
        <f t="shared" si="42"/>
        <v>0</v>
      </c>
      <c r="U16" s="1382">
        <f>'Table 5C1A-Madison Prep'!U16</f>
        <v>4565</v>
      </c>
      <c r="V16" s="1516">
        <f t="shared" si="43"/>
        <v>0</v>
      </c>
      <c r="W16" s="1400"/>
      <c r="X16" s="1383">
        <f t="shared" si="44"/>
        <v>0</v>
      </c>
      <c r="Y16" s="1400"/>
      <c r="Z16" s="1383">
        <f t="shared" si="28"/>
        <v>0</v>
      </c>
      <c r="AA16" s="1384">
        <f t="shared" si="29"/>
        <v>0</v>
      </c>
      <c r="AB16" s="1511">
        <f t="shared" si="30"/>
        <v>0</v>
      </c>
      <c r="AC16" s="1402">
        <f t="shared" si="31"/>
        <v>0</v>
      </c>
      <c r="AD16" s="1511">
        <f t="shared" si="45"/>
        <v>0</v>
      </c>
      <c r="AE16" s="1385">
        <v>0</v>
      </c>
      <c r="AF16" s="1511">
        <f t="shared" si="46"/>
        <v>0</v>
      </c>
      <c r="AG16" s="1385"/>
      <c r="AH16" s="1385">
        <f t="shared" si="47"/>
        <v>0</v>
      </c>
      <c r="AI16" s="1511">
        <f t="shared" si="48"/>
        <v>0</v>
      </c>
      <c r="AJ16" s="1531">
        <f t="shared" si="49"/>
        <v>0</v>
      </c>
      <c r="AK16" s="1536">
        <f t="shared" si="50"/>
        <v>0</v>
      </c>
    </row>
    <row r="17" spans="1:37" ht="16.2" customHeight="1">
      <c r="A17" s="1183">
        <v>11</v>
      </c>
      <c r="B17" s="1184" t="s">
        <v>91</v>
      </c>
      <c r="C17" s="1185">
        <f>+'Table 8 Membership 2.1.14'!V13</f>
        <v>0</v>
      </c>
      <c r="D17" s="1186">
        <f>+'Table 5C1A-Madison Prep'!D17</f>
        <v>7098.5372236353351</v>
      </c>
      <c r="E17" s="1187">
        <f t="shared" si="32"/>
        <v>0</v>
      </c>
      <c r="F17" s="1187">
        <f>+'Table 5C1A-Madison Prep'!F17</f>
        <v>706.55</v>
      </c>
      <c r="G17" s="1187">
        <f t="shared" si="33"/>
        <v>0</v>
      </c>
      <c r="H17" s="1538">
        <f t="shared" si="34"/>
        <v>0</v>
      </c>
      <c r="I17" s="1188"/>
      <c r="J17" s="1188"/>
      <c r="K17" s="1189">
        <f t="shared" si="35"/>
        <v>0</v>
      </c>
      <c r="L17" s="1538">
        <f t="shared" si="36"/>
        <v>0</v>
      </c>
      <c r="M17" s="1372">
        <f t="shared" si="37"/>
        <v>0</v>
      </c>
      <c r="N17" s="1538">
        <f t="shared" si="38"/>
        <v>0</v>
      </c>
      <c r="O17" s="1186">
        <v>0</v>
      </c>
      <c r="P17" s="1544">
        <f t="shared" si="39"/>
        <v>0</v>
      </c>
      <c r="Q17" s="1188"/>
      <c r="R17" s="1188">
        <f t="shared" si="40"/>
        <v>0</v>
      </c>
      <c r="S17" s="1544">
        <f t="shared" si="41"/>
        <v>0</v>
      </c>
      <c r="T17" s="1544">
        <f t="shared" si="42"/>
        <v>0</v>
      </c>
      <c r="U17" s="1373">
        <f>'Table 5C1A-Madison Prep'!U17</f>
        <v>3587</v>
      </c>
      <c r="V17" s="1514">
        <f t="shared" si="43"/>
        <v>0</v>
      </c>
      <c r="W17" s="1375"/>
      <c r="X17" s="1376">
        <f t="shared" si="44"/>
        <v>0</v>
      </c>
      <c r="Y17" s="1375"/>
      <c r="Z17" s="1376">
        <f t="shared" si="28"/>
        <v>0</v>
      </c>
      <c r="AA17" s="1374">
        <f t="shared" si="29"/>
        <v>0</v>
      </c>
      <c r="AB17" s="1509">
        <f t="shared" si="30"/>
        <v>0</v>
      </c>
      <c r="AC17" s="1378">
        <f t="shared" si="31"/>
        <v>0</v>
      </c>
      <c r="AD17" s="1509">
        <f t="shared" si="45"/>
        <v>0</v>
      </c>
      <c r="AE17" s="1379">
        <v>0</v>
      </c>
      <c r="AF17" s="1509">
        <f t="shared" si="46"/>
        <v>0</v>
      </c>
      <c r="AG17" s="1379"/>
      <c r="AH17" s="1379">
        <f t="shared" si="47"/>
        <v>0</v>
      </c>
      <c r="AI17" s="1509">
        <f t="shared" si="48"/>
        <v>0</v>
      </c>
      <c r="AJ17" s="1530">
        <f t="shared" si="49"/>
        <v>0</v>
      </c>
      <c r="AK17" s="1534">
        <f t="shared" si="50"/>
        <v>0</v>
      </c>
    </row>
    <row r="18" spans="1:37" ht="16.2" customHeight="1">
      <c r="A18" s="1176">
        <v>12</v>
      </c>
      <c r="B18" s="1177" t="s">
        <v>92</v>
      </c>
      <c r="C18" s="1178">
        <f>+'Table 8 Membership 2.1.14'!V14</f>
        <v>0</v>
      </c>
      <c r="D18" s="1179">
        <f>+'Table 5C1A-Madison Prep'!D18</f>
        <v>1666.6040983606558</v>
      </c>
      <c r="E18" s="1180">
        <f t="shared" si="32"/>
        <v>0</v>
      </c>
      <c r="F18" s="1180">
        <f>+'Table 5C1A-Madison Prep'!F18</f>
        <v>1063.31</v>
      </c>
      <c r="G18" s="1180">
        <f t="shared" si="33"/>
        <v>0</v>
      </c>
      <c r="H18" s="1539">
        <f t="shared" si="34"/>
        <v>0</v>
      </c>
      <c r="I18" s="1181"/>
      <c r="J18" s="1181"/>
      <c r="K18" s="1182">
        <f t="shared" si="35"/>
        <v>0</v>
      </c>
      <c r="L18" s="1539">
        <f t="shared" si="36"/>
        <v>0</v>
      </c>
      <c r="M18" s="1388">
        <f t="shared" si="37"/>
        <v>0</v>
      </c>
      <c r="N18" s="1539">
        <f t="shared" si="38"/>
        <v>0</v>
      </c>
      <c r="O18" s="1179">
        <v>0</v>
      </c>
      <c r="P18" s="1545">
        <f t="shared" si="39"/>
        <v>0</v>
      </c>
      <c r="Q18" s="1181"/>
      <c r="R18" s="1181">
        <f t="shared" si="40"/>
        <v>0</v>
      </c>
      <c r="S18" s="1545">
        <f t="shared" si="41"/>
        <v>0</v>
      </c>
      <c r="T18" s="1545">
        <f t="shared" si="42"/>
        <v>0</v>
      </c>
      <c r="U18" s="1389">
        <f>'Table 5C1A-Madison Prep'!U18</f>
        <v>8094</v>
      </c>
      <c r="V18" s="1515">
        <f t="shared" si="43"/>
        <v>0</v>
      </c>
      <c r="W18" s="1391"/>
      <c r="X18" s="1392">
        <f t="shared" si="44"/>
        <v>0</v>
      </c>
      <c r="Y18" s="1391"/>
      <c r="Z18" s="1392">
        <f t="shared" si="28"/>
        <v>0</v>
      </c>
      <c r="AA18" s="1390">
        <f t="shared" si="29"/>
        <v>0</v>
      </c>
      <c r="AB18" s="1510">
        <f t="shared" si="30"/>
        <v>0</v>
      </c>
      <c r="AC18" s="1394">
        <f t="shared" si="31"/>
        <v>0</v>
      </c>
      <c r="AD18" s="1510">
        <f t="shared" si="45"/>
        <v>0</v>
      </c>
      <c r="AE18" s="1395">
        <v>0</v>
      </c>
      <c r="AF18" s="1510">
        <f t="shared" si="46"/>
        <v>0</v>
      </c>
      <c r="AG18" s="1395"/>
      <c r="AH18" s="1395">
        <f t="shared" si="47"/>
        <v>0</v>
      </c>
      <c r="AI18" s="1510">
        <f t="shared" si="48"/>
        <v>0</v>
      </c>
      <c r="AJ18" s="1505">
        <f t="shared" si="49"/>
        <v>0</v>
      </c>
      <c r="AK18" s="1535">
        <f t="shared" si="50"/>
        <v>0</v>
      </c>
    </row>
    <row r="19" spans="1:37" ht="16.2" customHeight="1">
      <c r="A19" s="1176">
        <v>13</v>
      </c>
      <c r="B19" s="1177" t="s">
        <v>93</v>
      </c>
      <c r="C19" s="1178">
        <f>+'Table 8 Membership 2.1.14'!V15</f>
        <v>0</v>
      </c>
      <c r="D19" s="1179">
        <f>+'Table 5C1A-Madison Prep'!D19</f>
        <v>6433.6297758332212</v>
      </c>
      <c r="E19" s="1180">
        <f t="shared" si="32"/>
        <v>0</v>
      </c>
      <c r="F19" s="1180">
        <f>+'Table 5C1A-Madison Prep'!F19</f>
        <v>749.43000000000006</v>
      </c>
      <c r="G19" s="1180">
        <f t="shared" si="33"/>
        <v>0</v>
      </c>
      <c r="H19" s="1539">
        <f t="shared" si="34"/>
        <v>0</v>
      </c>
      <c r="I19" s="1181"/>
      <c r="J19" s="1181"/>
      <c r="K19" s="1182">
        <f t="shared" si="35"/>
        <v>0</v>
      </c>
      <c r="L19" s="1539">
        <f t="shared" si="36"/>
        <v>0</v>
      </c>
      <c r="M19" s="1388">
        <f t="shared" si="37"/>
        <v>0</v>
      </c>
      <c r="N19" s="1539">
        <f t="shared" si="38"/>
        <v>0</v>
      </c>
      <c r="O19" s="1179">
        <v>0</v>
      </c>
      <c r="P19" s="1545">
        <f t="shared" si="39"/>
        <v>0</v>
      </c>
      <c r="Q19" s="1181"/>
      <c r="R19" s="1181">
        <f t="shared" si="40"/>
        <v>0</v>
      </c>
      <c r="S19" s="1545">
        <f t="shared" si="41"/>
        <v>0</v>
      </c>
      <c r="T19" s="1545">
        <f t="shared" si="42"/>
        <v>0</v>
      </c>
      <c r="U19" s="1389">
        <f>'Table 5C1A-Madison Prep'!U19</f>
        <v>2842</v>
      </c>
      <c r="V19" s="1515">
        <f t="shared" si="43"/>
        <v>0</v>
      </c>
      <c r="W19" s="1391"/>
      <c r="X19" s="1392">
        <f t="shared" si="44"/>
        <v>0</v>
      </c>
      <c r="Y19" s="1391"/>
      <c r="Z19" s="1392">
        <f t="shared" si="28"/>
        <v>0</v>
      </c>
      <c r="AA19" s="1390">
        <f t="shared" si="29"/>
        <v>0</v>
      </c>
      <c r="AB19" s="1510">
        <f t="shared" si="30"/>
        <v>0</v>
      </c>
      <c r="AC19" s="1394">
        <f t="shared" si="31"/>
        <v>0</v>
      </c>
      <c r="AD19" s="1510">
        <f t="shared" si="45"/>
        <v>0</v>
      </c>
      <c r="AE19" s="1395">
        <v>0</v>
      </c>
      <c r="AF19" s="1510">
        <f t="shared" si="46"/>
        <v>0</v>
      </c>
      <c r="AG19" s="1395"/>
      <c r="AH19" s="1395">
        <f t="shared" si="47"/>
        <v>0</v>
      </c>
      <c r="AI19" s="1510">
        <f t="shared" si="48"/>
        <v>0</v>
      </c>
      <c r="AJ19" s="1505">
        <f t="shared" si="49"/>
        <v>0</v>
      </c>
      <c r="AK19" s="1535">
        <f t="shared" si="50"/>
        <v>0</v>
      </c>
    </row>
    <row r="20" spans="1:37" ht="16.2" customHeight="1">
      <c r="A20" s="1176">
        <v>14</v>
      </c>
      <c r="B20" s="1177" t="s">
        <v>94</v>
      </c>
      <c r="C20" s="1178">
        <f>+'Table 8 Membership 2.1.14'!V16</f>
        <v>0</v>
      </c>
      <c r="D20" s="1179">
        <f>+'Table 5C1A-Madison Prep'!D20</f>
        <v>5334.9509412500001</v>
      </c>
      <c r="E20" s="1180">
        <f t="shared" si="32"/>
        <v>0</v>
      </c>
      <c r="F20" s="1180">
        <f>+'Table 5C1A-Madison Prep'!F20</f>
        <v>809.9799999999999</v>
      </c>
      <c r="G20" s="1180">
        <f t="shared" si="33"/>
        <v>0</v>
      </c>
      <c r="H20" s="1539">
        <f t="shared" si="34"/>
        <v>0</v>
      </c>
      <c r="I20" s="1181"/>
      <c r="J20" s="1181"/>
      <c r="K20" s="1182">
        <f t="shared" si="35"/>
        <v>0</v>
      </c>
      <c r="L20" s="1539">
        <f t="shared" si="36"/>
        <v>0</v>
      </c>
      <c r="M20" s="1388">
        <f t="shared" si="37"/>
        <v>0</v>
      </c>
      <c r="N20" s="1539">
        <f t="shared" si="38"/>
        <v>0</v>
      </c>
      <c r="O20" s="1179">
        <v>0</v>
      </c>
      <c r="P20" s="1545">
        <f t="shared" si="39"/>
        <v>0</v>
      </c>
      <c r="Q20" s="1181"/>
      <c r="R20" s="1181">
        <f t="shared" si="40"/>
        <v>0</v>
      </c>
      <c r="S20" s="1545">
        <f t="shared" si="41"/>
        <v>0</v>
      </c>
      <c r="T20" s="1545">
        <f t="shared" si="42"/>
        <v>0</v>
      </c>
      <c r="U20" s="1389">
        <f>'Table 5C1A-Madison Prep'!U20</f>
        <v>4205</v>
      </c>
      <c r="V20" s="1515">
        <f t="shared" si="43"/>
        <v>0</v>
      </c>
      <c r="W20" s="1391"/>
      <c r="X20" s="1392">
        <f t="shared" si="44"/>
        <v>0</v>
      </c>
      <c r="Y20" s="1391"/>
      <c r="Z20" s="1392">
        <f t="shared" si="28"/>
        <v>0</v>
      </c>
      <c r="AA20" s="1390">
        <f t="shared" si="29"/>
        <v>0</v>
      </c>
      <c r="AB20" s="1510">
        <f t="shared" si="30"/>
        <v>0</v>
      </c>
      <c r="AC20" s="1394">
        <f t="shared" si="31"/>
        <v>0</v>
      </c>
      <c r="AD20" s="1510">
        <f t="shared" si="45"/>
        <v>0</v>
      </c>
      <c r="AE20" s="1395">
        <v>0</v>
      </c>
      <c r="AF20" s="1510">
        <f t="shared" si="46"/>
        <v>0</v>
      </c>
      <c r="AG20" s="1395"/>
      <c r="AH20" s="1395">
        <f t="shared" si="47"/>
        <v>0</v>
      </c>
      <c r="AI20" s="1510">
        <f t="shared" si="48"/>
        <v>0</v>
      </c>
      <c r="AJ20" s="1505">
        <f t="shared" si="49"/>
        <v>0</v>
      </c>
      <c r="AK20" s="1535">
        <f t="shared" si="50"/>
        <v>0</v>
      </c>
    </row>
    <row r="21" spans="1:37" ht="16.2" customHeight="1">
      <c r="A21" s="1168">
        <v>15</v>
      </c>
      <c r="B21" s="1169" t="s">
        <v>95</v>
      </c>
      <c r="C21" s="1170">
        <f>+'Table 8 Membership 2.1.14'!V17</f>
        <v>0</v>
      </c>
      <c r="D21" s="1171">
        <f>+'Table 5C1A-Madison Prep'!D21</f>
        <v>5749.8285214059952</v>
      </c>
      <c r="E21" s="1172">
        <f t="shared" si="32"/>
        <v>0</v>
      </c>
      <c r="F21" s="1172">
        <f>+'Table 5C1A-Madison Prep'!F21</f>
        <v>553.79999999999995</v>
      </c>
      <c r="G21" s="1172">
        <f t="shared" si="33"/>
        <v>0</v>
      </c>
      <c r="H21" s="1540">
        <f t="shared" si="34"/>
        <v>0</v>
      </c>
      <c r="I21" s="1173"/>
      <c r="J21" s="1173"/>
      <c r="K21" s="1174">
        <f t="shared" si="35"/>
        <v>0</v>
      </c>
      <c r="L21" s="1540">
        <f t="shared" si="36"/>
        <v>0</v>
      </c>
      <c r="M21" s="1399">
        <f t="shared" si="37"/>
        <v>0</v>
      </c>
      <c r="N21" s="1540">
        <f t="shared" si="38"/>
        <v>0</v>
      </c>
      <c r="O21" s="1171">
        <v>0</v>
      </c>
      <c r="P21" s="1546">
        <f t="shared" si="39"/>
        <v>0</v>
      </c>
      <c r="Q21" s="1173"/>
      <c r="R21" s="1173">
        <f t="shared" si="40"/>
        <v>0</v>
      </c>
      <c r="S21" s="1546">
        <f t="shared" si="41"/>
        <v>0</v>
      </c>
      <c r="T21" s="1546">
        <f t="shared" si="42"/>
        <v>0</v>
      </c>
      <c r="U21" s="1382">
        <f>'Table 5C1A-Madison Prep'!U21</f>
        <v>2535</v>
      </c>
      <c r="V21" s="1516">
        <f t="shared" si="43"/>
        <v>0</v>
      </c>
      <c r="W21" s="1400"/>
      <c r="X21" s="1383">
        <f t="shared" si="44"/>
        <v>0</v>
      </c>
      <c r="Y21" s="1400"/>
      <c r="Z21" s="1383">
        <f t="shared" si="28"/>
        <v>0</v>
      </c>
      <c r="AA21" s="1384">
        <f t="shared" si="29"/>
        <v>0</v>
      </c>
      <c r="AB21" s="1511">
        <f t="shared" si="30"/>
        <v>0</v>
      </c>
      <c r="AC21" s="1402">
        <f t="shared" si="31"/>
        <v>0</v>
      </c>
      <c r="AD21" s="1511">
        <f t="shared" si="45"/>
        <v>0</v>
      </c>
      <c r="AE21" s="1385">
        <v>0</v>
      </c>
      <c r="AF21" s="1511">
        <f t="shared" si="46"/>
        <v>0</v>
      </c>
      <c r="AG21" s="1385"/>
      <c r="AH21" s="1385">
        <f t="shared" si="47"/>
        <v>0</v>
      </c>
      <c r="AI21" s="1511">
        <f t="shared" si="48"/>
        <v>0</v>
      </c>
      <c r="AJ21" s="1531">
        <f t="shared" si="49"/>
        <v>0</v>
      </c>
      <c r="AK21" s="1536">
        <f t="shared" si="50"/>
        <v>0</v>
      </c>
    </row>
    <row r="22" spans="1:37" ht="16.2" customHeight="1">
      <c r="A22" s="1183">
        <v>16</v>
      </c>
      <c r="B22" s="1184" t="s">
        <v>96</v>
      </c>
      <c r="C22" s="1185">
        <f>+'Table 8 Membership 2.1.14'!V18</f>
        <v>0</v>
      </c>
      <c r="D22" s="1186">
        <f>+'Table 5C1A-Madison Prep'!D22</f>
        <v>1980.2494354342025</v>
      </c>
      <c r="E22" s="1187">
        <f t="shared" si="32"/>
        <v>0</v>
      </c>
      <c r="F22" s="1187">
        <f>+'Table 5C1A-Madison Prep'!F22</f>
        <v>686.73</v>
      </c>
      <c r="G22" s="1187">
        <f t="shared" si="33"/>
        <v>0</v>
      </c>
      <c r="H22" s="1538">
        <f t="shared" si="34"/>
        <v>0</v>
      </c>
      <c r="I22" s="1188"/>
      <c r="J22" s="1188"/>
      <c r="K22" s="1189">
        <f t="shared" si="35"/>
        <v>0</v>
      </c>
      <c r="L22" s="1538">
        <f t="shared" si="36"/>
        <v>0</v>
      </c>
      <c r="M22" s="1372">
        <f t="shared" si="37"/>
        <v>0</v>
      </c>
      <c r="N22" s="1538">
        <f t="shared" si="38"/>
        <v>0</v>
      </c>
      <c r="O22" s="1186">
        <v>0</v>
      </c>
      <c r="P22" s="1544">
        <f t="shared" si="39"/>
        <v>0</v>
      </c>
      <c r="Q22" s="1188"/>
      <c r="R22" s="1188">
        <f t="shared" si="40"/>
        <v>0</v>
      </c>
      <c r="S22" s="1544">
        <f t="shared" si="41"/>
        <v>0</v>
      </c>
      <c r="T22" s="1544">
        <f t="shared" si="42"/>
        <v>0</v>
      </c>
      <c r="U22" s="1373">
        <f>'Table 5C1A-Madison Prep'!U22</f>
        <v>12768</v>
      </c>
      <c r="V22" s="1514">
        <f t="shared" si="43"/>
        <v>0</v>
      </c>
      <c r="W22" s="1375"/>
      <c r="X22" s="1376">
        <f t="shared" si="44"/>
        <v>0</v>
      </c>
      <c r="Y22" s="1375"/>
      <c r="Z22" s="1376">
        <f t="shared" si="28"/>
        <v>0</v>
      </c>
      <c r="AA22" s="1374">
        <f t="shared" si="29"/>
        <v>0</v>
      </c>
      <c r="AB22" s="1509">
        <f t="shared" si="30"/>
        <v>0</v>
      </c>
      <c r="AC22" s="1378">
        <f t="shared" si="31"/>
        <v>0</v>
      </c>
      <c r="AD22" s="1509">
        <f t="shared" si="45"/>
        <v>0</v>
      </c>
      <c r="AE22" s="1379">
        <v>0</v>
      </c>
      <c r="AF22" s="1509">
        <f t="shared" si="46"/>
        <v>0</v>
      </c>
      <c r="AG22" s="1379"/>
      <c r="AH22" s="1379">
        <f t="shared" si="47"/>
        <v>0</v>
      </c>
      <c r="AI22" s="1509">
        <f t="shared" si="48"/>
        <v>0</v>
      </c>
      <c r="AJ22" s="1530">
        <f t="shared" si="49"/>
        <v>0</v>
      </c>
      <c r="AK22" s="1534">
        <f t="shared" si="50"/>
        <v>0</v>
      </c>
    </row>
    <row r="23" spans="1:37" ht="16.2" customHeight="1">
      <c r="A23" s="1176">
        <v>17</v>
      </c>
      <c r="B23" s="1177" t="s">
        <v>97</v>
      </c>
      <c r="C23" s="1178">
        <f>+'Table 8 Membership 2.1.14'!V19</f>
        <v>108</v>
      </c>
      <c r="D23" s="1179">
        <f>+'Table 5C1A-Madison Prep'!D23</f>
        <v>3363.5980368254495</v>
      </c>
      <c r="E23" s="1180">
        <f t="shared" si="32"/>
        <v>363268.58797714853</v>
      </c>
      <c r="F23" s="1180">
        <f>+'Table 5C1A-Madison Prep'!F23</f>
        <v>801.47762416806802</v>
      </c>
      <c r="G23" s="1180">
        <f t="shared" si="33"/>
        <v>86559.583410151346</v>
      </c>
      <c r="H23" s="1539">
        <f t="shared" si="34"/>
        <v>449828.1713872999</v>
      </c>
      <c r="I23" s="1181"/>
      <c r="J23" s="1181"/>
      <c r="K23" s="1182">
        <f t="shared" si="35"/>
        <v>0</v>
      </c>
      <c r="L23" s="1539">
        <f t="shared" si="36"/>
        <v>449828.1713872999</v>
      </c>
      <c r="M23" s="1388">
        <f t="shared" si="37"/>
        <v>-1124.5704284682497</v>
      </c>
      <c r="N23" s="1539">
        <f t="shared" si="38"/>
        <v>448703.60095883167</v>
      </c>
      <c r="O23" s="1179">
        <v>0</v>
      </c>
      <c r="P23" s="1545">
        <f t="shared" si="39"/>
        <v>448703.60095883167</v>
      </c>
      <c r="Q23" s="1181"/>
      <c r="R23" s="1181">
        <f t="shared" si="40"/>
        <v>448703.60095883167</v>
      </c>
      <c r="S23" s="1545">
        <f t="shared" si="41"/>
        <v>37392</v>
      </c>
      <c r="T23" s="1545">
        <f t="shared" si="42"/>
        <v>448703.60095883167</v>
      </c>
      <c r="U23" s="1389">
        <f>'Table 5C1A-Madison Prep'!U23</f>
        <v>7050</v>
      </c>
      <c r="V23" s="1515">
        <f t="shared" si="43"/>
        <v>761400</v>
      </c>
      <c r="W23" s="1391"/>
      <c r="X23" s="1392">
        <f t="shared" si="44"/>
        <v>0</v>
      </c>
      <c r="Y23" s="1391"/>
      <c r="Z23" s="1392">
        <f t="shared" si="28"/>
        <v>0</v>
      </c>
      <c r="AA23" s="1390">
        <f t="shared" si="29"/>
        <v>0</v>
      </c>
      <c r="AB23" s="1510">
        <f t="shared" si="30"/>
        <v>761400</v>
      </c>
      <c r="AC23" s="1394">
        <f t="shared" si="31"/>
        <v>-1903.5</v>
      </c>
      <c r="AD23" s="1510">
        <f t="shared" si="45"/>
        <v>759496.5</v>
      </c>
      <c r="AE23" s="1395">
        <v>0</v>
      </c>
      <c r="AF23" s="1510">
        <f t="shared" si="46"/>
        <v>759496.5</v>
      </c>
      <c r="AG23" s="1395"/>
      <c r="AH23" s="1395">
        <f t="shared" si="47"/>
        <v>759496.5</v>
      </c>
      <c r="AI23" s="1510">
        <f t="shared" si="48"/>
        <v>63291</v>
      </c>
      <c r="AJ23" s="1505">
        <f t="shared" si="49"/>
        <v>1208200.1009588316</v>
      </c>
      <c r="AK23" s="1535">
        <f t="shared" si="50"/>
        <v>100683</v>
      </c>
    </row>
    <row r="24" spans="1:37" ht="16.2" customHeight="1">
      <c r="A24" s="1176">
        <v>18</v>
      </c>
      <c r="B24" s="1177" t="s">
        <v>98</v>
      </c>
      <c r="C24" s="1178">
        <f>+'Table 8 Membership 2.1.14'!V20</f>
        <v>0</v>
      </c>
      <c r="D24" s="1179">
        <f>+'Table 5C1A-Madison Prep'!D24</f>
        <v>6354.5533500475731</v>
      </c>
      <c r="E24" s="1180">
        <f t="shared" si="32"/>
        <v>0</v>
      </c>
      <c r="F24" s="1180">
        <f>+'Table 5C1A-Madison Prep'!F24</f>
        <v>845.94999999999993</v>
      </c>
      <c r="G24" s="1180">
        <f t="shared" si="33"/>
        <v>0</v>
      </c>
      <c r="H24" s="1539">
        <f t="shared" si="34"/>
        <v>0</v>
      </c>
      <c r="I24" s="1181"/>
      <c r="J24" s="1181"/>
      <c r="K24" s="1182">
        <f t="shared" si="35"/>
        <v>0</v>
      </c>
      <c r="L24" s="1539">
        <f t="shared" si="36"/>
        <v>0</v>
      </c>
      <c r="M24" s="1388">
        <f t="shared" si="37"/>
        <v>0</v>
      </c>
      <c r="N24" s="1539">
        <f t="shared" si="38"/>
        <v>0</v>
      </c>
      <c r="O24" s="1179">
        <v>0</v>
      </c>
      <c r="P24" s="1545">
        <f t="shared" si="39"/>
        <v>0</v>
      </c>
      <c r="Q24" s="1181"/>
      <c r="R24" s="1181">
        <f t="shared" si="40"/>
        <v>0</v>
      </c>
      <c r="S24" s="1545">
        <f t="shared" si="41"/>
        <v>0</v>
      </c>
      <c r="T24" s="1545">
        <f t="shared" si="42"/>
        <v>0</v>
      </c>
      <c r="U24" s="1389">
        <f>'Table 5C1A-Madison Prep'!U24</f>
        <v>2526</v>
      </c>
      <c r="V24" s="1515">
        <f t="shared" si="43"/>
        <v>0</v>
      </c>
      <c r="W24" s="1391"/>
      <c r="X24" s="1392">
        <f t="shared" si="44"/>
        <v>0</v>
      </c>
      <c r="Y24" s="1391"/>
      <c r="Z24" s="1392">
        <f t="shared" si="28"/>
        <v>0</v>
      </c>
      <c r="AA24" s="1390">
        <f t="shared" si="29"/>
        <v>0</v>
      </c>
      <c r="AB24" s="1510">
        <f t="shared" si="30"/>
        <v>0</v>
      </c>
      <c r="AC24" s="1394">
        <f t="shared" si="31"/>
        <v>0</v>
      </c>
      <c r="AD24" s="1510">
        <f t="shared" si="45"/>
        <v>0</v>
      </c>
      <c r="AE24" s="1395">
        <v>0</v>
      </c>
      <c r="AF24" s="1510">
        <f t="shared" si="46"/>
        <v>0</v>
      </c>
      <c r="AG24" s="1395"/>
      <c r="AH24" s="1395">
        <f t="shared" si="47"/>
        <v>0</v>
      </c>
      <c r="AI24" s="1510">
        <f t="shared" si="48"/>
        <v>0</v>
      </c>
      <c r="AJ24" s="1505">
        <f t="shared" si="49"/>
        <v>0</v>
      </c>
      <c r="AK24" s="1535">
        <f t="shared" si="50"/>
        <v>0</v>
      </c>
    </row>
    <row r="25" spans="1:37" ht="16.2" customHeight="1">
      <c r="A25" s="1176">
        <v>19</v>
      </c>
      <c r="B25" s="1177" t="s">
        <v>99</v>
      </c>
      <c r="C25" s="1178">
        <f>+'Table 8 Membership 2.1.14'!V21</f>
        <v>2</v>
      </c>
      <c r="D25" s="1179">
        <f>+'Table 5C1A-Madison Prep'!D25</f>
        <v>5314.3921869460446</v>
      </c>
      <c r="E25" s="1180">
        <f t="shared" si="32"/>
        <v>10628.784373892089</v>
      </c>
      <c r="F25" s="1180">
        <f>+'Table 5C1A-Madison Prep'!F25</f>
        <v>905.43</v>
      </c>
      <c r="G25" s="1180">
        <f t="shared" si="33"/>
        <v>1810.86</v>
      </c>
      <c r="H25" s="1539">
        <f t="shared" si="34"/>
        <v>12439.64437389209</v>
      </c>
      <c r="I25" s="1181"/>
      <c r="J25" s="1181"/>
      <c r="K25" s="1182">
        <f t="shared" si="35"/>
        <v>0</v>
      </c>
      <c r="L25" s="1539">
        <f t="shared" si="36"/>
        <v>12439.64437389209</v>
      </c>
      <c r="M25" s="1388">
        <f t="shared" si="37"/>
        <v>-31.099110934730223</v>
      </c>
      <c r="N25" s="1539">
        <f t="shared" si="38"/>
        <v>12408.545262957359</v>
      </c>
      <c r="O25" s="1179">
        <v>0</v>
      </c>
      <c r="P25" s="1545">
        <f t="shared" si="39"/>
        <v>12408.545262957359</v>
      </c>
      <c r="Q25" s="1181"/>
      <c r="R25" s="1181">
        <f t="shared" si="40"/>
        <v>12408.545262957359</v>
      </c>
      <c r="S25" s="1545">
        <f t="shared" si="41"/>
        <v>1034</v>
      </c>
      <c r="T25" s="1545">
        <f t="shared" si="42"/>
        <v>12408.545262957359</v>
      </c>
      <c r="U25" s="1389">
        <f>'Table 5C1A-Madison Prep'!U25</f>
        <v>2908</v>
      </c>
      <c r="V25" s="1515">
        <f t="shared" si="43"/>
        <v>5816</v>
      </c>
      <c r="W25" s="1391"/>
      <c r="X25" s="1392">
        <f t="shared" si="44"/>
        <v>0</v>
      </c>
      <c r="Y25" s="1391"/>
      <c r="Z25" s="1392">
        <f t="shared" si="28"/>
        <v>0</v>
      </c>
      <c r="AA25" s="1390">
        <f t="shared" si="29"/>
        <v>0</v>
      </c>
      <c r="AB25" s="1510">
        <f t="shared" si="30"/>
        <v>5816</v>
      </c>
      <c r="AC25" s="1394">
        <f t="shared" si="31"/>
        <v>-14.540000000000001</v>
      </c>
      <c r="AD25" s="1510">
        <f t="shared" si="45"/>
        <v>5801.46</v>
      </c>
      <c r="AE25" s="1395">
        <v>0</v>
      </c>
      <c r="AF25" s="1510">
        <f t="shared" si="46"/>
        <v>5801.46</v>
      </c>
      <c r="AG25" s="1395"/>
      <c r="AH25" s="1395">
        <f t="shared" si="47"/>
        <v>5801.46</v>
      </c>
      <c r="AI25" s="1510">
        <f t="shared" si="48"/>
        <v>483</v>
      </c>
      <c r="AJ25" s="1505">
        <f t="shared" si="49"/>
        <v>18210.005262957358</v>
      </c>
      <c r="AK25" s="1535">
        <f t="shared" si="50"/>
        <v>1517</v>
      </c>
    </row>
    <row r="26" spans="1:37" ht="16.2" customHeight="1">
      <c r="A26" s="1168">
        <v>20</v>
      </c>
      <c r="B26" s="1169" t="s">
        <v>100</v>
      </c>
      <c r="C26" s="1170">
        <f>+'Table 8 Membership 2.1.14'!V22</f>
        <v>0</v>
      </c>
      <c r="D26" s="1171">
        <f>+'Table 5C1A-Madison Prep'!D26</f>
        <v>5278.5201565562011</v>
      </c>
      <c r="E26" s="1172">
        <f t="shared" si="32"/>
        <v>0</v>
      </c>
      <c r="F26" s="1172">
        <f>+'Table 5C1A-Madison Prep'!F26</f>
        <v>586.16999999999996</v>
      </c>
      <c r="G26" s="1172">
        <f t="shared" si="33"/>
        <v>0</v>
      </c>
      <c r="H26" s="1540">
        <f t="shared" si="34"/>
        <v>0</v>
      </c>
      <c r="I26" s="1173"/>
      <c r="J26" s="1173"/>
      <c r="K26" s="1174">
        <f t="shared" si="35"/>
        <v>0</v>
      </c>
      <c r="L26" s="1540">
        <f t="shared" si="36"/>
        <v>0</v>
      </c>
      <c r="M26" s="1399">
        <f t="shared" si="37"/>
        <v>0</v>
      </c>
      <c r="N26" s="1540">
        <f t="shared" si="38"/>
        <v>0</v>
      </c>
      <c r="O26" s="1171">
        <v>0</v>
      </c>
      <c r="P26" s="1546">
        <f t="shared" si="39"/>
        <v>0</v>
      </c>
      <c r="Q26" s="1173"/>
      <c r="R26" s="1173">
        <f t="shared" si="40"/>
        <v>0</v>
      </c>
      <c r="S26" s="1546">
        <f t="shared" si="41"/>
        <v>0</v>
      </c>
      <c r="T26" s="1546">
        <f t="shared" si="42"/>
        <v>0</v>
      </c>
      <c r="U26" s="1382">
        <f>'Table 5C1A-Madison Prep'!U26</f>
        <v>2432</v>
      </c>
      <c r="V26" s="1516">
        <f t="shared" si="43"/>
        <v>0</v>
      </c>
      <c r="W26" s="1400"/>
      <c r="X26" s="1383">
        <f t="shared" si="44"/>
        <v>0</v>
      </c>
      <c r="Y26" s="1400"/>
      <c r="Z26" s="1383">
        <f t="shared" si="28"/>
        <v>0</v>
      </c>
      <c r="AA26" s="1384">
        <f t="shared" si="29"/>
        <v>0</v>
      </c>
      <c r="AB26" s="1511">
        <f t="shared" si="30"/>
        <v>0</v>
      </c>
      <c r="AC26" s="1402">
        <f t="shared" si="31"/>
        <v>0</v>
      </c>
      <c r="AD26" s="1511">
        <f t="shared" si="45"/>
        <v>0</v>
      </c>
      <c r="AE26" s="1385">
        <v>0</v>
      </c>
      <c r="AF26" s="1511">
        <f t="shared" si="46"/>
        <v>0</v>
      </c>
      <c r="AG26" s="1385"/>
      <c r="AH26" s="1385">
        <f t="shared" si="47"/>
        <v>0</v>
      </c>
      <c r="AI26" s="1511">
        <f t="shared" si="48"/>
        <v>0</v>
      </c>
      <c r="AJ26" s="1531">
        <f t="shared" si="49"/>
        <v>0</v>
      </c>
      <c r="AK26" s="1536">
        <f t="shared" si="50"/>
        <v>0</v>
      </c>
    </row>
    <row r="27" spans="1:37" ht="16.2" customHeight="1">
      <c r="A27" s="1183">
        <v>21</v>
      </c>
      <c r="B27" s="1184" t="s">
        <v>101</v>
      </c>
      <c r="C27" s="1185">
        <f>+'Table 8 Membership 2.1.14'!V23</f>
        <v>0</v>
      </c>
      <c r="D27" s="1186">
        <f>+'Table 5C1A-Madison Prep'!D27</f>
        <v>6082.3042295867763</v>
      </c>
      <c r="E27" s="1187">
        <f t="shared" si="32"/>
        <v>0</v>
      </c>
      <c r="F27" s="1187">
        <f>+'Table 5C1A-Madison Prep'!F27</f>
        <v>610.35</v>
      </c>
      <c r="G27" s="1187">
        <f t="shared" si="33"/>
        <v>0</v>
      </c>
      <c r="H27" s="1538">
        <f t="shared" si="34"/>
        <v>0</v>
      </c>
      <c r="I27" s="1188"/>
      <c r="J27" s="1188"/>
      <c r="K27" s="1189">
        <f t="shared" si="35"/>
        <v>0</v>
      </c>
      <c r="L27" s="1538">
        <f t="shared" si="36"/>
        <v>0</v>
      </c>
      <c r="M27" s="1372">
        <f t="shared" si="37"/>
        <v>0</v>
      </c>
      <c r="N27" s="1538">
        <f t="shared" si="38"/>
        <v>0</v>
      </c>
      <c r="O27" s="1186">
        <v>0</v>
      </c>
      <c r="P27" s="1544">
        <f t="shared" si="39"/>
        <v>0</v>
      </c>
      <c r="Q27" s="1188"/>
      <c r="R27" s="1188">
        <f t="shared" si="40"/>
        <v>0</v>
      </c>
      <c r="S27" s="1544">
        <f t="shared" si="41"/>
        <v>0</v>
      </c>
      <c r="T27" s="1544">
        <f t="shared" si="42"/>
        <v>0</v>
      </c>
      <c r="U27" s="1373">
        <f>'Table 5C1A-Madison Prep'!U27</f>
        <v>2460</v>
      </c>
      <c r="V27" s="1514">
        <f t="shared" si="43"/>
        <v>0</v>
      </c>
      <c r="W27" s="1375"/>
      <c r="X27" s="1376">
        <f t="shared" si="44"/>
        <v>0</v>
      </c>
      <c r="Y27" s="1375"/>
      <c r="Z27" s="1376">
        <f t="shared" si="28"/>
        <v>0</v>
      </c>
      <c r="AA27" s="1374">
        <f t="shared" si="29"/>
        <v>0</v>
      </c>
      <c r="AB27" s="1509">
        <f t="shared" si="30"/>
        <v>0</v>
      </c>
      <c r="AC27" s="1378">
        <f t="shared" si="31"/>
        <v>0</v>
      </c>
      <c r="AD27" s="1509">
        <f t="shared" si="45"/>
        <v>0</v>
      </c>
      <c r="AE27" s="1379">
        <v>0</v>
      </c>
      <c r="AF27" s="1509">
        <f t="shared" si="46"/>
        <v>0</v>
      </c>
      <c r="AG27" s="1379"/>
      <c r="AH27" s="1379">
        <f t="shared" si="47"/>
        <v>0</v>
      </c>
      <c r="AI27" s="1509">
        <f t="shared" si="48"/>
        <v>0</v>
      </c>
      <c r="AJ27" s="1530">
        <f t="shared" si="49"/>
        <v>0</v>
      </c>
      <c r="AK27" s="1534">
        <f t="shared" si="50"/>
        <v>0</v>
      </c>
    </row>
    <row r="28" spans="1:37" ht="16.2" customHeight="1">
      <c r="A28" s="1176">
        <v>22</v>
      </c>
      <c r="B28" s="1177" t="s">
        <v>102</v>
      </c>
      <c r="C28" s="1178">
        <f>+'Table 8 Membership 2.1.14'!V24</f>
        <v>0</v>
      </c>
      <c r="D28" s="1179">
        <f>+'Table 5C1A-Madison Prep'!D28</f>
        <v>6416.1099808195995</v>
      </c>
      <c r="E28" s="1180">
        <f t="shared" si="32"/>
        <v>0</v>
      </c>
      <c r="F28" s="1180">
        <f>+'Table 5C1A-Madison Prep'!F28</f>
        <v>496.36</v>
      </c>
      <c r="G28" s="1180">
        <f t="shared" si="33"/>
        <v>0</v>
      </c>
      <c r="H28" s="1539">
        <f t="shared" si="34"/>
        <v>0</v>
      </c>
      <c r="I28" s="1181"/>
      <c r="J28" s="1181"/>
      <c r="K28" s="1182">
        <f t="shared" si="35"/>
        <v>0</v>
      </c>
      <c r="L28" s="1539">
        <f t="shared" si="36"/>
        <v>0</v>
      </c>
      <c r="M28" s="1388">
        <f t="shared" si="37"/>
        <v>0</v>
      </c>
      <c r="N28" s="1539">
        <f t="shared" si="38"/>
        <v>0</v>
      </c>
      <c r="O28" s="1179">
        <v>0</v>
      </c>
      <c r="P28" s="1545">
        <f t="shared" si="39"/>
        <v>0</v>
      </c>
      <c r="Q28" s="1181"/>
      <c r="R28" s="1181">
        <f t="shared" si="40"/>
        <v>0</v>
      </c>
      <c r="S28" s="1545">
        <f t="shared" si="41"/>
        <v>0</v>
      </c>
      <c r="T28" s="1545">
        <f t="shared" si="42"/>
        <v>0</v>
      </c>
      <c r="U28" s="1389">
        <f>'Table 5C1A-Madison Prep'!U28</f>
        <v>1613</v>
      </c>
      <c r="V28" s="1515">
        <f t="shared" si="43"/>
        <v>0</v>
      </c>
      <c r="W28" s="1391"/>
      <c r="X28" s="1392">
        <f t="shared" si="44"/>
        <v>0</v>
      </c>
      <c r="Y28" s="1391"/>
      <c r="Z28" s="1392">
        <f t="shared" si="28"/>
        <v>0</v>
      </c>
      <c r="AA28" s="1390">
        <f t="shared" si="29"/>
        <v>0</v>
      </c>
      <c r="AB28" s="1510">
        <f t="shared" si="30"/>
        <v>0</v>
      </c>
      <c r="AC28" s="1394">
        <f t="shared" si="31"/>
        <v>0</v>
      </c>
      <c r="AD28" s="1510">
        <f t="shared" si="45"/>
        <v>0</v>
      </c>
      <c r="AE28" s="1395">
        <v>0</v>
      </c>
      <c r="AF28" s="1510">
        <f t="shared" si="46"/>
        <v>0</v>
      </c>
      <c r="AG28" s="1395"/>
      <c r="AH28" s="1395">
        <f t="shared" si="47"/>
        <v>0</v>
      </c>
      <c r="AI28" s="1510">
        <f t="shared" si="48"/>
        <v>0</v>
      </c>
      <c r="AJ28" s="1505">
        <f t="shared" si="49"/>
        <v>0</v>
      </c>
      <c r="AK28" s="1535">
        <f t="shared" si="50"/>
        <v>0</v>
      </c>
    </row>
    <row r="29" spans="1:37" ht="16.2" customHeight="1">
      <c r="A29" s="1176">
        <v>23</v>
      </c>
      <c r="B29" s="1177" t="s">
        <v>103</v>
      </c>
      <c r="C29" s="1178">
        <f>+'Table 8 Membership 2.1.14'!V25</f>
        <v>0</v>
      </c>
      <c r="D29" s="1179">
        <f>+'Table 5C1A-Madison Prep'!D29</f>
        <v>5011.0215265979159</v>
      </c>
      <c r="E29" s="1180">
        <f t="shared" si="32"/>
        <v>0</v>
      </c>
      <c r="F29" s="1180">
        <f>+'Table 5C1A-Madison Prep'!F29</f>
        <v>688.58</v>
      </c>
      <c r="G29" s="1180">
        <f t="shared" si="33"/>
        <v>0</v>
      </c>
      <c r="H29" s="1539">
        <f t="shared" si="34"/>
        <v>0</v>
      </c>
      <c r="I29" s="1181"/>
      <c r="J29" s="1181"/>
      <c r="K29" s="1182">
        <f t="shared" si="35"/>
        <v>0</v>
      </c>
      <c r="L29" s="1539">
        <f t="shared" si="36"/>
        <v>0</v>
      </c>
      <c r="M29" s="1388">
        <f t="shared" si="37"/>
        <v>0</v>
      </c>
      <c r="N29" s="1539">
        <f t="shared" si="38"/>
        <v>0</v>
      </c>
      <c r="O29" s="1179">
        <v>0</v>
      </c>
      <c r="P29" s="1545">
        <f t="shared" si="39"/>
        <v>0</v>
      </c>
      <c r="Q29" s="1181"/>
      <c r="R29" s="1181">
        <f t="shared" si="40"/>
        <v>0</v>
      </c>
      <c r="S29" s="1545">
        <f t="shared" si="41"/>
        <v>0</v>
      </c>
      <c r="T29" s="1545">
        <f t="shared" si="42"/>
        <v>0</v>
      </c>
      <c r="U29" s="1389">
        <f>'Table 5C1A-Madison Prep'!U29</f>
        <v>3473</v>
      </c>
      <c r="V29" s="1515">
        <f t="shared" si="43"/>
        <v>0</v>
      </c>
      <c r="W29" s="1391"/>
      <c r="X29" s="1392">
        <f t="shared" si="44"/>
        <v>0</v>
      </c>
      <c r="Y29" s="1391"/>
      <c r="Z29" s="1392">
        <f t="shared" si="28"/>
        <v>0</v>
      </c>
      <c r="AA29" s="1390">
        <f t="shared" si="29"/>
        <v>0</v>
      </c>
      <c r="AB29" s="1510">
        <f t="shared" si="30"/>
        <v>0</v>
      </c>
      <c r="AC29" s="1394">
        <f t="shared" si="31"/>
        <v>0</v>
      </c>
      <c r="AD29" s="1510">
        <f t="shared" si="45"/>
        <v>0</v>
      </c>
      <c r="AE29" s="1395">
        <v>0</v>
      </c>
      <c r="AF29" s="1510">
        <f t="shared" si="46"/>
        <v>0</v>
      </c>
      <c r="AG29" s="1395"/>
      <c r="AH29" s="1395">
        <f t="shared" si="47"/>
        <v>0</v>
      </c>
      <c r="AI29" s="1510">
        <f t="shared" si="48"/>
        <v>0</v>
      </c>
      <c r="AJ29" s="1505">
        <f t="shared" si="49"/>
        <v>0</v>
      </c>
      <c r="AK29" s="1535">
        <f t="shared" si="50"/>
        <v>0</v>
      </c>
    </row>
    <row r="30" spans="1:37" ht="16.2" customHeight="1">
      <c r="A30" s="1176">
        <v>24</v>
      </c>
      <c r="B30" s="1177" t="s">
        <v>104</v>
      </c>
      <c r="C30" s="1178">
        <f>+'Table 8 Membership 2.1.14'!V26</f>
        <v>4</v>
      </c>
      <c r="D30" s="1179">
        <f>+'Table 5C1A-Madison Prep'!D30</f>
        <v>2611.6740361576999</v>
      </c>
      <c r="E30" s="1180">
        <f t="shared" si="32"/>
        <v>10446.6961446308</v>
      </c>
      <c r="F30" s="1180">
        <f>+'Table 5C1A-Madison Prep'!F30</f>
        <v>854.24999999999989</v>
      </c>
      <c r="G30" s="1180">
        <f t="shared" si="33"/>
        <v>3416.9999999999995</v>
      </c>
      <c r="H30" s="1539">
        <f t="shared" si="34"/>
        <v>13863.6961446308</v>
      </c>
      <c r="I30" s="1181"/>
      <c r="J30" s="1181"/>
      <c r="K30" s="1182">
        <f t="shared" si="35"/>
        <v>0</v>
      </c>
      <c r="L30" s="1539">
        <f t="shared" si="36"/>
        <v>13863.6961446308</v>
      </c>
      <c r="M30" s="1388">
        <f t="shared" si="37"/>
        <v>-34.659240361576998</v>
      </c>
      <c r="N30" s="1539">
        <f t="shared" si="38"/>
        <v>13829.036904269222</v>
      </c>
      <c r="O30" s="1179">
        <v>0</v>
      </c>
      <c r="P30" s="1545">
        <f t="shared" si="39"/>
        <v>13829.036904269222</v>
      </c>
      <c r="Q30" s="1181"/>
      <c r="R30" s="1181">
        <f t="shared" si="40"/>
        <v>13829.036904269222</v>
      </c>
      <c r="S30" s="1545">
        <f t="shared" si="41"/>
        <v>1152</v>
      </c>
      <c r="T30" s="1545">
        <f t="shared" si="42"/>
        <v>13829.036904269222</v>
      </c>
      <c r="U30" s="1389">
        <f>'Table 5C1A-Madison Prep'!U30</f>
        <v>10053</v>
      </c>
      <c r="V30" s="1515">
        <f t="shared" si="43"/>
        <v>40212</v>
      </c>
      <c r="W30" s="1391"/>
      <c r="X30" s="1392">
        <f t="shared" si="44"/>
        <v>0</v>
      </c>
      <c r="Y30" s="1391"/>
      <c r="Z30" s="1392">
        <f t="shared" si="28"/>
        <v>0</v>
      </c>
      <c r="AA30" s="1390">
        <f t="shared" si="29"/>
        <v>0</v>
      </c>
      <c r="AB30" s="1510">
        <f t="shared" si="30"/>
        <v>40212</v>
      </c>
      <c r="AC30" s="1394">
        <f t="shared" si="31"/>
        <v>-100.53</v>
      </c>
      <c r="AD30" s="1510">
        <f t="shared" si="45"/>
        <v>40111.47</v>
      </c>
      <c r="AE30" s="1395">
        <v>0</v>
      </c>
      <c r="AF30" s="1510">
        <f t="shared" si="46"/>
        <v>40111.47</v>
      </c>
      <c r="AG30" s="1395"/>
      <c r="AH30" s="1395">
        <f t="shared" si="47"/>
        <v>40111.47</v>
      </c>
      <c r="AI30" s="1510">
        <f t="shared" si="48"/>
        <v>3343</v>
      </c>
      <c r="AJ30" s="1505">
        <f t="shared" si="49"/>
        <v>53940.506904269219</v>
      </c>
      <c r="AK30" s="1535">
        <f t="shared" si="50"/>
        <v>4495</v>
      </c>
    </row>
    <row r="31" spans="1:37" ht="16.2" customHeight="1">
      <c r="A31" s="1168">
        <v>25</v>
      </c>
      <c r="B31" s="1169" t="s">
        <v>105</v>
      </c>
      <c r="C31" s="1170">
        <f>+'Table 8 Membership 2.1.14'!V27</f>
        <v>0</v>
      </c>
      <c r="D31" s="1171">
        <f>+'Table 5C1A-Madison Prep'!D31</f>
        <v>4173.0720274945697</v>
      </c>
      <c r="E31" s="1172">
        <f t="shared" si="32"/>
        <v>0</v>
      </c>
      <c r="F31" s="1172">
        <f>+'Table 5C1A-Madison Prep'!F31</f>
        <v>653.73</v>
      </c>
      <c r="G31" s="1172">
        <f t="shared" si="33"/>
        <v>0</v>
      </c>
      <c r="H31" s="1540">
        <f t="shared" si="34"/>
        <v>0</v>
      </c>
      <c r="I31" s="1173"/>
      <c r="J31" s="1173"/>
      <c r="K31" s="1174">
        <f t="shared" si="35"/>
        <v>0</v>
      </c>
      <c r="L31" s="1540">
        <f t="shared" si="36"/>
        <v>0</v>
      </c>
      <c r="M31" s="1399">
        <f t="shared" si="37"/>
        <v>0</v>
      </c>
      <c r="N31" s="1540">
        <f t="shared" si="38"/>
        <v>0</v>
      </c>
      <c r="O31" s="1171">
        <v>0</v>
      </c>
      <c r="P31" s="1546">
        <f t="shared" si="39"/>
        <v>0</v>
      </c>
      <c r="Q31" s="1173"/>
      <c r="R31" s="1173">
        <f t="shared" si="40"/>
        <v>0</v>
      </c>
      <c r="S31" s="1546">
        <f t="shared" si="41"/>
        <v>0</v>
      </c>
      <c r="T31" s="1546">
        <f t="shared" si="42"/>
        <v>0</v>
      </c>
      <c r="U31" s="1382">
        <f>'Table 5C1A-Madison Prep'!U31</f>
        <v>5073</v>
      </c>
      <c r="V31" s="1516">
        <f t="shared" si="43"/>
        <v>0</v>
      </c>
      <c r="W31" s="1400"/>
      <c r="X31" s="1383">
        <f t="shared" si="44"/>
        <v>0</v>
      </c>
      <c r="Y31" s="1400"/>
      <c r="Z31" s="1383">
        <f t="shared" si="28"/>
        <v>0</v>
      </c>
      <c r="AA31" s="1384">
        <f t="shared" si="29"/>
        <v>0</v>
      </c>
      <c r="AB31" s="1511">
        <f t="shared" si="30"/>
        <v>0</v>
      </c>
      <c r="AC31" s="1402">
        <f t="shared" si="31"/>
        <v>0</v>
      </c>
      <c r="AD31" s="1511">
        <f t="shared" si="45"/>
        <v>0</v>
      </c>
      <c r="AE31" s="1385">
        <v>0</v>
      </c>
      <c r="AF31" s="1511">
        <f t="shared" si="46"/>
        <v>0</v>
      </c>
      <c r="AG31" s="1385"/>
      <c r="AH31" s="1385">
        <f t="shared" si="47"/>
        <v>0</v>
      </c>
      <c r="AI31" s="1511">
        <f t="shared" si="48"/>
        <v>0</v>
      </c>
      <c r="AJ31" s="1531">
        <f t="shared" si="49"/>
        <v>0</v>
      </c>
      <c r="AK31" s="1536">
        <f t="shared" si="50"/>
        <v>0</v>
      </c>
    </row>
    <row r="32" spans="1:37" ht="16.2" customHeight="1">
      <c r="A32" s="1183">
        <v>26</v>
      </c>
      <c r="B32" s="1184" t="s">
        <v>106</v>
      </c>
      <c r="C32" s="1185">
        <f>+'Table 8 Membership 2.1.14'!V28</f>
        <v>0</v>
      </c>
      <c r="D32" s="1186">
        <f>+'Table 5C1A-Madison Prep'!D32</f>
        <v>3424.5649970570835</v>
      </c>
      <c r="E32" s="1187">
        <f t="shared" si="32"/>
        <v>0</v>
      </c>
      <c r="F32" s="1187">
        <f>+'Table 5C1A-Madison Prep'!F32</f>
        <v>836.83</v>
      </c>
      <c r="G32" s="1187">
        <f t="shared" si="33"/>
        <v>0</v>
      </c>
      <c r="H32" s="1538">
        <f t="shared" si="34"/>
        <v>0</v>
      </c>
      <c r="I32" s="1188"/>
      <c r="J32" s="1188"/>
      <c r="K32" s="1189">
        <f t="shared" si="35"/>
        <v>0</v>
      </c>
      <c r="L32" s="1538">
        <f t="shared" si="36"/>
        <v>0</v>
      </c>
      <c r="M32" s="1372">
        <f t="shared" si="37"/>
        <v>0</v>
      </c>
      <c r="N32" s="1538">
        <f t="shared" si="38"/>
        <v>0</v>
      </c>
      <c r="O32" s="1186">
        <v>0</v>
      </c>
      <c r="P32" s="1544">
        <f t="shared" si="39"/>
        <v>0</v>
      </c>
      <c r="Q32" s="1188"/>
      <c r="R32" s="1188">
        <f t="shared" si="40"/>
        <v>0</v>
      </c>
      <c r="S32" s="1544">
        <f t="shared" si="41"/>
        <v>0</v>
      </c>
      <c r="T32" s="1544">
        <f t="shared" si="42"/>
        <v>0</v>
      </c>
      <c r="U32" s="1373">
        <f>'Table 5C1A-Madison Prep'!U32</f>
        <v>5260</v>
      </c>
      <c r="V32" s="1514">
        <f t="shared" si="43"/>
        <v>0</v>
      </c>
      <c r="W32" s="1375"/>
      <c r="X32" s="1376">
        <f t="shared" si="44"/>
        <v>0</v>
      </c>
      <c r="Y32" s="1375"/>
      <c r="Z32" s="1376">
        <f t="shared" si="28"/>
        <v>0</v>
      </c>
      <c r="AA32" s="1374">
        <f t="shared" si="29"/>
        <v>0</v>
      </c>
      <c r="AB32" s="1509">
        <f t="shared" si="30"/>
        <v>0</v>
      </c>
      <c r="AC32" s="1378">
        <f t="shared" si="31"/>
        <v>0</v>
      </c>
      <c r="AD32" s="1509">
        <f t="shared" si="45"/>
        <v>0</v>
      </c>
      <c r="AE32" s="1379">
        <v>0</v>
      </c>
      <c r="AF32" s="1509">
        <f t="shared" si="46"/>
        <v>0</v>
      </c>
      <c r="AG32" s="1379"/>
      <c r="AH32" s="1379">
        <f t="shared" si="47"/>
        <v>0</v>
      </c>
      <c r="AI32" s="1509">
        <f t="shared" si="48"/>
        <v>0</v>
      </c>
      <c r="AJ32" s="1530">
        <f t="shared" si="49"/>
        <v>0</v>
      </c>
      <c r="AK32" s="1534">
        <f t="shared" si="50"/>
        <v>0</v>
      </c>
    </row>
    <row r="33" spans="1:37" ht="16.2" customHeight="1">
      <c r="A33" s="1176">
        <v>27</v>
      </c>
      <c r="B33" s="1177" t="s">
        <v>107</v>
      </c>
      <c r="C33" s="1178">
        <f>+'Table 8 Membership 2.1.14'!V29</f>
        <v>0</v>
      </c>
      <c r="D33" s="1179">
        <f>+'Table 5C1A-Madison Prep'!D33</f>
        <v>5804.9013839977006</v>
      </c>
      <c r="E33" s="1180">
        <f t="shared" si="32"/>
        <v>0</v>
      </c>
      <c r="F33" s="1180">
        <f>+'Table 5C1A-Madison Prep'!F33</f>
        <v>693.06</v>
      </c>
      <c r="G33" s="1180">
        <f t="shared" si="33"/>
        <v>0</v>
      </c>
      <c r="H33" s="1539">
        <f t="shared" si="34"/>
        <v>0</v>
      </c>
      <c r="I33" s="1181"/>
      <c r="J33" s="1181"/>
      <c r="K33" s="1182">
        <f t="shared" si="35"/>
        <v>0</v>
      </c>
      <c r="L33" s="1539">
        <f t="shared" si="36"/>
        <v>0</v>
      </c>
      <c r="M33" s="1388">
        <f t="shared" si="37"/>
        <v>0</v>
      </c>
      <c r="N33" s="1539">
        <f t="shared" si="38"/>
        <v>0</v>
      </c>
      <c r="O33" s="1179">
        <v>0</v>
      </c>
      <c r="P33" s="1545">
        <f t="shared" si="39"/>
        <v>0</v>
      </c>
      <c r="Q33" s="1181"/>
      <c r="R33" s="1181">
        <f t="shared" si="40"/>
        <v>0</v>
      </c>
      <c r="S33" s="1545">
        <f t="shared" si="41"/>
        <v>0</v>
      </c>
      <c r="T33" s="1545">
        <f t="shared" si="42"/>
        <v>0</v>
      </c>
      <c r="U33" s="1389">
        <f>'Table 5C1A-Madison Prep'!U33</f>
        <v>3169</v>
      </c>
      <c r="V33" s="1515">
        <f t="shared" si="43"/>
        <v>0</v>
      </c>
      <c r="W33" s="1391"/>
      <c r="X33" s="1392">
        <f t="shared" si="44"/>
        <v>0</v>
      </c>
      <c r="Y33" s="1391"/>
      <c r="Z33" s="1392">
        <f t="shared" si="28"/>
        <v>0</v>
      </c>
      <c r="AA33" s="1390">
        <f t="shared" si="29"/>
        <v>0</v>
      </c>
      <c r="AB33" s="1510">
        <f t="shared" si="30"/>
        <v>0</v>
      </c>
      <c r="AC33" s="1394">
        <f t="shared" si="31"/>
        <v>0</v>
      </c>
      <c r="AD33" s="1510">
        <f t="shared" si="45"/>
        <v>0</v>
      </c>
      <c r="AE33" s="1395">
        <v>0</v>
      </c>
      <c r="AF33" s="1510">
        <f t="shared" si="46"/>
        <v>0</v>
      </c>
      <c r="AG33" s="1395"/>
      <c r="AH33" s="1395">
        <f t="shared" si="47"/>
        <v>0</v>
      </c>
      <c r="AI33" s="1510">
        <f t="shared" si="48"/>
        <v>0</v>
      </c>
      <c r="AJ33" s="1505">
        <f t="shared" si="49"/>
        <v>0</v>
      </c>
      <c r="AK33" s="1535">
        <f t="shared" si="50"/>
        <v>0</v>
      </c>
    </row>
    <row r="34" spans="1:37" ht="16.2" customHeight="1">
      <c r="A34" s="1176">
        <v>28</v>
      </c>
      <c r="B34" s="1177" t="s">
        <v>108</v>
      </c>
      <c r="C34" s="1178">
        <f>+'Table 8 Membership 2.1.14'!V30</f>
        <v>0</v>
      </c>
      <c r="D34" s="1179">
        <f>+'Table 5C1A-Madison Prep'!D34</f>
        <v>3137.4158846568821</v>
      </c>
      <c r="E34" s="1180">
        <f t="shared" si="32"/>
        <v>0</v>
      </c>
      <c r="F34" s="1180">
        <f>+'Table 5C1A-Madison Prep'!F34</f>
        <v>694.4</v>
      </c>
      <c r="G34" s="1180">
        <f t="shared" si="33"/>
        <v>0</v>
      </c>
      <c r="H34" s="1539">
        <f t="shared" si="34"/>
        <v>0</v>
      </c>
      <c r="I34" s="1181"/>
      <c r="J34" s="1181"/>
      <c r="K34" s="1182">
        <f t="shared" si="35"/>
        <v>0</v>
      </c>
      <c r="L34" s="1539">
        <f t="shared" si="36"/>
        <v>0</v>
      </c>
      <c r="M34" s="1388">
        <f t="shared" si="37"/>
        <v>0</v>
      </c>
      <c r="N34" s="1539">
        <f t="shared" si="38"/>
        <v>0</v>
      </c>
      <c r="O34" s="1179">
        <v>0</v>
      </c>
      <c r="P34" s="1545">
        <f t="shared" si="39"/>
        <v>0</v>
      </c>
      <c r="Q34" s="1181"/>
      <c r="R34" s="1181">
        <f t="shared" si="40"/>
        <v>0</v>
      </c>
      <c r="S34" s="1545">
        <f t="shared" si="41"/>
        <v>0</v>
      </c>
      <c r="T34" s="1545">
        <f t="shared" si="42"/>
        <v>0</v>
      </c>
      <c r="U34" s="1389">
        <f>'Table 5C1A-Madison Prep'!U34</f>
        <v>5790</v>
      </c>
      <c r="V34" s="1515">
        <f t="shared" si="43"/>
        <v>0</v>
      </c>
      <c r="W34" s="1391"/>
      <c r="X34" s="1392">
        <f t="shared" si="44"/>
        <v>0</v>
      </c>
      <c r="Y34" s="1391"/>
      <c r="Z34" s="1392">
        <f t="shared" si="28"/>
        <v>0</v>
      </c>
      <c r="AA34" s="1390">
        <f t="shared" si="29"/>
        <v>0</v>
      </c>
      <c r="AB34" s="1510">
        <f t="shared" si="30"/>
        <v>0</v>
      </c>
      <c r="AC34" s="1394">
        <f t="shared" si="31"/>
        <v>0</v>
      </c>
      <c r="AD34" s="1510">
        <f t="shared" si="45"/>
        <v>0</v>
      </c>
      <c r="AE34" s="1395">
        <v>0</v>
      </c>
      <c r="AF34" s="1510">
        <f t="shared" si="46"/>
        <v>0</v>
      </c>
      <c r="AG34" s="1395"/>
      <c r="AH34" s="1395">
        <f t="shared" si="47"/>
        <v>0</v>
      </c>
      <c r="AI34" s="1510">
        <f t="shared" si="48"/>
        <v>0</v>
      </c>
      <c r="AJ34" s="1505">
        <f t="shared" si="49"/>
        <v>0</v>
      </c>
      <c r="AK34" s="1535">
        <f t="shared" si="50"/>
        <v>0</v>
      </c>
    </row>
    <row r="35" spans="1:37" ht="16.2" customHeight="1">
      <c r="A35" s="1176">
        <v>29</v>
      </c>
      <c r="B35" s="1177" t="s">
        <v>109</v>
      </c>
      <c r="C35" s="1178">
        <f>+'Table 8 Membership 2.1.14'!V31</f>
        <v>0</v>
      </c>
      <c r="D35" s="1179">
        <f>+'Table 5C1A-Madison Prep'!D35</f>
        <v>3839.0123210173724</v>
      </c>
      <c r="E35" s="1180">
        <f t="shared" si="32"/>
        <v>0</v>
      </c>
      <c r="F35" s="1180">
        <f>+'Table 5C1A-Madison Prep'!F35</f>
        <v>754.94999999999993</v>
      </c>
      <c r="G35" s="1180">
        <f t="shared" si="33"/>
        <v>0</v>
      </c>
      <c r="H35" s="1539">
        <f t="shared" si="34"/>
        <v>0</v>
      </c>
      <c r="I35" s="1181"/>
      <c r="J35" s="1181"/>
      <c r="K35" s="1182">
        <f t="shared" si="35"/>
        <v>0</v>
      </c>
      <c r="L35" s="1539">
        <f t="shared" si="36"/>
        <v>0</v>
      </c>
      <c r="M35" s="1388">
        <f t="shared" si="37"/>
        <v>0</v>
      </c>
      <c r="N35" s="1539">
        <f t="shared" si="38"/>
        <v>0</v>
      </c>
      <c r="O35" s="1179">
        <v>0</v>
      </c>
      <c r="P35" s="1545">
        <f t="shared" si="39"/>
        <v>0</v>
      </c>
      <c r="Q35" s="1181"/>
      <c r="R35" s="1181">
        <f t="shared" si="40"/>
        <v>0</v>
      </c>
      <c r="S35" s="1545">
        <f t="shared" si="41"/>
        <v>0</v>
      </c>
      <c r="T35" s="1545">
        <f t="shared" si="42"/>
        <v>0</v>
      </c>
      <c r="U35" s="1389">
        <f>'Table 5C1A-Madison Prep'!U35</f>
        <v>5069</v>
      </c>
      <c r="V35" s="1515">
        <f t="shared" si="43"/>
        <v>0</v>
      </c>
      <c r="W35" s="1391"/>
      <c r="X35" s="1392">
        <f t="shared" si="44"/>
        <v>0</v>
      </c>
      <c r="Y35" s="1391"/>
      <c r="Z35" s="1392">
        <f t="shared" si="28"/>
        <v>0</v>
      </c>
      <c r="AA35" s="1390">
        <f t="shared" si="29"/>
        <v>0</v>
      </c>
      <c r="AB35" s="1510">
        <f t="shared" si="30"/>
        <v>0</v>
      </c>
      <c r="AC35" s="1394">
        <f t="shared" si="31"/>
        <v>0</v>
      </c>
      <c r="AD35" s="1510">
        <f t="shared" si="45"/>
        <v>0</v>
      </c>
      <c r="AE35" s="1395">
        <v>0</v>
      </c>
      <c r="AF35" s="1510">
        <f t="shared" si="46"/>
        <v>0</v>
      </c>
      <c r="AG35" s="1395"/>
      <c r="AH35" s="1395">
        <f t="shared" si="47"/>
        <v>0</v>
      </c>
      <c r="AI35" s="1510">
        <f t="shared" si="48"/>
        <v>0</v>
      </c>
      <c r="AJ35" s="1505">
        <f t="shared" si="49"/>
        <v>0</v>
      </c>
      <c r="AK35" s="1535">
        <f t="shared" si="50"/>
        <v>0</v>
      </c>
    </row>
    <row r="36" spans="1:37" ht="16.2" customHeight="1">
      <c r="A36" s="1168">
        <v>30</v>
      </c>
      <c r="B36" s="1169" t="s">
        <v>110</v>
      </c>
      <c r="C36" s="1170">
        <f>+'Table 8 Membership 2.1.14'!V32</f>
        <v>0</v>
      </c>
      <c r="D36" s="1171">
        <f>+'Table 5C1A-Madison Prep'!D36</f>
        <v>5804.5327273996763</v>
      </c>
      <c r="E36" s="1172">
        <f t="shared" si="32"/>
        <v>0</v>
      </c>
      <c r="F36" s="1172">
        <f>+'Table 5C1A-Madison Prep'!F36</f>
        <v>727.17</v>
      </c>
      <c r="G36" s="1172">
        <f t="shared" si="33"/>
        <v>0</v>
      </c>
      <c r="H36" s="1540">
        <f t="shared" si="34"/>
        <v>0</v>
      </c>
      <c r="I36" s="1173"/>
      <c r="J36" s="1173"/>
      <c r="K36" s="1174">
        <f t="shared" si="35"/>
        <v>0</v>
      </c>
      <c r="L36" s="1540">
        <f t="shared" si="36"/>
        <v>0</v>
      </c>
      <c r="M36" s="1399">
        <f t="shared" si="37"/>
        <v>0</v>
      </c>
      <c r="N36" s="1540">
        <f t="shared" si="38"/>
        <v>0</v>
      </c>
      <c r="O36" s="1171">
        <v>0</v>
      </c>
      <c r="P36" s="1546">
        <f t="shared" si="39"/>
        <v>0</v>
      </c>
      <c r="Q36" s="1173"/>
      <c r="R36" s="1173">
        <f t="shared" si="40"/>
        <v>0</v>
      </c>
      <c r="S36" s="1546">
        <f t="shared" si="41"/>
        <v>0</v>
      </c>
      <c r="T36" s="1546">
        <f t="shared" si="42"/>
        <v>0</v>
      </c>
      <c r="U36" s="1382">
        <f>'Table 5C1A-Madison Prep'!U36</f>
        <v>3609</v>
      </c>
      <c r="V36" s="1516">
        <f t="shared" si="43"/>
        <v>0</v>
      </c>
      <c r="W36" s="1400"/>
      <c r="X36" s="1383">
        <f t="shared" si="44"/>
        <v>0</v>
      </c>
      <c r="Y36" s="1400"/>
      <c r="Z36" s="1383">
        <f t="shared" si="28"/>
        <v>0</v>
      </c>
      <c r="AA36" s="1384">
        <f t="shared" si="29"/>
        <v>0</v>
      </c>
      <c r="AB36" s="1511">
        <f t="shared" si="30"/>
        <v>0</v>
      </c>
      <c r="AC36" s="1402">
        <f t="shared" si="31"/>
        <v>0</v>
      </c>
      <c r="AD36" s="1511">
        <f t="shared" si="45"/>
        <v>0</v>
      </c>
      <c r="AE36" s="1385">
        <v>0</v>
      </c>
      <c r="AF36" s="1511">
        <f t="shared" si="46"/>
        <v>0</v>
      </c>
      <c r="AG36" s="1385"/>
      <c r="AH36" s="1385">
        <f t="shared" si="47"/>
        <v>0</v>
      </c>
      <c r="AI36" s="1511">
        <f t="shared" si="48"/>
        <v>0</v>
      </c>
      <c r="AJ36" s="1531">
        <f t="shared" si="49"/>
        <v>0</v>
      </c>
      <c r="AK36" s="1536">
        <f t="shared" si="50"/>
        <v>0</v>
      </c>
    </row>
    <row r="37" spans="1:37" ht="16.2" customHeight="1">
      <c r="A37" s="1183">
        <v>31</v>
      </c>
      <c r="B37" s="1184" t="s">
        <v>111</v>
      </c>
      <c r="C37" s="1185">
        <f>+'Table 8 Membership 2.1.14'!V33</f>
        <v>0</v>
      </c>
      <c r="D37" s="1186">
        <f>+'Table 5C1A-Madison Prep'!D37</f>
        <v>4520.6176716868531</v>
      </c>
      <c r="E37" s="1187">
        <f t="shared" si="32"/>
        <v>0</v>
      </c>
      <c r="F37" s="1187">
        <f>+'Table 5C1A-Madison Prep'!F37</f>
        <v>620.83000000000004</v>
      </c>
      <c r="G37" s="1187">
        <f t="shared" si="33"/>
        <v>0</v>
      </c>
      <c r="H37" s="1538">
        <f t="shared" si="34"/>
        <v>0</v>
      </c>
      <c r="I37" s="1188"/>
      <c r="J37" s="1188"/>
      <c r="K37" s="1189">
        <f t="shared" si="35"/>
        <v>0</v>
      </c>
      <c r="L37" s="1538">
        <f t="shared" si="36"/>
        <v>0</v>
      </c>
      <c r="M37" s="1372">
        <f t="shared" si="37"/>
        <v>0</v>
      </c>
      <c r="N37" s="1538">
        <f t="shared" si="38"/>
        <v>0</v>
      </c>
      <c r="O37" s="1186">
        <v>0</v>
      </c>
      <c r="P37" s="1544">
        <f t="shared" si="39"/>
        <v>0</v>
      </c>
      <c r="Q37" s="1188"/>
      <c r="R37" s="1188">
        <f t="shared" si="40"/>
        <v>0</v>
      </c>
      <c r="S37" s="1544">
        <f t="shared" si="41"/>
        <v>0</v>
      </c>
      <c r="T37" s="1544">
        <f t="shared" si="42"/>
        <v>0</v>
      </c>
      <c r="U37" s="1373">
        <f>'Table 5C1A-Madison Prep'!U37</f>
        <v>5043</v>
      </c>
      <c r="V37" s="1514">
        <f t="shared" si="43"/>
        <v>0</v>
      </c>
      <c r="W37" s="1375"/>
      <c r="X37" s="1376">
        <f t="shared" si="44"/>
        <v>0</v>
      </c>
      <c r="Y37" s="1375"/>
      <c r="Z37" s="1376">
        <f t="shared" si="28"/>
        <v>0</v>
      </c>
      <c r="AA37" s="1374">
        <f t="shared" si="29"/>
        <v>0</v>
      </c>
      <c r="AB37" s="1509">
        <f t="shared" si="30"/>
        <v>0</v>
      </c>
      <c r="AC37" s="1378">
        <f t="shared" si="31"/>
        <v>0</v>
      </c>
      <c r="AD37" s="1509">
        <f t="shared" si="45"/>
        <v>0</v>
      </c>
      <c r="AE37" s="1379">
        <v>0</v>
      </c>
      <c r="AF37" s="1509">
        <f t="shared" si="46"/>
        <v>0</v>
      </c>
      <c r="AG37" s="1379"/>
      <c r="AH37" s="1379">
        <f t="shared" si="47"/>
        <v>0</v>
      </c>
      <c r="AI37" s="1509">
        <f t="shared" si="48"/>
        <v>0</v>
      </c>
      <c r="AJ37" s="1530">
        <f t="shared" si="49"/>
        <v>0</v>
      </c>
      <c r="AK37" s="1534">
        <f t="shared" si="50"/>
        <v>0</v>
      </c>
    </row>
    <row r="38" spans="1:37" ht="16.2" customHeight="1">
      <c r="A38" s="1176">
        <v>32</v>
      </c>
      <c r="B38" s="1177" t="s">
        <v>112</v>
      </c>
      <c r="C38" s="1178">
        <f>+'Table 8 Membership 2.1.14'!V34</f>
        <v>5</v>
      </c>
      <c r="D38" s="1179">
        <f>+'Table 5C1A-Madison Prep'!D38</f>
        <v>5652.819189061127</v>
      </c>
      <c r="E38" s="1180">
        <f t="shared" si="32"/>
        <v>28264.095945305635</v>
      </c>
      <c r="F38" s="1180">
        <f>+'Table 5C1A-Madison Prep'!F38</f>
        <v>559.77</v>
      </c>
      <c r="G38" s="1180">
        <f t="shared" si="33"/>
        <v>2798.85</v>
      </c>
      <c r="H38" s="1539">
        <f t="shared" si="34"/>
        <v>31062.945945305633</v>
      </c>
      <c r="I38" s="1181"/>
      <c r="J38" s="1181"/>
      <c r="K38" s="1182">
        <f t="shared" si="35"/>
        <v>0</v>
      </c>
      <c r="L38" s="1539">
        <f t="shared" si="36"/>
        <v>31062.945945305633</v>
      </c>
      <c r="M38" s="1388">
        <f t="shared" si="37"/>
        <v>-77.657364863264078</v>
      </c>
      <c r="N38" s="1539">
        <f t="shared" si="38"/>
        <v>30985.288580442368</v>
      </c>
      <c r="O38" s="1179">
        <v>0</v>
      </c>
      <c r="P38" s="1545">
        <f t="shared" si="39"/>
        <v>30985.288580442368</v>
      </c>
      <c r="Q38" s="1181"/>
      <c r="R38" s="1181">
        <f t="shared" si="40"/>
        <v>30985.288580442368</v>
      </c>
      <c r="S38" s="1545">
        <f t="shared" si="41"/>
        <v>2582</v>
      </c>
      <c r="T38" s="1545">
        <f t="shared" si="42"/>
        <v>30985.288580442368</v>
      </c>
      <c r="U38" s="1389">
        <f>'Table 5C1A-Madison Prep'!U38</f>
        <v>2121</v>
      </c>
      <c r="V38" s="1515">
        <f t="shared" si="43"/>
        <v>10605</v>
      </c>
      <c r="W38" s="1391"/>
      <c r="X38" s="1392">
        <f t="shared" si="44"/>
        <v>0</v>
      </c>
      <c r="Y38" s="1391"/>
      <c r="Z38" s="1392">
        <f t="shared" si="28"/>
        <v>0</v>
      </c>
      <c r="AA38" s="1390">
        <f t="shared" si="29"/>
        <v>0</v>
      </c>
      <c r="AB38" s="1510">
        <f t="shared" si="30"/>
        <v>10605</v>
      </c>
      <c r="AC38" s="1394">
        <f t="shared" si="31"/>
        <v>-26.512499999999999</v>
      </c>
      <c r="AD38" s="1510">
        <f t="shared" si="45"/>
        <v>10578.487499999999</v>
      </c>
      <c r="AE38" s="1395">
        <v>0</v>
      </c>
      <c r="AF38" s="1510">
        <f t="shared" si="46"/>
        <v>10578.487499999999</v>
      </c>
      <c r="AG38" s="1395"/>
      <c r="AH38" s="1395">
        <f t="shared" si="47"/>
        <v>10578.487499999999</v>
      </c>
      <c r="AI38" s="1510">
        <f t="shared" si="48"/>
        <v>882</v>
      </c>
      <c r="AJ38" s="1505">
        <f t="shared" si="49"/>
        <v>41563.776080442367</v>
      </c>
      <c r="AK38" s="1535">
        <f t="shared" si="50"/>
        <v>3464</v>
      </c>
    </row>
    <row r="39" spans="1:37" ht="16.2" customHeight="1">
      <c r="A39" s="1176">
        <v>33</v>
      </c>
      <c r="B39" s="1177" t="s">
        <v>113</v>
      </c>
      <c r="C39" s="1178">
        <f>+'Table 8 Membership 2.1.14'!V35</f>
        <v>0</v>
      </c>
      <c r="D39" s="1179">
        <f>+'Table 5C1A-Madison Prep'!D39</f>
        <v>5456.2254558085233</v>
      </c>
      <c r="E39" s="1180">
        <f t="shared" si="32"/>
        <v>0</v>
      </c>
      <c r="F39" s="1180">
        <f>+'Table 5C1A-Madison Prep'!F39</f>
        <v>655.31000000000006</v>
      </c>
      <c r="G39" s="1180">
        <f t="shared" si="33"/>
        <v>0</v>
      </c>
      <c r="H39" s="1539">
        <f t="shared" si="34"/>
        <v>0</v>
      </c>
      <c r="I39" s="1181"/>
      <c r="J39" s="1181"/>
      <c r="K39" s="1182">
        <f t="shared" si="35"/>
        <v>0</v>
      </c>
      <c r="L39" s="1539">
        <f t="shared" si="36"/>
        <v>0</v>
      </c>
      <c r="M39" s="1388">
        <f t="shared" si="37"/>
        <v>0</v>
      </c>
      <c r="N39" s="1539">
        <f t="shared" si="38"/>
        <v>0</v>
      </c>
      <c r="O39" s="1179">
        <v>0</v>
      </c>
      <c r="P39" s="1545">
        <f t="shared" si="39"/>
        <v>0</v>
      </c>
      <c r="Q39" s="1181"/>
      <c r="R39" s="1181">
        <f t="shared" si="40"/>
        <v>0</v>
      </c>
      <c r="S39" s="1545">
        <f t="shared" si="41"/>
        <v>0</v>
      </c>
      <c r="T39" s="1545">
        <f t="shared" si="42"/>
        <v>0</v>
      </c>
      <c r="U39" s="1389">
        <f>'Table 5C1A-Madison Prep'!U39</f>
        <v>3616</v>
      </c>
      <c r="V39" s="1515">
        <f t="shared" si="43"/>
        <v>0</v>
      </c>
      <c r="W39" s="1391"/>
      <c r="X39" s="1392">
        <f t="shared" si="44"/>
        <v>0</v>
      </c>
      <c r="Y39" s="1391"/>
      <c r="Z39" s="1392">
        <f t="shared" si="28"/>
        <v>0</v>
      </c>
      <c r="AA39" s="1390">
        <f t="shared" si="29"/>
        <v>0</v>
      </c>
      <c r="AB39" s="1510">
        <f t="shared" si="30"/>
        <v>0</v>
      </c>
      <c r="AC39" s="1394">
        <f t="shared" si="31"/>
        <v>0</v>
      </c>
      <c r="AD39" s="1510">
        <f t="shared" si="45"/>
        <v>0</v>
      </c>
      <c r="AE39" s="1395">
        <v>0</v>
      </c>
      <c r="AF39" s="1510">
        <f t="shared" si="46"/>
        <v>0</v>
      </c>
      <c r="AG39" s="1395"/>
      <c r="AH39" s="1395">
        <f t="shared" si="47"/>
        <v>0</v>
      </c>
      <c r="AI39" s="1510">
        <f t="shared" si="48"/>
        <v>0</v>
      </c>
      <c r="AJ39" s="1505">
        <f t="shared" si="49"/>
        <v>0</v>
      </c>
      <c r="AK39" s="1535">
        <f t="shared" si="50"/>
        <v>0</v>
      </c>
    </row>
    <row r="40" spans="1:37" ht="16.2" customHeight="1">
      <c r="A40" s="1176">
        <v>34</v>
      </c>
      <c r="B40" s="1177" t="s">
        <v>114</v>
      </c>
      <c r="C40" s="1178">
        <f>+'Table 8 Membership 2.1.14'!V36</f>
        <v>0</v>
      </c>
      <c r="D40" s="1179">
        <f>+'Table 5C1A-Madison Prep'!D40</f>
        <v>6292.0976842789005</v>
      </c>
      <c r="E40" s="1180">
        <f t="shared" si="32"/>
        <v>0</v>
      </c>
      <c r="F40" s="1180">
        <f>+'Table 5C1A-Madison Prep'!F40</f>
        <v>644.11000000000013</v>
      </c>
      <c r="G40" s="1180">
        <f t="shared" si="33"/>
        <v>0</v>
      </c>
      <c r="H40" s="1539">
        <f t="shared" si="34"/>
        <v>0</v>
      </c>
      <c r="I40" s="1181"/>
      <c r="J40" s="1181"/>
      <c r="K40" s="1182">
        <f t="shared" si="35"/>
        <v>0</v>
      </c>
      <c r="L40" s="1539">
        <f t="shared" si="36"/>
        <v>0</v>
      </c>
      <c r="M40" s="1388">
        <f t="shared" si="37"/>
        <v>0</v>
      </c>
      <c r="N40" s="1539">
        <f t="shared" si="38"/>
        <v>0</v>
      </c>
      <c r="O40" s="1179">
        <v>0</v>
      </c>
      <c r="P40" s="1545">
        <f t="shared" si="39"/>
        <v>0</v>
      </c>
      <c r="Q40" s="1181"/>
      <c r="R40" s="1181">
        <f t="shared" si="40"/>
        <v>0</v>
      </c>
      <c r="S40" s="1545">
        <f t="shared" si="41"/>
        <v>0</v>
      </c>
      <c r="T40" s="1545">
        <f t="shared" si="42"/>
        <v>0</v>
      </c>
      <c r="U40" s="1389">
        <f>'Table 5C1A-Madison Prep'!U40</f>
        <v>2721</v>
      </c>
      <c r="V40" s="1515">
        <f t="shared" si="43"/>
        <v>0</v>
      </c>
      <c r="W40" s="1391"/>
      <c r="X40" s="1392">
        <f t="shared" si="44"/>
        <v>0</v>
      </c>
      <c r="Y40" s="1391"/>
      <c r="Z40" s="1392">
        <f t="shared" si="28"/>
        <v>0</v>
      </c>
      <c r="AA40" s="1390">
        <f t="shared" si="29"/>
        <v>0</v>
      </c>
      <c r="AB40" s="1510">
        <f t="shared" si="30"/>
        <v>0</v>
      </c>
      <c r="AC40" s="1394">
        <f t="shared" si="31"/>
        <v>0</v>
      </c>
      <c r="AD40" s="1510">
        <f t="shared" si="45"/>
        <v>0</v>
      </c>
      <c r="AE40" s="1395">
        <v>0</v>
      </c>
      <c r="AF40" s="1510">
        <f t="shared" si="46"/>
        <v>0</v>
      </c>
      <c r="AG40" s="1395"/>
      <c r="AH40" s="1395">
        <f t="shared" si="47"/>
        <v>0</v>
      </c>
      <c r="AI40" s="1510">
        <f t="shared" si="48"/>
        <v>0</v>
      </c>
      <c r="AJ40" s="1505">
        <f t="shared" si="49"/>
        <v>0</v>
      </c>
      <c r="AK40" s="1535">
        <f t="shared" si="50"/>
        <v>0</v>
      </c>
    </row>
    <row r="41" spans="1:37" ht="16.2" customHeight="1">
      <c r="A41" s="1168">
        <v>35</v>
      </c>
      <c r="B41" s="1169" t="s">
        <v>115</v>
      </c>
      <c r="C41" s="1170">
        <f>+'Table 8 Membership 2.1.14'!V37</f>
        <v>0</v>
      </c>
      <c r="D41" s="1171">
        <f>+'Table 5C1A-Madison Prep'!D41</f>
        <v>5166.2482060477605</v>
      </c>
      <c r="E41" s="1172">
        <f t="shared" si="32"/>
        <v>0</v>
      </c>
      <c r="F41" s="1172">
        <f>+'Table 5C1A-Madison Prep'!F41</f>
        <v>537.96</v>
      </c>
      <c r="G41" s="1172">
        <f t="shared" si="33"/>
        <v>0</v>
      </c>
      <c r="H41" s="1540">
        <f t="shared" si="34"/>
        <v>0</v>
      </c>
      <c r="I41" s="1173"/>
      <c r="J41" s="1173"/>
      <c r="K41" s="1174">
        <f t="shared" si="35"/>
        <v>0</v>
      </c>
      <c r="L41" s="1540">
        <f t="shared" si="36"/>
        <v>0</v>
      </c>
      <c r="M41" s="1399">
        <f t="shared" si="37"/>
        <v>0</v>
      </c>
      <c r="N41" s="1540">
        <f t="shared" si="38"/>
        <v>0</v>
      </c>
      <c r="O41" s="1171">
        <v>0</v>
      </c>
      <c r="P41" s="1546">
        <f t="shared" si="39"/>
        <v>0</v>
      </c>
      <c r="Q41" s="1173"/>
      <c r="R41" s="1173">
        <f t="shared" si="40"/>
        <v>0</v>
      </c>
      <c r="S41" s="1546">
        <f t="shared" si="41"/>
        <v>0</v>
      </c>
      <c r="T41" s="1546">
        <f t="shared" si="42"/>
        <v>0</v>
      </c>
      <c r="U41" s="1382">
        <f>'Table 5C1A-Madison Prep'!U41</f>
        <v>3255</v>
      </c>
      <c r="V41" s="1516">
        <f t="shared" si="43"/>
        <v>0</v>
      </c>
      <c r="W41" s="1400"/>
      <c r="X41" s="1383">
        <f t="shared" si="44"/>
        <v>0</v>
      </c>
      <c r="Y41" s="1400"/>
      <c r="Z41" s="1383">
        <f t="shared" si="28"/>
        <v>0</v>
      </c>
      <c r="AA41" s="1384">
        <f t="shared" si="29"/>
        <v>0</v>
      </c>
      <c r="AB41" s="1511">
        <f t="shared" si="30"/>
        <v>0</v>
      </c>
      <c r="AC41" s="1402">
        <f t="shared" si="31"/>
        <v>0</v>
      </c>
      <c r="AD41" s="1511">
        <f t="shared" si="45"/>
        <v>0</v>
      </c>
      <c r="AE41" s="1385">
        <v>0</v>
      </c>
      <c r="AF41" s="1511">
        <f t="shared" si="46"/>
        <v>0</v>
      </c>
      <c r="AG41" s="1385"/>
      <c r="AH41" s="1385">
        <f t="shared" si="47"/>
        <v>0</v>
      </c>
      <c r="AI41" s="1511">
        <f t="shared" si="48"/>
        <v>0</v>
      </c>
      <c r="AJ41" s="1531">
        <f t="shared" si="49"/>
        <v>0</v>
      </c>
      <c r="AK41" s="1536">
        <f t="shared" si="50"/>
        <v>0</v>
      </c>
    </row>
    <row r="42" spans="1:37" ht="16.2" customHeight="1">
      <c r="A42" s="1183">
        <v>36</v>
      </c>
      <c r="B42" s="1184" t="s">
        <v>116</v>
      </c>
      <c r="C42" s="1185">
        <f>+'Table 8 Membership 2.1.14'!V38</f>
        <v>0</v>
      </c>
      <c r="D42" s="1186">
        <f>+'Table 5C1A-Madison Prep'!D42</f>
        <v>3602.7009974327857</v>
      </c>
      <c r="E42" s="1187">
        <f t="shared" si="32"/>
        <v>0</v>
      </c>
      <c r="F42" s="1187">
        <f>+'Table 5C1A-Madison Prep'!F42</f>
        <v>746.0335616438357</v>
      </c>
      <c r="G42" s="1187">
        <f t="shared" si="33"/>
        <v>0</v>
      </c>
      <c r="H42" s="1538">
        <f t="shared" si="34"/>
        <v>0</v>
      </c>
      <c r="I42" s="1188"/>
      <c r="J42" s="1188"/>
      <c r="K42" s="1189">
        <f t="shared" si="35"/>
        <v>0</v>
      </c>
      <c r="L42" s="1538">
        <f t="shared" si="36"/>
        <v>0</v>
      </c>
      <c r="M42" s="1372">
        <f t="shared" si="37"/>
        <v>0</v>
      </c>
      <c r="N42" s="1538">
        <f t="shared" si="38"/>
        <v>0</v>
      </c>
      <c r="O42" s="1186">
        <v>0</v>
      </c>
      <c r="P42" s="1544">
        <f t="shared" si="39"/>
        <v>0</v>
      </c>
      <c r="Q42" s="1188"/>
      <c r="R42" s="1188">
        <f t="shared" si="40"/>
        <v>0</v>
      </c>
      <c r="S42" s="1544">
        <f t="shared" si="41"/>
        <v>0</v>
      </c>
      <c r="T42" s="1544">
        <f t="shared" si="42"/>
        <v>0</v>
      </c>
      <c r="U42" s="1373">
        <f>'Table 5C1A-Madison Prep'!U42</f>
        <v>5435</v>
      </c>
      <c r="V42" s="1514">
        <f t="shared" si="43"/>
        <v>0</v>
      </c>
      <c r="W42" s="1375"/>
      <c r="X42" s="1376">
        <f t="shared" si="44"/>
        <v>0</v>
      </c>
      <c r="Y42" s="1375"/>
      <c r="Z42" s="1376">
        <f t="shared" si="28"/>
        <v>0</v>
      </c>
      <c r="AA42" s="1374">
        <f t="shared" si="29"/>
        <v>0</v>
      </c>
      <c r="AB42" s="1509">
        <f t="shared" si="30"/>
        <v>0</v>
      </c>
      <c r="AC42" s="1378">
        <f t="shared" si="31"/>
        <v>0</v>
      </c>
      <c r="AD42" s="1509">
        <f t="shared" si="45"/>
        <v>0</v>
      </c>
      <c r="AE42" s="1379">
        <v>0</v>
      </c>
      <c r="AF42" s="1509">
        <f t="shared" si="46"/>
        <v>0</v>
      </c>
      <c r="AG42" s="1379"/>
      <c r="AH42" s="1379">
        <f t="shared" si="47"/>
        <v>0</v>
      </c>
      <c r="AI42" s="1509">
        <f t="shared" si="48"/>
        <v>0</v>
      </c>
      <c r="AJ42" s="1530">
        <f t="shared" si="49"/>
        <v>0</v>
      </c>
      <c r="AK42" s="1534">
        <f t="shared" si="50"/>
        <v>0</v>
      </c>
    </row>
    <row r="43" spans="1:37" ht="16.2" customHeight="1">
      <c r="A43" s="1176">
        <v>37</v>
      </c>
      <c r="B43" s="1177" t="s">
        <v>117</v>
      </c>
      <c r="C43" s="1178">
        <f>+'Table 8 Membership 2.1.14'!V39</f>
        <v>0</v>
      </c>
      <c r="D43" s="1179">
        <f>+'Table 5C1A-Madison Prep'!D43</f>
        <v>5665.3839260317691</v>
      </c>
      <c r="E43" s="1180">
        <f t="shared" si="32"/>
        <v>0</v>
      </c>
      <c r="F43" s="1180">
        <f>+'Table 5C1A-Madison Prep'!F43</f>
        <v>653.61</v>
      </c>
      <c r="G43" s="1180">
        <f t="shared" si="33"/>
        <v>0</v>
      </c>
      <c r="H43" s="1539">
        <f t="shared" si="34"/>
        <v>0</v>
      </c>
      <c r="I43" s="1181"/>
      <c r="J43" s="1181"/>
      <c r="K43" s="1182">
        <f t="shared" si="35"/>
        <v>0</v>
      </c>
      <c r="L43" s="1539">
        <f t="shared" si="36"/>
        <v>0</v>
      </c>
      <c r="M43" s="1388">
        <f t="shared" si="37"/>
        <v>0</v>
      </c>
      <c r="N43" s="1539">
        <f t="shared" si="38"/>
        <v>0</v>
      </c>
      <c r="O43" s="1179">
        <v>0</v>
      </c>
      <c r="P43" s="1545">
        <f t="shared" si="39"/>
        <v>0</v>
      </c>
      <c r="Q43" s="1181"/>
      <c r="R43" s="1181">
        <f t="shared" si="40"/>
        <v>0</v>
      </c>
      <c r="S43" s="1545">
        <f t="shared" si="41"/>
        <v>0</v>
      </c>
      <c r="T43" s="1545">
        <f t="shared" si="42"/>
        <v>0</v>
      </c>
      <c r="U43" s="1389">
        <f>'Table 5C1A-Madison Prep'!U43</f>
        <v>3520</v>
      </c>
      <c r="V43" s="1515">
        <f t="shared" si="43"/>
        <v>0</v>
      </c>
      <c r="W43" s="1391"/>
      <c r="X43" s="1392">
        <f t="shared" si="44"/>
        <v>0</v>
      </c>
      <c r="Y43" s="1391"/>
      <c r="Z43" s="1392">
        <f t="shared" si="28"/>
        <v>0</v>
      </c>
      <c r="AA43" s="1390">
        <f t="shared" si="29"/>
        <v>0</v>
      </c>
      <c r="AB43" s="1510">
        <f t="shared" si="30"/>
        <v>0</v>
      </c>
      <c r="AC43" s="1394">
        <f t="shared" si="31"/>
        <v>0</v>
      </c>
      <c r="AD43" s="1510">
        <f t="shared" si="45"/>
        <v>0</v>
      </c>
      <c r="AE43" s="1395">
        <v>0</v>
      </c>
      <c r="AF43" s="1510">
        <f t="shared" si="46"/>
        <v>0</v>
      </c>
      <c r="AG43" s="1395"/>
      <c r="AH43" s="1395">
        <f t="shared" si="47"/>
        <v>0</v>
      </c>
      <c r="AI43" s="1510">
        <f t="shared" si="48"/>
        <v>0</v>
      </c>
      <c r="AJ43" s="1505">
        <f t="shared" si="49"/>
        <v>0</v>
      </c>
      <c r="AK43" s="1535">
        <f t="shared" si="50"/>
        <v>0</v>
      </c>
    </row>
    <row r="44" spans="1:37" ht="16.2" customHeight="1">
      <c r="A44" s="1176">
        <v>38</v>
      </c>
      <c r="B44" s="1177" t="s">
        <v>118</v>
      </c>
      <c r="C44" s="1178">
        <f>+'Table 8 Membership 2.1.14'!V40</f>
        <v>0</v>
      </c>
      <c r="D44" s="1179">
        <f>+'Table 5C1A-Madison Prep'!D44</f>
        <v>2088.8017552916881</v>
      </c>
      <c r="E44" s="1180">
        <f t="shared" si="32"/>
        <v>0</v>
      </c>
      <c r="F44" s="1180">
        <f>+'Table 5C1A-Madison Prep'!F44</f>
        <v>829.92000000000007</v>
      </c>
      <c r="G44" s="1180">
        <f t="shared" si="33"/>
        <v>0</v>
      </c>
      <c r="H44" s="1539">
        <f t="shared" si="34"/>
        <v>0</v>
      </c>
      <c r="I44" s="1181"/>
      <c r="J44" s="1181"/>
      <c r="K44" s="1182">
        <f t="shared" si="35"/>
        <v>0</v>
      </c>
      <c r="L44" s="1539">
        <f t="shared" si="36"/>
        <v>0</v>
      </c>
      <c r="M44" s="1388">
        <f t="shared" si="37"/>
        <v>0</v>
      </c>
      <c r="N44" s="1539">
        <f t="shared" si="38"/>
        <v>0</v>
      </c>
      <c r="O44" s="1179">
        <v>0</v>
      </c>
      <c r="P44" s="1545">
        <f t="shared" si="39"/>
        <v>0</v>
      </c>
      <c r="Q44" s="1181"/>
      <c r="R44" s="1181">
        <f t="shared" si="40"/>
        <v>0</v>
      </c>
      <c r="S44" s="1545">
        <f t="shared" si="41"/>
        <v>0</v>
      </c>
      <c r="T44" s="1545">
        <f t="shared" si="42"/>
        <v>0</v>
      </c>
      <c r="U44" s="1389">
        <f>'Table 5C1A-Madison Prep'!U44</f>
        <v>11379</v>
      </c>
      <c r="V44" s="1515">
        <f t="shared" si="43"/>
        <v>0</v>
      </c>
      <c r="W44" s="1391"/>
      <c r="X44" s="1392">
        <f t="shared" si="44"/>
        <v>0</v>
      </c>
      <c r="Y44" s="1391"/>
      <c r="Z44" s="1392">
        <f t="shared" si="28"/>
        <v>0</v>
      </c>
      <c r="AA44" s="1390">
        <f t="shared" si="29"/>
        <v>0</v>
      </c>
      <c r="AB44" s="1510">
        <f t="shared" si="30"/>
        <v>0</v>
      </c>
      <c r="AC44" s="1394">
        <f t="shared" si="31"/>
        <v>0</v>
      </c>
      <c r="AD44" s="1510">
        <f t="shared" si="45"/>
        <v>0</v>
      </c>
      <c r="AE44" s="1395">
        <v>0</v>
      </c>
      <c r="AF44" s="1510">
        <f t="shared" si="46"/>
        <v>0</v>
      </c>
      <c r="AG44" s="1395"/>
      <c r="AH44" s="1395">
        <f t="shared" si="47"/>
        <v>0</v>
      </c>
      <c r="AI44" s="1510">
        <f t="shared" si="48"/>
        <v>0</v>
      </c>
      <c r="AJ44" s="1505">
        <f t="shared" si="49"/>
        <v>0</v>
      </c>
      <c r="AK44" s="1535">
        <f t="shared" si="50"/>
        <v>0</v>
      </c>
    </row>
    <row r="45" spans="1:37" ht="16.2" customHeight="1">
      <c r="A45" s="1176">
        <v>39</v>
      </c>
      <c r="B45" s="1177" t="s">
        <v>119</v>
      </c>
      <c r="C45" s="1178">
        <f>+'Table 8 Membership 2.1.14'!V41</f>
        <v>1</v>
      </c>
      <c r="D45" s="1179">
        <f>+'Table 5C1A-Madison Prep'!D45</f>
        <v>3656.9056809295676</v>
      </c>
      <c r="E45" s="1180">
        <f t="shared" si="32"/>
        <v>3656.9056809295676</v>
      </c>
      <c r="F45" s="1180">
        <f>+'Table 5C1A-Madison Prep'!F45</f>
        <v>779.65573042776396</v>
      </c>
      <c r="G45" s="1180">
        <f t="shared" si="33"/>
        <v>779.65573042776396</v>
      </c>
      <c r="H45" s="1539">
        <f t="shared" si="34"/>
        <v>4436.561411357332</v>
      </c>
      <c r="I45" s="1181"/>
      <c r="J45" s="1181"/>
      <c r="K45" s="1182">
        <f t="shared" si="35"/>
        <v>0</v>
      </c>
      <c r="L45" s="1539">
        <f t="shared" si="36"/>
        <v>4436.561411357332</v>
      </c>
      <c r="M45" s="1388">
        <f t="shared" si="37"/>
        <v>-11.091403528393331</v>
      </c>
      <c r="N45" s="1539">
        <f t="shared" si="38"/>
        <v>4425.4700078289388</v>
      </c>
      <c r="O45" s="1179">
        <v>0</v>
      </c>
      <c r="P45" s="1545">
        <f t="shared" si="39"/>
        <v>4425.4700078289388</v>
      </c>
      <c r="Q45" s="1181"/>
      <c r="R45" s="1181">
        <f t="shared" si="40"/>
        <v>4425.4700078289388</v>
      </c>
      <c r="S45" s="1545">
        <f t="shared" si="41"/>
        <v>369</v>
      </c>
      <c r="T45" s="1545">
        <f t="shared" si="42"/>
        <v>4425.4700078289388</v>
      </c>
      <c r="U45" s="1389">
        <f>'Table 5C1A-Madison Prep'!U45</f>
        <v>4955</v>
      </c>
      <c r="V45" s="1515">
        <f t="shared" si="43"/>
        <v>4955</v>
      </c>
      <c r="W45" s="1391"/>
      <c r="X45" s="1392">
        <f t="shared" si="44"/>
        <v>0</v>
      </c>
      <c r="Y45" s="1391"/>
      <c r="Z45" s="1392">
        <f t="shared" si="28"/>
        <v>0</v>
      </c>
      <c r="AA45" s="1390">
        <f t="shared" si="29"/>
        <v>0</v>
      </c>
      <c r="AB45" s="1510">
        <f t="shared" si="30"/>
        <v>4955</v>
      </c>
      <c r="AC45" s="1394">
        <f t="shared" si="31"/>
        <v>-12.387500000000001</v>
      </c>
      <c r="AD45" s="1510">
        <f t="shared" si="45"/>
        <v>4942.6125000000002</v>
      </c>
      <c r="AE45" s="1395">
        <v>0</v>
      </c>
      <c r="AF45" s="1510">
        <f t="shared" si="46"/>
        <v>4942.6125000000002</v>
      </c>
      <c r="AG45" s="1395"/>
      <c r="AH45" s="1395">
        <f t="shared" si="47"/>
        <v>4942.6125000000002</v>
      </c>
      <c r="AI45" s="1510">
        <f t="shared" si="48"/>
        <v>412</v>
      </c>
      <c r="AJ45" s="1505">
        <f t="shared" si="49"/>
        <v>9368.0825078289381</v>
      </c>
      <c r="AK45" s="1535">
        <f t="shared" si="50"/>
        <v>781</v>
      </c>
    </row>
    <row r="46" spans="1:37" ht="16.2" customHeight="1">
      <c r="A46" s="1168">
        <v>40</v>
      </c>
      <c r="B46" s="1169" t="s">
        <v>120</v>
      </c>
      <c r="C46" s="1170">
        <f>+'Table 8 Membership 2.1.14'!V42</f>
        <v>0</v>
      </c>
      <c r="D46" s="1171">
        <f>+'Table 5C1A-Madison Prep'!D46</f>
        <v>5121.8110285698403</v>
      </c>
      <c r="E46" s="1172">
        <f t="shared" si="32"/>
        <v>0</v>
      </c>
      <c r="F46" s="1172">
        <f>+'Table 5C1A-Madison Prep'!F46</f>
        <v>700.2700000000001</v>
      </c>
      <c r="G46" s="1172">
        <f t="shared" si="33"/>
        <v>0</v>
      </c>
      <c r="H46" s="1540">
        <f t="shared" si="34"/>
        <v>0</v>
      </c>
      <c r="I46" s="1173"/>
      <c r="J46" s="1173"/>
      <c r="K46" s="1174">
        <f t="shared" si="35"/>
        <v>0</v>
      </c>
      <c r="L46" s="1540">
        <f t="shared" si="36"/>
        <v>0</v>
      </c>
      <c r="M46" s="1399">
        <f t="shared" si="37"/>
        <v>0</v>
      </c>
      <c r="N46" s="1540">
        <f t="shared" si="38"/>
        <v>0</v>
      </c>
      <c r="O46" s="1171">
        <v>0</v>
      </c>
      <c r="P46" s="1546">
        <f t="shared" si="39"/>
        <v>0</v>
      </c>
      <c r="Q46" s="1173"/>
      <c r="R46" s="1173">
        <f t="shared" si="40"/>
        <v>0</v>
      </c>
      <c r="S46" s="1546">
        <f t="shared" si="41"/>
        <v>0</v>
      </c>
      <c r="T46" s="1546">
        <f t="shared" si="42"/>
        <v>0</v>
      </c>
      <c r="U46" s="1382">
        <f>'Table 5C1A-Madison Prep'!U46</f>
        <v>3069</v>
      </c>
      <c r="V46" s="1516">
        <f t="shared" si="43"/>
        <v>0</v>
      </c>
      <c r="W46" s="1400"/>
      <c r="X46" s="1383">
        <f t="shared" si="44"/>
        <v>0</v>
      </c>
      <c r="Y46" s="1400"/>
      <c r="Z46" s="1383">
        <f t="shared" si="28"/>
        <v>0</v>
      </c>
      <c r="AA46" s="1384">
        <f t="shared" si="29"/>
        <v>0</v>
      </c>
      <c r="AB46" s="1511">
        <f t="shared" si="30"/>
        <v>0</v>
      </c>
      <c r="AC46" s="1402">
        <f t="shared" si="31"/>
        <v>0</v>
      </c>
      <c r="AD46" s="1511">
        <f t="shared" si="45"/>
        <v>0</v>
      </c>
      <c r="AE46" s="1385">
        <v>0</v>
      </c>
      <c r="AF46" s="1511">
        <f t="shared" si="46"/>
        <v>0</v>
      </c>
      <c r="AG46" s="1385"/>
      <c r="AH46" s="1385">
        <f t="shared" si="47"/>
        <v>0</v>
      </c>
      <c r="AI46" s="1511">
        <f t="shared" si="48"/>
        <v>0</v>
      </c>
      <c r="AJ46" s="1531">
        <f t="shared" si="49"/>
        <v>0</v>
      </c>
      <c r="AK46" s="1536">
        <f t="shared" si="50"/>
        <v>0</v>
      </c>
    </row>
    <row r="47" spans="1:37" ht="16.2" customHeight="1">
      <c r="A47" s="1183">
        <v>41</v>
      </c>
      <c r="B47" s="1184" t="s">
        <v>121</v>
      </c>
      <c r="C47" s="1185">
        <f>+'Table 8 Membership 2.1.14'!V43</f>
        <v>0</v>
      </c>
      <c r="D47" s="1186">
        <f>+'Table 5C1A-Madison Prep'!D47</f>
        <v>3291.1948574716475</v>
      </c>
      <c r="E47" s="1187">
        <f t="shared" si="32"/>
        <v>0</v>
      </c>
      <c r="F47" s="1187">
        <f>+'Table 5C1A-Madison Prep'!F47</f>
        <v>886.22</v>
      </c>
      <c r="G47" s="1187">
        <f t="shared" si="33"/>
        <v>0</v>
      </c>
      <c r="H47" s="1538">
        <f t="shared" si="34"/>
        <v>0</v>
      </c>
      <c r="I47" s="1188"/>
      <c r="J47" s="1188"/>
      <c r="K47" s="1189">
        <f t="shared" si="35"/>
        <v>0</v>
      </c>
      <c r="L47" s="1538">
        <f t="shared" si="36"/>
        <v>0</v>
      </c>
      <c r="M47" s="1372">
        <f t="shared" si="37"/>
        <v>0</v>
      </c>
      <c r="N47" s="1538">
        <f t="shared" si="38"/>
        <v>0</v>
      </c>
      <c r="O47" s="1186">
        <v>0</v>
      </c>
      <c r="P47" s="1544">
        <f t="shared" si="39"/>
        <v>0</v>
      </c>
      <c r="Q47" s="1188"/>
      <c r="R47" s="1188">
        <f t="shared" si="40"/>
        <v>0</v>
      </c>
      <c r="S47" s="1544">
        <f t="shared" si="41"/>
        <v>0</v>
      </c>
      <c r="T47" s="1544">
        <f t="shared" si="42"/>
        <v>0</v>
      </c>
      <c r="U47" s="1373">
        <f>'Table 5C1A-Madison Prep'!U47</f>
        <v>8478</v>
      </c>
      <c r="V47" s="1514">
        <f t="shared" si="43"/>
        <v>0</v>
      </c>
      <c r="W47" s="1375"/>
      <c r="X47" s="1376">
        <f t="shared" si="44"/>
        <v>0</v>
      </c>
      <c r="Y47" s="1375"/>
      <c r="Z47" s="1376">
        <f t="shared" si="28"/>
        <v>0</v>
      </c>
      <c r="AA47" s="1374">
        <f t="shared" si="29"/>
        <v>0</v>
      </c>
      <c r="AB47" s="1509">
        <f t="shared" si="30"/>
        <v>0</v>
      </c>
      <c r="AC47" s="1378">
        <f t="shared" si="31"/>
        <v>0</v>
      </c>
      <c r="AD47" s="1509">
        <f t="shared" si="45"/>
        <v>0</v>
      </c>
      <c r="AE47" s="1379">
        <v>0</v>
      </c>
      <c r="AF47" s="1509">
        <f t="shared" si="46"/>
        <v>0</v>
      </c>
      <c r="AG47" s="1379"/>
      <c r="AH47" s="1379">
        <f t="shared" si="47"/>
        <v>0</v>
      </c>
      <c r="AI47" s="1509">
        <f t="shared" si="48"/>
        <v>0</v>
      </c>
      <c r="AJ47" s="1530">
        <f t="shared" si="49"/>
        <v>0</v>
      </c>
      <c r="AK47" s="1534">
        <f t="shared" si="50"/>
        <v>0</v>
      </c>
    </row>
    <row r="48" spans="1:37" ht="16.2" customHeight="1">
      <c r="A48" s="1176">
        <v>42</v>
      </c>
      <c r="B48" s="1177" t="s">
        <v>122</v>
      </c>
      <c r="C48" s="1178">
        <f>+'Table 8 Membership 2.1.14'!V44</f>
        <v>0</v>
      </c>
      <c r="D48" s="1179">
        <f>+'Table 5C1A-Madison Prep'!D48</f>
        <v>5113.6077751368684</v>
      </c>
      <c r="E48" s="1180">
        <f t="shared" si="32"/>
        <v>0</v>
      </c>
      <c r="F48" s="1180">
        <f>+'Table 5C1A-Madison Prep'!F48</f>
        <v>534.28</v>
      </c>
      <c r="G48" s="1180">
        <f t="shared" si="33"/>
        <v>0</v>
      </c>
      <c r="H48" s="1539">
        <f t="shared" si="34"/>
        <v>0</v>
      </c>
      <c r="I48" s="1181"/>
      <c r="J48" s="1181"/>
      <c r="K48" s="1182">
        <f t="shared" si="35"/>
        <v>0</v>
      </c>
      <c r="L48" s="1539">
        <f t="shared" si="36"/>
        <v>0</v>
      </c>
      <c r="M48" s="1388">
        <f t="shared" si="37"/>
        <v>0</v>
      </c>
      <c r="N48" s="1539">
        <f t="shared" si="38"/>
        <v>0</v>
      </c>
      <c r="O48" s="1179">
        <v>0</v>
      </c>
      <c r="P48" s="1545">
        <f t="shared" si="39"/>
        <v>0</v>
      </c>
      <c r="Q48" s="1181"/>
      <c r="R48" s="1181">
        <f t="shared" si="40"/>
        <v>0</v>
      </c>
      <c r="S48" s="1545">
        <f t="shared" si="41"/>
        <v>0</v>
      </c>
      <c r="T48" s="1545">
        <f t="shared" si="42"/>
        <v>0</v>
      </c>
      <c r="U48" s="1389">
        <f>'Table 5C1A-Madison Prep'!U48</f>
        <v>3578</v>
      </c>
      <c r="V48" s="1515">
        <f t="shared" si="43"/>
        <v>0</v>
      </c>
      <c r="W48" s="1391"/>
      <c r="X48" s="1392">
        <f t="shared" si="44"/>
        <v>0</v>
      </c>
      <c r="Y48" s="1391"/>
      <c r="Z48" s="1392">
        <f t="shared" si="28"/>
        <v>0</v>
      </c>
      <c r="AA48" s="1390">
        <f t="shared" si="29"/>
        <v>0</v>
      </c>
      <c r="AB48" s="1510">
        <f t="shared" si="30"/>
        <v>0</v>
      </c>
      <c r="AC48" s="1394">
        <f t="shared" si="31"/>
        <v>0</v>
      </c>
      <c r="AD48" s="1510">
        <f t="shared" si="45"/>
        <v>0</v>
      </c>
      <c r="AE48" s="1395">
        <v>0</v>
      </c>
      <c r="AF48" s="1510">
        <f t="shared" si="46"/>
        <v>0</v>
      </c>
      <c r="AG48" s="1395"/>
      <c r="AH48" s="1395">
        <f t="shared" si="47"/>
        <v>0</v>
      </c>
      <c r="AI48" s="1510">
        <f t="shared" si="48"/>
        <v>0</v>
      </c>
      <c r="AJ48" s="1505">
        <f t="shared" si="49"/>
        <v>0</v>
      </c>
      <c r="AK48" s="1535">
        <f t="shared" si="50"/>
        <v>0</v>
      </c>
    </row>
    <row r="49" spans="1:37" ht="16.2" customHeight="1">
      <c r="A49" s="1176">
        <v>43</v>
      </c>
      <c r="B49" s="1177" t="s">
        <v>123</v>
      </c>
      <c r="C49" s="1178">
        <f>+'Table 8 Membership 2.1.14'!V45</f>
        <v>0</v>
      </c>
      <c r="D49" s="1179">
        <f>+'Table 5C1A-Madison Prep'!D49</f>
        <v>5788.74387205947</v>
      </c>
      <c r="E49" s="1180">
        <f t="shared" si="32"/>
        <v>0</v>
      </c>
      <c r="F49" s="1180">
        <f>+'Table 5C1A-Madison Prep'!F49</f>
        <v>574.6099999999999</v>
      </c>
      <c r="G49" s="1180">
        <f t="shared" si="33"/>
        <v>0</v>
      </c>
      <c r="H49" s="1539">
        <f t="shared" si="34"/>
        <v>0</v>
      </c>
      <c r="I49" s="1181"/>
      <c r="J49" s="1181"/>
      <c r="K49" s="1182">
        <f t="shared" si="35"/>
        <v>0</v>
      </c>
      <c r="L49" s="1539">
        <f t="shared" si="36"/>
        <v>0</v>
      </c>
      <c r="M49" s="1388">
        <f t="shared" si="37"/>
        <v>0</v>
      </c>
      <c r="N49" s="1539">
        <f t="shared" si="38"/>
        <v>0</v>
      </c>
      <c r="O49" s="1179">
        <v>0</v>
      </c>
      <c r="P49" s="1545">
        <f t="shared" si="39"/>
        <v>0</v>
      </c>
      <c r="Q49" s="1181"/>
      <c r="R49" s="1181">
        <f t="shared" si="40"/>
        <v>0</v>
      </c>
      <c r="S49" s="1545">
        <f t="shared" si="41"/>
        <v>0</v>
      </c>
      <c r="T49" s="1545">
        <f t="shared" si="42"/>
        <v>0</v>
      </c>
      <c r="U49" s="1389">
        <f>'Table 5C1A-Madison Prep'!U49</f>
        <v>3205</v>
      </c>
      <c r="V49" s="1515">
        <f t="shared" si="43"/>
        <v>0</v>
      </c>
      <c r="W49" s="1391"/>
      <c r="X49" s="1392">
        <f t="shared" si="44"/>
        <v>0</v>
      </c>
      <c r="Y49" s="1391"/>
      <c r="Z49" s="1392">
        <f t="shared" si="28"/>
        <v>0</v>
      </c>
      <c r="AA49" s="1390">
        <f t="shared" si="29"/>
        <v>0</v>
      </c>
      <c r="AB49" s="1510">
        <f t="shared" si="30"/>
        <v>0</v>
      </c>
      <c r="AC49" s="1394">
        <f t="shared" si="31"/>
        <v>0</v>
      </c>
      <c r="AD49" s="1510">
        <f t="shared" si="45"/>
        <v>0</v>
      </c>
      <c r="AE49" s="1395">
        <v>0</v>
      </c>
      <c r="AF49" s="1510">
        <f t="shared" si="46"/>
        <v>0</v>
      </c>
      <c r="AG49" s="1395"/>
      <c r="AH49" s="1395">
        <f t="shared" si="47"/>
        <v>0</v>
      </c>
      <c r="AI49" s="1510">
        <f t="shared" si="48"/>
        <v>0</v>
      </c>
      <c r="AJ49" s="1505">
        <f t="shared" si="49"/>
        <v>0</v>
      </c>
      <c r="AK49" s="1535">
        <f t="shared" si="50"/>
        <v>0</v>
      </c>
    </row>
    <row r="50" spans="1:37" ht="16.2" customHeight="1">
      <c r="A50" s="1176">
        <v>44</v>
      </c>
      <c r="B50" s="1177" t="s">
        <v>124</v>
      </c>
      <c r="C50" s="1178">
        <f>+'Table 8 Membership 2.1.14'!V46</f>
        <v>0</v>
      </c>
      <c r="D50" s="1179">
        <f>+'Table 5C1A-Madison Prep'!D50</f>
        <v>4897.5958151820359</v>
      </c>
      <c r="E50" s="1180">
        <f t="shared" si="32"/>
        <v>0</v>
      </c>
      <c r="F50" s="1180">
        <f>+'Table 5C1A-Madison Prep'!F50</f>
        <v>663.16000000000008</v>
      </c>
      <c r="G50" s="1180">
        <f t="shared" si="33"/>
        <v>0</v>
      </c>
      <c r="H50" s="1539">
        <f t="shared" si="34"/>
        <v>0</v>
      </c>
      <c r="I50" s="1181"/>
      <c r="J50" s="1181"/>
      <c r="K50" s="1182">
        <f t="shared" si="35"/>
        <v>0</v>
      </c>
      <c r="L50" s="1539">
        <f t="shared" si="36"/>
        <v>0</v>
      </c>
      <c r="M50" s="1388">
        <f t="shared" si="37"/>
        <v>0</v>
      </c>
      <c r="N50" s="1539">
        <f t="shared" si="38"/>
        <v>0</v>
      </c>
      <c r="O50" s="1179">
        <v>0</v>
      </c>
      <c r="P50" s="1545">
        <f t="shared" si="39"/>
        <v>0</v>
      </c>
      <c r="Q50" s="1181"/>
      <c r="R50" s="1181">
        <f t="shared" si="40"/>
        <v>0</v>
      </c>
      <c r="S50" s="1545">
        <f t="shared" si="41"/>
        <v>0</v>
      </c>
      <c r="T50" s="1545">
        <f t="shared" si="42"/>
        <v>0</v>
      </c>
      <c r="U50" s="1389">
        <f>'Table 5C1A-Madison Prep'!U50</f>
        <v>3719</v>
      </c>
      <c r="V50" s="1515">
        <f t="shared" si="43"/>
        <v>0</v>
      </c>
      <c r="W50" s="1391"/>
      <c r="X50" s="1392">
        <f t="shared" si="44"/>
        <v>0</v>
      </c>
      <c r="Y50" s="1391"/>
      <c r="Z50" s="1392">
        <f t="shared" si="28"/>
        <v>0</v>
      </c>
      <c r="AA50" s="1390">
        <f t="shared" si="29"/>
        <v>0</v>
      </c>
      <c r="AB50" s="1510">
        <f t="shared" si="30"/>
        <v>0</v>
      </c>
      <c r="AC50" s="1394">
        <f t="shared" si="31"/>
        <v>0</v>
      </c>
      <c r="AD50" s="1510">
        <f t="shared" si="45"/>
        <v>0</v>
      </c>
      <c r="AE50" s="1395">
        <v>0</v>
      </c>
      <c r="AF50" s="1510">
        <f t="shared" si="46"/>
        <v>0</v>
      </c>
      <c r="AG50" s="1395"/>
      <c r="AH50" s="1395">
        <f t="shared" si="47"/>
        <v>0</v>
      </c>
      <c r="AI50" s="1510">
        <f t="shared" si="48"/>
        <v>0</v>
      </c>
      <c r="AJ50" s="1505">
        <f t="shared" si="49"/>
        <v>0</v>
      </c>
      <c r="AK50" s="1535">
        <f t="shared" si="50"/>
        <v>0</v>
      </c>
    </row>
    <row r="51" spans="1:37" ht="16.2" customHeight="1">
      <c r="A51" s="1168">
        <v>45</v>
      </c>
      <c r="B51" s="1169" t="s">
        <v>125</v>
      </c>
      <c r="C51" s="1170">
        <f>+'Table 8 Membership 2.1.14'!V47</f>
        <v>0</v>
      </c>
      <c r="D51" s="1171">
        <f>+'Table 5C1A-Madison Prep'!D51</f>
        <v>2054.0472499469101</v>
      </c>
      <c r="E51" s="1172">
        <f t="shared" si="32"/>
        <v>0</v>
      </c>
      <c r="F51" s="1172">
        <f>+'Table 5C1A-Madison Prep'!F51</f>
        <v>753.96000000000015</v>
      </c>
      <c r="G51" s="1172">
        <f t="shared" si="33"/>
        <v>0</v>
      </c>
      <c r="H51" s="1540">
        <f t="shared" si="34"/>
        <v>0</v>
      </c>
      <c r="I51" s="1173"/>
      <c r="J51" s="1173"/>
      <c r="K51" s="1174">
        <f t="shared" si="35"/>
        <v>0</v>
      </c>
      <c r="L51" s="1540">
        <f t="shared" si="36"/>
        <v>0</v>
      </c>
      <c r="M51" s="1399">
        <f t="shared" si="37"/>
        <v>0</v>
      </c>
      <c r="N51" s="1540">
        <f t="shared" si="38"/>
        <v>0</v>
      </c>
      <c r="O51" s="1171">
        <v>0</v>
      </c>
      <c r="P51" s="1546">
        <f t="shared" si="39"/>
        <v>0</v>
      </c>
      <c r="Q51" s="1173"/>
      <c r="R51" s="1173">
        <f t="shared" si="40"/>
        <v>0</v>
      </c>
      <c r="S51" s="1546">
        <f t="shared" si="41"/>
        <v>0</v>
      </c>
      <c r="T51" s="1546">
        <f t="shared" si="42"/>
        <v>0</v>
      </c>
      <c r="U51" s="1382">
        <f>'Table 5C1A-Madison Prep'!U51</f>
        <v>12169</v>
      </c>
      <c r="V51" s="1516">
        <f t="shared" si="43"/>
        <v>0</v>
      </c>
      <c r="W51" s="1400"/>
      <c r="X51" s="1383">
        <f t="shared" si="44"/>
        <v>0</v>
      </c>
      <c r="Y51" s="1400"/>
      <c r="Z51" s="1383">
        <f t="shared" si="28"/>
        <v>0</v>
      </c>
      <c r="AA51" s="1384">
        <f t="shared" si="29"/>
        <v>0</v>
      </c>
      <c r="AB51" s="1511">
        <f t="shared" si="30"/>
        <v>0</v>
      </c>
      <c r="AC51" s="1402">
        <f t="shared" si="31"/>
        <v>0</v>
      </c>
      <c r="AD51" s="1511">
        <f t="shared" si="45"/>
        <v>0</v>
      </c>
      <c r="AE51" s="1385">
        <v>0</v>
      </c>
      <c r="AF51" s="1511">
        <f t="shared" si="46"/>
        <v>0</v>
      </c>
      <c r="AG51" s="1385"/>
      <c r="AH51" s="1385">
        <f t="shared" si="47"/>
        <v>0</v>
      </c>
      <c r="AI51" s="1511">
        <f t="shared" si="48"/>
        <v>0</v>
      </c>
      <c r="AJ51" s="1531">
        <f t="shared" si="49"/>
        <v>0</v>
      </c>
      <c r="AK51" s="1536">
        <f t="shared" si="50"/>
        <v>0</v>
      </c>
    </row>
    <row r="52" spans="1:37" ht="16.2" customHeight="1">
      <c r="A52" s="1183">
        <v>46</v>
      </c>
      <c r="B52" s="1184" t="s">
        <v>126</v>
      </c>
      <c r="C52" s="1185">
        <f>+'Table 8 Membership 2.1.14'!V48</f>
        <v>0</v>
      </c>
      <c r="D52" s="1186">
        <f>+'Table 5C1A-Madison Prep'!D52</f>
        <v>6051.2144468088381</v>
      </c>
      <c r="E52" s="1187">
        <f t="shared" si="32"/>
        <v>0</v>
      </c>
      <c r="F52" s="1187">
        <f>+'Table 5C1A-Madison Prep'!F52</f>
        <v>728.06</v>
      </c>
      <c r="G52" s="1187">
        <f t="shared" si="33"/>
        <v>0</v>
      </c>
      <c r="H52" s="1538">
        <f t="shared" si="34"/>
        <v>0</v>
      </c>
      <c r="I52" s="1188"/>
      <c r="J52" s="1188"/>
      <c r="K52" s="1189">
        <f t="shared" si="35"/>
        <v>0</v>
      </c>
      <c r="L52" s="1538">
        <f t="shared" si="36"/>
        <v>0</v>
      </c>
      <c r="M52" s="1372">
        <f t="shared" si="37"/>
        <v>0</v>
      </c>
      <c r="N52" s="1538">
        <f t="shared" si="38"/>
        <v>0</v>
      </c>
      <c r="O52" s="1186">
        <v>0</v>
      </c>
      <c r="P52" s="1544">
        <f t="shared" si="39"/>
        <v>0</v>
      </c>
      <c r="Q52" s="1188"/>
      <c r="R52" s="1188">
        <f t="shared" si="40"/>
        <v>0</v>
      </c>
      <c r="S52" s="1544">
        <f t="shared" si="41"/>
        <v>0</v>
      </c>
      <c r="T52" s="1544">
        <f t="shared" si="42"/>
        <v>0</v>
      </c>
      <c r="U52" s="1373">
        <f>'Table 5C1A-Madison Prep'!U52</f>
        <v>2713</v>
      </c>
      <c r="V52" s="1514">
        <f t="shared" si="43"/>
        <v>0</v>
      </c>
      <c r="W52" s="1375"/>
      <c r="X52" s="1376">
        <f t="shared" si="44"/>
        <v>0</v>
      </c>
      <c r="Y52" s="1375"/>
      <c r="Z52" s="1376">
        <f t="shared" si="28"/>
        <v>0</v>
      </c>
      <c r="AA52" s="1374">
        <f t="shared" si="29"/>
        <v>0</v>
      </c>
      <c r="AB52" s="1509">
        <f t="shared" si="30"/>
        <v>0</v>
      </c>
      <c r="AC52" s="1378">
        <f t="shared" si="31"/>
        <v>0</v>
      </c>
      <c r="AD52" s="1509">
        <f t="shared" si="45"/>
        <v>0</v>
      </c>
      <c r="AE52" s="1379">
        <v>0</v>
      </c>
      <c r="AF52" s="1509">
        <f t="shared" si="46"/>
        <v>0</v>
      </c>
      <c r="AG52" s="1379"/>
      <c r="AH52" s="1379">
        <f t="shared" si="47"/>
        <v>0</v>
      </c>
      <c r="AI52" s="1509">
        <f t="shared" si="48"/>
        <v>0</v>
      </c>
      <c r="AJ52" s="1530">
        <f t="shared" si="49"/>
        <v>0</v>
      </c>
      <c r="AK52" s="1534">
        <f t="shared" si="50"/>
        <v>0</v>
      </c>
    </row>
    <row r="53" spans="1:37" ht="16.2" customHeight="1">
      <c r="A53" s="1176">
        <v>47</v>
      </c>
      <c r="B53" s="1177" t="s">
        <v>127</v>
      </c>
      <c r="C53" s="1178">
        <f>+'Table 8 Membership 2.1.14'!V49</f>
        <v>0</v>
      </c>
      <c r="D53" s="1179">
        <f>+'Table 5C1A-Madison Prep'!D53</f>
        <v>2524.1485257646736</v>
      </c>
      <c r="E53" s="1180">
        <f t="shared" si="32"/>
        <v>0</v>
      </c>
      <c r="F53" s="1180">
        <f>+'Table 5C1A-Madison Prep'!F53</f>
        <v>910.76</v>
      </c>
      <c r="G53" s="1180">
        <f t="shared" si="33"/>
        <v>0</v>
      </c>
      <c r="H53" s="1539">
        <f t="shared" si="34"/>
        <v>0</v>
      </c>
      <c r="I53" s="1181"/>
      <c r="J53" s="1181"/>
      <c r="K53" s="1182">
        <f t="shared" si="35"/>
        <v>0</v>
      </c>
      <c r="L53" s="1539">
        <f t="shared" si="36"/>
        <v>0</v>
      </c>
      <c r="M53" s="1388">
        <f t="shared" si="37"/>
        <v>0</v>
      </c>
      <c r="N53" s="1539">
        <f t="shared" si="38"/>
        <v>0</v>
      </c>
      <c r="O53" s="1179">
        <v>0</v>
      </c>
      <c r="P53" s="1545">
        <f t="shared" si="39"/>
        <v>0</v>
      </c>
      <c r="Q53" s="1181"/>
      <c r="R53" s="1181">
        <f t="shared" si="40"/>
        <v>0</v>
      </c>
      <c r="S53" s="1545">
        <f t="shared" si="41"/>
        <v>0</v>
      </c>
      <c r="T53" s="1545">
        <f t="shared" si="42"/>
        <v>0</v>
      </c>
      <c r="U53" s="1389">
        <f>'Table 5C1A-Madison Prep'!U53</f>
        <v>11701</v>
      </c>
      <c r="V53" s="1515">
        <f t="shared" si="43"/>
        <v>0</v>
      </c>
      <c r="W53" s="1391"/>
      <c r="X53" s="1392">
        <f t="shared" si="44"/>
        <v>0</v>
      </c>
      <c r="Y53" s="1391"/>
      <c r="Z53" s="1392">
        <f t="shared" si="28"/>
        <v>0</v>
      </c>
      <c r="AA53" s="1390">
        <f t="shared" si="29"/>
        <v>0</v>
      </c>
      <c r="AB53" s="1510">
        <f t="shared" si="30"/>
        <v>0</v>
      </c>
      <c r="AC53" s="1394">
        <f t="shared" si="31"/>
        <v>0</v>
      </c>
      <c r="AD53" s="1510">
        <f t="shared" si="45"/>
        <v>0</v>
      </c>
      <c r="AE53" s="1395">
        <v>0</v>
      </c>
      <c r="AF53" s="1510">
        <f t="shared" si="46"/>
        <v>0</v>
      </c>
      <c r="AG53" s="1395"/>
      <c r="AH53" s="1395">
        <f t="shared" si="47"/>
        <v>0</v>
      </c>
      <c r="AI53" s="1510">
        <f t="shared" si="48"/>
        <v>0</v>
      </c>
      <c r="AJ53" s="1505">
        <f t="shared" si="49"/>
        <v>0</v>
      </c>
      <c r="AK53" s="1535">
        <f t="shared" si="50"/>
        <v>0</v>
      </c>
    </row>
    <row r="54" spans="1:37" ht="16.2" customHeight="1">
      <c r="A54" s="1176">
        <v>48</v>
      </c>
      <c r="B54" s="1177" t="s">
        <v>178</v>
      </c>
      <c r="C54" s="1178">
        <f>+'Table 8 Membership 2.1.14'!V50</f>
        <v>0</v>
      </c>
      <c r="D54" s="1179">
        <f>+'Table 5C1A-Madison Prep'!D54</f>
        <v>3983.3582529800719</v>
      </c>
      <c r="E54" s="1180">
        <f t="shared" si="32"/>
        <v>0</v>
      </c>
      <c r="F54" s="1180">
        <f>+'Table 5C1A-Madison Prep'!F54</f>
        <v>871.07</v>
      </c>
      <c r="G54" s="1180">
        <f t="shared" si="33"/>
        <v>0</v>
      </c>
      <c r="H54" s="1539">
        <f t="shared" si="34"/>
        <v>0</v>
      </c>
      <c r="I54" s="1181"/>
      <c r="J54" s="1181"/>
      <c r="K54" s="1182">
        <f t="shared" si="35"/>
        <v>0</v>
      </c>
      <c r="L54" s="1539">
        <f t="shared" si="36"/>
        <v>0</v>
      </c>
      <c r="M54" s="1388">
        <f t="shared" si="37"/>
        <v>0</v>
      </c>
      <c r="N54" s="1539">
        <f t="shared" si="38"/>
        <v>0</v>
      </c>
      <c r="O54" s="1179">
        <v>0</v>
      </c>
      <c r="P54" s="1545">
        <f t="shared" si="39"/>
        <v>0</v>
      </c>
      <c r="Q54" s="1181"/>
      <c r="R54" s="1181">
        <f t="shared" si="40"/>
        <v>0</v>
      </c>
      <c r="S54" s="1545">
        <f t="shared" si="41"/>
        <v>0</v>
      </c>
      <c r="T54" s="1545">
        <f t="shared" si="42"/>
        <v>0</v>
      </c>
      <c r="U54" s="1389">
        <f>'Table 5C1A-Madison Prep'!U54</f>
        <v>7338</v>
      </c>
      <c r="V54" s="1515">
        <f t="shared" si="43"/>
        <v>0</v>
      </c>
      <c r="W54" s="1391"/>
      <c r="X54" s="1392">
        <f t="shared" si="44"/>
        <v>0</v>
      </c>
      <c r="Y54" s="1391"/>
      <c r="Z54" s="1392">
        <f t="shared" si="28"/>
        <v>0</v>
      </c>
      <c r="AA54" s="1390">
        <f t="shared" si="29"/>
        <v>0</v>
      </c>
      <c r="AB54" s="1510">
        <f t="shared" si="30"/>
        <v>0</v>
      </c>
      <c r="AC54" s="1394">
        <f t="shared" si="31"/>
        <v>0</v>
      </c>
      <c r="AD54" s="1510">
        <f t="shared" si="45"/>
        <v>0</v>
      </c>
      <c r="AE54" s="1395">
        <v>0</v>
      </c>
      <c r="AF54" s="1510">
        <f t="shared" si="46"/>
        <v>0</v>
      </c>
      <c r="AG54" s="1395"/>
      <c r="AH54" s="1395">
        <f t="shared" si="47"/>
        <v>0</v>
      </c>
      <c r="AI54" s="1510">
        <f t="shared" si="48"/>
        <v>0</v>
      </c>
      <c r="AJ54" s="1505">
        <f t="shared" si="49"/>
        <v>0</v>
      </c>
      <c r="AK54" s="1535">
        <f t="shared" si="50"/>
        <v>0</v>
      </c>
    </row>
    <row r="55" spans="1:37" ht="16.2" customHeight="1">
      <c r="A55" s="1176">
        <v>49</v>
      </c>
      <c r="B55" s="1177" t="s">
        <v>128</v>
      </c>
      <c r="C55" s="1178">
        <f>+'Table 8 Membership 2.1.14'!V51</f>
        <v>0</v>
      </c>
      <c r="D55" s="1179">
        <f>+'Table 5C1A-Madison Prep'!D55</f>
        <v>4995.8755315659191</v>
      </c>
      <c r="E55" s="1180">
        <f t="shared" si="32"/>
        <v>0</v>
      </c>
      <c r="F55" s="1180">
        <f>+'Table 5C1A-Madison Prep'!F55</f>
        <v>574.43999999999994</v>
      </c>
      <c r="G55" s="1180">
        <f t="shared" si="33"/>
        <v>0</v>
      </c>
      <c r="H55" s="1539">
        <f t="shared" si="34"/>
        <v>0</v>
      </c>
      <c r="I55" s="1181"/>
      <c r="J55" s="1181"/>
      <c r="K55" s="1182">
        <f t="shared" si="35"/>
        <v>0</v>
      </c>
      <c r="L55" s="1539">
        <f t="shared" si="36"/>
        <v>0</v>
      </c>
      <c r="M55" s="1388">
        <f t="shared" si="37"/>
        <v>0</v>
      </c>
      <c r="N55" s="1539">
        <f t="shared" si="38"/>
        <v>0</v>
      </c>
      <c r="O55" s="1179">
        <v>0</v>
      </c>
      <c r="P55" s="1545">
        <f t="shared" si="39"/>
        <v>0</v>
      </c>
      <c r="Q55" s="1181"/>
      <c r="R55" s="1181">
        <f t="shared" si="40"/>
        <v>0</v>
      </c>
      <c r="S55" s="1545">
        <f t="shared" si="41"/>
        <v>0</v>
      </c>
      <c r="T55" s="1545">
        <f t="shared" si="42"/>
        <v>0</v>
      </c>
      <c r="U55" s="1389">
        <f>'Table 5C1A-Madison Prep'!U55</f>
        <v>2353</v>
      </c>
      <c r="V55" s="1515">
        <f t="shared" si="43"/>
        <v>0</v>
      </c>
      <c r="W55" s="1391"/>
      <c r="X55" s="1392">
        <f t="shared" si="44"/>
        <v>0</v>
      </c>
      <c r="Y55" s="1391"/>
      <c r="Z55" s="1392">
        <f t="shared" si="28"/>
        <v>0</v>
      </c>
      <c r="AA55" s="1390">
        <f t="shared" si="29"/>
        <v>0</v>
      </c>
      <c r="AB55" s="1510">
        <f t="shared" si="30"/>
        <v>0</v>
      </c>
      <c r="AC55" s="1394">
        <f t="shared" si="31"/>
        <v>0</v>
      </c>
      <c r="AD55" s="1510">
        <f t="shared" si="45"/>
        <v>0</v>
      </c>
      <c r="AE55" s="1395">
        <v>0</v>
      </c>
      <c r="AF55" s="1510">
        <f t="shared" si="46"/>
        <v>0</v>
      </c>
      <c r="AG55" s="1395"/>
      <c r="AH55" s="1395">
        <f t="shared" si="47"/>
        <v>0</v>
      </c>
      <c r="AI55" s="1510">
        <f t="shared" si="48"/>
        <v>0</v>
      </c>
      <c r="AJ55" s="1505">
        <f t="shared" si="49"/>
        <v>0</v>
      </c>
      <c r="AK55" s="1535">
        <f t="shared" si="50"/>
        <v>0</v>
      </c>
    </row>
    <row r="56" spans="1:37" ht="16.2" customHeight="1">
      <c r="A56" s="1168">
        <v>50</v>
      </c>
      <c r="B56" s="1169" t="s">
        <v>129</v>
      </c>
      <c r="C56" s="1170">
        <f>+'Table 8 Membership 2.1.14'!V52</f>
        <v>0</v>
      </c>
      <c r="D56" s="1171">
        <f>+'Table 5C1A-Madison Prep'!D56</f>
        <v>5177.6892722701677</v>
      </c>
      <c r="E56" s="1172">
        <f t="shared" si="32"/>
        <v>0</v>
      </c>
      <c r="F56" s="1172">
        <f>+'Table 5C1A-Madison Prep'!F56</f>
        <v>634.46</v>
      </c>
      <c r="G56" s="1172">
        <f t="shared" si="33"/>
        <v>0</v>
      </c>
      <c r="H56" s="1540">
        <f t="shared" si="34"/>
        <v>0</v>
      </c>
      <c r="I56" s="1173"/>
      <c r="J56" s="1173"/>
      <c r="K56" s="1174">
        <f t="shared" si="35"/>
        <v>0</v>
      </c>
      <c r="L56" s="1540">
        <f t="shared" si="36"/>
        <v>0</v>
      </c>
      <c r="M56" s="1399">
        <f t="shared" si="37"/>
        <v>0</v>
      </c>
      <c r="N56" s="1540">
        <f t="shared" si="38"/>
        <v>0</v>
      </c>
      <c r="O56" s="1171">
        <v>0</v>
      </c>
      <c r="P56" s="1546">
        <f t="shared" si="39"/>
        <v>0</v>
      </c>
      <c r="Q56" s="1173"/>
      <c r="R56" s="1173">
        <f t="shared" si="40"/>
        <v>0</v>
      </c>
      <c r="S56" s="1546">
        <f t="shared" si="41"/>
        <v>0</v>
      </c>
      <c r="T56" s="1546">
        <f t="shared" si="42"/>
        <v>0</v>
      </c>
      <c r="U56" s="1382">
        <f>'Table 5C1A-Madison Prep'!U56</f>
        <v>3510</v>
      </c>
      <c r="V56" s="1516">
        <f t="shared" si="43"/>
        <v>0</v>
      </c>
      <c r="W56" s="1400"/>
      <c r="X56" s="1383">
        <f t="shared" si="44"/>
        <v>0</v>
      </c>
      <c r="Y56" s="1400"/>
      <c r="Z56" s="1383">
        <f t="shared" si="28"/>
        <v>0</v>
      </c>
      <c r="AA56" s="1384">
        <f t="shared" si="29"/>
        <v>0</v>
      </c>
      <c r="AB56" s="1511">
        <f t="shared" si="30"/>
        <v>0</v>
      </c>
      <c r="AC56" s="1402">
        <f t="shared" si="31"/>
        <v>0</v>
      </c>
      <c r="AD56" s="1511">
        <f t="shared" si="45"/>
        <v>0</v>
      </c>
      <c r="AE56" s="1385">
        <v>0</v>
      </c>
      <c r="AF56" s="1511">
        <f t="shared" si="46"/>
        <v>0</v>
      </c>
      <c r="AG56" s="1385"/>
      <c r="AH56" s="1385">
        <f t="shared" si="47"/>
        <v>0</v>
      </c>
      <c r="AI56" s="1511">
        <f t="shared" si="48"/>
        <v>0</v>
      </c>
      <c r="AJ56" s="1531">
        <f t="shared" si="49"/>
        <v>0</v>
      </c>
      <c r="AK56" s="1536">
        <f t="shared" si="50"/>
        <v>0</v>
      </c>
    </row>
    <row r="57" spans="1:37" ht="16.2" customHeight="1">
      <c r="A57" s="1183">
        <v>51</v>
      </c>
      <c r="B57" s="1184" t="s">
        <v>130</v>
      </c>
      <c r="C57" s="1185">
        <f>+'Table 8 Membership 2.1.14'!V53</f>
        <v>0</v>
      </c>
      <c r="D57" s="1186">
        <f>+'Table 5C1A-Madison Prep'!D57</f>
        <v>4154.1928602178996</v>
      </c>
      <c r="E57" s="1187">
        <f t="shared" si="32"/>
        <v>0</v>
      </c>
      <c r="F57" s="1187">
        <f>+'Table 5C1A-Madison Prep'!F57</f>
        <v>706.66</v>
      </c>
      <c r="G57" s="1187">
        <f t="shared" si="33"/>
        <v>0</v>
      </c>
      <c r="H57" s="1538">
        <f t="shared" si="34"/>
        <v>0</v>
      </c>
      <c r="I57" s="1188"/>
      <c r="J57" s="1188"/>
      <c r="K57" s="1189">
        <f t="shared" si="35"/>
        <v>0</v>
      </c>
      <c r="L57" s="1538">
        <f t="shared" si="36"/>
        <v>0</v>
      </c>
      <c r="M57" s="1372">
        <f t="shared" si="37"/>
        <v>0</v>
      </c>
      <c r="N57" s="1538">
        <f t="shared" si="38"/>
        <v>0</v>
      </c>
      <c r="O57" s="1186">
        <v>0</v>
      </c>
      <c r="P57" s="1544">
        <f t="shared" si="39"/>
        <v>0</v>
      </c>
      <c r="Q57" s="1188"/>
      <c r="R57" s="1188">
        <f t="shared" si="40"/>
        <v>0</v>
      </c>
      <c r="S57" s="1544">
        <f t="shared" si="41"/>
        <v>0</v>
      </c>
      <c r="T57" s="1544">
        <f t="shared" si="42"/>
        <v>0</v>
      </c>
      <c r="U57" s="1373">
        <f>'Table 5C1A-Madison Prep'!U57</f>
        <v>4597</v>
      </c>
      <c r="V57" s="1514">
        <f t="shared" si="43"/>
        <v>0</v>
      </c>
      <c r="W57" s="1375"/>
      <c r="X57" s="1376">
        <f t="shared" si="44"/>
        <v>0</v>
      </c>
      <c r="Y57" s="1375"/>
      <c r="Z57" s="1376">
        <f t="shared" si="28"/>
        <v>0</v>
      </c>
      <c r="AA57" s="1374">
        <f t="shared" si="29"/>
        <v>0</v>
      </c>
      <c r="AB57" s="1509">
        <f t="shared" si="30"/>
        <v>0</v>
      </c>
      <c r="AC57" s="1378">
        <f t="shared" si="31"/>
        <v>0</v>
      </c>
      <c r="AD57" s="1509">
        <f t="shared" si="45"/>
        <v>0</v>
      </c>
      <c r="AE57" s="1379">
        <v>0</v>
      </c>
      <c r="AF57" s="1509">
        <f t="shared" si="46"/>
        <v>0</v>
      </c>
      <c r="AG57" s="1379"/>
      <c r="AH57" s="1379">
        <f t="shared" si="47"/>
        <v>0</v>
      </c>
      <c r="AI57" s="1509">
        <f t="shared" si="48"/>
        <v>0</v>
      </c>
      <c r="AJ57" s="1530">
        <f t="shared" si="49"/>
        <v>0</v>
      </c>
      <c r="AK57" s="1534">
        <f t="shared" si="50"/>
        <v>0</v>
      </c>
    </row>
    <row r="58" spans="1:37" ht="16.2" customHeight="1">
      <c r="A58" s="1176">
        <v>52</v>
      </c>
      <c r="B58" s="1177" t="s">
        <v>131</v>
      </c>
      <c r="C58" s="1178">
        <f>+'Table 8 Membership 2.1.14'!V54</f>
        <v>0</v>
      </c>
      <c r="D58" s="1179">
        <f>+'Table 5C1A-Madison Prep'!D58</f>
        <v>5062.2745845228173</v>
      </c>
      <c r="E58" s="1180">
        <f t="shared" si="32"/>
        <v>0</v>
      </c>
      <c r="F58" s="1180">
        <f>+'Table 5C1A-Madison Prep'!F58</f>
        <v>658.37</v>
      </c>
      <c r="G58" s="1180">
        <f t="shared" si="33"/>
        <v>0</v>
      </c>
      <c r="H58" s="1539">
        <f t="shared" si="34"/>
        <v>0</v>
      </c>
      <c r="I58" s="1181"/>
      <c r="J58" s="1181"/>
      <c r="K58" s="1182">
        <f t="shared" si="35"/>
        <v>0</v>
      </c>
      <c r="L58" s="1539">
        <f t="shared" si="36"/>
        <v>0</v>
      </c>
      <c r="M58" s="1388">
        <f t="shared" si="37"/>
        <v>0</v>
      </c>
      <c r="N58" s="1539">
        <f t="shared" si="38"/>
        <v>0</v>
      </c>
      <c r="O58" s="1179">
        <v>0</v>
      </c>
      <c r="P58" s="1545">
        <f t="shared" si="39"/>
        <v>0</v>
      </c>
      <c r="Q58" s="1181"/>
      <c r="R58" s="1181">
        <f t="shared" si="40"/>
        <v>0</v>
      </c>
      <c r="S58" s="1545">
        <f t="shared" si="41"/>
        <v>0</v>
      </c>
      <c r="T58" s="1545">
        <f t="shared" si="42"/>
        <v>0</v>
      </c>
      <c r="U58" s="1389">
        <f>'Table 5C1A-Madison Prep'!U58</f>
        <v>5212</v>
      </c>
      <c r="V58" s="1515">
        <f t="shared" si="43"/>
        <v>0</v>
      </c>
      <c r="W58" s="1391"/>
      <c r="X58" s="1392">
        <f t="shared" si="44"/>
        <v>0</v>
      </c>
      <c r="Y58" s="1391"/>
      <c r="Z58" s="1392">
        <f t="shared" si="28"/>
        <v>0</v>
      </c>
      <c r="AA58" s="1390">
        <f t="shared" si="29"/>
        <v>0</v>
      </c>
      <c r="AB58" s="1510">
        <f t="shared" si="30"/>
        <v>0</v>
      </c>
      <c r="AC58" s="1394">
        <f t="shared" si="31"/>
        <v>0</v>
      </c>
      <c r="AD58" s="1510">
        <f t="shared" si="45"/>
        <v>0</v>
      </c>
      <c r="AE58" s="1395">
        <v>0</v>
      </c>
      <c r="AF58" s="1510">
        <f t="shared" si="46"/>
        <v>0</v>
      </c>
      <c r="AG58" s="1395"/>
      <c r="AH58" s="1395">
        <f t="shared" si="47"/>
        <v>0</v>
      </c>
      <c r="AI58" s="1510">
        <f t="shared" si="48"/>
        <v>0</v>
      </c>
      <c r="AJ58" s="1505">
        <f t="shared" si="49"/>
        <v>0</v>
      </c>
      <c r="AK58" s="1535">
        <f t="shared" si="50"/>
        <v>0</v>
      </c>
    </row>
    <row r="59" spans="1:37" ht="16.2" customHeight="1">
      <c r="A59" s="1176">
        <v>53</v>
      </c>
      <c r="B59" s="1177" t="s">
        <v>132</v>
      </c>
      <c r="C59" s="1178">
        <f>+'Table 8 Membership 2.1.14'!V55</f>
        <v>0</v>
      </c>
      <c r="D59" s="1179">
        <f>+'Table 5C1A-Madison Prep'!D59</f>
        <v>5060.1508194045482</v>
      </c>
      <c r="E59" s="1180">
        <f t="shared" si="32"/>
        <v>0</v>
      </c>
      <c r="F59" s="1180">
        <f>+'Table 5C1A-Madison Prep'!F59</f>
        <v>689.74</v>
      </c>
      <c r="G59" s="1180">
        <f t="shared" si="33"/>
        <v>0</v>
      </c>
      <c r="H59" s="1539">
        <f t="shared" si="34"/>
        <v>0</v>
      </c>
      <c r="I59" s="1181"/>
      <c r="J59" s="1181"/>
      <c r="K59" s="1182">
        <f t="shared" si="35"/>
        <v>0</v>
      </c>
      <c r="L59" s="1539">
        <f t="shared" si="36"/>
        <v>0</v>
      </c>
      <c r="M59" s="1388">
        <f t="shared" si="37"/>
        <v>0</v>
      </c>
      <c r="N59" s="1539">
        <f t="shared" si="38"/>
        <v>0</v>
      </c>
      <c r="O59" s="1179">
        <v>0</v>
      </c>
      <c r="P59" s="1545">
        <f t="shared" si="39"/>
        <v>0</v>
      </c>
      <c r="Q59" s="1181"/>
      <c r="R59" s="1181">
        <f t="shared" si="40"/>
        <v>0</v>
      </c>
      <c r="S59" s="1545">
        <f t="shared" si="41"/>
        <v>0</v>
      </c>
      <c r="T59" s="1545">
        <f t="shared" si="42"/>
        <v>0</v>
      </c>
      <c r="U59" s="1389">
        <f>'Table 5C1A-Madison Prep'!U59</f>
        <v>2054</v>
      </c>
      <c r="V59" s="1515">
        <f t="shared" si="43"/>
        <v>0</v>
      </c>
      <c r="W59" s="1391"/>
      <c r="X59" s="1392">
        <f t="shared" si="44"/>
        <v>0</v>
      </c>
      <c r="Y59" s="1391"/>
      <c r="Z59" s="1392">
        <f t="shared" si="28"/>
        <v>0</v>
      </c>
      <c r="AA59" s="1390">
        <f t="shared" si="29"/>
        <v>0</v>
      </c>
      <c r="AB59" s="1510">
        <f t="shared" si="30"/>
        <v>0</v>
      </c>
      <c r="AC59" s="1394">
        <f t="shared" si="31"/>
        <v>0</v>
      </c>
      <c r="AD59" s="1510">
        <f t="shared" si="45"/>
        <v>0</v>
      </c>
      <c r="AE59" s="1395">
        <v>0</v>
      </c>
      <c r="AF59" s="1510">
        <f t="shared" si="46"/>
        <v>0</v>
      </c>
      <c r="AG59" s="1395"/>
      <c r="AH59" s="1395">
        <f t="shared" si="47"/>
        <v>0</v>
      </c>
      <c r="AI59" s="1510">
        <f t="shared" si="48"/>
        <v>0</v>
      </c>
      <c r="AJ59" s="1505">
        <f t="shared" si="49"/>
        <v>0</v>
      </c>
      <c r="AK59" s="1535">
        <f t="shared" si="50"/>
        <v>0</v>
      </c>
    </row>
    <row r="60" spans="1:37" ht="16.2" customHeight="1">
      <c r="A60" s="1176">
        <v>54</v>
      </c>
      <c r="B60" s="1177" t="s">
        <v>133</v>
      </c>
      <c r="C60" s="1178">
        <f>+'Table 8 Membership 2.1.14'!V56</f>
        <v>0</v>
      </c>
      <c r="D60" s="1179">
        <f>+'Table 5C1A-Madison Prep'!D60</f>
        <v>5867.0798370516713</v>
      </c>
      <c r="E60" s="1180">
        <f t="shared" si="32"/>
        <v>0</v>
      </c>
      <c r="F60" s="1180">
        <f>+'Table 5C1A-Madison Prep'!F60</f>
        <v>951.45</v>
      </c>
      <c r="G60" s="1180">
        <f t="shared" si="33"/>
        <v>0</v>
      </c>
      <c r="H60" s="1539">
        <f t="shared" si="34"/>
        <v>0</v>
      </c>
      <c r="I60" s="1181"/>
      <c r="J60" s="1181"/>
      <c r="K60" s="1182">
        <f t="shared" si="35"/>
        <v>0</v>
      </c>
      <c r="L60" s="1539">
        <f t="shared" si="36"/>
        <v>0</v>
      </c>
      <c r="M60" s="1388">
        <f t="shared" si="37"/>
        <v>0</v>
      </c>
      <c r="N60" s="1539">
        <f t="shared" si="38"/>
        <v>0</v>
      </c>
      <c r="O60" s="1179">
        <v>0</v>
      </c>
      <c r="P60" s="1545">
        <f t="shared" si="39"/>
        <v>0</v>
      </c>
      <c r="Q60" s="1181"/>
      <c r="R60" s="1181">
        <f t="shared" si="40"/>
        <v>0</v>
      </c>
      <c r="S60" s="1545">
        <f t="shared" si="41"/>
        <v>0</v>
      </c>
      <c r="T60" s="1545">
        <f t="shared" si="42"/>
        <v>0</v>
      </c>
      <c r="U60" s="1389">
        <f>'Table 5C1A-Madison Prep'!U60</f>
        <v>4116</v>
      </c>
      <c r="V60" s="1515">
        <f t="shared" si="43"/>
        <v>0</v>
      </c>
      <c r="W60" s="1391"/>
      <c r="X60" s="1392">
        <f t="shared" si="44"/>
        <v>0</v>
      </c>
      <c r="Y60" s="1391"/>
      <c r="Z60" s="1392">
        <f t="shared" si="28"/>
        <v>0</v>
      </c>
      <c r="AA60" s="1390">
        <f t="shared" si="29"/>
        <v>0</v>
      </c>
      <c r="AB60" s="1510">
        <f t="shared" si="30"/>
        <v>0</v>
      </c>
      <c r="AC60" s="1394">
        <f t="shared" si="31"/>
        <v>0</v>
      </c>
      <c r="AD60" s="1510">
        <f t="shared" si="45"/>
        <v>0</v>
      </c>
      <c r="AE60" s="1395">
        <v>0</v>
      </c>
      <c r="AF60" s="1510">
        <f t="shared" si="46"/>
        <v>0</v>
      </c>
      <c r="AG60" s="1395"/>
      <c r="AH60" s="1395">
        <f t="shared" si="47"/>
        <v>0</v>
      </c>
      <c r="AI60" s="1510">
        <f t="shared" si="48"/>
        <v>0</v>
      </c>
      <c r="AJ60" s="1505">
        <f t="shared" si="49"/>
        <v>0</v>
      </c>
      <c r="AK60" s="1535">
        <f t="shared" si="50"/>
        <v>0</v>
      </c>
    </row>
    <row r="61" spans="1:37" ht="16.2" customHeight="1">
      <c r="A61" s="1168">
        <v>55</v>
      </c>
      <c r="B61" s="1169" t="s">
        <v>134</v>
      </c>
      <c r="C61" s="1170">
        <f>+'Table 8 Membership 2.1.14'!V57</f>
        <v>0</v>
      </c>
      <c r="D61" s="1171">
        <f>+'Table 5C1A-Madison Prep'!D61</f>
        <v>4266.8225491298481</v>
      </c>
      <c r="E61" s="1172">
        <f t="shared" si="32"/>
        <v>0</v>
      </c>
      <c r="F61" s="1172">
        <f>+'Table 5C1A-Madison Prep'!F61</f>
        <v>795.14</v>
      </c>
      <c r="G61" s="1172">
        <f t="shared" si="33"/>
        <v>0</v>
      </c>
      <c r="H61" s="1540">
        <f t="shared" si="34"/>
        <v>0</v>
      </c>
      <c r="I61" s="1173"/>
      <c r="J61" s="1173"/>
      <c r="K61" s="1174">
        <f t="shared" si="35"/>
        <v>0</v>
      </c>
      <c r="L61" s="1540">
        <f t="shared" si="36"/>
        <v>0</v>
      </c>
      <c r="M61" s="1399">
        <f t="shared" si="37"/>
        <v>0</v>
      </c>
      <c r="N61" s="1540">
        <f t="shared" si="38"/>
        <v>0</v>
      </c>
      <c r="O61" s="1171">
        <v>0</v>
      </c>
      <c r="P61" s="1546">
        <f t="shared" si="39"/>
        <v>0</v>
      </c>
      <c r="Q61" s="1173"/>
      <c r="R61" s="1173">
        <f t="shared" si="40"/>
        <v>0</v>
      </c>
      <c r="S61" s="1546">
        <f t="shared" si="41"/>
        <v>0</v>
      </c>
      <c r="T61" s="1546">
        <f t="shared" si="42"/>
        <v>0</v>
      </c>
      <c r="U61" s="1382">
        <f>'Table 5C1A-Madison Prep'!U61</f>
        <v>3532</v>
      </c>
      <c r="V61" s="1516">
        <f t="shared" si="43"/>
        <v>0</v>
      </c>
      <c r="W61" s="1400"/>
      <c r="X61" s="1383">
        <f t="shared" si="44"/>
        <v>0</v>
      </c>
      <c r="Y61" s="1400"/>
      <c r="Z61" s="1383">
        <f t="shared" si="28"/>
        <v>0</v>
      </c>
      <c r="AA61" s="1384">
        <f t="shared" si="29"/>
        <v>0</v>
      </c>
      <c r="AB61" s="1511">
        <f t="shared" si="30"/>
        <v>0</v>
      </c>
      <c r="AC61" s="1402">
        <f t="shared" si="31"/>
        <v>0</v>
      </c>
      <c r="AD61" s="1511">
        <f t="shared" si="45"/>
        <v>0</v>
      </c>
      <c r="AE61" s="1385">
        <v>0</v>
      </c>
      <c r="AF61" s="1511">
        <f t="shared" si="46"/>
        <v>0</v>
      </c>
      <c r="AG61" s="1385"/>
      <c r="AH61" s="1385">
        <f t="shared" si="47"/>
        <v>0</v>
      </c>
      <c r="AI61" s="1511">
        <f t="shared" si="48"/>
        <v>0</v>
      </c>
      <c r="AJ61" s="1531">
        <f t="shared" si="49"/>
        <v>0</v>
      </c>
      <c r="AK61" s="1536">
        <f t="shared" si="50"/>
        <v>0</v>
      </c>
    </row>
    <row r="62" spans="1:37" ht="16.2" customHeight="1">
      <c r="A62" s="1183">
        <v>56</v>
      </c>
      <c r="B62" s="1184" t="s">
        <v>135</v>
      </c>
      <c r="C62" s="1185">
        <f>+'Table 8 Membership 2.1.14'!V58</f>
        <v>0</v>
      </c>
      <c r="D62" s="1186">
        <f>+'Table 5C1A-Madison Prep'!D62</f>
        <v>5028.4909408288286</v>
      </c>
      <c r="E62" s="1187">
        <f t="shared" si="32"/>
        <v>0</v>
      </c>
      <c r="F62" s="1187">
        <f>+'Table 5C1A-Madison Prep'!F62</f>
        <v>614.66000000000008</v>
      </c>
      <c r="G62" s="1187">
        <f t="shared" si="33"/>
        <v>0</v>
      </c>
      <c r="H62" s="1538">
        <f t="shared" si="34"/>
        <v>0</v>
      </c>
      <c r="I62" s="1188"/>
      <c r="J62" s="1188"/>
      <c r="K62" s="1189">
        <f t="shared" si="35"/>
        <v>0</v>
      </c>
      <c r="L62" s="1538">
        <f t="shared" si="36"/>
        <v>0</v>
      </c>
      <c r="M62" s="1372">
        <f t="shared" si="37"/>
        <v>0</v>
      </c>
      <c r="N62" s="1538">
        <f t="shared" si="38"/>
        <v>0</v>
      </c>
      <c r="O62" s="1186">
        <v>0</v>
      </c>
      <c r="P62" s="1544">
        <f t="shared" si="39"/>
        <v>0</v>
      </c>
      <c r="Q62" s="1188"/>
      <c r="R62" s="1188">
        <f t="shared" si="40"/>
        <v>0</v>
      </c>
      <c r="S62" s="1544">
        <f t="shared" si="41"/>
        <v>0</v>
      </c>
      <c r="T62" s="1544">
        <f t="shared" si="42"/>
        <v>0</v>
      </c>
      <c r="U62" s="1373">
        <f>'Table 5C1A-Madison Prep'!U62</f>
        <v>2865</v>
      </c>
      <c r="V62" s="1514">
        <f t="shared" si="43"/>
        <v>0</v>
      </c>
      <c r="W62" s="1375"/>
      <c r="X62" s="1376">
        <f t="shared" si="44"/>
        <v>0</v>
      </c>
      <c r="Y62" s="1375"/>
      <c r="Z62" s="1376">
        <f t="shared" si="28"/>
        <v>0</v>
      </c>
      <c r="AA62" s="1374">
        <f t="shared" si="29"/>
        <v>0</v>
      </c>
      <c r="AB62" s="1509">
        <f t="shared" si="30"/>
        <v>0</v>
      </c>
      <c r="AC62" s="1378">
        <f t="shared" si="31"/>
        <v>0</v>
      </c>
      <c r="AD62" s="1509">
        <f t="shared" si="45"/>
        <v>0</v>
      </c>
      <c r="AE62" s="1379">
        <v>0</v>
      </c>
      <c r="AF62" s="1509">
        <f t="shared" si="46"/>
        <v>0</v>
      </c>
      <c r="AG62" s="1379"/>
      <c r="AH62" s="1379">
        <f t="shared" si="47"/>
        <v>0</v>
      </c>
      <c r="AI62" s="1509">
        <f t="shared" si="48"/>
        <v>0</v>
      </c>
      <c r="AJ62" s="1530">
        <f t="shared" si="49"/>
        <v>0</v>
      </c>
      <c r="AK62" s="1534">
        <f t="shared" si="50"/>
        <v>0</v>
      </c>
    </row>
    <row r="63" spans="1:37" ht="16.2" customHeight="1">
      <c r="A63" s="1176">
        <v>57</v>
      </c>
      <c r="B63" s="1177" t="s">
        <v>136</v>
      </c>
      <c r="C63" s="1178">
        <f>+'Table 8 Membership 2.1.14'!V59</f>
        <v>0</v>
      </c>
      <c r="D63" s="1179">
        <f>+'Table 5C1A-Madison Prep'!D63</f>
        <v>4625.9922979230687</v>
      </c>
      <c r="E63" s="1180">
        <f t="shared" si="32"/>
        <v>0</v>
      </c>
      <c r="F63" s="1180">
        <f>+'Table 5C1A-Madison Prep'!F63</f>
        <v>764.51</v>
      </c>
      <c r="G63" s="1180">
        <f t="shared" si="33"/>
        <v>0</v>
      </c>
      <c r="H63" s="1539">
        <f t="shared" si="34"/>
        <v>0</v>
      </c>
      <c r="I63" s="1181"/>
      <c r="J63" s="1181"/>
      <c r="K63" s="1182">
        <f t="shared" si="35"/>
        <v>0</v>
      </c>
      <c r="L63" s="1539">
        <f t="shared" si="36"/>
        <v>0</v>
      </c>
      <c r="M63" s="1388">
        <f t="shared" si="37"/>
        <v>0</v>
      </c>
      <c r="N63" s="1539">
        <f t="shared" si="38"/>
        <v>0</v>
      </c>
      <c r="O63" s="1179">
        <v>0</v>
      </c>
      <c r="P63" s="1545">
        <f t="shared" si="39"/>
        <v>0</v>
      </c>
      <c r="Q63" s="1181"/>
      <c r="R63" s="1181">
        <f t="shared" si="40"/>
        <v>0</v>
      </c>
      <c r="S63" s="1545">
        <f t="shared" si="41"/>
        <v>0</v>
      </c>
      <c r="T63" s="1545">
        <f t="shared" si="42"/>
        <v>0</v>
      </c>
      <c r="U63" s="1389">
        <f>'Table 5C1A-Madison Prep'!U63</f>
        <v>3395</v>
      </c>
      <c r="V63" s="1515">
        <f t="shared" si="43"/>
        <v>0</v>
      </c>
      <c r="W63" s="1391"/>
      <c r="X63" s="1392">
        <f t="shared" si="44"/>
        <v>0</v>
      </c>
      <c r="Y63" s="1391"/>
      <c r="Z63" s="1392">
        <f t="shared" si="28"/>
        <v>0</v>
      </c>
      <c r="AA63" s="1390">
        <f t="shared" si="29"/>
        <v>0</v>
      </c>
      <c r="AB63" s="1510">
        <f t="shared" si="30"/>
        <v>0</v>
      </c>
      <c r="AC63" s="1394">
        <f t="shared" si="31"/>
        <v>0</v>
      </c>
      <c r="AD63" s="1510">
        <f t="shared" si="45"/>
        <v>0</v>
      </c>
      <c r="AE63" s="1395">
        <v>0</v>
      </c>
      <c r="AF63" s="1510">
        <f t="shared" si="46"/>
        <v>0</v>
      </c>
      <c r="AG63" s="1395"/>
      <c r="AH63" s="1395">
        <f t="shared" si="47"/>
        <v>0</v>
      </c>
      <c r="AI63" s="1510">
        <f t="shared" si="48"/>
        <v>0</v>
      </c>
      <c r="AJ63" s="1505">
        <f t="shared" si="49"/>
        <v>0</v>
      </c>
      <c r="AK63" s="1535">
        <f t="shared" si="50"/>
        <v>0</v>
      </c>
    </row>
    <row r="64" spans="1:37" ht="16.2" customHeight="1">
      <c r="A64" s="1176">
        <v>58</v>
      </c>
      <c r="B64" s="1177" t="s">
        <v>137</v>
      </c>
      <c r="C64" s="1178">
        <f>+'Table 8 Membership 2.1.14'!V60</f>
        <v>0</v>
      </c>
      <c r="D64" s="1179">
        <f>+'Table 5C1A-Madison Prep'!D64</f>
        <v>5673.1129637882123</v>
      </c>
      <c r="E64" s="1180">
        <f t="shared" si="32"/>
        <v>0</v>
      </c>
      <c r="F64" s="1180">
        <f>+'Table 5C1A-Madison Prep'!F64</f>
        <v>697.04</v>
      </c>
      <c r="G64" s="1180">
        <f t="shared" si="33"/>
        <v>0</v>
      </c>
      <c r="H64" s="1539">
        <f t="shared" si="34"/>
        <v>0</v>
      </c>
      <c r="I64" s="1181"/>
      <c r="J64" s="1181"/>
      <c r="K64" s="1182">
        <f t="shared" si="35"/>
        <v>0</v>
      </c>
      <c r="L64" s="1539">
        <f t="shared" si="36"/>
        <v>0</v>
      </c>
      <c r="M64" s="1388">
        <f t="shared" si="37"/>
        <v>0</v>
      </c>
      <c r="N64" s="1539">
        <f t="shared" si="38"/>
        <v>0</v>
      </c>
      <c r="O64" s="1179">
        <v>0</v>
      </c>
      <c r="P64" s="1545">
        <f t="shared" si="39"/>
        <v>0</v>
      </c>
      <c r="Q64" s="1181"/>
      <c r="R64" s="1181">
        <f t="shared" si="40"/>
        <v>0</v>
      </c>
      <c r="S64" s="1545">
        <f t="shared" si="41"/>
        <v>0</v>
      </c>
      <c r="T64" s="1545">
        <f t="shared" si="42"/>
        <v>0</v>
      </c>
      <c r="U64" s="1389">
        <f>'Table 5C1A-Madison Prep'!U64</f>
        <v>2084</v>
      </c>
      <c r="V64" s="1515">
        <f t="shared" si="43"/>
        <v>0</v>
      </c>
      <c r="W64" s="1391"/>
      <c r="X64" s="1392">
        <f t="shared" si="44"/>
        <v>0</v>
      </c>
      <c r="Y64" s="1391"/>
      <c r="Z64" s="1392">
        <f t="shared" si="28"/>
        <v>0</v>
      </c>
      <c r="AA64" s="1390">
        <f t="shared" si="29"/>
        <v>0</v>
      </c>
      <c r="AB64" s="1510">
        <f t="shared" si="30"/>
        <v>0</v>
      </c>
      <c r="AC64" s="1394">
        <f t="shared" si="31"/>
        <v>0</v>
      </c>
      <c r="AD64" s="1510">
        <f t="shared" si="45"/>
        <v>0</v>
      </c>
      <c r="AE64" s="1395">
        <v>0</v>
      </c>
      <c r="AF64" s="1510">
        <f t="shared" si="46"/>
        <v>0</v>
      </c>
      <c r="AG64" s="1395"/>
      <c r="AH64" s="1395">
        <f t="shared" si="47"/>
        <v>0</v>
      </c>
      <c r="AI64" s="1510">
        <f t="shared" si="48"/>
        <v>0</v>
      </c>
      <c r="AJ64" s="1505">
        <f t="shared" si="49"/>
        <v>0</v>
      </c>
      <c r="AK64" s="1535">
        <f t="shared" si="50"/>
        <v>0</v>
      </c>
    </row>
    <row r="65" spans="1:37" ht="16.2" customHeight="1">
      <c r="A65" s="1176">
        <v>59</v>
      </c>
      <c r="B65" s="1177" t="s">
        <v>138</v>
      </c>
      <c r="C65" s="1178">
        <f>+'Table 8 Membership 2.1.14'!V61</f>
        <v>0</v>
      </c>
      <c r="D65" s="1179">
        <f>+'Table 5C1A-Madison Prep'!D65</f>
        <v>6621.946293521848</v>
      </c>
      <c r="E65" s="1180">
        <f t="shared" si="32"/>
        <v>0</v>
      </c>
      <c r="F65" s="1180">
        <f>+'Table 5C1A-Madison Prep'!F65</f>
        <v>689.52</v>
      </c>
      <c r="G65" s="1180">
        <f t="shared" si="33"/>
        <v>0</v>
      </c>
      <c r="H65" s="1539">
        <f t="shared" si="34"/>
        <v>0</v>
      </c>
      <c r="I65" s="1181"/>
      <c r="J65" s="1181"/>
      <c r="K65" s="1182">
        <f t="shared" si="35"/>
        <v>0</v>
      </c>
      <c r="L65" s="1539">
        <f t="shared" si="36"/>
        <v>0</v>
      </c>
      <c r="M65" s="1388">
        <f t="shared" si="37"/>
        <v>0</v>
      </c>
      <c r="N65" s="1539">
        <f t="shared" si="38"/>
        <v>0</v>
      </c>
      <c r="O65" s="1179">
        <v>0</v>
      </c>
      <c r="P65" s="1545">
        <f t="shared" si="39"/>
        <v>0</v>
      </c>
      <c r="Q65" s="1181"/>
      <c r="R65" s="1181">
        <f t="shared" si="40"/>
        <v>0</v>
      </c>
      <c r="S65" s="1545">
        <f t="shared" si="41"/>
        <v>0</v>
      </c>
      <c r="T65" s="1545">
        <f t="shared" si="42"/>
        <v>0</v>
      </c>
      <c r="U65" s="1389">
        <f>'Table 5C1A-Madison Prep'!U65</f>
        <v>1577</v>
      </c>
      <c r="V65" s="1515">
        <f t="shared" si="43"/>
        <v>0</v>
      </c>
      <c r="W65" s="1391"/>
      <c r="X65" s="1392">
        <f t="shared" si="44"/>
        <v>0</v>
      </c>
      <c r="Y65" s="1391"/>
      <c r="Z65" s="1392">
        <f t="shared" si="28"/>
        <v>0</v>
      </c>
      <c r="AA65" s="1390">
        <f t="shared" si="29"/>
        <v>0</v>
      </c>
      <c r="AB65" s="1510">
        <f t="shared" si="30"/>
        <v>0</v>
      </c>
      <c r="AC65" s="1394">
        <f t="shared" si="31"/>
        <v>0</v>
      </c>
      <c r="AD65" s="1510">
        <f t="shared" si="45"/>
        <v>0</v>
      </c>
      <c r="AE65" s="1395">
        <v>0</v>
      </c>
      <c r="AF65" s="1510">
        <f t="shared" si="46"/>
        <v>0</v>
      </c>
      <c r="AG65" s="1395"/>
      <c r="AH65" s="1395">
        <f t="shared" si="47"/>
        <v>0</v>
      </c>
      <c r="AI65" s="1510">
        <f t="shared" si="48"/>
        <v>0</v>
      </c>
      <c r="AJ65" s="1505">
        <f t="shared" si="49"/>
        <v>0</v>
      </c>
      <c r="AK65" s="1535">
        <f t="shared" si="50"/>
        <v>0</v>
      </c>
    </row>
    <row r="66" spans="1:37" ht="16.2" customHeight="1">
      <c r="A66" s="1168">
        <v>60</v>
      </c>
      <c r="B66" s="1169" t="s">
        <v>139</v>
      </c>
      <c r="C66" s="1170">
        <f>+'Table 8 Membership 2.1.14'!V62</f>
        <v>0</v>
      </c>
      <c r="D66" s="1171">
        <f>+'Table 5C1A-Madison Prep'!D66</f>
        <v>5301.224090063828</v>
      </c>
      <c r="E66" s="1172">
        <f t="shared" si="32"/>
        <v>0</v>
      </c>
      <c r="F66" s="1172">
        <f>+'Table 5C1A-Madison Prep'!F66</f>
        <v>594.04</v>
      </c>
      <c r="G66" s="1172">
        <f t="shared" si="33"/>
        <v>0</v>
      </c>
      <c r="H66" s="1540">
        <f t="shared" si="34"/>
        <v>0</v>
      </c>
      <c r="I66" s="1173"/>
      <c r="J66" s="1173"/>
      <c r="K66" s="1174">
        <f t="shared" si="35"/>
        <v>0</v>
      </c>
      <c r="L66" s="1540">
        <f t="shared" si="36"/>
        <v>0</v>
      </c>
      <c r="M66" s="1399">
        <f t="shared" si="37"/>
        <v>0</v>
      </c>
      <c r="N66" s="1540">
        <f t="shared" si="38"/>
        <v>0</v>
      </c>
      <c r="O66" s="1171">
        <v>0</v>
      </c>
      <c r="P66" s="1546">
        <f t="shared" si="39"/>
        <v>0</v>
      </c>
      <c r="Q66" s="1173"/>
      <c r="R66" s="1173">
        <f t="shared" si="40"/>
        <v>0</v>
      </c>
      <c r="S66" s="1546">
        <f t="shared" si="41"/>
        <v>0</v>
      </c>
      <c r="T66" s="1546">
        <f t="shared" si="42"/>
        <v>0</v>
      </c>
      <c r="U66" s="1382">
        <f>'Table 5C1A-Madison Prep'!U66</f>
        <v>3922</v>
      </c>
      <c r="V66" s="1516">
        <f t="shared" si="43"/>
        <v>0</v>
      </c>
      <c r="W66" s="1400"/>
      <c r="X66" s="1383">
        <f t="shared" si="44"/>
        <v>0</v>
      </c>
      <c r="Y66" s="1400"/>
      <c r="Z66" s="1383">
        <f t="shared" si="28"/>
        <v>0</v>
      </c>
      <c r="AA66" s="1384">
        <f t="shared" si="29"/>
        <v>0</v>
      </c>
      <c r="AB66" s="1511">
        <f t="shared" si="30"/>
        <v>0</v>
      </c>
      <c r="AC66" s="1402">
        <f t="shared" si="31"/>
        <v>0</v>
      </c>
      <c r="AD66" s="1511">
        <f t="shared" si="45"/>
        <v>0</v>
      </c>
      <c r="AE66" s="1385">
        <v>0</v>
      </c>
      <c r="AF66" s="1511">
        <f t="shared" si="46"/>
        <v>0</v>
      </c>
      <c r="AG66" s="1385"/>
      <c r="AH66" s="1385">
        <f t="shared" si="47"/>
        <v>0</v>
      </c>
      <c r="AI66" s="1511">
        <f t="shared" si="48"/>
        <v>0</v>
      </c>
      <c r="AJ66" s="1531">
        <f t="shared" si="49"/>
        <v>0</v>
      </c>
      <c r="AK66" s="1536">
        <f t="shared" si="50"/>
        <v>0</v>
      </c>
    </row>
    <row r="67" spans="1:37" ht="16.2" customHeight="1">
      <c r="A67" s="1183">
        <v>61</v>
      </c>
      <c r="B67" s="1184" t="s">
        <v>140</v>
      </c>
      <c r="C67" s="1185">
        <f>+'Table 8 Membership 2.1.14'!V63</f>
        <v>1</v>
      </c>
      <c r="D67" s="1186">
        <f>+'Table 5C1A-Madison Prep'!D67</f>
        <v>2854.1575356369185</v>
      </c>
      <c r="E67" s="1187">
        <f t="shared" si="32"/>
        <v>2854.1575356369185</v>
      </c>
      <c r="F67" s="1187">
        <f>+'Table 5C1A-Madison Prep'!F67</f>
        <v>833.70999999999992</v>
      </c>
      <c r="G67" s="1187">
        <f t="shared" si="33"/>
        <v>833.70999999999992</v>
      </c>
      <c r="H67" s="1538">
        <f t="shared" si="34"/>
        <v>3687.8675356369185</v>
      </c>
      <c r="I67" s="1188"/>
      <c r="J67" s="1188"/>
      <c r="K67" s="1189">
        <f t="shared" si="35"/>
        <v>0</v>
      </c>
      <c r="L67" s="1538">
        <f t="shared" si="36"/>
        <v>3687.8675356369185</v>
      </c>
      <c r="M67" s="1372">
        <f t="shared" si="37"/>
        <v>-9.2196688390922965</v>
      </c>
      <c r="N67" s="1538">
        <f t="shared" si="38"/>
        <v>3678.6478667978263</v>
      </c>
      <c r="O67" s="1186">
        <v>0</v>
      </c>
      <c r="P67" s="1544">
        <f t="shared" si="39"/>
        <v>3678.6478667978263</v>
      </c>
      <c r="Q67" s="1188"/>
      <c r="R67" s="1188">
        <f t="shared" si="40"/>
        <v>3678.6478667978263</v>
      </c>
      <c r="S67" s="1544">
        <f t="shared" si="41"/>
        <v>307</v>
      </c>
      <c r="T67" s="1544">
        <f t="shared" si="42"/>
        <v>3678.6478667978263</v>
      </c>
      <c r="U67" s="1373">
        <f>'Table 5C1A-Madison Prep'!U67</f>
        <v>6745</v>
      </c>
      <c r="V67" s="1514">
        <f t="shared" si="43"/>
        <v>6745</v>
      </c>
      <c r="W67" s="1375"/>
      <c r="X67" s="1376">
        <f t="shared" si="44"/>
        <v>0</v>
      </c>
      <c r="Y67" s="1375"/>
      <c r="Z67" s="1376">
        <f t="shared" si="28"/>
        <v>0</v>
      </c>
      <c r="AA67" s="1374">
        <f t="shared" si="29"/>
        <v>0</v>
      </c>
      <c r="AB67" s="1509">
        <f t="shared" si="30"/>
        <v>6745</v>
      </c>
      <c r="AC67" s="1378">
        <f t="shared" si="31"/>
        <v>-16.862500000000001</v>
      </c>
      <c r="AD67" s="1509">
        <f t="shared" si="45"/>
        <v>6728.1374999999998</v>
      </c>
      <c r="AE67" s="1379">
        <v>0</v>
      </c>
      <c r="AF67" s="1509">
        <f t="shared" si="46"/>
        <v>6728.1374999999998</v>
      </c>
      <c r="AG67" s="1379"/>
      <c r="AH67" s="1379">
        <f t="shared" si="47"/>
        <v>6728.1374999999998</v>
      </c>
      <c r="AI67" s="1509">
        <f t="shared" si="48"/>
        <v>561</v>
      </c>
      <c r="AJ67" s="1530">
        <f t="shared" si="49"/>
        <v>10406.785366797827</v>
      </c>
      <c r="AK67" s="1534">
        <f t="shared" si="50"/>
        <v>868</v>
      </c>
    </row>
    <row r="68" spans="1:37" ht="16.2" customHeight="1">
      <c r="A68" s="1176">
        <v>62</v>
      </c>
      <c r="B68" s="1177" t="s">
        <v>141</v>
      </c>
      <c r="C68" s="1178">
        <f>+'Table 8 Membership 2.1.14'!V64</f>
        <v>0</v>
      </c>
      <c r="D68" s="1179">
        <f>+'Table 5C1A-Madison Prep'!D68</f>
        <v>5901.074538516008</v>
      </c>
      <c r="E68" s="1180">
        <f t="shared" si="32"/>
        <v>0</v>
      </c>
      <c r="F68" s="1180">
        <f>+'Table 5C1A-Madison Prep'!F68</f>
        <v>516.08000000000004</v>
      </c>
      <c r="G68" s="1180">
        <f t="shared" si="33"/>
        <v>0</v>
      </c>
      <c r="H68" s="1539">
        <f t="shared" si="34"/>
        <v>0</v>
      </c>
      <c r="I68" s="1181"/>
      <c r="J68" s="1181"/>
      <c r="K68" s="1182">
        <f t="shared" si="35"/>
        <v>0</v>
      </c>
      <c r="L68" s="1539">
        <f t="shared" si="36"/>
        <v>0</v>
      </c>
      <c r="M68" s="1388">
        <f t="shared" si="37"/>
        <v>0</v>
      </c>
      <c r="N68" s="1539">
        <f t="shared" si="38"/>
        <v>0</v>
      </c>
      <c r="O68" s="1179">
        <v>0</v>
      </c>
      <c r="P68" s="1545">
        <f t="shared" si="39"/>
        <v>0</v>
      </c>
      <c r="Q68" s="1181"/>
      <c r="R68" s="1181">
        <f t="shared" si="40"/>
        <v>0</v>
      </c>
      <c r="S68" s="1545">
        <f t="shared" si="41"/>
        <v>0</v>
      </c>
      <c r="T68" s="1545">
        <f t="shared" si="42"/>
        <v>0</v>
      </c>
      <c r="U68" s="1389">
        <f>'Table 5C1A-Madison Prep'!U68</f>
        <v>1908</v>
      </c>
      <c r="V68" s="1515">
        <f t="shared" si="43"/>
        <v>0</v>
      </c>
      <c r="W68" s="1391"/>
      <c r="X68" s="1392">
        <f t="shared" si="44"/>
        <v>0</v>
      </c>
      <c r="Y68" s="1391"/>
      <c r="Z68" s="1392">
        <f t="shared" si="28"/>
        <v>0</v>
      </c>
      <c r="AA68" s="1390">
        <f t="shared" si="29"/>
        <v>0</v>
      </c>
      <c r="AB68" s="1510">
        <f t="shared" si="30"/>
        <v>0</v>
      </c>
      <c r="AC68" s="1394">
        <f t="shared" si="31"/>
        <v>0</v>
      </c>
      <c r="AD68" s="1510">
        <f t="shared" si="45"/>
        <v>0</v>
      </c>
      <c r="AE68" s="1395">
        <v>0</v>
      </c>
      <c r="AF68" s="1510">
        <f t="shared" si="46"/>
        <v>0</v>
      </c>
      <c r="AG68" s="1395"/>
      <c r="AH68" s="1395">
        <f t="shared" si="47"/>
        <v>0</v>
      </c>
      <c r="AI68" s="1510">
        <f t="shared" si="48"/>
        <v>0</v>
      </c>
      <c r="AJ68" s="1505">
        <f t="shared" si="49"/>
        <v>0</v>
      </c>
      <c r="AK68" s="1535">
        <f t="shared" si="50"/>
        <v>0</v>
      </c>
    </row>
    <row r="69" spans="1:37" ht="16.2" customHeight="1">
      <c r="A69" s="1176">
        <v>63</v>
      </c>
      <c r="B69" s="1177" t="s">
        <v>142</v>
      </c>
      <c r="C69" s="1178">
        <f>+'Table 8 Membership 2.1.14'!V65</f>
        <v>0</v>
      </c>
      <c r="D69" s="1179">
        <f>+'Table 5C1A-Madison Prep'!D69</f>
        <v>4124.3813481848092</v>
      </c>
      <c r="E69" s="1180">
        <f t="shared" si="32"/>
        <v>0</v>
      </c>
      <c r="F69" s="1180">
        <f>+'Table 5C1A-Madison Prep'!F69</f>
        <v>756.79</v>
      </c>
      <c r="G69" s="1180">
        <f t="shared" si="33"/>
        <v>0</v>
      </c>
      <c r="H69" s="1539">
        <f t="shared" si="34"/>
        <v>0</v>
      </c>
      <c r="I69" s="1181"/>
      <c r="J69" s="1181"/>
      <c r="K69" s="1182">
        <f t="shared" si="35"/>
        <v>0</v>
      </c>
      <c r="L69" s="1539">
        <f t="shared" si="36"/>
        <v>0</v>
      </c>
      <c r="M69" s="1388">
        <f t="shared" si="37"/>
        <v>0</v>
      </c>
      <c r="N69" s="1539">
        <f t="shared" si="38"/>
        <v>0</v>
      </c>
      <c r="O69" s="1179">
        <v>0</v>
      </c>
      <c r="P69" s="1545">
        <f t="shared" si="39"/>
        <v>0</v>
      </c>
      <c r="Q69" s="1181"/>
      <c r="R69" s="1181">
        <f t="shared" si="40"/>
        <v>0</v>
      </c>
      <c r="S69" s="1545">
        <f t="shared" si="41"/>
        <v>0</v>
      </c>
      <c r="T69" s="1545">
        <f t="shared" si="42"/>
        <v>0</v>
      </c>
      <c r="U69" s="1389">
        <f>'Table 5C1A-Madison Prep'!U69</f>
        <v>7290</v>
      </c>
      <c r="V69" s="1515">
        <f t="shared" si="43"/>
        <v>0</v>
      </c>
      <c r="W69" s="1391"/>
      <c r="X69" s="1392">
        <f t="shared" si="44"/>
        <v>0</v>
      </c>
      <c r="Y69" s="1391"/>
      <c r="Z69" s="1392">
        <f t="shared" si="28"/>
        <v>0</v>
      </c>
      <c r="AA69" s="1390">
        <f t="shared" si="29"/>
        <v>0</v>
      </c>
      <c r="AB69" s="1510">
        <f t="shared" si="30"/>
        <v>0</v>
      </c>
      <c r="AC69" s="1394">
        <f t="shared" si="31"/>
        <v>0</v>
      </c>
      <c r="AD69" s="1510">
        <f t="shared" si="45"/>
        <v>0</v>
      </c>
      <c r="AE69" s="1395">
        <v>0</v>
      </c>
      <c r="AF69" s="1510">
        <f t="shared" si="46"/>
        <v>0</v>
      </c>
      <c r="AG69" s="1395"/>
      <c r="AH69" s="1395">
        <f t="shared" si="47"/>
        <v>0</v>
      </c>
      <c r="AI69" s="1510">
        <f t="shared" si="48"/>
        <v>0</v>
      </c>
      <c r="AJ69" s="1505">
        <f t="shared" si="49"/>
        <v>0</v>
      </c>
      <c r="AK69" s="1535">
        <f t="shared" si="50"/>
        <v>0</v>
      </c>
    </row>
    <row r="70" spans="1:37" ht="16.2" customHeight="1">
      <c r="A70" s="1176">
        <v>64</v>
      </c>
      <c r="B70" s="1177" t="s">
        <v>143</v>
      </c>
      <c r="C70" s="1178">
        <f>+'Table 8 Membership 2.1.14'!V66</f>
        <v>0</v>
      </c>
      <c r="D70" s="1179">
        <f>+'Table 5C1A-Madison Prep'!D70</f>
        <v>6277.8307532778254</v>
      </c>
      <c r="E70" s="1180">
        <f t="shared" si="32"/>
        <v>0</v>
      </c>
      <c r="F70" s="1180">
        <f>+'Table 5C1A-Madison Prep'!F70</f>
        <v>592.66</v>
      </c>
      <c r="G70" s="1180">
        <f t="shared" si="33"/>
        <v>0</v>
      </c>
      <c r="H70" s="1539">
        <f t="shared" si="34"/>
        <v>0</v>
      </c>
      <c r="I70" s="1181"/>
      <c r="J70" s="1181"/>
      <c r="K70" s="1182">
        <f t="shared" si="35"/>
        <v>0</v>
      </c>
      <c r="L70" s="1539">
        <f t="shared" si="36"/>
        <v>0</v>
      </c>
      <c r="M70" s="1388">
        <f t="shared" si="37"/>
        <v>0</v>
      </c>
      <c r="N70" s="1539">
        <f t="shared" si="38"/>
        <v>0</v>
      </c>
      <c r="O70" s="1179">
        <v>0</v>
      </c>
      <c r="P70" s="1545">
        <f t="shared" si="39"/>
        <v>0</v>
      </c>
      <c r="Q70" s="1181"/>
      <c r="R70" s="1181">
        <f t="shared" si="40"/>
        <v>0</v>
      </c>
      <c r="S70" s="1545">
        <f t="shared" si="41"/>
        <v>0</v>
      </c>
      <c r="T70" s="1545">
        <f t="shared" si="42"/>
        <v>0</v>
      </c>
      <c r="U70" s="1389">
        <f>'Table 5C1A-Madison Prep'!U70</f>
        <v>2721</v>
      </c>
      <c r="V70" s="1515">
        <f t="shared" si="43"/>
        <v>0</v>
      </c>
      <c r="W70" s="1391"/>
      <c r="X70" s="1392">
        <f t="shared" si="44"/>
        <v>0</v>
      </c>
      <c r="Y70" s="1391"/>
      <c r="Z70" s="1392">
        <f t="shared" si="28"/>
        <v>0</v>
      </c>
      <c r="AA70" s="1390">
        <f t="shared" si="29"/>
        <v>0</v>
      </c>
      <c r="AB70" s="1510">
        <f t="shared" si="30"/>
        <v>0</v>
      </c>
      <c r="AC70" s="1394">
        <f t="shared" si="31"/>
        <v>0</v>
      </c>
      <c r="AD70" s="1510">
        <f t="shared" si="45"/>
        <v>0</v>
      </c>
      <c r="AE70" s="1395">
        <v>0</v>
      </c>
      <c r="AF70" s="1510">
        <f t="shared" si="46"/>
        <v>0</v>
      </c>
      <c r="AG70" s="1395"/>
      <c r="AH70" s="1395">
        <f t="shared" si="47"/>
        <v>0</v>
      </c>
      <c r="AI70" s="1510">
        <f t="shared" si="48"/>
        <v>0</v>
      </c>
      <c r="AJ70" s="1505">
        <f t="shared" si="49"/>
        <v>0</v>
      </c>
      <c r="AK70" s="1535">
        <f t="shared" si="50"/>
        <v>0</v>
      </c>
    </row>
    <row r="71" spans="1:37" ht="16.2" customHeight="1">
      <c r="A71" s="1168">
        <v>65</v>
      </c>
      <c r="B71" s="1169" t="s">
        <v>144</v>
      </c>
      <c r="C71" s="1170">
        <f>+'Table 8 Membership 2.1.14'!V67</f>
        <v>0</v>
      </c>
      <c r="D71" s="1171">
        <f>+'Table 5C1A-Madison Prep'!D71</f>
        <v>4775.1605543943642</v>
      </c>
      <c r="E71" s="1172">
        <f t="shared" si="32"/>
        <v>0</v>
      </c>
      <c r="F71" s="1172">
        <f>+'Table 5C1A-Madison Prep'!F71</f>
        <v>829.12</v>
      </c>
      <c r="G71" s="1172">
        <f t="shared" si="33"/>
        <v>0</v>
      </c>
      <c r="H71" s="1540">
        <f t="shared" si="34"/>
        <v>0</v>
      </c>
      <c r="I71" s="1173"/>
      <c r="J71" s="1173"/>
      <c r="K71" s="1174">
        <f t="shared" si="35"/>
        <v>0</v>
      </c>
      <c r="L71" s="1540">
        <f t="shared" si="36"/>
        <v>0</v>
      </c>
      <c r="M71" s="1399">
        <f t="shared" si="37"/>
        <v>0</v>
      </c>
      <c r="N71" s="1540">
        <f t="shared" si="38"/>
        <v>0</v>
      </c>
      <c r="O71" s="1171">
        <v>0</v>
      </c>
      <c r="P71" s="1546">
        <f t="shared" si="39"/>
        <v>0</v>
      </c>
      <c r="Q71" s="1173"/>
      <c r="R71" s="1173">
        <f t="shared" si="40"/>
        <v>0</v>
      </c>
      <c r="S71" s="1546">
        <f t="shared" si="41"/>
        <v>0</v>
      </c>
      <c r="T71" s="1546">
        <f t="shared" si="42"/>
        <v>0</v>
      </c>
      <c r="U71" s="1382">
        <f>'Table 5C1A-Madison Prep'!U71</f>
        <v>5110</v>
      </c>
      <c r="V71" s="1516">
        <f t="shared" si="43"/>
        <v>0</v>
      </c>
      <c r="W71" s="1400"/>
      <c r="X71" s="1383">
        <f t="shared" si="44"/>
        <v>0</v>
      </c>
      <c r="Y71" s="1400"/>
      <c r="Z71" s="1383">
        <f t="shared" ref="Z71:Z74" si="51">+U71*Y71*0.5</f>
        <v>0</v>
      </c>
      <c r="AA71" s="1384">
        <f t="shared" ref="AA71:AA74" si="52">+X71+Z71</f>
        <v>0</v>
      </c>
      <c r="AB71" s="1511">
        <f t="shared" ref="AB71:AB74" si="53">+V71+AA71</f>
        <v>0</v>
      </c>
      <c r="AC71" s="1402">
        <f t="shared" ref="AC71:AC74" si="54">-(0.25%*AB71)</f>
        <v>0</v>
      </c>
      <c r="AD71" s="1511">
        <f t="shared" si="45"/>
        <v>0</v>
      </c>
      <c r="AE71" s="1385">
        <v>0</v>
      </c>
      <c r="AF71" s="1511">
        <f t="shared" si="46"/>
        <v>0</v>
      </c>
      <c r="AG71" s="1385"/>
      <c r="AH71" s="1385">
        <f t="shared" si="47"/>
        <v>0</v>
      </c>
      <c r="AI71" s="1511">
        <f t="shared" si="48"/>
        <v>0</v>
      </c>
      <c r="AJ71" s="1531">
        <f t="shared" si="49"/>
        <v>0</v>
      </c>
      <c r="AK71" s="1536">
        <f t="shared" si="50"/>
        <v>0</v>
      </c>
    </row>
    <row r="72" spans="1:37" ht="16.2" customHeight="1">
      <c r="A72" s="1176">
        <v>66</v>
      </c>
      <c r="B72" s="1177" t="s">
        <v>145</v>
      </c>
      <c r="C72" s="1197">
        <f>+'Table 8 Membership 2.1.14'!V68</f>
        <v>0</v>
      </c>
      <c r="D72" s="1198">
        <f>+'Table 5C1A-Madison Prep'!D72</f>
        <v>6564.0085433910035</v>
      </c>
      <c r="E72" s="1199">
        <f t="shared" ref="E72:E75" si="55">C72*D72</f>
        <v>0</v>
      </c>
      <c r="F72" s="1199">
        <f>+'Table 5C1A-Madison Prep'!F72</f>
        <v>730.06</v>
      </c>
      <c r="G72" s="1199">
        <f t="shared" ref="G72:G75" si="56">C72*F72</f>
        <v>0</v>
      </c>
      <c r="H72" s="1403">
        <f t="shared" ref="H72:H75" si="57">E72+G72</f>
        <v>0</v>
      </c>
      <c r="I72" s="1200"/>
      <c r="J72" s="1200"/>
      <c r="K72" s="1201">
        <f t="shared" ref="K72:K75" si="58">+I72+J72</f>
        <v>0</v>
      </c>
      <c r="L72" s="1403">
        <f t="shared" ref="L72:L75" si="59">+H72+K72</f>
        <v>0</v>
      </c>
      <c r="M72" s="1423">
        <f t="shared" ref="M72:M75" si="60">-(0.25%*L72)</f>
        <v>0</v>
      </c>
      <c r="N72" s="1403">
        <f t="shared" ref="N72:N75" si="61">SUM(L72:M72)</f>
        <v>0</v>
      </c>
      <c r="O72" s="1198">
        <v>0</v>
      </c>
      <c r="P72" s="1398">
        <f t="shared" ref="P72:P75" si="62">SUM(N72:O72)</f>
        <v>0</v>
      </c>
      <c r="Q72" s="1200"/>
      <c r="R72" s="1200">
        <f t="shared" ref="R72:R75" si="63">+P72-Q72</f>
        <v>0</v>
      </c>
      <c r="S72" s="1398">
        <f t="shared" ref="S72:S75" si="64">ROUND(R72/12,0)</f>
        <v>0</v>
      </c>
      <c r="T72" s="1398">
        <f t="shared" ref="T72:T75" si="65">+P72</f>
        <v>0</v>
      </c>
      <c r="U72" s="1389">
        <f>'Table 5C1A-Madison Prep'!U72</f>
        <v>3369</v>
      </c>
      <c r="V72" s="1515">
        <f t="shared" ref="V72:V75" si="66">C72*U72</f>
        <v>0</v>
      </c>
      <c r="W72" s="1391"/>
      <c r="X72" s="1392">
        <f t="shared" ref="X72:X75" si="67">+U72*W72</f>
        <v>0</v>
      </c>
      <c r="Y72" s="1391"/>
      <c r="Z72" s="1392">
        <f t="shared" si="51"/>
        <v>0</v>
      </c>
      <c r="AA72" s="1390">
        <f t="shared" si="52"/>
        <v>0</v>
      </c>
      <c r="AB72" s="1510">
        <f t="shared" si="53"/>
        <v>0</v>
      </c>
      <c r="AC72" s="1394">
        <f t="shared" si="54"/>
        <v>0</v>
      </c>
      <c r="AD72" s="1510">
        <f t="shared" ref="AD72:AD75" si="68">SUM(AB72:AC72)</f>
        <v>0</v>
      </c>
      <c r="AE72" s="1395">
        <v>0</v>
      </c>
      <c r="AF72" s="1510">
        <f t="shared" ref="AF72:AF75" si="69">SUM(AD72:AE72)</f>
        <v>0</v>
      </c>
      <c r="AG72" s="1395"/>
      <c r="AH72" s="1395">
        <f t="shared" ref="AH72:AH75" si="70">+AF72-AG72</f>
        <v>0</v>
      </c>
      <c r="AI72" s="1510">
        <f t="shared" ref="AI72:AI75" si="71">ROUND(AH72/12,0)</f>
        <v>0</v>
      </c>
      <c r="AJ72" s="1505">
        <f t="shared" ref="AJ72:AJ75" si="72">T72+AF72</f>
        <v>0</v>
      </c>
      <c r="AK72" s="1505">
        <f t="shared" ref="AK72:AK75" si="73">S72+AI72</f>
        <v>0</v>
      </c>
    </row>
    <row r="73" spans="1:37" ht="16.2" customHeight="1">
      <c r="A73" s="1176">
        <v>67</v>
      </c>
      <c r="B73" s="1177" t="s">
        <v>30</v>
      </c>
      <c r="C73" s="1197">
        <f>+'Table 8 Membership 2.1.14'!V69</f>
        <v>0</v>
      </c>
      <c r="D73" s="1198">
        <f>+'Table 5C1A-Madison Prep'!D73</f>
        <v>5029.1467736134118</v>
      </c>
      <c r="E73" s="1199">
        <f t="shared" si="55"/>
        <v>0</v>
      </c>
      <c r="F73" s="1199">
        <f>+'Table 5C1A-Madison Prep'!F73</f>
        <v>715.61</v>
      </c>
      <c r="G73" s="1199">
        <f t="shared" si="56"/>
        <v>0</v>
      </c>
      <c r="H73" s="1403">
        <f t="shared" si="57"/>
        <v>0</v>
      </c>
      <c r="I73" s="1200"/>
      <c r="J73" s="1200"/>
      <c r="K73" s="1201">
        <f t="shared" si="58"/>
        <v>0</v>
      </c>
      <c r="L73" s="1403">
        <f t="shared" si="59"/>
        <v>0</v>
      </c>
      <c r="M73" s="1423">
        <f t="shared" si="60"/>
        <v>0</v>
      </c>
      <c r="N73" s="1403">
        <f t="shared" si="61"/>
        <v>0</v>
      </c>
      <c r="O73" s="1198">
        <v>0</v>
      </c>
      <c r="P73" s="1398">
        <f t="shared" si="62"/>
        <v>0</v>
      </c>
      <c r="Q73" s="1200"/>
      <c r="R73" s="1200">
        <f t="shared" si="63"/>
        <v>0</v>
      </c>
      <c r="S73" s="1398">
        <f t="shared" si="64"/>
        <v>0</v>
      </c>
      <c r="T73" s="1398">
        <f t="shared" si="65"/>
        <v>0</v>
      </c>
      <c r="U73" s="1389">
        <f>'Table 5C1A-Madison Prep'!U73</f>
        <v>5015</v>
      </c>
      <c r="V73" s="1515">
        <f t="shared" si="66"/>
        <v>0</v>
      </c>
      <c r="W73" s="1391"/>
      <c r="X73" s="1392">
        <f t="shared" si="67"/>
        <v>0</v>
      </c>
      <c r="Y73" s="1391"/>
      <c r="Z73" s="1392">
        <f t="shared" si="51"/>
        <v>0</v>
      </c>
      <c r="AA73" s="1390">
        <f t="shared" si="52"/>
        <v>0</v>
      </c>
      <c r="AB73" s="1510">
        <f t="shared" si="53"/>
        <v>0</v>
      </c>
      <c r="AC73" s="1394">
        <f t="shared" si="54"/>
        <v>0</v>
      </c>
      <c r="AD73" s="1510">
        <f t="shared" si="68"/>
        <v>0</v>
      </c>
      <c r="AE73" s="1395">
        <v>0</v>
      </c>
      <c r="AF73" s="1510">
        <f t="shared" si="69"/>
        <v>0</v>
      </c>
      <c r="AG73" s="1395"/>
      <c r="AH73" s="1395">
        <f t="shared" si="70"/>
        <v>0</v>
      </c>
      <c r="AI73" s="1510">
        <f t="shared" si="71"/>
        <v>0</v>
      </c>
      <c r="AJ73" s="1505">
        <f t="shared" si="72"/>
        <v>0</v>
      </c>
      <c r="AK73" s="1505">
        <f t="shared" si="73"/>
        <v>0</v>
      </c>
    </row>
    <row r="74" spans="1:37" ht="16.2" customHeight="1">
      <c r="A74" s="1176">
        <v>68</v>
      </c>
      <c r="B74" s="1177" t="s">
        <v>28</v>
      </c>
      <c r="C74" s="1197">
        <f>+'Table 8 Membership 2.1.14'!V70</f>
        <v>0</v>
      </c>
      <c r="D74" s="1198">
        <f>+'Table 5C1A-Madison Prep'!D74</f>
        <v>6390.1644202560601</v>
      </c>
      <c r="E74" s="1199">
        <f t="shared" si="55"/>
        <v>0</v>
      </c>
      <c r="F74" s="1199">
        <f>+'Table 5C1A-Madison Prep'!F74</f>
        <v>798.7</v>
      </c>
      <c r="G74" s="1199">
        <f t="shared" si="56"/>
        <v>0</v>
      </c>
      <c r="H74" s="1403">
        <f t="shared" si="57"/>
        <v>0</v>
      </c>
      <c r="I74" s="1200"/>
      <c r="J74" s="1200"/>
      <c r="K74" s="1201">
        <f t="shared" si="58"/>
        <v>0</v>
      </c>
      <c r="L74" s="1403">
        <f t="shared" si="59"/>
        <v>0</v>
      </c>
      <c r="M74" s="1423">
        <f t="shared" si="60"/>
        <v>0</v>
      </c>
      <c r="N74" s="1403">
        <f t="shared" si="61"/>
        <v>0</v>
      </c>
      <c r="O74" s="1198">
        <v>0</v>
      </c>
      <c r="P74" s="1398">
        <f t="shared" si="62"/>
        <v>0</v>
      </c>
      <c r="Q74" s="1200"/>
      <c r="R74" s="1200">
        <f t="shared" si="63"/>
        <v>0</v>
      </c>
      <c r="S74" s="1398">
        <f t="shared" si="64"/>
        <v>0</v>
      </c>
      <c r="T74" s="1398">
        <f t="shared" si="65"/>
        <v>0</v>
      </c>
      <c r="U74" s="1389">
        <f>'Table 5C1A-Madison Prep'!U74</f>
        <v>2669</v>
      </c>
      <c r="V74" s="1515">
        <f t="shared" si="66"/>
        <v>0</v>
      </c>
      <c r="W74" s="1391"/>
      <c r="X74" s="1392">
        <f t="shared" si="67"/>
        <v>0</v>
      </c>
      <c r="Y74" s="1391"/>
      <c r="Z74" s="1392">
        <f t="shared" si="51"/>
        <v>0</v>
      </c>
      <c r="AA74" s="1390">
        <f t="shared" si="52"/>
        <v>0</v>
      </c>
      <c r="AB74" s="1510">
        <f t="shared" si="53"/>
        <v>0</v>
      </c>
      <c r="AC74" s="1394">
        <f t="shared" si="54"/>
        <v>0</v>
      </c>
      <c r="AD74" s="1510">
        <f t="shared" si="68"/>
        <v>0</v>
      </c>
      <c r="AE74" s="1395">
        <v>0</v>
      </c>
      <c r="AF74" s="1510">
        <f t="shared" si="69"/>
        <v>0</v>
      </c>
      <c r="AG74" s="1395"/>
      <c r="AH74" s="1395">
        <f t="shared" si="70"/>
        <v>0</v>
      </c>
      <c r="AI74" s="1510">
        <f t="shared" si="71"/>
        <v>0</v>
      </c>
      <c r="AJ74" s="1505">
        <f t="shared" si="72"/>
        <v>0</v>
      </c>
      <c r="AK74" s="1505">
        <f t="shared" si="73"/>
        <v>0</v>
      </c>
    </row>
    <row r="75" spans="1:37" ht="16.2" customHeight="1">
      <c r="A75" s="1190">
        <v>69</v>
      </c>
      <c r="B75" s="1191" t="s">
        <v>183</v>
      </c>
      <c r="C75" s="1192">
        <f>+'Table 8 Membership 2.1.14'!V71</f>
        <v>1</v>
      </c>
      <c r="D75" s="1193">
        <f>+'Table 5C1A-Madison Prep'!D75</f>
        <v>5722.4947921281337</v>
      </c>
      <c r="E75" s="1194">
        <f t="shared" si="55"/>
        <v>5722.4947921281337</v>
      </c>
      <c r="F75" s="1194">
        <f>+'Table 5C1A-Madison Prep'!F75</f>
        <v>705.67</v>
      </c>
      <c r="G75" s="1194">
        <f t="shared" si="56"/>
        <v>705.67</v>
      </c>
      <c r="H75" s="1541">
        <f t="shared" si="57"/>
        <v>6428.1647921281337</v>
      </c>
      <c r="I75" s="1195"/>
      <c r="J75" s="1195"/>
      <c r="K75" s="1196">
        <f t="shared" si="58"/>
        <v>0</v>
      </c>
      <c r="L75" s="1541">
        <f t="shared" si="59"/>
        <v>6428.1647921281337</v>
      </c>
      <c r="M75" s="1405">
        <f t="shared" si="60"/>
        <v>-16.070411980320333</v>
      </c>
      <c r="N75" s="1541">
        <f t="shared" si="61"/>
        <v>6412.0943801478134</v>
      </c>
      <c r="O75" s="1193">
        <v>0</v>
      </c>
      <c r="P75" s="1547">
        <f t="shared" si="62"/>
        <v>6412.0943801478134</v>
      </c>
      <c r="Q75" s="1195"/>
      <c r="R75" s="1195">
        <f t="shared" si="63"/>
        <v>6412.0943801478134</v>
      </c>
      <c r="S75" s="1547">
        <f t="shared" si="64"/>
        <v>534</v>
      </c>
      <c r="T75" s="1547">
        <f t="shared" si="65"/>
        <v>6412.0943801478134</v>
      </c>
      <c r="U75" s="653">
        <f>'Table 5C1A-Madison Prep'!U75</f>
        <v>3394</v>
      </c>
      <c r="V75" s="1517">
        <f t="shared" si="66"/>
        <v>3394</v>
      </c>
      <c r="W75" s="1407"/>
      <c r="X75" s="1408">
        <f t="shared" si="67"/>
        <v>0</v>
      </c>
      <c r="Y75" s="1407"/>
      <c r="Z75" s="1408">
        <f>+U75*Y75*0.5</f>
        <v>0</v>
      </c>
      <c r="AA75" s="1406">
        <f t="shared" ref="AA75" si="74">+X75+Z75</f>
        <v>0</v>
      </c>
      <c r="AB75" s="1512">
        <f t="shared" ref="AB75" si="75">+V75+AA75</f>
        <v>3394</v>
      </c>
      <c r="AC75" s="1410">
        <f>-(0.25%*AB75)</f>
        <v>-8.4849999999999994</v>
      </c>
      <c r="AD75" s="1512">
        <f t="shared" si="68"/>
        <v>3385.5149999999999</v>
      </c>
      <c r="AE75" s="1416">
        <v>0</v>
      </c>
      <c r="AF75" s="1512">
        <f t="shared" si="69"/>
        <v>3385.5149999999999</v>
      </c>
      <c r="AG75" s="1416"/>
      <c r="AH75" s="1416">
        <f t="shared" si="70"/>
        <v>3385.5149999999999</v>
      </c>
      <c r="AI75" s="1512">
        <f t="shared" si="71"/>
        <v>282</v>
      </c>
      <c r="AJ75" s="1506">
        <f t="shared" si="72"/>
        <v>9797.6093801478128</v>
      </c>
      <c r="AK75" s="1506">
        <f t="shared" si="73"/>
        <v>816</v>
      </c>
    </row>
    <row r="76" spans="1:37" ht="16.2" customHeight="1" thickBot="1">
      <c r="A76" s="2221" t="s">
        <v>1045</v>
      </c>
      <c r="B76" s="2194"/>
      <c r="C76" s="470">
        <f>SUM(C7:C75)</f>
        <v>130</v>
      </c>
      <c r="D76" s="471">
        <f>+'Table 5C1A-Madison Prep'!D76</f>
        <v>4479.9292126977662</v>
      </c>
      <c r="E76" s="480">
        <f>SUM(E7:E75)</f>
        <v>458083.21207158908</v>
      </c>
      <c r="F76" s="480">
        <f>+'Table 5C1A-Madison Prep'!F76</f>
        <v>704.64781030742063</v>
      </c>
      <c r="G76" s="480">
        <f t="shared" ref="G76:R76" si="76">SUM(G7:G75)</f>
        <v>101680.04914057913</v>
      </c>
      <c r="H76" s="1542">
        <f t="shared" si="76"/>
        <v>559763.26121216826</v>
      </c>
      <c r="I76" s="640">
        <f t="shared" si="76"/>
        <v>0</v>
      </c>
      <c r="J76" s="640">
        <f t="shared" si="76"/>
        <v>0</v>
      </c>
      <c r="K76" s="616">
        <f t="shared" si="76"/>
        <v>0</v>
      </c>
      <c r="L76" s="1560">
        <f t="shared" si="76"/>
        <v>559763.26121216826</v>
      </c>
      <c r="M76" s="481">
        <f t="shared" si="76"/>
        <v>-1399.4081530304209</v>
      </c>
      <c r="N76" s="1542">
        <f t="shared" si="76"/>
        <v>558363.85305913794</v>
      </c>
      <c r="O76" s="471">
        <f t="shared" si="76"/>
        <v>0</v>
      </c>
      <c r="P76" s="1548">
        <f t="shared" si="76"/>
        <v>558363.85305913794</v>
      </c>
      <c r="Q76" s="640"/>
      <c r="R76" s="640">
        <f t="shared" si="76"/>
        <v>558363.85305913794</v>
      </c>
      <c r="S76" s="1548">
        <f>SUM(S7:S75)</f>
        <v>46530</v>
      </c>
      <c r="T76" s="1548">
        <f>SUM(T7:T75)</f>
        <v>558363.85305913794</v>
      </c>
      <c r="U76" s="658">
        <f>'Table 5C1A-Madison Prep'!U76</f>
        <v>4663</v>
      </c>
      <c r="V76" s="1518">
        <f t="shared" ref="V76:AK76" si="77">SUM(V7:V75)</f>
        <v>879287</v>
      </c>
      <c r="W76" s="646">
        <f t="shared" si="77"/>
        <v>0</v>
      </c>
      <c r="X76" s="647">
        <f t="shared" si="77"/>
        <v>0</v>
      </c>
      <c r="Y76" s="646">
        <f t="shared" si="77"/>
        <v>0</v>
      </c>
      <c r="Z76" s="647">
        <f t="shared" si="77"/>
        <v>0</v>
      </c>
      <c r="AA76" s="633">
        <f t="shared" si="77"/>
        <v>0</v>
      </c>
      <c r="AB76" s="1520">
        <f t="shared" si="77"/>
        <v>879287</v>
      </c>
      <c r="AC76" s="482">
        <f t="shared" si="77"/>
        <v>-2198.2175000000002</v>
      </c>
      <c r="AD76" s="1518">
        <f t="shared" si="77"/>
        <v>877088.78249999997</v>
      </c>
      <c r="AE76" s="660">
        <f t="shared" si="77"/>
        <v>0</v>
      </c>
      <c r="AF76" s="1518">
        <f t="shared" si="77"/>
        <v>877088.78249999997</v>
      </c>
      <c r="AG76" s="647">
        <f t="shared" si="77"/>
        <v>0</v>
      </c>
      <c r="AH76" s="647">
        <f t="shared" si="77"/>
        <v>877088.78249999997</v>
      </c>
      <c r="AI76" s="1518">
        <f t="shared" si="77"/>
        <v>73091</v>
      </c>
      <c r="AJ76" s="1532">
        <f t="shared" si="77"/>
        <v>1435452.6355591379</v>
      </c>
      <c r="AK76" s="1532">
        <f t="shared" si="77"/>
        <v>119621</v>
      </c>
    </row>
    <row r="77" spans="1:37" s="608" customFormat="1" ht="16.2" customHeight="1" thickTop="1">
      <c r="A77" s="2330" t="s">
        <v>1039</v>
      </c>
      <c r="B77" s="2338"/>
      <c r="C77" s="1425"/>
      <c r="D77" s="1198"/>
      <c r="E77" s="1198"/>
      <c r="F77" s="1198"/>
      <c r="G77" s="1198"/>
      <c r="H77" s="1198"/>
      <c r="I77" s="1200"/>
      <c r="J77" s="1200"/>
      <c r="K77" s="1200"/>
      <c r="L77" s="1198"/>
      <c r="M77" s="1200"/>
      <c r="N77" s="1198"/>
      <c r="O77" s="1198"/>
      <c r="P77" s="1398">
        <f>'Table 4 Level 4'!$E111</f>
        <v>0</v>
      </c>
      <c r="Q77" s="1200"/>
      <c r="R77" s="1200">
        <f t="shared" ref="R77" si="78">+P77-Q77</f>
        <v>0</v>
      </c>
      <c r="S77" s="1398">
        <f t="shared" ref="S77" si="79">ROUND(R77/12,0)</f>
        <v>0</v>
      </c>
      <c r="T77" s="1398">
        <f>'Table 4 Level 4'!$E111</f>
        <v>0</v>
      </c>
      <c r="U77" s="1389"/>
      <c r="V77" s="1392"/>
      <c r="W77" s="1391"/>
      <c r="X77" s="1392"/>
      <c r="Y77" s="1391"/>
      <c r="Z77" s="1392"/>
      <c r="AA77" s="1392"/>
      <c r="AB77" s="1395"/>
      <c r="AC77" s="1392"/>
      <c r="AD77" s="1395"/>
      <c r="AE77" s="1395"/>
      <c r="AF77" s="1395"/>
      <c r="AG77" s="1395"/>
      <c r="AH77" s="1395"/>
      <c r="AI77" s="1395"/>
      <c r="AJ77" s="1505">
        <f t="shared" ref="AJ77:AJ81" si="80">T77+AF77</f>
        <v>0</v>
      </c>
      <c r="AK77" s="1505">
        <f t="shared" ref="AK77:AK81" si="81">S77+AI77</f>
        <v>0</v>
      </c>
    </row>
    <row r="78" spans="1:37" s="608" customFormat="1" ht="16.2" customHeight="1">
      <c r="A78" s="2332" t="s">
        <v>1040</v>
      </c>
      <c r="B78" s="2339"/>
      <c r="C78" s="1425"/>
      <c r="D78" s="1198"/>
      <c r="E78" s="1198"/>
      <c r="F78" s="1198"/>
      <c r="G78" s="1198"/>
      <c r="H78" s="1198"/>
      <c r="I78" s="1200"/>
      <c r="J78" s="1200"/>
      <c r="K78" s="1200"/>
      <c r="L78" s="1198"/>
      <c r="M78" s="1200"/>
      <c r="N78" s="1198"/>
      <c r="O78" s="1198"/>
      <c r="P78" s="1200">
        <v>0</v>
      </c>
      <c r="Q78" s="1200"/>
      <c r="R78" s="1200"/>
      <c r="S78" s="1200">
        <v>0</v>
      </c>
      <c r="T78" s="1398">
        <f>'Table 4 Level 4'!$J111</f>
        <v>0</v>
      </c>
      <c r="U78" s="1389"/>
      <c r="V78" s="1392"/>
      <c r="W78" s="1391"/>
      <c r="X78" s="1392"/>
      <c r="Y78" s="1391"/>
      <c r="Z78" s="1392"/>
      <c r="AA78" s="1392"/>
      <c r="AB78" s="1395"/>
      <c r="AC78" s="1392"/>
      <c r="AD78" s="1395"/>
      <c r="AE78" s="1395"/>
      <c r="AF78" s="1395"/>
      <c r="AG78" s="1395"/>
      <c r="AH78" s="1395"/>
      <c r="AI78" s="1395"/>
      <c r="AJ78" s="1505">
        <f t="shared" si="80"/>
        <v>0</v>
      </c>
      <c r="AK78" s="1395"/>
    </row>
    <row r="79" spans="1:37" s="608" customFormat="1" ht="16.2" customHeight="1">
      <c r="A79" s="2332" t="s">
        <v>1041</v>
      </c>
      <c r="B79" s="2339"/>
      <c r="C79" s="1425"/>
      <c r="D79" s="1198"/>
      <c r="E79" s="1198"/>
      <c r="F79" s="1198"/>
      <c r="G79" s="1198"/>
      <c r="H79" s="1198"/>
      <c r="I79" s="1200"/>
      <c r="J79" s="1200"/>
      <c r="K79" s="1200"/>
      <c r="L79" s="1198"/>
      <c r="M79" s="1200"/>
      <c r="N79" s="1198"/>
      <c r="O79" s="1198"/>
      <c r="P79" s="1200">
        <v>0</v>
      </c>
      <c r="Q79" s="1200"/>
      <c r="R79" s="1200"/>
      <c r="S79" s="1200">
        <v>0</v>
      </c>
      <c r="T79" s="1398">
        <f>'Table 4 Level 4'!$K111</f>
        <v>0</v>
      </c>
      <c r="U79" s="1389"/>
      <c r="V79" s="1392"/>
      <c r="W79" s="1391"/>
      <c r="X79" s="1392"/>
      <c r="Y79" s="1391"/>
      <c r="Z79" s="1392"/>
      <c r="AA79" s="1392"/>
      <c r="AB79" s="1395"/>
      <c r="AC79" s="1392"/>
      <c r="AD79" s="1395"/>
      <c r="AE79" s="1395"/>
      <c r="AF79" s="1395"/>
      <c r="AG79" s="1395"/>
      <c r="AH79" s="1395"/>
      <c r="AI79" s="1395"/>
      <c r="AJ79" s="1505">
        <f t="shared" si="80"/>
        <v>0</v>
      </c>
      <c r="AK79" s="1395"/>
    </row>
    <row r="80" spans="1:37" s="608" customFormat="1" ht="16.2" customHeight="1">
      <c r="A80" s="2332" t="s">
        <v>1042</v>
      </c>
      <c r="B80" s="2339"/>
      <c r="C80" s="1425"/>
      <c r="D80" s="1198"/>
      <c r="E80" s="1198"/>
      <c r="F80" s="1198"/>
      <c r="G80" s="1198"/>
      <c r="H80" s="1198"/>
      <c r="I80" s="1200"/>
      <c r="J80" s="1200"/>
      <c r="K80" s="1200"/>
      <c r="L80" s="1198"/>
      <c r="M80" s="1200"/>
      <c r="N80" s="1198"/>
      <c r="O80" s="1198"/>
      <c r="P80" s="1200">
        <v>0</v>
      </c>
      <c r="Q80" s="1200"/>
      <c r="R80" s="1200"/>
      <c r="S80" s="1200">
        <v>0</v>
      </c>
      <c r="T80" s="1398">
        <f>'Table 4 Level 4'!$L111</f>
        <v>0</v>
      </c>
      <c r="U80" s="1389"/>
      <c r="V80" s="1392"/>
      <c r="W80" s="1391"/>
      <c r="X80" s="1392"/>
      <c r="Y80" s="1391"/>
      <c r="Z80" s="1392"/>
      <c r="AA80" s="1392"/>
      <c r="AB80" s="1395"/>
      <c r="AC80" s="1392"/>
      <c r="AD80" s="1395"/>
      <c r="AE80" s="1395"/>
      <c r="AF80" s="1395"/>
      <c r="AG80" s="1395"/>
      <c r="AH80" s="1395"/>
      <c r="AI80" s="1395"/>
      <c r="AJ80" s="1505">
        <f t="shared" si="80"/>
        <v>0</v>
      </c>
      <c r="AK80" s="1395"/>
    </row>
    <row r="81" spans="1:37" s="608" customFormat="1" ht="16.2" customHeight="1">
      <c r="A81" s="2340" t="s">
        <v>1043</v>
      </c>
      <c r="B81" s="2341"/>
      <c r="C81" s="1417"/>
      <c r="D81" s="1193"/>
      <c r="E81" s="1193"/>
      <c r="F81" s="1193"/>
      <c r="G81" s="1193"/>
      <c r="H81" s="1193"/>
      <c r="I81" s="1195"/>
      <c r="J81" s="1195"/>
      <c r="K81" s="1195"/>
      <c r="L81" s="1193"/>
      <c r="M81" s="1195"/>
      <c r="N81" s="1193"/>
      <c r="O81" s="1193"/>
      <c r="P81" s="1547">
        <f>'Table 4 Level 4'!$N111</f>
        <v>0</v>
      </c>
      <c r="Q81" s="1195"/>
      <c r="R81" s="1195">
        <f t="shared" ref="R81" si="82">+P81-Q81</f>
        <v>0</v>
      </c>
      <c r="S81" s="1547">
        <f t="shared" ref="S81" si="83">ROUND(R81/12,0)</f>
        <v>0</v>
      </c>
      <c r="T81" s="1547">
        <f>'Table 4 Level 4'!$N111</f>
        <v>0</v>
      </c>
      <c r="U81" s="1418"/>
      <c r="V81" s="1408"/>
      <c r="W81" s="1407"/>
      <c r="X81" s="1408"/>
      <c r="Y81" s="1407"/>
      <c r="Z81" s="1408"/>
      <c r="AA81" s="1408"/>
      <c r="AB81" s="1416"/>
      <c r="AC81" s="1408"/>
      <c r="AD81" s="1416"/>
      <c r="AE81" s="1416"/>
      <c r="AF81" s="1416"/>
      <c r="AG81" s="1416"/>
      <c r="AH81" s="1416"/>
      <c r="AI81" s="1416"/>
      <c r="AJ81" s="1506">
        <f t="shared" si="80"/>
        <v>0</v>
      </c>
      <c r="AK81" s="1506">
        <f t="shared" si="81"/>
        <v>0</v>
      </c>
    </row>
    <row r="82" spans="1:37" s="608" customFormat="1" ht="16.2" customHeight="1" thickBot="1">
      <c r="A82" s="2221" t="s">
        <v>1044</v>
      </c>
      <c r="B82" s="2194"/>
      <c r="C82" s="1052">
        <f>SUM(C76:C81)</f>
        <v>130</v>
      </c>
      <c r="D82" s="1046">
        <f t="shared" ref="D82:AK82" si="84">SUM(D76:D81)</f>
        <v>4479.9292126977662</v>
      </c>
      <c r="E82" s="1046">
        <f t="shared" si="84"/>
        <v>458083.21207158908</v>
      </c>
      <c r="F82" s="1046">
        <f t="shared" si="84"/>
        <v>704.64781030742063</v>
      </c>
      <c r="G82" s="1046">
        <f t="shared" si="84"/>
        <v>101680.04914057913</v>
      </c>
      <c r="H82" s="1046">
        <f t="shared" si="84"/>
        <v>559763.26121216826</v>
      </c>
      <c r="I82" s="1053">
        <f t="shared" si="84"/>
        <v>0</v>
      </c>
      <c r="J82" s="1053">
        <f t="shared" si="84"/>
        <v>0</v>
      </c>
      <c r="K82" s="1053">
        <f t="shared" si="84"/>
        <v>0</v>
      </c>
      <c r="L82" s="1046">
        <f t="shared" si="84"/>
        <v>559763.26121216826</v>
      </c>
      <c r="M82" s="1053">
        <f t="shared" si="84"/>
        <v>-1399.4081530304209</v>
      </c>
      <c r="N82" s="1046">
        <f t="shared" si="84"/>
        <v>558363.85305913794</v>
      </c>
      <c r="O82" s="1046">
        <f t="shared" si="84"/>
        <v>0</v>
      </c>
      <c r="P82" s="1549">
        <f t="shared" si="84"/>
        <v>558363.85305913794</v>
      </c>
      <c r="Q82" s="1053">
        <f t="shared" si="84"/>
        <v>0</v>
      </c>
      <c r="R82" s="1053">
        <f t="shared" si="84"/>
        <v>558363.85305913794</v>
      </c>
      <c r="S82" s="1549">
        <f t="shared" si="84"/>
        <v>46530</v>
      </c>
      <c r="T82" s="1549">
        <f t="shared" si="84"/>
        <v>558363.85305913794</v>
      </c>
      <c r="U82" s="1058">
        <f t="shared" si="84"/>
        <v>4663</v>
      </c>
      <c r="V82" s="1055">
        <f t="shared" si="84"/>
        <v>879287</v>
      </c>
      <c r="W82" s="1057">
        <f t="shared" si="84"/>
        <v>0</v>
      </c>
      <c r="X82" s="1055">
        <f t="shared" si="84"/>
        <v>0</v>
      </c>
      <c r="Y82" s="1057">
        <f t="shared" si="84"/>
        <v>0</v>
      </c>
      <c r="Z82" s="1055">
        <f t="shared" si="84"/>
        <v>0</v>
      </c>
      <c r="AA82" s="1055">
        <f t="shared" si="84"/>
        <v>0</v>
      </c>
      <c r="AB82" s="1055">
        <f t="shared" si="84"/>
        <v>879287</v>
      </c>
      <c r="AC82" s="1055">
        <f t="shared" si="84"/>
        <v>-2198.2175000000002</v>
      </c>
      <c r="AD82" s="1055">
        <f t="shared" si="84"/>
        <v>877088.78249999997</v>
      </c>
      <c r="AE82" s="1055">
        <f t="shared" si="84"/>
        <v>0</v>
      </c>
      <c r="AF82" s="1055">
        <f t="shared" si="84"/>
        <v>877088.78249999997</v>
      </c>
      <c r="AG82" s="1055">
        <f t="shared" si="84"/>
        <v>0</v>
      </c>
      <c r="AH82" s="1055">
        <f t="shared" si="84"/>
        <v>877088.78249999997</v>
      </c>
      <c r="AI82" s="1055">
        <f t="shared" si="84"/>
        <v>73091</v>
      </c>
      <c r="AJ82" s="1504">
        <f t="shared" si="84"/>
        <v>1435452.6355591379</v>
      </c>
      <c r="AK82" s="1504">
        <f t="shared" si="84"/>
        <v>119621</v>
      </c>
    </row>
    <row r="83" spans="1:37" ht="16.2" customHeight="1" thickTop="1"/>
    <row r="84" spans="1:37" ht="16.2" customHeight="1"/>
    <row r="85" spans="1:37" ht="16.2" customHeight="1"/>
    <row r="86" spans="1:37" ht="16.2" customHeight="1"/>
  </sheetData>
  <mergeCells count="43">
    <mergeCell ref="A1:B4"/>
    <mergeCell ref="K3:K4"/>
    <mergeCell ref="L3:L4"/>
    <mergeCell ref="C3:C4"/>
    <mergeCell ref="C1:L1"/>
    <mergeCell ref="S3:S4"/>
    <mergeCell ref="U3:U4"/>
    <mergeCell ref="T3:T4"/>
    <mergeCell ref="M1:T1"/>
    <mergeCell ref="AG3:AG4"/>
    <mergeCell ref="AH3:AH4"/>
    <mergeCell ref="AI3:AI4"/>
    <mergeCell ref="U1:AB1"/>
    <mergeCell ref="AC1:AI1"/>
    <mergeCell ref="AJ1:AJ4"/>
    <mergeCell ref="W3:W4"/>
    <mergeCell ref="X3:X4"/>
    <mergeCell ref="Y3:Y4"/>
    <mergeCell ref="Z3:Z4"/>
    <mergeCell ref="AB3:AB4"/>
    <mergeCell ref="AK1:AK4"/>
    <mergeCell ref="D3:D4"/>
    <mergeCell ref="E3:E4"/>
    <mergeCell ref="F3:F4"/>
    <mergeCell ref="G3:G4"/>
    <mergeCell ref="AD3:AD4"/>
    <mergeCell ref="AE3:AE4"/>
    <mergeCell ref="AF3:AF4"/>
    <mergeCell ref="H3:H4"/>
    <mergeCell ref="N3:N4"/>
    <mergeCell ref="O3:O4"/>
    <mergeCell ref="I2:K2"/>
    <mergeCell ref="I3:I4"/>
    <mergeCell ref="J3:J4"/>
    <mergeCell ref="P3:P4"/>
    <mergeCell ref="W2:AA2"/>
    <mergeCell ref="A82:B82"/>
    <mergeCell ref="A76:B76"/>
    <mergeCell ref="A77:B77"/>
    <mergeCell ref="A78:B78"/>
    <mergeCell ref="A79:B79"/>
    <mergeCell ref="A80:B80"/>
    <mergeCell ref="A81:B81"/>
  </mergeCells>
  <printOptions horizontalCentered="1"/>
  <pageMargins left="0.32" right="0.32" top="0.75" bottom="0.75" header="0.3" footer="0.3"/>
  <pageSetup paperSize="5" scale="60" firstPageNumber="56" orientation="portrait" r:id="rId1"/>
  <headerFooter>
    <oddHeader>&amp;L&amp;"Arial,Bold"&amp;20&amp;K000000Table 5C1-I: FY2014-15 MFP Budget Letter 
Louisiana Key Academy</oddHeader>
    <oddFooter>&amp;R&amp;P</oddFooter>
  </headerFooter>
  <colBreaks count="3" manualBreakCount="3">
    <brk id="12" max="1048575" man="1"/>
    <brk id="20" max="1048575" man="1"/>
    <brk id="28" max="8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K86"/>
  <sheetViews>
    <sheetView view="pageBreakPreview" zoomScale="80" zoomScaleNormal="100" zoomScaleSheetLayoutView="80" workbookViewId="0">
      <pane xSplit="2" ySplit="6" topLeftCell="C7" activePane="bottomRight" state="frozen"/>
      <selection sqref="A1:H1"/>
      <selection pane="topRight" sqref="A1:H1"/>
      <selection pane="bottomLeft" sqref="A1:H1"/>
      <selection pane="bottomRight" sqref="A1:H1"/>
    </sheetView>
  </sheetViews>
  <sheetFormatPr defaultColWidth="8.88671875" defaultRowHeight="13.2"/>
  <cols>
    <col min="1" max="1" width="5" style="520" customWidth="1"/>
    <col min="2" max="2" width="37.6640625" style="520" customWidth="1"/>
    <col min="3" max="3" width="12" style="520" customWidth="1"/>
    <col min="4" max="4" width="13.6640625" style="520" customWidth="1"/>
    <col min="5" max="5" width="9.88671875" style="520" customWidth="1"/>
    <col min="6" max="7" width="12.33203125" style="520" customWidth="1"/>
    <col min="8" max="8" width="11.5546875" style="520" customWidth="1"/>
    <col min="9" max="12" width="11.88671875" style="608" customWidth="1"/>
    <col min="13" max="13" width="10.88671875" style="520" bestFit="1" customWidth="1"/>
    <col min="14" max="14" width="13.109375" style="520" customWidth="1"/>
    <col min="15" max="15" width="13.44140625" style="520" bestFit="1" customWidth="1"/>
    <col min="16" max="16" width="14.6640625" style="520" customWidth="1"/>
    <col min="17" max="18" width="14" style="608" customWidth="1"/>
    <col min="19" max="19" width="10.6640625" style="520" customWidth="1"/>
    <col min="20" max="20" width="14.88671875" style="608" customWidth="1"/>
    <col min="21" max="22" width="14.5546875" style="520" customWidth="1"/>
    <col min="23" max="27" width="11.6640625" style="608" customWidth="1"/>
    <col min="28" max="28" width="14.44140625" style="608" bestFit="1" customWidth="1"/>
    <col min="29" max="29" width="10.5546875" style="520" customWidth="1"/>
    <col min="30" max="30" width="14.44140625" style="520" bestFit="1" customWidth="1"/>
    <col min="31" max="31" width="11.88671875" style="520" bestFit="1" customWidth="1"/>
    <col min="32" max="32" width="14.44140625" style="520" bestFit="1" customWidth="1"/>
    <col min="33" max="33" width="9.5546875" style="608" bestFit="1" customWidth="1"/>
    <col min="34" max="34" width="9.33203125" style="608" bestFit="1" customWidth="1"/>
    <col min="35" max="37" width="14.44140625" style="520" bestFit="1" customWidth="1"/>
    <col min="38" max="16384" width="8.88671875" style="520"/>
  </cols>
  <sheetData>
    <row r="1" spans="1:37" ht="21.6" customHeight="1">
      <c r="A1" s="2367" t="s">
        <v>524</v>
      </c>
      <c r="B1" s="2368"/>
      <c r="C1" s="2319" t="s">
        <v>1089</v>
      </c>
      <c r="D1" s="2320"/>
      <c r="E1" s="2320"/>
      <c r="F1" s="2320"/>
      <c r="G1" s="2320"/>
      <c r="H1" s="2320"/>
      <c r="I1" s="2320"/>
      <c r="J1" s="2320"/>
      <c r="K1" s="2320"/>
      <c r="L1" s="2321"/>
      <c r="M1" s="2349" t="s">
        <v>1089</v>
      </c>
      <c r="N1" s="2350"/>
      <c r="O1" s="2350"/>
      <c r="P1" s="2350"/>
      <c r="Q1" s="2350"/>
      <c r="R1" s="2350"/>
      <c r="S1" s="2350"/>
      <c r="T1" s="2351"/>
      <c r="U1" s="2268" t="s">
        <v>1247</v>
      </c>
      <c r="V1" s="2266"/>
      <c r="W1" s="2266"/>
      <c r="X1" s="2266"/>
      <c r="Y1" s="2266"/>
      <c r="Z1" s="2266"/>
      <c r="AA1" s="2266"/>
      <c r="AB1" s="2267"/>
      <c r="AC1" s="2268" t="s">
        <v>1247</v>
      </c>
      <c r="AD1" s="2266"/>
      <c r="AE1" s="2266"/>
      <c r="AF1" s="2266"/>
      <c r="AG1" s="2266"/>
      <c r="AH1" s="2266"/>
      <c r="AI1" s="2267"/>
      <c r="AJ1" s="2302" t="s">
        <v>1272</v>
      </c>
      <c r="AK1" s="2302" t="s">
        <v>1273</v>
      </c>
    </row>
    <row r="2" spans="1:37" s="608" customFormat="1" ht="24.6" customHeight="1">
      <c r="A2" s="2369"/>
      <c r="B2" s="2370"/>
      <c r="C2" s="1565"/>
      <c r="D2" s="1566"/>
      <c r="E2" s="1566"/>
      <c r="F2" s="1566"/>
      <c r="G2" s="1566"/>
      <c r="H2" s="1566"/>
      <c r="I2" s="2334" t="s">
        <v>531</v>
      </c>
      <c r="J2" s="2335"/>
      <c r="K2" s="2336"/>
      <c r="L2" s="1567"/>
      <c r="M2" s="1565"/>
      <c r="N2" s="1566"/>
      <c r="O2" s="1566"/>
      <c r="P2" s="1566"/>
      <c r="Q2" s="1566"/>
      <c r="R2" s="1566"/>
      <c r="S2" s="1566"/>
      <c r="T2" s="1567"/>
      <c r="U2" s="1525"/>
      <c r="V2" s="1526"/>
      <c r="W2" s="2362" t="s">
        <v>531</v>
      </c>
      <c r="X2" s="2363"/>
      <c r="Y2" s="2363"/>
      <c r="Z2" s="2363"/>
      <c r="AA2" s="2364"/>
      <c r="AB2" s="1527"/>
      <c r="AC2" s="1525"/>
      <c r="AD2" s="1526"/>
      <c r="AE2" s="1526"/>
      <c r="AF2" s="1526"/>
      <c r="AG2" s="1526"/>
      <c r="AH2" s="1526"/>
      <c r="AI2" s="1527"/>
      <c r="AJ2" s="2303"/>
      <c r="AK2" s="2303"/>
    </row>
    <row r="3" spans="1:37" ht="148.94999999999999" customHeight="1">
      <c r="A3" s="2371"/>
      <c r="B3" s="2370"/>
      <c r="C3" s="2318" t="s">
        <v>933</v>
      </c>
      <c r="D3" s="2374" t="s">
        <v>1110</v>
      </c>
      <c r="E3" s="2318" t="s">
        <v>384</v>
      </c>
      <c r="F3" s="2306" t="s">
        <v>546</v>
      </c>
      <c r="G3" s="2306" t="s">
        <v>330</v>
      </c>
      <c r="H3" s="2306" t="s">
        <v>547</v>
      </c>
      <c r="I3" s="2299" t="s">
        <v>770</v>
      </c>
      <c r="J3" s="2299" t="s">
        <v>769</v>
      </c>
      <c r="K3" s="2299" t="s">
        <v>538</v>
      </c>
      <c r="L3" s="2300" t="s">
        <v>548</v>
      </c>
      <c r="M3" s="1496" t="s">
        <v>333</v>
      </c>
      <c r="N3" s="2306" t="s">
        <v>545</v>
      </c>
      <c r="O3" s="2307" t="s">
        <v>1036</v>
      </c>
      <c r="P3" s="2306" t="s">
        <v>1056</v>
      </c>
      <c r="Q3" s="1537" t="s">
        <v>760</v>
      </c>
      <c r="R3" s="1537" t="s">
        <v>761</v>
      </c>
      <c r="S3" s="2308" t="s">
        <v>544</v>
      </c>
      <c r="T3" s="2308" t="s">
        <v>1057</v>
      </c>
      <c r="U3" s="2309" t="s">
        <v>1267</v>
      </c>
      <c r="V3" s="1507" t="s">
        <v>1268</v>
      </c>
      <c r="W3" s="2312" t="s">
        <v>1253</v>
      </c>
      <c r="X3" s="2312" t="s">
        <v>1251</v>
      </c>
      <c r="Y3" s="2312" t="s">
        <v>1254</v>
      </c>
      <c r="Z3" s="2312" t="s">
        <v>1252</v>
      </c>
      <c r="AA3" s="1498" t="s">
        <v>551</v>
      </c>
      <c r="AB3" s="2313" t="s">
        <v>1269</v>
      </c>
      <c r="AC3" s="1507" t="s">
        <v>1094</v>
      </c>
      <c r="AD3" s="2309" t="s">
        <v>1270</v>
      </c>
      <c r="AE3" s="2307" t="s">
        <v>1036</v>
      </c>
      <c r="AF3" s="2309" t="s">
        <v>1271</v>
      </c>
      <c r="AG3" s="2322" t="s">
        <v>981</v>
      </c>
      <c r="AH3" s="2322" t="s">
        <v>761</v>
      </c>
      <c r="AI3" s="2322" t="s">
        <v>1242</v>
      </c>
      <c r="AJ3" s="2304"/>
      <c r="AK3" s="2304"/>
    </row>
    <row r="4" spans="1:37" ht="19.95" customHeight="1">
      <c r="A4" s="2372"/>
      <c r="B4" s="2373"/>
      <c r="C4" s="2318"/>
      <c r="D4" s="2301"/>
      <c r="E4" s="2318"/>
      <c r="F4" s="2301"/>
      <c r="G4" s="2301"/>
      <c r="H4" s="2301"/>
      <c r="I4" s="2251"/>
      <c r="J4" s="2251"/>
      <c r="K4" s="2251"/>
      <c r="L4" s="2301"/>
      <c r="M4" s="1568">
        <v>2.5000000000000001E-3</v>
      </c>
      <c r="N4" s="2301"/>
      <c r="O4" s="2251"/>
      <c r="P4" s="2301"/>
      <c r="Q4" s="1497"/>
      <c r="R4" s="1497"/>
      <c r="S4" s="2301"/>
      <c r="T4" s="2301"/>
      <c r="U4" s="2280"/>
      <c r="V4" s="1508"/>
      <c r="W4" s="2251"/>
      <c r="X4" s="2251"/>
      <c r="Y4" s="2251"/>
      <c r="Z4" s="2251"/>
      <c r="AA4" s="1494"/>
      <c r="AB4" s="2280" t="s">
        <v>537</v>
      </c>
      <c r="AC4" s="1570">
        <v>2.5000000000000001E-3</v>
      </c>
      <c r="AD4" s="2280"/>
      <c r="AE4" s="2251"/>
      <c r="AF4" s="2280"/>
      <c r="AG4" s="2323"/>
      <c r="AH4" s="2323"/>
      <c r="AI4" s="2323"/>
      <c r="AJ4" s="2305"/>
      <c r="AK4" s="2305"/>
    </row>
    <row r="5" spans="1:37" ht="14.25" customHeight="1">
      <c r="A5" s="463"/>
      <c r="B5" s="464"/>
      <c r="C5" s="465">
        <v>1</v>
      </c>
      <c r="D5" s="465">
        <f t="shared" ref="D5" si="0">C5+1</f>
        <v>2</v>
      </c>
      <c r="E5" s="465">
        <f>D5+1</f>
        <v>3</v>
      </c>
      <c r="F5" s="465">
        <f t="shared" ref="F5:P5" si="1">E5+1</f>
        <v>4</v>
      </c>
      <c r="G5" s="465">
        <f t="shared" si="1"/>
        <v>5</v>
      </c>
      <c r="H5" s="465">
        <f t="shared" si="1"/>
        <v>6</v>
      </c>
      <c r="I5" s="465">
        <f t="shared" ref="I5" si="2">H5+1</f>
        <v>7</v>
      </c>
      <c r="J5" s="465">
        <f t="shared" ref="J5" si="3">I5+1</f>
        <v>8</v>
      </c>
      <c r="K5" s="465">
        <f t="shared" ref="K5" si="4">J5+1</f>
        <v>9</v>
      </c>
      <c r="L5" s="465">
        <f t="shared" ref="L5" si="5">K5+1</f>
        <v>10</v>
      </c>
      <c r="M5" s="465">
        <f t="shared" ref="M5" si="6">L5+1</f>
        <v>11</v>
      </c>
      <c r="N5" s="465">
        <f t="shared" si="1"/>
        <v>12</v>
      </c>
      <c r="O5" s="465">
        <f t="shared" si="1"/>
        <v>13</v>
      </c>
      <c r="P5" s="465">
        <f t="shared" si="1"/>
        <v>14</v>
      </c>
      <c r="Q5" s="465">
        <f t="shared" ref="Q5" si="7">P5+1</f>
        <v>15</v>
      </c>
      <c r="R5" s="465">
        <f t="shared" ref="R5" si="8">Q5+1</f>
        <v>16</v>
      </c>
      <c r="S5" s="465">
        <f t="shared" ref="S5" si="9">R5+1</f>
        <v>17</v>
      </c>
      <c r="T5" s="465">
        <f t="shared" ref="T5" si="10">S5+1</f>
        <v>18</v>
      </c>
      <c r="U5" s="465">
        <f t="shared" ref="U5" si="11">T5+1</f>
        <v>19</v>
      </c>
      <c r="V5" s="465">
        <f t="shared" ref="V5" si="12">U5+1</f>
        <v>20</v>
      </c>
      <c r="W5" s="465">
        <f t="shared" ref="W5" si="13">V5+1</f>
        <v>21</v>
      </c>
      <c r="X5" s="465">
        <f t="shared" ref="X5" si="14">W5+1</f>
        <v>22</v>
      </c>
      <c r="Y5" s="465">
        <f t="shared" ref="Y5" si="15">X5+1</f>
        <v>23</v>
      </c>
      <c r="Z5" s="465">
        <f t="shared" ref="Z5" si="16">Y5+1</f>
        <v>24</v>
      </c>
      <c r="AA5" s="465">
        <f t="shared" ref="AA5" si="17">Z5+1</f>
        <v>25</v>
      </c>
      <c r="AB5" s="465">
        <f t="shared" ref="AB5" si="18">AA5+1</f>
        <v>26</v>
      </c>
      <c r="AC5" s="465">
        <f t="shared" ref="AC5" si="19">AB5+1</f>
        <v>27</v>
      </c>
      <c r="AD5" s="465">
        <f t="shared" ref="AD5" si="20">AC5+1</f>
        <v>28</v>
      </c>
      <c r="AE5" s="465">
        <f t="shared" ref="AE5" si="21">AD5+1</f>
        <v>29</v>
      </c>
      <c r="AF5" s="465">
        <f t="shared" ref="AF5" si="22">AE5+1</f>
        <v>30</v>
      </c>
      <c r="AG5" s="465">
        <f t="shared" ref="AG5" si="23">AF5+1</f>
        <v>31</v>
      </c>
      <c r="AH5" s="465">
        <f t="shared" ref="AH5" si="24">AG5+1</f>
        <v>32</v>
      </c>
      <c r="AI5" s="465">
        <f t="shared" ref="AI5" si="25">AH5+1</f>
        <v>33</v>
      </c>
      <c r="AJ5" s="465">
        <f t="shared" ref="AJ5" si="26">AI5+1</f>
        <v>34</v>
      </c>
      <c r="AK5" s="465">
        <f t="shared" ref="AK5" si="27">AJ5+1</f>
        <v>35</v>
      </c>
    </row>
    <row r="6" spans="1:37" ht="27" hidden="1" customHeight="1">
      <c r="A6" s="472"/>
      <c r="B6" s="473"/>
      <c r="C6" s="473"/>
      <c r="D6" s="473"/>
      <c r="E6" s="473"/>
      <c r="F6" s="473"/>
      <c r="G6" s="473"/>
      <c r="H6" s="473"/>
      <c r="I6" s="615"/>
      <c r="J6" s="615"/>
      <c r="K6" s="615"/>
      <c r="L6" s="615"/>
      <c r="M6" s="473"/>
      <c r="N6" s="473"/>
      <c r="O6" s="473"/>
      <c r="P6" s="473"/>
      <c r="Q6" s="615"/>
      <c r="R6" s="615"/>
      <c r="S6" s="473"/>
      <c r="T6" s="473"/>
      <c r="U6" s="473"/>
      <c r="V6" s="473"/>
      <c r="W6" s="615"/>
      <c r="X6" s="615"/>
      <c r="Y6" s="615"/>
      <c r="Z6" s="615"/>
      <c r="AA6" s="615"/>
      <c r="AB6" s="615"/>
      <c r="AC6" s="473"/>
      <c r="AD6" s="473"/>
      <c r="AE6" s="473"/>
      <c r="AF6" s="473"/>
      <c r="AG6" s="615"/>
      <c r="AH6" s="615"/>
      <c r="AI6" s="473"/>
      <c r="AJ6" s="473"/>
      <c r="AK6" s="473"/>
    </row>
    <row r="7" spans="1:37" ht="16.2" customHeight="1">
      <c r="A7" s="1183">
        <v>1</v>
      </c>
      <c r="B7" s="1184" t="s">
        <v>81</v>
      </c>
      <c r="C7" s="1185">
        <f>+'Table 8 Membership 2.1.14'!Q3</f>
        <v>0</v>
      </c>
      <c r="D7" s="1186">
        <f>+'Table 5C1A-Madison Prep'!D7</f>
        <v>4765.8584413349836</v>
      </c>
      <c r="E7" s="1187">
        <f>C7*D7</f>
        <v>0</v>
      </c>
      <c r="F7" s="1187">
        <f>+'Table 5C1A-Madison Prep'!F7</f>
        <v>777.48</v>
      </c>
      <c r="G7" s="1187">
        <f>C7*F7</f>
        <v>0</v>
      </c>
      <c r="H7" s="1538">
        <f>E7+G7</f>
        <v>0</v>
      </c>
      <c r="I7" s="1188"/>
      <c r="J7" s="1188"/>
      <c r="K7" s="1189">
        <f>+I7+J7</f>
        <v>0</v>
      </c>
      <c r="L7" s="1538">
        <f>+H7+K7</f>
        <v>0</v>
      </c>
      <c r="M7" s="1372">
        <f t="shared" ref="M7:M70" si="28">-(0.25%*L7)</f>
        <v>0</v>
      </c>
      <c r="N7" s="1538">
        <f>SUM(L7:M7)</f>
        <v>0</v>
      </c>
      <c r="O7" s="1186">
        <v>0</v>
      </c>
      <c r="P7" s="1544">
        <f>SUM(N7:O7)</f>
        <v>0</v>
      </c>
      <c r="Q7" s="1188"/>
      <c r="R7" s="1188">
        <f>+P7-Q7</f>
        <v>0</v>
      </c>
      <c r="S7" s="1544">
        <f>ROUND(R7/12,0)</f>
        <v>0</v>
      </c>
      <c r="T7" s="1544">
        <f>+P7</f>
        <v>0</v>
      </c>
      <c r="U7" s="1373">
        <f>'Table 5C1A-Madison Prep'!U7</f>
        <v>2409</v>
      </c>
      <c r="V7" s="1514">
        <f>C7*U7</f>
        <v>0</v>
      </c>
      <c r="W7" s="1375"/>
      <c r="X7" s="1376">
        <f>+U7*W7</f>
        <v>0</v>
      </c>
      <c r="Y7" s="1375"/>
      <c r="Z7" s="1376">
        <f>+U7*Y7*0.5</f>
        <v>0</v>
      </c>
      <c r="AA7" s="1374">
        <f>+X7+Z7</f>
        <v>0</v>
      </c>
      <c r="AB7" s="1509">
        <f>+V7+AA7</f>
        <v>0</v>
      </c>
      <c r="AC7" s="1378">
        <f>-(0.25%*AB7)</f>
        <v>0</v>
      </c>
      <c r="AD7" s="1509">
        <f>SUM(AB7:AC7)</f>
        <v>0</v>
      </c>
      <c r="AE7" s="1379">
        <v>0</v>
      </c>
      <c r="AF7" s="1509">
        <f>SUM(AD7:AE7)</f>
        <v>0</v>
      </c>
      <c r="AG7" s="1379"/>
      <c r="AH7" s="1379">
        <f>+AF7-AG7</f>
        <v>0</v>
      </c>
      <c r="AI7" s="1509">
        <f>ROUND(AH7/12,0)</f>
        <v>0</v>
      </c>
      <c r="AJ7" s="1530">
        <f>T7+AF7</f>
        <v>0</v>
      </c>
      <c r="AK7" s="1534">
        <f>S7+AI7</f>
        <v>0</v>
      </c>
    </row>
    <row r="8" spans="1:37" ht="16.2" customHeight="1">
      <c r="A8" s="1176">
        <v>2</v>
      </c>
      <c r="B8" s="1177" t="s">
        <v>82</v>
      </c>
      <c r="C8" s="1178">
        <f>+'Table 8 Membership 2.1.14'!Q4</f>
        <v>0</v>
      </c>
      <c r="D8" s="1179">
        <f>+'Table 5C1A-Madison Prep'!D8</f>
        <v>6316.6266417386641</v>
      </c>
      <c r="E8" s="1180">
        <f t="shared" ref="E8:E71" si="29">C8*D8</f>
        <v>0</v>
      </c>
      <c r="F8" s="1180">
        <f>+'Table 5C1A-Madison Prep'!F8</f>
        <v>842.32</v>
      </c>
      <c r="G8" s="1180">
        <f t="shared" ref="G8:G71" si="30">C8*F8</f>
        <v>0</v>
      </c>
      <c r="H8" s="1539">
        <f t="shared" ref="H8:H71" si="31">E8+G8</f>
        <v>0</v>
      </c>
      <c r="I8" s="1181"/>
      <c r="J8" s="1181"/>
      <c r="K8" s="1182">
        <f t="shared" ref="K8:K71" si="32">+I8+J8</f>
        <v>0</v>
      </c>
      <c r="L8" s="1539">
        <f t="shared" ref="L8:L71" si="33">+H8+K8</f>
        <v>0</v>
      </c>
      <c r="M8" s="1388">
        <f t="shared" si="28"/>
        <v>0</v>
      </c>
      <c r="N8" s="1539">
        <f t="shared" ref="N8:N71" si="34">SUM(L8:M8)</f>
        <v>0</v>
      </c>
      <c r="O8" s="1179">
        <v>0</v>
      </c>
      <c r="P8" s="1545">
        <f t="shared" ref="P8:P71" si="35">SUM(N8:O8)</f>
        <v>0</v>
      </c>
      <c r="Q8" s="1181"/>
      <c r="R8" s="1181">
        <f t="shared" ref="R8:R71" si="36">+P8-Q8</f>
        <v>0</v>
      </c>
      <c r="S8" s="1545">
        <f t="shared" ref="S8:S71" si="37">ROUND(R8/12,0)</f>
        <v>0</v>
      </c>
      <c r="T8" s="1545">
        <f t="shared" ref="T8:T71" si="38">+P8</f>
        <v>0</v>
      </c>
      <c r="U8" s="1389">
        <f>'Table 5C1A-Madison Prep'!U8</f>
        <v>2829</v>
      </c>
      <c r="V8" s="1515">
        <f t="shared" ref="V8:V71" si="39">C8*U8</f>
        <v>0</v>
      </c>
      <c r="W8" s="1391"/>
      <c r="X8" s="1392">
        <f t="shared" ref="X8:X71" si="40">+U8*W8</f>
        <v>0</v>
      </c>
      <c r="Y8" s="1391"/>
      <c r="Z8" s="1392">
        <f t="shared" ref="Z8:Z71" si="41">+U8*Y8*0.5</f>
        <v>0</v>
      </c>
      <c r="AA8" s="1390">
        <f t="shared" ref="AA8:AA71" si="42">+X8+Z8</f>
        <v>0</v>
      </c>
      <c r="AB8" s="1510">
        <f t="shared" ref="AB8:AB71" si="43">+V8+AA8</f>
        <v>0</v>
      </c>
      <c r="AC8" s="1394">
        <f t="shared" ref="AC8:AC71" si="44">-(0.25%*AB8)</f>
        <v>0</v>
      </c>
      <c r="AD8" s="1510">
        <f t="shared" ref="AD8:AD71" si="45">SUM(AB8:AC8)</f>
        <v>0</v>
      </c>
      <c r="AE8" s="1395">
        <v>0</v>
      </c>
      <c r="AF8" s="1510">
        <f t="shared" ref="AF8:AF71" si="46">SUM(AD8:AE8)</f>
        <v>0</v>
      </c>
      <c r="AG8" s="1395"/>
      <c r="AH8" s="1395">
        <f t="shared" ref="AH8:AH71" si="47">+AF8-AG8</f>
        <v>0</v>
      </c>
      <c r="AI8" s="1510">
        <f t="shared" ref="AI8:AI71" si="48">ROUND(AH8/12,0)</f>
        <v>0</v>
      </c>
      <c r="AJ8" s="1505">
        <f t="shared" ref="AJ8:AJ71" si="49">T8+AF8</f>
        <v>0</v>
      </c>
      <c r="AK8" s="1535">
        <f t="shared" ref="AK8:AK71" si="50">S8+AI8</f>
        <v>0</v>
      </c>
    </row>
    <row r="9" spans="1:37" ht="16.2" customHeight="1">
      <c r="A9" s="1176">
        <v>3</v>
      </c>
      <c r="B9" s="1177" t="s">
        <v>83</v>
      </c>
      <c r="C9" s="1178">
        <f>+'Table 8 Membership 2.1.14'!Q5</f>
        <v>0</v>
      </c>
      <c r="D9" s="1179">
        <f>+'Table 5C1A-Madison Prep'!D9</f>
        <v>4155.1862027396819</v>
      </c>
      <c r="E9" s="1180">
        <f t="shared" si="29"/>
        <v>0</v>
      </c>
      <c r="F9" s="1180">
        <f>+'Table 5C1A-Madison Prep'!F9</f>
        <v>596.84</v>
      </c>
      <c r="G9" s="1180">
        <f t="shared" si="30"/>
        <v>0</v>
      </c>
      <c r="H9" s="1539">
        <f t="shared" si="31"/>
        <v>0</v>
      </c>
      <c r="I9" s="1181"/>
      <c r="J9" s="1181"/>
      <c r="K9" s="1182">
        <f t="shared" si="32"/>
        <v>0</v>
      </c>
      <c r="L9" s="1539">
        <f t="shared" si="33"/>
        <v>0</v>
      </c>
      <c r="M9" s="1388">
        <f t="shared" si="28"/>
        <v>0</v>
      </c>
      <c r="N9" s="1539">
        <f t="shared" si="34"/>
        <v>0</v>
      </c>
      <c r="O9" s="1179">
        <v>0</v>
      </c>
      <c r="P9" s="1545">
        <f t="shared" si="35"/>
        <v>0</v>
      </c>
      <c r="Q9" s="1181"/>
      <c r="R9" s="1181">
        <f t="shared" si="36"/>
        <v>0</v>
      </c>
      <c r="S9" s="1545">
        <f t="shared" si="37"/>
        <v>0</v>
      </c>
      <c r="T9" s="1545">
        <f t="shared" si="38"/>
        <v>0</v>
      </c>
      <c r="U9" s="1389">
        <f>'Table 5C1A-Madison Prep'!U9</f>
        <v>5770</v>
      </c>
      <c r="V9" s="1515">
        <f t="shared" si="39"/>
        <v>0</v>
      </c>
      <c r="W9" s="1391"/>
      <c r="X9" s="1392">
        <f t="shared" si="40"/>
        <v>0</v>
      </c>
      <c r="Y9" s="1391"/>
      <c r="Z9" s="1392">
        <f t="shared" si="41"/>
        <v>0</v>
      </c>
      <c r="AA9" s="1390">
        <f t="shared" si="42"/>
        <v>0</v>
      </c>
      <c r="AB9" s="1510">
        <f t="shared" si="43"/>
        <v>0</v>
      </c>
      <c r="AC9" s="1394">
        <f t="shared" si="44"/>
        <v>0</v>
      </c>
      <c r="AD9" s="1510">
        <f t="shared" si="45"/>
        <v>0</v>
      </c>
      <c r="AE9" s="1395">
        <v>0</v>
      </c>
      <c r="AF9" s="1510">
        <f t="shared" si="46"/>
        <v>0</v>
      </c>
      <c r="AG9" s="1395"/>
      <c r="AH9" s="1395">
        <f t="shared" si="47"/>
        <v>0</v>
      </c>
      <c r="AI9" s="1510">
        <f t="shared" si="48"/>
        <v>0</v>
      </c>
      <c r="AJ9" s="1505">
        <f t="shared" si="49"/>
        <v>0</v>
      </c>
      <c r="AK9" s="1535">
        <f t="shared" si="50"/>
        <v>0</v>
      </c>
    </row>
    <row r="10" spans="1:37" ht="16.2" customHeight="1">
      <c r="A10" s="1176">
        <v>4</v>
      </c>
      <c r="B10" s="1177" t="s">
        <v>84</v>
      </c>
      <c r="C10" s="1178">
        <f>+'Table 8 Membership 2.1.14'!Q6</f>
        <v>0</v>
      </c>
      <c r="D10" s="1179">
        <f>+'Table 5C1A-Madison Prep'!D10</f>
        <v>6119.0581446878568</v>
      </c>
      <c r="E10" s="1180">
        <f t="shared" si="29"/>
        <v>0</v>
      </c>
      <c r="F10" s="1180">
        <f>+'Table 5C1A-Madison Prep'!F10</f>
        <v>585.76</v>
      </c>
      <c r="G10" s="1180">
        <f t="shared" si="30"/>
        <v>0</v>
      </c>
      <c r="H10" s="1539">
        <f t="shared" si="31"/>
        <v>0</v>
      </c>
      <c r="I10" s="1181"/>
      <c r="J10" s="1181"/>
      <c r="K10" s="1182">
        <f t="shared" si="32"/>
        <v>0</v>
      </c>
      <c r="L10" s="1539">
        <f t="shared" si="33"/>
        <v>0</v>
      </c>
      <c r="M10" s="1388">
        <f t="shared" si="28"/>
        <v>0</v>
      </c>
      <c r="N10" s="1539">
        <f t="shared" si="34"/>
        <v>0</v>
      </c>
      <c r="O10" s="1179">
        <v>0</v>
      </c>
      <c r="P10" s="1545">
        <f t="shared" si="35"/>
        <v>0</v>
      </c>
      <c r="Q10" s="1181"/>
      <c r="R10" s="1181">
        <f t="shared" si="36"/>
        <v>0</v>
      </c>
      <c r="S10" s="1545">
        <f t="shared" si="37"/>
        <v>0</v>
      </c>
      <c r="T10" s="1545">
        <f t="shared" si="38"/>
        <v>0</v>
      </c>
      <c r="U10" s="1389">
        <f>'Table 5C1A-Madison Prep'!U10</f>
        <v>3287</v>
      </c>
      <c r="V10" s="1515">
        <f t="shared" si="39"/>
        <v>0</v>
      </c>
      <c r="W10" s="1391"/>
      <c r="X10" s="1392">
        <f t="shared" si="40"/>
        <v>0</v>
      </c>
      <c r="Y10" s="1391"/>
      <c r="Z10" s="1392">
        <f t="shared" si="41"/>
        <v>0</v>
      </c>
      <c r="AA10" s="1390">
        <f t="shared" si="42"/>
        <v>0</v>
      </c>
      <c r="AB10" s="1510">
        <f t="shared" si="43"/>
        <v>0</v>
      </c>
      <c r="AC10" s="1394">
        <f t="shared" si="44"/>
        <v>0</v>
      </c>
      <c r="AD10" s="1510">
        <f t="shared" si="45"/>
        <v>0</v>
      </c>
      <c r="AE10" s="1395">
        <v>0</v>
      </c>
      <c r="AF10" s="1510">
        <f t="shared" si="46"/>
        <v>0</v>
      </c>
      <c r="AG10" s="1395"/>
      <c r="AH10" s="1395">
        <f t="shared" si="47"/>
        <v>0</v>
      </c>
      <c r="AI10" s="1510">
        <f t="shared" si="48"/>
        <v>0</v>
      </c>
      <c r="AJ10" s="1505">
        <f t="shared" si="49"/>
        <v>0</v>
      </c>
      <c r="AK10" s="1535">
        <f t="shared" si="50"/>
        <v>0</v>
      </c>
    </row>
    <row r="11" spans="1:37" ht="16.2" customHeight="1">
      <c r="A11" s="1168">
        <v>5</v>
      </c>
      <c r="B11" s="1169" t="s">
        <v>85</v>
      </c>
      <c r="C11" s="1170">
        <f>+'Table 8 Membership 2.1.14'!Q7</f>
        <v>0</v>
      </c>
      <c r="D11" s="1171">
        <f>+'Table 5C1A-Madison Prep'!D11</f>
        <v>5268.940566009911</v>
      </c>
      <c r="E11" s="1172">
        <f t="shared" si="29"/>
        <v>0</v>
      </c>
      <c r="F11" s="1172">
        <f>+'Table 5C1A-Madison Prep'!F11</f>
        <v>555.91</v>
      </c>
      <c r="G11" s="1172">
        <f t="shared" si="30"/>
        <v>0</v>
      </c>
      <c r="H11" s="1540">
        <f t="shared" si="31"/>
        <v>0</v>
      </c>
      <c r="I11" s="1173"/>
      <c r="J11" s="1173"/>
      <c r="K11" s="1174">
        <f t="shared" si="32"/>
        <v>0</v>
      </c>
      <c r="L11" s="1540">
        <f t="shared" si="33"/>
        <v>0</v>
      </c>
      <c r="M11" s="1399">
        <f t="shared" si="28"/>
        <v>0</v>
      </c>
      <c r="N11" s="1540">
        <f t="shared" si="34"/>
        <v>0</v>
      </c>
      <c r="O11" s="1171">
        <v>0</v>
      </c>
      <c r="P11" s="1546">
        <f t="shared" si="35"/>
        <v>0</v>
      </c>
      <c r="Q11" s="1173"/>
      <c r="R11" s="1173">
        <f t="shared" si="36"/>
        <v>0</v>
      </c>
      <c r="S11" s="1546">
        <f t="shared" si="37"/>
        <v>0</v>
      </c>
      <c r="T11" s="1546">
        <f t="shared" si="38"/>
        <v>0</v>
      </c>
      <c r="U11" s="1382">
        <f>'Table 5C1A-Madison Prep'!U11</f>
        <v>1921</v>
      </c>
      <c r="V11" s="1516">
        <f t="shared" si="39"/>
        <v>0</v>
      </c>
      <c r="W11" s="1400"/>
      <c r="X11" s="1383">
        <f t="shared" si="40"/>
        <v>0</v>
      </c>
      <c r="Y11" s="1400"/>
      <c r="Z11" s="1383">
        <f t="shared" si="41"/>
        <v>0</v>
      </c>
      <c r="AA11" s="1384">
        <f t="shared" si="42"/>
        <v>0</v>
      </c>
      <c r="AB11" s="1511">
        <f t="shared" si="43"/>
        <v>0</v>
      </c>
      <c r="AC11" s="1402">
        <f t="shared" si="44"/>
        <v>0</v>
      </c>
      <c r="AD11" s="1511">
        <f t="shared" si="45"/>
        <v>0</v>
      </c>
      <c r="AE11" s="1385">
        <v>0</v>
      </c>
      <c r="AF11" s="1511">
        <f t="shared" si="46"/>
        <v>0</v>
      </c>
      <c r="AG11" s="1385"/>
      <c r="AH11" s="1385">
        <f t="shared" si="47"/>
        <v>0</v>
      </c>
      <c r="AI11" s="1511">
        <f t="shared" si="48"/>
        <v>0</v>
      </c>
      <c r="AJ11" s="1531">
        <f t="shared" si="49"/>
        <v>0</v>
      </c>
      <c r="AK11" s="1536">
        <f t="shared" si="50"/>
        <v>0</v>
      </c>
    </row>
    <row r="12" spans="1:37" ht="16.2" customHeight="1">
      <c r="A12" s="1183">
        <v>6</v>
      </c>
      <c r="B12" s="1184" t="s">
        <v>86</v>
      </c>
      <c r="C12" s="1185">
        <f>+'Table 8 Membership 2.1.14'!Q8</f>
        <v>0</v>
      </c>
      <c r="D12" s="1186">
        <f>+'Table 5C1A-Madison Prep'!D12</f>
        <v>5378.5086124955869</v>
      </c>
      <c r="E12" s="1187">
        <f t="shared" si="29"/>
        <v>0</v>
      </c>
      <c r="F12" s="1187">
        <f>+'Table 5C1A-Madison Prep'!F12</f>
        <v>545.4799999999999</v>
      </c>
      <c r="G12" s="1187">
        <f t="shared" si="30"/>
        <v>0</v>
      </c>
      <c r="H12" s="1538">
        <f t="shared" si="31"/>
        <v>0</v>
      </c>
      <c r="I12" s="1188"/>
      <c r="J12" s="1188"/>
      <c r="K12" s="1189">
        <f t="shared" si="32"/>
        <v>0</v>
      </c>
      <c r="L12" s="1538">
        <f t="shared" si="33"/>
        <v>0</v>
      </c>
      <c r="M12" s="1372">
        <f t="shared" si="28"/>
        <v>0</v>
      </c>
      <c r="N12" s="1538">
        <f t="shared" si="34"/>
        <v>0</v>
      </c>
      <c r="O12" s="1186">
        <v>0</v>
      </c>
      <c r="P12" s="1544">
        <f t="shared" si="35"/>
        <v>0</v>
      </c>
      <c r="Q12" s="1188"/>
      <c r="R12" s="1188">
        <f t="shared" si="36"/>
        <v>0</v>
      </c>
      <c r="S12" s="1544">
        <f t="shared" si="37"/>
        <v>0</v>
      </c>
      <c r="T12" s="1544">
        <f t="shared" si="38"/>
        <v>0</v>
      </c>
      <c r="U12" s="1373">
        <f>'Table 5C1A-Madison Prep'!U12</f>
        <v>3807</v>
      </c>
      <c r="V12" s="1514">
        <f t="shared" si="39"/>
        <v>0</v>
      </c>
      <c r="W12" s="1375"/>
      <c r="X12" s="1376">
        <f t="shared" si="40"/>
        <v>0</v>
      </c>
      <c r="Y12" s="1375"/>
      <c r="Z12" s="1376">
        <f t="shared" si="41"/>
        <v>0</v>
      </c>
      <c r="AA12" s="1374">
        <f t="shared" si="42"/>
        <v>0</v>
      </c>
      <c r="AB12" s="1509">
        <f t="shared" si="43"/>
        <v>0</v>
      </c>
      <c r="AC12" s="1378">
        <f t="shared" si="44"/>
        <v>0</v>
      </c>
      <c r="AD12" s="1509">
        <f t="shared" si="45"/>
        <v>0</v>
      </c>
      <c r="AE12" s="1379">
        <v>0</v>
      </c>
      <c r="AF12" s="1509">
        <f t="shared" si="46"/>
        <v>0</v>
      </c>
      <c r="AG12" s="1379"/>
      <c r="AH12" s="1379">
        <f t="shared" si="47"/>
        <v>0</v>
      </c>
      <c r="AI12" s="1509">
        <f t="shared" si="48"/>
        <v>0</v>
      </c>
      <c r="AJ12" s="1530">
        <f t="shared" si="49"/>
        <v>0</v>
      </c>
      <c r="AK12" s="1534">
        <f t="shared" si="50"/>
        <v>0</v>
      </c>
    </row>
    <row r="13" spans="1:37" ht="16.2" customHeight="1">
      <c r="A13" s="1176">
        <v>7</v>
      </c>
      <c r="B13" s="1177" t="s">
        <v>87</v>
      </c>
      <c r="C13" s="1178">
        <f>+'Table 8 Membership 2.1.14'!Q9</f>
        <v>0</v>
      </c>
      <c r="D13" s="1179">
        <f>+'Table 5C1A-Madison Prep'!D13</f>
        <v>2243.0031963470319</v>
      </c>
      <c r="E13" s="1180">
        <f t="shared" si="29"/>
        <v>0</v>
      </c>
      <c r="F13" s="1180">
        <f>+'Table 5C1A-Madison Prep'!F13</f>
        <v>756.91999999999985</v>
      </c>
      <c r="G13" s="1180">
        <f t="shared" si="30"/>
        <v>0</v>
      </c>
      <c r="H13" s="1539">
        <f t="shared" si="31"/>
        <v>0</v>
      </c>
      <c r="I13" s="1181"/>
      <c r="J13" s="1181"/>
      <c r="K13" s="1182">
        <f t="shared" si="32"/>
        <v>0</v>
      </c>
      <c r="L13" s="1539">
        <f t="shared" si="33"/>
        <v>0</v>
      </c>
      <c r="M13" s="1388">
        <f t="shared" si="28"/>
        <v>0</v>
      </c>
      <c r="N13" s="1539">
        <f t="shared" si="34"/>
        <v>0</v>
      </c>
      <c r="O13" s="1179">
        <v>0</v>
      </c>
      <c r="P13" s="1545">
        <f t="shared" si="35"/>
        <v>0</v>
      </c>
      <c r="Q13" s="1181"/>
      <c r="R13" s="1181">
        <f t="shared" si="36"/>
        <v>0</v>
      </c>
      <c r="S13" s="1545">
        <f t="shared" si="37"/>
        <v>0</v>
      </c>
      <c r="T13" s="1545">
        <f t="shared" si="38"/>
        <v>0</v>
      </c>
      <c r="U13" s="1389">
        <f>'Table 5C1A-Madison Prep'!U13</f>
        <v>11888</v>
      </c>
      <c r="V13" s="1515">
        <f t="shared" si="39"/>
        <v>0</v>
      </c>
      <c r="W13" s="1391"/>
      <c r="X13" s="1392">
        <f t="shared" si="40"/>
        <v>0</v>
      </c>
      <c r="Y13" s="1391"/>
      <c r="Z13" s="1392">
        <f t="shared" si="41"/>
        <v>0</v>
      </c>
      <c r="AA13" s="1390">
        <f t="shared" si="42"/>
        <v>0</v>
      </c>
      <c r="AB13" s="1510">
        <f t="shared" si="43"/>
        <v>0</v>
      </c>
      <c r="AC13" s="1394">
        <f t="shared" si="44"/>
        <v>0</v>
      </c>
      <c r="AD13" s="1510">
        <f t="shared" si="45"/>
        <v>0</v>
      </c>
      <c r="AE13" s="1395">
        <v>0</v>
      </c>
      <c r="AF13" s="1510">
        <f t="shared" si="46"/>
        <v>0</v>
      </c>
      <c r="AG13" s="1395"/>
      <c r="AH13" s="1395">
        <f t="shared" si="47"/>
        <v>0</v>
      </c>
      <c r="AI13" s="1510">
        <f t="shared" si="48"/>
        <v>0</v>
      </c>
      <c r="AJ13" s="1505">
        <f t="shared" si="49"/>
        <v>0</v>
      </c>
      <c r="AK13" s="1535">
        <f t="shared" si="50"/>
        <v>0</v>
      </c>
    </row>
    <row r="14" spans="1:37" ht="16.2" customHeight="1">
      <c r="A14" s="1176">
        <v>8</v>
      </c>
      <c r="B14" s="1177" t="s">
        <v>88</v>
      </c>
      <c r="C14" s="1178">
        <f>+'Table 8 Membership 2.1.14'!Q10</f>
        <v>0</v>
      </c>
      <c r="D14" s="1179">
        <f>+'Table 5C1A-Madison Prep'!D14</f>
        <v>4669.802459558854</v>
      </c>
      <c r="E14" s="1180">
        <f t="shared" si="29"/>
        <v>0</v>
      </c>
      <c r="F14" s="1180">
        <f>+'Table 5C1A-Madison Prep'!F14</f>
        <v>725.76</v>
      </c>
      <c r="G14" s="1180">
        <f t="shared" si="30"/>
        <v>0</v>
      </c>
      <c r="H14" s="1539">
        <f t="shared" si="31"/>
        <v>0</v>
      </c>
      <c r="I14" s="1181"/>
      <c r="J14" s="1181"/>
      <c r="K14" s="1182">
        <f t="shared" si="32"/>
        <v>0</v>
      </c>
      <c r="L14" s="1539">
        <f t="shared" si="33"/>
        <v>0</v>
      </c>
      <c r="M14" s="1388">
        <f t="shared" si="28"/>
        <v>0</v>
      </c>
      <c r="N14" s="1539">
        <f t="shared" si="34"/>
        <v>0</v>
      </c>
      <c r="O14" s="1179">
        <v>0</v>
      </c>
      <c r="P14" s="1545">
        <f t="shared" si="35"/>
        <v>0</v>
      </c>
      <c r="Q14" s="1181"/>
      <c r="R14" s="1181">
        <f t="shared" si="36"/>
        <v>0</v>
      </c>
      <c r="S14" s="1545">
        <f t="shared" si="37"/>
        <v>0</v>
      </c>
      <c r="T14" s="1545">
        <f t="shared" si="38"/>
        <v>0</v>
      </c>
      <c r="U14" s="1389">
        <f>'Table 5C1A-Madison Prep'!U14</f>
        <v>4024</v>
      </c>
      <c r="V14" s="1515">
        <f t="shared" si="39"/>
        <v>0</v>
      </c>
      <c r="W14" s="1391"/>
      <c r="X14" s="1392">
        <f t="shared" si="40"/>
        <v>0</v>
      </c>
      <c r="Y14" s="1391"/>
      <c r="Z14" s="1392">
        <f t="shared" si="41"/>
        <v>0</v>
      </c>
      <c r="AA14" s="1390">
        <f t="shared" si="42"/>
        <v>0</v>
      </c>
      <c r="AB14" s="1510">
        <f t="shared" si="43"/>
        <v>0</v>
      </c>
      <c r="AC14" s="1394">
        <f t="shared" si="44"/>
        <v>0</v>
      </c>
      <c r="AD14" s="1510">
        <f t="shared" si="45"/>
        <v>0</v>
      </c>
      <c r="AE14" s="1395">
        <v>0</v>
      </c>
      <c r="AF14" s="1510">
        <f t="shared" si="46"/>
        <v>0</v>
      </c>
      <c r="AG14" s="1395"/>
      <c r="AH14" s="1395">
        <f t="shared" si="47"/>
        <v>0</v>
      </c>
      <c r="AI14" s="1510">
        <f t="shared" si="48"/>
        <v>0</v>
      </c>
      <c r="AJ14" s="1505">
        <f t="shared" si="49"/>
        <v>0</v>
      </c>
      <c r="AK14" s="1535">
        <f t="shared" si="50"/>
        <v>0</v>
      </c>
    </row>
    <row r="15" spans="1:37" ht="16.2" customHeight="1">
      <c r="A15" s="1176">
        <v>9</v>
      </c>
      <c r="B15" s="1177" t="s">
        <v>89</v>
      </c>
      <c r="C15" s="1178">
        <f>+'Table 8 Membership 2.1.14'!Q11</f>
        <v>0</v>
      </c>
      <c r="D15" s="1179">
        <f>+'Table 5C1A-Madison Prep'!D15</f>
        <v>4632.4615072045008</v>
      </c>
      <c r="E15" s="1180">
        <f t="shared" si="29"/>
        <v>0</v>
      </c>
      <c r="F15" s="1180">
        <f>+'Table 5C1A-Madison Prep'!F15</f>
        <v>744.76</v>
      </c>
      <c r="G15" s="1180">
        <f t="shared" si="30"/>
        <v>0</v>
      </c>
      <c r="H15" s="1539">
        <f t="shared" si="31"/>
        <v>0</v>
      </c>
      <c r="I15" s="1181"/>
      <c r="J15" s="1181"/>
      <c r="K15" s="1182">
        <f t="shared" si="32"/>
        <v>0</v>
      </c>
      <c r="L15" s="1539">
        <f t="shared" si="33"/>
        <v>0</v>
      </c>
      <c r="M15" s="1388">
        <f t="shared" si="28"/>
        <v>0</v>
      </c>
      <c r="N15" s="1539">
        <f t="shared" si="34"/>
        <v>0</v>
      </c>
      <c r="O15" s="1179">
        <v>0</v>
      </c>
      <c r="P15" s="1545">
        <f t="shared" si="35"/>
        <v>0</v>
      </c>
      <c r="Q15" s="1181"/>
      <c r="R15" s="1181">
        <f t="shared" si="36"/>
        <v>0</v>
      </c>
      <c r="S15" s="1545">
        <f t="shared" si="37"/>
        <v>0</v>
      </c>
      <c r="T15" s="1545">
        <f t="shared" si="38"/>
        <v>0</v>
      </c>
      <c r="U15" s="1389">
        <f>'Table 5C1A-Madison Prep'!U15</f>
        <v>4828</v>
      </c>
      <c r="V15" s="1515">
        <f t="shared" si="39"/>
        <v>0</v>
      </c>
      <c r="W15" s="1391"/>
      <c r="X15" s="1392">
        <f t="shared" si="40"/>
        <v>0</v>
      </c>
      <c r="Y15" s="1391"/>
      <c r="Z15" s="1392">
        <f t="shared" si="41"/>
        <v>0</v>
      </c>
      <c r="AA15" s="1390">
        <f t="shared" si="42"/>
        <v>0</v>
      </c>
      <c r="AB15" s="1510">
        <f t="shared" si="43"/>
        <v>0</v>
      </c>
      <c r="AC15" s="1394">
        <f t="shared" si="44"/>
        <v>0</v>
      </c>
      <c r="AD15" s="1510">
        <f t="shared" si="45"/>
        <v>0</v>
      </c>
      <c r="AE15" s="1395">
        <v>0</v>
      </c>
      <c r="AF15" s="1510">
        <f t="shared" si="46"/>
        <v>0</v>
      </c>
      <c r="AG15" s="1395"/>
      <c r="AH15" s="1395">
        <f t="shared" si="47"/>
        <v>0</v>
      </c>
      <c r="AI15" s="1510">
        <f t="shared" si="48"/>
        <v>0</v>
      </c>
      <c r="AJ15" s="1505">
        <f t="shared" si="49"/>
        <v>0</v>
      </c>
      <c r="AK15" s="1535">
        <f t="shared" si="50"/>
        <v>0</v>
      </c>
    </row>
    <row r="16" spans="1:37" ht="16.2" customHeight="1">
      <c r="A16" s="1168">
        <v>10</v>
      </c>
      <c r="B16" s="1169" t="s">
        <v>90</v>
      </c>
      <c r="C16" s="1170">
        <f>+'Table 8 Membership 2.1.14'!Q12</f>
        <v>0</v>
      </c>
      <c r="D16" s="1171">
        <f>+'Table 5C1A-Madison Prep'!D16</f>
        <v>4384.374733918472</v>
      </c>
      <c r="E16" s="1172">
        <f t="shared" si="29"/>
        <v>0</v>
      </c>
      <c r="F16" s="1172">
        <f>+'Table 5C1A-Madison Prep'!F16</f>
        <v>608.04000000000008</v>
      </c>
      <c r="G16" s="1172">
        <f t="shared" si="30"/>
        <v>0</v>
      </c>
      <c r="H16" s="1540">
        <f t="shared" si="31"/>
        <v>0</v>
      </c>
      <c r="I16" s="1173"/>
      <c r="J16" s="1173"/>
      <c r="K16" s="1174">
        <f t="shared" si="32"/>
        <v>0</v>
      </c>
      <c r="L16" s="1540">
        <f t="shared" si="33"/>
        <v>0</v>
      </c>
      <c r="M16" s="1399">
        <f t="shared" si="28"/>
        <v>0</v>
      </c>
      <c r="N16" s="1540">
        <f t="shared" si="34"/>
        <v>0</v>
      </c>
      <c r="O16" s="1171">
        <v>0</v>
      </c>
      <c r="P16" s="1546">
        <f t="shared" si="35"/>
        <v>0</v>
      </c>
      <c r="Q16" s="1173"/>
      <c r="R16" s="1173">
        <f t="shared" si="36"/>
        <v>0</v>
      </c>
      <c r="S16" s="1546">
        <f t="shared" si="37"/>
        <v>0</v>
      </c>
      <c r="T16" s="1546">
        <f t="shared" si="38"/>
        <v>0</v>
      </c>
      <c r="U16" s="1382">
        <f>'Table 5C1A-Madison Prep'!U16</f>
        <v>4565</v>
      </c>
      <c r="V16" s="1516">
        <f t="shared" si="39"/>
        <v>0</v>
      </c>
      <c r="W16" s="1400"/>
      <c r="X16" s="1383">
        <f t="shared" si="40"/>
        <v>0</v>
      </c>
      <c r="Y16" s="1400"/>
      <c r="Z16" s="1383">
        <f t="shared" si="41"/>
        <v>0</v>
      </c>
      <c r="AA16" s="1384">
        <f t="shared" si="42"/>
        <v>0</v>
      </c>
      <c r="AB16" s="1511">
        <f t="shared" si="43"/>
        <v>0</v>
      </c>
      <c r="AC16" s="1402">
        <f t="shared" si="44"/>
        <v>0</v>
      </c>
      <c r="AD16" s="1511">
        <f t="shared" si="45"/>
        <v>0</v>
      </c>
      <c r="AE16" s="1385">
        <v>0</v>
      </c>
      <c r="AF16" s="1511">
        <f t="shared" si="46"/>
        <v>0</v>
      </c>
      <c r="AG16" s="1385"/>
      <c r="AH16" s="1385">
        <f t="shared" si="47"/>
        <v>0</v>
      </c>
      <c r="AI16" s="1511">
        <f t="shared" si="48"/>
        <v>0</v>
      </c>
      <c r="AJ16" s="1531">
        <f t="shared" si="49"/>
        <v>0</v>
      </c>
      <c r="AK16" s="1536">
        <f t="shared" si="50"/>
        <v>0</v>
      </c>
    </row>
    <row r="17" spans="1:37" ht="16.2" customHeight="1">
      <c r="A17" s="1183">
        <v>11</v>
      </c>
      <c r="B17" s="1184" t="s">
        <v>91</v>
      </c>
      <c r="C17" s="1185">
        <f>+'Table 8 Membership 2.1.14'!Q13</f>
        <v>0</v>
      </c>
      <c r="D17" s="1186">
        <f>+'Table 5C1A-Madison Prep'!D17</f>
        <v>7098.5372236353351</v>
      </c>
      <c r="E17" s="1187">
        <f t="shared" si="29"/>
        <v>0</v>
      </c>
      <c r="F17" s="1187">
        <f>+'Table 5C1A-Madison Prep'!F17</f>
        <v>706.55</v>
      </c>
      <c r="G17" s="1187">
        <f t="shared" si="30"/>
        <v>0</v>
      </c>
      <c r="H17" s="1538">
        <f t="shared" si="31"/>
        <v>0</v>
      </c>
      <c r="I17" s="1188"/>
      <c r="J17" s="1188"/>
      <c r="K17" s="1189">
        <f t="shared" si="32"/>
        <v>0</v>
      </c>
      <c r="L17" s="1538">
        <f t="shared" si="33"/>
        <v>0</v>
      </c>
      <c r="M17" s="1372">
        <f t="shared" si="28"/>
        <v>0</v>
      </c>
      <c r="N17" s="1538">
        <f t="shared" si="34"/>
        <v>0</v>
      </c>
      <c r="O17" s="1186">
        <v>0</v>
      </c>
      <c r="P17" s="1544">
        <f t="shared" si="35"/>
        <v>0</v>
      </c>
      <c r="Q17" s="1188"/>
      <c r="R17" s="1188">
        <f t="shared" si="36"/>
        <v>0</v>
      </c>
      <c r="S17" s="1544">
        <f t="shared" si="37"/>
        <v>0</v>
      </c>
      <c r="T17" s="1544">
        <f t="shared" si="38"/>
        <v>0</v>
      </c>
      <c r="U17" s="1373">
        <f>'Table 5C1A-Madison Prep'!U17</f>
        <v>3587</v>
      </c>
      <c r="V17" s="1514">
        <f t="shared" si="39"/>
        <v>0</v>
      </c>
      <c r="W17" s="1375"/>
      <c r="X17" s="1376">
        <f t="shared" si="40"/>
        <v>0</v>
      </c>
      <c r="Y17" s="1375"/>
      <c r="Z17" s="1376">
        <f t="shared" si="41"/>
        <v>0</v>
      </c>
      <c r="AA17" s="1374">
        <f t="shared" si="42"/>
        <v>0</v>
      </c>
      <c r="AB17" s="1509">
        <f t="shared" si="43"/>
        <v>0</v>
      </c>
      <c r="AC17" s="1378">
        <f t="shared" si="44"/>
        <v>0</v>
      </c>
      <c r="AD17" s="1509">
        <f t="shared" si="45"/>
        <v>0</v>
      </c>
      <c r="AE17" s="1379">
        <v>0</v>
      </c>
      <c r="AF17" s="1509">
        <f t="shared" si="46"/>
        <v>0</v>
      </c>
      <c r="AG17" s="1379"/>
      <c r="AH17" s="1379">
        <f t="shared" si="47"/>
        <v>0</v>
      </c>
      <c r="AI17" s="1509">
        <f t="shared" si="48"/>
        <v>0</v>
      </c>
      <c r="AJ17" s="1530">
        <f t="shared" si="49"/>
        <v>0</v>
      </c>
      <c r="AK17" s="1534">
        <f t="shared" si="50"/>
        <v>0</v>
      </c>
    </row>
    <row r="18" spans="1:37" ht="16.2" customHeight="1">
      <c r="A18" s="1176">
        <v>12</v>
      </c>
      <c r="B18" s="1177" t="s">
        <v>92</v>
      </c>
      <c r="C18" s="1178">
        <f>+'Table 8 Membership 2.1.14'!Q14</f>
        <v>0</v>
      </c>
      <c r="D18" s="1179">
        <f>+'Table 5C1A-Madison Prep'!D18</f>
        <v>1666.6040983606558</v>
      </c>
      <c r="E18" s="1180">
        <f t="shared" si="29"/>
        <v>0</v>
      </c>
      <c r="F18" s="1180">
        <f>+'Table 5C1A-Madison Prep'!F18</f>
        <v>1063.31</v>
      </c>
      <c r="G18" s="1180">
        <f t="shared" si="30"/>
        <v>0</v>
      </c>
      <c r="H18" s="1539">
        <f t="shared" si="31"/>
        <v>0</v>
      </c>
      <c r="I18" s="1181"/>
      <c r="J18" s="1181"/>
      <c r="K18" s="1182">
        <f t="shared" si="32"/>
        <v>0</v>
      </c>
      <c r="L18" s="1539">
        <f t="shared" si="33"/>
        <v>0</v>
      </c>
      <c r="M18" s="1388">
        <f t="shared" si="28"/>
        <v>0</v>
      </c>
      <c r="N18" s="1539">
        <f t="shared" si="34"/>
        <v>0</v>
      </c>
      <c r="O18" s="1179">
        <v>0</v>
      </c>
      <c r="P18" s="1545">
        <f t="shared" si="35"/>
        <v>0</v>
      </c>
      <c r="Q18" s="1181"/>
      <c r="R18" s="1181">
        <f t="shared" si="36"/>
        <v>0</v>
      </c>
      <c r="S18" s="1545">
        <f t="shared" si="37"/>
        <v>0</v>
      </c>
      <c r="T18" s="1545">
        <f t="shared" si="38"/>
        <v>0</v>
      </c>
      <c r="U18" s="1389">
        <f>'Table 5C1A-Madison Prep'!U18</f>
        <v>8094</v>
      </c>
      <c r="V18" s="1515">
        <f t="shared" si="39"/>
        <v>0</v>
      </c>
      <c r="W18" s="1391"/>
      <c r="X18" s="1392">
        <f t="shared" si="40"/>
        <v>0</v>
      </c>
      <c r="Y18" s="1391"/>
      <c r="Z18" s="1392">
        <f t="shared" si="41"/>
        <v>0</v>
      </c>
      <c r="AA18" s="1390">
        <f t="shared" si="42"/>
        <v>0</v>
      </c>
      <c r="AB18" s="1510">
        <f t="shared" si="43"/>
        <v>0</v>
      </c>
      <c r="AC18" s="1394">
        <f t="shared" si="44"/>
        <v>0</v>
      </c>
      <c r="AD18" s="1510">
        <f t="shared" si="45"/>
        <v>0</v>
      </c>
      <c r="AE18" s="1395">
        <v>0</v>
      </c>
      <c r="AF18" s="1510">
        <f t="shared" si="46"/>
        <v>0</v>
      </c>
      <c r="AG18" s="1395"/>
      <c r="AH18" s="1395">
        <f t="shared" si="47"/>
        <v>0</v>
      </c>
      <c r="AI18" s="1510">
        <f t="shared" si="48"/>
        <v>0</v>
      </c>
      <c r="AJ18" s="1505">
        <f t="shared" si="49"/>
        <v>0</v>
      </c>
      <c r="AK18" s="1535">
        <f t="shared" si="50"/>
        <v>0</v>
      </c>
    </row>
    <row r="19" spans="1:37" ht="16.2" customHeight="1">
      <c r="A19" s="1176">
        <v>13</v>
      </c>
      <c r="B19" s="1177" t="s">
        <v>93</v>
      </c>
      <c r="C19" s="1178">
        <f>+'Table 8 Membership 2.1.14'!Q15</f>
        <v>0</v>
      </c>
      <c r="D19" s="1179">
        <f>+'Table 5C1A-Madison Prep'!D19</f>
        <v>6433.6297758332212</v>
      </c>
      <c r="E19" s="1180">
        <f t="shared" si="29"/>
        <v>0</v>
      </c>
      <c r="F19" s="1180">
        <f>+'Table 5C1A-Madison Prep'!F19</f>
        <v>749.43000000000006</v>
      </c>
      <c r="G19" s="1180">
        <f t="shared" si="30"/>
        <v>0</v>
      </c>
      <c r="H19" s="1539">
        <f t="shared" si="31"/>
        <v>0</v>
      </c>
      <c r="I19" s="1181"/>
      <c r="J19" s="1181"/>
      <c r="K19" s="1182">
        <f t="shared" si="32"/>
        <v>0</v>
      </c>
      <c r="L19" s="1539">
        <f t="shared" si="33"/>
        <v>0</v>
      </c>
      <c r="M19" s="1388">
        <f t="shared" si="28"/>
        <v>0</v>
      </c>
      <c r="N19" s="1539">
        <f t="shared" si="34"/>
        <v>0</v>
      </c>
      <c r="O19" s="1179">
        <v>0</v>
      </c>
      <c r="P19" s="1545">
        <f t="shared" si="35"/>
        <v>0</v>
      </c>
      <c r="Q19" s="1181"/>
      <c r="R19" s="1181">
        <f t="shared" si="36"/>
        <v>0</v>
      </c>
      <c r="S19" s="1545">
        <f t="shared" si="37"/>
        <v>0</v>
      </c>
      <c r="T19" s="1545">
        <f t="shared" si="38"/>
        <v>0</v>
      </c>
      <c r="U19" s="1389">
        <f>'Table 5C1A-Madison Prep'!U19</f>
        <v>2842</v>
      </c>
      <c r="V19" s="1515">
        <f t="shared" si="39"/>
        <v>0</v>
      </c>
      <c r="W19" s="1391"/>
      <c r="X19" s="1392">
        <f t="shared" si="40"/>
        <v>0</v>
      </c>
      <c r="Y19" s="1391"/>
      <c r="Z19" s="1392">
        <f t="shared" si="41"/>
        <v>0</v>
      </c>
      <c r="AA19" s="1390">
        <f t="shared" si="42"/>
        <v>0</v>
      </c>
      <c r="AB19" s="1510">
        <f t="shared" si="43"/>
        <v>0</v>
      </c>
      <c r="AC19" s="1394">
        <f t="shared" si="44"/>
        <v>0</v>
      </c>
      <c r="AD19" s="1510">
        <f t="shared" si="45"/>
        <v>0</v>
      </c>
      <c r="AE19" s="1395">
        <v>0</v>
      </c>
      <c r="AF19" s="1510">
        <f t="shared" si="46"/>
        <v>0</v>
      </c>
      <c r="AG19" s="1395"/>
      <c r="AH19" s="1395">
        <f t="shared" si="47"/>
        <v>0</v>
      </c>
      <c r="AI19" s="1510">
        <f t="shared" si="48"/>
        <v>0</v>
      </c>
      <c r="AJ19" s="1505">
        <f t="shared" si="49"/>
        <v>0</v>
      </c>
      <c r="AK19" s="1535">
        <f t="shared" si="50"/>
        <v>0</v>
      </c>
    </row>
    <row r="20" spans="1:37" ht="16.2" customHeight="1">
      <c r="A20" s="1176">
        <v>14</v>
      </c>
      <c r="B20" s="1177" t="s">
        <v>94</v>
      </c>
      <c r="C20" s="1178">
        <f>+'Table 8 Membership 2.1.14'!Q16</f>
        <v>0</v>
      </c>
      <c r="D20" s="1179">
        <f>+'Table 5C1A-Madison Prep'!D20</f>
        <v>5334.9509412500001</v>
      </c>
      <c r="E20" s="1180">
        <f t="shared" si="29"/>
        <v>0</v>
      </c>
      <c r="F20" s="1180">
        <f>+'Table 5C1A-Madison Prep'!F20</f>
        <v>809.9799999999999</v>
      </c>
      <c r="G20" s="1180">
        <f t="shared" si="30"/>
        <v>0</v>
      </c>
      <c r="H20" s="1539">
        <f t="shared" si="31"/>
        <v>0</v>
      </c>
      <c r="I20" s="1181"/>
      <c r="J20" s="1181"/>
      <c r="K20" s="1182">
        <f t="shared" si="32"/>
        <v>0</v>
      </c>
      <c r="L20" s="1539">
        <f t="shared" si="33"/>
        <v>0</v>
      </c>
      <c r="M20" s="1388">
        <f t="shared" si="28"/>
        <v>0</v>
      </c>
      <c r="N20" s="1539">
        <f t="shared" si="34"/>
        <v>0</v>
      </c>
      <c r="O20" s="1179">
        <v>0</v>
      </c>
      <c r="P20" s="1545">
        <f t="shared" si="35"/>
        <v>0</v>
      </c>
      <c r="Q20" s="1181"/>
      <c r="R20" s="1181">
        <f t="shared" si="36"/>
        <v>0</v>
      </c>
      <c r="S20" s="1545">
        <f t="shared" si="37"/>
        <v>0</v>
      </c>
      <c r="T20" s="1545">
        <f t="shared" si="38"/>
        <v>0</v>
      </c>
      <c r="U20" s="1389">
        <f>'Table 5C1A-Madison Prep'!U20</f>
        <v>4205</v>
      </c>
      <c r="V20" s="1515">
        <f t="shared" si="39"/>
        <v>0</v>
      </c>
      <c r="W20" s="1391"/>
      <c r="X20" s="1392">
        <f t="shared" si="40"/>
        <v>0</v>
      </c>
      <c r="Y20" s="1391"/>
      <c r="Z20" s="1392">
        <f t="shared" si="41"/>
        <v>0</v>
      </c>
      <c r="AA20" s="1390">
        <f t="shared" si="42"/>
        <v>0</v>
      </c>
      <c r="AB20" s="1510">
        <f t="shared" si="43"/>
        <v>0</v>
      </c>
      <c r="AC20" s="1394">
        <f t="shared" si="44"/>
        <v>0</v>
      </c>
      <c r="AD20" s="1510">
        <f t="shared" si="45"/>
        <v>0</v>
      </c>
      <c r="AE20" s="1395">
        <v>0</v>
      </c>
      <c r="AF20" s="1510">
        <f t="shared" si="46"/>
        <v>0</v>
      </c>
      <c r="AG20" s="1395"/>
      <c r="AH20" s="1395">
        <f t="shared" si="47"/>
        <v>0</v>
      </c>
      <c r="AI20" s="1510">
        <f t="shared" si="48"/>
        <v>0</v>
      </c>
      <c r="AJ20" s="1505">
        <f t="shared" si="49"/>
        <v>0</v>
      </c>
      <c r="AK20" s="1535">
        <f t="shared" si="50"/>
        <v>0</v>
      </c>
    </row>
    <row r="21" spans="1:37" ht="16.2" customHeight="1">
      <c r="A21" s="1168">
        <v>15</v>
      </c>
      <c r="B21" s="1169" t="s">
        <v>95</v>
      </c>
      <c r="C21" s="1170">
        <f>+'Table 8 Membership 2.1.14'!Q17</f>
        <v>0</v>
      </c>
      <c r="D21" s="1171">
        <f>+'Table 5C1A-Madison Prep'!D21</f>
        <v>5749.8285214059952</v>
      </c>
      <c r="E21" s="1172">
        <f t="shared" si="29"/>
        <v>0</v>
      </c>
      <c r="F21" s="1172">
        <f>+'Table 5C1A-Madison Prep'!F21</f>
        <v>553.79999999999995</v>
      </c>
      <c r="G21" s="1172">
        <f t="shared" si="30"/>
        <v>0</v>
      </c>
      <c r="H21" s="1540">
        <f t="shared" si="31"/>
        <v>0</v>
      </c>
      <c r="I21" s="1173"/>
      <c r="J21" s="1173"/>
      <c r="K21" s="1174">
        <f t="shared" si="32"/>
        <v>0</v>
      </c>
      <c r="L21" s="1540">
        <f t="shared" si="33"/>
        <v>0</v>
      </c>
      <c r="M21" s="1399">
        <f t="shared" si="28"/>
        <v>0</v>
      </c>
      <c r="N21" s="1540">
        <f t="shared" si="34"/>
        <v>0</v>
      </c>
      <c r="O21" s="1171">
        <v>0</v>
      </c>
      <c r="P21" s="1546">
        <f t="shared" si="35"/>
        <v>0</v>
      </c>
      <c r="Q21" s="1173"/>
      <c r="R21" s="1173">
        <f t="shared" si="36"/>
        <v>0</v>
      </c>
      <c r="S21" s="1546">
        <f t="shared" si="37"/>
        <v>0</v>
      </c>
      <c r="T21" s="1546">
        <f t="shared" si="38"/>
        <v>0</v>
      </c>
      <c r="U21" s="1382">
        <f>'Table 5C1A-Madison Prep'!U21</f>
        <v>2535</v>
      </c>
      <c r="V21" s="1516">
        <f t="shared" si="39"/>
        <v>0</v>
      </c>
      <c r="W21" s="1400"/>
      <c r="X21" s="1383">
        <f t="shared" si="40"/>
        <v>0</v>
      </c>
      <c r="Y21" s="1400"/>
      <c r="Z21" s="1383">
        <f t="shared" si="41"/>
        <v>0</v>
      </c>
      <c r="AA21" s="1384">
        <f t="shared" si="42"/>
        <v>0</v>
      </c>
      <c r="AB21" s="1511">
        <f t="shared" si="43"/>
        <v>0</v>
      </c>
      <c r="AC21" s="1402">
        <f t="shared" si="44"/>
        <v>0</v>
      </c>
      <c r="AD21" s="1511">
        <f t="shared" si="45"/>
        <v>0</v>
      </c>
      <c r="AE21" s="1385">
        <v>0</v>
      </c>
      <c r="AF21" s="1511">
        <f t="shared" si="46"/>
        <v>0</v>
      </c>
      <c r="AG21" s="1385"/>
      <c r="AH21" s="1385">
        <f t="shared" si="47"/>
        <v>0</v>
      </c>
      <c r="AI21" s="1511">
        <f t="shared" si="48"/>
        <v>0</v>
      </c>
      <c r="AJ21" s="1531">
        <f t="shared" si="49"/>
        <v>0</v>
      </c>
      <c r="AK21" s="1536">
        <f t="shared" si="50"/>
        <v>0</v>
      </c>
    </row>
    <row r="22" spans="1:37" ht="16.2" customHeight="1">
      <c r="A22" s="1183">
        <v>16</v>
      </c>
      <c r="B22" s="1184" t="s">
        <v>96</v>
      </c>
      <c r="C22" s="1185">
        <f>+'Table 8 Membership 2.1.14'!Q18</f>
        <v>0</v>
      </c>
      <c r="D22" s="1186">
        <f>+'Table 5C1A-Madison Prep'!D22</f>
        <v>1980.2494354342025</v>
      </c>
      <c r="E22" s="1187">
        <f t="shared" si="29"/>
        <v>0</v>
      </c>
      <c r="F22" s="1187">
        <f>+'Table 5C1A-Madison Prep'!F22</f>
        <v>686.73</v>
      </c>
      <c r="G22" s="1187">
        <f t="shared" si="30"/>
        <v>0</v>
      </c>
      <c r="H22" s="1538">
        <f t="shared" si="31"/>
        <v>0</v>
      </c>
      <c r="I22" s="1188"/>
      <c r="J22" s="1188"/>
      <c r="K22" s="1189">
        <f t="shared" si="32"/>
        <v>0</v>
      </c>
      <c r="L22" s="1538">
        <f t="shared" si="33"/>
        <v>0</v>
      </c>
      <c r="M22" s="1372">
        <f t="shared" si="28"/>
        <v>0</v>
      </c>
      <c r="N22" s="1538">
        <f t="shared" si="34"/>
        <v>0</v>
      </c>
      <c r="O22" s="1186">
        <v>0</v>
      </c>
      <c r="P22" s="1544">
        <f t="shared" si="35"/>
        <v>0</v>
      </c>
      <c r="Q22" s="1188"/>
      <c r="R22" s="1188">
        <f t="shared" si="36"/>
        <v>0</v>
      </c>
      <c r="S22" s="1544">
        <f t="shared" si="37"/>
        <v>0</v>
      </c>
      <c r="T22" s="1544">
        <f t="shared" si="38"/>
        <v>0</v>
      </c>
      <c r="U22" s="1373">
        <f>'Table 5C1A-Madison Prep'!U22</f>
        <v>12768</v>
      </c>
      <c r="V22" s="1514">
        <f t="shared" si="39"/>
        <v>0</v>
      </c>
      <c r="W22" s="1375"/>
      <c r="X22" s="1376">
        <f t="shared" si="40"/>
        <v>0</v>
      </c>
      <c r="Y22" s="1375"/>
      <c r="Z22" s="1376">
        <f t="shared" si="41"/>
        <v>0</v>
      </c>
      <c r="AA22" s="1374">
        <f t="shared" si="42"/>
        <v>0</v>
      </c>
      <c r="AB22" s="1509">
        <f t="shared" si="43"/>
        <v>0</v>
      </c>
      <c r="AC22" s="1378">
        <f t="shared" si="44"/>
        <v>0</v>
      </c>
      <c r="AD22" s="1509">
        <f t="shared" si="45"/>
        <v>0</v>
      </c>
      <c r="AE22" s="1379">
        <v>0</v>
      </c>
      <c r="AF22" s="1509">
        <f t="shared" si="46"/>
        <v>0</v>
      </c>
      <c r="AG22" s="1379"/>
      <c r="AH22" s="1379">
        <f t="shared" si="47"/>
        <v>0</v>
      </c>
      <c r="AI22" s="1509">
        <f t="shared" si="48"/>
        <v>0</v>
      </c>
      <c r="AJ22" s="1530">
        <f t="shared" si="49"/>
        <v>0</v>
      </c>
      <c r="AK22" s="1534">
        <f t="shared" si="50"/>
        <v>0</v>
      </c>
    </row>
    <row r="23" spans="1:37" ht="16.2" customHeight="1">
      <c r="A23" s="1176">
        <v>17</v>
      </c>
      <c r="B23" s="1177" t="s">
        <v>97</v>
      </c>
      <c r="C23" s="1178">
        <f>+'Table 8 Membership 2.1.14'!Q19</f>
        <v>0</v>
      </c>
      <c r="D23" s="1179">
        <f>+'Table 5C1A-Madison Prep'!D23</f>
        <v>3363.5980368254495</v>
      </c>
      <c r="E23" s="1180">
        <f t="shared" si="29"/>
        <v>0</v>
      </c>
      <c r="F23" s="1180">
        <f>+'Table 5C1A-Madison Prep'!F23</f>
        <v>801.47762416806802</v>
      </c>
      <c r="G23" s="1180">
        <f t="shared" si="30"/>
        <v>0</v>
      </c>
      <c r="H23" s="1539">
        <f t="shared" si="31"/>
        <v>0</v>
      </c>
      <c r="I23" s="1181"/>
      <c r="J23" s="1181"/>
      <c r="K23" s="1182">
        <f t="shared" si="32"/>
        <v>0</v>
      </c>
      <c r="L23" s="1539">
        <f t="shared" si="33"/>
        <v>0</v>
      </c>
      <c r="M23" s="1388">
        <f t="shared" si="28"/>
        <v>0</v>
      </c>
      <c r="N23" s="1539">
        <f t="shared" si="34"/>
        <v>0</v>
      </c>
      <c r="O23" s="1179">
        <v>0</v>
      </c>
      <c r="P23" s="1545">
        <f t="shared" si="35"/>
        <v>0</v>
      </c>
      <c r="Q23" s="1181"/>
      <c r="R23" s="1181">
        <f t="shared" si="36"/>
        <v>0</v>
      </c>
      <c r="S23" s="1545">
        <f t="shared" si="37"/>
        <v>0</v>
      </c>
      <c r="T23" s="1545">
        <f t="shared" si="38"/>
        <v>0</v>
      </c>
      <c r="U23" s="1389">
        <f>'Table 5C1A-Madison Prep'!U23</f>
        <v>7050</v>
      </c>
      <c r="V23" s="1515">
        <f t="shared" si="39"/>
        <v>0</v>
      </c>
      <c r="W23" s="1391"/>
      <c r="X23" s="1392">
        <f t="shared" si="40"/>
        <v>0</v>
      </c>
      <c r="Y23" s="1391"/>
      <c r="Z23" s="1392">
        <f t="shared" si="41"/>
        <v>0</v>
      </c>
      <c r="AA23" s="1390">
        <f t="shared" si="42"/>
        <v>0</v>
      </c>
      <c r="AB23" s="1510">
        <f t="shared" si="43"/>
        <v>0</v>
      </c>
      <c r="AC23" s="1394">
        <f t="shared" si="44"/>
        <v>0</v>
      </c>
      <c r="AD23" s="1510">
        <f t="shared" si="45"/>
        <v>0</v>
      </c>
      <c r="AE23" s="1395">
        <v>0</v>
      </c>
      <c r="AF23" s="1510">
        <f t="shared" si="46"/>
        <v>0</v>
      </c>
      <c r="AG23" s="1395"/>
      <c r="AH23" s="1395">
        <f t="shared" si="47"/>
        <v>0</v>
      </c>
      <c r="AI23" s="1510">
        <f t="shared" si="48"/>
        <v>0</v>
      </c>
      <c r="AJ23" s="1505">
        <f t="shared" si="49"/>
        <v>0</v>
      </c>
      <c r="AK23" s="1535">
        <f t="shared" si="50"/>
        <v>0</v>
      </c>
    </row>
    <row r="24" spans="1:37" ht="16.2" customHeight="1">
      <c r="A24" s="1176">
        <v>18</v>
      </c>
      <c r="B24" s="1177" t="s">
        <v>98</v>
      </c>
      <c r="C24" s="1178">
        <f>+'Table 8 Membership 2.1.14'!Q20</f>
        <v>0</v>
      </c>
      <c r="D24" s="1179">
        <f>+'Table 5C1A-Madison Prep'!D24</f>
        <v>6354.5533500475731</v>
      </c>
      <c r="E24" s="1180">
        <f t="shared" si="29"/>
        <v>0</v>
      </c>
      <c r="F24" s="1180">
        <f>+'Table 5C1A-Madison Prep'!F24</f>
        <v>845.94999999999993</v>
      </c>
      <c r="G24" s="1180">
        <f t="shared" si="30"/>
        <v>0</v>
      </c>
      <c r="H24" s="1539">
        <f t="shared" si="31"/>
        <v>0</v>
      </c>
      <c r="I24" s="1181"/>
      <c r="J24" s="1181"/>
      <c r="K24" s="1182">
        <f t="shared" si="32"/>
        <v>0</v>
      </c>
      <c r="L24" s="1539">
        <f t="shared" si="33"/>
        <v>0</v>
      </c>
      <c r="M24" s="1388">
        <f t="shared" si="28"/>
        <v>0</v>
      </c>
      <c r="N24" s="1539">
        <f t="shared" si="34"/>
        <v>0</v>
      </c>
      <c r="O24" s="1179">
        <v>0</v>
      </c>
      <c r="P24" s="1545">
        <f t="shared" si="35"/>
        <v>0</v>
      </c>
      <c r="Q24" s="1181"/>
      <c r="R24" s="1181">
        <f t="shared" si="36"/>
        <v>0</v>
      </c>
      <c r="S24" s="1545">
        <f t="shared" si="37"/>
        <v>0</v>
      </c>
      <c r="T24" s="1545">
        <f t="shared" si="38"/>
        <v>0</v>
      </c>
      <c r="U24" s="1389">
        <f>'Table 5C1A-Madison Prep'!U24</f>
        <v>2526</v>
      </c>
      <c r="V24" s="1515">
        <f t="shared" si="39"/>
        <v>0</v>
      </c>
      <c r="W24" s="1391"/>
      <c r="X24" s="1392">
        <f t="shared" si="40"/>
        <v>0</v>
      </c>
      <c r="Y24" s="1391"/>
      <c r="Z24" s="1392">
        <f t="shared" si="41"/>
        <v>0</v>
      </c>
      <c r="AA24" s="1390">
        <f t="shared" si="42"/>
        <v>0</v>
      </c>
      <c r="AB24" s="1510">
        <f t="shared" si="43"/>
        <v>0</v>
      </c>
      <c r="AC24" s="1394">
        <f t="shared" si="44"/>
        <v>0</v>
      </c>
      <c r="AD24" s="1510">
        <f t="shared" si="45"/>
        <v>0</v>
      </c>
      <c r="AE24" s="1395">
        <v>0</v>
      </c>
      <c r="AF24" s="1510">
        <f t="shared" si="46"/>
        <v>0</v>
      </c>
      <c r="AG24" s="1395"/>
      <c r="AH24" s="1395">
        <f t="shared" si="47"/>
        <v>0</v>
      </c>
      <c r="AI24" s="1510">
        <f t="shared" si="48"/>
        <v>0</v>
      </c>
      <c r="AJ24" s="1505">
        <f t="shared" si="49"/>
        <v>0</v>
      </c>
      <c r="AK24" s="1535">
        <f t="shared" si="50"/>
        <v>0</v>
      </c>
    </row>
    <row r="25" spans="1:37" ht="16.2" customHeight="1">
      <c r="A25" s="1176">
        <v>19</v>
      </c>
      <c r="B25" s="1177" t="s">
        <v>99</v>
      </c>
      <c r="C25" s="1178">
        <f>+'Table 8 Membership 2.1.14'!Q21</f>
        <v>0</v>
      </c>
      <c r="D25" s="1179">
        <f>+'Table 5C1A-Madison Prep'!D25</f>
        <v>5314.3921869460446</v>
      </c>
      <c r="E25" s="1180">
        <f t="shared" si="29"/>
        <v>0</v>
      </c>
      <c r="F25" s="1180">
        <f>+'Table 5C1A-Madison Prep'!F25</f>
        <v>905.43</v>
      </c>
      <c r="G25" s="1180">
        <f t="shared" si="30"/>
        <v>0</v>
      </c>
      <c r="H25" s="1539">
        <f t="shared" si="31"/>
        <v>0</v>
      </c>
      <c r="I25" s="1181"/>
      <c r="J25" s="1181"/>
      <c r="K25" s="1182">
        <f t="shared" si="32"/>
        <v>0</v>
      </c>
      <c r="L25" s="1539">
        <f t="shared" si="33"/>
        <v>0</v>
      </c>
      <c r="M25" s="1388">
        <f t="shared" si="28"/>
        <v>0</v>
      </c>
      <c r="N25" s="1539">
        <f t="shared" si="34"/>
        <v>0</v>
      </c>
      <c r="O25" s="1179">
        <v>0</v>
      </c>
      <c r="P25" s="1545">
        <f t="shared" si="35"/>
        <v>0</v>
      </c>
      <c r="Q25" s="1181"/>
      <c r="R25" s="1181">
        <f t="shared" si="36"/>
        <v>0</v>
      </c>
      <c r="S25" s="1545">
        <f t="shared" si="37"/>
        <v>0</v>
      </c>
      <c r="T25" s="1545">
        <f t="shared" si="38"/>
        <v>0</v>
      </c>
      <c r="U25" s="1389">
        <f>'Table 5C1A-Madison Prep'!U25</f>
        <v>2908</v>
      </c>
      <c r="V25" s="1515">
        <f t="shared" si="39"/>
        <v>0</v>
      </c>
      <c r="W25" s="1391"/>
      <c r="X25" s="1392">
        <f t="shared" si="40"/>
        <v>0</v>
      </c>
      <c r="Y25" s="1391"/>
      <c r="Z25" s="1392">
        <f t="shared" si="41"/>
        <v>0</v>
      </c>
      <c r="AA25" s="1390">
        <f t="shared" si="42"/>
        <v>0</v>
      </c>
      <c r="AB25" s="1510">
        <f t="shared" si="43"/>
        <v>0</v>
      </c>
      <c r="AC25" s="1394">
        <f t="shared" si="44"/>
        <v>0</v>
      </c>
      <c r="AD25" s="1510">
        <f t="shared" si="45"/>
        <v>0</v>
      </c>
      <c r="AE25" s="1395">
        <v>0</v>
      </c>
      <c r="AF25" s="1510">
        <f t="shared" si="46"/>
        <v>0</v>
      </c>
      <c r="AG25" s="1395"/>
      <c r="AH25" s="1395">
        <f t="shared" si="47"/>
        <v>0</v>
      </c>
      <c r="AI25" s="1510">
        <f t="shared" si="48"/>
        <v>0</v>
      </c>
      <c r="AJ25" s="1505">
        <f t="shared" si="49"/>
        <v>0</v>
      </c>
      <c r="AK25" s="1535">
        <f t="shared" si="50"/>
        <v>0</v>
      </c>
    </row>
    <row r="26" spans="1:37" ht="16.2" customHeight="1">
      <c r="A26" s="1168">
        <v>20</v>
      </c>
      <c r="B26" s="1169" t="s">
        <v>100</v>
      </c>
      <c r="C26" s="1170">
        <f>+'Table 8 Membership 2.1.14'!Q22</f>
        <v>0</v>
      </c>
      <c r="D26" s="1171">
        <f>+'Table 5C1A-Madison Prep'!D26</f>
        <v>5278.5201565562011</v>
      </c>
      <c r="E26" s="1172">
        <f t="shared" si="29"/>
        <v>0</v>
      </c>
      <c r="F26" s="1172">
        <f>+'Table 5C1A-Madison Prep'!F26</f>
        <v>586.16999999999996</v>
      </c>
      <c r="G26" s="1172">
        <f t="shared" si="30"/>
        <v>0</v>
      </c>
      <c r="H26" s="1540">
        <f t="shared" si="31"/>
        <v>0</v>
      </c>
      <c r="I26" s="1173"/>
      <c r="J26" s="1173"/>
      <c r="K26" s="1174">
        <f t="shared" si="32"/>
        <v>0</v>
      </c>
      <c r="L26" s="1540">
        <f t="shared" si="33"/>
        <v>0</v>
      </c>
      <c r="M26" s="1399">
        <f t="shared" si="28"/>
        <v>0</v>
      </c>
      <c r="N26" s="1540">
        <f t="shared" si="34"/>
        <v>0</v>
      </c>
      <c r="O26" s="1171">
        <v>0</v>
      </c>
      <c r="P26" s="1546">
        <f t="shared" si="35"/>
        <v>0</v>
      </c>
      <c r="Q26" s="1173"/>
      <c r="R26" s="1173">
        <f t="shared" si="36"/>
        <v>0</v>
      </c>
      <c r="S26" s="1546">
        <f t="shared" si="37"/>
        <v>0</v>
      </c>
      <c r="T26" s="1546">
        <f t="shared" si="38"/>
        <v>0</v>
      </c>
      <c r="U26" s="1382">
        <f>'Table 5C1A-Madison Prep'!U26</f>
        <v>2432</v>
      </c>
      <c r="V26" s="1516">
        <f t="shared" si="39"/>
        <v>0</v>
      </c>
      <c r="W26" s="1400"/>
      <c r="X26" s="1383">
        <f t="shared" si="40"/>
        <v>0</v>
      </c>
      <c r="Y26" s="1400"/>
      <c r="Z26" s="1383">
        <f t="shared" si="41"/>
        <v>0</v>
      </c>
      <c r="AA26" s="1384">
        <f t="shared" si="42"/>
        <v>0</v>
      </c>
      <c r="AB26" s="1511">
        <f t="shared" si="43"/>
        <v>0</v>
      </c>
      <c r="AC26" s="1402">
        <f t="shared" si="44"/>
        <v>0</v>
      </c>
      <c r="AD26" s="1511">
        <f t="shared" si="45"/>
        <v>0</v>
      </c>
      <c r="AE26" s="1385">
        <v>0</v>
      </c>
      <c r="AF26" s="1511">
        <f t="shared" si="46"/>
        <v>0</v>
      </c>
      <c r="AG26" s="1385"/>
      <c r="AH26" s="1385">
        <f t="shared" si="47"/>
        <v>0</v>
      </c>
      <c r="AI26" s="1511">
        <f t="shared" si="48"/>
        <v>0</v>
      </c>
      <c r="AJ26" s="1531">
        <f t="shared" si="49"/>
        <v>0</v>
      </c>
      <c r="AK26" s="1536">
        <f t="shared" si="50"/>
        <v>0</v>
      </c>
    </row>
    <row r="27" spans="1:37" ht="16.2" customHeight="1">
      <c r="A27" s="1183">
        <v>21</v>
      </c>
      <c r="B27" s="1184" t="s">
        <v>101</v>
      </c>
      <c r="C27" s="1185">
        <f>+'Table 8 Membership 2.1.14'!Q23</f>
        <v>0</v>
      </c>
      <c r="D27" s="1186">
        <f>+'Table 5C1A-Madison Prep'!D27</f>
        <v>6082.3042295867763</v>
      </c>
      <c r="E27" s="1187">
        <f t="shared" si="29"/>
        <v>0</v>
      </c>
      <c r="F27" s="1187">
        <f>+'Table 5C1A-Madison Prep'!F27</f>
        <v>610.35</v>
      </c>
      <c r="G27" s="1187">
        <f t="shared" si="30"/>
        <v>0</v>
      </c>
      <c r="H27" s="1538">
        <f t="shared" si="31"/>
        <v>0</v>
      </c>
      <c r="I27" s="1188"/>
      <c r="J27" s="1188"/>
      <c r="K27" s="1189">
        <f t="shared" si="32"/>
        <v>0</v>
      </c>
      <c r="L27" s="1538">
        <f t="shared" si="33"/>
        <v>0</v>
      </c>
      <c r="M27" s="1372">
        <f t="shared" si="28"/>
        <v>0</v>
      </c>
      <c r="N27" s="1538">
        <f t="shared" si="34"/>
        <v>0</v>
      </c>
      <c r="O27" s="1186">
        <v>0</v>
      </c>
      <c r="P27" s="1544">
        <f t="shared" si="35"/>
        <v>0</v>
      </c>
      <c r="Q27" s="1188"/>
      <c r="R27" s="1188">
        <f t="shared" si="36"/>
        <v>0</v>
      </c>
      <c r="S27" s="1544">
        <f t="shared" si="37"/>
        <v>0</v>
      </c>
      <c r="T27" s="1544">
        <f t="shared" si="38"/>
        <v>0</v>
      </c>
      <c r="U27" s="1373">
        <f>'Table 5C1A-Madison Prep'!U27</f>
        <v>2460</v>
      </c>
      <c r="V27" s="1514">
        <f t="shared" si="39"/>
        <v>0</v>
      </c>
      <c r="W27" s="1375"/>
      <c r="X27" s="1376">
        <f t="shared" si="40"/>
        <v>0</v>
      </c>
      <c r="Y27" s="1375"/>
      <c r="Z27" s="1376">
        <f t="shared" si="41"/>
        <v>0</v>
      </c>
      <c r="AA27" s="1374">
        <f t="shared" si="42"/>
        <v>0</v>
      </c>
      <c r="AB27" s="1509">
        <f t="shared" si="43"/>
        <v>0</v>
      </c>
      <c r="AC27" s="1378">
        <f t="shared" si="44"/>
        <v>0</v>
      </c>
      <c r="AD27" s="1509">
        <f t="shared" si="45"/>
        <v>0</v>
      </c>
      <c r="AE27" s="1379">
        <v>0</v>
      </c>
      <c r="AF27" s="1509">
        <f t="shared" si="46"/>
        <v>0</v>
      </c>
      <c r="AG27" s="1379"/>
      <c r="AH27" s="1379">
        <f t="shared" si="47"/>
        <v>0</v>
      </c>
      <c r="AI27" s="1509">
        <f t="shared" si="48"/>
        <v>0</v>
      </c>
      <c r="AJ27" s="1530">
        <f t="shared" si="49"/>
        <v>0</v>
      </c>
      <c r="AK27" s="1534">
        <f t="shared" si="50"/>
        <v>0</v>
      </c>
    </row>
    <row r="28" spans="1:37" ht="16.2" customHeight="1">
      <c r="A28" s="1176">
        <v>22</v>
      </c>
      <c r="B28" s="1177" t="s">
        <v>102</v>
      </c>
      <c r="C28" s="1178">
        <f>+'Table 8 Membership 2.1.14'!Q24</f>
        <v>0</v>
      </c>
      <c r="D28" s="1179">
        <f>+'Table 5C1A-Madison Prep'!D28</f>
        <v>6416.1099808195995</v>
      </c>
      <c r="E28" s="1180">
        <f t="shared" si="29"/>
        <v>0</v>
      </c>
      <c r="F28" s="1180">
        <f>+'Table 5C1A-Madison Prep'!F28</f>
        <v>496.36</v>
      </c>
      <c r="G28" s="1180">
        <f t="shared" si="30"/>
        <v>0</v>
      </c>
      <c r="H28" s="1539">
        <f t="shared" si="31"/>
        <v>0</v>
      </c>
      <c r="I28" s="1181"/>
      <c r="J28" s="1181"/>
      <c r="K28" s="1182">
        <f t="shared" si="32"/>
        <v>0</v>
      </c>
      <c r="L28" s="1539">
        <f t="shared" si="33"/>
        <v>0</v>
      </c>
      <c r="M28" s="1388">
        <f t="shared" si="28"/>
        <v>0</v>
      </c>
      <c r="N28" s="1539">
        <f t="shared" si="34"/>
        <v>0</v>
      </c>
      <c r="O28" s="1179">
        <v>0</v>
      </c>
      <c r="P28" s="1545">
        <f t="shared" si="35"/>
        <v>0</v>
      </c>
      <c r="Q28" s="1181"/>
      <c r="R28" s="1181">
        <f t="shared" si="36"/>
        <v>0</v>
      </c>
      <c r="S28" s="1545">
        <f t="shared" si="37"/>
        <v>0</v>
      </c>
      <c r="T28" s="1545">
        <f t="shared" si="38"/>
        <v>0</v>
      </c>
      <c r="U28" s="1389">
        <f>'Table 5C1A-Madison Prep'!U28</f>
        <v>1613</v>
      </c>
      <c r="V28" s="1515">
        <f t="shared" si="39"/>
        <v>0</v>
      </c>
      <c r="W28" s="1391"/>
      <c r="X28" s="1392">
        <f t="shared" si="40"/>
        <v>0</v>
      </c>
      <c r="Y28" s="1391"/>
      <c r="Z28" s="1392">
        <f t="shared" si="41"/>
        <v>0</v>
      </c>
      <c r="AA28" s="1390">
        <f t="shared" si="42"/>
        <v>0</v>
      </c>
      <c r="AB28" s="1510">
        <f t="shared" si="43"/>
        <v>0</v>
      </c>
      <c r="AC28" s="1394">
        <f t="shared" si="44"/>
        <v>0</v>
      </c>
      <c r="AD28" s="1510">
        <f t="shared" si="45"/>
        <v>0</v>
      </c>
      <c r="AE28" s="1395">
        <v>0</v>
      </c>
      <c r="AF28" s="1510">
        <f t="shared" si="46"/>
        <v>0</v>
      </c>
      <c r="AG28" s="1395"/>
      <c r="AH28" s="1395">
        <f t="shared" si="47"/>
        <v>0</v>
      </c>
      <c r="AI28" s="1510">
        <f t="shared" si="48"/>
        <v>0</v>
      </c>
      <c r="AJ28" s="1505">
        <f t="shared" si="49"/>
        <v>0</v>
      </c>
      <c r="AK28" s="1535">
        <f t="shared" si="50"/>
        <v>0</v>
      </c>
    </row>
    <row r="29" spans="1:37" ht="16.2" customHeight="1">
      <c r="A29" s="1176">
        <v>23</v>
      </c>
      <c r="B29" s="1177" t="s">
        <v>103</v>
      </c>
      <c r="C29" s="1178">
        <f>+'Table 8 Membership 2.1.14'!Q25</f>
        <v>0</v>
      </c>
      <c r="D29" s="1179">
        <f>+'Table 5C1A-Madison Prep'!D29</f>
        <v>5011.0215265979159</v>
      </c>
      <c r="E29" s="1180">
        <f t="shared" si="29"/>
        <v>0</v>
      </c>
      <c r="F29" s="1180">
        <f>+'Table 5C1A-Madison Prep'!F29</f>
        <v>688.58</v>
      </c>
      <c r="G29" s="1180">
        <f t="shared" si="30"/>
        <v>0</v>
      </c>
      <c r="H29" s="1539">
        <f t="shared" si="31"/>
        <v>0</v>
      </c>
      <c r="I29" s="1181"/>
      <c r="J29" s="1181"/>
      <c r="K29" s="1182">
        <f t="shared" si="32"/>
        <v>0</v>
      </c>
      <c r="L29" s="1539">
        <f t="shared" si="33"/>
        <v>0</v>
      </c>
      <c r="M29" s="1388">
        <f t="shared" si="28"/>
        <v>0</v>
      </c>
      <c r="N29" s="1539">
        <f t="shared" si="34"/>
        <v>0</v>
      </c>
      <c r="O29" s="1179">
        <v>0</v>
      </c>
      <c r="P29" s="1545">
        <f t="shared" si="35"/>
        <v>0</v>
      </c>
      <c r="Q29" s="1181"/>
      <c r="R29" s="1181">
        <f t="shared" si="36"/>
        <v>0</v>
      </c>
      <c r="S29" s="1545">
        <f t="shared" si="37"/>
        <v>0</v>
      </c>
      <c r="T29" s="1545">
        <f t="shared" si="38"/>
        <v>0</v>
      </c>
      <c r="U29" s="1389">
        <f>'Table 5C1A-Madison Prep'!U29</f>
        <v>3473</v>
      </c>
      <c r="V29" s="1515">
        <f t="shared" si="39"/>
        <v>0</v>
      </c>
      <c r="W29" s="1391"/>
      <c r="X29" s="1392">
        <f t="shared" si="40"/>
        <v>0</v>
      </c>
      <c r="Y29" s="1391"/>
      <c r="Z29" s="1392">
        <f t="shared" si="41"/>
        <v>0</v>
      </c>
      <c r="AA29" s="1390">
        <f t="shared" si="42"/>
        <v>0</v>
      </c>
      <c r="AB29" s="1510">
        <f t="shared" si="43"/>
        <v>0</v>
      </c>
      <c r="AC29" s="1394">
        <f t="shared" si="44"/>
        <v>0</v>
      </c>
      <c r="AD29" s="1510">
        <f t="shared" si="45"/>
        <v>0</v>
      </c>
      <c r="AE29" s="1395">
        <v>0</v>
      </c>
      <c r="AF29" s="1510">
        <f t="shared" si="46"/>
        <v>0</v>
      </c>
      <c r="AG29" s="1395"/>
      <c r="AH29" s="1395">
        <f t="shared" si="47"/>
        <v>0</v>
      </c>
      <c r="AI29" s="1510">
        <f t="shared" si="48"/>
        <v>0</v>
      </c>
      <c r="AJ29" s="1505">
        <f t="shared" si="49"/>
        <v>0</v>
      </c>
      <c r="AK29" s="1535">
        <f t="shared" si="50"/>
        <v>0</v>
      </c>
    </row>
    <row r="30" spans="1:37" ht="16.2" customHeight="1">
      <c r="A30" s="1176">
        <v>24</v>
      </c>
      <c r="B30" s="1177" t="s">
        <v>104</v>
      </c>
      <c r="C30" s="1178">
        <f>+'Table 8 Membership 2.1.14'!Q26</f>
        <v>0</v>
      </c>
      <c r="D30" s="1179">
        <f>+'Table 5C1A-Madison Prep'!D30</f>
        <v>2611.6740361576999</v>
      </c>
      <c r="E30" s="1180">
        <f t="shared" si="29"/>
        <v>0</v>
      </c>
      <c r="F30" s="1180">
        <f>+'Table 5C1A-Madison Prep'!F30</f>
        <v>854.24999999999989</v>
      </c>
      <c r="G30" s="1180">
        <f t="shared" si="30"/>
        <v>0</v>
      </c>
      <c r="H30" s="1539">
        <f t="shared" si="31"/>
        <v>0</v>
      </c>
      <c r="I30" s="1181"/>
      <c r="J30" s="1181"/>
      <c r="K30" s="1182">
        <f t="shared" si="32"/>
        <v>0</v>
      </c>
      <c r="L30" s="1539">
        <f t="shared" si="33"/>
        <v>0</v>
      </c>
      <c r="M30" s="1388">
        <f t="shared" si="28"/>
        <v>0</v>
      </c>
      <c r="N30" s="1539">
        <f t="shared" si="34"/>
        <v>0</v>
      </c>
      <c r="O30" s="1179">
        <v>0</v>
      </c>
      <c r="P30" s="1545">
        <f t="shared" si="35"/>
        <v>0</v>
      </c>
      <c r="Q30" s="1181"/>
      <c r="R30" s="1181">
        <f t="shared" si="36"/>
        <v>0</v>
      </c>
      <c r="S30" s="1545">
        <f t="shared" si="37"/>
        <v>0</v>
      </c>
      <c r="T30" s="1545">
        <f t="shared" si="38"/>
        <v>0</v>
      </c>
      <c r="U30" s="1389">
        <f>'Table 5C1A-Madison Prep'!U30</f>
        <v>10053</v>
      </c>
      <c r="V30" s="1515">
        <f t="shared" si="39"/>
        <v>0</v>
      </c>
      <c r="W30" s="1391"/>
      <c r="X30" s="1392">
        <f t="shared" si="40"/>
        <v>0</v>
      </c>
      <c r="Y30" s="1391"/>
      <c r="Z30" s="1392">
        <f t="shared" si="41"/>
        <v>0</v>
      </c>
      <c r="AA30" s="1390">
        <f t="shared" si="42"/>
        <v>0</v>
      </c>
      <c r="AB30" s="1510">
        <f t="shared" si="43"/>
        <v>0</v>
      </c>
      <c r="AC30" s="1394">
        <f t="shared" si="44"/>
        <v>0</v>
      </c>
      <c r="AD30" s="1510">
        <f t="shared" si="45"/>
        <v>0</v>
      </c>
      <c r="AE30" s="1395">
        <v>0</v>
      </c>
      <c r="AF30" s="1510">
        <f t="shared" si="46"/>
        <v>0</v>
      </c>
      <c r="AG30" s="1395"/>
      <c r="AH30" s="1395">
        <f t="shared" si="47"/>
        <v>0</v>
      </c>
      <c r="AI30" s="1510">
        <f t="shared" si="48"/>
        <v>0</v>
      </c>
      <c r="AJ30" s="1505">
        <f t="shared" si="49"/>
        <v>0</v>
      </c>
      <c r="AK30" s="1535">
        <f t="shared" si="50"/>
        <v>0</v>
      </c>
    </row>
    <row r="31" spans="1:37" ht="16.2" customHeight="1">
      <c r="A31" s="1168">
        <v>25</v>
      </c>
      <c r="B31" s="1169" t="s">
        <v>105</v>
      </c>
      <c r="C31" s="1170">
        <f>+'Table 8 Membership 2.1.14'!Q27</f>
        <v>0</v>
      </c>
      <c r="D31" s="1171">
        <f>+'Table 5C1A-Madison Prep'!D31</f>
        <v>4173.0720274945697</v>
      </c>
      <c r="E31" s="1172">
        <f t="shared" si="29"/>
        <v>0</v>
      </c>
      <c r="F31" s="1172">
        <f>+'Table 5C1A-Madison Prep'!F31</f>
        <v>653.73</v>
      </c>
      <c r="G31" s="1172">
        <f t="shared" si="30"/>
        <v>0</v>
      </c>
      <c r="H31" s="1540">
        <f t="shared" si="31"/>
        <v>0</v>
      </c>
      <c r="I31" s="1173"/>
      <c r="J31" s="1173"/>
      <c r="K31" s="1174">
        <f t="shared" si="32"/>
        <v>0</v>
      </c>
      <c r="L31" s="1540">
        <f t="shared" si="33"/>
        <v>0</v>
      </c>
      <c r="M31" s="1399">
        <f t="shared" si="28"/>
        <v>0</v>
      </c>
      <c r="N31" s="1540">
        <f t="shared" si="34"/>
        <v>0</v>
      </c>
      <c r="O31" s="1171">
        <v>0</v>
      </c>
      <c r="P31" s="1546">
        <f t="shared" si="35"/>
        <v>0</v>
      </c>
      <c r="Q31" s="1173"/>
      <c r="R31" s="1173">
        <f t="shared" si="36"/>
        <v>0</v>
      </c>
      <c r="S31" s="1546">
        <f t="shared" si="37"/>
        <v>0</v>
      </c>
      <c r="T31" s="1546">
        <f t="shared" si="38"/>
        <v>0</v>
      </c>
      <c r="U31" s="1382">
        <f>'Table 5C1A-Madison Prep'!U31</f>
        <v>5073</v>
      </c>
      <c r="V31" s="1516">
        <f t="shared" si="39"/>
        <v>0</v>
      </c>
      <c r="W31" s="1400"/>
      <c r="X31" s="1383">
        <f t="shared" si="40"/>
        <v>0</v>
      </c>
      <c r="Y31" s="1400"/>
      <c r="Z31" s="1383">
        <f t="shared" si="41"/>
        <v>0</v>
      </c>
      <c r="AA31" s="1384">
        <f t="shared" si="42"/>
        <v>0</v>
      </c>
      <c r="AB31" s="1511">
        <f t="shared" si="43"/>
        <v>0</v>
      </c>
      <c r="AC31" s="1402">
        <f t="shared" si="44"/>
        <v>0</v>
      </c>
      <c r="AD31" s="1511">
        <f t="shared" si="45"/>
        <v>0</v>
      </c>
      <c r="AE31" s="1385">
        <v>0</v>
      </c>
      <c r="AF31" s="1511">
        <f t="shared" si="46"/>
        <v>0</v>
      </c>
      <c r="AG31" s="1385"/>
      <c r="AH31" s="1385">
        <f t="shared" si="47"/>
        <v>0</v>
      </c>
      <c r="AI31" s="1511">
        <f t="shared" si="48"/>
        <v>0</v>
      </c>
      <c r="AJ31" s="1531">
        <f t="shared" si="49"/>
        <v>0</v>
      </c>
      <c r="AK31" s="1536">
        <f t="shared" si="50"/>
        <v>0</v>
      </c>
    </row>
    <row r="32" spans="1:37" ht="16.2" customHeight="1">
      <c r="A32" s="1183">
        <v>26</v>
      </c>
      <c r="B32" s="1184" t="s">
        <v>106</v>
      </c>
      <c r="C32" s="1185">
        <f>+'Table 8 Membership 2.1.14'!Q28</f>
        <v>91</v>
      </c>
      <c r="D32" s="1186">
        <f>+'Table 5C1A-Madison Prep'!D32</f>
        <v>3424.5649970570835</v>
      </c>
      <c r="E32" s="1187">
        <f t="shared" si="29"/>
        <v>311635.41473219462</v>
      </c>
      <c r="F32" s="1187">
        <f>+'Table 5C1A-Madison Prep'!F32</f>
        <v>836.83</v>
      </c>
      <c r="G32" s="1187">
        <f t="shared" si="30"/>
        <v>76151.53</v>
      </c>
      <c r="H32" s="1538">
        <f t="shared" si="31"/>
        <v>387786.94473219465</v>
      </c>
      <c r="I32" s="1188"/>
      <c r="J32" s="1188"/>
      <c r="K32" s="1189">
        <f t="shared" si="32"/>
        <v>0</v>
      </c>
      <c r="L32" s="1538">
        <f t="shared" si="33"/>
        <v>387786.94473219465</v>
      </c>
      <c r="M32" s="1372">
        <f t="shared" si="28"/>
        <v>-969.46736183048665</v>
      </c>
      <c r="N32" s="1538">
        <f t="shared" si="34"/>
        <v>386817.47737036418</v>
      </c>
      <c r="O32" s="1186">
        <v>0</v>
      </c>
      <c r="P32" s="1544">
        <f t="shared" si="35"/>
        <v>386817.47737036418</v>
      </c>
      <c r="Q32" s="1188"/>
      <c r="R32" s="1188">
        <f t="shared" si="36"/>
        <v>386817.47737036418</v>
      </c>
      <c r="S32" s="1544">
        <f t="shared" si="37"/>
        <v>32235</v>
      </c>
      <c r="T32" s="1544">
        <f t="shared" si="38"/>
        <v>386817.47737036418</v>
      </c>
      <c r="U32" s="1373">
        <f>'Table 5C1A-Madison Prep'!U32</f>
        <v>5260</v>
      </c>
      <c r="V32" s="1514">
        <f t="shared" si="39"/>
        <v>478660</v>
      </c>
      <c r="W32" s="1375"/>
      <c r="X32" s="1376">
        <f t="shared" si="40"/>
        <v>0</v>
      </c>
      <c r="Y32" s="1375"/>
      <c r="Z32" s="1376">
        <f t="shared" si="41"/>
        <v>0</v>
      </c>
      <c r="AA32" s="1374">
        <f t="shared" si="42"/>
        <v>0</v>
      </c>
      <c r="AB32" s="1509">
        <f t="shared" si="43"/>
        <v>478660</v>
      </c>
      <c r="AC32" s="1378">
        <f t="shared" si="44"/>
        <v>-1196.6500000000001</v>
      </c>
      <c r="AD32" s="1509">
        <f t="shared" si="45"/>
        <v>477463.35</v>
      </c>
      <c r="AE32" s="1379">
        <v>0</v>
      </c>
      <c r="AF32" s="1509">
        <f t="shared" si="46"/>
        <v>477463.35</v>
      </c>
      <c r="AG32" s="1379"/>
      <c r="AH32" s="1379">
        <f t="shared" si="47"/>
        <v>477463.35</v>
      </c>
      <c r="AI32" s="1509">
        <f t="shared" si="48"/>
        <v>39789</v>
      </c>
      <c r="AJ32" s="1530">
        <f t="shared" si="49"/>
        <v>864280.82737036422</v>
      </c>
      <c r="AK32" s="1534">
        <f t="shared" si="50"/>
        <v>72024</v>
      </c>
    </row>
    <row r="33" spans="1:37" ht="16.2" customHeight="1">
      <c r="A33" s="1176">
        <v>27</v>
      </c>
      <c r="B33" s="1177" t="s">
        <v>107</v>
      </c>
      <c r="C33" s="1178">
        <f>+'Table 8 Membership 2.1.14'!Q29</f>
        <v>0</v>
      </c>
      <c r="D33" s="1179">
        <f>+'Table 5C1A-Madison Prep'!D33</f>
        <v>5804.9013839977006</v>
      </c>
      <c r="E33" s="1180">
        <f t="shared" si="29"/>
        <v>0</v>
      </c>
      <c r="F33" s="1180">
        <f>+'Table 5C1A-Madison Prep'!F33</f>
        <v>693.06</v>
      </c>
      <c r="G33" s="1180">
        <f t="shared" si="30"/>
        <v>0</v>
      </c>
      <c r="H33" s="1539">
        <f t="shared" si="31"/>
        <v>0</v>
      </c>
      <c r="I33" s="1181"/>
      <c r="J33" s="1181"/>
      <c r="K33" s="1182">
        <f t="shared" si="32"/>
        <v>0</v>
      </c>
      <c r="L33" s="1539">
        <f t="shared" si="33"/>
        <v>0</v>
      </c>
      <c r="M33" s="1388">
        <f t="shared" si="28"/>
        <v>0</v>
      </c>
      <c r="N33" s="1539">
        <f t="shared" si="34"/>
        <v>0</v>
      </c>
      <c r="O33" s="1179">
        <v>0</v>
      </c>
      <c r="P33" s="1545">
        <f t="shared" si="35"/>
        <v>0</v>
      </c>
      <c r="Q33" s="1181"/>
      <c r="R33" s="1181">
        <f t="shared" si="36"/>
        <v>0</v>
      </c>
      <c r="S33" s="1545">
        <f t="shared" si="37"/>
        <v>0</v>
      </c>
      <c r="T33" s="1545">
        <f t="shared" si="38"/>
        <v>0</v>
      </c>
      <c r="U33" s="1389">
        <f>'Table 5C1A-Madison Prep'!U33</f>
        <v>3169</v>
      </c>
      <c r="V33" s="1515">
        <f t="shared" si="39"/>
        <v>0</v>
      </c>
      <c r="W33" s="1391"/>
      <c r="X33" s="1392">
        <f t="shared" si="40"/>
        <v>0</v>
      </c>
      <c r="Y33" s="1391"/>
      <c r="Z33" s="1392">
        <f t="shared" si="41"/>
        <v>0</v>
      </c>
      <c r="AA33" s="1390">
        <f t="shared" si="42"/>
        <v>0</v>
      </c>
      <c r="AB33" s="1510">
        <f t="shared" si="43"/>
        <v>0</v>
      </c>
      <c r="AC33" s="1394">
        <f t="shared" si="44"/>
        <v>0</v>
      </c>
      <c r="AD33" s="1510">
        <f t="shared" si="45"/>
        <v>0</v>
      </c>
      <c r="AE33" s="1395">
        <v>0</v>
      </c>
      <c r="AF33" s="1510">
        <f t="shared" si="46"/>
        <v>0</v>
      </c>
      <c r="AG33" s="1395"/>
      <c r="AH33" s="1395">
        <f t="shared" si="47"/>
        <v>0</v>
      </c>
      <c r="AI33" s="1510">
        <f t="shared" si="48"/>
        <v>0</v>
      </c>
      <c r="AJ33" s="1505">
        <f t="shared" si="49"/>
        <v>0</v>
      </c>
      <c r="AK33" s="1535">
        <f t="shared" si="50"/>
        <v>0</v>
      </c>
    </row>
    <row r="34" spans="1:37" ht="16.2" customHeight="1">
      <c r="A34" s="1176">
        <v>28</v>
      </c>
      <c r="B34" s="1177" t="s">
        <v>108</v>
      </c>
      <c r="C34" s="1178">
        <f>+'Table 8 Membership 2.1.14'!Q30</f>
        <v>0</v>
      </c>
      <c r="D34" s="1179">
        <f>+'Table 5C1A-Madison Prep'!D34</f>
        <v>3137.4158846568821</v>
      </c>
      <c r="E34" s="1180">
        <f t="shared" si="29"/>
        <v>0</v>
      </c>
      <c r="F34" s="1180">
        <f>+'Table 5C1A-Madison Prep'!F34</f>
        <v>694.4</v>
      </c>
      <c r="G34" s="1180">
        <f t="shared" si="30"/>
        <v>0</v>
      </c>
      <c r="H34" s="1539">
        <f t="shared" si="31"/>
        <v>0</v>
      </c>
      <c r="I34" s="1181"/>
      <c r="J34" s="1181"/>
      <c r="K34" s="1182">
        <f t="shared" si="32"/>
        <v>0</v>
      </c>
      <c r="L34" s="1539">
        <f t="shared" si="33"/>
        <v>0</v>
      </c>
      <c r="M34" s="1388">
        <f t="shared" si="28"/>
        <v>0</v>
      </c>
      <c r="N34" s="1539">
        <f t="shared" si="34"/>
        <v>0</v>
      </c>
      <c r="O34" s="1179">
        <v>0</v>
      </c>
      <c r="P34" s="1545">
        <f t="shared" si="35"/>
        <v>0</v>
      </c>
      <c r="Q34" s="1181"/>
      <c r="R34" s="1181">
        <f t="shared" si="36"/>
        <v>0</v>
      </c>
      <c r="S34" s="1545">
        <f t="shared" si="37"/>
        <v>0</v>
      </c>
      <c r="T34" s="1545">
        <f t="shared" si="38"/>
        <v>0</v>
      </c>
      <c r="U34" s="1389">
        <f>'Table 5C1A-Madison Prep'!U34</f>
        <v>5790</v>
      </c>
      <c r="V34" s="1515">
        <f t="shared" si="39"/>
        <v>0</v>
      </c>
      <c r="W34" s="1391"/>
      <c r="X34" s="1392">
        <f t="shared" si="40"/>
        <v>0</v>
      </c>
      <c r="Y34" s="1391"/>
      <c r="Z34" s="1392">
        <f t="shared" si="41"/>
        <v>0</v>
      </c>
      <c r="AA34" s="1390">
        <f t="shared" si="42"/>
        <v>0</v>
      </c>
      <c r="AB34" s="1510">
        <f t="shared" si="43"/>
        <v>0</v>
      </c>
      <c r="AC34" s="1394">
        <f t="shared" si="44"/>
        <v>0</v>
      </c>
      <c r="AD34" s="1510">
        <f t="shared" si="45"/>
        <v>0</v>
      </c>
      <c r="AE34" s="1395">
        <v>0</v>
      </c>
      <c r="AF34" s="1510">
        <f t="shared" si="46"/>
        <v>0</v>
      </c>
      <c r="AG34" s="1395"/>
      <c r="AH34" s="1395">
        <f t="shared" si="47"/>
        <v>0</v>
      </c>
      <c r="AI34" s="1510">
        <f t="shared" si="48"/>
        <v>0</v>
      </c>
      <c r="AJ34" s="1505">
        <f t="shared" si="49"/>
        <v>0</v>
      </c>
      <c r="AK34" s="1535">
        <f t="shared" si="50"/>
        <v>0</v>
      </c>
    </row>
    <row r="35" spans="1:37" ht="16.2" customHeight="1">
      <c r="A35" s="1176">
        <v>29</v>
      </c>
      <c r="B35" s="1177" t="s">
        <v>109</v>
      </c>
      <c r="C35" s="1178">
        <f>+'Table 8 Membership 2.1.14'!Q31</f>
        <v>0</v>
      </c>
      <c r="D35" s="1179">
        <f>+'Table 5C1A-Madison Prep'!D35</f>
        <v>3839.0123210173724</v>
      </c>
      <c r="E35" s="1180">
        <f t="shared" si="29"/>
        <v>0</v>
      </c>
      <c r="F35" s="1180">
        <f>+'Table 5C1A-Madison Prep'!F35</f>
        <v>754.94999999999993</v>
      </c>
      <c r="G35" s="1180">
        <f t="shared" si="30"/>
        <v>0</v>
      </c>
      <c r="H35" s="1539">
        <f t="shared" si="31"/>
        <v>0</v>
      </c>
      <c r="I35" s="1181"/>
      <c r="J35" s="1181"/>
      <c r="K35" s="1182">
        <f t="shared" si="32"/>
        <v>0</v>
      </c>
      <c r="L35" s="1539">
        <f t="shared" si="33"/>
        <v>0</v>
      </c>
      <c r="M35" s="1388">
        <f t="shared" si="28"/>
        <v>0</v>
      </c>
      <c r="N35" s="1539">
        <f t="shared" si="34"/>
        <v>0</v>
      </c>
      <c r="O35" s="1179">
        <v>0</v>
      </c>
      <c r="P35" s="1545">
        <f t="shared" si="35"/>
        <v>0</v>
      </c>
      <c r="Q35" s="1181"/>
      <c r="R35" s="1181">
        <f t="shared" si="36"/>
        <v>0</v>
      </c>
      <c r="S35" s="1545">
        <f t="shared" si="37"/>
        <v>0</v>
      </c>
      <c r="T35" s="1545">
        <f t="shared" si="38"/>
        <v>0</v>
      </c>
      <c r="U35" s="1389">
        <f>'Table 5C1A-Madison Prep'!U35</f>
        <v>5069</v>
      </c>
      <c r="V35" s="1515">
        <f t="shared" si="39"/>
        <v>0</v>
      </c>
      <c r="W35" s="1391"/>
      <c r="X35" s="1392">
        <f t="shared" si="40"/>
        <v>0</v>
      </c>
      <c r="Y35" s="1391"/>
      <c r="Z35" s="1392">
        <f t="shared" si="41"/>
        <v>0</v>
      </c>
      <c r="AA35" s="1390">
        <f t="shared" si="42"/>
        <v>0</v>
      </c>
      <c r="AB35" s="1510">
        <f t="shared" si="43"/>
        <v>0</v>
      </c>
      <c r="AC35" s="1394">
        <f t="shared" si="44"/>
        <v>0</v>
      </c>
      <c r="AD35" s="1510">
        <f t="shared" si="45"/>
        <v>0</v>
      </c>
      <c r="AE35" s="1395">
        <v>0</v>
      </c>
      <c r="AF35" s="1510">
        <f t="shared" si="46"/>
        <v>0</v>
      </c>
      <c r="AG35" s="1395"/>
      <c r="AH35" s="1395">
        <f t="shared" si="47"/>
        <v>0</v>
      </c>
      <c r="AI35" s="1510">
        <f t="shared" si="48"/>
        <v>0</v>
      </c>
      <c r="AJ35" s="1505">
        <f t="shared" si="49"/>
        <v>0</v>
      </c>
      <c r="AK35" s="1535">
        <f t="shared" si="50"/>
        <v>0</v>
      </c>
    </row>
    <row r="36" spans="1:37" ht="16.2" customHeight="1">
      <c r="A36" s="1168">
        <v>30</v>
      </c>
      <c r="B36" s="1169" t="s">
        <v>110</v>
      </c>
      <c r="C36" s="1170">
        <f>+'Table 8 Membership 2.1.14'!Q32</f>
        <v>0</v>
      </c>
      <c r="D36" s="1171">
        <f>+'Table 5C1A-Madison Prep'!D36</f>
        <v>5804.5327273996763</v>
      </c>
      <c r="E36" s="1172">
        <f t="shared" si="29"/>
        <v>0</v>
      </c>
      <c r="F36" s="1172">
        <f>+'Table 5C1A-Madison Prep'!F36</f>
        <v>727.17</v>
      </c>
      <c r="G36" s="1172">
        <f t="shared" si="30"/>
        <v>0</v>
      </c>
      <c r="H36" s="1540">
        <f t="shared" si="31"/>
        <v>0</v>
      </c>
      <c r="I36" s="1173"/>
      <c r="J36" s="1173"/>
      <c r="K36" s="1174">
        <f t="shared" si="32"/>
        <v>0</v>
      </c>
      <c r="L36" s="1540">
        <f t="shared" si="33"/>
        <v>0</v>
      </c>
      <c r="M36" s="1399">
        <f t="shared" si="28"/>
        <v>0</v>
      </c>
      <c r="N36" s="1540">
        <f t="shared" si="34"/>
        <v>0</v>
      </c>
      <c r="O36" s="1171">
        <v>0</v>
      </c>
      <c r="P36" s="1546">
        <f t="shared" si="35"/>
        <v>0</v>
      </c>
      <c r="Q36" s="1173"/>
      <c r="R36" s="1173">
        <f t="shared" si="36"/>
        <v>0</v>
      </c>
      <c r="S36" s="1546">
        <f t="shared" si="37"/>
        <v>0</v>
      </c>
      <c r="T36" s="1546">
        <f t="shared" si="38"/>
        <v>0</v>
      </c>
      <c r="U36" s="1382">
        <f>'Table 5C1A-Madison Prep'!U36</f>
        <v>3609</v>
      </c>
      <c r="V36" s="1516">
        <f t="shared" si="39"/>
        <v>0</v>
      </c>
      <c r="W36" s="1400"/>
      <c r="X36" s="1383">
        <f t="shared" si="40"/>
        <v>0</v>
      </c>
      <c r="Y36" s="1400"/>
      <c r="Z36" s="1383">
        <f t="shared" si="41"/>
        <v>0</v>
      </c>
      <c r="AA36" s="1384">
        <f t="shared" si="42"/>
        <v>0</v>
      </c>
      <c r="AB36" s="1511">
        <f t="shared" si="43"/>
        <v>0</v>
      </c>
      <c r="AC36" s="1402">
        <f t="shared" si="44"/>
        <v>0</v>
      </c>
      <c r="AD36" s="1511">
        <f t="shared" si="45"/>
        <v>0</v>
      </c>
      <c r="AE36" s="1385">
        <v>0</v>
      </c>
      <c r="AF36" s="1511">
        <f t="shared" si="46"/>
        <v>0</v>
      </c>
      <c r="AG36" s="1385"/>
      <c r="AH36" s="1385">
        <f t="shared" si="47"/>
        <v>0</v>
      </c>
      <c r="AI36" s="1511">
        <f t="shared" si="48"/>
        <v>0</v>
      </c>
      <c r="AJ36" s="1531">
        <f t="shared" si="49"/>
        <v>0</v>
      </c>
      <c r="AK36" s="1536">
        <f t="shared" si="50"/>
        <v>0</v>
      </c>
    </row>
    <row r="37" spans="1:37" ht="16.2" customHeight="1">
      <c r="A37" s="1183">
        <v>31</v>
      </c>
      <c r="B37" s="1184" t="s">
        <v>111</v>
      </c>
      <c r="C37" s="1185">
        <f>+'Table 8 Membership 2.1.14'!Q33</f>
        <v>0</v>
      </c>
      <c r="D37" s="1186">
        <f>+'Table 5C1A-Madison Prep'!D37</f>
        <v>4520.6176716868531</v>
      </c>
      <c r="E37" s="1187">
        <f t="shared" si="29"/>
        <v>0</v>
      </c>
      <c r="F37" s="1187">
        <f>+'Table 5C1A-Madison Prep'!F37</f>
        <v>620.83000000000004</v>
      </c>
      <c r="G37" s="1187">
        <f t="shared" si="30"/>
        <v>0</v>
      </c>
      <c r="H37" s="1538">
        <f t="shared" si="31"/>
        <v>0</v>
      </c>
      <c r="I37" s="1188"/>
      <c r="J37" s="1188"/>
      <c r="K37" s="1189">
        <f t="shared" si="32"/>
        <v>0</v>
      </c>
      <c r="L37" s="1538">
        <f t="shared" si="33"/>
        <v>0</v>
      </c>
      <c r="M37" s="1372">
        <f t="shared" si="28"/>
        <v>0</v>
      </c>
      <c r="N37" s="1538">
        <f t="shared" si="34"/>
        <v>0</v>
      </c>
      <c r="O37" s="1186">
        <v>0</v>
      </c>
      <c r="P37" s="1544">
        <f t="shared" si="35"/>
        <v>0</v>
      </c>
      <c r="Q37" s="1188"/>
      <c r="R37" s="1188">
        <f t="shared" si="36"/>
        <v>0</v>
      </c>
      <c r="S37" s="1544">
        <f t="shared" si="37"/>
        <v>0</v>
      </c>
      <c r="T37" s="1544">
        <f t="shared" si="38"/>
        <v>0</v>
      </c>
      <c r="U37" s="1373">
        <f>'Table 5C1A-Madison Prep'!U37</f>
        <v>5043</v>
      </c>
      <c r="V37" s="1514">
        <f t="shared" si="39"/>
        <v>0</v>
      </c>
      <c r="W37" s="1375"/>
      <c r="X37" s="1376">
        <f t="shared" si="40"/>
        <v>0</v>
      </c>
      <c r="Y37" s="1375"/>
      <c r="Z37" s="1376">
        <f t="shared" si="41"/>
        <v>0</v>
      </c>
      <c r="AA37" s="1374">
        <f t="shared" si="42"/>
        <v>0</v>
      </c>
      <c r="AB37" s="1509">
        <f t="shared" si="43"/>
        <v>0</v>
      </c>
      <c r="AC37" s="1378">
        <f t="shared" si="44"/>
        <v>0</v>
      </c>
      <c r="AD37" s="1509">
        <f t="shared" si="45"/>
        <v>0</v>
      </c>
      <c r="AE37" s="1379">
        <v>0</v>
      </c>
      <c r="AF37" s="1509">
        <f t="shared" si="46"/>
        <v>0</v>
      </c>
      <c r="AG37" s="1379"/>
      <c r="AH37" s="1379">
        <f t="shared" si="47"/>
        <v>0</v>
      </c>
      <c r="AI37" s="1509">
        <f t="shared" si="48"/>
        <v>0</v>
      </c>
      <c r="AJ37" s="1530">
        <f t="shared" si="49"/>
        <v>0</v>
      </c>
      <c r="AK37" s="1534">
        <f t="shared" si="50"/>
        <v>0</v>
      </c>
    </row>
    <row r="38" spans="1:37" ht="16.2" customHeight="1">
      <c r="A38" s="1176">
        <v>32</v>
      </c>
      <c r="B38" s="1177" t="s">
        <v>112</v>
      </c>
      <c r="C38" s="1178">
        <f>+'Table 8 Membership 2.1.14'!Q34</f>
        <v>0</v>
      </c>
      <c r="D38" s="1179">
        <f>+'Table 5C1A-Madison Prep'!D38</f>
        <v>5652.819189061127</v>
      </c>
      <c r="E38" s="1180">
        <f t="shared" si="29"/>
        <v>0</v>
      </c>
      <c r="F38" s="1180">
        <f>+'Table 5C1A-Madison Prep'!F38</f>
        <v>559.77</v>
      </c>
      <c r="G38" s="1180">
        <f t="shared" si="30"/>
        <v>0</v>
      </c>
      <c r="H38" s="1539">
        <f t="shared" si="31"/>
        <v>0</v>
      </c>
      <c r="I38" s="1181"/>
      <c r="J38" s="1181"/>
      <c r="K38" s="1182">
        <f t="shared" si="32"/>
        <v>0</v>
      </c>
      <c r="L38" s="1539">
        <f t="shared" si="33"/>
        <v>0</v>
      </c>
      <c r="M38" s="1388">
        <f t="shared" si="28"/>
        <v>0</v>
      </c>
      <c r="N38" s="1539">
        <f t="shared" si="34"/>
        <v>0</v>
      </c>
      <c r="O38" s="1179">
        <v>0</v>
      </c>
      <c r="P38" s="1545">
        <f t="shared" si="35"/>
        <v>0</v>
      </c>
      <c r="Q38" s="1181"/>
      <c r="R38" s="1181">
        <f t="shared" si="36"/>
        <v>0</v>
      </c>
      <c r="S38" s="1545">
        <f t="shared" si="37"/>
        <v>0</v>
      </c>
      <c r="T38" s="1545">
        <f t="shared" si="38"/>
        <v>0</v>
      </c>
      <c r="U38" s="1389">
        <f>'Table 5C1A-Madison Prep'!U38</f>
        <v>2121</v>
      </c>
      <c r="V38" s="1515">
        <f t="shared" si="39"/>
        <v>0</v>
      </c>
      <c r="W38" s="1391"/>
      <c r="X38" s="1392">
        <f t="shared" si="40"/>
        <v>0</v>
      </c>
      <c r="Y38" s="1391"/>
      <c r="Z38" s="1392">
        <f t="shared" si="41"/>
        <v>0</v>
      </c>
      <c r="AA38" s="1390">
        <f t="shared" si="42"/>
        <v>0</v>
      </c>
      <c r="AB38" s="1510">
        <f t="shared" si="43"/>
        <v>0</v>
      </c>
      <c r="AC38" s="1394">
        <f t="shared" si="44"/>
        <v>0</v>
      </c>
      <c r="AD38" s="1510">
        <f t="shared" si="45"/>
        <v>0</v>
      </c>
      <c r="AE38" s="1395">
        <v>0</v>
      </c>
      <c r="AF38" s="1510">
        <f t="shared" si="46"/>
        <v>0</v>
      </c>
      <c r="AG38" s="1395"/>
      <c r="AH38" s="1395">
        <f t="shared" si="47"/>
        <v>0</v>
      </c>
      <c r="AI38" s="1510">
        <f t="shared" si="48"/>
        <v>0</v>
      </c>
      <c r="AJ38" s="1505">
        <f t="shared" si="49"/>
        <v>0</v>
      </c>
      <c r="AK38" s="1535">
        <f t="shared" si="50"/>
        <v>0</v>
      </c>
    </row>
    <row r="39" spans="1:37" ht="16.2" customHeight="1">
      <c r="A39" s="1176">
        <v>33</v>
      </c>
      <c r="B39" s="1177" t="s">
        <v>113</v>
      </c>
      <c r="C39" s="1178">
        <f>+'Table 8 Membership 2.1.14'!Q35</f>
        <v>0</v>
      </c>
      <c r="D39" s="1179">
        <f>+'Table 5C1A-Madison Prep'!D39</f>
        <v>5456.2254558085233</v>
      </c>
      <c r="E39" s="1180">
        <f t="shared" si="29"/>
        <v>0</v>
      </c>
      <c r="F39" s="1180">
        <f>+'Table 5C1A-Madison Prep'!F39</f>
        <v>655.31000000000006</v>
      </c>
      <c r="G39" s="1180">
        <f t="shared" si="30"/>
        <v>0</v>
      </c>
      <c r="H39" s="1539">
        <f t="shared" si="31"/>
        <v>0</v>
      </c>
      <c r="I39" s="1181"/>
      <c r="J39" s="1181"/>
      <c r="K39" s="1182">
        <f t="shared" si="32"/>
        <v>0</v>
      </c>
      <c r="L39" s="1539">
        <f t="shared" si="33"/>
        <v>0</v>
      </c>
      <c r="M39" s="1388">
        <f t="shared" si="28"/>
        <v>0</v>
      </c>
      <c r="N39" s="1539">
        <f t="shared" si="34"/>
        <v>0</v>
      </c>
      <c r="O39" s="1179">
        <v>0</v>
      </c>
      <c r="P39" s="1545">
        <f t="shared" si="35"/>
        <v>0</v>
      </c>
      <c r="Q39" s="1181"/>
      <c r="R39" s="1181">
        <f t="shared" si="36"/>
        <v>0</v>
      </c>
      <c r="S39" s="1545">
        <f t="shared" si="37"/>
        <v>0</v>
      </c>
      <c r="T39" s="1545">
        <f t="shared" si="38"/>
        <v>0</v>
      </c>
      <c r="U39" s="1389">
        <f>'Table 5C1A-Madison Prep'!U39</f>
        <v>3616</v>
      </c>
      <c r="V39" s="1515">
        <f t="shared" si="39"/>
        <v>0</v>
      </c>
      <c r="W39" s="1391"/>
      <c r="X39" s="1392">
        <f t="shared" si="40"/>
        <v>0</v>
      </c>
      <c r="Y39" s="1391"/>
      <c r="Z39" s="1392">
        <f t="shared" si="41"/>
        <v>0</v>
      </c>
      <c r="AA39" s="1390">
        <f t="shared" si="42"/>
        <v>0</v>
      </c>
      <c r="AB39" s="1510">
        <f t="shared" si="43"/>
        <v>0</v>
      </c>
      <c r="AC39" s="1394">
        <f t="shared" si="44"/>
        <v>0</v>
      </c>
      <c r="AD39" s="1510">
        <f t="shared" si="45"/>
        <v>0</v>
      </c>
      <c r="AE39" s="1395">
        <v>0</v>
      </c>
      <c r="AF39" s="1510">
        <f t="shared" si="46"/>
        <v>0</v>
      </c>
      <c r="AG39" s="1395"/>
      <c r="AH39" s="1395">
        <f t="shared" si="47"/>
        <v>0</v>
      </c>
      <c r="AI39" s="1510">
        <f t="shared" si="48"/>
        <v>0</v>
      </c>
      <c r="AJ39" s="1505">
        <f t="shared" si="49"/>
        <v>0</v>
      </c>
      <c r="AK39" s="1535">
        <f t="shared" si="50"/>
        <v>0</v>
      </c>
    </row>
    <row r="40" spans="1:37" ht="16.2" customHeight="1">
      <c r="A40" s="1176">
        <v>34</v>
      </c>
      <c r="B40" s="1177" t="s">
        <v>114</v>
      </c>
      <c r="C40" s="1178">
        <f>+'Table 8 Membership 2.1.14'!Q36</f>
        <v>0</v>
      </c>
      <c r="D40" s="1179">
        <f>+'Table 5C1A-Madison Prep'!D40</f>
        <v>6292.0976842789005</v>
      </c>
      <c r="E40" s="1180">
        <f t="shared" si="29"/>
        <v>0</v>
      </c>
      <c r="F40" s="1180">
        <f>+'Table 5C1A-Madison Prep'!F40</f>
        <v>644.11000000000013</v>
      </c>
      <c r="G40" s="1180">
        <f t="shared" si="30"/>
        <v>0</v>
      </c>
      <c r="H40" s="1539">
        <f t="shared" si="31"/>
        <v>0</v>
      </c>
      <c r="I40" s="1181"/>
      <c r="J40" s="1181"/>
      <c r="K40" s="1182">
        <f t="shared" si="32"/>
        <v>0</v>
      </c>
      <c r="L40" s="1539">
        <f t="shared" si="33"/>
        <v>0</v>
      </c>
      <c r="M40" s="1388">
        <f t="shared" si="28"/>
        <v>0</v>
      </c>
      <c r="N40" s="1539">
        <f t="shared" si="34"/>
        <v>0</v>
      </c>
      <c r="O40" s="1179">
        <v>0</v>
      </c>
      <c r="P40" s="1545">
        <f t="shared" si="35"/>
        <v>0</v>
      </c>
      <c r="Q40" s="1181"/>
      <c r="R40" s="1181">
        <f t="shared" si="36"/>
        <v>0</v>
      </c>
      <c r="S40" s="1545">
        <f t="shared" si="37"/>
        <v>0</v>
      </c>
      <c r="T40" s="1545">
        <f t="shared" si="38"/>
        <v>0</v>
      </c>
      <c r="U40" s="1389">
        <f>'Table 5C1A-Madison Prep'!U40</f>
        <v>2721</v>
      </c>
      <c r="V40" s="1515">
        <f t="shared" si="39"/>
        <v>0</v>
      </c>
      <c r="W40" s="1391"/>
      <c r="X40" s="1392">
        <f t="shared" si="40"/>
        <v>0</v>
      </c>
      <c r="Y40" s="1391"/>
      <c r="Z40" s="1392">
        <f t="shared" si="41"/>
        <v>0</v>
      </c>
      <c r="AA40" s="1390">
        <f t="shared" si="42"/>
        <v>0</v>
      </c>
      <c r="AB40" s="1510">
        <f t="shared" si="43"/>
        <v>0</v>
      </c>
      <c r="AC40" s="1394">
        <f t="shared" si="44"/>
        <v>0</v>
      </c>
      <c r="AD40" s="1510">
        <f t="shared" si="45"/>
        <v>0</v>
      </c>
      <c r="AE40" s="1395">
        <v>0</v>
      </c>
      <c r="AF40" s="1510">
        <f t="shared" si="46"/>
        <v>0</v>
      </c>
      <c r="AG40" s="1395"/>
      <c r="AH40" s="1395">
        <f t="shared" si="47"/>
        <v>0</v>
      </c>
      <c r="AI40" s="1510">
        <f t="shared" si="48"/>
        <v>0</v>
      </c>
      <c r="AJ40" s="1505">
        <f t="shared" si="49"/>
        <v>0</v>
      </c>
      <c r="AK40" s="1535">
        <f t="shared" si="50"/>
        <v>0</v>
      </c>
    </row>
    <row r="41" spans="1:37" ht="16.2" customHeight="1">
      <c r="A41" s="1168">
        <v>35</v>
      </c>
      <c r="B41" s="1169" t="s">
        <v>115</v>
      </c>
      <c r="C41" s="1170">
        <f>+'Table 8 Membership 2.1.14'!Q37</f>
        <v>0</v>
      </c>
      <c r="D41" s="1171">
        <f>+'Table 5C1A-Madison Prep'!D41</f>
        <v>5166.2482060477605</v>
      </c>
      <c r="E41" s="1172">
        <f t="shared" si="29"/>
        <v>0</v>
      </c>
      <c r="F41" s="1172">
        <f>+'Table 5C1A-Madison Prep'!F41</f>
        <v>537.96</v>
      </c>
      <c r="G41" s="1172">
        <f t="shared" si="30"/>
        <v>0</v>
      </c>
      <c r="H41" s="1540">
        <f t="shared" si="31"/>
        <v>0</v>
      </c>
      <c r="I41" s="1173"/>
      <c r="J41" s="1173"/>
      <c r="K41" s="1174">
        <f t="shared" si="32"/>
        <v>0</v>
      </c>
      <c r="L41" s="1540">
        <f t="shared" si="33"/>
        <v>0</v>
      </c>
      <c r="M41" s="1399">
        <f t="shared" si="28"/>
        <v>0</v>
      </c>
      <c r="N41" s="1540">
        <f t="shared" si="34"/>
        <v>0</v>
      </c>
      <c r="O41" s="1171">
        <v>0</v>
      </c>
      <c r="P41" s="1546">
        <f t="shared" si="35"/>
        <v>0</v>
      </c>
      <c r="Q41" s="1173"/>
      <c r="R41" s="1173">
        <f t="shared" si="36"/>
        <v>0</v>
      </c>
      <c r="S41" s="1546">
        <f t="shared" si="37"/>
        <v>0</v>
      </c>
      <c r="T41" s="1546">
        <f t="shared" si="38"/>
        <v>0</v>
      </c>
      <c r="U41" s="1382">
        <f>'Table 5C1A-Madison Prep'!U41</f>
        <v>3255</v>
      </c>
      <c r="V41" s="1516">
        <f t="shared" si="39"/>
        <v>0</v>
      </c>
      <c r="W41" s="1400"/>
      <c r="X41" s="1383">
        <f t="shared" si="40"/>
        <v>0</v>
      </c>
      <c r="Y41" s="1400"/>
      <c r="Z41" s="1383">
        <f t="shared" si="41"/>
        <v>0</v>
      </c>
      <c r="AA41" s="1384">
        <f t="shared" si="42"/>
        <v>0</v>
      </c>
      <c r="AB41" s="1511">
        <f t="shared" si="43"/>
        <v>0</v>
      </c>
      <c r="AC41" s="1402">
        <f t="shared" si="44"/>
        <v>0</v>
      </c>
      <c r="AD41" s="1511">
        <f t="shared" si="45"/>
        <v>0</v>
      </c>
      <c r="AE41" s="1385">
        <v>0</v>
      </c>
      <c r="AF41" s="1511">
        <f t="shared" si="46"/>
        <v>0</v>
      </c>
      <c r="AG41" s="1385"/>
      <c r="AH41" s="1385">
        <f t="shared" si="47"/>
        <v>0</v>
      </c>
      <c r="AI41" s="1511">
        <f t="shared" si="48"/>
        <v>0</v>
      </c>
      <c r="AJ41" s="1531">
        <f t="shared" si="49"/>
        <v>0</v>
      </c>
      <c r="AK41" s="1536">
        <f t="shared" si="50"/>
        <v>0</v>
      </c>
    </row>
    <row r="42" spans="1:37" ht="16.2" customHeight="1">
      <c r="A42" s="1183">
        <v>36</v>
      </c>
      <c r="B42" s="1184" t="s">
        <v>116</v>
      </c>
      <c r="C42" s="1185">
        <f>+'Table 8 Membership 2.1.14'!Q38</f>
        <v>2</v>
      </c>
      <c r="D42" s="1186">
        <f>+'Table 5C1A-Madison Prep'!D42</f>
        <v>3602.7009974327857</v>
      </c>
      <c r="E42" s="1187">
        <f t="shared" si="29"/>
        <v>7205.4019948655714</v>
      </c>
      <c r="F42" s="1187">
        <f>+'Table 5C1A-Madison Prep'!F42</f>
        <v>746.0335616438357</v>
      </c>
      <c r="G42" s="1187">
        <f t="shared" si="30"/>
        <v>1492.0671232876714</v>
      </c>
      <c r="H42" s="1538">
        <f t="shared" si="31"/>
        <v>8697.4691181532435</v>
      </c>
      <c r="I42" s="1188"/>
      <c r="J42" s="1188"/>
      <c r="K42" s="1189">
        <f t="shared" si="32"/>
        <v>0</v>
      </c>
      <c r="L42" s="1538">
        <f t="shared" si="33"/>
        <v>8697.4691181532435</v>
      </c>
      <c r="M42" s="1372">
        <f t="shared" si="28"/>
        <v>-21.743672795383109</v>
      </c>
      <c r="N42" s="1538">
        <f t="shared" si="34"/>
        <v>8675.7254453578607</v>
      </c>
      <c r="O42" s="1186">
        <v>0</v>
      </c>
      <c r="P42" s="1544">
        <f t="shared" si="35"/>
        <v>8675.7254453578607</v>
      </c>
      <c r="Q42" s="1188"/>
      <c r="R42" s="1188">
        <f t="shared" si="36"/>
        <v>8675.7254453578607</v>
      </c>
      <c r="S42" s="1544">
        <f t="shared" si="37"/>
        <v>723</v>
      </c>
      <c r="T42" s="1544">
        <f t="shared" si="38"/>
        <v>8675.7254453578607</v>
      </c>
      <c r="U42" s="1373">
        <f>'Table 5C1A-Madison Prep'!U42</f>
        <v>5435</v>
      </c>
      <c r="V42" s="1514">
        <f t="shared" si="39"/>
        <v>10870</v>
      </c>
      <c r="W42" s="1375"/>
      <c r="X42" s="1376">
        <f t="shared" si="40"/>
        <v>0</v>
      </c>
      <c r="Y42" s="1375"/>
      <c r="Z42" s="1376">
        <f t="shared" si="41"/>
        <v>0</v>
      </c>
      <c r="AA42" s="1374">
        <f t="shared" si="42"/>
        <v>0</v>
      </c>
      <c r="AB42" s="1509">
        <f t="shared" si="43"/>
        <v>10870</v>
      </c>
      <c r="AC42" s="1378">
        <f t="shared" si="44"/>
        <v>-27.175000000000001</v>
      </c>
      <c r="AD42" s="1509">
        <f t="shared" si="45"/>
        <v>10842.825000000001</v>
      </c>
      <c r="AE42" s="1379">
        <v>0</v>
      </c>
      <c r="AF42" s="1509">
        <f t="shared" si="46"/>
        <v>10842.825000000001</v>
      </c>
      <c r="AG42" s="1379"/>
      <c r="AH42" s="1379">
        <f t="shared" si="47"/>
        <v>10842.825000000001</v>
      </c>
      <c r="AI42" s="1509">
        <f t="shared" si="48"/>
        <v>904</v>
      </c>
      <c r="AJ42" s="1530">
        <f t="shared" si="49"/>
        <v>19518.550445357861</v>
      </c>
      <c r="AK42" s="1534">
        <f t="shared" si="50"/>
        <v>1627</v>
      </c>
    </row>
    <row r="43" spans="1:37" ht="16.2" customHeight="1">
      <c r="A43" s="1176">
        <v>37</v>
      </c>
      <c r="B43" s="1177" t="s">
        <v>117</v>
      </c>
      <c r="C43" s="1178">
        <f>+'Table 8 Membership 2.1.14'!Q39</f>
        <v>0</v>
      </c>
      <c r="D43" s="1179">
        <f>+'Table 5C1A-Madison Prep'!D43</f>
        <v>5665.3839260317691</v>
      </c>
      <c r="E43" s="1180">
        <f t="shared" si="29"/>
        <v>0</v>
      </c>
      <c r="F43" s="1180">
        <f>+'Table 5C1A-Madison Prep'!F43</f>
        <v>653.61</v>
      </c>
      <c r="G43" s="1180">
        <f t="shared" si="30"/>
        <v>0</v>
      </c>
      <c r="H43" s="1539">
        <f t="shared" si="31"/>
        <v>0</v>
      </c>
      <c r="I43" s="1181"/>
      <c r="J43" s="1181"/>
      <c r="K43" s="1182">
        <f t="shared" si="32"/>
        <v>0</v>
      </c>
      <c r="L43" s="1539">
        <f t="shared" si="33"/>
        <v>0</v>
      </c>
      <c r="M43" s="1388">
        <f t="shared" si="28"/>
        <v>0</v>
      </c>
      <c r="N43" s="1539">
        <f t="shared" si="34"/>
        <v>0</v>
      </c>
      <c r="O43" s="1179">
        <v>0</v>
      </c>
      <c r="P43" s="1545">
        <f t="shared" si="35"/>
        <v>0</v>
      </c>
      <c r="Q43" s="1181"/>
      <c r="R43" s="1181">
        <f t="shared" si="36"/>
        <v>0</v>
      </c>
      <c r="S43" s="1545">
        <f t="shared" si="37"/>
        <v>0</v>
      </c>
      <c r="T43" s="1545">
        <f t="shared" si="38"/>
        <v>0</v>
      </c>
      <c r="U43" s="1389">
        <f>'Table 5C1A-Madison Prep'!U43</f>
        <v>3520</v>
      </c>
      <c r="V43" s="1515">
        <f t="shared" si="39"/>
        <v>0</v>
      </c>
      <c r="W43" s="1391"/>
      <c r="X43" s="1392">
        <f t="shared" si="40"/>
        <v>0</v>
      </c>
      <c r="Y43" s="1391"/>
      <c r="Z43" s="1392">
        <f t="shared" si="41"/>
        <v>0</v>
      </c>
      <c r="AA43" s="1390">
        <f t="shared" si="42"/>
        <v>0</v>
      </c>
      <c r="AB43" s="1510">
        <f t="shared" si="43"/>
        <v>0</v>
      </c>
      <c r="AC43" s="1394">
        <f t="shared" si="44"/>
        <v>0</v>
      </c>
      <c r="AD43" s="1510">
        <f t="shared" si="45"/>
        <v>0</v>
      </c>
      <c r="AE43" s="1395">
        <v>0</v>
      </c>
      <c r="AF43" s="1510">
        <f t="shared" si="46"/>
        <v>0</v>
      </c>
      <c r="AG43" s="1395"/>
      <c r="AH43" s="1395">
        <f t="shared" si="47"/>
        <v>0</v>
      </c>
      <c r="AI43" s="1510">
        <f t="shared" si="48"/>
        <v>0</v>
      </c>
      <c r="AJ43" s="1505">
        <f t="shared" si="49"/>
        <v>0</v>
      </c>
      <c r="AK43" s="1535">
        <f t="shared" si="50"/>
        <v>0</v>
      </c>
    </row>
    <row r="44" spans="1:37" ht="16.2" customHeight="1">
      <c r="A44" s="1176">
        <v>38</v>
      </c>
      <c r="B44" s="1177" t="s">
        <v>118</v>
      </c>
      <c r="C44" s="1178">
        <f>+'Table 8 Membership 2.1.14'!Q40</f>
        <v>0</v>
      </c>
      <c r="D44" s="1179">
        <f>+'Table 5C1A-Madison Prep'!D44</f>
        <v>2088.8017552916881</v>
      </c>
      <c r="E44" s="1180">
        <f t="shared" si="29"/>
        <v>0</v>
      </c>
      <c r="F44" s="1180">
        <f>+'Table 5C1A-Madison Prep'!F44</f>
        <v>829.92000000000007</v>
      </c>
      <c r="G44" s="1180">
        <f t="shared" si="30"/>
        <v>0</v>
      </c>
      <c r="H44" s="1539">
        <f t="shared" si="31"/>
        <v>0</v>
      </c>
      <c r="I44" s="1181"/>
      <c r="J44" s="1181"/>
      <c r="K44" s="1182">
        <f t="shared" si="32"/>
        <v>0</v>
      </c>
      <c r="L44" s="1539">
        <f t="shared" si="33"/>
        <v>0</v>
      </c>
      <c r="M44" s="1388">
        <f t="shared" si="28"/>
        <v>0</v>
      </c>
      <c r="N44" s="1539">
        <f t="shared" si="34"/>
        <v>0</v>
      </c>
      <c r="O44" s="1179">
        <v>0</v>
      </c>
      <c r="P44" s="1545">
        <f t="shared" si="35"/>
        <v>0</v>
      </c>
      <c r="Q44" s="1181"/>
      <c r="R44" s="1181">
        <f t="shared" si="36"/>
        <v>0</v>
      </c>
      <c r="S44" s="1545">
        <f t="shared" si="37"/>
        <v>0</v>
      </c>
      <c r="T44" s="1545">
        <f t="shared" si="38"/>
        <v>0</v>
      </c>
      <c r="U44" s="1389">
        <f>'Table 5C1A-Madison Prep'!U44</f>
        <v>11379</v>
      </c>
      <c r="V44" s="1515">
        <f t="shared" si="39"/>
        <v>0</v>
      </c>
      <c r="W44" s="1391"/>
      <c r="X44" s="1392">
        <f t="shared" si="40"/>
        <v>0</v>
      </c>
      <c r="Y44" s="1391"/>
      <c r="Z44" s="1392">
        <f t="shared" si="41"/>
        <v>0</v>
      </c>
      <c r="AA44" s="1390">
        <f t="shared" si="42"/>
        <v>0</v>
      </c>
      <c r="AB44" s="1510">
        <f t="shared" si="43"/>
        <v>0</v>
      </c>
      <c r="AC44" s="1394">
        <f t="shared" si="44"/>
        <v>0</v>
      </c>
      <c r="AD44" s="1510">
        <f t="shared" si="45"/>
        <v>0</v>
      </c>
      <c r="AE44" s="1395">
        <v>0</v>
      </c>
      <c r="AF44" s="1510">
        <f t="shared" si="46"/>
        <v>0</v>
      </c>
      <c r="AG44" s="1395"/>
      <c r="AH44" s="1395">
        <f t="shared" si="47"/>
        <v>0</v>
      </c>
      <c r="AI44" s="1510">
        <f t="shared" si="48"/>
        <v>0</v>
      </c>
      <c r="AJ44" s="1505">
        <f t="shared" si="49"/>
        <v>0</v>
      </c>
      <c r="AK44" s="1535">
        <f t="shared" si="50"/>
        <v>0</v>
      </c>
    </row>
    <row r="45" spans="1:37" ht="16.2" customHeight="1">
      <c r="A45" s="1176">
        <v>39</v>
      </c>
      <c r="B45" s="1177" t="s">
        <v>119</v>
      </c>
      <c r="C45" s="1178">
        <f>+'Table 8 Membership 2.1.14'!Q41</f>
        <v>0</v>
      </c>
      <c r="D45" s="1179">
        <f>+'Table 5C1A-Madison Prep'!D45</f>
        <v>3656.9056809295676</v>
      </c>
      <c r="E45" s="1180">
        <f t="shared" si="29"/>
        <v>0</v>
      </c>
      <c r="F45" s="1180">
        <f>+'Table 5C1A-Madison Prep'!F45</f>
        <v>779.65573042776396</v>
      </c>
      <c r="G45" s="1180">
        <f t="shared" si="30"/>
        <v>0</v>
      </c>
      <c r="H45" s="1539">
        <f t="shared" si="31"/>
        <v>0</v>
      </c>
      <c r="I45" s="1181"/>
      <c r="J45" s="1181"/>
      <c r="K45" s="1182">
        <f t="shared" si="32"/>
        <v>0</v>
      </c>
      <c r="L45" s="1539">
        <f t="shared" si="33"/>
        <v>0</v>
      </c>
      <c r="M45" s="1388">
        <f t="shared" si="28"/>
        <v>0</v>
      </c>
      <c r="N45" s="1539">
        <f t="shared" si="34"/>
        <v>0</v>
      </c>
      <c r="O45" s="1179">
        <v>0</v>
      </c>
      <c r="P45" s="1545">
        <f t="shared" si="35"/>
        <v>0</v>
      </c>
      <c r="Q45" s="1181"/>
      <c r="R45" s="1181">
        <f t="shared" si="36"/>
        <v>0</v>
      </c>
      <c r="S45" s="1545">
        <f t="shared" si="37"/>
        <v>0</v>
      </c>
      <c r="T45" s="1545">
        <f t="shared" si="38"/>
        <v>0</v>
      </c>
      <c r="U45" s="1389">
        <f>'Table 5C1A-Madison Prep'!U45</f>
        <v>4955</v>
      </c>
      <c r="V45" s="1515">
        <f t="shared" si="39"/>
        <v>0</v>
      </c>
      <c r="W45" s="1391"/>
      <c r="X45" s="1392">
        <f t="shared" si="40"/>
        <v>0</v>
      </c>
      <c r="Y45" s="1391"/>
      <c r="Z45" s="1392">
        <f t="shared" si="41"/>
        <v>0</v>
      </c>
      <c r="AA45" s="1390">
        <f t="shared" si="42"/>
        <v>0</v>
      </c>
      <c r="AB45" s="1510">
        <f t="shared" si="43"/>
        <v>0</v>
      </c>
      <c r="AC45" s="1394">
        <f t="shared" si="44"/>
        <v>0</v>
      </c>
      <c r="AD45" s="1510">
        <f t="shared" si="45"/>
        <v>0</v>
      </c>
      <c r="AE45" s="1395">
        <v>0</v>
      </c>
      <c r="AF45" s="1510">
        <f t="shared" si="46"/>
        <v>0</v>
      </c>
      <c r="AG45" s="1395"/>
      <c r="AH45" s="1395">
        <f t="shared" si="47"/>
        <v>0</v>
      </c>
      <c r="AI45" s="1510">
        <f t="shared" si="48"/>
        <v>0</v>
      </c>
      <c r="AJ45" s="1505">
        <f t="shared" si="49"/>
        <v>0</v>
      </c>
      <c r="AK45" s="1535">
        <f t="shared" si="50"/>
        <v>0</v>
      </c>
    </row>
    <row r="46" spans="1:37" ht="16.2" customHeight="1">
      <c r="A46" s="1168">
        <v>40</v>
      </c>
      <c r="B46" s="1169" t="s">
        <v>120</v>
      </c>
      <c r="C46" s="1170">
        <f>+'Table 8 Membership 2.1.14'!Q42</f>
        <v>0</v>
      </c>
      <c r="D46" s="1171">
        <f>+'Table 5C1A-Madison Prep'!D46</f>
        <v>5121.8110285698403</v>
      </c>
      <c r="E46" s="1172">
        <f t="shared" si="29"/>
        <v>0</v>
      </c>
      <c r="F46" s="1172">
        <f>+'Table 5C1A-Madison Prep'!F46</f>
        <v>700.2700000000001</v>
      </c>
      <c r="G46" s="1172">
        <f t="shared" si="30"/>
        <v>0</v>
      </c>
      <c r="H46" s="1540">
        <f t="shared" si="31"/>
        <v>0</v>
      </c>
      <c r="I46" s="1173"/>
      <c r="J46" s="1173"/>
      <c r="K46" s="1174">
        <f t="shared" si="32"/>
        <v>0</v>
      </c>
      <c r="L46" s="1540">
        <f t="shared" si="33"/>
        <v>0</v>
      </c>
      <c r="M46" s="1399">
        <f t="shared" si="28"/>
        <v>0</v>
      </c>
      <c r="N46" s="1540">
        <f t="shared" si="34"/>
        <v>0</v>
      </c>
      <c r="O46" s="1171">
        <v>0</v>
      </c>
      <c r="P46" s="1546">
        <f t="shared" si="35"/>
        <v>0</v>
      </c>
      <c r="Q46" s="1173"/>
      <c r="R46" s="1173">
        <f t="shared" si="36"/>
        <v>0</v>
      </c>
      <c r="S46" s="1546">
        <f t="shared" si="37"/>
        <v>0</v>
      </c>
      <c r="T46" s="1546">
        <f t="shared" si="38"/>
        <v>0</v>
      </c>
      <c r="U46" s="1382">
        <f>'Table 5C1A-Madison Prep'!U46</f>
        <v>3069</v>
      </c>
      <c r="V46" s="1516">
        <f t="shared" si="39"/>
        <v>0</v>
      </c>
      <c r="W46" s="1400"/>
      <c r="X46" s="1383">
        <f t="shared" si="40"/>
        <v>0</v>
      </c>
      <c r="Y46" s="1400"/>
      <c r="Z46" s="1383">
        <f t="shared" si="41"/>
        <v>0</v>
      </c>
      <c r="AA46" s="1384">
        <f t="shared" si="42"/>
        <v>0</v>
      </c>
      <c r="AB46" s="1511">
        <f t="shared" si="43"/>
        <v>0</v>
      </c>
      <c r="AC46" s="1402">
        <f t="shared" si="44"/>
        <v>0</v>
      </c>
      <c r="AD46" s="1511">
        <f t="shared" si="45"/>
        <v>0</v>
      </c>
      <c r="AE46" s="1385">
        <v>0</v>
      </c>
      <c r="AF46" s="1511">
        <f t="shared" si="46"/>
        <v>0</v>
      </c>
      <c r="AG46" s="1385"/>
      <c r="AH46" s="1385">
        <f t="shared" si="47"/>
        <v>0</v>
      </c>
      <c r="AI46" s="1511">
        <f t="shared" si="48"/>
        <v>0</v>
      </c>
      <c r="AJ46" s="1531">
        <f t="shared" si="49"/>
        <v>0</v>
      </c>
      <c r="AK46" s="1536">
        <f t="shared" si="50"/>
        <v>0</v>
      </c>
    </row>
    <row r="47" spans="1:37" ht="16.2" customHeight="1">
      <c r="A47" s="1183">
        <v>41</v>
      </c>
      <c r="B47" s="1184" t="s">
        <v>121</v>
      </c>
      <c r="C47" s="1185">
        <f>+'Table 8 Membership 2.1.14'!Q43</f>
        <v>0</v>
      </c>
      <c r="D47" s="1186">
        <f>+'Table 5C1A-Madison Prep'!D47</f>
        <v>3291.1948574716475</v>
      </c>
      <c r="E47" s="1187">
        <f t="shared" si="29"/>
        <v>0</v>
      </c>
      <c r="F47" s="1187">
        <f>+'Table 5C1A-Madison Prep'!F47</f>
        <v>886.22</v>
      </c>
      <c r="G47" s="1187">
        <f t="shared" si="30"/>
        <v>0</v>
      </c>
      <c r="H47" s="1538">
        <f t="shared" si="31"/>
        <v>0</v>
      </c>
      <c r="I47" s="1188"/>
      <c r="J47" s="1188"/>
      <c r="K47" s="1189">
        <f t="shared" si="32"/>
        <v>0</v>
      </c>
      <c r="L47" s="1538">
        <f t="shared" si="33"/>
        <v>0</v>
      </c>
      <c r="M47" s="1372">
        <f t="shared" si="28"/>
        <v>0</v>
      </c>
      <c r="N47" s="1538">
        <f t="shared" si="34"/>
        <v>0</v>
      </c>
      <c r="O47" s="1186">
        <v>0</v>
      </c>
      <c r="P47" s="1544">
        <f t="shared" si="35"/>
        <v>0</v>
      </c>
      <c r="Q47" s="1188"/>
      <c r="R47" s="1188">
        <f t="shared" si="36"/>
        <v>0</v>
      </c>
      <c r="S47" s="1544">
        <f t="shared" si="37"/>
        <v>0</v>
      </c>
      <c r="T47" s="1544">
        <f t="shared" si="38"/>
        <v>0</v>
      </c>
      <c r="U47" s="1373">
        <f>'Table 5C1A-Madison Prep'!U47</f>
        <v>8478</v>
      </c>
      <c r="V47" s="1514">
        <f t="shared" si="39"/>
        <v>0</v>
      </c>
      <c r="W47" s="1375"/>
      <c r="X47" s="1376">
        <f t="shared" si="40"/>
        <v>0</v>
      </c>
      <c r="Y47" s="1375"/>
      <c r="Z47" s="1376">
        <f t="shared" si="41"/>
        <v>0</v>
      </c>
      <c r="AA47" s="1374">
        <f t="shared" si="42"/>
        <v>0</v>
      </c>
      <c r="AB47" s="1509">
        <f t="shared" si="43"/>
        <v>0</v>
      </c>
      <c r="AC47" s="1378">
        <f t="shared" si="44"/>
        <v>0</v>
      </c>
      <c r="AD47" s="1509">
        <f t="shared" si="45"/>
        <v>0</v>
      </c>
      <c r="AE47" s="1379">
        <v>0</v>
      </c>
      <c r="AF47" s="1509">
        <f t="shared" si="46"/>
        <v>0</v>
      </c>
      <c r="AG47" s="1379"/>
      <c r="AH47" s="1379">
        <f t="shared" si="47"/>
        <v>0</v>
      </c>
      <c r="AI47" s="1509">
        <f t="shared" si="48"/>
        <v>0</v>
      </c>
      <c r="AJ47" s="1530">
        <f t="shared" si="49"/>
        <v>0</v>
      </c>
      <c r="AK47" s="1534">
        <f t="shared" si="50"/>
        <v>0</v>
      </c>
    </row>
    <row r="48" spans="1:37" ht="16.2" customHeight="1">
      <c r="A48" s="1176">
        <v>42</v>
      </c>
      <c r="B48" s="1177" t="s">
        <v>122</v>
      </c>
      <c r="C48" s="1178">
        <f>+'Table 8 Membership 2.1.14'!Q44</f>
        <v>0</v>
      </c>
      <c r="D48" s="1179">
        <f>+'Table 5C1A-Madison Prep'!D48</f>
        <v>5113.6077751368684</v>
      </c>
      <c r="E48" s="1180">
        <f t="shared" si="29"/>
        <v>0</v>
      </c>
      <c r="F48" s="1180">
        <f>+'Table 5C1A-Madison Prep'!F48</f>
        <v>534.28</v>
      </c>
      <c r="G48" s="1180">
        <f t="shared" si="30"/>
        <v>0</v>
      </c>
      <c r="H48" s="1539">
        <f t="shared" si="31"/>
        <v>0</v>
      </c>
      <c r="I48" s="1181"/>
      <c r="J48" s="1181"/>
      <c r="K48" s="1182">
        <f t="shared" si="32"/>
        <v>0</v>
      </c>
      <c r="L48" s="1539">
        <f t="shared" si="33"/>
        <v>0</v>
      </c>
      <c r="M48" s="1388">
        <f t="shared" si="28"/>
        <v>0</v>
      </c>
      <c r="N48" s="1539">
        <f t="shared" si="34"/>
        <v>0</v>
      </c>
      <c r="O48" s="1179">
        <v>0</v>
      </c>
      <c r="P48" s="1545">
        <f t="shared" si="35"/>
        <v>0</v>
      </c>
      <c r="Q48" s="1181"/>
      <c r="R48" s="1181">
        <f t="shared" si="36"/>
        <v>0</v>
      </c>
      <c r="S48" s="1545">
        <f t="shared" si="37"/>
        <v>0</v>
      </c>
      <c r="T48" s="1545">
        <f t="shared" si="38"/>
        <v>0</v>
      </c>
      <c r="U48" s="1389">
        <f>'Table 5C1A-Madison Prep'!U48</f>
        <v>3578</v>
      </c>
      <c r="V48" s="1515">
        <f t="shared" si="39"/>
        <v>0</v>
      </c>
      <c r="W48" s="1391"/>
      <c r="X48" s="1392">
        <f t="shared" si="40"/>
        <v>0</v>
      </c>
      <c r="Y48" s="1391"/>
      <c r="Z48" s="1392">
        <f t="shared" si="41"/>
        <v>0</v>
      </c>
      <c r="AA48" s="1390">
        <f t="shared" si="42"/>
        <v>0</v>
      </c>
      <c r="AB48" s="1510">
        <f t="shared" si="43"/>
        <v>0</v>
      </c>
      <c r="AC48" s="1394">
        <f t="shared" si="44"/>
        <v>0</v>
      </c>
      <c r="AD48" s="1510">
        <f t="shared" si="45"/>
        <v>0</v>
      </c>
      <c r="AE48" s="1395">
        <v>0</v>
      </c>
      <c r="AF48" s="1510">
        <f t="shared" si="46"/>
        <v>0</v>
      </c>
      <c r="AG48" s="1395"/>
      <c r="AH48" s="1395">
        <f t="shared" si="47"/>
        <v>0</v>
      </c>
      <c r="AI48" s="1510">
        <f t="shared" si="48"/>
        <v>0</v>
      </c>
      <c r="AJ48" s="1505">
        <f t="shared" si="49"/>
        <v>0</v>
      </c>
      <c r="AK48" s="1535">
        <f t="shared" si="50"/>
        <v>0</v>
      </c>
    </row>
    <row r="49" spans="1:37" ht="16.2" customHeight="1">
      <c r="A49" s="1176">
        <v>43</v>
      </c>
      <c r="B49" s="1177" t="s">
        <v>123</v>
      </c>
      <c r="C49" s="1178">
        <f>+'Table 8 Membership 2.1.14'!Q45</f>
        <v>0</v>
      </c>
      <c r="D49" s="1179">
        <f>+'Table 5C1A-Madison Prep'!D49</f>
        <v>5788.74387205947</v>
      </c>
      <c r="E49" s="1180">
        <f t="shared" si="29"/>
        <v>0</v>
      </c>
      <c r="F49" s="1180">
        <f>+'Table 5C1A-Madison Prep'!F49</f>
        <v>574.6099999999999</v>
      </c>
      <c r="G49" s="1180">
        <f t="shared" si="30"/>
        <v>0</v>
      </c>
      <c r="H49" s="1539">
        <f t="shared" si="31"/>
        <v>0</v>
      </c>
      <c r="I49" s="1181"/>
      <c r="J49" s="1181"/>
      <c r="K49" s="1182">
        <f t="shared" si="32"/>
        <v>0</v>
      </c>
      <c r="L49" s="1539">
        <f t="shared" si="33"/>
        <v>0</v>
      </c>
      <c r="M49" s="1388">
        <f t="shared" si="28"/>
        <v>0</v>
      </c>
      <c r="N49" s="1539">
        <f t="shared" si="34"/>
        <v>0</v>
      </c>
      <c r="O49" s="1179">
        <v>0</v>
      </c>
      <c r="P49" s="1545">
        <f t="shared" si="35"/>
        <v>0</v>
      </c>
      <c r="Q49" s="1181"/>
      <c r="R49" s="1181">
        <f t="shared" si="36"/>
        <v>0</v>
      </c>
      <c r="S49" s="1545">
        <f t="shared" si="37"/>
        <v>0</v>
      </c>
      <c r="T49" s="1545">
        <f t="shared" si="38"/>
        <v>0</v>
      </c>
      <c r="U49" s="1389">
        <f>'Table 5C1A-Madison Prep'!U49</f>
        <v>3205</v>
      </c>
      <c r="V49" s="1515">
        <f t="shared" si="39"/>
        <v>0</v>
      </c>
      <c r="W49" s="1391"/>
      <c r="X49" s="1392">
        <f t="shared" si="40"/>
        <v>0</v>
      </c>
      <c r="Y49" s="1391"/>
      <c r="Z49" s="1392">
        <f t="shared" si="41"/>
        <v>0</v>
      </c>
      <c r="AA49" s="1390">
        <f t="shared" si="42"/>
        <v>0</v>
      </c>
      <c r="AB49" s="1510">
        <f t="shared" si="43"/>
        <v>0</v>
      </c>
      <c r="AC49" s="1394">
        <f t="shared" si="44"/>
        <v>0</v>
      </c>
      <c r="AD49" s="1510">
        <f t="shared" si="45"/>
        <v>0</v>
      </c>
      <c r="AE49" s="1395">
        <v>0</v>
      </c>
      <c r="AF49" s="1510">
        <f t="shared" si="46"/>
        <v>0</v>
      </c>
      <c r="AG49" s="1395"/>
      <c r="AH49" s="1395">
        <f t="shared" si="47"/>
        <v>0</v>
      </c>
      <c r="AI49" s="1510">
        <f t="shared" si="48"/>
        <v>0</v>
      </c>
      <c r="AJ49" s="1505">
        <f t="shared" si="49"/>
        <v>0</v>
      </c>
      <c r="AK49" s="1535">
        <f t="shared" si="50"/>
        <v>0</v>
      </c>
    </row>
    <row r="50" spans="1:37" ht="16.2" customHeight="1">
      <c r="A50" s="1176">
        <v>44</v>
      </c>
      <c r="B50" s="1177" t="s">
        <v>124</v>
      </c>
      <c r="C50" s="1178">
        <f>+'Table 8 Membership 2.1.14'!Q46</f>
        <v>0</v>
      </c>
      <c r="D50" s="1179">
        <f>+'Table 5C1A-Madison Prep'!D50</f>
        <v>4897.5958151820359</v>
      </c>
      <c r="E50" s="1180">
        <f t="shared" si="29"/>
        <v>0</v>
      </c>
      <c r="F50" s="1180">
        <f>+'Table 5C1A-Madison Prep'!F50</f>
        <v>663.16000000000008</v>
      </c>
      <c r="G50" s="1180">
        <f t="shared" si="30"/>
        <v>0</v>
      </c>
      <c r="H50" s="1539">
        <f t="shared" si="31"/>
        <v>0</v>
      </c>
      <c r="I50" s="1181"/>
      <c r="J50" s="1181"/>
      <c r="K50" s="1182">
        <f t="shared" si="32"/>
        <v>0</v>
      </c>
      <c r="L50" s="1539">
        <f t="shared" si="33"/>
        <v>0</v>
      </c>
      <c r="M50" s="1388">
        <f t="shared" si="28"/>
        <v>0</v>
      </c>
      <c r="N50" s="1539">
        <f t="shared" si="34"/>
        <v>0</v>
      </c>
      <c r="O50" s="1179">
        <v>0</v>
      </c>
      <c r="P50" s="1545">
        <f t="shared" si="35"/>
        <v>0</v>
      </c>
      <c r="Q50" s="1181"/>
      <c r="R50" s="1181">
        <f t="shared" si="36"/>
        <v>0</v>
      </c>
      <c r="S50" s="1545">
        <f t="shared" si="37"/>
        <v>0</v>
      </c>
      <c r="T50" s="1545">
        <f t="shared" si="38"/>
        <v>0</v>
      </c>
      <c r="U50" s="1389">
        <f>'Table 5C1A-Madison Prep'!U50</f>
        <v>3719</v>
      </c>
      <c r="V50" s="1515">
        <f t="shared" si="39"/>
        <v>0</v>
      </c>
      <c r="W50" s="1391"/>
      <c r="X50" s="1392">
        <f t="shared" si="40"/>
        <v>0</v>
      </c>
      <c r="Y50" s="1391"/>
      <c r="Z50" s="1392">
        <f t="shared" si="41"/>
        <v>0</v>
      </c>
      <c r="AA50" s="1390">
        <f t="shared" si="42"/>
        <v>0</v>
      </c>
      <c r="AB50" s="1510">
        <f t="shared" si="43"/>
        <v>0</v>
      </c>
      <c r="AC50" s="1394">
        <f t="shared" si="44"/>
        <v>0</v>
      </c>
      <c r="AD50" s="1510">
        <f t="shared" si="45"/>
        <v>0</v>
      </c>
      <c r="AE50" s="1395">
        <v>0</v>
      </c>
      <c r="AF50" s="1510">
        <f t="shared" si="46"/>
        <v>0</v>
      </c>
      <c r="AG50" s="1395"/>
      <c r="AH50" s="1395">
        <f t="shared" si="47"/>
        <v>0</v>
      </c>
      <c r="AI50" s="1510">
        <f t="shared" si="48"/>
        <v>0</v>
      </c>
      <c r="AJ50" s="1505">
        <f t="shared" si="49"/>
        <v>0</v>
      </c>
      <c r="AK50" s="1535">
        <f t="shared" si="50"/>
        <v>0</v>
      </c>
    </row>
    <row r="51" spans="1:37" ht="16.2" customHeight="1">
      <c r="A51" s="1168">
        <v>45</v>
      </c>
      <c r="B51" s="1169" t="s">
        <v>125</v>
      </c>
      <c r="C51" s="1170">
        <f>+'Table 8 Membership 2.1.14'!Q47</f>
        <v>1</v>
      </c>
      <c r="D51" s="1171">
        <f>+'Table 5C1A-Madison Prep'!D51</f>
        <v>2054.0472499469101</v>
      </c>
      <c r="E51" s="1172">
        <f t="shared" si="29"/>
        <v>2054.0472499469101</v>
      </c>
      <c r="F51" s="1172">
        <f>+'Table 5C1A-Madison Prep'!F51</f>
        <v>753.96000000000015</v>
      </c>
      <c r="G51" s="1172">
        <f t="shared" si="30"/>
        <v>753.96000000000015</v>
      </c>
      <c r="H51" s="1540">
        <f t="shared" si="31"/>
        <v>2808.0072499469102</v>
      </c>
      <c r="I51" s="1173"/>
      <c r="J51" s="1173"/>
      <c r="K51" s="1174">
        <f t="shared" si="32"/>
        <v>0</v>
      </c>
      <c r="L51" s="1540">
        <f t="shared" si="33"/>
        <v>2808.0072499469102</v>
      </c>
      <c r="M51" s="1399">
        <f t="shared" si="28"/>
        <v>-7.0200181248672759</v>
      </c>
      <c r="N51" s="1540">
        <f t="shared" si="34"/>
        <v>2800.9872318220428</v>
      </c>
      <c r="O51" s="1171">
        <v>0</v>
      </c>
      <c r="P51" s="1546">
        <f t="shared" si="35"/>
        <v>2800.9872318220428</v>
      </c>
      <c r="Q51" s="1173"/>
      <c r="R51" s="1173">
        <f t="shared" si="36"/>
        <v>2800.9872318220428</v>
      </c>
      <c r="S51" s="1546">
        <f t="shared" si="37"/>
        <v>233</v>
      </c>
      <c r="T51" s="1546">
        <f t="shared" si="38"/>
        <v>2800.9872318220428</v>
      </c>
      <c r="U51" s="1382">
        <f>'Table 5C1A-Madison Prep'!U51</f>
        <v>12169</v>
      </c>
      <c r="V51" s="1516">
        <f t="shared" si="39"/>
        <v>12169</v>
      </c>
      <c r="W51" s="1400"/>
      <c r="X51" s="1383">
        <f t="shared" si="40"/>
        <v>0</v>
      </c>
      <c r="Y51" s="1400"/>
      <c r="Z51" s="1383">
        <f t="shared" si="41"/>
        <v>0</v>
      </c>
      <c r="AA51" s="1384">
        <f t="shared" si="42"/>
        <v>0</v>
      </c>
      <c r="AB51" s="1511">
        <f t="shared" si="43"/>
        <v>12169</v>
      </c>
      <c r="AC51" s="1402">
        <f t="shared" si="44"/>
        <v>-30.422499999999999</v>
      </c>
      <c r="AD51" s="1511">
        <f t="shared" si="45"/>
        <v>12138.577499999999</v>
      </c>
      <c r="AE51" s="1385">
        <v>0</v>
      </c>
      <c r="AF51" s="1511">
        <f t="shared" si="46"/>
        <v>12138.577499999999</v>
      </c>
      <c r="AG51" s="1385"/>
      <c r="AH51" s="1385">
        <f t="shared" si="47"/>
        <v>12138.577499999999</v>
      </c>
      <c r="AI51" s="1511">
        <f t="shared" si="48"/>
        <v>1012</v>
      </c>
      <c r="AJ51" s="1531">
        <f t="shared" si="49"/>
        <v>14939.564731822042</v>
      </c>
      <c r="AK51" s="1536">
        <f t="shared" si="50"/>
        <v>1245</v>
      </c>
    </row>
    <row r="52" spans="1:37" ht="16.2" customHeight="1">
      <c r="A52" s="1183">
        <v>46</v>
      </c>
      <c r="B52" s="1184" t="s">
        <v>126</v>
      </c>
      <c r="C52" s="1185">
        <f>+'Table 8 Membership 2.1.14'!Q48</f>
        <v>0</v>
      </c>
      <c r="D52" s="1186">
        <f>+'Table 5C1A-Madison Prep'!D52</f>
        <v>6051.2144468088381</v>
      </c>
      <c r="E52" s="1187">
        <f t="shared" si="29"/>
        <v>0</v>
      </c>
      <c r="F52" s="1187">
        <f>+'Table 5C1A-Madison Prep'!F52</f>
        <v>728.06</v>
      </c>
      <c r="G52" s="1187">
        <f t="shared" si="30"/>
        <v>0</v>
      </c>
      <c r="H52" s="1538">
        <f t="shared" si="31"/>
        <v>0</v>
      </c>
      <c r="I52" s="1188"/>
      <c r="J52" s="1188"/>
      <c r="K52" s="1189">
        <f t="shared" si="32"/>
        <v>0</v>
      </c>
      <c r="L52" s="1538">
        <f t="shared" si="33"/>
        <v>0</v>
      </c>
      <c r="M52" s="1372">
        <f t="shared" si="28"/>
        <v>0</v>
      </c>
      <c r="N52" s="1538">
        <f t="shared" si="34"/>
        <v>0</v>
      </c>
      <c r="O52" s="1186">
        <v>0</v>
      </c>
      <c r="P52" s="1544">
        <f t="shared" si="35"/>
        <v>0</v>
      </c>
      <c r="Q52" s="1188"/>
      <c r="R52" s="1188">
        <f t="shared" si="36"/>
        <v>0</v>
      </c>
      <c r="S52" s="1544">
        <f t="shared" si="37"/>
        <v>0</v>
      </c>
      <c r="T52" s="1544">
        <f t="shared" si="38"/>
        <v>0</v>
      </c>
      <c r="U52" s="1373">
        <f>'Table 5C1A-Madison Prep'!U52</f>
        <v>2713</v>
      </c>
      <c r="V52" s="1514">
        <f t="shared" si="39"/>
        <v>0</v>
      </c>
      <c r="W52" s="1375"/>
      <c r="X52" s="1376">
        <f t="shared" si="40"/>
        <v>0</v>
      </c>
      <c r="Y52" s="1375"/>
      <c r="Z52" s="1376">
        <f t="shared" si="41"/>
        <v>0</v>
      </c>
      <c r="AA52" s="1374">
        <f t="shared" si="42"/>
        <v>0</v>
      </c>
      <c r="AB52" s="1509">
        <f t="shared" si="43"/>
        <v>0</v>
      </c>
      <c r="AC52" s="1378">
        <f t="shared" si="44"/>
        <v>0</v>
      </c>
      <c r="AD52" s="1509">
        <f t="shared" si="45"/>
        <v>0</v>
      </c>
      <c r="AE52" s="1379">
        <v>0</v>
      </c>
      <c r="AF52" s="1509">
        <f t="shared" si="46"/>
        <v>0</v>
      </c>
      <c r="AG52" s="1379"/>
      <c r="AH52" s="1379">
        <f t="shared" si="47"/>
        <v>0</v>
      </c>
      <c r="AI52" s="1509">
        <f t="shared" si="48"/>
        <v>0</v>
      </c>
      <c r="AJ52" s="1530">
        <f t="shared" si="49"/>
        <v>0</v>
      </c>
      <c r="AK52" s="1534">
        <f t="shared" si="50"/>
        <v>0</v>
      </c>
    </row>
    <row r="53" spans="1:37" ht="16.2" customHeight="1">
      <c r="A53" s="1176">
        <v>47</v>
      </c>
      <c r="B53" s="1177" t="s">
        <v>127</v>
      </c>
      <c r="C53" s="1178">
        <f>+'Table 8 Membership 2.1.14'!Q49</f>
        <v>0</v>
      </c>
      <c r="D53" s="1179">
        <f>+'Table 5C1A-Madison Prep'!D53</f>
        <v>2524.1485257646736</v>
      </c>
      <c r="E53" s="1180">
        <f t="shared" si="29"/>
        <v>0</v>
      </c>
      <c r="F53" s="1180">
        <f>+'Table 5C1A-Madison Prep'!F53</f>
        <v>910.76</v>
      </c>
      <c r="G53" s="1180">
        <f t="shared" si="30"/>
        <v>0</v>
      </c>
      <c r="H53" s="1539">
        <f t="shared" si="31"/>
        <v>0</v>
      </c>
      <c r="I53" s="1181"/>
      <c r="J53" s="1181"/>
      <c r="K53" s="1182">
        <f t="shared" si="32"/>
        <v>0</v>
      </c>
      <c r="L53" s="1539">
        <f t="shared" si="33"/>
        <v>0</v>
      </c>
      <c r="M53" s="1388">
        <f t="shared" si="28"/>
        <v>0</v>
      </c>
      <c r="N53" s="1539">
        <f t="shared" si="34"/>
        <v>0</v>
      </c>
      <c r="O53" s="1179">
        <v>0</v>
      </c>
      <c r="P53" s="1545">
        <f t="shared" si="35"/>
        <v>0</v>
      </c>
      <c r="Q53" s="1181"/>
      <c r="R53" s="1181">
        <f t="shared" si="36"/>
        <v>0</v>
      </c>
      <c r="S53" s="1545">
        <f t="shared" si="37"/>
        <v>0</v>
      </c>
      <c r="T53" s="1545">
        <f t="shared" si="38"/>
        <v>0</v>
      </c>
      <c r="U53" s="1389">
        <f>'Table 5C1A-Madison Prep'!U53</f>
        <v>11701</v>
      </c>
      <c r="V53" s="1515">
        <f t="shared" si="39"/>
        <v>0</v>
      </c>
      <c r="W53" s="1391"/>
      <c r="X53" s="1392">
        <f t="shared" si="40"/>
        <v>0</v>
      </c>
      <c r="Y53" s="1391"/>
      <c r="Z53" s="1392">
        <f t="shared" si="41"/>
        <v>0</v>
      </c>
      <c r="AA53" s="1390">
        <f t="shared" si="42"/>
        <v>0</v>
      </c>
      <c r="AB53" s="1510">
        <f t="shared" si="43"/>
        <v>0</v>
      </c>
      <c r="AC53" s="1394">
        <f t="shared" si="44"/>
        <v>0</v>
      </c>
      <c r="AD53" s="1510">
        <f t="shared" si="45"/>
        <v>0</v>
      </c>
      <c r="AE53" s="1395">
        <v>0</v>
      </c>
      <c r="AF53" s="1510">
        <f t="shared" si="46"/>
        <v>0</v>
      </c>
      <c r="AG53" s="1395"/>
      <c r="AH53" s="1395">
        <f t="shared" si="47"/>
        <v>0</v>
      </c>
      <c r="AI53" s="1510">
        <f t="shared" si="48"/>
        <v>0</v>
      </c>
      <c r="AJ53" s="1505">
        <f t="shared" si="49"/>
        <v>0</v>
      </c>
      <c r="AK53" s="1535">
        <f t="shared" si="50"/>
        <v>0</v>
      </c>
    </row>
    <row r="54" spans="1:37" ht="16.2" customHeight="1">
      <c r="A54" s="1176">
        <v>48</v>
      </c>
      <c r="B54" s="1177" t="s">
        <v>178</v>
      </c>
      <c r="C54" s="1178">
        <f>+'Table 8 Membership 2.1.14'!Q50</f>
        <v>1</v>
      </c>
      <c r="D54" s="1179">
        <f>+'Table 5C1A-Madison Prep'!D54</f>
        <v>3983.3582529800719</v>
      </c>
      <c r="E54" s="1180">
        <f t="shared" si="29"/>
        <v>3983.3582529800719</v>
      </c>
      <c r="F54" s="1180">
        <f>+'Table 5C1A-Madison Prep'!F54</f>
        <v>871.07</v>
      </c>
      <c r="G54" s="1180">
        <f t="shared" si="30"/>
        <v>871.07</v>
      </c>
      <c r="H54" s="1539">
        <f t="shared" si="31"/>
        <v>4854.4282529800721</v>
      </c>
      <c r="I54" s="1181"/>
      <c r="J54" s="1181"/>
      <c r="K54" s="1182">
        <f t="shared" si="32"/>
        <v>0</v>
      </c>
      <c r="L54" s="1539">
        <f t="shared" si="33"/>
        <v>4854.4282529800721</v>
      </c>
      <c r="M54" s="1388">
        <f t="shared" si="28"/>
        <v>-12.136070632450181</v>
      </c>
      <c r="N54" s="1539">
        <f t="shared" si="34"/>
        <v>4842.2921823476217</v>
      </c>
      <c r="O54" s="1179">
        <v>0</v>
      </c>
      <c r="P54" s="1545">
        <f t="shared" si="35"/>
        <v>4842.2921823476217</v>
      </c>
      <c r="Q54" s="1181"/>
      <c r="R54" s="1181">
        <f t="shared" si="36"/>
        <v>4842.2921823476217</v>
      </c>
      <c r="S54" s="1545">
        <f t="shared" si="37"/>
        <v>404</v>
      </c>
      <c r="T54" s="1545">
        <f t="shared" si="38"/>
        <v>4842.2921823476217</v>
      </c>
      <c r="U54" s="1389">
        <f>'Table 5C1A-Madison Prep'!U54</f>
        <v>7338</v>
      </c>
      <c r="V54" s="1515">
        <f t="shared" si="39"/>
        <v>7338</v>
      </c>
      <c r="W54" s="1391"/>
      <c r="X54" s="1392">
        <f t="shared" si="40"/>
        <v>0</v>
      </c>
      <c r="Y54" s="1391"/>
      <c r="Z54" s="1392">
        <f t="shared" si="41"/>
        <v>0</v>
      </c>
      <c r="AA54" s="1390">
        <f t="shared" si="42"/>
        <v>0</v>
      </c>
      <c r="AB54" s="1510">
        <f t="shared" si="43"/>
        <v>7338</v>
      </c>
      <c r="AC54" s="1394">
        <f t="shared" si="44"/>
        <v>-18.344999999999999</v>
      </c>
      <c r="AD54" s="1510">
        <f t="shared" si="45"/>
        <v>7319.6549999999997</v>
      </c>
      <c r="AE54" s="1395">
        <v>0</v>
      </c>
      <c r="AF54" s="1510">
        <f t="shared" si="46"/>
        <v>7319.6549999999997</v>
      </c>
      <c r="AG54" s="1395"/>
      <c r="AH54" s="1395">
        <f t="shared" si="47"/>
        <v>7319.6549999999997</v>
      </c>
      <c r="AI54" s="1510">
        <f t="shared" si="48"/>
        <v>610</v>
      </c>
      <c r="AJ54" s="1505">
        <f t="shared" si="49"/>
        <v>12161.947182347621</v>
      </c>
      <c r="AK54" s="1535">
        <f t="shared" si="50"/>
        <v>1014</v>
      </c>
    </row>
    <row r="55" spans="1:37" ht="16.2" customHeight="1">
      <c r="A55" s="1176">
        <v>49</v>
      </c>
      <c r="B55" s="1177" t="s">
        <v>128</v>
      </c>
      <c r="C55" s="1178">
        <f>+'Table 8 Membership 2.1.14'!Q51</f>
        <v>0</v>
      </c>
      <c r="D55" s="1179">
        <f>+'Table 5C1A-Madison Prep'!D55</f>
        <v>4995.8755315659191</v>
      </c>
      <c r="E55" s="1180">
        <f t="shared" si="29"/>
        <v>0</v>
      </c>
      <c r="F55" s="1180">
        <f>+'Table 5C1A-Madison Prep'!F55</f>
        <v>574.43999999999994</v>
      </c>
      <c r="G55" s="1180">
        <f t="shared" si="30"/>
        <v>0</v>
      </c>
      <c r="H55" s="1539">
        <f t="shared" si="31"/>
        <v>0</v>
      </c>
      <c r="I55" s="1181"/>
      <c r="J55" s="1181"/>
      <c r="K55" s="1182">
        <f t="shared" si="32"/>
        <v>0</v>
      </c>
      <c r="L55" s="1539">
        <f t="shared" si="33"/>
        <v>0</v>
      </c>
      <c r="M55" s="1388">
        <f t="shared" si="28"/>
        <v>0</v>
      </c>
      <c r="N55" s="1539">
        <f t="shared" si="34"/>
        <v>0</v>
      </c>
      <c r="O55" s="1179">
        <v>0</v>
      </c>
      <c r="P55" s="1545">
        <f t="shared" si="35"/>
        <v>0</v>
      </c>
      <c r="Q55" s="1181"/>
      <c r="R55" s="1181">
        <f t="shared" si="36"/>
        <v>0</v>
      </c>
      <c r="S55" s="1545">
        <f t="shared" si="37"/>
        <v>0</v>
      </c>
      <c r="T55" s="1545">
        <f t="shared" si="38"/>
        <v>0</v>
      </c>
      <c r="U55" s="1389">
        <f>'Table 5C1A-Madison Prep'!U55</f>
        <v>2353</v>
      </c>
      <c r="V55" s="1515">
        <f t="shared" si="39"/>
        <v>0</v>
      </c>
      <c r="W55" s="1391"/>
      <c r="X55" s="1392">
        <f t="shared" si="40"/>
        <v>0</v>
      </c>
      <c r="Y55" s="1391"/>
      <c r="Z55" s="1392">
        <f t="shared" si="41"/>
        <v>0</v>
      </c>
      <c r="AA55" s="1390">
        <f t="shared" si="42"/>
        <v>0</v>
      </c>
      <c r="AB55" s="1510">
        <f t="shared" si="43"/>
        <v>0</v>
      </c>
      <c r="AC55" s="1394">
        <f t="shared" si="44"/>
        <v>0</v>
      </c>
      <c r="AD55" s="1510">
        <f t="shared" si="45"/>
        <v>0</v>
      </c>
      <c r="AE55" s="1395">
        <v>0</v>
      </c>
      <c r="AF55" s="1510">
        <f t="shared" si="46"/>
        <v>0</v>
      </c>
      <c r="AG55" s="1395"/>
      <c r="AH55" s="1395">
        <f t="shared" si="47"/>
        <v>0</v>
      </c>
      <c r="AI55" s="1510">
        <f t="shared" si="48"/>
        <v>0</v>
      </c>
      <c r="AJ55" s="1505">
        <f t="shared" si="49"/>
        <v>0</v>
      </c>
      <c r="AK55" s="1535">
        <f t="shared" si="50"/>
        <v>0</v>
      </c>
    </row>
    <row r="56" spans="1:37" ht="16.2" customHeight="1">
      <c r="A56" s="1168">
        <v>50</v>
      </c>
      <c r="B56" s="1169" t="s">
        <v>129</v>
      </c>
      <c r="C56" s="1170">
        <f>+'Table 8 Membership 2.1.14'!Q52</f>
        <v>0</v>
      </c>
      <c r="D56" s="1171">
        <f>+'Table 5C1A-Madison Prep'!D56</f>
        <v>5177.6892722701677</v>
      </c>
      <c r="E56" s="1172">
        <f t="shared" si="29"/>
        <v>0</v>
      </c>
      <c r="F56" s="1172">
        <f>+'Table 5C1A-Madison Prep'!F56</f>
        <v>634.46</v>
      </c>
      <c r="G56" s="1172">
        <f t="shared" si="30"/>
        <v>0</v>
      </c>
      <c r="H56" s="1540">
        <f t="shared" si="31"/>
        <v>0</v>
      </c>
      <c r="I56" s="1173"/>
      <c r="J56" s="1173"/>
      <c r="K56" s="1174">
        <f t="shared" si="32"/>
        <v>0</v>
      </c>
      <c r="L56" s="1540">
        <f t="shared" si="33"/>
        <v>0</v>
      </c>
      <c r="M56" s="1399">
        <f t="shared" si="28"/>
        <v>0</v>
      </c>
      <c r="N56" s="1540">
        <f t="shared" si="34"/>
        <v>0</v>
      </c>
      <c r="O56" s="1171">
        <v>0</v>
      </c>
      <c r="P56" s="1546">
        <f t="shared" si="35"/>
        <v>0</v>
      </c>
      <c r="Q56" s="1173"/>
      <c r="R56" s="1173">
        <f t="shared" si="36"/>
        <v>0</v>
      </c>
      <c r="S56" s="1546">
        <f t="shared" si="37"/>
        <v>0</v>
      </c>
      <c r="T56" s="1546">
        <f t="shared" si="38"/>
        <v>0</v>
      </c>
      <c r="U56" s="1382">
        <f>'Table 5C1A-Madison Prep'!U56</f>
        <v>3510</v>
      </c>
      <c r="V56" s="1516">
        <f t="shared" si="39"/>
        <v>0</v>
      </c>
      <c r="W56" s="1400"/>
      <c r="X56" s="1383">
        <f t="shared" si="40"/>
        <v>0</v>
      </c>
      <c r="Y56" s="1400"/>
      <c r="Z56" s="1383">
        <f t="shared" si="41"/>
        <v>0</v>
      </c>
      <c r="AA56" s="1384">
        <f t="shared" si="42"/>
        <v>0</v>
      </c>
      <c r="AB56" s="1511">
        <f t="shared" si="43"/>
        <v>0</v>
      </c>
      <c r="AC56" s="1402">
        <f t="shared" si="44"/>
        <v>0</v>
      </c>
      <c r="AD56" s="1511">
        <f t="shared" si="45"/>
        <v>0</v>
      </c>
      <c r="AE56" s="1385">
        <v>0</v>
      </c>
      <c r="AF56" s="1511">
        <f t="shared" si="46"/>
        <v>0</v>
      </c>
      <c r="AG56" s="1385"/>
      <c r="AH56" s="1385">
        <f t="shared" si="47"/>
        <v>0</v>
      </c>
      <c r="AI56" s="1511">
        <f t="shared" si="48"/>
        <v>0</v>
      </c>
      <c r="AJ56" s="1531">
        <f t="shared" si="49"/>
        <v>0</v>
      </c>
      <c r="AK56" s="1536">
        <f t="shared" si="50"/>
        <v>0</v>
      </c>
    </row>
    <row r="57" spans="1:37" ht="16.2" customHeight="1">
      <c r="A57" s="1183">
        <v>51</v>
      </c>
      <c r="B57" s="1184" t="s">
        <v>130</v>
      </c>
      <c r="C57" s="1185">
        <f>+'Table 8 Membership 2.1.14'!Q53</f>
        <v>0</v>
      </c>
      <c r="D57" s="1186">
        <f>+'Table 5C1A-Madison Prep'!D57</f>
        <v>4154.1928602178996</v>
      </c>
      <c r="E57" s="1187">
        <f t="shared" si="29"/>
        <v>0</v>
      </c>
      <c r="F57" s="1187">
        <f>+'Table 5C1A-Madison Prep'!F57</f>
        <v>706.66</v>
      </c>
      <c r="G57" s="1187">
        <f t="shared" si="30"/>
        <v>0</v>
      </c>
      <c r="H57" s="1538">
        <f t="shared" si="31"/>
        <v>0</v>
      </c>
      <c r="I57" s="1188"/>
      <c r="J57" s="1188"/>
      <c r="K57" s="1189">
        <f t="shared" si="32"/>
        <v>0</v>
      </c>
      <c r="L57" s="1538">
        <f t="shared" si="33"/>
        <v>0</v>
      </c>
      <c r="M57" s="1372">
        <f t="shared" si="28"/>
        <v>0</v>
      </c>
      <c r="N57" s="1538">
        <f t="shared" si="34"/>
        <v>0</v>
      </c>
      <c r="O57" s="1186">
        <v>0</v>
      </c>
      <c r="P57" s="1544">
        <f t="shared" si="35"/>
        <v>0</v>
      </c>
      <c r="Q57" s="1188"/>
      <c r="R57" s="1188">
        <f t="shared" si="36"/>
        <v>0</v>
      </c>
      <c r="S57" s="1544">
        <f t="shared" si="37"/>
        <v>0</v>
      </c>
      <c r="T57" s="1544">
        <f t="shared" si="38"/>
        <v>0</v>
      </c>
      <c r="U57" s="1373">
        <f>'Table 5C1A-Madison Prep'!U57</f>
        <v>4597</v>
      </c>
      <c r="V57" s="1514">
        <f t="shared" si="39"/>
        <v>0</v>
      </c>
      <c r="W57" s="1375"/>
      <c r="X57" s="1376">
        <f t="shared" si="40"/>
        <v>0</v>
      </c>
      <c r="Y57" s="1375"/>
      <c r="Z57" s="1376">
        <f t="shared" si="41"/>
        <v>0</v>
      </c>
      <c r="AA57" s="1374">
        <f t="shared" si="42"/>
        <v>0</v>
      </c>
      <c r="AB57" s="1509">
        <f t="shared" si="43"/>
        <v>0</v>
      </c>
      <c r="AC57" s="1378">
        <f t="shared" si="44"/>
        <v>0</v>
      </c>
      <c r="AD57" s="1509">
        <f t="shared" si="45"/>
        <v>0</v>
      </c>
      <c r="AE57" s="1379">
        <v>0</v>
      </c>
      <c r="AF57" s="1509">
        <f t="shared" si="46"/>
        <v>0</v>
      </c>
      <c r="AG57" s="1379"/>
      <c r="AH57" s="1379">
        <f t="shared" si="47"/>
        <v>0</v>
      </c>
      <c r="AI57" s="1509">
        <f t="shared" si="48"/>
        <v>0</v>
      </c>
      <c r="AJ57" s="1530">
        <f t="shared" si="49"/>
        <v>0</v>
      </c>
      <c r="AK57" s="1534">
        <f t="shared" si="50"/>
        <v>0</v>
      </c>
    </row>
    <row r="58" spans="1:37" ht="16.2" customHeight="1">
      <c r="A58" s="1176">
        <v>52</v>
      </c>
      <c r="B58" s="1177" t="s">
        <v>131</v>
      </c>
      <c r="C58" s="1178">
        <f>+'Table 8 Membership 2.1.14'!Q54</f>
        <v>0</v>
      </c>
      <c r="D58" s="1179">
        <f>+'Table 5C1A-Madison Prep'!D58</f>
        <v>5062.2745845228173</v>
      </c>
      <c r="E58" s="1180">
        <f t="shared" si="29"/>
        <v>0</v>
      </c>
      <c r="F58" s="1180">
        <f>+'Table 5C1A-Madison Prep'!F58</f>
        <v>658.37</v>
      </c>
      <c r="G58" s="1180">
        <f t="shared" si="30"/>
        <v>0</v>
      </c>
      <c r="H58" s="1539">
        <f t="shared" si="31"/>
        <v>0</v>
      </c>
      <c r="I58" s="1181"/>
      <c r="J58" s="1181"/>
      <c r="K58" s="1182">
        <f t="shared" si="32"/>
        <v>0</v>
      </c>
      <c r="L58" s="1539">
        <f t="shared" si="33"/>
        <v>0</v>
      </c>
      <c r="M58" s="1388">
        <f t="shared" si="28"/>
        <v>0</v>
      </c>
      <c r="N58" s="1539">
        <f t="shared" si="34"/>
        <v>0</v>
      </c>
      <c r="O58" s="1179">
        <v>0</v>
      </c>
      <c r="P58" s="1545">
        <f t="shared" si="35"/>
        <v>0</v>
      </c>
      <c r="Q58" s="1181"/>
      <c r="R58" s="1181">
        <f t="shared" si="36"/>
        <v>0</v>
      </c>
      <c r="S58" s="1545">
        <f t="shared" si="37"/>
        <v>0</v>
      </c>
      <c r="T58" s="1545">
        <f t="shared" si="38"/>
        <v>0</v>
      </c>
      <c r="U58" s="1389">
        <f>'Table 5C1A-Madison Prep'!U58</f>
        <v>5212</v>
      </c>
      <c r="V58" s="1515">
        <f t="shared" si="39"/>
        <v>0</v>
      </c>
      <c r="W58" s="1391"/>
      <c r="X58" s="1392">
        <f t="shared" si="40"/>
        <v>0</v>
      </c>
      <c r="Y58" s="1391"/>
      <c r="Z58" s="1392">
        <f t="shared" si="41"/>
        <v>0</v>
      </c>
      <c r="AA58" s="1390">
        <f t="shared" si="42"/>
        <v>0</v>
      </c>
      <c r="AB58" s="1510">
        <f t="shared" si="43"/>
        <v>0</v>
      </c>
      <c r="AC58" s="1394">
        <f t="shared" si="44"/>
        <v>0</v>
      </c>
      <c r="AD58" s="1510">
        <f t="shared" si="45"/>
        <v>0</v>
      </c>
      <c r="AE58" s="1395">
        <v>0</v>
      </c>
      <c r="AF58" s="1510">
        <f t="shared" si="46"/>
        <v>0</v>
      </c>
      <c r="AG58" s="1395"/>
      <c r="AH58" s="1395">
        <f t="shared" si="47"/>
        <v>0</v>
      </c>
      <c r="AI58" s="1510">
        <f t="shared" si="48"/>
        <v>0</v>
      </c>
      <c r="AJ58" s="1505">
        <f t="shared" si="49"/>
        <v>0</v>
      </c>
      <c r="AK58" s="1535">
        <f t="shared" si="50"/>
        <v>0</v>
      </c>
    </row>
    <row r="59" spans="1:37" ht="16.2" customHeight="1">
      <c r="A59" s="1176">
        <v>53</v>
      </c>
      <c r="B59" s="1177" t="s">
        <v>132</v>
      </c>
      <c r="C59" s="1178">
        <f>+'Table 8 Membership 2.1.14'!Q55</f>
        <v>0</v>
      </c>
      <c r="D59" s="1179">
        <f>+'Table 5C1A-Madison Prep'!D59</f>
        <v>5060.1508194045482</v>
      </c>
      <c r="E59" s="1180">
        <f t="shared" si="29"/>
        <v>0</v>
      </c>
      <c r="F59" s="1180">
        <f>+'Table 5C1A-Madison Prep'!F59</f>
        <v>689.74</v>
      </c>
      <c r="G59" s="1180">
        <f t="shared" si="30"/>
        <v>0</v>
      </c>
      <c r="H59" s="1539">
        <f t="shared" si="31"/>
        <v>0</v>
      </c>
      <c r="I59" s="1181"/>
      <c r="J59" s="1181"/>
      <c r="K59" s="1182">
        <f t="shared" si="32"/>
        <v>0</v>
      </c>
      <c r="L59" s="1539">
        <f t="shared" si="33"/>
        <v>0</v>
      </c>
      <c r="M59" s="1388">
        <f t="shared" si="28"/>
        <v>0</v>
      </c>
      <c r="N59" s="1539">
        <f t="shared" si="34"/>
        <v>0</v>
      </c>
      <c r="O59" s="1179">
        <v>0</v>
      </c>
      <c r="P59" s="1545">
        <f t="shared" si="35"/>
        <v>0</v>
      </c>
      <c r="Q59" s="1181"/>
      <c r="R59" s="1181">
        <f t="shared" si="36"/>
        <v>0</v>
      </c>
      <c r="S59" s="1545">
        <f t="shared" si="37"/>
        <v>0</v>
      </c>
      <c r="T59" s="1545">
        <f t="shared" si="38"/>
        <v>0</v>
      </c>
      <c r="U59" s="1389">
        <f>'Table 5C1A-Madison Prep'!U59</f>
        <v>2054</v>
      </c>
      <c r="V59" s="1515">
        <f t="shared" si="39"/>
        <v>0</v>
      </c>
      <c r="W59" s="1391"/>
      <c r="X59" s="1392">
        <f t="shared" si="40"/>
        <v>0</v>
      </c>
      <c r="Y59" s="1391"/>
      <c r="Z59" s="1392">
        <f t="shared" si="41"/>
        <v>0</v>
      </c>
      <c r="AA59" s="1390">
        <f t="shared" si="42"/>
        <v>0</v>
      </c>
      <c r="AB59" s="1510">
        <f t="shared" si="43"/>
        <v>0</v>
      </c>
      <c r="AC59" s="1394">
        <f t="shared" si="44"/>
        <v>0</v>
      </c>
      <c r="AD59" s="1510">
        <f t="shared" si="45"/>
        <v>0</v>
      </c>
      <c r="AE59" s="1395">
        <v>0</v>
      </c>
      <c r="AF59" s="1510">
        <f t="shared" si="46"/>
        <v>0</v>
      </c>
      <c r="AG59" s="1395"/>
      <c r="AH59" s="1395">
        <f t="shared" si="47"/>
        <v>0</v>
      </c>
      <c r="AI59" s="1510">
        <f t="shared" si="48"/>
        <v>0</v>
      </c>
      <c r="AJ59" s="1505">
        <f t="shared" si="49"/>
        <v>0</v>
      </c>
      <c r="AK59" s="1535">
        <f t="shared" si="50"/>
        <v>0</v>
      </c>
    </row>
    <row r="60" spans="1:37" ht="16.2" customHeight="1">
      <c r="A60" s="1176">
        <v>54</v>
      </c>
      <c r="B60" s="1177" t="s">
        <v>133</v>
      </c>
      <c r="C60" s="1178">
        <f>+'Table 8 Membership 2.1.14'!Q56</f>
        <v>0</v>
      </c>
      <c r="D60" s="1179">
        <f>+'Table 5C1A-Madison Prep'!D60</f>
        <v>5867.0798370516713</v>
      </c>
      <c r="E60" s="1180">
        <f t="shared" si="29"/>
        <v>0</v>
      </c>
      <c r="F60" s="1180">
        <f>+'Table 5C1A-Madison Prep'!F60</f>
        <v>951.45</v>
      </c>
      <c r="G60" s="1180">
        <f t="shared" si="30"/>
        <v>0</v>
      </c>
      <c r="H60" s="1539">
        <f t="shared" si="31"/>
        <v>0</v>
      </c>
      <c r="I60" s="1181"/>
      <c r="J60" s="1181"/>
      <c r="K60" s="1182">
        <f t="shared" si="32"/>
        <v>0</v>
      </c>
      <c r="L60" s="1539">
        <f t="shared" si="33"/>
        <v>0</v>
      </c>
      <c r="M60" s="1388">
        <f t="shared" si="28"/>
        <v>0</v>
      </c>
      <c r="N60" s="1539">
        <f t="shared" si="34"/>
        <v>0</v>
      </c>
      <c r="O60" s="1179">
        <v>0</v>
      </c>
      <c r="P60" s="1545">
        <f t="shared" si="35"/>
        <v>0</v>
      </c>
      <c r="Q60" s="1181"/>
      <c r="R60" s="1181">
        <f t="shared" si="36"/>
        <v>0</v>
      </c>
      <c r="S60" s="1545">
        <f t="shared" si="37"/>
        <v>0</v>
      </c>
      <c r="T60" s="1545">
        <f t="shared" si="38"/>
        <v>0</v>
      </c>
      <c r="U60" s="1389">
        <f>'Table 5C1A-Madison Prep'!U60</f>
        <v>4116</v>
      </c>
      <c r="V60" s="1515">
        <f t="shared" si="39"/>
        <v>0</v>
      </c>
      <c r="W60" s="1391"/>
      <c r="X60" s="1392">
        <f t="shared" si="40"/>
        <v>0</v>
      </c>
      <c r="Y60" s="1391"/>
      <c r="Z60" s="1392">
        <f t="shared" si="41"/>
        <v>0</v>
      </c>
      <c r="AA60" s="1390">
        <f t="shared" si="42"/>
        <v>0</v>
      </c>
      <c r="AB60" s="1510">
        <f t="shared" si="43"/>
        <v>0</v>
      </c>
      <c r="AC60" s="1394">
        <f t="shared" si="44"/>
        <v>0</v>
      </c>
      <c r="AD60" s="1510">
        <f t="shared" si="45"/>
        <v>0</v>
      </c>
      <c r="AE60" s="1395">
        <v>0</v>
      </c>
      <c r="AF60" s="1510">
        <f t="shared" si="46"/>
        <v>0</v>
      </c>
      <c r="AG60" s="1395"/>
      <c r="AH60" s="1395">
        <f t="shared" si="47"/>
        <v>0</v>
      </c>
      <c r="AI60" s="1510">
        <f t="shared" si="48"/>
        <v>0</v>
      </c>
      <c r="AJ60" s="1505">
        <f t="shared" si="49"/>
        <v>0</v>
      </c>
      <c r="AK60" s="1535">
        <f t="shared" si="50"/>
        <v>0</v>
      </c>
    </row>
    <row r="61" spans="1:37" ht="16.2" customHeight="1">
      <c r="A61" s="1168">
        <v>55</v>
      </c>
      <c r="B61" s="1169" t="s">
        <v>134</v>
      </c>
      <c r="C61" s="1170">
        <f>+'Table 8 Membership 2.1.14'!Q57</f>
        <v>0</v>
      </c>
      <c r="D61" s="1171">
        <f>+'Table 5C1A-Madison Prep'!D61</f>
        <v>4266.8225491298481</v>
      </c>
      <c r="E61" s="1172">
        <f t="shared" si="29"/>
        <v>0</v>
      </c>
      <c r="F61" s="1172">
        <f>+'Table 5C1A-Madison Prep'!F61</f>
        <v>795.14</v>
      </c>
      <c r="G61" s="1172">
        <f t="shared" si="30"/>
        <v>0</v>
      </c>
      <c r="H61" s="1540">
        <f t="shared" si="31"/>
        <v>0</v>
      </c>
      <c r="I61" s="1173"/>
      <c r="J61" s="1173"/>
      <c r="K61" s="1174">
        <f t="shared" si="32"/>
        <v>0</v>
      </c>
      <c r="L61" s="1540">
        <f t="shared" si="33"/>
        <v>0</v>
      </c>
      <c r="M61" s="1399">
        <f t="shared" si="28"/>
        <v>0</v>
      </c>
      <c r="N61" s="1540">
        <f t="shared" si="34"/>
        <v>0</v>
      </c>
      <c r="O61" s="1171">
        <v>0</v>
      </c>
      <c r="P61" s="1546">
        <f t="shared" si="35"/>
        <v>0</v>
      </c>
      <c r="Q61" s="1173"/>
      <c r="R61" s="1173">
        <f t="shared" si="36"/>
        <v>0</v>
      </c>
      <c r="S61" s="1546">
        <f t="shared" si="37"/>
        <v>0</v>
      </c>
      <c r="T61" s="1546">
        <f t="shared" si="38"/>
        <v>0</v>
      </c>
      <c r="U61" s="1382">
        <f>'Table 5C1A-Madison Prep'!U61</f>
        <v>3532</v>
      </c>
      <c r="V61" s="1516">
        <f t="shared" si="39"/>
        <v>0</v>
      </c>
      <c r="W61" s="1400"/>
      <c r="X61" s="1383">
        <f t="shared" si="40"/>
        <v>0</v>
      </c>
      <c r="Y61" s="1400"/>
      <c r="Z61" s="1383">
        <f t="shared" si="41"/>
        <v>0</v>
      </c>
      <c r="AA61" s="1384">
        <f t="shared" si="42"/>
        <v>0</v>
      </c>
      <c r="AB61" s="1511">
        <f t="shared" si="43"/>
        <v>0</v>
      </c>
      <c r="AC61" s="1402">
        <f t="shared" si="44"/>
        <v>0</v>
      </c>
      <c r="AD61" s="1511">
        <f t="shared" si="45"/>
        <v>0</v>
      </c>
      <c r="AE61" s="1385">
        <v>0</v>
      </c>
      <c r="AF61" s="1511">
        <f t="shared" si="46"/>
        <v>0</v>
      </c>
      <c r="AG61" s="1385"/>
      <c r="AH61" s="1385">
        <f t="shared" si="47"/>
        <v>0</v>
      </c>
      <c r="AI61" s="1511">
        <f t="shared" si="48"/>
        <v>0</v>
      </c>
      <c r="AJ61" s="1531">
        <f t="shared" si="49"/>
        <v>0</v>
      </c>
      <c r="AK61" s="1536">
        <f t="shared" si="50"/>
        <v>0</v>
      </c>
    </row>
    <row r="62" spans="1:37" ht="16.2" customHeight="1">
      <c r="A62" s="1183">
        <v>56</v>
      </c>
      <c r="B62" s="1184" t="s">
        <v>135</v>
      </c>
      <c r="C62" s="1185">
        <f>+'Table 8 Membership 2.1.14'!Q58</f>
        <v>0</v>
      </c>
      <c r="D62" s="1186">
        <f>+'Table 5C1A-Madison Prep'!D62</f>
        <v>5028.4909408288286</v>
      </c>
      <c r="E62" s="1187">
        <f t="shared" si="29"/>
        <v>0</v>
      </c>
      <c r="F62" s="1187">
        <f>+'Table 5C1A-Madison Prep'!F62</f>
        <v>614.66000000000008</v>
      </c>
      <c r="G62" s="1187">
        <f t="shared" si="30"/>
        <v>0</v>
      </c>
      <c r="H62" s="1538">
        <f t="shared" si="31"/>
        <v>0</v>
      </c>
      <c r="I62" s="1188"/>
      <c r="J62" s="1188"/>
      <c r="K62" s="1189">
        <f t="shared" si="32"/>
        <v>0</v>
      </c>
      <c r="L62" s="1538">
        <f t="shared" si="33"/>
        <v>0</v>
      </c>
      <c r="M62" s="1372">
        <f t="shared" si="28"/>
        <v>0</v>
      </c>
      <c r="N62" s="1538">
        <f t="shared" si="34"/>
        <v>0</v>
      </c>
      <c r="O62" s="1186">
        <v>0</v>
      </c>
      <c r="P62" s="1544">
        <f t="shared" si="35"/>
        <v>0</v>
      </c>
      <c r="Q62" s="1188"/>
      <c r="R62" s="1188">
        <f t="shared" si="36"/>
        <v>0</v>
      </c>
      <c r="S62" s="1544">
        <f t="shared" si="37"/>
        <v>0</v>
      </c>
      <c r="T62" s="1544">
        <f t="shared" si="38"/>
        <v>0</v>
      </c>
      <c r="U62" s="1373">
        <f>'Table 5C1A-Madison Prep'!U62</f>
        <v>2865</v>
      </c>
      <c r="V62" s="1514">
        <f t="shared" si="39"/>
        <v>0</v>
      </c>
      <c r="W62" s="1375"/>
      <c r="X62" s="1376">
        <f t="shared" si="40"/>
        <v>0</v>
      </c>
      <c r="Y62" s="1375"/>
      <c r="Z62" s="1376">
        <f t="shared" si="41"/>
        <v>0</v>
      </c>
      <c r="AA62" s="1374">
        <f t="shared" si="42"/>
        <v>0</v>
      </c>
      <c r="AB62" s="1509">
        <f t="shared" si="43"/>
        <v>0</v>
      </c>
      <c r="AC62" s="1378">
        <f t="shared" si="44"/>
        <v>0</v>
      </c>
      <c r="AD62" s="1509">
        <f t="shared" si="45"/>
        <v>0</v>
      </c>
      <c r="AE62" s="1379">
        <v>0</v>
      </c>
      <c r="AF62" s="1509">
        <f t="shared" si="46"/>
        <v>0</v>
      </c>
      <c r="AG62" s="1379"/>
      <c r="AH62" s="1379">
        <f t="shared" si="47"/>
        <v>0</v>
      </c>
      <c r="AI62" s="1509">
        <f t="shared" si="48"/>
        <v>0</v>
      </c>
      <c r="AJ62" s="1530">
        <f t="shared" si="49"/>
        <v>0</v>
      </c>
      <c r="AK62" s="1534">
        <f t="shared" si="50"/>
        <v>0</v>
      </c>
    </row>
    <row r="63" spans="1:37" ht="16.2" customHeight="1">
      <c r="A63" s="1176">
        <v>57</v>
      </c>
      <c r="B63" s="1177" t="s">
        <v>136</v>
      </c>
      <c r="C63" s="1178">
        <f>+'Table 8 Membership 2.1.14'!Q59</f>
        <v>0</v>
      </c>
      <c r="D63" s="1179">
        <f>+'Table 5C1A-Madison Prep'!D63</f>
        <v>4625.9922979230687</v>
      </c>
      <c r="E63" s="1180">
        <f t="shared" si="29"/>
        <v>0</v>
      </c>
      <c r="F63" s="1180">
        <f>+'Table 5C1A-Madison Prep'!F63</f>
        <v>764.51</v>
      </c>
      <c r="G63" s="1180">
        <f t="shared" si="30"/>
        <v>0</v>
      </c>
      <c r="H63" s="1539">
        <f t="shared" si="31"/>
        <v>0</v>
      </c>
      <c r="I63" s="1181"/>
      <c r="J63" s="1181"/>
      <c r="K63" s="1182">
        <f t="shared" si="32"/>
        <v>0</v>
      </c>
      <c r="L63" s="1539">
        <f t="shared" si="33"/>
        <v>0</v>
      </c>
      <c r="M63" s="1388">
        <f t="shared" si="28"/>
        <v>0</v>
      </c>
      <c r="N63" s="1539">
        <f t="shared" si="34"/>
        <v>0</v>
      </c>
      <c r="O63" s="1179">
        <v>0</v>
      </c>
      <c r="P63" s="1545">
        <f t="shared" si="35"/>
        <v>0</v>
      </c>
      <c r="Q63" s="1181"/>
      <c r="R63" s="1181">
        <f t="shared" si="36"/>
        <v>0</v>
      </c>
      <c r="S63" s="1545">
        <f t="shared" si="37"/>
        <v>0</v>
      </c>
      <c r="T63" s="1545">
        <f t="shared" si="38"/>
        <v>0</v>
      </c>
      <c r="U63" s="1389">
        <f>'Table 5C1A-Madison Prep'!U63</f>
        <v>3395</v>
      </c>
      <c r="V63" s="1515">
        <f t="shared" si="39"/>
        <v>0</v>
      </c>
      <c r="W63" s="1391"/>
      <c r="X63" s="1392">
        <f t="shared" si="40"/>
        <v>0</v>
      </c>
      <c r="Y63" s="1391"/>
      <c r="Z63" s="1392">
        <f t="shared" si="41"/>
        <v>0</v>
      </c>
      <c r="AA63" s="1390">
        <f t="shared" si="42"/>
        <v>0</v>
      </c>
      <c r="AB63" s="1510">
        <f t="shared" si="43"/>
        <v>0</v>
      </c>
      <c r="AC63" s="1394">
        <f t="shared" si="44"/>
        <v>0</v>
      </c>
      <c r="AD63" s="1510">
        <f t="shared" si="45"/>
        <v>0</v>
      </c>
      <c r="AE63" s="1395">
        <v>0</v>
      </c>
      <c r="AF63" s="1510">
        <f t="shared" si="46"/>
        <v>0</v>
      </c>
      <c r="AG63" s="1395"/>
      <c r="AH63" s="1395">
        <f t="shared" si="47"/>
        <v>0</v>
      </c>
      <c r="AI63" s="1510">
        <f t="shared" si="48"/>
        <v>0</v>
      </c>
      <c r="AJ63" s="1505">
        <f t="shared" si="49"/>
        <v>0</v>
      </c>
      <c r="AK63" s="1535">
        <f t="shared" si="50"/>
        <v>0</v>
      </c>
    </row>
    <row r="64" spans="1:37" ht="16.2" customHeight="1">
      <c r="A64" s="1176">
        <v>58</v>
      </c>
      <c r="B64" s="1177" t="s">
        <v>137</v>
      </c>
      <c r="C64" s="1178">
        <f>+'Table 8 Membership 2.1.14'!Q60</f>
        <v>0</v>
      </c>
      <c r="D64" s="1179">
        <f>+'Table 5C1A-Madison Prep'!D64</f>
        <v>5673.1129637882123</v>
      </c>
      <c r="E64" s="1180">
        <f t="shared" si="29"/>
        <v>0</v>
      </c>
      <c r="F64" s="1180">
        <f>+'Table 5C1A-Madison Prep'!F64</f>
        <v>697.04</v>
      </c>
      <c r="G64" s="1180">
        <f t="shared" si="30"/>
        <v>0</v>
      </c>
      <c r="H64" s="1539">
        <f t="shared" si="31"/>
        <v>0</v>
      </c>
      <c r="I64" s="1181"/>
      <c r="J64" s="1181"/>
      <c r="K64" s="1182">
        <f t="shared" si="32"/>
        <v>0</v>
      </c>
      <c r="L64" s="1539">
        <f t="shared" si="33"/>
        <v>0</v>
      </c>
      <c r="M64" s="1388">
        <f t="shared" si="28"/>
        <v>0</v>
      </c>
      <c r="N64" s="1539">
        <f t="shared" si="34"/>
        <v>0</v>
      </c>
      <c r="O64" s="1179">
        <v>0</v>
      </c>
      <c r="P64" s="1545">
        <f t="shared" si="35"/>
        <v>0</v>
      </c>
      <c r="Q64" s="1181"/>
      <c r="R64" s="1181">
        <f t="shared" si="36"/>
        <v>0</v>
      </c>
      <c r="S64" s="1545">
        <f t="shared" si="37"/>
        <v>0</v>
      </c>
      <c r="T64" s="1545">
        <f t="shared" si="38"/>
        <v>0</v>
      </c>
      <c r="U64" s="1389">
        <f>'Table 5C1A-Madison Prep'!U64</f>
        <v>2084</v>
      </c>
      <c r="V64" s="1515">
        <f t="shared" si="39"/>
        <v>0</v>
      </c>
      <c r="W64" s="1391"/>
      <c r="X64" s="1392">
        <f t="shared" si="40"/>
        <v>0</v>
      </c>
      <c r="Y64" s="1391"/>
      <c r="Z64" s="1392">
        <f t="shared" si="41"/>
        <v>0</v>
      </c>
      <c r="AA64" s="1390">
        <f t="shared" si="42"/>
        <v>0</v>
      </c>
      <c r="AB64" s="1510">
        <f t="shared" si="43"/>
        <v>0</v>
      </c>
      <c r="AC64" s="1394">
        <f t="shared" si="44"/>
        <v>0</v>
      </c>
      <c r="AD64" s="1510">
        <f t="shared" si="45"/>
        <v>0</v>
      </c>
      <c r="AE64" s="1395">
        <v>0</v>
      </c>
      <c r="AF64" s="1510">
        <f t="shared" si="46"/>
        <v>0</v>
      </c>
      <c r="AG64" s="1395"/>
      <c r="AH64" s="1395">
        <f t="shared" si="47"/>
        <v>0</v>
      </c>
      <c r="AI64" s="1510">
        <f t="shared" si="48"/>
        <v>0</v>
      </c>
      <c r="AJ64" s="1505">
        <f t="shared" si="49"/>
        <v>0</v>
      </c>
      <c r="AK64" s="1535">
        <f t="shared" si="50"/>
        <v>0</v>
      </c>
    </row>
    <row r="65" spans="1:37" ht="16.2" customHeight="1">
      <c r="A65" s="1176">
        <v>59</v>
      </c>
      <c r="B65" s="1177" t="s">
        <v>138</v>
      </c>
      <c r="C65" s="1178">
        <f>+'Table 8 Membership 2.1.14'!Q61</f>
        <v>0</v>
      </c>
      <c r="D65" s="1179">
        <f>+'Table 5C1A-Madison Prep'!D65</f>
        <v>6621.946293521848</v>
      </c>
      <c r="E65" s="1180">
        <f t="shared" si="29"/>
        <v>0</v>
      </c>
      <c r="F65" s="1180">
        <f>+'Table 5C1A-Madison Prep'!F65</f>
        <v>689.52</v>
      </c>
      <c r="G65" s="1180">
        <f t="shared" si="30"/>
        <v>0</v>
      </c>
      <c r="H65" s="1539">
        <f t="shared" si="31"/>
        <v>0</v>
      </c>
      <c r="I65" s="1181"/>
      <c r="J65" s="1181"/>
      <c r="K65" s="1182">
        <f t="shared" si="32"/>
        <v>0</v>
      </c>
      <c r="L65" s="1539">
        <f t="shared" si="33"/>
        <v>0</v>
      </c>
      <c r="M65" s="1388">
        <f t="shared" si="28"/>
        <v>0</v>
      </c>
      <c r="N65" s="1539">
        <f t="shared" si="34"/>
        <v>0</v>
      </c>
      <c r="O65" s="1179">
        <v>0</v>
      </c>
      <c r="P65" s="1545">
        <f t="shared" si="35"/>
        <v>0</v>
      </c>
      <c r="Q65" s="1181"/>
      <c r="R65" s="1181">
        <f t="shared" si="36"/>
        <v>0</v>
      </c>
      <c r="S65" s="1545">
        <f t="shared" si="37"/>
        <v>0</v>
      </c>
      <c r="T65" s="1545">
        <f t="shared" si="38"/>
        <v>0</v>
      </c>
      <c r="U65" s="1389">
        <f>'Table 5C1A-Madison Prep'!U65</f>
        <v>1577</v>
      </c>
      <c r="V65" s="1515">
        <f t="shared" si="39"/>
        <v>0</v>
      </c>
      <c r="W65" s="1391"/>
      <c r="X65" s="1392">
        <f t="shared" si="40"/>
        <v>0</v>
      </c>
      <c r="Y65" s="1391"/>
      <c r="Z65" s="1392">
        <f t="shared" si="41"/>
        <v>0</v>
      </c>
      <c r="AA65" s="1390">
        <f t="shared" si="42"/>
        <v>0</v>
      </c>
      <c r="AB65" s="1510">
        <f t="shared" si="43"/>
        <v>0</v>
      </c>
      <c r="AC65" s="1394">
        <f t="shared" si="44"/>
        <v>0</v>
      </c>
      <c r="AD65" s="1510">
        <f t="shared" si="45"/>
        <v>0</v>
      </c>
      <c r="AE65" s="1395">
        <v>0</v>
      </c>
      <c r="AF65" s="1510">
        <f t="shared" si="46"/>
        <v>0</v>
      </c>
      <c r="AG65" s="1395"/>
      <c r="AH65" s="1395">
        <f t="shared" si="47"/>
        <v>0</v>
      </c>
      <c r="AI65" s="1510">
        <f t="shared" si="48"/>
        <v>0</v>
      </c>
      <c r="AJ65" s="1505">
        <f t="shared" si="49"/>
        <v>0</v>
      </c>
      <c r="AK65" s="1535">
        <f t="shared" si="50"/>
        <v>0</v>
      </c>
    </row>
    <row r="66" spans="1:37" ht="16.2" customHeight="1">
      <c r="A66" s="1168">
        <v>60</v>
      </c>
      <c r="B66" s="1169" t="s">
        <v>139</v>
      </c>
      <c r="C66" s="1170">
        <f>+'Table 8 Membership 2.1.14'!Q62</f>
        <v>0</v>
      </c>
      <c r="D66" s="1171">
        <f>+'Table 5C1A-Madison Prep'!D66</f>
        <v>5301.224090063828</v>
      </c>
      <c r="E66" s="1172">
        <f t="shared" si="29"/>
        <v>0</v>
      </c>
      <c r="F66" s="1172">
        <f>+'Table 5C1A-Madison Prep'!F66</f>
        <v>594.04</v>
      </c>
      <c r="G66" s="1172">
        <f t="shared" si="30"/>
        <v>0</v>
      </c>
      <c r="H66" s="1540">
        <f t="shared" si="31"/>
        <v>0</v>
      </c>
      <c r="I66" s="1173"/>
      <c r="J66" s="1173"/>
      <c r="K66" s="1174">
        <f t="shared" si="32"/>
        <v>0</v>
      </c>
      <c r="L66" s="1540">
        <f t="shared" si="33"/>
        <v>0</v>
      </c>
      <c r="M66" s="1399">
        <f t="shared" si="28"/>
        <v>0</v>
      </c>
      <c r="N66" s="1540">
        <f t="shared" si="34"/>
        <v>0</v>
      </c>
      <c r="O66" s="1171">
        <v>0</v>
      </c>
      <c r="P66" s="1546">
        <f t="shared" si="35"/>
        <v>0</v>
      </c>
      <c r="Q66" s="1173"/>
      <c r="R66" s="1173">
        <f t="shared" si="36"/>
        <v>0</v>
      </c>
      <c r="S66" s="1546">
        <f t="shared" si="37"/>
        <v>0</v>
      </c>
      <c r="T66" s="1546">
        <f t="shared" si="38"/>
        <v>0</v>
      </c>
      <c r="U66" s="1382">
        <f>'Table 5C1A-Madison Prep'!U66</f>
        <v>3922</v>
      </c>
      <c r="V66" s="1516">
        <f t="shared" si="39"/>
        <v>0</v>
      </c>
      <c r="W66" s="1400"/>
      <c r="X66" s="1383">
        <f t="shared" si="40"/>
        <v>0</v>
      </c>
      <c r="Y66" s="1400"/>
      <c r="Z66" s="1383">
        <f t="shared" si="41"/>
        <v>0</v>
      </c>
      <c r="AA66" s="1384">
        <f t="shared" si="42"/>
        <v>0</v>
      </c>
      <c r="AB66" s="1511">
        <f t="shared" si="43"/>
        <v>0</v>
      </c>
      <c r="AC66" s="1402">
        <f t="shared" si="44"/>
        <v>0</v>
      </c>
      <c r="AD66" s="1511">
        <f t="shared" si="45"/>
        <v>0</v>
      </c>
      <c r="AE66" s="1385">
        <v>0</v>
      </c>
      <c r="AF66" s="1511">
        <f t="shared" si="46"/>
        <v>0</v>
      </c>
      <c r="AG66" s="1385"/>
      <c r="AH66" s="1385">
        <f t="shared" si="47"/>
        <v>0</v>
      </c>
      <c r="AI66" s="1511">
        <f t="shared" si="48"/>
        <v>0</v>
      </c>
      <c r="AJ66" s="1531">
        <f t="shared" si="49"/>
        <v>0</v>
      </c>
      <c r="AK66" s="1536">
        <f t="shared" si="50"/>
        <v>0</v>
      </c>
    </row>
    <row r="67" spans="1:37" ht="16.2" customHeight="1">
      <c r="A67" s="1183">
        <v>61</v>
      </c>
      <c r="B67" s="1184" t="s">
        <v>140</v>
      </c>
      <c r="C67" s="1185">
        <f>+'Table 8 Membership 2.1.14'!Q63</f>
        <v>0</v>
      </c>
      <c r="D67" s="1186">
        <f>+'Table 5C1A-Madison Prep'!D67</f>
        <v>2854.1575356369185</v>
      </c>
      <c r="E67" s="1187">
        <f t="shared" si="29"/>
        <v>0</v>
      </c>
      <c r="F67" s="1187">
        <f>+'Table 5C1A-Madison Prep'!F67</f>
        <v>833.70999999999992</v>
      </c>
      <c r="G67" s="1187">
        <f t="shared" si="30"/>
        <v>0</v>
      </c>
      <c r="H67" s="1538">
        <f t="shared" si="31"/>
        <v>0</v>
      </c>
      <c r="I67" s="1188"/>
      <c r="J67" s="1188"/>
      <c r="K67" s="1189">
        <f t="shared" si="32"/>
        <v>0</v>
      </c>
      <c r="L67" s="1538">
        <f t="shared" si="33"/>
        <v>0</v>
      </c>
      <c r="M67" s="1372">
        <f t="shared" si="28"/>
        <v>0</v>
      </c>
      <c r="N67" s="1538">
        <f t="shared" si="34"/>
        <v>0</v>
      </c>
      <c r="O67" s="1186">
        <v>0</v>
      </c>
      <c r="P67" s="1544">
        <f t="shared" si="35"/>
        <v>0</v>
      </c>
      <c r="Q67" s="1188"/>
      <c r="R67" s="1188">
        <f t="shared" si="36"/>
        <v>0</v>
      </c>
      <c r="S67" s="1544">
        <f t="shared" si="37"/>
        <v>0</v>
      </c>
      <c r="T67" s="1544">
        <f t="shared" si="38"/>
        <v>0</v>
      </c>
      <c r="U67" s="1373">
        <f>'Table 5C1A-Madison Prep'!U67</f>
        <v>6745</v>
      </c>
      <c r="V67" s="1514">
        <f t="shared" si="39"/>
        <v>0</v>
      </c>
      <c r="W67" s="1375"/>
      <c r="X67" s="1376">
        <f t="shared" si="40"/>
        <v>0</v>
      </c>
      <c r="Y67" s="1375"/>
      <c r="Z67" s="1376">
        <f t="shared" si="41"/>
        <v>0</v>
      </c>
      <c r="AA67" s="1374">
        <f t="shared" si="42"/>
        <v>0</v>
      </c>
      <c r="AB67" s="1509">
        <f t="shared" si="43"/>
        <v>0</v>
      </c>
      <c r="AC67" s="1378">
        <f t="shared" si="44"/>
        <v>0</v>
      </c>
      <c r="AD67" s="1509">
        <f t="shared" si="45"/>
        <v>0</v>
      </c>
      <c r="AE67" s="1379">
        <v>0</v>
      </c>
      <c r="AF67" s="1509">
        <f t="shared" si="46"/>
        <v>0</v>
      </c>
      <c r="AG67" s="1379"/>
      <c r="AH67" s="1379">
        <f t="shared" si="47"/>
        <v>0</v>
      </c>
      <c r="AI67" s="1509">
        <f t="shared" si="48"/>
        <v>0</v>
      </c>
      <c r="AJ67" s="1530">
        <f t="shared" si="49"/>
        <v>0</v>
      </c>
      <c r="AK67" s="1534">
        <f t="shared" si="50"/>
        <v>0</v>
      </c>
    </row>
    <row r="68" spans="1:37" ht="16.2" customHeight="1">
      <c r="A68" s="1176">
        <v>62</v>
      </c>
      <c r="B68" s="1177" t="s">
        <v>141</v>
      </c>
      <c r="C68" s="1178">
        <f>+'Table 8 Membership 2.1.14'!Q64</f>
        <v>0</v>
      </c>
      <c r="D68" s="1179">
        <f>+'Table 5C1A-Madison Prep'!D68</f>
        <v>5901.074538516008</v>
      </c>
      <c r="E68" s="1180">
        <f t="shared" si="29"/>
        <v>0</v>
      </c>
      <c r="F68" s="1180">
        <f>+'Table 5C1A-Madison Prep'!F68</f>
        <v>516.08000000000004</v>
      </c>
      <c r="G68" s="1180">
        <f t="shared" si="30"/>
        <v>0</v>
      </c>
      <c r="H68" s="1539">
        <f t="shared" si="31"/>
        <v>0</v>
      </c>
      <c r="I68" s="1181"/>
      <c r="J68" s="1181"/>
      <c r="K68" s="1182">
        <f t="shared" si="32"/>
        <v>0</v>
      </c>
      <c r="L68" s="1539">
        <f t="shared" si="33"/>
        <v>0</v>
      </c>
      <c r="M68" s="1388">
        <f t="shared" si="28"/>
        <v>0</v>
      </c>
      <c r="N68" s="1539">
        <f t="shared" si="34"/>
        <v>0</v>
      </c>
      <c r="O68" s="1179">
        <v>0</v>
      </c>
      <c r="P68" s="1545">
        <f t="shared" si="35"/>
        <v>0</v>
      </c>
      <c r="Q68" s="1181"/>
      <c r="R68" s="1181">
        <f t="shared" si="36"/>
        <v>0</v>
      </c>
      <c r="S68" s="1545">
        <f t="shared" si="37"/>
        <v>0</v>
      </c>
      <c r="T68" s="1545">
        <f t="shared" si="38"/>
        <v>0</v>
      </c>
      <c r="U68" s="1389">
        <f>'Table 5C1A-Madison Prep'!U68</f>
        <v>1908</v>
      </c>
      <c r="V68" s="1515">
        <f t="shared" si="39"/>
        <v>0</v>
      </c>
      <c r="W68" s="1391"/>
      <c r="X68" s="1392">
        <f t="shared" si="40"/>
        <v>0</v>
      </c>
      <c r="Y68" s="1391"/>
      <c r="Z68" s="1392">
        <f t="shared" si="41"/>
        <v>0</v>
      </c>
      <c r="AA68" s="1390">
        <f t="shared" si="42"/>
        <v>0</v>
      </c>
      <c r="AB68" s="1510">
        <f t="shared" si="43"/>
        <v>0</v>
      </c>
      <c r="AC68" s="1394">
        <f t="shared" si="44"/>
        <v>0</v>
      </c>
      <c r="AD68" s="1510">
        <f t="shared" si="45"/>
        <v>0</v>
      </c>
      <c r="AE68" s="1395">
        <v>0</v>
      </c>
      <c r="AF68" s="1510">
        <f t="shared" si="46"/>
        <v>0</v>
      </c>
      <c r="AG68" s="1395"/>
      <c r="AH68" s="1395">
        <f t="shared" si="47"/>
        <v>0</v>
      </c>
      <c r="AI68" s="1510">
        <f t="shared" si="48"/>
        <v>0</v>
      </c>
      <c r="AJ68" s="1505">
        <f t="shared" si="49"/>
        <v>0</v>
      </c>
      <c r="AK68" s="1535">
        <f t="shared" si="50"/>
        <v>0</v>
      </c>
    </row>
    <row r="69" spans="1:37" ht="16.2" customHeight="1">
      <c r="A69" s="1176">
        <v>63</v>
      </c>
      <c r="B69" s="1177" t="s">
        <v>142</v>
      </c>
      <c r="C69" s="1178">
        <f>+'Table 8 Membership 2.1.14'!Q65</f>
        <v>0</v>
      </c>
      <c r="D69" s="1179">
        <f>+'Table 5C1A-Madison Prep'!D69</f>
        <v>4124.3813481848092</v>
      </c>
      <c r="E69" s="1180">
        <f t="shared" si="29"/>
        <v>0</v>
      </c>
      <c r="F69" s="1180">
        <f>+'Table 5C1A-Madison Prep'!F69</f>
        <v>756.79</v>
      </c>
      <c r="G69" s="1180">
        <f t="shared" si="30"/>
        <v>0</v>
      </c>
      <c r="H69" s="1539">
        <f t="shared" si="31"/>
        <v>0</v>
      </c>
      <c r="I69" s="1181"/>
      <c r="J69" s="1181"/>
      <c r="K69" s="1182">
        <f t="shared" si="32"/>
        <v>0</v>
      </c>
      <c r="L69" s="1539">
        <f t="shared" si="33"/>
        <v>0</v>
      </c>
      <c r="M69" s="1388">
        <f t="shared" si="28"/>
        <v>0</v>
      </c>
      <c r="N69" s="1539">
        <f t="shared" si="34"/>
        <v>0</v>
      </c>
      <c r="O69" s="1179">
        <v>0</v>
      </c>
      <c r="P69" s="1545">
        <f t="shared" si="35"/>
        <v>0</v>
      </c>
      <c r="Q69" s="1181"/>
      <c r="R69" s="1181">
        <f t="shared" si="36"/>
        <v>0</v>
      </c>
      <c r="S69" s="1545">
        <f t="shared" si="37"/>
        <v>0</v>
      </c>
      <c r="T69" s="1545">
        <f t="shared" si="38"/>
        <v>0</v>
      </c>
      <c r="U69" s="1389">
        <f>'Table 5C1A-Madison Prep'!U69</f>
        <v>7290</v>
      </c>
      <c r="V69" s="1515">
        <f t="shared" si="39"/>
        <v>0</v>
      </c>
      <c r="W69" s="1391"/>
      <c r="X69" s="1392">
        <f t="shared" si="40"/>
        <v>0</v>
      </c>
      <c r="Y69" s="1391"/>
      <c r="Z69" s="1392">
        <f t="shared" si="41"/>
        <v>0</v>
      </c>
      <c r="AA69" s="1390">
        <f t="shared" si="42"/>
        <v>0</v>
      </c>
      <c r="AB69" s="1510">
        <f t="shared" si="43"/>
        <v>0</v>
      </c>
      <c r="AC69" s="1394">
        <f t="shared" si="44"/>
        <v>0</v>
      </c>
      <c r="AD69" s="1510">
        <f t="shared" si="45"/>
        <v>0</v>
      </c>
      <c r="AE69" s="1395">
        <v>0</v>
      </c>
      <c r="AF69" s="1510">
        <f t="shared" si="46"/>
        <v>0</v>
      </c>
      <c r="AG69" s="1395"/>
      <c r="AH69" s="1395">
        <f t="shared" si="47"/>
        <v>0</v>
      </c>
      <c r="AI69" s="1510">
        <f t="shared" si="48"/>
        <v>0</v>
      </c>
      <c r="AJ69" s="1505">
        <f t="shared" si="49"/>
        <v>0</v>
      </c>
      <c r="AK69" s="1535">
        <f t="shared" si="50"/>
        <v>0</v>
      </c>
    </row>
    <row r="70" spans="1:37" ht="16.2" customHeight="1">
      <c r="A70" s="1176">
        <v>64</v>
      </c>
      <c r="B70" s="1177" t="s">
        <v>143</v>
      </c>
      <c r="C70" s="1178">
        <f>+'Table 8 Membership 2.1.14'!Q66</f>
        <v>0</v>
      </c>
      <c r="D70" s="1179">
        <f>+'Table 5C1A-Madison Prep'!D70</f>
        <v>6277.8307532778254</v>
      </c>
      <c r="E70" s="1180">
        <f t="shared" si="29"/>
        <v>0</v>
      </c>
      <c r="F70" s="1180">
        <f>+'Table 5C1A-Madison Prep'!F70</f>
        <v>592.66</v>
      </c>
      <c r="G70" s="1180">
        <f t="shared" si="30"/>
        <v>0</v>
      </c>
      <c r="H70" s="1539">
        <f t="shared" si="31"/>
        <v>0</v>
      </c>
      <c r="I70" s="1181"/>
      <c r="J70" s="1181"/>
      <c r="K70" s="1182">
        <f t="shared" si="32"/>
        <v>0</v>
      </c>
      <c r="L70" s="1539">
        <f t="shared" si="33"/>
        <v>0</v>
      </c>
      <c r="M70" s="1388">
        <f t="shared" si="28"/>
        <v>0</v>
      </c>
      <c r="N70" s="1539">
        <f t="shared" si="34"/>
        <v>0</v>
      </c>
      <c r="O70" s="1179">
        <v>0</v>
      </c>
      <c r="P70" s="1545">
        <f t="shared" si="35"/>
        <v>0</v>
      </c>
      <c r="Q70" s="1181"/>
      <c r="R70" s="1181">
        <f t="shared" si="36"/>
        <v>0</v>
      </c>
      <c r="S70" s="1545">
        <f t="shared" si="37"/>
        <v>0</v>
      </c>
      <c r="T70" s="1545">
        <f t="shared" si="38"/>
        <v>0</v>
      </c>
      <c r="U70" s="1389">
        <f>'Table 5C1A-Madison Prep'!U70</f>
        <v>2721</v>
      </c>
      <c r="V70" s="1515">
        <f t="shared" si="39"/>
        <v>0</v>
      </c>
      <c r="W70" s="1391"/>
      <c r="X70" s="1392">
        <f t="shared" si="40"/>
        <v>0</v>
      </c>
      <c r="Y70" s="1391"/>
      <c r="Z70" s="1392">
        <f t="shared" si="41"/>
        <v>0</v>
      </c>
      <c r="AA70" s="1390">
        <f t="shared" si="42"/>
        <v>0</v>
      </c>
      <c r="AB70" s="1510">
        <f t="shared" si="43"/>
        <v>0</v>
      </c>
      <c r="AC70" s="1394">
        <f t="shared" si="44"/>
        <v>0</v>
      </c>
      <c r="AD70" s="1510">
        <f t="shared" si="45"/>
        <v>0</v>
      </c>
      <c r="AE70" s="1395">
        <v>0</v>
      </c>
      <c r="AF70" s="1510">
        <f t="shared" si="46"/>
        <v>0</v>
      </c>
      <c r="AG70" s="1395"/>
      <c r="AH70" s="1395">
        <f t="shared" si="47"/>
        <v>0</v>
      </c>
      <c r="AI70" s="1510">
        <f t="shared" si="48"/>
        <v>0</v>
      </c>
      <c r="AJ70" s="1505">
        <f t="shared" si="49"/>
        <v>0</v>
      </c>
      <c r="AK70" s="1535">
        <f t="shared" si="50"/>
        <v>0</v>
      </c>
    </row>
    <row r="71" spans="1:37" ht="16.2" customHeight="1">
      <c r="A71" s="1168">
        <v>65</v>
      </c>
      <c r="B71" s="1169" t="s">
        <v>144</v>
      </c>
      <c r="C71" s="1170">
        <f>+'Table 8 Membership 2.1.14'!Q67</f>
        <v>0</v>
      </c>
      <c r="D71" s="1171">
        <f>+'Table 5C1A-Madison Prep'!D71</f>
        <v>4775.1605543943642</v>
      </c>
      <c r="E71" s="1172">
        <f t="shared" si="29"/>
        <v>0</v>
      </c>
      <c r="F71" s="1172">
        <f>+'Table 5C1A-Madison Prep'!F71</f>
        <v>829.12</v>
      </c>
      <c r="G71" s="1172">
        <f t="shared" si="30"/>
        <v>0</v>
      </c>
      <c r="H71" s="1540">
        <f t="shared" si="31"/>
        <v>0</v>
      </c>
      <c r="I71" s="1173"/>
      <c r="J71" s="1173"/>
      <c r="K71" s="1174">
        <f t="shared" si="32"/>
        <v>0</v>
      </c>
      <c r="L71" s="1540">
        <f t="shared" si="33"/>
        <v>0</v>
      </c>
      <c r="M71" s="1399">
        <f t="shared" ref="M71:M74" si="51">-(0.25%*L71)</f>
        <v>0</v>
      </c>
      <c r="N71" s="1540">
        <f t="shared" si="34"/>
        <v>0</v>
      </c>
      <c r="O71" s="1171">
        <v>0</v>
      </c>
      <c r="P71" s="1546">
        <f t="shared" si="35"/>
        <v>0</v>
      </c>
      <c r="Q71" s="1173"/>
      <c r="R71" s="1173">
        <f t="shared" si="36"/>
        <v>0</v>
      </c>
      <c r="S71" s="1546">
        <f t="shared" si="37"/>
        <v>0</v>
      </c>
      <c r="T71" s="1546">
        <f t="shared" si="38"/>
        <v>0</v>
      </c>
      <c r="U71" s="1382">
        <f>'Table 5C1A-Madison Prep'!U71</f>
        <v>5110</v>
      </c>
      <c r="V71" s="1516">
        <f t="shared" si="39"/>
        <v>0</v>
      </c>
      <c r="W71" s="1400"/>
      <c r="X71" s="1383">
        <f t="shared" si="40"/>
        <v>0</v>
      </c>
      <c r="Y71" s="1400"/>
      <c r="Z71" s="1383">
        <f t="shared" si="41"/>
        <v>0</v>
      </c>
      <c r="AA71" s="1384">
        <f t="shared" si="42"/>
        <v>0</v>
      </c>
      <c r="AB71" s="1511">
        <f t="shared" si="43"/>
        <v>0</v>
      </c>
      <c r="AC71" s="1402">
        <f t="shared" si="44"/>
        <v>0</v>
      </c>
      <c r="AD71" s="1511">
        <f t="shared" si="45"/>
        <v>0</v>
      </c>
      <c r="AE71" s="1385">
        <v>0</v>
      </c>
      <c r="AF71" s="1511">
        <f t="shared" si="46"/>
        <v>0</v>
      </c>
      <c r="AG71" s="1385"/>
      <c r="AH71" s="1385">
        <f t="shared" si="47"/>
        <v>0</v>
      </c>
      <c r="AI71" s="1511">
        <f t="shared" si="48"/>
        <v>0</v>
      </c>
      <c r="AJ71" s="1531">
        <f t="shared" si="49"/>
        <v>0</v>
      </c>
      <c r="AK71" s="1536">
        <f t="shared" si="50"/>
        <v>0</v>
      </c>
    </row>
    <row r="72" spans="1:37" ht="16.2" customHeight="1">
      <c r="A72" s="1176">
        <v>66</v>
      </c>
      <c r="B72" s="1177" t="s">
        <v>145</v>
      </c>
      <c r="C72" s="1197">
        <f>+'Table 8 Membership 2.1.14'!Q68</f>
        <v>0</v>
      </c>
      <c r="D72" s="1198">
        <f>+'Table 5C1A-Madison Prep'!D72</f>
        <v>6564.0085433910035</v>
      </c>
      <c r="E72" s="1199">
        <f t="shared" ref="E72:E75" si="52">C72*D72</f>
        <v>0</v>
      </c>
      <c r="F72" s="1199">
        <f>+'Table 5C1A-Madison Prep'!F72</f>
        <v>730.06</v>
      </c>
      <c r="G72" s="1199">
        <f t="shared" ref="G72:G75" si="53">C72*F72</f>
        <v>0</v>
      </c>
      <c r="H72" s="1403">
        <f t="shared" ref="H72:H75" si="54">E72+G72</f>
        <v>0</v>
      </c>
      <c r="I72" s="1200"/>
      <c r="J72" s="1200"/>
      <c r="K72" s="1201">
        <f t="shared" ref="K72:K75" si="55">+I72+J72</f>
        <v>0</v>
      </c>
      <c r="L72" s="1403">
        <f t="shared" ref="L72:L75" si="56">+H72+K72</f>
        <v>0</v>
      </c>
      <c r="M72" s="1423">
        <f t="shared" si="51"/>
        <v>0</v>
      </c>
      <c r="N72" s="1403">
        <f t="shared" ref="N72:N75" si="57">SUM(L72:M72)</f>
        <v>0</v>
      </c>
      <c r="O72" s="1198">
        <v>0</v>
      </c>
      <c r="P72" s="1398">
        <f t="shared" ref="P72:P75" si="58">SUM(N72:O72)</f>
        <v>0</v>
      </c>
      <c r="Q72" s="1200"/>
      <c r="R72" s="1200">
        <f t="shared" ref="R72:R75" si="59">+P72-Q72</f>
        <v>0</v>
      </c>
      <c r="S72" s="1398">
        <f t="shared" ref="S72:S75" si="60">ROUND(R72/12,0)</f>
        <v>0</v>
      </c>
      <c r="T72" s="1398">
        <f t="shared" ref="T72:T75" si="61">+P72</f>
        <v>0</v>
      </c>
      <c r="U72" s="1389">
        <f>'Table 5C1A-Madison Prep'!U72</f>
        <v>3369</v>
      </c>
      <c r="V72" s="1515">
        <f t="shared" ref="V72:V75" si="62">C72*U72</f>
        <v>0</v>
      </c>
      <c r="W72" s="1391"/>
      <c r="X72" s="1392">
        <f t="shared" ref="X72:X75" si="63">+U72*W72</f>
        <v>0</v>
      </c>
      <c r="Y72" s="1391"/>
      <c r="Z72" s="1392">
        <f t="shared" ref="Z72:Z75" si="64">+U72*Y72*0.5</f>
        <v>0</v>
      </c>
      <c r="AA72" s="1390">
        <f t="shared" ref="AA72:AA75" si="65">+X72+Z72</f>
        <v>0</v>
      </c>
      <c r="AB72" s="1510">
        <f t="shared" ref="AB72:AB75" si="66">+V72+AA72</f>
        <v>0</v>
      </c>
      <c r="AC72" s="1394">
        <f t="shared" ref="AC72:AC75" si="67">-(0.25%*AB72)</f>
        <v>0</v>
      </c>
      <c r="AD72" s="1510">
        <f t="shared" ref="AD72:AD75" si="68">SUM(AB72:AC72)</f>
        <v>0</v>
      </c>
      <c r="AE72" s="1395">
        <v>0</v>
      </c>
      <c r="AF72" s="1510">
        <f t="shared" ref="AF72:AF75" si="69">SUM(AD72:AE72)</f>
        <v>0</v>
      </c>
      <c r="AG72" s="1395"/>
      <c r="AH72" s="1395">
        <f t="shared" ref="AH72:AH75" si="70">+AF72-AG72</f>
        <v>0</v>
      </c>
      <c r="AI72" s="1510">
        <f t="shared" ref="AI72:AI75" si="71">ROUND(AH72/12,0)</f>
        <v>0</v>
      </c>
      <c r="AJ72" s="1505">
        <f t="shared" ref="AJ72:AJ75" si="72">T72+AF72</f>
        <v>0</v>
      </c>
      <c r="AK72" s="1505">
        <f t="shared" ref="AK72:AK75" si="73">S72+AI72</f>
        <v>0</v>
      </c>
    </row>
    <row r="73" spans="1:37" ht="16.2" customHeight="1">
      <c r="A73" s="1176">
        <v>67</v>
      </c>
      <c r="B73" s="1177" t="s">
        <v>30</v>
      </c>
      <c r="C73" s="1197">
        <f>+'Table 8 Membership 2.1.14'!Q69</f>
        <v>0</v>
      </c>
      <c r="D73" s="1198">
        <f>+'Table 5C1A-Madison Prep'!D73</f>
        <v>5029.1467736134118</v>
      </c>
      <c r="E73" s="1199">
        <f t="shared" si="52"/>
        <v>0</v>
      </c>
      <c r="F73" s="1199">
        <f>+'Table 5C1A-Madison Prep'!F73</f>
        <v>715.61</v>
      </c>
      <c r="G73" s="1199">
        <f t="shared" si="53"/>
        <v>0</v>
      </c>
      <c r="H73" s="1403">
        <f t="shared" si="54"/>
        <v>0</v>
      </c>
      <c r="I73" s="1200"/>
      <c r="J73" s="1200"/>
      <c r="K73" s="1201">
        <f t="shared" si="55"/>
        <v>0</v>
      </c>
      <c r="L73" s="1403">
        <f t="shared" si="56"/>
        <v>0</v>
      </c>
      <c r="M73" s="1423">
        <f t="shared" si="51"/>
        <v>0</v>
      </c>
      <c r="N73" s="1403">
        <f t="shared" si="57"/>
        <v>0</v>
      </c>
      <c r="O73" s="1198">
        <v>0</v>
      </c>
      <c r="P73" s="1398">
        <f t="shared" si="58"/>
        <v>0</v>
      </c>
      <c r="Q73" s="1200"/>
      <c r="R73" s="1200">
        <f t="shared" si="59"/>
        <v>0</v>
      </c>
      <c r="S73" s="1398">
        <f t="shared" si="60"/>
        <v>0</v>
      </c>
      <c r="T73" s="1398">
        <f t="shared" si="61"/>
        <v>0</v>
      </c>
      <c r="U73" s="1389">
        <f>'Table 5C1A-Madison Prep'!U73</f>
        <v>5015</v>
      </c>
      <c r="V73" s="1515">
        <f t="shared" si="62"/>
        <v>0</v>
      </c>
      <c r="W73" s="1391"/>
      <c r="X73" s="1392">
        <f t="shared" si="63"/>
        <v>0</v>
      </c>
      <c r="Y73" s="1391"/>
      <c r="Z73" s="1392">
        <f t="shared" si="64"/>
        <v>0</v>
      </c>
      <c r="AA73" s="1390">
        <f t="shared" si="65"/>
        <v>0</v>
      </c>
      <c r="AB73" s="1510">
        <f t="shared" si="66"/>
        <v>0</v>
      </c>
      <c r="AC73" s="1394">
        <f t="shared" si="67"/>
        <v>0</v>
      </c>
      <c r="AD73" s="1510">
        <f t="shared" si="68"/>
        <v>0</v>
      </c>
      <c r="AE73" s="1395">
        <v>0</v>
      </c>
      <c r="AF73" s="1510">
        <f t="shared" si="69"/>
        <v>0</v>
      </c>
      <c r="AG73" s="1395"/>
      <c r="AH73" s="1395">
        <f t="shared" si="70"/>
        <v>0</v>
      </c>
      <c r="AI73" s="1510">
        <f t="shared" si="71"/>
        <v>0</v>
      </c>
      <c r="AJ73" s="1505">
        <f t="shared" si="72"/>
        <v>0</v>
      </c>
      <c r="AK73" s="1505">
        <f t="shared" si="73"/>
        <v>0</v>
      </c>
    </row>
    <row r="74" spans="1:37" ht="16.2" customHeight="1">
      <c r="A74" s="1176">
        <v>68</v>
      </c>
      <c r="B74" s="1177" t="s">
        <v>28</v>
      </c>
      <c r="C74" s="1197">
        <f>+'Table 8 Membership 2.1.14'!Q70</f>
        <v>0</v>
      </c>
      <c r="D74" s="1198">
        <f>+'Table 5C1A-Madison Prep'!D74</f>
        <v>6390.1644202560601</v>
      </c>
      <c r="E74" s="1199">
        <f t="shared" si="52"/>
        <v>0</v>
      </c>
      <c r="F74" s="1199">
        <f>+'Table 5C1A-Madison Prep'!F74</f>
        <v>798.7</v>
      </c>
      <c r="G74" s="1199">
        <f t="shared" si="53"/>
        <v>0</v>
      </c>
      <c r="H74" s="1403">
        <f t="shared" si="54"/>
        <v>0</v>
      </c>
      <c r="I74" s="1200"/>
      <c r="J74" s="1200"/>
      <c r="K74" s="1201">
        <f t="shared" si="55"/>
        <v>0</v>
      </c>
      <c r="L74" s="1403">
        <f t="shared" si="56"/>
        <v>0</v>
      </c>
      <c r="M74" s="1423">
        <f t="shared" si="51"/>
        <v>0</v>
      </c>
      <c r="N74" s="1403">
        <f t="shared" si="57"/>
        <v>0</v>
      </c>
      <c r="O74" s="1198">
        <v>0</v>
      </c>
      <c r="P74" s="1398">
        <f t="shared" si="58"/>
        <v>0</v>
      </c>
      <c r="Q74" s="1200"/>
      <c r="R74" s="1200">
        <f t="shared" si="59"/>
        <v>0</v>
      </c>
      <c r="S74" s="1398">
        <f t="shared" si="60"/>
        <v>0</v>
      </c>
      <c r="T74" s="1398">
        <f t="shared" si="61"/>
        <v>0</v>
      </c>
      <c r="U74" s="1389">
        <f>'Table 5C1A-Madison Prep'!U74</f>
        <v>2669</v>
      </c>
      <c r="V74" s="1515">
        <f t="shared" si="62"/>
        <v>0</v>
      </c>
      <c r="W74" s="1391"/>
      <c r="X74" s="1392">
        <f t="shared" si="63"/>
        <v>0</v>
      </c>
      <c r="Y74" s="1391"/>
      <c r="Z74" s="1392">
        <f t="shared" si="64"/>
        <v>0</v>
      </c>
      <c r="AA74" s="1390">
        <f t="shared" si="65"/>
        <v>0</v>
      </c>
      <c r="AB74" s="1510">
        <f t="shared" si="66"/>
        <v>0</v>
      </c>
      <c r="AC74" s="1394">
        <f t="shared" si="67"/>
        <v>0</v>
      </c>
      <c r="AD74" s="1510">
        <f t="shared" si="68"/>
        <v>0</v>
      </c>
      <c r="AE74" s="1395">
        <v>0</v>
      </c>
      <c r="AF74" s="1510">
        <f t="shared" si="69"/>
        <v>0</v>
      </c>
      <c r="AG74" s="1395"/>
      <c r="AH74" s="1395">
        <f t="shared" si="70"/>
        <v>0</v>
      </c>
      <c r="AI74" s="1510">
        <f t="shared" si="71"/>
        <v>0</v>
      </c>
      <c r="AJ74" s="1505">
        <f t="shared" si="72"/>
        <v>0</v>
      </c>
      <c r="AK74" s="1505">
        <f t="shared" si="73"/>
        <v>0</v>
      </c>
    </row>
    <row r="75" spans="1:37" ht="16.2" customHeight="1">
      <c r="A75" s="1190">
        <v>69</v>
      </c>
      <c r="B75" s="1191" t="s">
        <v>183</v>
      </c>
      <c r="C75" s="1192">
        <f>+'Table 8 Membership 2.1.14'!Q71</f>
        <v>0</v>
      </c>
      <c r="D75" s="1193">
        <f>+'Table 5C1A-Madison Prep'!D75</f>
        <v>5722.4947921281337</v>
      </c>
      <c r="E75" s="1194">
        <f t="shared" si="52"/>
        <v>0</v>
      </c>
      <c r="F75" s="1194">
        <f>+'Table 5C1A-Madison Prep'!F75</f>
        <v>705.67</v>
      </c>
      <c r="G75" s="1194">
        <f t="shared" si="53"/>
        <v>0</v>
      </c>
      <c r="H75" s="1541">
        <f t="shared" si="54"/>
        <v>0</v>
      </c>
      <c r="I75" s="1195"/>
      <c r="J75" s="1195"/>
      <c r="K75" s="1196">
        <f t="shared" si="55"/>
        <v>0</v>
      </c>
      <c r="L75" s="1541">
        <f t="shared" si="56"/>
        <v>0</v>
      </c>
      <c r="M75" s="1405">
        <f>-(0.25%*L75)</f>
        <v>0</v>
      </c>
      <c r="N75" s="1541">
        <f t="shared" si="57"/>
        <v>0</v>
      </c>
      <c r="O75" s="1193">
        <v>0</v>
      </c>
      <c r="P75" s="1547">
        <f t="shared" si="58"/>
        <v>0</v>
      </c>
      <c r="Q75" s="1195"/>
      <c r="R75" s="1195">
        <f t="shared" si="59"/>
        <v>0</v>
      </c>
      <c r="S75" s="1547">
        <f t="shared" si="60"/>
        <v>0</v>
      </c>
      <c r="T75" s="1547">
        <f t="shared" si="61"/>
        <v>0</v>
      </c>
      <c r="U75" s="653">
        <f>'Table 5C1A-Madison Prep'!U75</f>
        <v>3394</v>
      </c>
      <c r="V75" s="1517">
        <f t="shared" si="62"/>
        <v>0</v>
      </c>
      <c r="W75" s="1407"/>
      <c r="X75" s="1408">
        <f t="shared" si="63"/>
        <v>0</v>
      </c>
      <c r="Y75" s="1407"/>
      <c r="Z75" s="1408">
        <f t="shared" si="64"/>
        <v>0</v>
      </c>
      <c r="AA75" s="1406">
        <f t="shared" si="65"/>
        <v>0</v>
      </c>
      <c r="AB75" s="1512">
        <f t="shared" si="66"/>
        <v>0</v>
      </c>
      <c r="AC75" s="1410">
        <f t="shared" si="67"/>
        <v>0</v>
      </c>
      <c r="AD75" s="1512">
        <f t="shared" si="68"/>
        <v>0</v>
      </c>
      <c r="AE75" s="1416">
        <v>0</v>
      </c>
      <c r="AF75" s="1512">
        <f t="shared" si="69"/>
        <v>0</v>
      </c>
      <c r="AG75" s="1416"/>
      <c r="AH75" s="1416">
        <f t="shared" si="70"/>
        <v>0</v>
      </c>
      <c r="AI75" s="1512">
        <f t="shared" si="71"/>
        <v>0</v>
      </c>
      <c r="AJ75" s="1506">
        <f t="shared" si="72"/>
        <v>0</v>
      </c>
      <c r="AK75" s="1506">
        <f t="shared" si="73"/>
        <v>0</v>
      </c>
    </row>
    <row r="76" spans="1:37" ht="16.2" customHeight="1" thickBot="1">
      <c r="A76" s="2221" t="s">
        <v>1045</v>
      </c>
      <c r="B76" s="2194"/>
      <c r="C76" s="470">
        <f>SUM(C7:C75)</f>
        <v>95</v>
      </c>
      <c r="D76" s="471">
        <f>+'Table 5C1A-Madison Prep'!D76</f>
        <v>4479.9292126977662</v>
      </c>
      <c r="E76" s="480">
        <f>SUM(E7:E75)</f>
        <v>324878.22222998715</v>
      </c>
      <c r="F76" s="480">
        <f>+'Table 5C1A-Madison Prep'!F76</f>
        <v>704.64781030742063</v>
      </c>
      <c r="G76" s="480">
        <f t="shared" ref="G76:R76" si="74">SUM(G7:G75)</f>
        <v>79268.62712328769</v>
      </c>
      <c r="H76" s="1542">
        <f t="shared" si="74"/>
        <v>404146.84935327491</v>
      </c>
      <c r="I76" s="640">
        <f t="shared" si="74"/>
        <v>0</v>
      </c>
      <c r="J76" s="640">
        <f t="shared" si="74"/>
        <v>0</v>
      </c>
      <c r="K76" s="616">
        <f t="shared" si="74"/>
        <v>0</v>
      </c>
      <c r="L76" s="1560">
        <f t="shared" si="74"/>
        <v>404146.84935327491</v>
      </c>
      <c r="M76" s="481">
        <f t="shared" si="74"/>
        <v>-1010.3671233831872</v>
      </c>
      <c r="N76" s="1542">
        <f t="shared" si="74"/>
        <v>403136.4822298917</v>
      </c>
      <c r="O76" s="471">
        <f t="shared" si="74"/>
        <v>0</v>
      </c>
      <c r="P76" s="1548">
        <f t="shared" si="74"/>
        <v>403136.4822298917</v>
      </c>
      <c r="Q76" s="640"/>
      <c r="R76" s="640">
        <f t="shared" si="74"/>
        <v>403136.4822298917</v>
      </c>
      <c r="S76" s="1548">
        <f>SUM(S7:S75)</f>
        <v>33595</v>
      </c>
      <c r="T76" s="1548">
        <f>SUM(T7:T75)</f>
        <v>403136.4822298917</v>
      </c>
      <c r="U76" s="658">
        <f>'Table 5C1A-Madison Prep'!U76</f>
        <v>4663</v>
      </c>
      <c r="V76" s="1518">
        <f t="shared" ref="V76:AK76" si="75">SUM(V7:V75)</f>
        <v>509037</v>
      </c>
      <c r="W76" s="646">
        <f t="shared" si="75"/>
        <v>0</v>
      </c>
      <c r="X76" s="647">
        <f t="shared" si="75"/>
        <v>0</v>
      </c>
      <c r="Y76" s="646">
        <f t="shared" si="75"/>
        <v>0</v>
      </c>
      <c r="Z76" s="647">
        <f t="shared" si="75"/>
        <v>0</v>
      </c>
      <c r="AA76" s="633">
        <f t="shared" si="75"/>
        <v>0</v>
      </c>
      <c r="AB76" s="1520">
        <f t="shared" si="75"/>
        <v>509037</v>
      </c>
      <c r="AC76" s="482">
        <f t="shared" si="75"/>
        <v>-1272.5925</v>
      </c>
      <c r="AD76" s="1518">
        <f t="shared" si="75"/>
        <v>507764.40750000003</v>
      </c>
      <c r="AE76" s="660">
        <f t="shared" si="75"/>
        <v>0</v>
      </c>
      <c r="AF76" s="1518">
        <f t="shared" si="75"/>
        <v>507764.40750000003</v>
      </c>
      <c r="AG76" s="647">
        <f t="shared" si="75"/>
        <v>0</v>
      </c>
      <c r="AH76" s="647">
        <f t="shared" si="75"/>
        <v>507764.40750000003</v>
      </c>
      <c r="AI76" s="1518">
        <f t="shared" si="75"/>
        <v>42315</v>
      </c>
      <c r="AJ76" s="1532">
        <f t="shared" si="75"/>
        <v>910900.88972989167</v>
      </c>
      <c r="AK76" s="1532">
        <f t="shared" si="75"/>
        <v>75910</v>
      </c>
    </row>
    <row r="77" spans="1:37" s="608" customFormat="1" ht="16.2" customHeight="1" thickTop="1">
      <c r="A77" s="2330" t="s">
        <v>1039</v>
      </c>
      <c r="B77" s="2338"/>
      <c r="C77" s="1425"/>
      <c r="D77" s="1198"/>
      <c r="E77" s="1198"/>
      <c r="F77" s="1198"/>
      <c r="G77" s="1198"/>
      <c r="H77" s="1198"/>
      <c r="I77" s="1200"/>
      <c r="J77" s="1200"/>
      <c r="K77" s="1200"/>
      <c r="L77" s="1198"/>
      <c r="M77" s="1200"/>
      <c r="N77" s="1198"/>
      <c r="O77" s="1198"/>
      <c r="P77" s="1398">
        <f>'Table 4 Level 4'!$E105</f>
        <v>0</v>
      </c>
      <c r="Q77" s="1200"/>
      <c r="R77" s="1200">
        <f t="shared" ref="R77" si="76">+P77-Q77</f>
        <v>0</v>
      </c>
      <c r="S77" s="1398">
        <f t="shared" ref="S77" si="77">ROUND(R77/12,0)</f>
        <v>0</v>
      </c>
      <c r="T77" s="1398">
        <f>'Table 4 Level 4'!$E105</f>
        <v>0</v>
      </c>
      <c r="U77" s="1389"/>
      <c r="V77" s="1392"/>
      <c r="W77" s="1391"/>
      <c r="X77" s="1392"/>
      <c r="Y77" s="1391"/>
      <c r="Z77" s="1392"/>
      <c r="AA77" s="1392"/>
      <c r="AB77" s="1395"/>
      <c r="AC77" s="1392"/>
      <c r="AD77" s="1395"/>
      <c r="AE77" s="1395"/>
      <c r="AF77" s="1395"/>
      <c r="AG77" s="1395"/>
      <c r="AH77" s="1395"/>
      <c r="AI77" s="1395"/>
      <c r="AJ77" s="1505">
        <f t="shared" ref="AJ77:AJ81" si="78">T77+AF77</f>
        <v>0</v>
      </c>
      <c r="AK77" s="1505">
        <f t="shared" ref="AK77:AK81" si="79">S77+AI77</f>
        <v>0</v>
      </c>
    </row>
    <row r="78" spans="1:37" s="608" customFormat="1" ht="16.2" customHeight="1">
      <c r="A78" s="2332" t="s">
        <v>1040</v>
      </c>
      <c r="B78" s="2339"/>
      <c r="C78" s="1425"/>
      <c r="D78" s="1198"/>
      <c r="E78" s="1198"/>
      <c r="F78" s="1198"/>
      <c r="G78" s="1198"/>
      <c r="H78" s="1198"/>
      <c r="I78" s="1200"/>
      <c r="J78" s="1200"/>
      <c r="K78" s="1200"/>
      <c r="L78" s="1198"/>
      <c r="M78" s="1200"/>
      <c r="N78" s="1198"/>
      <c r="O78" s="1198"/>
      <c r="P78" s="1200">
        <v>0</v>
      </c>
      <c r="Q78" s="1200"/>
      <c r="R78" s="1200"/>
      <c r="S78" s="1200">
        <v>0</v>
      </c>
      <c r="T78" s="1398">
        <f>'Table 4 Level 4'!$J105</f>
        <v>0</v>
      </c>
      <c r="U78" s="1389"/>
      <c r="V78" s="1392"/>
      <c r="W78" s="1391"/>
      <c r="X78" s="1392"/>
      <c r="Y78" s="1391"/>
      <c r="Z78" s="1392"/>
      <c r="AA78" s="1392"/>
      <c r="AB78" s="1395"/>
      <c r="AC78" s="1392"/>
      <c r="AD78" s="1395"/>
      <c r="AE78" s="1395"/>
      <c r="AF78" s="1395"/>
      <c r="AG78" s="1395"/>
      <c r="AH78" s="1395"/>
      <c r="AI78" s="1395"/>
      <c r="AJ78" s="1505">
        <f t="shared" si="78"/>
        <v>0</v>
      </c>
      <c r="AK78" s="1395"/>
    </row>
    <row r="79" spans="1:37" s="608" customFormat="1" ht="16.2" customHeight="1">
      <c r="A79" s="2332" t="s">
        <v>1041</v>
      </c>
      <c r="B79" s="2339"/>
      <c r="C79" s="1425"/>
      <c r="D79" s="1198"/>
      <c r="E79" s="1198"/>
      <c r="F79" s="1198"/>
      <c r="G79" s="1198"/>
      <c r="H79" s="1198"/>
      <c r="I79" s="1200"/>
      <c r="J79" s="1200"/>
      <c r="K79" s="1200"/>
      <c r="L79" s="1198"/>
      <c r="M79" s="1200"/>
      <c r="N79" s="1198"/>
      <c r="O79" s="1198"/>
      <c r="P79" s="1200">
        <v>0</v>
      </c>
      <c r="Q79" s="1200"/>
      <c r="R79" s="1200"/>
      <c r="S79" s="1200">
        <v>0</v>
      </c>
      <c r="T79" s="1398">
        <f>'Table 4 Level 4'!$K105</f>
        <v>0</v>
      </c>
      <c r="U79" s="1389"/>
      <c r="V79" s="1392"/>
      <c r="W79" s="1391"/>
      <c r="X79" s="1392"/>
      <c r="Y79" s="1391"/>
      <c r="Z79" s="1392"/>
      <c r="AA79" s="1392"/>
      <c r="AB79" s="1395"/>
      <c r="AC79" s="1392"/>
      <c r="AD79" s="1395"/>
      <c r="AE79" s="1395"/>
      <c r="AF79" s="1395"/>
      <c r="AG79" s="1395"/>
      <c r="AH79" s="1395"/>
      <c r="AI79" s="1395"/>
      <c r="AJ79" s="1505">
        <f t="shared" si="78"/>
        <v>0</v>
      </c>
      <c r="AK79" s="1395"/>
    </row>
    <row r="80" spans="1:37" s="608" customFormat="1" ht="16.2" customHeight="1">
      <c r="A80" s="2332" t="s">
        <v>1042</v>
      </c>
      <c r="B80" s="2339"/>
      <c r="C80" s="1425"/>
      <c r="D80" s="1198"/>
      <c r="E80" s="1198"/>
      <c r="F80" s="1198"/>
      <c r="G80" s="1198"/>
      <c r="H80" s="1198"/>
      <c r="I80" s="1200"/>
      <c r="J80" s="1200"/>
      <c r="K80" s="1200"/>
      <c r="L80" s="1198"/>
      <c r="M80" s="1200"/>
      <c r="N80" s="1198"/>
      <c r="O80" s="1198"/>
      <c r="P80" s="1200">
        <v>0</v>
      </c>
      <c r="Q80" s="1200"/>
      <c r="R80" s="1200"/>
      <c r="S80" s="1200">
        <v>0</v>
      </c>
      <c r="T80" s="1398">
        <f>'Table 4 Level 4'!$L105</f>
        <v>0</v>
      </c>
      <c r="U80" s="1389"/>
      <c r="V80" s="1392"/>
      <c r="W80" s="1391"/>
      <c r="X80" s="1392"/>
      <c r="Y80" s="1391"/>
      <c r="Z80" s="1392"/>
      <c r="AA80" s="1392"/>
      <c r="AB80" s="1395"/>
      <c r="AC80" s="1392"/>
      <c r="AD80" s="1395"/>
      <c r="AE80" s="1395"/>
      <c r="AF80" s="1395"/>
      <c r="AG80" s="1395"/>
      <c r="AH80" s="1395"/>
      <c r="AI80" s="1395"/>
      <c r="AJ80" s="1505">
        <f t="shared" si="78"/>
        <v>0</v>
      </c>
      <c r="AK80" s="1395"/>
    </row>
    <row r="81" spans="1:37" s="608" customFormat="1" ht="16.2" customHeight="1">
      <c r="A81" s="2340" t="s">
        <v>1043</v>
      </c>
      <c r="B81" s="2341"/>
      <c r="C81" s="1417"/>
      <c r="D81" s="1193"/>
      <c r="E81" s="1193"/>
      <c r="F81" s="1193"/>
      <c r="G81" s="1193"/>
      <c r="H81" s="1193"/>
      <c r="I81" s="1195"/>
      <c r="J81" s="1195"/>
      <c r="K81" s="1195"/>
      <c r="L81" s="1193"/>
      <c r="M81" s="1195"/>
      <c r="N81" s="1193"/>
      <c r="O81" s="1193"/>
      <c r="P81" s="1547">
        <f>'Table 4 Level 4'!$N105</f>
        <v>2470</v>
      </c>
      <c r="Q81" s="1195"/>
      <c r="R81" s="1195">
        <f t="shared" ref="R81" si="80">+P81-Q81</f>
        <v>2470</v>
      </c>
      <c r="S81" s="1547">
        <f t="shared" ref="S81" si="81">ROUND(R81/12,0)</f>
        <v>206</v>
      </c>
      <c r="T81" s="1547">
        <f>'Table 4 Level 4'!$N105</f>
        <v>2470</v>
      </c>
      <c r="U81" s="1418"/>
      <c r="V81" s="1408"/>
      <c r="W81" s="1407"/>
      <c r="X81" s="1408"/>
      <c r="Y81" s="1407"/>
      <c r="Z81" s="1408"/>
      <c r="AA81" s="1408"/>
      <c r="AB81" s="1416"/>
      <c r="AC81" s="1408"/>
      <c r="AD81" s="1416"/>
      <c r="AE81" s="1416"/>
      <c r="AF81" s="1416"/>
      <c r="AG81" s="1416"/>
      <c r="AH81" s="1416"/>
      <c r="AI81" s="1416"/>
      <c r="AJ81" s="1506">
        <f t="shared" si="78"/>
        <v>2470</v>
      </c>
      <c r="AK81" s="1506">
        <f t="shared" si="79"/>
        <v>206</v>
      </c>
    </row>
    <row r="82" spans="1:37" s="608" customFormat="1" ht="16.2" customHeight="1" thickBot="1">
      <c r="A82" s="2221" t="s">
        <v>1044</v>
      </c>
      <c r="B82" s="2194"/>
      <c r="C82" s="1052">
        <f>SUM(C76:C81)</f>
        <v>95</v>
      </c>
      <c r="D82" s="1046">
        <f t="shared" ref="D82:AK82" si="82">SUM(D76:D81)</f>
        <v>4479.9292126977662</v>
      </c>
      <c r="E82" s="1046">
        <f t="shared" si="82"/>
        <v>324878.22222998715</v>
      </c>
      <c r="F82" s="1046">
        <f t="shared" si="82"/>
        <v>704.64781030742063</v>
      </c>
      <c r="G82" s="1046">
        <f t="shared" si="82"/>
        <v>79268.62712328769</v>
      </c>
      <c r="H82" s="1046">
        <f t="shared" si="82"/>
        <v>404146.84935327491</v>
      </c>
      <c r="I82" s="1053">
        <f t="shared" si="82"/>
        <v>0</v>
      </c>
      <c r="J82" s="1053">
        <f t="shared" si="82"/>
        <v>0</v>
      </c>
      <c r="K82" s="1053">
        <f t="shared" si="82"/>
        <v>0</v>
      </c>
      <c r="L82" s="1046">
        <f t="shared" si="82"/>
        <v>404146.84935327491</v>
      </c>
      <c r="M82" s="1053">
        <f t="shared" si="82"/>
        <v>-1010.3671233831872</v>
      </c>
      <c r="N82" s="1046">
        <f t="shared" si="82"/>
        <v>403136.4822298917</v>
      </c>
      <c r="O82" s="1046">
        <f t="shared" si="82"/>
        <v>0</v>
      </c>
      <c r="P82" s="1549">
        <f t="shared" si="82"/>
        <v>405606.4822298917</v>
      </c>
      <c r="Q82" s="1053">
        <f t="shared" si="82"/>
        <v>0</v>
      </c>
      <c r="R82" s="1053">
        <f t="shared" si="82"/>
        <v>405606.4822298917</v>
      </c>
      <c r="S82" s="1549">
        <f t="shared" si="82"/>
        <v>33801</v>
      </c>
      <c r="T82" s="1549">
        <f t="shared" si="82"/>
        <v>405606.4822298917</v>
      </c>
      <c r="U82" s="1058">
        <f t="shared" si="82"/>
        <v>4663</v>
      </c>
      <c r="V82" s="1055">
        <f t="shared" si="82"/>
        <v>509037</v>
      </c>
      <c r="W82" s="1057">
        <f t="shared" si="82"/>
        <v>0</v>
      </c>
      <c r="X82" s="1055">
        <f t="shared" si="82"/>
        <v>0</v>
      </c>
      <c r="Y82" s="1057">
        <f t="shared" si="82"/>
        <v>0</v>
      </c>
      <c r="Z82" s="1055">
        <f t="shared" si="82"/>
        <v>0</v>
      </c>
      <c r="AA82" s="1055">
        <f t="shared" si="82"/>
        <v>0</v>
      </c>
      <c r="AB82" s="1055">
        <f t="shared" si="82"/>
        <v>509037</v>
      </c>
      <c r="AC82" s="1055">
        <f t="shared" si="82"/>
        <v>-1272.5925</v>
      </c>
      <c r="AD82" s="1055">
        <f t="shared" si="82"/>
        <v>507764.40750000003</v>
      </c>
      <c r="AE82" s="1055">
        <f t="shared" si="82"/>
        <v>0</v>
      </c>
      <c r="AF82" s="1055">
        <f t="shared" si="82"/>
        <v>507764.40750000003</v>
      </c>
      <c r="AG82" s="1055">
        <f t="shared" si="82"/>
        <v>0</v>
      </c>
      <c r="AH82" s="1055">
        <f t="shared" si="82"/>
        <v>507764.40750000003</v>
      </c>
      <c r="AI82" s="1055">
        <f t="shared" si="82"/>
        <v>42315</v>
      </c>
      <c r="AJ82" s="1504">
        <f t="shared" si="82"/>
        <v>913370.88972989167</v>
      </c>
      <c r="AK82" s="1504">
        <f t="shared" si="82"/>
        <v>76116</v>
      </c>
    </row>
    <row r="83" spans="1:37" ht="16.2" customHeight="1" thickTop="1"/>
    <row r="84" spans="1:37" ht="16.2" customHeight="1"/>
    <row r="85" spans="1:37" ht="16.2" customHeight="1"/>
    <row r="86" spans="1:37" ht="16.2" customHeight="1"/>
  </sheetData>
  <mergeCells count="43">
    <mergeCell ref="A1:B4"/>
    <mergeCell ref="K3:K4"/>
    <mergeCell ref="L3:L4"/>
    <mergeCell ref="W3:W4"/>
    <mergeCell ref="X3:X4"/>
    <mergeCell ref="C1:L1"/>
    <mergeCell ref="P3:P4"/>
    <mergeCell ref="S3:S4"/>
    <mergeCell ref="U3:U4"/>
    <mergeCell ref="T3:T4"/>
    <mergeCell ref="M1:T1"/>
    <mergeCell ref="U1:AB1"/>
    <mergeCell ref="Y3:Y4"/>
    <mergeCell ref="Z3:Z4"/>
    <mergeCell ref="AB3:AB4"/>
    <mergeCell ref="AG3:AG4"/>
    <mergeCell ref="AH3:AH4"/>
    <mergeCell ref="AI3:AI4"/>
    <mergeCell ref="AJ1:AJ4"/>
    <mergeCell ref="AC1:AI1"/>
    <mergeCell ref="AK1:AK4"/>
    <mergeCell ref="C3:C4"/>
    <mergeCell ref="D3:D4"/>
    <mergeCell ref="E3:E4"/>
    <mergeCell ref="F3:F4"/>
    <mergeCell ref="G3:G4"/>
    <mergeCell ref="AD3:AD4"/>
    <mergeCell ref="AE3:AE4"/>
    <mergeCell ref="AF3:AF4"/>
    <mergeCell ref="H3:H4"/>
    <mergeCell ref="N3:N4"/>
    <mergeCell ref="O3:O4"/>
    <mergeCell ref="I2:K2"/>
    <mergeCell ref="I3:I4"/>
    <mergeCell ref="J3:J4"/>
    <mergeCell ref="W2:AA2"/>
    <mergeCell ref="A82:B82"/>
    <mergeCell ref="A76:B76"/>
    <mergeCell ref="A77:B77"/>
    <mergeCell ref="A78:B78"/>
    <mergeCell ref="A79:B79"/>
    <mergeCell ref="A80:B80"/>
    <mergeCell ref="A81:B81"/>
  </mergeCells>
  <printOptions horizontalCentered="1"/>
  <pageMargins left="0.32" right="0.32" top="0.75" bottom="0.75" header="0.3" footer="0.3"/>
  <pageSetup paperSize="5" scale="60" firstPageNumber="56" orientation="portrait" r:id="rId1"/>
  <headerFooter>
    <oddHeader>&amp;L&amp;"Arial,Bold"&amp;20&amp;K000000Table 5C1-J: FY2014-15 MFP Budget Letter  
Jefferson Chamber Foundation</oddHeader>
    <oddFooter>&amp;R&amp;P</oddFooter>
  </headerFooter>
  <colBreaks count="3" manualBreakCount="3">
    <brk id="12" max="1048575" man="1"/>
    <brk id="20" max="1048575" man="1"/>
    <brk id="28" max="81"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K86"/>
  <sheetViews>
    <sheetView view="pageBreakPreview" zoomScale="80" zoomScaleNormal="100" zoomScaleSheetLayoutView="80" workbookViewId="0">
      <pane xSplit="2" ySplit="6" topLeftCell="C7" activePane="bottomRight" state="frozen"/>
      <selection sqref="A1:H1"/>
      <selection pane="topRight" sqref="A1:H1"/>
      <selection pane="bottomLeft" sqref="A1:H1"/>
      <selection pane="bottomRight" sqref="A1:H1"/>
    </sheetView>
  </sheetViews>
  <sheetFormatPr defaultColWidth="8.88671875" defaultRowHeight="13.2"/>
  <cols>
    <col min="1" max="1" width="5" style="520" customWidth="1"/>
    <col min="2" max="2" width="37.6640625" style="520" customWidth="1"/>
    <col min="3" max="3" width="12.109375" style="520" bestFit="1" customWidth="1"/>
    <col min="4" max="4" width="13.6640625" style="520" bestFit="1" customWidth="1"/>
    <col min="5" max="5" width="10.109375" style="520" bestFit="1" customWidth="1"/>
    <col min="6" max="7" width="12.33203125" style="520" bestFit="1" customWidth="1"/>
    <col min="8" max="8" width="11.5546875" style="520" bestFit="1" customWidth="1"/>
    <col min="9" max="12" width="11.88671875" style="598" bestFit="1" customWidth="1"/>
    <col min="13" max="13" width="10.88671875" style="520" bestFit="1" customWidth="1"/>
    <col min="14" max="14" width="13.109375" style="520" customWidth="1"/>
    <col min="15" max="15" width="13.44140625" style="520" bestFit="1" customWidth="1"/>
    <col min="16" max="16" width="14.6640625" style="520" customWidth="1"/>
    <col min="17" max="18" width="14" style="598" customWidth="1"/>
    <col min="19" max="19" width="10.6640625" style="520" customWidth="1"/>
    <col min="20" max="20" width="14.88671875" style="608" customWidth="1"/>
    <col min="21" max="22" width="14.5546875" style="520" customWidth="1"/>
    <col min="23" max="24" width="11.6640625" style="598" customWidth="1"/>
    <col min="25" max="27" width="11.6640625" style="608" customWidth="1"/>
    <col min="28" max="28" width="14.44140625" style="598" bestFit="1" customWidth="1"/>
    <col min="29" max="29" width="10.5546875" style="520" customWidth="1"/>
    <col min="30" max="30" width="14.44140625" style="520" bestFit="1" customWidth="1"/>
    <col min="31" max="31" width="11.88671875" style="520" bestFit="1" customWidth="1"/>
    <col min="32" max="32" width="14.44140625" style="520" bestFit="1" customWidth="1"/>
    <col min="33" max="33" width="9.5546875" style="598" bestFit="1" customWidth="1"/>
    <col min="34" max="34" width="10.6640625" style="598" bestFit="1" customWidth="1"/>
    <col min="35" max="37" width="14.44140625" style="520" bestFit="1" customWidth="1"/>
    <col min="38" max="16384" width="8.88671875" style="520"/>
  </cols>
  <sheetData>
    <row r="1" spans="1:37" ht="21.6" customHeight="1">
      <c r="A1" s="2367" t="s">
        <v>525</v>
      </c>
      <c r="B1" s="2368"/>
      <c r="C1" s="2319" t="s">
        <v>1089</v>
      </c>
      <c r="D1" s="2320"/>
      <c r="E1" s="2320"/>
      <c r="F1" s="2320"/>
      <c r="G1" s="2320"/>
      <c r="H1" s="2320"/>
      <c r="I1" s="2320"/>
      <c r="J1" s="2320"/>
      <c r="K1" s="2320"/>
      <c r="L1" s="2321"/>
      <c r="M1" s="2349" t="s">
        <v>1089</v>
      </c>
      <c r="N1" s="2350"/>
      <c r="O1" s="2350"/>
      <c r="P1" s="2350"/>
      <c r="Q1" s="2350"/>
      <c r="R1" s="2350"/>
      <c r="S1" s="2350"/>
      <c r="T1" s="2351"/>
      <c r="U1" s="2268" t="s">
        <v>1247</v>
      </c>
      <c r="V1" s="2266"/>
      <c r="W1" s="2266"/>
      <c r="X1" s="2266"/>
      <c r="Y1" s="2266"/>
      <c r="Z1" s="2266"/>
      <c r="AA1" s="2266"/>
      <c r="AB1" s="2267"/>
      <c r="AC1" s="2268" t="s">
        <v>1247</v>
      </c>
      <c r="AD1" s="2266"/>
      <c r="AE1" s="2266"/>
      <c r="AF1" s="2266"/>
      <c r="AG1" s="2266"/>
      <c r="AH1" s="2266"/>
      <c r="AI1" s="2267"/>
      <c r="AJ1" s="2302" t="s">
        <v>1272</v>
      </c>
      <c r="AK1" s="2302" t="s">
        <v>1273</v>
      </c>
    </row>
    <row r="2" spans="1:37" s="608" customFormat="1" ht="24.6" customHeight="1">
      <c r="A2" s="2369"/>
      <c r="B2" s="2370"/>
      <c r="C2" s="1565"/>
      <c r="D2" s="1566"/>
      <c r="E2" s="1566"/>
      <c r="F2" s="1566"/>
      <c r="G2" s="1566"/>
      <c r="H2" s="1566"/>
      <c r="I2" s="2334" t="s">
        <v>531</v>
      </c>
      <c r="J2" s="2335"/>
      <c r="K2" s="2336"/>
      <c r="L2" s="1567"/>
      <c r="M2" s="1565"/>
      <c r="N2" s="1566"/>
      <c r="O2" s="1566"/>
      <c r="P2" s="1566"/>
      <c r="Q2" s="1566"/>
      <c r="R2" s="1566"/>
      <c r="S2" s="1566"/>
      <c r="T2" s="1567"/>
      <c r="U2" s="1525"/>
      <c r="V2" s="1526"/>
      <c r="W2" s="2362" t="s">
        <v>531</v>
      </c>
      <c r="X2" s="2363"/>
      <c r="Y2" s="2363"/>
      <c r="Z2" s="2363"/>
      <c r="AA2" s="2364"/>
      <c r="AB2" s="1527"/>
      <c r="AC2" s="1525"/>
      <c r="AD2" s="1526"/>
      <c r="AE2" s="1526"/>
      <c r="AF2" s="1526"/>
      <c r="AG2" s="1526"/>
      <c r="AH2" s="1526"/>
      <c r="AI2" s="1527"/>
      <c r="AJ2" s="2303"/>
      <c r="AK2" s="2303"/>
    </row>
    <row r="3" spans="1:37" ht="148.94999999999999" customHeight="1">
      <c r="A3" s="2371"/>
      <c r="B3" s="2370"/>
      <c r="C3" s="2318" t="s">
        <v>933</v>
      </c>
      <c r="D3" s="2318" t="s">
        <v>1110</v>
      </c>
      <c r="E3" s="2318" t="s">
        <v>384</v>
      </c>
      <c r="F3" s="2306" t="s">
        <v>546</v>
      </c>
      <c r="G3" s="2306" t="s">
        <v>330</v>
      </c>
      <c r="H3" s="2306" t="s">
        <v>547</v>
      </c>
      <c r="I3" s="2299" t="s">
        <v>770</v>
      </c>
      <c r="J3" s="2299" t="s">
        <v>769</v>
      </c>
      <c r="K3" s="2299" t="s">
        <v>538</v>
      </c>
      <c r="L3" s="2300" t="s">
        <v>548</v>
      </c>
      <c r="M3" s="1496" t="s">
        <v>333</v>
      </c>
      <c r="N3" s="2306" t="s">
        <v>545</v>
      </c>
      <c r="O3" s="2307" t="s">
        <v>1036</v>
      </c>
      <c r="P3" s="2306" t="s">
        <v>1056</v>
      </c>
      <c r="Q3" s="1537" t="s">
        <v>760</v>
      </c>
      <c r="R3" s="1537" t="s">
        <v>761</v>
      </c>
      <c r="S3" s="2308" t="s">
        <v>544</v>
      </c>
      <c r="T3" s="2308" t="s">
        <v>1057</v>
      </c>
      <c r="U3" s="2309" t="s">
        <v>1267</v>
      </c>
      <c r="V3" s="1507" t="s">
        <v>1268</v>
      </c>
      <c r="W3" s="2312" t="s">
        <v>1253</v>
      </c>
      <c r="X3" s="2312" t="s">
        <v>1251</v>
      </c>
      <c r="Y3" s="2312" t="s">
        <v>1254</v>
      </c>
      <c r="Z3" s="2312" t="s">
        <v>1252</v>
      </c>
      <c r="AA3" s="1498" t="s">
        <v>551</v>
      </c>
      <c r="AB3" s="2313" t="s">
        <v>1269</v>
      </c>
      <c r="AC3" s="1507" t="s">
        <v>1094</v>
      </c>
      <c r="AD3" s="2309" t="s">
        <v>1270</v>
      </c>
      <c r="AE3" s="2307" t="s">
        <v>1036</v>
      </c>
      <c r="AF3" s="2309" t="s">
        <v>1271</v>
      </c>
      <c r="AG3" s="2322" t="s">
        <v>981</v>
      </c>
      <c r="AH3" s="2322" t="s">
        <v>761</v>
      </c>
      <c r="AI3" s="2322" t="s">
        <v>1242</v>
      </c>
      <c r="AJ3" s="2304"/>
      <c r="AK3" s="2304"/>
    </row>
    <row r="4" spans="1:37" ht="19.95" customHeight="1">
      <c r="A4" s="2372"/>
      <c r="B4" s="2373"/>
      <c r="C4" s="2318"/>
      <c r="D4" s="2318"/>
      <c r="E4" s="2318"/>
      <c r="F4" s="2301"/>
      <c r="G4" s="2301"/>
      <c r="H4" s="2301"/>
      <c r="I4" s="2251"/>
      <c r="J4" s="2251"/>
      <c r="K4" s="2251"/>
      <c r="L4" s="2301"/>
      <c r="M4" s="1568">
        <v>2.5000000000000001E-3</v>
      </c>
      <c r="N4" s="2301"/>
      <c r="O4" s="2251"/>
      <c r="P4" s="2301"/>
      <c r="Q4" s="1497"/>
      <c r="R4" s="1497"/>
      <c r="S4" s="2301"/>
      <c r="T4" s="2301"/>
      <c r="U4" s="2280"/>
      <c r="V4" s="1508"/>
      <c r="W4" s="2251"/>
      <c r="X4" s="2251"/>
      <c r="Y4" s="2251"/>
      <c r="Z4" s="2251"/>
      <c r="AA4" s="1494"/>
      <c r="AB4" s="2280" t="s">
        <v>537</v>
      </c>
      <c r="AC4" s="1570">
        <v>2.5000000000000001E-3</v>
      </c>
      <c r="AD4" s="2280"/>
      <c r="AE4" s="2251"/>
      <c r="AF4" s="2280"/>
      <c r="AG4" s="2323"/>
      <c r="AH4" s="2323"/>
      <c r="AI4" s="2323"/>
      <c r="AJ4" s="2305"/>
      <c r="AK4" s="2305"/>
    </row>
    <row r="5" spans="1:37" ht="14.25" customHeight="1">
      <c r="A5" s="463"/>
      <c r="B5" s="464"/>
      <c r="C5" s="465">
        <v>1</v>
      </c>
      <c r="D5" s="465">
        <f t="shared" ref="D5" si="0">C5+1</f>
        <v>2</v>
      </c>
      <c r="E5" s="465">
        <f>D5+1</f>
        <v>3</v>
      </c>
      <c r="F5" s="465">
        <f t="shared" ref="F5:I5" si="1">E5+1</f>
        <v>4</v>
      </c>
      <c r="G5" s="465">
        <f t="shared" si="1"/>
        <v>5</v>
      </c>
      <c r="H5" s="465">
        <f t="shared" si="1"/>
        <v>6</v>
      </c>
      <c r="I5" s="465">
        <f t="shared" si="1"/>
        <v>7</v>
      </c>
      <c r="J5" s="465">
        <f t="shared" ref="J5" si="2">I5+1</f>
        <v>8</v>
      </c>
      <c r="K5" s="465">
        <f t="shared" ref="K5" si="3">J5+1</f>
        <v>9</v>
      </c>
      <c r="L5" s="465">
        <f t="shared" ref="L5" si="4">K5+1</f>
        <v>10</v>
      </c>
      <c r="M5" s="465">
        <f t="shared" ref="M5" si="5">L5+1</f>
        <v>11</v>
      </c>
      <c r="N5" s="465">
        <f t="shared" ref="N5" si="6">M5+1</f>
        <v>12</v>
      </c>
      <c r="O5" s="465">
        <f t="shared" ref="O5" si="7">N5+1</f>
        <v>13</v>
      </c>
      <c r="P5" s="465">
        <f t="shared" ref="P5" si="8">O5+1</f>
        <v>14</v>
      </c>
      <c r="Q5" s="465">
        <f t="shared" ref="Q5" si="9">P5+1</f>
        <v>15</v>
      </c>
      <c r="R5" s="465">
        <f t="shared" ref="R5" si="10">Q5+1</f>
        <v>16</v>
      </c>
      <c r="S5" s="465">
        <f t="shared" ref="S5" si="11">R5+1</f>
        <v>17</v>
      </c>
      <c r="T5" s="465">
        <f t="shared" ref="T5" si="12">S5+1</f>
        <v>18</v>
      </c>
      <c r="U5" s="465">
        <f t="shared" ref="U5" si="13">T5+1</f>
        <v>19</v>
      </c>
      <c r="V5" s="465">
        <f t="shared" ref="V5" si="14">U5+1</f>
        <v>20</v>
      </c>
      <c r="W5" s="465">
        <f t="shared" ref="W5" si="15">V5+1</f>
        <v>21</v>
      </c>
      <c r="X5" s="465">
        <f t="shared" ref="X5" si="16">W5+1</f>
        <v>22</v>
      </c>
      <c r="Y5" s="465">
        <f t="shared" ref="Y5" si="17">X5+1</f>
        <v>23</v>
      </c>
      <c r="Z5" s="465">
        <f t="shared" ref="Z5" si="18">Y5+1</f>
        <v>24</v>
      </c>
      <c r="AA5" s="465">
        <f t="shared" ref="AA5:AB5" si="19">Z5+1</f>
        <v>25</v>
      </c>
      <c r="AB5" s="465">
        <f t="shared" si="19"/>
        <v>26</v>
      </c>
      <c r="AC5" s="465">
        <f t="shared" ref="AC5" si="20">AB5+1</f>
        <v>27</v>
      </c>
      <c r="AD5" s="465">
        <f t="shared" ref="AD5" si="21">AC5+1</f>
        <v>28</v>
      </c>
      <c r="AE5" s="465">
        <f t="shared" ref="AE5" si="22">AD5+1</f>
        <v>29</v>
      </c>
      <c r="AF5" s="465">
        <f t="shared" ref="AF5" si="23">AE5+1</f>
        <v>30</v>
      </c>
      <c r="AG5" s="465">
        <f t="shared" ref="AG5" si="24">AF5+1</f>
        <v>31</v>
      </c>
      <c r="AH5" s="465">
        <f t="shared" ref="AH5" si="25">AG5+1</f>
        <v>32</v>
      </c>
      <c r="AI5" s="465">
        <f t="shared" ref="AI5" si="26">AH5+1</f>
        <v>33</v>
      </c>
      <c r="AJ5" s="465">
        <f t="shared" ref="AJ5" si="27">AI5+1</f>
        <v>34</v>
      </c>
      <c r="AK5" s="465">
        <f t="shared" ref="AK5" si="28">AJ5+1</f>
        <v>35</v>
      </c>
    </row>
    <row r="6" spans="1:37" ht="27" hidden="1" customHeight="1">
      <c r="A6" s="472"/>
      <c r="B6" s="473"/>
      <c r="C6" s="473"/>
      <c r="D6" s="473"/>
      <c r="E6" s="473"/>
      <c r="F6" s="473"/>
      <c r="G6" s="473"/>
      <c r="H6" s="473"/>
      <c r="I6" s="597"/>
      <c r="J6" s="597"/>
      <c r="K6" s="597"/>
      <c r="L6" s="597"/>
      <c r="M6" s="473"/>
      <c r="N6" s="473"/>
      <c r="O6" s="473"/>
      <c r="P6" s="473"/>
      <c r="Q6" s="597"/>
      <c r="R6" s="597"/>
      <c r="S6" s="473"/>
      <c r="T6" s="473"/>
      <c r="U6" s="473"/>
      <c r="V6" s="473"/>
      <c r="W6" s="597"/>
      <c r="X6" s="597"/>
      <c r="Y6" s="615"/>
      <c r="Z6" s="615"/>
      <c r="AA6" s="615"/>
      <c r="AB6" s="597"/>
      <c r="AC6" s="473"/>
      <c r="AD6" s="473"/>
      <c r="AE6" s="473"/>
      <c r="AF6" s="473"/>
      <c r="AG6" s="597"/>
      <c r="AH6" s="597"/>
      <c r="AI6" s="473"/>
      <c r="AJ6" s="473"/>
      <c r="AK6" s="473"/>
    </row>
    <row r="7" spans="1:37" ht="16.2" customHeight="1">
      <c r="A7" s="1183">
        <v>1</v>
      </c>
      <c r="B7" s="1184" t="s">
        <v>81</v>
      </c>
      <c r="C7" s="1185">
        <f>+'Table 8 Membership 2.1.14'!R3</f>
        <v>0</v>
      </c>
      <c r="D7" s="1186">
        <f>+'Table 5C1A-Madison Prep'!D7</f>
        <v>4765.8584413349836</v>
      </c>
      <c r="E7" s="1187">
        <f>C7*D7</f>
        <v>0</v>
      </c>
      <c r="F7" s="1187">
        <f>+'Table 5C1A-Madison Prep'!F7</f>
        <v>777.48</v>
      </c>
      <c r="G7" s="1187">
        <f>C7*F7</f>
        <v>0</v>
      </c>
      <c r="H7" s="1538">
        <f>E7+G7</f>
        <v>0</v>
      </c>
      <c r="I7" s="1188"/>
      <c r="J7" s="1188"/>
      <c r="K7" s="1189">
        <f>+I7+J7</f>
        <v>0</v>
      </c>
      <c r="L7" s="1538">
        <f t="shared" ref="L7:L38" si="29">H7+K7</f>
        <v>0</v>
      </c>
      <c r="M7" s="1372">
        <f>-(0.25%*L7)</f>
        <v>0</v>
      </c>
      <c r="N7" s="1538">
        <f>SUM(L7:M7)</f>
        <v>0</v>
      </c>
      <c r="O7" s="1186">
        <v>0</v>
      </c>
      <c r="P7" s="1544">
        <f>SUM(N7:O7)</f>
        <v>0</v>
      </c>
      <c r="Q7" s="1188"/>
      <c r="R7" s="1188">
        <f>P7-Q7</f>
        <v>0</v>
      </c>
      <c r="S7" s="1544">
        <f>ROUND(R7/12,0)</f>
        <v>0</v>
      </c>
      <c r="T7" s="1544">
        <f>+P7</f>
        <v>0</v>
      </c>
      <c r="U7" s="1373">
        <f>'Table 5C1A-Madison Prep'!U7</f>
        <v>2409</v>
      </c>
      <c r="V7" s="1514">
        <f t="shared" ref="V7:V38" si="30">C7*U7</f>
        <v>0</v>
      </c>
      <c r="W7" s="1375"/>
      <c r="X7" s="1376">
        <f>W7*U7</f>
        <v>0</v>
      </c>
      <c r="Y7" s="1375"/>
      <c r="Z7" s="1376">
        <f t="shared" ref="Z7:Z70" si="31">+U7*Y7*0.5</f>
        <v>0</v>
      </c>
      <c r="AA7" s="1374">
        <f>+X7+Z7</f>
        <v>0</v>
      </c>
      <c r="AB7" s="1509">
        <f>V7+AA7</f>
        <v>0</v>
      </c>
      <c r="AC7" s="1378">
        <f>-(0.25%*AB7)</f>
        <v>0</v>
      </c>
      <c r="AD7" s="1509">
        <f>SUM(AB7:AC7)</f>
        <v>0</v>
      </c>
      <c r="AE7" s="1379">
        <v>0</v>
      </c>
      <c r="AF7" s="1509">
        <f>SUM(AD7:AE7)</f>
        <v>0</v>
      </c>
      <c r="AG7" s="1379"/>
      <c r="AH7" s="1379">
        <f>AF7-AG7</f>
        <v>0</v>
      </c>
      <c r="AI7" s="1509">
        <f>ROUND(AH7/12,0)</f>
        <v>0</v>
      </c>
      <c r="AJ7" s="1530">
        <f>T7+AF7</f>
        <v>0</v>
      </c>
      <c r="AK7" s="1534">
        <f>S7+AI7</f>
        <v>0</v>
      </c>
    </row>
    <row r="8" spans="1:37" ht="16.2" customHeight="1">
      <c r="A8" s="1176">
        <v>2</v>
      </c>
      <c r="B8" s="1177" t="s">
        <v>82</v>
      </c>
      <c r="C8" s="1178">
        <f>+'Table 8 Membership 2.1.14'!R4</f>
        <v>0</v>
      </c>
      <c r="D8" s="1179">
        <f>+'Table 5C1A-Madison Prep'!D8</f>
        <v>6316.6266417386641</v>
      </c>
      <c r="E8" s="1180">
        <f t="shared" ref="E8:E71" si="32">C8*D8</f>
        <v>0</v>
      </c>
      <c r="F8" s="1180">
        <f>+'Table 5C1A-Madison Prep'!F8</f>
        <v>842.32</v>
      </c>
      <c r="G8" s="1180">
        <f t="shared" ref="G8:G71" si="33">C8*F8</f>
        <v>0</v>
      </c>
      <c r="H8" s="1539">
        <f t="shared" ref="H8:H71" si="34">E8+G8</f>
        <v>0</v>
      </c>
      <c r="I8" s="1181"/>
      <c r="J8" s="1181"/>
      <c r="K8" s="1182">
        <f t="shared" ref="K8:K71" si="35">+I8+J8</f>
        <v>0</v>
      </c>
      <c r="L8" s="1539">
        <f t="shared" si="29"/>
        <v>0</v>
      </c>
      <c r="M8" s="1388">
        <f t="shared" ref="M8:M71" si="36">-(0.25%*L8)</f>
        <v>0</v>
      </c>
      <c r="N8" s="1539">
        <f t="shared" ref="N8:N71" si="37">SUM(L8:M8)</f>
        <v>0</v>
      </c>
      <c r="O8" s="1179">
        <v>0</v>
      </c>
      <c r="P8" s="1545">
        <f t="shared" ref="P8:P71" si="38">SUM(N8:O8)</f>
        <v>0</v>
      </c>
      <c r="Q8" s="1181"/>
      <c r="R8" s="1181">
        <f t="shared" ref="R8:R71" si="39">P8-Q8</f>
        <v>0</v>
      </c>
      <c r="S8" s="1545">
        <f t="shared" ref="S8:S71" si="40">ROUND(R8/12,0)</f>
        <v>0</v>
      </c>
      <c r="T8" s="1545">
        <f t="shared" ref="T8:T71" si="41">+P8</f>
        <v>0</v>
      </c>
      <c r="U8" s="1389">
        <f>'Table 5C1A-Madison Prep'!U8</f>
        <v>2829</v>
      </c>
      <c r="V8" s="1515">
        <f t="shared" si="30"/>
        <v>0</v>
      </c>
      <c r="W8" s="1391"/>
      <c r="X8" s="1392">
        <f t="shared" ref="X8:X71" si="42">W8*U8</f>
        <v>0</v>
      </c>
      <c r="Y8" s="1391"/>
      <c r="Z8" s="1392">
        <f t="shared" si="31"/>
        <v>0</v>
      </c>
      <c r="AA8" s="1390">
        <f t="shared" ref="AA8:AA71" si="43">+X8+Z8</f>
        <v>0</v>
      </c>
      <c r="AB8" s="1510">
        <f t="shared" ref="AB8:AB71" si="44">V8+AA8</f>
        <v>0</v>
      </c>
      <c r="AC8" s="1394">
        <f t="shared" ref="AC8:AC71" si="45">-(0.25%*AB8)</f>
        <v>0</v>
      </c>
      <c r="AD8" s="1510">
        <f t="shared" ref="AD8:AD71" si="46">SUM(AB8:AC8)</f>
        <v>0</v>
      </c>
      <c r="AE8" s="1395">
        <v>0</v>
      </c>
      <c r="AF8" s="1510">
        <f t="shared" ref="AF8:AF71" si="47">SUM(AD8:AE8)</f>
        <v>0</v>
      </c>
      <c r="AG8" s="1395"/>
      <c r="AH8" s="1395">
        <f t="shared" ref="AH8:AH71" si="48">AF8-AG8</f>
        <v>0</v>
      </c>
      <c r="AI8" s="1510">
        <f t="shared" ref="AI8:AI71" si="49">ROUND(AH8/12,0)</f>
        <v>0</v>
      </c>
      <c r="AJ8" s="1505">
        <f t="shared" ref="AJ8:AJ71" si="50">T8+AF8</f>
        <v>0</v>
      </c>
      <c r="AK8" s="1535">
        <f t="shared" ref="AK8:AK71" si="51">S8+AI8</f>
        <v>0</v>
      </c>
    </row>
    <row r="9" spans="1:37" ht="16.2" customHeight="1">
      <c r="A9" s="1176">
        <v>3</v>
      </c>
      <c r="B9" s="1177" t="s">
        <v>83</v>
      </c>
      <c r="C9" s="1178">
        <f>+'Table 8 Membership 2.1.14'!R5</f>
        <v>0</v>
      </c>
      <c r="D9" s="1179">
        <f>+'Table 5C1A-Madison Prep'!D9</f>
        <v>4155.1862027396819</v>
      </c>
      <c r="E9" s="1180">
        <f t="shared" si="32"/>
        <v>0</v>
      </c>
      <c r="F9" s="1180">
        <f>+'Table 5C1A-Madison Prep'!F9</f>
        <v>596.84</v>
      </c>
      <c r="G9" s="1180">
        <f t="shared" si="33"/>
        <v>0</v>
      </c>
      <c r="H9" s="1539">
        <f t="shared" si="34"/>
        <v>0</v>
      </c>
      <c r="I9" s="1181"/>
      <c r="J9" s="1181"/>
      <c r="K9" s="1182">
        <f t="shared" si="35"/>
        <v>0</v>
      </c>
      <c r="L9" s="1539">
        <f t="shared" si="29"/>
        <v>0</v>
      </c>
      <c r="M9" s="1388">
        <f t="shared" si="36"/>
        <v>0</v>
      </c>
      <c r="N9" s="1539">
        <f t="shared" si="37"/>
        <v>0</v>
      </c>
      <c r="O9" s="1179">
        <v>0</v>
      </c>
      <c r="P9" s="1545">
        <f t="shared" si="38"/>
        <v>0</v>
      </c>
      <c r="Q9" s="1181"/>
      <c r="R9" s="1181">
        <f t="shared" si="39"/>
        <v>0</v>
      </c>
      <c r="S9" s="1545">
        <f t="shared" si="40"/>
        <v>0</v>
      </c>
      <c r="T9" s="1545">
        <f t="shared" si="41"/>
        <v>0</v>
      </c>
      <c r="U9" s="1389">
        <f>'Table 5C1A-Madison Prep'!U9</f>
        <v>5770</v>
      </c>
      <c r="V9" s="1515">
        <f t="shared" si="30"/>
        <v>0</v>
      </c>
      <c r="W9" s="1391"/>
      <c r="X9" s="1392">
        <f t="shared" si="42"/>
        <v>0</v>
      </c>
      <c r="Y9" s="1391"/>
      <c r="Z9" s="1392">
        <f t="shared" si="31"/>
        <v>0</v>
      </c>
      <c r="AA9" s="1390">
        <f t="shared" si="43"/>
        <v>0</v>
      </c>
      <c r="AB9" s="1510">
        <f t="shared" si="44"/>
        <v>0</v>
      </c>
      <c r="AC9" s="1394">
        <f t="shared" si="45"/>
        <v>0</v>
      </c>
      <c r="AD9" s="1510">
        <f t="shared" si="46"/>
        <v>0</v>
      </c>
      <c r="AE9" s="1395">
        <v>0</v>
      </c>
      <c r="AF9" s="1510">
        <f t="shared" si="47"/>
        <v>0</v>
      </c>
      <c r="AG9" s="1395"/>
      <c r="AH9" s="1395">
        <f t="shared" si="48"/>
        <v>0</v>
      </c>
      <c r="AI9" s="1510">
        <f t="shared" si="49"/>
        <v>0</v>
      </c>
      <c r="AJ9" s="1505">
        <f t="shared" si="50"/>
        <v>0</v>
      </c>
      <c r="AK9" s="1535">
        <f t="shared" si="51"/>
        <v>0</v>
      </c>
    </row>
    <row r="10" spans="1:37" ht="16.2" customHeight="1">
      <c r="A10" s="1176">
        <v>4</v>
      </c>
      <c r="B10" s="1177" t="s">
        <v>84</v>
      </c>
      <c r="C10" s="1178">
        <f>+'Table 8 Membership 2.1.14'!R6</f>
        <v>0</v>
      </c>
      <c r="D10" s="1179">
        <f>+'Table 5C1A-Madison Prep'!D10</f>
        <v>6119.0581446878568</v>
      </c>
      <c r="E10" s="1180">
        <f t="shared" si="32"/>
        <v>0</v>
      </c>
      <c r="F10" s="1180">
        <f>+'Table 5C1A-Madison Prep'!F10</f>
        <v>585.76</v>
      </c>
      <c r="G10" s="1180">
        <f t="shared" si="33"/>
        <v>0</v>
      </c>
      <c r="H10" s="1539">
        <f t="shared" si="34"/>
        <v>0</v>
      </c>
      <c r="I10" s="1181"/>
      <c r="J10" s="1181"/>
      <c r="K10" s="1182">
        <f t="shared" si="35"/>
        <v>0</v>
      </c>
      <c r="L10" s="1539">
        <f t="shared" si="29"/>
        <v>0</v>
      </c>
      <c r="M10" s="1388">
        <f t="shared" si="36"/>
        <v>0</v>
      </c>
      <c r="N10" s="1539">
        <f t="shared" si="37"/>
        <v>0</v>
      </c>
      <c r="O10" s="1179">
        <v>0</v>
      </c>
      <c r="P10" s="1545">
        <f t="shared" si="38"/>
        <v>0</v>
      </c>
      <c r="Q10" s="1181"/>
      <c r="R10" s="1181">
        <f t="shared" si="39"/>
        <v>0</v>
      </c>
      <c r="S10" s="1545">
        <f t="shared" si="40"/>
        <v>0</v>
      </c>
      <c r="T10" s="1545">
        <f t="shared" si="41"/>
        <v>0</v>
      </c>
      <c r="U10" s="1389">
        <f>'Table 5C1A-Madison Prep'!U10</f>
        <v>3287</v>
      </c>
      <c r="V10" s="1515">
        <f t="shared" si="30"/>
        <v>0</v>
      </c>
      <c r="W10" s="1391"/>
      <c r="X10" s="1392">
        <f t="shared" si="42"/>
        <v>0</v>
      </c>
      <c r="Y10" s="1391"/>
      <c r="Z10" s="1392">
        <f t="shared" si="31"/>
        <v>0</v>
      </c>
      <c r="AA10" s="1390">
        <f t="shared" si="43"/>
        <v>0</v>
      </c>
      <c r="AB10" s="1510">
        <f t="shared" si="44"/>
        <v>0</v>
      </c>
      <c r="AC10" s="1394">
        <f t="shared" si="45"/>
        <v>0</v>
      </c>
      <c r="AD10" s="1510">
        <f t="shared" si="46"/>
        <v>0</v>
      </c>
      <c r="AE10" s="1395">
        <v>0</v>
      </c>
      <c r="AF10" s="1510">
        <f t="shared" si="47"/>
        <v>0</v>
      </c>
      <c r="AG10" s="1395"/>
      <c r="AH10" s="1395">
        <f t="shared" si="48"/>
        <v>0</v>
      </c>
      <c r="AI10" s="1510">
        <f t="shared" si="49"/>
        <v>0</v>
      </c>
      <c r="AJ10" s="1505">
        <f t="shared" si="50"/>
        <v>0</v>
      </c>
      <c r="AK10" s="1535">
        <f t="shared" si="51"/>
        <v>0</v>
      </c>
    </row>
    <row r="11" spans="1:37" ht="16.2" customHeight="1">
      <c r="A11" s="1168">
        <v>5</v>
      </c>
      <c r="B11" s="1169" t="s">
        <v>85</v>
      </c>
      <c r="C11" s="1170">
        <f>+'Table 8 Membership 2.1.14'!R7</f>
        <v>0</v>
      </c>
      <c r="D11" s="1171">
        <f>+'Table 5C1A-Madison Prep'!D11</f>
        <v>5268.940566009911</v>
      </c>
      <c r="E11" s="1172">
        <f t="shared" si="32"/>
        <v>0</v>
      </c>
      <c r="F11" s="1172">
        <f>+'Table 5C1A-Madison Prep'!F11</f>
        <v>555.91</v>
      </c>
      <c r="G11" s="1172">
        <f t="shared" si="33"/>
        <v>0</v>
      </c>
      <c r="H11" s="1540">
        <f t="shared" si="34"/>
        <v>0</v>
      </c>
      <c r="I11" s="1173"/>
      <c r="J11" s="1173"/>
      <c r="K11" s="1174">
        <f t="shared" si="35"/>
        <v>0</v>
      </c>
      <c r="L11" s="1540">
        <f t="shared" si="29"/>
        <v>0</v>
      </c>
      <c r="M11" s="1399">
        <f t="shared" si="36"/>
        <v>0</v>
      </c>
      <c r="N11" s="1540">
        <f t="shared" si="37"/>
        <v>0</v>
      </c>
      <c r="O11" s="1171">
        <v>0</v>
      </c>
      <c r="P11" s="1546">
        <f t="shared" si="38"/>
        <v>0</v>
      </c>
      <c r="Q11" s="1173"/>
      <c r="R11" s="1173">
        <f t="shared" si="39"/>
        <v>0</v>
      </c>
      <c r="S11" s="1550">
        <f t="shared" si="40"/>
        <v>0</v>
      </c>
      <c r="T11" s="1550">
        <f t="shared" si="41"/>
        <v>0</v>
      </c>
      <c r="U11" s="1382">
        <f>'Table 5C1A-Madison Prep'!U11</f>
        <v>1921</v>
      </c>
      <c r="V11" s="1516">
        <f t="shared" si="30"/>
        <v>0</v>
      </c>
      <c r="W11" s="1400"/>
      <c r="X11" s="1383">
        <f t="shared" si="42"/>
        <v>0</v>
      </c>
      <c r="Y11" s="1400"/>
      <c r="Z11" s="1383">
        <f t="shared" si="31"/>
        <v>0</v>
      </c>
      <c r="AA11" s="1384">
        <f t="shared" si="43"/>
        <v>0</v>
      </c>
      <c r="AB11" s="1511">
        <f t="shared" si="44"/>
        <v>0</v>
      </c>
      <c r="AC11" s="1402">
        <f t="shared" si="45"/>
        <v>0</v>
      </c>
      <c r="AD11" s="1511">
        <f t="shared" si="46"/>
        <v>0</v>
      </c>
      <c r="AE11" s="1385">
        <v>0</v>
      </c>
      <c r="AF11" s="1511">
        <f t="shared" si="47"/>
        <v>0</v>
      </c>
      <c r="AG11" s="1385"/>
      <c r="AH11" s="1385">
        <f t="shared" si="48"/>
        <v>0</v>
      </c>
      <c r="AI11" s="1511">
        <f t="shared" si="49"/>
        <v>0</v>
      </c>
      <c r="AJ11" s="1531">
        <f t="shared" si="50"/>
        <v>0</v>
      </c>
      <c r="AK11" s="1536">
        <f t="shared" si="51"/>
        <v>0</v>
      </c>
    </row>
    <row r="12" spans="1:37" ht="16.2" customHeight="1">
      <c r="A12" s="1183">
        <v>6</v>
      </c>
      <c r="B12" s="1184" t="s">
        <v>86</v>
      </c>
      <c r="C12" s="1185">
        <f>+'Table 8 Membership 2.1.14'!R8</f>
        <v>0</v>
      </c>
      <c r="D12" s="1186">
        <f>+'Table 5C1A-Madison Prep'!D12</f>
        <v>5378.5086124955869</v>
      </c>
      <c r="E12" s="1187">
        <f t="shared" si="32"/>
        <v>0</v>
      </c>
      <c r="F12" s="1187">
        <f>+'Table 5C1A-Madison Prep'!F12</f>
        <v>545.4799999999999</v>
      </c>
      <c r="G12" s="1187">
        <f t="shared" si="33"/>
        <v>0</v>
      </c>
      <c r="H12" s="1538">
        <f t="shared" si="34"/>
        <v>0</v>
      </c>
      <c r="I12" s="1188"/>
      <c r="J12" s="1188"/>
      <c r="K12" s="1189">
        <f t="shared" si="35"/>
        <v>0</v>
      </c>
      <c r="L12" s="1538">
        <f t="shared" si="29"/>
        <v>0</v>
      </c>
      <c r="M12" s="1372">
        <f t="shared" si="36"/>
        <v>0</v>
      </c>
      <c r="N12" s="1538">
        <f t="shared" si="37"/>
        <v>0</v>
      </c>
      <c r="O12" s="1186">
        <v>0</v>
      </c>
      <c r="P12" s="1544">
        <f t="shared" si="38"/>
        <v>0</v>
      </c>
      <c r="Q12" s="1188"/>
      <c r="R12" s="1188">
        <f t="shared" si="39"/>
        <v>0</v>
      </c>
      <c r="S12" s="1544">
        <f t="shared" si="40"/>
        <v>0</v>
      </c>
      <c r="T12" s="1544">
        <f t="shared" si="41"/>
        <v>0</v>
      </c>
      <c r="U12" s="1373">
        <f>'Table 5C1A-Madison Prep'!U12</f>
        <v>3807</v>
      </c>
      <c r="V12" s="1514">
        <f t="shared" si="30"/>
        <v>0</v>
      </c>
      <c r="W12" s="1375"/>
      <c r="X12" s="1376">
        <f t="shared" si="42"/>
        <v>0</v>
      </c>
      <c r="Y12" s="1375"/>
      <c r="Z12" s="1376">
        <f t="shared" si="31"/>
        <v>0</v>
      </c>
      <c r="AA12" s="1374">
        <f t="shared" si="43"/>
        <v>0</v>
      </c>
      <c r="AB12" s="1509">
        <f t="shared" si="44"/>
        <v>0</v>
      </c>
      <c r="AC12" s="1378">
        <f t="shared" si="45"/>
        <v>0</v>
      </c>
      <c r="AD12" s="1509">
        <f t="shared" si="46"/>
        <v>0</v>
      </c>
      <c r="AE12" s="1379">
        <v>0</v>
      </c>
      <c r="AF12" s="1509">
        <f t="shared" si="47"/>
        <v>0</v>
      </c>
      <c r="AG12" s="1379"/>
      <c r="AH12" s="1379">
        <f t="shared" si="48"/>
        <v>0</v>
      </c>
      <c r="AI12" s="1509">
        <f t="shared" si="49"/>
        <v>0</v>
      </c>
      <c r="AJ12" s="1530">
        <f t="shared" si="50"/>
        <v>0</v>
      </c>
      <c r="AK12" s="1534">
        <f t="shared" si="51"/>
        <v>0</v>
      </c>
    </row>
    <row r="13" spans="1:37" ht="16.2" customHeight="1">
      <c r="A13" s="1176">
        <v>7</v>
      </c>
      <c r="B13" s="1177" t="s">
        <v>87</v>
      </c>
      <c r="C13" s="1178">
        <f>+'Table 8 Membership 2.1.14'!R9</f>
        <v>0</v>
      </c>
      <c r="D13" s="1179">
        <f>+'Table 5C1A-Madison Prep'!D13</f>
        <v>2243.0031963470319</v>
      </c>
      <c r="E13" s="1180">
        <f t="shared" si="32"/>
        <v>0</v>
      </c>
      <c r="F13" s="1180">
        <f>+'Table 5C1A-Madison Prep'!F13</f>
        <v>756.91999999999985</v>
      </c>
      <c r="G13" s="1180">
        <f t="shared" si="33"/>
        <v>0</v>
      </c>
      <c r="H13" s="1539">
        <f t="shared" si="34"/>
        <v>0</v>
      </c>
      <c r="I13" s="1181"/>
      <c r="J13" s="1181"/>
      <c r="K13" s="1182">
        <f t="shared" si="35"/>
        <v>0</v>
      </c>
      <c r="L13" s="1539">
        <f t="shared" si="29"/>
        <v>0</v>
      </c>
      <c r="M13" s="1388">
        <f t="shared" si="36"/>
        <v>0</v>
      </c>
      <c r="N13" s="1539">
        <f t="shared" si="37"/>
        <v>0</v>
      </c>
      <c r="O13" s="1179">
        <v>0</v>
      </c>
      <c r="P13" s="1545">
        <f t="shared" si="38"/>
        <v>0</v>
      </c>
      <c r="Q13" s="1181"/>
      <c r="R13" s="1181">
        <f t="shared" si="39"/>
        <v>0</v>
      </c>
      <c r="S13" s="1545">
        <f t="shared" si="40"/>
        <v>0</v>
      </c>
      <c r="T13" s="1545">
        <f t="shared" si="41"/>
        <v>0</v>
      </c>
      <c r="U13" s="1389">
        <f>'Table 5C1A-Madison Prep'!U13</f>
        <v>11888</v>
      </c>
      <c r="V13" s="1515">
        <f t="shared" si="30"/>
        <v>0</v>
      </c>
      <c r="W13" s="1391"/>
      <c r="X13" s="1392">
        <f t="shared" si="42"/>
        <v>0</v>
      </c>
      <c r="Y13" s="1391"/>
      <c r="Z13" s="1392">
        <f t="shared" si="31"/>
        <v>0</v>
      </c>
      <c r="AA13" s="1390">
        <f t="shared" si="43"/>
        <v>0</v>
      </c>
      <c r="AB13" s="1510">
        <f t="shared" si="44"/>
        <v>0</v>
      </c>
      <c r="AC13" s="1394">
        <f t="shared" si="45"/>
        <v>0</v>
      </c>
      <c r="AD13" s="1510">
        <f t="shared" si="46"/>
        <v>0</v>
      </c>
      <c r="AE13" s="1395">
        <v>0</v>
      </c>
      <c r="AF13" s="1510">
        <f t="shared" si="47"/>
        <v>0</v>
      </c>
      <c r="AG13" s="1395"/>
      <c r="AH13" s="1395">
        <f t="shared" si="48"/>
        <v>0</v>
      </c>
      <c r="AI13" s="1510">
        <f t="shared" si="49"/>
        <v>0</v>
      </c>
      <c r="AJ13" s="1505">
        <f t="shared" si="50"/>
        <v>0</v>
      </c>
      <c r="AK13" s="1535">
        <f t="shared" si="51"/>
        <v>0</v>
      </c>
    </row>
    <row r="14" spans="1:37" ht="16.2" customHeight="1">
      <c r="A14" s="1176">
        <v>8</v>
      </c>
      <c r="B14" s="1177" t="s">
        <v>88</v>
      </c>
      <c r="C14" s="1178">
        <f>+'Table 8 Membership 2.1.14'!R10</f>
        <v>0</v>
      </c>
      <c r="D14" s="1179">
        <f>+'Table 5C1A-Madison Prep'!D14</f>
        <v>4669.802459558854</v>
      </c>
      <c r="E14" s="1180">
        <f t="shared" si="32"/>
        <v>0</v>
      </c>
      <c r="F14" s="1180">
        <f>+'Table 5C1A-Madison Prep'!F14</f>
        <v>725.76</v>
      </c>
      <c r="G14" s="1180">
        <f t="shared" si="33"/>
        <v>0</v>
      </c>
      <c r="H14" s="1539">
        <f t="shared" si="34"/>
        <v>0</v>
      </c>
      <c r="I14" s="1181"/>
      <c r="J14" s="1181"/>
      <c r="K14" s="1182">
        <f t="shared" si="35"/>
        <v>0</v>
      </c>
      <c r="L14" s="1539">
        <f t="shared" si="29"/>
        <v>0</v>
      </c>
      <c r="M14" s="1388">
        <f t="shared" si="36"/>
        <v>0</v>
      </c>
      <c r="N14" s="1539">
        <f t="shared" si="37"/>
        <v>0</v>
      </c>
      <c r="O14" s="1179">
        <v>0</v>
      </c>
      <c r="P14" s="1545">
        <f t="shared" si="38"/>
        <v>0</v>
      </c>
      <c r="Q14" s="1181"/>
      <c r="R14" s="1181">
        <f t="shared" si="39"/>
        <v>0</v>
      </c>
      <c r="S14" s="1545">
        <f t="shared" si="40"/>
        <v>0</v>
      </c>
      <c r="T14" s="1545">
        <f t="shared" si="41"/>
        <v>0</v>
      </c>
      <c r="U14" s="1389">
        <f>'Table 5C1A-Madison Prep'!U14</f>
        <v>4024</v>
      </c>
      <c r="V14" s="1515">
        <f t="shared" si="30"/>
        <v>0</v>
      </c>
      <c r="W14" s="1391"/>
      <c r="X14" s="1392">
        <f t="shared" si="42"/>
        <v>0</v>
      </c>
      <c r="Y14" s="1391"/>
      <c r="Z14" s="1392">
        <f t="shared" si="31"/>
        <v>0</v>
      </c>
      <c r="AA14" s="1390">
        <f t="shared" si="43"/>
        <v>0</v>
      </c>
      <c r="AB14" s="1510">
        <f t="shared" si="44"/>
        <v>0</v>
      </c>
      <c r="AC14" s="1394">
        <f t="shared" si="45"/>
        <v>0</v>
      </c>
      <c r="AD14" s="1510">
        <f t="shared" si="46"/>
        <v>0</v>
      </c>
      <c r="AE14" s="1395">
        <v>0</v>
      </c>
      <c r="AF14" s="1510">
        <f t="shared" si="47"/>
        <v>0</v>
      </c>
      <c r="AG14" s="1395"/>
      <c r="AH14" s="1395">
        <f t="shared" si="48"/>
        <v>0</v>
      </c>
      <c r="AI14" s="1510">
        <f t="shared" si="49"/>
        <v>0</v>
      </c>
      <c r="AJ14" s="1505">
        <f t="shared" si="50"/>
        <v>0</v>
      </c>
      <c r="AK14" s="1535">
        <f t="shared" si="51"/>
        <v>0</v>
      </c>
    </row>
    <row r="15" spans="1:37" ht="16.2" customHeight="1">
      <c r="A15" s="1176">
        <v>9</v>
      </c>
      <c r="B15" s="1177" t="s">
        <v>89</v>
      </c>
      <c r="C15" s="1178">
        <f>+'Table 8 Membership 2.1.14'!R11</f>
        <v>0</v>
      </c>
      <c r="D15" s="1179">
        <f>+'Table 5C1A-Madison Prep'!D15</f>
        <v>4632.4615072045008</v>
      </c>
      <c r="E15" s="1180">
        <f t="shared" si="32"/>
        <v>0</v>
      </c>
      <c r="F15" s="1180">
        <f>+'Table 5C1A-Madison Prep'!F15</f>
        <v>744.76</v>
      </c>
      <c r="G15" s="1180">
        <f t="shared" si="33"/>
        <v>0</v>
      </c>
      <c r="H15" s="1539">
        <f t="shared" si="34"/>
        <v>0</v>
      </c>
      <c r="I15" s="1181"/>
      <c r="J15" s="1181"/>
      <c r="K15" s="1182">
        <f t="shared" si="35"/>
        <v>0</v>
      </c>
      <c r="L15" s="1539">
        <f t="shared" si="29"/>
        <v>0</v>
      </c>
      <c r="M15" s="1388">
        <f t="shared" si="36"/>
        <v>0</v>
      </c>
      <c r="N15" s="1539">
        <f t="shared" si="37"/>
        <v>0</v>
      </c>
      <c r="O15" s="1179">
        <v>0</v>
      </c>
      <c r="P15" s="1545">
        <f t="shared" si="38"/>
        <v>0</v>
      </c>
      <c r="Q15" s="1181"/>
      <c r="R15" s="1181">
        <f t="shared" si="39"/>
        <v>0</v>
      </c>
      <c r="S15" s="1545">
        <f t="shared" si="40"/>
        <v>0</v>
      </c>
      <c r="T15" s="1545">
        <f t="shared" si="41"/>
        <v>0</v>
      </c>
      <c r="U15" s="1389">
        <f>'Table 5C1A-Madison Prep'!U15</f>
        <v>4828</v>
      </c>
      <c r="V15" s="1515">
        <f t="shared" si="30"/>
        <v>0</v>
      </c>
      <c r="W15" s="1391"/>
      <c r="X15" s="1392">
        <f t="shared" si="42"/>
        <v>0</v>
      </c>
      <c r="Y15" s="1391"/>
      <c r="Z15" s="1392">
        <f t="shared" si="31"/>
        <v>0</v>
      </c>
      <c r="AA15" s="1390">
        <f t="shared" si="43"/>
        <v>0</v>
      </c>
      <c r="AB15" s="1510">
        <f t="shared" si="44"/>
        <v>0</v>
      </c>
      <c r="AC15" s="1394">
        <f t="shared" si="45"/>
        <v>0</v>
      </c>
      <c r="AD15" s="1510">
        <f t="shared" si="46"/>
        <v>0</v>
      </c>
      <c r="AE15" s="1395">
        <v>0</v>
      </c>
      <c r="AF15" s="1510">
        <f t="shared" si="47"/>
        <v>0</v>
      </c>
      <c r="AG15" s="1395"/>
      <c r="AH15" s="1395">
        <f t="shared" si="48"/>
        <v>0</v>
      </c>
      <c r="AI15" s="1510">
        <f t="shared" si="49"/>
        <v>0</v>
      </c>
      <c r="AJ15" s="1505">
        <f t="shared" si="50"/>
        <v>0</v>
      </c>
      <c r="AK15" s="1535">
        <f t="shared" si="51"/>
        <v>0</v>
      </c>
    </row>
    <row r="16" spans="1:37" ht="16.2" customHeight="1">
      <c r="A16" s="1168">
        <v>10</v>
      </c>
      <c r="B16" s="1169" t="s">
        <v>90</v>
      </c>
      <c r="C16" s="1170">
        <f>+'Table 8 Membership 2.1.14'!R12</f>
        <v>0</v>
      </c>
      <c r="D16" s="1171">
        <f>+'Table 5C1A-Madison Prep'!D16</f>
        <v>4384.374733918472</v>
      </c>
      <c r="E16" s="1172">
        <f t="shared" si="32"/>
        <v>0</v>
      </c>
      <c r="F16" s="1172">
        <f>+'Table 5C1A-Madison Prep'!F16</f>
        <v>608.04000000000008</v>
      </c>
      <c r="G16" s="1172">
        <f t="shared" si="33"/>
        <v>0</v>
      </c>
      <c r="H16" s="1540">
        <f t="shared" si="34"/>
        <v>0</v>
      </c>
      <c r="I16" s="1173"/>
      <c r="J16" s="1173"/>
      <c r="K16" s="1174">
        <f t="shared" si="35"/>
        <v>0</v>
      </c>
      <c r="L16" s="1540">
        <f t="shared" si="29"/>
        <v>0</v>
      </c>
      <c r="M16" s="1399">
        <f t="shared" si="36"/>
        <v>0</v>
      </c>
      <c r="N16" s="1540">
        <f t="shared" si="37"/>
        <v>0</v>
      </c>
      <c r="O16" s="1171">
        <v>0</v>
      </c>
      <c r="P16" s="1546">
        <f t="shared" si="38"/>
        <v>0</v>
      </c>
      <c r="Q16" s="1173"/>
      <c r="R16" s="1173">
        <f t="shared" si="39"/>
        <v>0</v>
      </c>
      <c r="S16" s="1550">
        <f t="shared" si="40"/>
        <v>0</v>
      </c>
      <c r="T16" s="1550">
        <f t="shared" si="41"/>
        <v>0</v>
      </c>
      <c r="U16" s="1382">
        <f>'Table 5C1A-Madison Prep'!U16</f>
        <v>4565</v>
      </c>
      <c r="V16" s="1516">
        <f t="shared" si="30"/>
        <v>0</v>
      </c>
      <c r="W16" s="1400"/>
      <c r="X16" s="1383">
        <f t="shared" si="42"/>
        <v>0</v>
      </c>
      <c r="Y16" s="1400"/>
      <c r="Z16" s="1383">
        <f t="shared" si="31"/>
        <v>0</v>
      </c>
      <c r="AA16" s="1384">
        <f t="shared" si="43"/>
        <v>0</v>
      </c>
      <c r="AB16" s="1511">
        <f t="shared" si="44"/>
        <v>0</v>
      </c>
      <c r="AC16" s="1402">
        <f t="shared" si="45"/>
        <v>0</v>
      </c>
      <c r="AD16" s="1511">
        <f t="shared" si="46"/>
        <v>0</v>
      </c>
      <c r="AE16" s="1385">
        <v>0</v>
      </c>
      <c r="AF16" s="1511">
        <f t="shared" si="47"/>
        <v>0</v>
      </c>
      <c r="AG16" s="1385"/>
      <c r="AH16" s="1385">
        <f t="shared" si="48"/>
        <v>0</v>
      </c>
      <c r="AI16" s="1511">
        <f t="shared" si="49"/>
        <v>0</v>
      </c>
      <c r="AJ16" s="1531">
        <f t="shared" si="50"/>
        <v>0</v>
      </c>
      <c r="AK16" s="1536">
        <f t="shared" si="51"/>
        <v>0</v>
      </c>
    </row>
    <row r="17" spans="1:37" ht="16.2" customHeight="1">
      <c r="A17" s="1183">
        <v>11</v>
      </c>
      <c r="B17" s="1184" t="s">
        <v>91</v>
      </c>
      <c r="C17" s="1185">
        <f>+'Table 8 Membership 2.1.14'!R13</f>
        <v>0</v>
      </c>
      <c r="D17" s="1186">
        <f>+'Table 5C1A-Madison Prep'!D17</f>
        <v>7098.5372236353351</v>
      </c>
      <c r="E17" s="1187">
        <f t="shared" si="32"/>
        <v>0</v>
      </c>
      <c r="F17" s="1187">
        <f>+'Table 5C1A-Madison Prep'!F17</f>
        <v>706.55</v>
      </c>
      <c r="G17" s="1187">
        <f t="shared" si="33"/>
        <v>0</v>
      </c>
      <c r="H17" s="1538">
        <f t="shared" si="34"/>
        <v>0</v>
      </c>
      <c r="I17" s="1188"/>
      <c r="J17" s="1188"/>
      <c r="K17" s="1189">
        <f t="shared" si="35"/>
        <v>0</v>
      </c>
      <c r="L17" s="1538">
        <f t="shared" si="29"/>
        <v>0</v>
      </c>
      <c r="M17" s="1372">
        <f t="shared" si="36"/>
        <v>0</v>
      </c>
      <c r="N17" s="1538">
        <f t="shared" si="37"/>
        <v>0</v>
      </c>
      <c r="O17" s="1186">
        <v>0</v>
      </c>
      <c r="P17" s="1544">
        <f t="shared" si="38"/>
        <v>0</v>
      </c>
      <c r="Q17" s="1188"/>
      <c r="R17" s="1188">
        <f t="shared" si="39"/>
        <v>0</v>
      </c>
      <c r="S17" s="1544">
        <f t="shared" si="40"/>
        <v>0</v>
      </c>
      <c r="T17" s="1544">
        <f t="shared" si="41"/>
        <v>0</v>
      </c>
      <c r="U17" s="1373">
        <f>'Table 5C1A-Madison Prep'!U17</f>
        <v>3587</v>
      </c>
      <c r="V17" s="1514">
        <f t="shared" si="30"/>
        <v>0</v>
      </c>
      <c r="W17" s="1375"/>
      <c r="X17" s="1376">
        <f t="shared" si="42"/>
        <v>0</v>
      </c>
      <c r="Y17" s="1375"/>
      <c r="Z17" s="1376">
        <f t="shared" si="31"/>
        <v>0</v>
      </c>
      <c r="AA17" s="1374">
        <f t="shared" si="43"/>
        <v>0</v>
      </c>
      <c r="AB17" s="1509">
        <f t="shared" si="44"/>
        <v>0</v>
      </c>
      <c r="AC17" s="1378">
        <f t="shared" si="45"/>
        <v>0</v>
      </c>
      <c r="AD17" s="1509">
        <f t="shared" si="46"/>
        <v>0</v>
      </c>
      <c r="AE17" s="1379">
        <v>0</v>
      </c>
      <c r="AF17" s="1509">
        <f t="shared" si="47"/>
        <v>0</v>
      </c>
      <c r="AG17" s="1379"/>
      <c r="AH17" s="1379">
        <f t="shared" si="48"/>
        <v>0</v>
      </c>
      <c r="AI17" s="1509">
        <f t="shared" si="49"/>
        <v>0</v>
      </c>
      <c r="AJ17" s="1530">
        <f t="shared" si="50"/>
        <v>0</v>
      </c>
      <c r="AK17" s="1534">
        <f t="shared" si="51"/>
        <v>0</v>
      </c>
    </row>
    <row r="18" spans="1:37" ht="16.2" customHeight="1">
      <c r="A18" s="1176">
        <v>12</v>
      </c>
      <c r="B18" s="1177" t="s">
        <v>92</v>
      </c>
      <c r="C18" s="1178">
        <f>+'Table 8 Membership 2.1.14'!R14</f>
        <v>0</v>
      </c>
      <c r="D18" s="1179">
        <f>+'Table 5C1A-Madison Prep'!D18</f>
        <v>1666.6040983606558</v>
      </c>
      <c r="E18" s="1180">
        <f t="shared" si="32"/>
        <v>0</v>
      </c>
      <c r="F18" s="1180">
        <f>+'Table 5C1A-Madison Prep'!F18</f>
        <v>1063.31</v>
      </c>
      <c r="G18" s="1180">
        <f t="shared" si="33"/>
        <v>0</v>
      </c>
      <c r="H18" s="1539">
        <f t="shared" si="34"/>
        <v>0</v>
      </c>
      <c r="I18" s="1181"/>
      <c r="J18" s="1181"/>
      <c r="K18" s="1182">
        <f t="shared" si="35"/>
        <v>0</v>
      </c>
      <c r="L18" s="1539">
        <f t="shared" si="29"/>
        <v>0</v>
      </c>
      <c r="M18" s="1388">
        <f t="shared" si="36"/>
        <v>0</v>
      </c>
      <c r="N18" s="1539">
        <f t="shared" si="37"/>
        <v>0</v>
      </c>
      <c r="O18" s="1179">
        <v>0</v>
      </c>
      <c r="P18" s="1545">
        <f t="shared" si="38"/>
        <v>0</v>
      </c>
      <c r="Q18" s="1181"/>
      <c r="R18" s="1181">
        <f t="shared" si="39"/>
        <v>0</v>
      </c>
      <c r="S18" s="1545">
        <f t="shared" si="40"/>
        <v>0</v>
      </c>
      <c r="T18" s="1545">
        <f t="shared" si="41"/>
        <v>0</v>
      </c>
      <c r="U18" s="1389">
        <f>'Table 5C1A-Madison Prep'!U18</f>
        <v>8094</v>
      </c>
      <c r="V18" s="1515">
        <f t="shared" si="30"/>
        <v>0</v>
      </c>
      <c r="W18" s="1391"/>
      <c r="X18" s="1392">
        <f t="shared" si="42"/>
        <v>0</v>
      </c>
      <c r="Y18" s="1391"/>
      <c r="Z18" s="1392">
        <f t="shared" si="31"/>
        <v>0</v>
      </c>
      <c r="AA18" s="1390">
        <f t="shared" si="43"/>
        <v>0</v>
      </c>
      <c r="AB18" s="1510">
        <f t="shared" si="44"/>
        <v>0</v>
      </c>
      <c r="AC18" s="1394">
        <f t="shared" si="45"/>
        <v>0</v>
      </c>
      <c r="AD18" s="1510">
        <f t="shared" si="46"/>
        <v>0</v>
      </c>
      <c r="AE18" s="1395">
        <v>0</v>
      </c>
      <c r="AF18" s="1510">
        <f t="shared" si="47"/>
        <v>0</v>
      </c>
      <c r="AG18" s="1395"/>
      <c r="AH18" s="1395">
        <f t="shared" si="48"/>
        <v>0</v>
      </c>
      <c r="AI18" s="1510">
        <f t="shared" si="49"/>
        <v>0</v>
      </c>
      <c r="AJ18" s="1505">
        <f t="shared" si="50"/>
        <v>0</v>
      </c>
      <c r="AK18" s="1535">
        <f t="shared" si="51"/>
        <v>0</v>
      </c>
    </row>
    <row r="19" spans="1:37" ht="16.2" customHeight="1">
      <c r="A19" s="1176">
        <v>13</v>
      </c>
      <c r="B19" s="1177" t="s">
        <v>93</v>
      </c>
      <c r="C19" s="1178">
        <f>+'Table 8 Membership 2.1.14'!R15</f>
        <v>0</v>
      </c>
      <c r="D19" s="1179">
        <f>+'Table 5C1A-Madison Prep'!D19</f>
        <v>6433.6297758332212</v>
      </c>
      <c r="E19" s="1180">
        <f t="shared" si="32"/>
        <v>0</v>
      </c>
      <c r="F19" s="1180">
        <f>+'Table 5C1A-Madison Prep'!F19</f>
        <v>749.43000000000006</v>
      </c>
      <c r="G19" s="1180">
        <f t="shared" si="33"/>
        <v>0</v>
      </c>
      <c r="H19" s="1539">
        <f t="shared" si="34"/>
        <v>0</v>
      </c>
      <c r="I19" s="1181"/>
      <c r="J19" s="1181"/>
      <c r="K19" s="1182">
        <f t="shared" si="35"/>
        <v>0</v>
      </c>
      <c r="L19" s="1539">
        <f t="shared" si="29"/>
        <v>0</v>
      </c>
      <c r="M19" s="1388">
        <f t="shared" si="36"/>
        <v>0</v>
      </c>
      <c r="N19" s="1539">
        <f t="shared" si="37"/>
        <v>0</v>
      </c>
      <c r="O19" s="1179">
        <v>0</v>
      </c>
      <c r="P19" s="1545">
        <f t="shared" si="38"/>
        <v>0</v>
      </c>
      <c r="Q19" s="1181"/>
      <c r="R19" s="1181">
        <f t="shared" si="39"/>
        <v>0</v>
      </c>
      <c r="S19" s="1545">
        <f t="shared" si="40"/>
        <v>0</v>
      </c>
      <c r="T19" s="1545">
        <f t="shared" si="41"/>
        <v>0</v>
      </c>
      <c r="U19" s="1389">
        <f>'Table 5C1A-Madison Prep'!U19</f>
        <v>2842</v>
      </c>
      <c r="V19" s="1515">
        <f t="shared" si="30"/>
        <v>0</v>
      </c>
      <c r="W19" s="1391"/>
      <c r="X19" s="1392">
        <f t="shared" si="42"/>
        <v>0</v>
      </c>
      <c r="Y19" s="1391"/>
      <c r="Z19" s="1392">
        <f t="shared" si="31"/>
        <v>0</v>
      </c>
      <c r="AA19" s="1390">
        <f t="shared" si="43"/>
        <v>0</v>
      </c>
      <c r="AB19" s="1510">
        <f t="shared" si="44"/>
        <v>0</v>
      </c>
      <c r="AC19" s="1394">
        <f t="shared" si="45"/>
        <v>0</v>
      </c>
      <c r="AD19" s="1510">
        <f t="shared" si="46"/>
        <v>0</v>
      </c>
      <c r="AE19" s="1395">
        <v>0</v>
      </c>
      <c r="AF19" s="1510">
        <f t="shared" si="47"/>
        <v>0</v>
      </c>
      <c r="AG19" s="1395"/>
      <c r="AH19" s="1395">
        <f t="shared" si="48"/>
        <v>0</v>
      </c>
      <c r="AI19" s="1510">
        <f t="shared" si="49"/>
        <v>0</v>
      </c>
      <c r="AJ19" s="1505">
        <f t="shared" si="50"/>
        <v>0</v>
      </c>
      <c r="AK19" s="1535">
        <f t="shared" si="51"/>
        <v>0</v>
      </c>
    </row>
    <row r="20" spans="1:37" ht="16.2" customHeight="1">
      <c r="A20" s="1176">
        <v>14</v>
      </c>
      <c r="B20" s="1177" t="s">
        <v>94</v>
      </c>
      <c r="C20" s="1178">
        <f>+'Table 8 Membership 2.1.14'!R16</f>
        <v>0</v>
      </c>
      <c r="D20" s="1179">
        <f>+'Table 5C1A-Madison Prep'!D20</f>
        <v>5334.9509412500001</v>
      </c>
      <c r="E20" s="1180">
        <f t="shared" si="32"/>
        <v>0</v>
      </c>
      <c r="F20" s="1180">
        <f>+'Table 5C1A-Madison Prep'!F20</f>
        <v>809.9799999999999</v>
      </c>
      <c r="G20" s="1180">
        <f t="shared" si="33"/>
        <v>0</v>
      </c>
      <c r="H20" s="1539">
        <f t="shared" si="34"/>
        <v>0</v>
      </c>
      <c r="I20" s="1181"/>
      <c r="J20" s="1181"/>
      <c r="K20" s="1182">
        <f t="shared" si="35"/>
        <v>0</v>
      </c>
      <c r="L20" s="1539">
        <f t="shared" si="29"/>
        <v>0</v>
      </c>
      <c r="M20" s="1388">
        <f t="shared" si="36"/>
        <v>0</v>
      </c>
      <c r="N20" s="1539">
        <f t="shared" si="37"/>
        <v>0</v>
      </c>
      <c r="O20" s="1179">
        <v>0</v>
      </c>
      <c r="P20" s="1545">
        <f t="shared" si="38"/>
        <v>0</v>
      </c>
      <c r="Q20" s="1181"/>
      <c r="R20" s="1181">
        <f t="shared" si="39"/>
        <v>0</v>
      </c>
      <c r="S20" s="1545">
        <f t="shared" si="40"/>
        <v>0</v>
      </c>
      <c r="T20" s="1545">
        <f t="shared" si="41"/>
        <v>0</v>
      </c>
      <c r="U20" s="1389">
        <f>'Table 5C1A-Madison Prep'!U20</f>
        <v>4205</v>
      </c>
      <c r="V20" s="1515">
        <f t="shared" si="30"/>
        <v>0</v>
      </c>
      <c r="W20" s="1391"/>
      <c r="X20" s="1392">
        <f t="shared" si="42"/>
        <v>0</v>
      </c>
      <c r="Y20" s="1391"/>
      <c r="Z20" s="1392">
        <f t="shared" si="31"/>
        <v>0</v>
      </c>
      <c r="AA20" s="1390">
        <f t="shared" si="43"/>
        <v>0</v>
      </c>
      <c r="AB20" s="1510">
        <f t="shared" si="44"/>
        <v>0</v>
      </c>
      <c r="AC20" s="1394">
        <f t="shared" si="45"/>
        <v>0</v>
      </c>
      <c r="AD20" s="1510">
        <f t="shared" si="46"/>
        <v>0</v>
      </c>
      <c r="AE20" s="1395">
        <v>0</v>
      </c>
      <c r="AF20" s="1510">
        <f t="shared" si="47"/>
        <v>0</v>
      </c>
      <c r="AG20" s="1395"/>
      <c r="AH20" s="1395">
        <f t="shared" si="48"/>
        <v>0</v>
      </c>
      <c r="AI20" s="1510">
        <f t="shared" si="49"/>
        <v>0</v>
      </c>
      <c r="AJ20" s="1505">
        <f t="shared" si="50"/>
        <v>0</v>
      </c>
      <c r="AK20" s="1535">
        <f t="shared" si="51"/>
        <v>0</v>
      </c>
    </row>
    <row r="21" spans="1:37" ht="16.2" customHeight="1">
      <c r="A21" s="1168">
        <v>15</v>
      </c>
      <c r="B21" s="1169" t="s">
        <v>95</v>
      </c>
      <c r="C21" s="1170">
        <f>+'Table 8 Membership 2.1.14'!R17</f>
        <v>0</v>
      </c>
      <c r="D21" s="1171">
        <f>+'Table 5C1A-Madison Prep'!D21</f>
        <v>5749.8285214059952</v>
      </c>
      <c r="E21" s="1172">
        <f t="shared" si="32"/>
        <v>0</v>
      </c>
      <c r="F21" s="1172">
        <f>+'Table 5C1A-Madison Prep'!F21</f>
        <v>553.79999999999995</v>
      </c>
      <c r="G21" s="1172">
        <f t="shared" si="33"/>
        <v>0</v>
      </c>
      <c r="H21" s="1540">
        <f t="shared" si="34"/>
        <v>0</v>
      </c>
      <c r="I21" s="1173"/>
      <c r="J21" s="1173"/>
      <c r="K21" s="1174">
        <f t="shared" si="35"/>
        <v>0</v>
      </c>
      <c r="L21" s="1540">
        <f t="shared" si="29"/>
        <v>0</v>
      </c>
      <c r="M21" s="1399">
        <f t="shared" si="36"/>
        <v>0</v>
      </c>
      <c r="N21" s="1540">
        <f t="shared" si="37"/>
        <v>0</v>
      </c>
      <c r="O21" s="1171">
        <v>0</v>
      </c>
      <c r="P21" s="1546">
        <f t="shared" si="38"/>
        <v>0</v>
      </c>
      <c r="Q21" s="1173"/>
      <c r="R21" s="1173">
        <f t="shared" si="39"/>
        <v>0</v>
      </c>
      <c r="S21" s="1550">
        <f t="shared" si="40"/>
        <v>0</v>
      </c>
      <c r="T21" s="1550">
        <f t="shared" si="41"/>
        <v>0</v>
      </c>
      <c r="U21" s="1382">
        <f>'Table 5C1A-Madison Prep'!U21</f>
        <v>2535</v>
      </c>
      <c r="V21" s="1516">
        <f t="shared" si="30"/>
        <v>0</v>
      </c>
      <c r="W21" s="1400"/>
      <c r="X21" s="1383">
        <f t="shared" si="42"/>
        <v>0</v>
      </c>
      <c r="Y21" s="1400"/>
      <c r="Z21" s="1383">
        <f t="shared" si="31"/>
        <v>0</v>
      </c>
      <c r="AA21" s="1384">
        <f t="shared" si="43"/>
        <v>0</v>
      </c>
      <c r="AB21" s="1511">
        <f t="shared" si="44"/>
        <v>0</v>
      </c>
      <c r="AC21" s="1402">
        <f t="shared" si="45"/>
        <v>0</v>
      </c>
      <c r="AD21" s="1511">
        <f t="shared" si="46"/>
        <v>0</v>
      </c>
      <c r="AE21" s="1385">
        <v>0</v>
      </c>
      <c r="AF21" s="1511">
        <f t="shared" si="47"/>
        <v>0</v>
      </c>
      <c r="AG21" s="1385"/>
      <c r="AH21" s="1385">
        <f t="shared" si="48"/>
        <v>0</v>
      </c>
      <c r="AI21" s="1511">
        <f t="shared" si="49"/>
        <v>0</v>
      </c>
      <c r="AJ21" s="1531">
        <f t="shared" si="50"/>
        <v>0</v>
      </c>
      <c r="AK21" s="1536">
        <f t="shared" si="51"/>
        <v>0</v>
      </c>
    </row>
    <row r="22" spans="1:37" ht="16.2" customHeight="1">
      <c r="A22" s="1183">
        <v>16</v>
      </c>
      <c r="B22" s="1184" t="s">
        <v>96</v>
      </c>
      <c r="C22" s="1185">
        <f>+'Table 8 Membership 2.1.14'!R18</f>
        <v>0</v>
      </c>
      <c r="D22" s="1186">
        <f>+'Table 5C1A-Madison Prep'!D22</f>
        <v>1980.2494354342025</v>
      </c>
      <c r="E22" s="1187">
        <f t="shared" si="32"/>
        <v>0</v>
      </c>
      <c r="F22" s="1187">
        <f>+'Table 5C1A-Madison Prep'!F22</f>
        <v>686.73</v>
      </c>
      <c r="G22" s="1187">
        <f t="shared" si="33"/>
        <v>0</v>
      </c>
      <c r="H22" s="1538">
        <f t="shared" si="34"/>
        <v>0</v>
      </c>
      <c r="I22" s="1188"/>
      <c r="J22" s="1188"/>
      <c r="K22" s="1189">
        <f t="shared" si="35"/>
        <v>0</v>
      </c>
      <c r="L22" s="1538">
        <f t="shared" si="29"/>
        <v>0</v>
      </c>
      <c r="M22" s="1372">
        <f t="shared" si="36"/>
        <v>0</v>
      </c>
      <c r="N22" s="1538">
        <f t="shared" si="37"/>
        <v>0</v>
      </c>
      <c r="O22" s="1186">
        <v>0</v>
      </c>
      <c r="P22" s="1544">
        <f t="shared" si="38"/>
        <v>0</v>
      </c>
      <c r="Q22" s="1188"/>
      <c r="R22" s="1188">
        <f t="shared" si="39"/>
        <v>0</v>
      </c>
      <c r="S22" s="1544">
        <f t="shared" si="40"/>
        <v>0</v>
      </c>
      <c r="T22" s="1544">
        <f t="shared" si="41"/>
        <v>0</v>
      </c>
      <c r="U22" s="1373">
        <f>'Table 5C1A-Madison Prep'!U22</f>
        <v>12768</v>
      </c>
      <c r="V22" s="1514">
        <f t="shared" si="30"/>
        <v>0</v>
      </c>
      <c r="W22" s="1375"/>
      <c r="X22" s="1376">
        <f t="shared" si="42"/>
        <v>0</v>
      </c>
      <c r="Y22" s="1375"/>
      <c r="Z22" s="1376">
        <f t="shared" si="31"/>
        <v>0</v>
      </c>
      <c r="AA22" s="1374">
        <f t="shared" si="43"/>
        <v>0</v>
      </c>
      <c r="AB22" s="1509">
        <f t="shared" si="44"/>
        <v>0</v>
      </c>
      <c r="AC22" s="1378">
        <f t="shared" si="45"/>
        <v>0</v>
      </c>
      <c r="AD22" s="1509">
        <f t="shared" si="46"/>
        <v>0</v>
      </c>
      <c r="AE22" s="1379">
        <v>0</v>
      </c>
      <c r="AF22" s="1509">
        <f t="shared" si="47"/>
        <v>0</v>
      </c>
      <c r="AG22" s="1379"/>
      <c r="AH22" s="1379">
        <f t="shared" si="48"/>
        <v>0</v>
      </c>
      <c r="AI22" s="1509">
        <f t="shared" si="49"/>
        <v>0</v>
      </c>
      <c r="AJ22" s="1530">
        <f t="shared" si="50"/>
        <v>0</v>
      </c>
      <c r="AK22" s="1534">
        <f t="shared" si="51"/>
        <v>0</v>
      </c>
    </row>
    <row r="23" spans="1:37" ht="16.2" customHeight="1">
      <c r="A23" s="1176">
        <v>17</v>
      </c>
      <c r="B23" s="1177" t="s">
        <v>97</v>
      </c>
      <c r="C23" s="1178">
        <f>+'Table 8 Membership 2.1.14'!R19</f>
        <v>0</v>
      </c>
      <c r="D23" s="1179">
        <f>+'Table 5C1A-Madison Prep'!D23</f>
        <v>3363.5980368254495</v>
      </c>
      <c r="E23" s="1180">
        <f t="shared" si="32"/>
        <v>0</v>
      </c>
      <c r="F23" s="1180">
        <f>+'Table 5C1A-Madison Prep'!F23</f>
        <v>801.47762416806802</v>
      </c>
      <c r="G23" s="1180">
        <f t="shared" si="33"/>
        <v>0</v>
      </c>
      <c r="H23" s="1539">
        <f t="shared" si="34"/>
        <v>0</v>
      </c>
      <c r="I23" s="1181"/>
      <c r="J23" s="1181"/>
      <c r="K23" s="1182">
        <f t="shared" si="35"/>
        <v>0</v>
      </c>
      <c r="L23" s="1539">
        <f t="shared" si="29"/>
        <v>0</v>
      </c>
      <c r="M23" s="1388">
        <f t="shared" si="36"/>
        <v>0</v>
      </c>
      <c r="N23" s="1539">
        <f t="shared" si="37"/>
        <v>0</v>
      </c>
      <c r="O23" s="1179">
        <v>0</v>
      </c>
      <c r="P23" s="1545">
        <f t="shared" si="38"/>
        <v>0</v>
      </c>
      <c r="Q23" s="1181"/>
      <c r="R23" s="1181">
        <f t="shared" si="39"/>
        <v>0</v>
      </c>
      <c r="S23" s="1545">
        <f t="shared" si="40"/>
        <v>0</v>
      </c>
      <c r="T23" s="1545">
        <f t="shared" si="41"/>
        <v>0</v>
      </c>
      <c r="U23" s="1389">
        <f>'Table 5C1A-Madison Prep'!U23</f>
        <v>7050</v>
      </c>
      <c r="V23" s="1515">
        <f t="shared" si="30"/>
        <v>0</v>
      </c>
      <c r="W23" s="1391"/>
      <c r="X23" s="1392">
        <f t="shared" si="42"/>
        <v>0</v>
      </c>
      <c r="Y23" s="1391"/>
      <c r="Z23" s="1392">
        <f t="shared" si="31"/>
        <v>0</v>
      </c>
      <c r="AA23" s="1390">
        <f t="shared" si="43"/>
        <v>0</v>
      </c>
      <c r="AB23" s="1510">
        <f t="shared" si="44"/>
        <v>0</v>
      </c>
      <c r="AC23" s="1394">
        <f t="shared" si="45"/>
        <v>0</v>
      </c>
      <c r="AD23" s="1510">
        <f t="shared" si="46"/>
        <v>0</v>
      </c>
      <c r="AE23" s="1395">
        <v>0</v>
      </c>
      <c r="AF23" s="1510">
        <f t="shared" si="47"/>
        <v>0</v>
      </c>
      <c r="AG23" s="1395"/>
      <c r="AH23" s="1395">
        <f t="shared" si="48"/>
        <v>0</v>
      </c>
      <c r="AI23" s="1510">
        <f t="shared" si="49"/>
        <v>0</v>
      </c>
      <c r="AJ23" s="1505">
        <f t="shared" si="50"/>
        <v>0</v>
      </c>
      <c r="AK23" s="1535">
        <f t="shared" si="51"/>
        <v>0</v>
      </c>
    </row>
    <row r="24" spans="1:37" ht="16.2" customHeight="1">
      <c r="A24" s="1176">
        <v>18</v>
      </c>
      <c r="B24" s="1177" t="s">
        <v>98</v>
      </c>
      <c r="C24" s="1178">
        <f>+'Table 8 Membership 2.1.14'!R20</f>
        <v>0</v>
      </c>
      <c r="D24" s="1179">
        <f>+'Table 5C1A-Madison Prep'!D24</f>
        <v>6354.5533500475731</v>
      </c>
      <c r="E24" s="1180">
        <f t="shared" si="32"/>
        <v>0</v>
      </c>
      <c r="F24" s="1180">
        <f>+'Table 5C1A-Madison Prep'!F24</f>
        <v>845.94999999999993</v>
      </c>
      <c r="G24" s="1180">
        <f t="shared" si="33"/>
        <v>0</v>
      </c>
      <c r="H24" s="1539">
        <f t="shared" si="34"/>
        <v>0</v>
      </c>
      <c r="I24" s="1181"/>
      <c r="J24" s="1181"/>
      <c r="K24" s="1182">
        <f t="shared" si="35"/>
        <v>0</v>
      </c>
      <c r="L24" s="1539">
        <f t="shared" si="29"/>
        <v>0</v>
      </c>
      <c r="M24" s="1388">
        <f t="shared" si="36"/>
        <v>0</v>
      </c>
      <c r="N24" s="1539">
        <f t="shared" si="37"/>
        <v>0</v>
      </c>
      <c r="O24" s="1179">
        <v>0</v>
      </c>
      <c r="P24" s="1545">
        <f t="shared" si="38"/>
        <v>0</v>
      </c>
      <c r="Q24" s="1181"/>
      <c r="R24" s="1181">
        <f t="shared" si="39"/>
        <v>0</v>
      </c>
      <c r="S24" s="1545">
        <f t="shared" si="40"/>
        <v>0</v>
      </c>
      <c r="T24" s="1545">
        <f t="shared" si="41"/>
        <v>0</v>
      </c>
      <c r="U24" s="1389">
        <f>'Table 5C1A-Madison Prep'!U24</f>
        <v>2526</v>
      </c>
      <c r="V24" s="1515">
        <f t="shared" si="30"/>
        <v>0</v>
      </c>
      <c r="W24" s="1391"/>
      <c r="X24" s="1392">
        <f t="shared" si="42"/>
        <v>0</v>
      </c>
      <c r="Y24" s="1391"/>
      <c r="Z24" s="1392">
        <f t="shared" si="31"/>
        <v>0</v>
      </c>
      <c r="AA24" s="1390">
        <f t="shared" si="43"/>
        <v>0</v>
      </c>
      <c r="AB24" s="1510">
        <f t="shared" si="44"/>
        <v>0</v>
      </c>
      <c r="AC24" s="1394">
        <f t="shared" si="45"/>
        <v>0</v>
      </c>
      <c r="AD24" s="1510">
        <f t="shared" si="46"/>
        <v>0</v>
      </c>
      <c r="AE24" s="1395">
        <v>0</v>
      </c>
      <c r="AF24" s="1510">
        <f t="shared" si="47"/>
        <v>0</v>
      </c>
      <c r="AG24" s="1395"/>
      <c r="AH24" s="1395">
        <f t="shared" si="48"/>
        <v>0</v>
      </c>
      <c r="AI24" s="1510">
        <f t="shared" si="49"/>
        <v>0</v>
      </c>
      <c r="AJ24" s="1505">
        <f t="shared" si="50"/>
        <v>0</v>
      </c>
      <c r="AK24" s="1535">
        <f t="shared" si="51"/>
        <v>0</v>
      </c>
    </row>
    <row r="25" spans="1:37" ht="16.2" customHeight="1">
      <c r="A25" s="1176">
        <v>19</v>
      </c>
      <c r="B25" s="1177" t="s">
        <v>99</v>
      </c>
      <c r="C25" s="1178">
        <f>+'Table 8 Membership 2.1.14'!R21</f>
        <v>0</v>
      </c>
      <c r="D25" s="1179">
        <f>+'Table 5C1A-Madison Prep'!D25</f>
        <v>5314.3921869460446</v>
      </c>
      <c r="E25" s="1180">
        <f t="shared" si="32"/>
        <v>0</v>
      </c>
      <c r="F25" s="1180">
        <f>+'Table 5C1A-Madison Prep'!F25</f>
        <v>905.43</v>
      </c>
      <c r="G25" s="1180">
        <f t="shared" si="33"/>
        <v>0</v>
      </c>
      <c r="H25" s="1539">
        <f t="shared" si="34"/>
        <v>0</v>
      </c>
      <c r="I25" s="1181"/>
      <c r="J25" s="1181"/>
      <c r="K25" s="1182">
        <f t="shared" si="35"/>
        <v>0</v>
      </c>
      <c r="L25" s="1539">
        <f t="shared" si="29"/>
        <v>0</v>
      </c>
      <c r="M25" s="1388">
        <f t="shared" si="36"/>
        <v>0</v>
      </c>
      <c r="N25" s="1539">
        <f t="shared" si="37"/>
        <v>0</v>
      </c>
      <c r="O25" s="1179">
        <v>0</v>
      </c>
      <c r="P25" s="1545">
        <f t="shared" si="38"/>
        <v>0</v>
      </c>
      <c r="Q25" s="1181"/>
      <c r="R25" s="1181">
        <f t="shared" si="39"/>
        <v>0</v>
      </c>
      <c r="S25" s="1545">
        <f t="shared" si="40"/>
        <v>0</v>
      </c>
      <c r="T25" s="1545">
        <f t="shared" si="41"/>
        <v>0</v>
      </c>
      <c r="U25" s="1389">
        <f>'Table 5C1A-Madison Prep'!U25</f>
        <v>2908</v>
      </c>
      <c r="V25" s="1515">
        <f t="shared" si="30"/>
        <v>0</v>
      </c>
      <c r="W25" s="1391"/>
      <c r="X25" s="1392">
        <f t="shared" si="42"/>
        <v>0</v>
      </c>
      <c r="Y25" s="1391"/>
      <c r="Z25" s="1392">
        <f t="shared" si="31"/>
        <v>0</v>
      </c>
      <c r="AA25" s="1390">
        <f t="shared" si="43"/>
        <v>0</v>
      </c>
      <c r="AB25" s="1510">
        <f t="shared" si="44"/>
        <v>0</v>
      </c>
      <c r="AC25" s="1394">
        <f t="shared" si="45"/>
        <v>0</v>
      </c>
      <c r="AD25" s="1510">
        <f t="shared" si="46"/>
        <v>0</v>
      </c>
      <c r="AE25" s="1395">
        <v>0</v>
      </c>
      <c r="AF25" s="1510">
        <f t="shared" si="47"/>
        <v>0</v>
      </c>
      <c r="AG25" s="1395"/>
      <c r="AH25" s="1395">
        <f t="shared" si="48"/>
        <v>0</v>
      </c>
      <c r="AI25" s="1510">
        <f t="shared" si="49"/>
        <v>0</v>
      </c>
      <c r="AJ25" s="1505">
        <f t="shared" si="50"/>
        <v>0</v>
      </c>
      <c r="AK25" s="1535">
        <f t="shared" si="51"/>
        <v>0</v>
      </c>
    </row>
    <row r="26" spans="1:37" ht="16.2" customHeight="1">
      <c r="A26" s="1168">
        <v>20</v>
      </c>
      <c r="B26" s="1169" t="s">
        <v>100</v>
      </c>
      <c r="C26" s="1170">
        <f>+'Table 8 Membership 2.1.14'!R22</f>
        <v>0</v>
      </c>
      <c r="D26" s="1171">
        <f>+'Table 5C1A-Madison Prep'!D26</f>
        <v>5278.5201565562011</v>
      </c>
      <c r="E26" s="1172">
        <f t="shared" si="32"/>
        <v>0</v>
      </c>
      <c r="F26" s="1172">
        <f>+'Table 5C1A-Madison Prep'!F26</f>
        <v>586.16999999999996</v>
      </c>
      <c r="G26" s="1172">
        <f t="shared" si="33"/>
        <v>0</v>
      </c>
      <c r="H26" s="1540">
        <f t="shared" si="34"/>
        <v>0</v>
      </c>
      <c r="I26" s="1173"/>
      <c r="J26" s="1173"/>
      <c r="K26" s="1174">
        <f t="shared" si="35"/>
        <v>0</v>
      </c>
      <c r="L26" s="1540">
        <f t="shared" si="29"/>
        <v>0</v>
      </c>
      <c r="M26" s="1399">
        <f t="shared" si="36"/>
        <v>0</v>
      </c>
      <c r="N26" s="1540">
        <f t="shared" si="37"/>
        <v>0</v>
      </c>
      <c r="O26" s="1171">
        <v>0</v>
      </c>
      <c r="P26" s="1546">
        <f t="shared" si="38"/>
        <v>0</v>
      </c>
      <c r="Q26" s="1173"/>
      <c r="R26" s="1173">
        <f t="shared" si="39"/>
        <v>0</v>
      </c>
      <c r="S26" s="1550">
        <f t="shared" si="40"/>
        <v>0</v>
      </c>
      <c r="T26" s="1550">
        <f t="shared" si="41"/>
        <v>0</v>
      </c>
      <c r="U26" s="1382">
        <f>'Table 5C1A-Madison Prep'!U26</f>
        <v>2432</v>
      </c>
      <c r="V26" s="1516">
        <f t="shared" si="30"/>
        <v>0</v>
      </c>
      <c r="W26" s="1400"/>
      <c r="X26" s="1383">
        <f t="shared" si="42"/>
        <v>0</v>
      </c>
      <c r="Y26" s="1400"/>
      <c r="Z26" s="1383">
        <f t="shared" si="31"/>
        <v>0</v>
      </c>
      <c r="AA26" s="1384">
        <f t="shared" si="43"/>
        <v>0</v>
      </c>
      <c r="AB26" s="1511">
        <f t="shared" si="44"/>
        <v>0</v>
      </c>
      <c r="AC26" s="1402">
        <f t="shared" si="45"/>
        <v>0</v>
      </c>
      <c r="AD26" s="1511">
        <f t="shared" si="46"/>
        <v>0</v>
      </c>
      <c r="AE26" s="1385">
        <v>0</v>
      </c>
      <c r="AF26" s="1511">
        <f t="shared" si="47"/>
        <v>0</v>
      </c>
      <c r="AG26" s="1385"/>
      <c r="AH26" s="1385">
        <f t="shared" si="48"/>
        <v>0</v>
      </c>
      <c r="AI26" s="1511">
        <f t="shared" si="49"/>
        <v>0</v>
      </c>
      <c r="AJ26" s="1531">
        <f t="shared" si="50"/>
        <v>0</v>
      </c>
      <c r="AK26" s="1536">
        <f t="shared" si="51"/>
        <v>0</v>
      </c>
    </row>
    <row r="27" spans="1:37" ht="16.2" customHeight="1">
      <c r="A27" s="1183">
        <v>21</v>
      </c>
      <c r="B27" s="1184" t="s">
        <v>101</v>
      </c>
      <c r="C27" s="1185">
        <f>+'Table 8 Membership 2.1.14'!R23</f>
        <v>0</v>
      </c>
      <c r="D27" s="1186">
        <f>+'Table 5C1A-Madison Prep'!D27</f>
        <v>6082.3042295867763</v>
      </c>
      <c r="E27" s="1187">
        <f t="shared" si="32"/>
        <v>0</v>
      </c>
      <c r="F27" s="1187">
        <f>+'Table 5C1A-Madison Prep'!F27</f>
        <v>610.35</v>
      </c>
      <c r="G27" s="1187">
        <f t="shared" si="33"/>
        <v>0</v>
      </c>
      <c r="H27" s="1538">
        <f t="shared" si="34"/>
        <v>0</v>
      </c>
      <c r="I27" s="1188"/>
      <c r="J27" s="1188"/>
      <c r="K27" s="1189">
        <f t="shared" si="35"/>
        <v>0</v>
      </c>
      <c r="L27" s="1538">
        <f t="shared" si="29"/>
        <v>0</v>
      </c>
      <c r="M27" s="1372">
        <f t="shared" si="36"/>
        <v>0</v>
      </c>
      <c r="N27" s="1538">
        <f t="shared" si="37"/>
        <v>0</v>
      </c>
      <c r="O27" s="1186">
        <v>0</v>
      </c>
      <c r="P27" s="1544">
        <f t="shared" si="38"/>
        <v>0</v>
      </c>
      <c r="Q27" s="1188"/>
      <c r="R27" s="1188">
        <f t="shared" si="39"/>
        <v>0</v>
      </c>
      <c r="S27" s="1544">
        <f t="shared" si="40"/>
        <v>0</v>
      </c>
      <c r="T27" s="1544">
        <f t="shared" si="41"/>
        <v>0</v>
      </c>
      <c r="U27" s="1373">
        <f>'Table 5C1A-Madison Prep'!U27</f>
        <v>2460</v>
      </c>
      <c r="V27" s="1514">
        <f t="shared" si="30"/>
        <v>0</v>
      </c>
      <c r="W27" s="1375"/>
      <c r="X27" s="1376">
        <f t="shared" si="42"/>
        <v>0</v>
      </c>
      <c r="Y27" s="1375"/>
      <c r="Z27" s="1376">
        <f t="shared" si="31"/>
        <v>0</v>
      </c>
      <c r="AA27" s="1374">
        <f t="shared" si="43"/>
        <v>0</v>
      </c>
      <c r="AB27" s="1509">
        <f t="shared" si="44"/>
        <v>0</v>
      </c>
      <c r="AC27" s="1378">
        <f t="shared" si="45"/>
        <v>0</v>
      </c>
      <c r="AD27" s="1509">
        <f t="shared" si="46"/>
        <v>0</v>
      </c>
      <c r="AE27" s="1379">
        <v>0</v>
      </c>
      <c r="AF27" s="1509">
        <f t="shared" si="47"/>
        <v>0</v>
      </c>
      <c r="AG27" s="1379"/>
      <c r="AH27" s="1379">
        <f t="shared" si="48"/>
        <v>0</v>
      </c>
      <c r="AI27" s="1509">
        <f t="shared" si="49"/>
        <v>0</v>
      </c>
      <c r="AJ27" s="1530">
        <f t="shared" si="50"/>
        <v>0</v>
      </c>
      <c r="AK27" s="1534">
        <f t="shared" si="51"/>
        <v>0</v>
      </c>
    </row>
    <row r="28" spans="1:37" ht="16.2" customHeight="1">
      <c r="A28" s="1176">
        <v>22</v>
      </c>
      <c r="B28" s="1177" t="s">
        <v>102</v>
      </c>
      <c r="C28" s="1178">
        <f>+'Table 8 Membership 2.1.14'!R24</f>
        <v>0</v>
      </c>
      <c r="D28" s="1179">
        <f>+'Table 5C1A-Madison Prep'!D28</f>
        <v>6416.1099808195995</v>
      </c>
      <c r="E28" s="1180">
        <f t="shared" si="32"/>
        <v>0</v>
      </c>
      <c r="F28" s="1180">
        <f>+'Table 5C1A-Madison Prep'!F28</f>
        <v>496.36</v>
      </c>
      <c r="G28" s="1180">
        <f t="shared" si="33"/>
        <v>0</v>
      </c>
      <c r="H28" s="1539">
        <f t="shared" si="34"/>
        <v>0</v>
      </c>
      <c r="I28" s="1181"/>
      <c r="J28" s="1181"/>
      <c r="K28" s="1182">
        <f t="shared" si="35"/>
        <v>0</v>
      </c>
      <c r="L28" s="1539">
        <f t="shared" si="29"/>
        <v>0</v>
      </c>
      <c r="M28" s="1388">
        <f t="shared" si="36"/>
        <v>0</v>
      </c>
      <c r="N28" s="1539">
        <f t="shared" si="37"/>
        <v>0</v>
      </c>
      <c r="O28" s="1179">
        <v>0</v>
      </c>
      <c r="P28" s="1545">
        <f t="shared" si="38"/>
        <v>0</v>
      </c>
      <c r="Q28" s="1181"/>
      <c r="R28" s="1181">
        <f t="shared" si="39"/>
        <v>0</v>
      </c>
      <c r="S28" s="1545">
        <f t="shared" si="40"/>
        <v>0</v>
      </c>
      <c r="T28" s="1545">
        <f t="shared" si="41"/>
        <v>0</v>
      </c>
      <c r="U28" s="1389">
        <f>'Table 5C1A-Madison Prep'!U28</f>
        <v>1613</v>
      </c>
      <c r="V28" s="1515">
        <f t="shared" si="30"/>
        <v>0</v>
      </c>
      <c r="W28" s="1391"/>
      <c r="X28" s="1392">
        <f t="shared" si="42"/>
        <v>0</v>
      </c>
      <c r="Y28" s="1391"/>
      <c r="Z28" s="1392">
        <f t="shared" si="31"/>
        <v>0</v>
      </c>
      <c r="AA28" s="1390">
        <f t="shared" si="43"/>
        <v>0</v>
      </c>
      <c r="AB28" s="1510">
        <f t="shared" si="44"/>
        <v>0</v>
      </c>
      <c r="AC28" s="1394">
        <f t="shared" si="45"/>
        <v>0</v>
      </c>
      <c r="AD28" s="1510">
        <f t="shared" si="46"/>
        <v>0</v>
      </c>
      <c r="AE28" s="1395">
        <v>0</v>
      </c>
      <c r="AF28" s="1510">
        <f t="shared" si="47"/>
        <v>0</v>
      </c>
      <c r="AG28" s="1395"/>
      <c r="AH28" s="1395">
        <f t="shared" si="48"/>
        <v>0</v>
      </c>
      <c r="AI28" s="1510">
        <f t="shared" si="49"/>
        <v>0</v>
      </c>
      <c r="AJ28" s="1505">
        <f t="shared" si="50"/>
        <v>0</v>
      </c>
      <c r="AK28" s="1535">
        <f t="shared" si="51"/>
        <v>0</v>
      </c>
    </row>
    <row r="29" spans="1:37" ht="16.2" customHeight="1">
      <c r="A29" s="1176">
        <v>23</v>
      </c>
      <c r="B29" s="1177" t="s">
        <v>103</v>
      </c>
      <c r="C29" s="1178">
        <f>+'Table 8 Membership 2.1.14'!R25</f>
        <v>0</v>
      </c>
      <c r="D29" s="1179">
        <f>+'Table 5C1A-Madison Prep'!D29</f>
        <v>5011.0215265979159</v>
      </c>
      <c r="E29" s="1180">
        <f t="shared" si="32"/>
        <v>0</v>
      </c>
      <c r="F29" s="1180">
        <f>+'Table 5C1A-Madison Prep'!F29</f>
        <v>688.58</v>
      </c>
      <c r="G29" s="1180">
        <f t="shared" si="33"/>
        <v>0</v>
      </c>
      <c r="H29" s="1539">
        <f t="shared" si="34"/>
        <v>0</v>
      </c>
      <c r="I29" s="1181"/>
      <c r="J29" s="1181"/>
      <c r="K29" s="1182">
        <f t="shared" si="35"/>
        <v>0</v>
      </c>
      <c r="L29" s="1539">
        <f t="shared" si="29"/>
        <v>0</v>
      </c>
      <c r="M29" s="1388">
        <f t="shared" si="36"/>
        <v>0</v>
      </c>
      <c r="N29" s="1539">
        <f t="shared" si="37"/>
        <v>0</v>
      </c>
      <c r="O29" s="1179">
        <v>0</v>
      </c>
      <c r="P29" s="1545">
        <f t="shared" si="38"/>
        <v>0</v>
      </c>
      <c r="Q29" s="1181"/>
      <c r="R29" s="1181">
        <f t="shared" si="39"/>
        <v>0</v>
      </c>
      <c r="S29" s="1545">
        <f t="shared" si="40"/>
        <v>0</v>
      </c>
      <c r="T29" s="1545">
        <f t="shared" si="41"/>
        <v>0</v>
      </c>
      <c r="U29" s="1389">
        <f>'Table 5C1A-Madison Prep'!U29</f>
        <v>3473</v>
      </c>
      <c r="V29" s="1515">
        <f t="shared" si="30"/>
        <v>0</v>
      </c>
      <c r="W29" s="1391"/>
      <c r="X29" s="1392">
        <f t="shared" si="42"/>
        <v>0</v>
      </c>
      <c r="Y29" s="1391"/>
      <c r="Z29" s="1392">
        <f t="shared" si="31"/>
        <v>0</v>
      </c>
      <c r="AA29" s="1390">
        <f t="shared" si="43"/>
        <v>0</v>
      </c>
      <c r="AB29" s="1510">
        <f t="shared" si="44"/>
        <v>0</v>
      </c>
      <c r="AC29" s="1394">
        <f t="shared" si="45"/>
        <v>0</v>
      </c>
      <c r="AD29" s="1510">
        <f t="shared" si="46"/>
        <v>0</v>
      </c>
      <c r="AE29" s="1395">
        <v>0</v>
      </c>
      <c r="AF29" s="1510">
        <f t="shared" si="47"/>
        <v>0</v>
      </c>
      <c r="AG29" s="1395"/>
      <c r="AH29" s="1395">
        <f t="shared" si="48"/>
        <v>0</v>
      </c>
      <c r="AI29" s="1510">
        <f t="shared" si="49"/>
        <v>0</v>
      </c>
      <c r="AJ29" s="1505">
        <f t="shared" si="50"/>
        <v>0</v>
      </c>
      <c r="AK29" s="1535">
        <f t="shared" si="51"/>
        <v>0</v>
      </c>
    </row>
    <row r="30" spans="1:37" ht="16.2" customHeight="1">
      <c r="A30" s="1176">
        <v>24</v>
      </c>
      <c r="B30" s="1177" t="s">
        <v>104</v>
      </c>
      <c r="C30" s="1178">
        <f>+'Table 8 Membership 2.1.14'!R26</f>
        <v>0</v>
      </c>
      <c r="D30" s="1179">
        <f>+'Table 5C1A-Madison Prep'!D30</f>
        <v>2611.6740361576999</v>
      </c>
      <c r="E30" s="1180">
        <f t="shared" si="32"/>
        <v>0</v>
      </c>
      <c r="F30" s="1180">
        <f>+'Table 5C1A-Madison Prep'!F30</f>
        <v>854.24999999999989</v>
      </c>
      <c r="G30" s="1180">
        <f t="shared" si="33"/>
        <v>0</v>
      </c>
      <c r="H30" s="1539">
        <f t="shared" si="34"/>
        <v>0</v>
      </c>
      <c r="I30" s="1181"/>
      <c r="J30" s="1181"/>
      <c r="K30" s="1182">
        <f t="shared" si="35"/>
        <v>0</v>
      </c>
      <c r="L30" s="1539">
        <f t="shared" si="29"/>
        <v>0</v>
      </c>
      <c r="M30" s="1388">
        <f t="shared" si="36"/>
        <v>0</v>
      </c>
      <c r="N30" s="1539">
        <f t="shared" si="37"/>
        <v>0</v>
      </c>
      <c r="O30" s="1179">
        <v>0</v>
      </c>
      <c r="P30" s="1545">
        <f t="shared" si="38"/>
        <v>0</v>
      </c>
      <c r="Q30" s="1181"/>
      <c r="R30" s="1181">
        <f t="shared" si="39"/>
        <v>0</v>
      </c>
      <c r="S30" s="1545">
        <f t="shared" si="40"/>
        <v>0</v>
      </c>
      <c r="T30" s="1545">
        <f t="shared" si="41"/>
        <v>0</v>
      </c>
      <c r="U30" s="1389">
        <f>'Table 5C1A-Madison Prep'!U30</f>
        <v>10053</v>
      </c>
      <c r="V30" s="1515">
        <f t="shared" si="30"/>
        <v>0</v>
      </c>
      <c r="W30" s="1391"/>
      <c r="X30" s="1392">
        <f t="shared" si="42"/>
        <v>0</v>
      </c>
      <c r="Y30" s="1391"/>
      <c r="Z30" s="1392">
        <f t="shared" si="31"/>
        <v>0</v>
      </c>
      <c r="AA30" s="1390">
        <f t="shared" si="43"/>
        <v>0</v>
      </c>
      <c r="AB30" s="1510">
        <f t="shared" si="44"/>
        <v>0</v>
      </c>
      <c r="AC30" s="1394">
        <f t="shared" si="45"/>
        <v>0</v>
      </c>
      <c r="AD30" s="1510">
        <f t="shared" si="46"/>
        <v>0</v>
      </c>
      <c r="AE30" s="1395">
        <v>0</v>
      </c>
      <c r="AF30" s="1510">
        <f t="shared" si="47"/>
        <v>0</v>
      </c>
      <c r="AG30" s="1395"/>
      <c r="AH30" s="1395">
        <f t="shared" si="48"/>
        <v>0</v>
      </c>
      <c r="AI30" s="1510">
        <f t="shared" si="49"/>
        <v>0</v>
      </c>
      <c r="AJ30" s="1505">
        <f t="shared" si="50"/>
        <v>0</v>
      </c>
      <c r="AK30" s="1535">
        <f t="shared" si="51"/>
        <v>0</v>
      </c>
    </row>
    <row r="31" spans="1:37" ht="16.2" customHeight="1">
      <c r="A31" s="1168">
        <v>25</v>
      </c>
      <c r="B31" s="1169" t="s">
        <v>105</v>
      </c>
      <c r="C31" s="1170">
        <f>+'Table 8 Membership 2.1.14'!R27</f>
        <v>0</v>
      </c>
      <c r="D31" s="1171">
        <f>+'Table 5C1A-Madison Prep'!D31</f>
        <v>4173.0720274945697</v>
      </c>
      <c r="E31" s="1172">
        <f t="shared" si="32"/>
        <v>0</v>
      </c>
      <c r="F31" s="1172">
        <f>+'Table 5C1A-Madison Prep'!F31</f>
        <v>653.73</v>
      </c>
      <c r="G31" s="1172">
        <f t="shared" si="33"/>
        <v>0</v>
      </c>
      <c r="H31" s="1540">
        <f t="shared" si="34"/>
        <v>0</v>
      </c>
      <c r="I31" s="1173"/>
      <c r="J31" s="1173"/>
      <c r="K31" s="1174">
        <f t="shared" si="35"/>
        <v>0</v>
      </c>
      <c r="L31" s="1540">
        <f t="shared" si="29"/>
        <v>0</v>
      </c>
      <c r="M31" s="1399">
        <f t="shared" si="36"/>
        <v>0</v>
      </c>
      <c r="N31" s="1540">
        <f t="shared" si="37"/>
        <v>0</v>
      </c>
      <c r="O31" s="1171">
        <v>0</v>
      </c>
      <c r="P31" s="1546">
        <f t="shared" si="38"/>
        <v>0</v>
      </c>
      <c r="Q31" s="1173"/>
      <c r="R31" s="1173">
        <f t="shared" si="39"/>
        <v>0</v>
      </c>
      <c r="S31" s="1550">
        <f t="shared" si="40"/>
        <v>0</v>
      </c>
      <c r="T31" s="1550">
        <f t="shared" si="41"/>
        <v>0</v>
      </c>
      <c r="U31" s="1382">
        <f>'Table 5C1A-Madison Prep'!U31</f>
        <v>5073</v>
      </c>
      <c r="V31" s="1516">
        <f t="shared" si="30"/>
        <v>0</v>
      </c>
      <c r="W31" s="1400"/>
      <c r="X31" s="1383">
        <f t="shared" si="42"/>
        <v>0</v>
      </c>
      <c r="Y31" s="1400"/>
      <c r="Z31" s="1383">
        <f t="shared" si="31"/>
        <v>0</v>
      </c>
      <c r="AA31" s="1384">
        <f t="shared" si="43"/>
        <v>0</v>
      </c>
      <c r="AB31" s="1511">
        <f t="shared" si="44"/>
        <v>0</v>
      </c>
      <c r="AC31" s="1402">
        <f t="shared" si="45"/>
        <v>0</v>
      </c>
      <c r="AD31" s="1511">
        <f t="shared" si="46"/>
        <v>0</v>
      </c>
      <c r="AE31" s="1385">
        <v>0</v>
      </c>
      <c r="AF31" s="1511">
        <f t="shared" si="47"/>
        <v>0</v>
      </c>
      <c r="AG31" s="1385"/>
      <c r="AH31" s="1385">
        <f t="shared" si="48"/>
        <v>0</v>
      </c>
      <c r="AI31" s="1511">
        <f t="shared" si="49"/>
        <v>0</v>
      </c>
      <c r="AJ31" s="1531">
        <f t="shared" si="50"/>
        <v>0</v>
      </c>
      <c r="AK31" s="1536">
        <f t="shared" si="51"/>
        <v>0</v>
      </c>
    </row>
    <row r="32" spans="1:37" ht="16.2" customHeight="1">
      <c r="A32" s="1183">
        <v>26</v>
      </c>
      <c r="B32" s="1184" t="s">
        <v>106</v>
      </c>
      <c r="C32" s="1185">
        <f>+'Table 8 Membership 2.1.14'!R28</f>
        <v>0</v>
      </c>
      <c r="D32" s="1186">
        <f>+'Table 5C1A-Madison Prep'!D32</f>
        <v>3424.5649970570835</v>
      </c>
      <c r="E32" s="1187">
        <f t="shared" si="32"/>
        <v>0</v>
      </c>
      <c r="F32" s="1187">
        <f>+'Table 5C1A-Madison Prep'!F32</f>
        <v>836.83</v>
      </c>
      <c r="G32" s="1187">
        <f t="shared" si="33"/>
        <v>0</v>
      </c>
      <c r="H32" s="1538">
        <f t="shared" si="34"/>
        <v>0</v>
      </c>
      <c r="I32" s="1188"/>
      <c r="J32" s="1188"/>
      <c r="K32" s="1189">
        <f t="shared" si="35"/>
        <v>0</v>
      </c>
      <c r="L32" s="1538">
        <f t="shared" si="29"/>
        <v>0</v>
      </c>
      <c r="M32" s="1372">
        <f t="shared" si="36"/>
        <v>0</v>
      </c>
      <c r="N32" s="1538">
        <f t="shared" si="37"/>
        <v>0</v>
      </c>
      <c r="O32" s="1186">
        <v>0</v>
      </c>
      <c r="P32" s="1544">
        <f t="shared" si="38"/>
        <v>0</v>
      </c>
      <c r="Q32" s="1188"/>
      <c r="R32" s="1188">
        <f t="shared" si="39"/>
        <v>0</v>
      </c>
      <c r="S32" s="1544">
        <f t="shared" si="40"/>
        <v>0</v>
      </c>
      <c r="T32" s="1544">
        <f t="shared" si="41"/>
        <v>0</v>
      </c>
      <c r="U32" s="1373">
        <f>'Table 5C1A-Madison Prep'!U32</f>
        <v>5260</v>
      </c>
      <c r="V32" s="1514">
        <f t="shared" si="30"/>
        <v>0</v>
      </c>
      <c r="W32" s="1375"/>
      <c r="X32" s="1376">
        <f t="shared" si="42"/>
        <v>0</v>
      </c>
      <c r="Y32" s="1375"/>
      <c r="Z32" s="1376">
        <f t="shared" si="31"/>
        <v>0</v>
      </c>
      <c r="AA32" s="1374">
        <f t="shared" si="43"/>
        <v>0</v>
      </c>
      <c r="AB32" s="1509">
        <f t="shared" si="44"/>
        <v>0</v>
      </c>
      <c r="AC32" s="1378">
        <f t="shared" si="45"/>
        <v>0</v>
      </c>
      <c r="AD32" s="1509">
        <f t="shared" si="46"/>
        <v>0</v>
      </c>
      <c r="AE32" s="1379">
        <v>0</v>
      </c>
      <c r="AF32" s="1509">
        <f t="shared" si="47"/>
        <v>0</v>
      </c>
      <c r="AG32" s="1379"/>
      <c r="AH32" s="1379">
        <f t="shared" si="48"/>
        <v>0</v>
      </c>
      <c r="AI32" s="1509">
        <f t="shared" si="49"/>
        <v>0</v>
      </c>
      <c r="AJ32" s="1530">
        <f t="shared" si="50"/>
        <v>0</v>
      </c>
      <c r="AK32" s="1534">
        <f t="shared" si="51"/>
        <v>0</v>
      </c>
    </row>
    <row r="33" spans="1:37" ht="16.2" customHeight="1">
      <c r="A33" s="1176">
        <v>27</v>
      </c>
      <c r="B33" s="1177" t="s">
        <v>107</v>
      </c>
      <c r="C33" s="1178">
        <f>+'Table 8 Membership 2.1.14'!R29</f>
        <v>0</v>
      </c>
      <c r="D33" s="1179">
        <f>+'Table 5C1A-Madison Prep'!D33</f>
        <v>5804.9013839977006</v>
      </c>
      <c r="E33" s="1180">
        <f t="shared" si="32"/>
        <v>0</v>
      </c>
      <c r="F33" s="1180">
        <f>+'Table 5C1A-Madison Prep'!F33</f>
        <v>693.06</v>
      </c>
      <c r="G33" s="1180">
        <f t="shared" si="33"/>
        <v>0</v>
      </c>
      <c r="H33" s="1539">
        <f t="shared" si="34"/>
        <v>0</v>
      </c>
      <c r="I33" s="1181"/>
      <c r="J33" s="1181"/>
      <c r="K33" s="1182">
        <f t="shared" si="35"/>
        <v>0</v>
      </c>
      <c r="L33" s="1539">
        <f t="shared" si="29"/>
        <v>0</v>
      </c>
      <c r="M33" s="1388">
        <f t="shared" si="36"/>
        <v>0</v>
      </c>
      <c r="N33" s="1539">
        <f t="shared" si="37"/>
        <v>0</v>
      </c>
      <c r="O33" s="1179">
        <v>0</v>
      </c>
      <c r="P33" s="1545">
        <f t="shared" si="38"/>
        <v>0</v>
      </c>
      <c r="Q33" s="1181"/>
      <c r="R33" s="1181">
        <f t="shared" si="39"/>
        <v>0</v>
      </c>
      <c r="S33" s="1545">
        <f t="shared" si="40"/>
        <v>0</v>
      </c>
      <c r="T33" s="1545">
        <f t="shared" si="41"/>
        <v>0</v>
      </c>
      <c r="U33" s="1389">
        <f>'Table 5C1A-Madison Prep'!U33</f>
        <v>3169</v>
      </c>
      <c r="V33" s="1515">
        <f t="shared" si="30"/>
        <v>0</v>
      </c>
      <c r="W33" s="1391"/>
      <c r="X33" s="1392">
        <f t="shared" si="42"/>
        <v>0</v>
      </c>
      <c r="Y33" s="1391"/>
      <c r="Z33" s="1392">
        <f t="shared" si="31"/>
        <v>0</v>
      </c>
      <c r="AA33" s="1390">
        <f t="shared" si="43"/>
        <v>0</v>
      </c>
      <c r="AB33" s="1510">
        <f t="shared" si="44"/>
        <v>0</v>
      </c>
      <c r="AC33" s="1394">
        <f t="shared" si="45"/>
        <v>0</v>
      </c>
      <c r="AD33" s="1510">
        <f t="shared" si="46"/>
        <v>0</v>
      </c>
      <c r="AE33" s="1395">
        <v>0</v>
      </c>
      <c r="AF33" s="1510">
        <f t="shared" si="47"/>
        <v>0</v>
      </c>
      <c r="AG33" s="1395"/>
      <c r="AH33" s="1395">
        <f t="shared" si="48"/>
        <v>0</v>
      </c>
      <c r="AI33" s="1510">
        <f t="shared" si="49"/>
        <v>0</v>
      </c>
      <c r="AJ33" s="1505">
        <f t="shared" si="50"/>
        <v>0</v>
      </c>
      <c r="AK33" s="1535">
        <f t="shared" si="51"/>
        <v>0</v>
      </c>
    </row>
    <row r="34" spans="1:37" ht="16.2" customHeight="1">
      <c r="A34" s="1176">
        <v>28</v>
      </c>
      <c r="B34" s="1177" t="s">
        <v>108</v>
      </c>
      <c r="C34" s="1178">
        <f>+'Table 8 Membership 2.1.14'!R30</f>
        <v>0</v>
      </c>
      <c r="D34" s="1179">
        <f>+'Table 5C1A-Madison Prep'!D34</f>
        <v>3137.4158846568821</v>
      </c>
      <c r="E34" s="1180">
        <f t="shared" si="32"/>
        <v>0</v>
      </c>
      <c r="F34" s="1180">
        <f>+'Table 5C1A-Madison Prep'!F34</f>
        <v>694.4</v>
      </c>
      <c r="G34" s="1180">
        <f t="shared" si="33"/>
        <v>0</v>
      </c>
      <c r="H34" s="1539">
        <f t="shared" si="34"/>
        <v>0</v>
      </c>
      <c r="I34" s="1181"/>
      <c r="J34" s="1181"/>
      <c r="K34" s="1182">
        <f t="shared" si="35"/>
        <v>0</v>
      </c>
      <c r="L34" s="1539">
        <f t="shared" si="29"/>
        <v>0</v>
      </c>
      <c r="M34" s="1388">
        <f t="shared" si="36"/>
        <v>0</v>
      </c>
      <c r="N34" s="1539">
        <f t="shared" si="37"/>
        <v>0</v>
      </c>
      <c r="O34" s="1179">
        <v>0</v>
      </c>
      <c r="P34" s="1545">
        <f t="shared" si="38"/>
        <v>0</v>
      </c>
      <c r="Q34" s="1181"/>
      <c r="R34" s="1181">
        <f t="shared" si="39"/>
        <v>0</v>
      </c>
      <c r="S34" s="1545">
        <f t="shared" si="40"/>
        <v>0</v>
      </c>
      <c r="T34" s="1545">
        <f t="shared" si="41"/>
        <v>0</v>
      </c>
      <c r="U34" s="1389">
        <f>'Table 5C1A-Madison Prep'!U34</f>
        <v>5790</v>
      </c>
      <c r="V34" s="1515">
        <f t="shared" si="30"/>
        <v>0</v>
      </c>
      <c r="W34" s="1391"/>
      <c r="X34" s="1392">
        <f t="shared" si="42"/>
        <v>0</v>
      </c>
      <c r="Y34" s="1391"/>
      <c r="Z34" s="1392">
        <f t="shared" si="31"/>
        <v>0</v>
      </c>
      <c r="AA34" s="1390">
        <f t="shared" si="43"/>
        <v>0</v>
      </c>
      <c r="AB34" s="1510">
        <f t="shared" si="44"/>
        <v>0</v>
      </c>
      <c r="AC34" s="1394">
        <f t="shared" si="45"/>
        <v>0</v>
      </c>
      <c r="AD34" s="1510">
        <f t="shared" si="46"/>
        <v>0</v>
      </c>
      <c r="AE34" s="1395">
        <v>0</v>
      </c>
      <c r="AF34" s="1510">
        <f t="shared" si="47"/>
        <v>0</v>
      </c>
      <c r="AG34" s="1395"/>
      <c r="AH34" s="1395">
        <f t="shared" si="48"/>
        <v>0</v>
      </c>
      <c r="AI34" s="1510">
        <f t="shared" si="49"/>
        <v>0</v>
      </c>
      <c r="AJ34" s="1505">
        <f t="shared" si="50"/>
        <v>0</v>
      </c>
      <c r="AK34" s="1535">
        <f t="shared" si="51"/>
        <v>0</v>
      </c>
    </row>
    <row r="35" spans="1:37" ht="16.2" customHeight="1">
      <c r="A35" s="1176">
        <v>29</v>
      </c>
      <c r="B35" s="1177" t="s">
        <v>109</v>
      </c>
      <c r="C35" s="1178">
        <f>+'Table 8 Membership 2.1.14'!R31</f>
        <v>0</v>
      </c>
      <c r="D35" s="1179">
        <f>+'Table 5C1A-Madison Prep'!D35</f>
        <v>3839.0123210173724</v>
      </c>
      <c r="E35" s="1180">
        <f t="shared" si="32"/>
        <v>0</v>
      </c>
      <c r="F35" s="1180">
        <f>+'Table 5C1A-Madison Prep'!F35</f>
        <v>754.94999999999993</v>
      </c>
      <c r="G35" s="1180">
        <f t="shared" si="33"/>
        <v>0</v>
      </c>
      <c r="H35" s="1539">
        <f t="shared" si="34"/>
        <v>0</v>
      </c>
      <c r="I35" s="1181"/>
      <c r="J35" s="1181"/>
      <c r="K35" s="1182">
        <f t="shared" si="35"/>
        <v>0</v>
      </c>
      <c r="L35" s="1539">
        <f t="shared" si="29"/>
        <v>0</v>
      </c>
      <c r="M35" s="1388">
        <f t="shared" si="36"/>
        <v>0</v>
      </c>
      <c r="N35" s="1539">
        <f t="shared" si="37"/>
        <v>0</v>
      </c>
      <c r="O35" s="1179">
        <v>0</v>
      </c>
      <c r="P35" s="1545">
        <f t="shared" si="38"/>
        <v>0</v>
      </c>
      <c r="Q35" s="1181"/>
      <c r="R35" s="1181">
        <f t="shared" si="39"/>
        <v>0</v>
      </c>
      <c r="S35" s="1545">
        <f t="shared" si="40"/>
        <v>0</v>
      </c>
      <c r="T35" s="1545">
        <f t="shared" si="41"/>
        <v>0</v>
      </c>
      <c r="U35" s="1389">
        <f>'Table 5C1A-Madison Prep'!U35</f>
        <v>5069</v>
      </c>
      <c r="V35" s="1515">
        <f t="shared" si="30"/>
        <v>0</v>
      </c>
      <c r="W35" s="1391"/>
      <c r="X35" s="1392">
        <f t="shared" si="42"/>
        <v>0</v>
      </c>
      <c r="Y35" s="1391"/>
      <c r="Z35" s="1392">
        <f t="shared" si="31"/>
        <v>0</v>
      </c>
      <c r="AA35" s="1390">
        <f t="shared" si="43"/>
        <v>0</v>
      </c>
      <c r="AB35" s="1510">
        <f t="shared" si="44"/>
        <v>0</v>
      </c>
      <c r="AC35" s="1394">
        <f t="shared" si="45"/>
        <v>0</v>
      </c>
      <c r="AD35" s="1510">
        <f t="shared" si="46"/>
        <v>0</v>
      </c>
      <c r="AE35" s="1395">
        <v>0</v>
      </c>
      <c r="AF35" s="1510">
        <f t="shared" si="47"/>
        <v>0</v>
      </c>
      <c r="AG35" s="1395"/>
      <c r="AH35" s="1395">
        <f t="shared" si="48"/>
        <v>0</v>
      </c>
      <c r="AI35" s="1510">
        <f t="shared" si="49"/>
        <v>0</v>
      </c>
      <c r="AJ35" s="1505">
        <f t="shared" si="50"/>
        <v>0</v>
      </c>
      <c r="AK35" s="1535">
        <f t="shared" si="51"/>
        <v>0</v>
      </c>
    </row>
    <row r="36" spans="1:37" ht="16.2" customHeight="1">
      <c r="A36" s="1168">
        <v>30</v>
      </c>
      <c r="B36" s="1169" t="s">
        <v>110</v>
      </c>
      <c r="C36" s="1170">
        <f>+'Table 8 Membership 2.1.14'!R32</f>
        <v>0</v>
      </c>
      <c r="D36" s="1171">
        <f>+'Table 5C1A-Madison Prep'!D36</f>
        <v>5804.5327273996763</v>
      </c>
      <c r="E36" s="1172">
        <f t="shared" si="32"/>
        <v>0</v>
      </c>
      <c r="F36" s="1172">
        <f>+'Table 5C1A-Madison Prep'!F36</f>
        <v>727.17</v>
      </c>
      <c r="G36" s="1172">
        <f t="shared" si="33"/>
        <v>0</v>
      </c>
      <c r="H36" s="1540">
        <f t="shared" si="34"/>
        <v>0</v>
      </c>
      <c r="I36" s="1173"/>
      <c r="J36" s="1173"/>
      <c r="K36" s="1174">
        <f t="shared" si="35"/>
        <v>0</v>
      </c>
      <c r="L36" s="1540">
        <f t="shared" si="29"/>
        <v>0</v>
      </c>
      <c r="M36" s="1399">
        <f t="shared" si="36"/>
        <v>0</v>
      </c>
      <c r="N36" s="1540">
        <f t="shared" si="37"/>
        <v>0</v>
      </c>
      <c r="O36" s="1171">
        <v>0</v>
      </c>
      <c r="P36" s="1546">
        <f t="shared" si="38"/>
        <v>0</v>
      </c>
      <c r="Q36" s="1173"/>
      <c r="R36" s="1173">
        <f t="shared" si="39"/>
        <v>0</v>
      </c>
      <c r="S36" s="1550">
        <f t="shared" si="40"/>
        <v>0</v>
      </c>
      <c r="T36" s="1550">
        <f t="shared" si="41"/>
        <v>0</v>
      </c>
      <c r="U36" s="1382">
        <f>'Table 5C1A-Madison Prep'!U36</f>
        <v>3609</v>
      </c>
      <c r="V36" s="1516">
        <f t="shared" si="30"/>
        <v>0</v>
      </c>
      <c r="W36" s="1400"/>
      <c r="X36" s="1383">
        <f t="shared" si="42"/>
        <v>0</v>
      </c>
      <c r="Y36" s="1400"/>
      <c r="Z36" s="1383">
        <f t="shared" si="31"/>
        <v>0</v>
      </c>
      <c r="AA36" s="1384">
        <f t="shared" si="43"/>
        <v>0</v>
      </c>
      <c r="AB36" s="1511">
        <f t="shared" si="44"/>
        <v>0</v>
      </c>
      <c r="AC36" s="1402">
        <f t="shared" si="45"/>
        <v>0</v>
      </c>
      <c r="AD36" s="1511">
        <f t="shared" si="46"/>
        <v>0</v>
      </c>
      <c r="AE36" s="1385">
        <v>0</v>
      </c>
      <c r="AF36" s="1511">
        <f t="shared" si="47"/>
        <v>0</v>
      </c>
      <c r="AG36" s="1385"/>
      <c r="AH36" s="1385">
        <f t="shared" si="48"/>
        <v>0</v>
      </c>
      <c r="AI36" s="1511">
        <f t="shared" si="49"/>
        <v>0</v>
      </c>
      <c r="AJ36" s="1531">
        <f t="shared" si="50"/>
        <v>0</v>
      </c>
      <c r="AK36" s="1536">
        <f t="shared" si="51"/>
        <v>0</v>
      </c>
    </row>
    <row r="37" spans="1:37" ht="16.2" customHeight="1">
      <c r="A37" s="1183">
        <v>31</v>
      </c>
      <c r="B37" s="1184" t="s">
        <v>111</v>
      </c>
      <c r="C37" s="1185">
        <f>+'Table 8 Membership 2.1.14'!R33</f>
        <v>0</v>
      </c>
      <c r="D37" s="1186">
        <f>+'Table 5C1A-Madison Prep'!D37</f>
        <v>4520.6176716868531</v>
      </c>
      <c r="E37" s="1187">
        <f t="shared" si="32"/>
        <v>0</v>
      </c>
      <c r="F37" s="1187">
        <f>+'Table 5C1A-Madison Prep'!F37</f>
        <v>620.83000000000004</v>
      </c>
      <c r="G37" s="1187">
        <f t="shared" si="33"/>
        <v>0</v>
      </c>
      <c r="H37" s="1538">
        <f t="shared" si="34"/>
        <v>0</v>
      </c>
      <c r="I37" s="1188"/>
      <c r="J37" s="1188"/>
      <c r="K37" s="1189">
        <f t="shared" si="35"/>
        <v>0</v>
      </c>
      <c r="L37" s="1538">
        <f t="shared" si="29"/>
        <v>0</v>
      </c>
      <c r="M37" s="1372">
        <f t="shared" si="36"/>
        <v>0</v>
      </c>
      <c r="N37" s="1538">
        <f t="shared" si="37"/>
        <v>0</v>
      </c>
      <c r="O37" s="1186">
        <v>0</v>
      </c>
      <c r="P37" s="1544">
        <f t="shared" si="38"/>
        <v>0</v>
      </c>
      <c r="Q37" s="1188"/>
      <c r="R37" s="1188">
        <f t="shared" si="39"/>
        <v>0</v>
      </c>
      <c r="S37" s="1544">
        <f t="shared" si="40"/>
        <v>0</v>
      </c>
      <c r="T37" s="1544">
        <f t="shared" si="41"/>
        <v>0</v>
      </c>
      <c r="U37" s="1373">
        <f>'Table 5C1A-Madison Prep'!U37</f>
        <v>5043</v>
      </c>
      <c r="V37" s="1514">
        <f t="shared" si="30"/>
        <v>0</v>
      </c>
      <c r="W37" s="1375"/>
      <c r="X37" s="1376">
        <f t="shared" si="42"/>
        <v>0</v>
      </c>
      <c r="Y37" s="1375"/>
      <c r="Z37" s="1376">
        <f t="shared" si="31"/>
        <v>0</v>
      </c>
      <c r="AA37" s="1374">
        <f t="shared" si="43"/>
        <v>0</v>
      </c>
      <c r="AB37" s="1509">
        <f t="shared" si="44"/>
        <v>0</v>
      </c>
      <c r="AC37" s="1378">
        <f t="shared" si="45"/>
        <v>0</v>
      </c>
      <c r="AD37" s="1509">
        <f t="shared" si="46"/>
        <v>0</v>
      </c>
      <c r="AE37" s="1379">
        <v>0</v>
      </c>
      <c r="AF37" s="1509">
        <f t="shared" si="47"/>
        <v>0</v>
      </c>
      <c r="AG37" s="1379"/>
      <c r="AH37" s="1379">
        <f t="shared" si="48"/>
        <v>0</v>
      </c>
      <c r="AI37" s="1509">
        <f t="shared" si="49"/>
        <v>0</v>
      </c>
      <c r="AJ37" s="1530">
        <f t="shared" si="50"/>
        <v>0</v>
      </c>
      <c r="AK37" s="1534">
        <f t="shared" si="51"/>
        <v>0</v>
      </c>
    </row>
    <row r="38" spans="1:37" ht="16.2" customHeight="1">
      <c r="A38" s="1176">
        <v>32</v>
      </c>
      <c r="B38" s="1177" t="s">
        <v>112</v>
      </c>
      <c r="C38" s="1178">
        <f>+'Table 8 Membership 2.1.14'!R34</f>
        <v>0</v>
      </c>
      <c r="D38" s="1179">
        <f>+'Table 5C1A-Madison Prep'!D38</f>
        <v>5652.819189061127</v>
      </c>
      <c r="E38" s="1180">
        <f t="shared" si="32"/>
        <v>0</v>
      </c>
      <c r="F38" s="1180">
        <f>+'Table 5C1A-Madison Prep'!F38</f>
        <v>559.77</v>
      </c>
      <c r="G38" s="1180">
        <f t="shared" si="33"/>
        <v>0</v>
      </c>
      <c r="H38" s="1539">
        <f t="shared" si="34"/>
        <v>0</v>
      </c>
      <c r="I38" s="1181"/>
      <c r="J38" s="1181"/>
      <c r="K38" s="1182">
        <f t="shared" si="35"/>
        <v>0</v>
      </c>
      <c r="L38" s="1539">
        <f t="shared" si="29"/>
        <v>0</v>
      </c>
      <c r="M38" s="1388">
        <f t="shared" si="36"/>
        <v>0</v>
      </c>
      <c r="N38" s="1539">
        <f t="shared" si="37"/>
        <v>0</v>
      </c>
      <c r="O38" s="1179">
        <v>0</v>
      </c>
      <c r="P38" s="1545">
        <f t="shared" si="38"/>
        <v>0</v>
      </c>
      <c r="Q38" s="1181"/>
      <c r="R38" s="1181">
        <f t="shared" si="39"/>
        <v>0</v>
      </c>
      <c r="S38" s="1545">
        <f t="shared" si="40"/>
        <v>0</v>
      </c>
      <c r="T38" s="1545">
        <f t="shared" si="41"/>
        <v>0</v>
      </c>
      <c r="U38" s="1389">
        <f>'Table 5C1A-Madison Prep'!U38</f>
        <v>2121</v>
      </c>
      <c r="V38" s="1515">
        <f t="shared" si="30"/>
        <v>0</v>
      </c>
      <c r="W38" s="1391"/>
      <c r="X38" s="1392">
        <f t="shared" si="42"/>
        <v>0</v>
      </c>
      <c r="Y38" s="1391"/>
      <c r="Z38" s="1392">
        <f t="shared" si="31"/>
        <v>0</v>
      </c>
      <c r="AA38" s="1390">
        <f t="shared" si="43"/>
        <v>0</v>
      </c>
      <c r="AB38" s="1510">
        <f t="shared" si="44"/>
        <v>0</v>
      </c>
      <c r="AC38" s="1394">
        <f t="shared" si="45"/>
        <v>0</v>
      </c>
      <c r="AD38" s="1510">
        <f t="shared" si="46"/>
        <v>0</v>
      </c>
      <c r="AE38" s="1395">
        <v>0</v>
      </c>
      <c r="AF38" s="1510">
        <f t="shared" si="47"/>
        <v>0</v>
      </c>
      <c r="AG38" s="1395"/>
      <c r="AH38" s="1395">
        <f t="shared" si="48"/>
        <v>0</v>
      </c>
      <c r="AI38" s="1510">
        <f t="shared" si="49"/>
        <v>0</v>
      </c>
      <c r="AJ38" s="1505">
        <f t="shared" si="50"/>
        <v>0</v>
      </c>
      <c r="AK38" s="1535">
        <f t="shared" si="51"/>
        <v>0</v>
      </c>
    </row>
    <row r="39" spans="1:37" ht="16.2" customHeight="1">
      <c r="A39" s="1176">
        <v>33</v>
      </c>
      <c r="B39" s="1177" t="s">
        <v>113</v>
      </c>
      <c r="C39" s="1178">
        <f>+'Table 8 Membership 2.1.14'!R35</f>
        <v>294</v>
      </c>
      <c r="D39" s="1179">
        <f>+'Table 5C1A-Madison Prep'!D39</f>
        <v>5456.2254558085233</v>
      </c>
      <c r="E39" s="1180">
        <f t="shared" si="32"/>
        <v>1604130.2840077057</v>
      </c>
      <c r="F39" s="1180">
        <f>+'Table 5C1A-Madison Prep'!F39</f>
        <v>655.31000000000006</v>
      </c>
      <c r="G39" s="1180">
        <f t="shared" si="33"/>
        <v>192661.14</v>
      </c>
      <c r="H39" s="1539">
        <f t="shared" si="34"/>
        <v>1796791.4240077059</v>
      </c>
      <c r="I39" s="1181"/>
      <c r="J39" s="1181"/>
      <c r="K39" s="1182">
        <f t="shared" si="35"/>
        <v>0</v>
      </c>
      <c r="L39" s="1539">
        <f t="shared" ref="L39:L70" si="52">H39+K39</f>
        <v>1796791.4240077059</v>
      </c>
      <c r="M39" s="1388">
        <f t="shared" si="36"/>
        <v>-4491.9785600192645</v>
      </c>
      <c r="N39" s="1539">
        <f t="shared" si="37"/>
        <v>1792299.4454476866</v>
      </c>
      <c r="O39" s="1179">
        <v>0</v>
      </c>
      <c r="P39" s="1545">
        <f t="shared" si="38"/>
        <v>1792299.4454476866</v>
      </c>
      <c r="Q39" s="1181"/>
      <c r="R39" s="1181">
        <f t="shared" si="39"/>
        <v>1792299.4454476866</v>
      </c>
      <c r="S39" s="1545">
        <f t="shared" si="40"/>
        <v>149358</v>
      </c>
      <c r="T39" s="1545">
        <f t="shared" si="41"/>
        <v>1792299.4454476866</v>
      </c>
      <c r="U39" s="1389">
        <f>'Table 5C1A-Madison Prep'!U39</f>
        <v>3616</v>
      </c>
      <c r="V39" s="1515">
        <f t="shared" ref="V39:V70" si="53">C39*U39</f>
        <v>1063104</v>
      </c>
      <c r="W39" s="1391"/>
      <c r="X39" s="1392">
        <f t="shared" si="42"/>
        <v>0</v>
      </c>
      <c r="Y39" s="1391"/>
      <c r="Z39" s="1392">
        <f t="shared" si="31"/>
        <v>0</v>
      </c>
      <c r="AA39" s="1390">
        <f t="shared" si="43"/>
        <v>0</v>
      </c>
      <c r="AB39" s="1510">
        <f t="shared" si="44"/>
        <v>1063104</v>
      </c>
      <c r="AC39" s="1394">
        <f t="shared" si="45"/>
        <v>-2657.76</v>
      </c>
      <c r="AD39" s="1510">
        <f t="shared" si="46"/>
        <v>1060446.24</v>
      </c>
      <c r="AE39" s="1395">
        <v>0</v>
      </c>
      <c r="AF39" s="1510">
        <f t="shared" si="47"/>
        <v>1060446.24</v>
      </c>
      <c r="AG39" s="1395"/>
      <c r="AH39" s="1395">
        <f t="shared" si="48"/>
        <v>1060446.24</v>
      </c>
      <c r="AI39" s="1510">
        <f t="shared" si="49"/>
        <v>88371</v>
      </c>
      <c r="AJ39" s="1505">
        <f t="shared" si="50"/>
        <v>2852745.6854476864</v>
      </c>
      <c r="AK39" s="1535">
        <f t="shared" si="51"/>
        <v>237729</v>
      </c>
    </row>
    <row r="40" spans="1:37" ht="16.2" customHeight="1">
      <c r="A40" s="1176">
        <v>34</v>
      </c>
      <c r="B40" s="1177" t="s">
        <v>114</v>
      </c>
      <c r="C40" s="1178">
        <f>+'Table 8 Membership 2.1.14'!R36</f>
        <v>0</v>
      </c>
      <c r="D40" s="1179">
        <f>+'Table 5C1A-Madison Prep'!D40</f>
        <v>6292.0976842789005</v>
      </c>
      <c r="E40" s="1180">
        <f t="shared" si="32"/>
        <v>0</v>
      </c>
      <c r="F40" s="1180">
        <f>+'Table 5C1A-Madison Prep'!F40</f>
        <v>644.11000000000013</v>
      </c>
      <c r="G40" s="1180">
        <f t="shared" si="33"/>
        <v>0</v>
      </c>
      <c r="H40" s="1539">
        <f t="shared" si="34"/>
        <v>0</v>
      </c>
      <c r="I40" s="1181"/>
      <c r="J40" s="1181"/>
      <c r="K40" s="1182">
        <f t="shared" si="35"/>
        <v>0</v>
      </c>
      <c r="L40" s="1539">
        <f t="shared" si="52"/>
        <v>0</v>
      </c>
      <c r="M40" s="1388">
        <f t="shared" si="36"/>
        <v>0</v>
      </c>
      <c r="N40" s="1539">
        <f t="shared" si="37"/>
        <v>0</v>
      </c>
      <c r="O40" s="1179">
        <v>0</v>
      </c>
      <c r="P40" s="1545">
        <f t="shared" si="38"/>
        <v>0</v>
      </c>
      <c r="Q40" s="1181"/>
      <c r="R40" s="1181">
        <f t="shared" si="39"/>
        <v>0</v>
      </c>
      <c r="S40" s="1545">
        <f t="shared" si="40"/>
        <v>0</v>
      </c>
      <c r="T40" s="1545">
        <f t="shared" si="41"/>
        <v>0</v>
      </c>
      <c r="U40" s="1389">
        <f>'Table 5C1A-Madison Prep'!U40</f>
        <v>2721</v>
      </c>
      <c r="V40" s="1515">
        <f t="shared" si="53"/>
        <v>0</v>
      </c>
      <c r="W40" s="1391"/>
      <c r="X40" s="1392">
        <f t="shared" si="42"/>
        <v>0</v>
      </c>
      <c r="Y40" s="1391"/>
      <c r="Z40" s="1392">
        <f t="shared" si="31"/>
        <v>0</v>
      </c>
      <c r="AA40" s="1390">
        <f t="shared" si="43"/>
        <v>0</v>
      </c>
      <c r="AB40" s="1510">
        <f t="shared" si="44"/>
        <v>0</v>
      </c>
      <c r="AC40" s="1394">
        <f t="shared" si="45"/>
        <v>0</v>
      </c>
      <c r="AD40" s="1510">
        <f t="shared" si="46"/>
        <v>0</v>
      </c>
      <c r="AE40" s="1395">
        <v>0</v>
      </c>
      <c r="AF40" s="1510">
        <f t="shared" si="47"/>
        <v>0</v>
      </c>
      <c r="AG40" s="1395"/>
      <c r="AH40" s="1395">
        <f t="shared" si="48"/>
        <v>0</v>
      </c>
      <c r="AI40" s="1510">
        <f t="shared" si="49"/>
        <v>0</v>
      </c>
      <c r="AJ40" s="1505">
        <f t="shared" si="50"/>
        <v>0</v>
      </c>
      <c r="AK40" s="1535">
        <f t="shared" si="51"/>
        <v>0</v>
      </c>
    </row>
    <row r="41" spans="1:37" ht="16.2" customHeight="1">
      <c r="A41" s="1168">
        <v>35</v>
      </c>
      <c r="B41" s="1169" t="s">
        <v>115</v>
      </c>
      <c r="C41" s="1170">
        <f>+'Table 8 Membership 2.1.14'!R37</f>
        <v>0</v>
      </c>
      <c r="D41" s="1171">
        <f>+'Table 5C1A-Madison Prep'!D41</f>
        <v>5166.2482060477605</v>
      </c>
      <c r="E41" s="1172">
        <f t="shared" si="32"/>
        <v>0</v>
      </c>
      <c r="F41" s="1172">
        <f>+'Table 5C1A-Madison Prep'!F41</f>
        <v>537.96</v>
      </c>
      <c r="G41" s="1172">
        <f t="shared" si="33"/>
        <v>0</v>
      </c>
      <c r="H41" s="1540">
        <f t="shared" si="34"/>
        <v>0</v>
      </c>
      <c r="I41" s="1173"/>
      <c r="J41" s="1173"/>
      <c r="K41" s="1174">
        <f t="shared" si="35"/>
        <v>0</v>
      </c>
      <c r="L41" s="1540">
        <f t="shared" si="52"/>
        <v>0</v>
      </c>
      <c r="M41" s="1399">
        <f t="shared" si="36"/>
        <v>0</v>
      </c>
      <c r="N41" s="1540">
        <f t="shared" si="37"/>
        <v>0</v>
      </c>
      <c r="O41" s="1171">
        <v>0</v>
      </c>
      <c r="P41" s="1546">
        <f t="shared" si="38"/>
        <v>0</v>
      </c>
      <c r="Q41" s="1173"/>
      <c r="R41" s="1173">
        <f t="shared" si="39"/>
        <v>0</v>
      </c>
      <c r="S41" s="1550">
        <f t="shared" si="40"/>
        <v>0</v>
      </c>
      <c r="T41" s="1550">
        <f t="shared" si="41"/>
        <v>0</v>
      </c>
      <c r="U41" s="1382">
        <f>'Table 5C1A-Madison Prep'!U41</f>
        <v>3255</v>
      </c>
      <c r="V41" s="1516">
        <f t="shared" si="53"/>
        <v>0</v>
      </c>
      <c r="W41" s="1400"/>
      <c r="X41" s="1383">
        <f t="shared" si="42"/>
        <v>0</v>
      </c>
      <c r="Y41" s="1400"/>
      <c r="Z41" s="1383">
        <f t="shared" si="31"/>
        <v>0</v>
      </c>
      <c r="AA41" s="1384">
        <f t="shared" si="43"/>
        <v>0</v>
      </c>
      <c r="AB41" s="1511">
        <f t="shared" si="44"/>
        <v>0</v>
      </c>
      <c r="AC41" s="1402">
        <f t="shared" si="45"/>
        <v>0</v>
      </c>
      <c r="AD41" s="1511">
        <f t="shared" si="46"/>
        <v>0</v>
      </c>
      <c r="AE41" s="1385">
        <v>0</v>
      </c>
      <c r="AF41" s="1511">
        <f t="shared" si="47"/>
        <v>0</v>
      </c>
      <c r="AG41" s="1385"/>
      <c r="AH41" s="1385">
        <f t="shared" si="48"/>
        <v>0</v>
      </c>
      <c r="AI41" s="1511">
        <f t="shared" si="49"/>
        <v>0</v>
      </c>
      <c r="AJ41" s="1531">
        <f t="shared" si="50"/>
        <v>0</v>
      </c>
      <c r="AK41" s="1536">
        <f t="shared" si="51"/>
        <v>0</v>
      </c>
    </row>
    <row r="42" spans="1:37" ht="16.2" customHeight="1">
      <c r="A42" s="1183">
        <v>36</v>
      </c>
      <c r="B42" s="1184" t="s">
        <v>116</v>
      </c>
      <c r="C42" s="1185">
        <f>+'Table 8 Membership 2.1.14'!R38</f>
        <v>0</v>
      </c>
      <c r="D42" s="1186">
        <f>+'Table 5C1A-Madison Prep'!D42</f>
        <v>3602.7009974327857</v>
      </c>
      <c r="E42" s="1187">
        <f t="shared" si="32"/>
        <v>0</v>
      </c>
      <c r="F42" s="1187">
        <f>+'Table 5C1A-Madison Prep'!F42</f>
        <v>746.0335616438357</v>
      </c>
      <c r="G42" s="1187">
        <f t="shared" si="33"/>
        <v>0</v>
      </c>
      <c r="H42" s="1538">
        <f t="shared" si="34"/>
        <v>0</v>
      </c>
      <c r="I42" s="1188"/>
      <c r="J42" s="1188"/>
      <c r="K42" s="1189">
        <f t="shared" si="35"/>
        <v>0</v>
      </c>
      <c r="L42" s="1538">
        <f t="shared" si="52"/>
        <v>0</v>
      </c>
      <c r="M42" s="1372">
        <f t="shared" si="36"/>
        <v>0</v>
      </c>
      <c r="N42" s="1538">
        <f t="shared" si="37"/>
        <v>0</v>
      </c>
      <c r="O42" s="1186">
        <v>0</v>
      </c>
      <c r="P42" s="1544">
        <f t="shared" si="38"/>
        <v>0</v>
      </c>
      <c r="Q42" s="1188"/>
      <c r="R42" s="1188">
        <f t="shared" si="39"/>
        <v>0</v>
      </c>
      <c r="S42" s="1544">
        <f t="shared" si="40"/>
        <v>0</v>
      </c>
      <c r="T42" s="1544">
        <f t="shared" si="41"/>
        <v>0</v>
      </c>
      <c r="U42" s="1373">
        <f>'Table 5C1A-Madison Prep'!U42</f>
        <v>5435</v>
      </c>
      <c r="V42" s="1514">
        <f t="shared" si="53"/>
        <v>0</v>
      </c>
      <c r="W42" s="1375"/>
      <c r="X42" s="1376">
        <f t="shared" si="42"/>
        <v>0</v>
      </c>
      <c r="Y42" s="1375"/>
      <c r="Z42" s="1376">
        <f t="shared" si="31"/>
        <v>0</v>
      </c>
      <c r="AA42" s="1374">
        <f t="shared" si="43"/>
        <v>0</v>
      </c>
      <c r="AB42" s="1509">
        <f t="shared" si="44"/>
        <v>0</v>
      </c>
      <c r="AC42" s="1378">
        <f t="shared" si="45"/>
        <v>0</v>
      </c>
      <c r="AD42" s="1509">
        <f t="shared" si="46"/>
        <v>0</v>
      </c>
      <c r="AE42" s="1379">
        <v>0</v>
      </c>
      <c r="AF42" s="1509">
        <f t="shared" si="47"/>
        <v>0</v>
      </c>
      <c r="AG42" s="1379"/>
      <c r="AH42" s="1379">
        <f t="shared" si="48"/>
        <v>0</v>
      </c>
      <c r="AI42" s="1509">
        <f t="shared" si="49"/>
        <v>0</v>
      </c>
      <c r="AJ42" s="1530">
        <f t="shared" si="50"/>
        <v>0</v>
      </c>
      <c r="AK42" s="1534">
        <f t="shared" si="51"/>
        <v>0</v>
      </c>
    </row>
    <row r="43" spans="1:37" ht="16.2" customHeight="1">
      <c r="A43" s="1176">
        <v>37</v>
      </c>
      <c r="B43" s="1177" t="s">
        <v>117</v>
      </c>
      <c r="C43" s="1178">
        <f>+'Table 8 Membership 2.1.14'!R39</f>
        <v>0</v>
      </c>
      <c r="D43" s="1179">
        <f>+'Table 5C1A-Madison Prep'!D43</f>
        <v>5665.3839260317691</v>
      </c>
      <c r="E43" s="1180">
        <f t="shared" si="32"/>
        <v>0</v>
      </c>
      <c r="F43" s="1180">
        <f>+'Table 5C1A-Madison Prep'!F43</f>
        <v>653.61</v>
      </c>
      <c r="G43" s="1180">
        <f t="shared" si="33"/>
        <v>0</v>
      </c>
      <c r="H43" s="1539">
        <f t="shared" si="34"/>
        <v>0</v>
      </c>
      <c r="I43" s="1181"/>
      <c r="J43" s="1181"/>
      <c r="K43" s="1182">
        <f t="shared" si="35"/>
        <v>0</v>
      </c>
      <c r="L43" s="1539">
        <f t="shared" si="52"/>
        <v>0</v>
      </c>
      <c r="M43" s="1388">
        <f t="shared" si="36"/>
        <v>0</v>
      </c>
      <c r="N43" s="1539">
        <f t="shared" si="37"/>
        <v>0</v>
      </c>
      <c r="O43" s="1179">
        <v>0</v>
      </c>
      <c r="P43" s="1545">
        <f t="shared" si="38"/>
        <v>0</v>
      </c>
      <c r="Q43" s="1181"/>
      <c r="R43" s="1181">
        <f t="shared" si="39"/>
        <v>0</v>
      </c>
      <c r="S43" s="1545">
        <f t="shared" si="40"/>
        <v>0</v>
      </c>
      <c r="T43" s="1545">
        <f t="shared" si="41"/>
        <v>0</v>
      </c>
      <c r="U43" s="1389">
        <f>'Table 5C1A-Madison Prep'!U43</f>
        <v>3520</v>
      </c>
      <c r="V43" s="1515">
        <f t="shared" si="53"/>
        <v>0</v>
      </c>
      <c r="W43" s="1391"/>
      <c r="X43" s="1392">
        <f t="shared" si="42"/>
        <v>0</v>
      </c>
      <c r="Y43" s="1391"/>
      <c r="Z43" s="1392">
        <f t="shared" si="31"/>
        <v>0</v>
      </c>
      <c r="AA43" s="1390">
        <f t="shared" si="43"/>
        <v>0</v>
      </c>
      <c r="AB43" s="1510">
        <f t="shared" si="44"/>
        <v>0</v>
      </c>
      <c r="AC43" s="1394">
        <f t="shared" si="45"/>
        <v>0</v>
      </c>
      <c r="AD43" s="1510">
        <f t="shared" si="46"/>
        <v>0</v>
      </c>
      <c r="AE43" s="1395">
        <v>0</v>
      </c>
      <c r="AF43" s="1510">
        <f t="shared" si="47"/>
        <v>0</v>
      </c>
      <c r="AG43" s="1395"/>
      <c r="AH43" s="1395">
        <f t="shared" si="48"/>
        <v>0</v>
      </c>
      <c r="AI43" s="1510">
        <f t="shared" si="49"/>
        <v>0</v>
      </c>
      <c r="AJ43" s="1505">
        <f t="shared" si="50"/>
        <v>0</v>
      </c>
      <c r="AK43" s="1535">
        <f t="shared" si="51"/>
        <v>0</v>
      </c>
    </row>
    <row r="44" spans="1:37" ht="16.2" customHeight="1">
      <c r="A44" s="1176">
        <v>38</v>
      </c>
      <c r="B44" s="1177" t="s">
        <v>118</v>
      </c>
      <c r="C44" s="1178">
        <f>+'Table 8 Membership 2.1.14'!R40</f>
        <v>0</v>
      </c>
      <c r="D44" s="1179">
        <f>+'Table 5C1A-Madison Prep'!D44</f>
        <v>2088.8017552916881</v>
      </c>
      <c r="E44" s="1180">
        <f t="shared" si="32"/>
        <v>0</v>
      </c>
      <c r="F44" s="1180">
        <f>+'Table 5C1A-Madison Prep'!F44</f>
        <v>829.92000000000007</v>
      </c>
      <c r="G44" s="1180">
        <f t="shared" si="33"/>
        <v>0</v>
      </c>
      <c r="H44" s="1539">
        <f t="shared" si="34"/>
        <v>0</v>
      </c>
      <c r="I44" s="1181"/>
      <c r="J44" s="1181"/>
      <c r="K44" s="1182">
        <f t="shared" si="35"/>
        <v>0</v>
      </c>
      <c r="L44" s="1539">
        <f t="shared" si="52"/>
        <v>0</v>
      </c>
      <c r="M44" s="1388">
        <f t="shared" si="36"/>
        <v>0</v>
      </c>
      <c r="N44" s="1539">
        <f t="shared" si="37"/>
        <v>0</v>
      </c>
      <c r="O44" s="1179">
        <v>0</v>
      </c>
      <c r="P44" s="1545">
        <f t="shared" si="38"/>
        <v>0</v>
      </c>
      <c r="Q44" s="1181"/>
      <c r="R44" s="1181">
        <f t="shared" si="39"/>
        <v>0</v>
      </c>
      <c r="S44" s="1545">
        <f t="shared" si="40"/>
        <v>0</v>
      </c>
      <c r="T44" s="1545">
        <f t="shared" si="41"/>
        <v>0</v>
      </c>
      <c r="U44" s="1389">
        <f>'Table 5C1A-Madison Prep'!U44</f>
        <v>11379</v>
      </c>
      <c r="V44" s="1515">
        <f t="shared" si="53"/>
        <v>0</v>
      </c>
      <c r="W44" s="1391"/>
      <c r="X44" s="1392">
        <f t="shared" si="42"/>
        <v>0</v>
      </c>
      <c r="Y44" s="1391"/>
      <c r="Z44" s="1392">
        <f t="shared" si="31"/>
        <v>0</v>
      </c>
      <c r="AA44" s="1390">
        <f t="shared" si="43"/>
        <v>0</v>
      </c>
      <c r="AB44" s="1510">
        <f t="shared" si="44"/>
        <v>0</v>
      </c>
      <c r="AC44" s="1394">
        <f t="shared" si="45"/>
        <v>0</v>
      </c>
      <c r="AD44" s="1510">
        <f t="shared" si="46"/>
        <v>0</v>
      </c>
      <c r="AE44" s="1395">
        <v>0</v>
      </c>
      <c r="AF44" s="1510">
        <f t="shared" si="47"/>
        <v>0</v>
      </c>
      <c r="AG44" s="1395"/>
      <c r="AH44" s="1395">
        <f t="shared" si="48"/>
        <v>0</v>
      </c>
      <c r="AI44" s="1510">
        <f t="shared" si="49"/>
        <v>0</v>
      </c>
      <c r="AJ44" s="1505">
        <f t="shared" si="50"/>
        <v>0</v>
      </c>
      <c r="AK44" s="1535">
        <f t="shared" si="51"/>
        <v>0</v>
      </c>
    </row>
    <row r="45" spans="1:37" ht="16.2" customHeight="1">
      <c r="A45" s="1176">
        <v>39</v>
      </c>
      <c r="B45" s="1177" t="s">
        <v>119</v>
      </c>
      <c r="C45" s="1178">
        <f>+'Table 8 Membership 2.1.14'!R41</f>
        <v>0</v>
      </c>
      <c r="D45" s="1179">
        <f>+'Table 5C1A-Madison Prep'!D45</f>
        <v>3656.9056809295676</v>
      </c>
      <c r="E45" s="1180">
        <f t="shared" si="32"/>
        <v>0</v>
      </c>
      <c r="F45" s="1180">
        <f>+'Table 5C1A-Madison Prep'!F45</f>
        <v>779.65573042776396</v>
      </c>
      <c r="G45" s="1180">
        <f t="shared" si="33"/>
        <v>0</v>
      </c>
      <c r="H45" s="1539">
        <f t="shared" si="34"/>
        <v>0</v>
      </c>
      <c r="I45" s="1181"/>
      <c r="J45" s="1181"/>
      <c r="K45" s="1182">
        <f t="shared" si="35"/>
        <v>0</v>
      </c>
      <c r="L45" s="1539">
        <f t="shared" si="52"/>
        <v>0</v>
      </c>
      <c r="M45" s="1388">
        <f t="shared" si="36"/>
        <v>0</v>
      </c>
      <c r="N45" s="1539">
        <f t="shared" si="37"/>
        <v>0</v>
      </c>
      <c r="O45" s="1179">
        <v>0</v>
      </c>
      <c r="P45" s="1545">
        <f t="shared" si="38"/>
        <v>0</v>
      </c>
      <c r="Q45" s="1181"/>
      <c r="R45" s="1181">
        <f t="shared" si="39"/>
        <v>0</v>
      </c>
      <c r="S45" s="1545">
        <f t="shared" si="40"/>
        <v>0</v>
      </c>
      <c r="T45" s="1545">
        <f t="shared" si="41"/>
        <v>0</v>
      </c>
      <c r="U45" s="1389">
        <f>'Table 5C1A-Madison Prep'!U45</f>
        <v>4955</v>
      </c>
      <c r="V45" s="1515">
        <f t="shared" si="53"/>
        <v>0</v>
      </c>
      <c r="W45" s="1391"/>
      <c r="X45" s="1392">
        <f t="shared" si="42"/>
        <v>0</v>
      </c>
      <c r="Y45" s="1391"/>
      <c r="Z45" s="1392">
        <f t="shared" si="31"/>
        <v>0</v>
      </c>
      <c r="AA45" s="1390">
        <f t="shared" si="43"/>
        <v>0</v>
      </c>
      <c r="AB45" s="1510">
        <f t="shared" si="44"/>
        <v>0</v>
      </c>
      <c r="AC45" s="1394">
        <f t="shared" si="45"/>
        <v>0</v>
      </c>
      <c r="AD45" s="1510">
        <f t="shared" si="46"/>
        <v>0</v>
      </c>
      <c r="AE45" s="1395">
        <v>0</v>
      </c>
      <c r="AF45" s="1510">
        <f t="shared" si="47"/>
        <v>0</v>
      </c>
      <c r="AG45" s="1395"/>
      <c r="AH45" s="1395">
        <f t="shared" si="48"/>
        <v>0</v>
      </c>
      <c r="AI45" s="1510">
        <f t="shared" si="49"/>
        <v>0</v>
      </c>
      <c r="AJ45" s="1505">
        <f t="shared" si="50"/>
        <v>0</v>
      </c>
      <c r="AK45" s="1535">
        <f t="shared" si="51"/>
        <v>0</v>
      </c>
    </row>
    <row r="46" spans="1:37" ht="16.2" customHeight="1">
      <c r="A46" s="1168">
        <v>40</v>
      </c>
      <c r="B46" s="1169" t="s">
        <v>120</v>
      </c>
      <c r="C46" s="1170">
        <f>+'Table 8 Membership 2.1.14'!R42</f>
        <v>0</v>
      </c>
      <c r="D46" s="1171">
        <f>+'Table 5C1A-Madison Prep'!D46</f>
        <v>5121.8110285698403</v>
      </c>
      <c r="E46" s="1172">
        <f t="shared" si="32"/>
        <v>0</v>
      </c>
      <c r="F46" s="1172">
        <f>+'Table 5C1A-Madison Prep'!F46</f>
        <v>700.2700000000001</v>
      </c>
      <c r="G46" s="1172">
        <f t="shared" si="33"/>
        <v>0</v>
      </c>
      <c r="H46" s="1540">
        <f t="shared" si="34"/>
        <v>0</v>
      </c>
      <c r="I46" s="1173"/>
      <c r="J46" s="1173"/>
      <c r="K46" s="1174">
        <f t="shared" si="35"/>
        <v>0</v>
      </c>
      <c r="L46" s="1540">
        <f t="shared" si="52"/>
        <v>0</v>
      </c>
      <c r="M46" s="1399">
        <f t="shared" si="36"/>
        <v>0</v>
      </c>
      <c r="N46" s="1540">
        <f t="shared" si="37"/>
        <v>0</v>
      </c>
      <c r="O46" s="1171">
        <v>0</v>
      </c>
      <c r="P46" s="1546">
        <f t="shared" si="38"/>
        <v>0</v>
      </c>
      <c r="Q46" s="1173"/>
      <c r="R46" s="1173">
        <f t="shared" si="39"/>
        <v>0</v>
      </c>
      <c r="S46" s="1550">
        <f t="shared" si="40"/>
        <v>0</v>
      </c>
      <c r="T46" s="1550">
        <f t="shared" si="41"/>
        <v>0</v>
      </c>
      <c r="U46" s="1382">
        <f>'Table 5C1A-Madison Prep'!U46</f>
        <v>3069</v>
      </c>
      <c r="V46" s="1516">
        <f t="shared" si="53"/>
        <v>0</v>
      </c>
      <c r="W46" s="1400"/>
      <c r="X46" s="1383">
        <f t="shared" si="42"/>
        <v>0</v>
      </c>
      <c r="Y46" s="1400"/>
      <c r="Z46" s="1383">
        <f t="shared" si="31"/>
        <v>0</v>
      </c>
      <c r="AA46" s="1384">
        <f t="shared" si="43"/>
        <v>0</v>
      </c>
      <c r="AB46" s="1511">
        <f t="shared" si="44"/>
        <v>0</v>
      </c>
      <c r="AC46" s="1402">
        <f t="shared" si="45"/>
        <v>0</v>
      </c>
      <c r="AD46" s="1511">
        <f t="shared" si="46"/>
        <v>0</v>
      </c>
      <c r="AE46" s="1385">
        <v>0</v>
      </c>
      <c r="AF46" s="1511">
        <f t="shared" si="47"/>
        <v>0</v>
      </c>
      <c r="AG46" s="1385"/>
      <c r="AH46" s="1385">
        <f t="shared" si="48"/>
        <v>0</v>
      </c>
      <c r="AI46" s="1511">
        <f t="shared" si="49"/>
        <v>0</v>
      </c>
      <c r="AJ46" s="1531">
        <f t="shared" si="50"/>
        <v>0</v>
      </c>
      <c r="AK46" s="1536">
        <f t="shared" si="51"/>
        <v>0</v>
      </c>
    </row>
    <row r="47" spans="1:37" ht="16.2" customHeight="1">
      <c r="A47" s="1183">
        <v>41</v>
      </c>
      <c r="B47" s="1184" t="s">
        <v>121</v>
      </c>
      <c r="C47" s="1185">
        <f>+'Table 8 Membership 2.1.14'!R43</f>
        <v>0</v>
      </c>
      <c r="D47" s="1186">
        <f>+'Table 5C1A-Madison Prep'!D47</f>
        <v>3291.1948574716475</v>
      </c>
      <c r="E47" s="1187">
        <f t="shared" si="32"/>
        <v>0</v>
      </c>
      <c r="F47" s="1187">
        <f>+'Table 5C1A-Madison Prep'!F47</f>
        <v>886.22</v>
      </c>
      <c r="G47" s="1187">
        <f t="shared" si="33"/>
        <v>0</v>
      </c>
      <c r="H47" s="1538">
        <f t="shared" si="34"/>
        <v>0</v>
      </c>
      <c r="I47" s="1188"/>
      <c r="J47" s="1188"/>
      <c r="K47" s="1189">
        <f t="shared" si="35"/>
        <v>0</v>
      </c>
      <c r="L47" s="1538">
        <f t="shared" si="52"/>
        <v>0</v>
      </c>
      <c r="M47" s="1372">
        <f t="shared" si="36"/>
        <v>0</v>
      </c>
      <c r="N47" s="1538">
        <f t="shared" si="37"/>
        <v>0</v>
      </c>
      <c r="O47" s="1186">
        <v>0</v>
      </c>
      <c r="P47" s="1544">
        <f t="shared" si="38"/>
        <v>0</v>
      </c>
      <c r="Q47" s="1188"/>
      <c r="R47" s="1188">
        <f t="shared" si="39"/>
        <v>0</v>
      </c>
      <c r="S47" s="1544">
        <f t="shared" si="40"/>
        <v>0</v>
      </c>
      <c r="T47" s="1544">
        <f t="shared" si="41"/>
        <v>0</v>
      </c>
      <c r="U47" s="1373">
        <f>'Table 5C1A-Madison Prep'!U47</f>
        <v>8478</v>
      </c>
      <c r="V47" s="1514">
        <f t="shared" si="53"/>
        <v>0</v>
      </c>
      <c r="W47" s="1375"/>
      <c r="X47" s="1376">
        <f t="shared" si="42"/>
        <v>0</v>
      </c>
      <c r="Y47" s="1375"/>
      <c r="Z47" s="1376">
        <f t="shared" si="31"/>
        <v>0</v>
      </c>
      <c r="AA47" s="1374">
        <f t="shared" si="43"/>
        <v>0</v>
      </c>
      <c r="AB47" s="1509">
        <f t="shared" si="44"/>
        <v>0</v>
      </c>
      <c r="AC47" s="1378">
        <f t="shared" si="45"/>
        <v>0</v>
      </c>
      <c r="AD47" s="1509">
        <f t="shared" si="46"/>
        <v>0</v>
      </c>
      <c r="AE47" s="1379">
        <v>0</v>
      </c>
      <c r="AF47" s="1509">
        <f t="shared" si="47"/>
        <v>0</v>
      </c>
      <c r="AG47" s="1379"/>
      <c r="AH47" s="1379">
        <f t="shared" si="48"/>
        <v>0</v>
      </c>
      <c r="AI47" s="1509">
        <f t="shared" si="49"/>
        <v>0</v>
      </c>
      <c r="AJ47" s="1530">
        <f t="shared" si="50"/>
        <v>0</v>
      </c>
      <c r="AK47" s="1534">
        <f t="shared" si="51"/>
        <v>0</v>
      </c>
    </row>
    <row r="48" spans="1:37" ht="16.2" customHeight="1">
      <c r="A48" s="1176">
        <v>42</v>
      </c>
      <c r="B48" s="1177" t="s">
        <v>122</v>
      </c>
      <c r="C48" s="1178">
        <f>+'Table 8 Membership 2.1.14'!R44</f>
        <v>0</v>
      </c>
      <c r="D48" s="1179">
        <f>+'Table 5C1A-Madison Prep'!D48</f>
        <v>5113.6077751368684</v>
      </c>
      <c r="E48" s="1180">
        <f t="shared" si="32"/>
        <v>0</v>
      </c>
      <c r="F48" s="1180">
        <f>+'Table 5C1A-Madison Prep'!F48</f>
        <v>534.28</v>
      </c>
      <c r="G48" s="1180">
        <f t="shared" si="33"/>
        <v>0</v>
      </c>
      <c r="H48" s="1539">
        <f t="shared" si="34"/>
        <v>0</v>
      </c>
      <c r="I48" s="1181"/>
      <c r="J48" s="1181"/>
      <c r="K48" s="1182">
        <f t="shared" si="35"/>
        <v>0</v>
      </c>
      <c r="L48" s="1539">
        <f t="shared" si="52"/>
        <v>0</v>
      </c>
      <c r="M48" s="1388">
        <f t="shared" si="36"/>
        <v>0</v>
      </c>
      <c r="N48" s="1539">
        <f t="shared" si="37"/>
        <v>0</v>
      </c>
      <c r="O48" s="1179">
        <v>0</v>
      </c>
      <c r="P48" s="1545">
        <f t="shared" si="38"/>
        <v>0</v>
      </c>
      <c r="Q48" s="1181"/>
      <c r="R48" s="1181">
        <f t="shared" si="39"/>
        <v>0</v>
      </c>
      <c r="S48" s="1545">
        <f t="shared" si="40"/>
        <v>0</v>
      </c>
      <c r="T48" s="1545">
        <f t="shared" si="41"/>
        <v>0</v>
      </c>
      <c r="U48" s="1389">
        <f>'Table 5C1A-Madison Prep'!U48</f>
        <v>3578</v>
      </c>
      <c r="V48" s="1515">
        <f t="shared" si="53"/>
        <v>0</v>
      </c>
      <c r="W48" s="1391"/>
      <c r="X48" s="1392">
        <f t="shared" si="42"/>
        <v>0</v>
      </c>
      <c r="Y48" s="1391"/>
      <c r="Z48" s="1392">
        <f t="shared" si="31"/>
        <v>0</v>
      </c>
      <c r="AA48" s="1390">
        <f t="shared" si="43"/>
        <v>0</v>
      </c>
      <c r="AB48" s="1510">
        <f t="shared" si="44"/>
        <v>0</v>
      </c>
      <c r="AC48" s="1394">
        <f t="shared" si="45"/>
        <v>0</v>
      </c>
      <c r="AD48" s="1510">
        <f t="shared" si="46"/>
        <v>0</v>
      </c>
      <c r="AE48" s="1395">
        <v>0</v>
      </c>
      <c r="AF48" s="1510">
        <f t="shared" si="47"/>
        <v>0</v>
      </c>
      <c r="AG48" s="1395"/>
      <c r="AH48" s="1395">
        <f t="shared" si="48"/>
        <v>0</v>
      </c>
      <c r="AI48" s="1510">
        <f t="shared" si="49"/>
        <v>0</v>
      </c>
      <c r="AJ48" s="1505">
        <f t="shared" si="50"/>
        <v>0</v>
      </c>
      <c r="AK48" s="1535">
        <f t="shared" si="51"/>
        <v>0</v>
      </c>
    </row>
    <row r="49" spans="1:37" ht="16.2" customHeight="1">
      <c r="A49" s="1176">
        <v>43</v>
      </c>
      <c r="B49" s="1177" t="s">
        <v>123</v>
      </c>
      <c r="C49" s="1178">
        <f>+'Table 8 Membership 2.1.14'!R45</f>
        <v>0</v>
      </c>
      <c r="D49" s="1179">
        <f>+'Table 5C1A-Madison Prep'!D49</f>
        <v>5788.74387205947</v>
      </c>
      <c r="E49" s="1180">
        <f t="shared" si="32"/>
        <v>0</v>
      </c>
      <c r="F49" s="1180">
        <f>+'Table 5C1A-Madison Prep'!F49</f>
        <v>574.6099999999999</v>
      </c>
      <c r="G49" s="1180">
        <f t="shared" si="33"/>
        <v>0</v>
      </c>
      <c r="H49" s="1539">
        <f t="shared" si="34"/>
        <v>0</v>
      </c>
      <c r="I49" s="1181"/>
      <c r="J49" s="1181"/>
      <c r="K49" s="1182">
        <f t="shared" si="35"/>
        <v>0</v>
      </c>
      <c r="L49" s="1539">
        <f t="shared" si="52"/>
        <v>0</v>
      </c>
      <c r="M49" s="1388">
        <f t="shared" si="36"/>
        <v>0</v>
      </c>
      <c r="N49" s="1539">
        <f t="shared" si="37"/>
        <v>0</v>
      </c>
      <c r="O49" s="1179">
        <v>0</v>
      </c>
      <c r="P49" s="1545">
        <f t="shared" si="38"/>
        <v>0</v>
      </c>
      <c r="Q49" s="1181"/>
      <c r="R49" s="1181">
        <f t="shared" si="39"/>
        <v>0</v>
      </c>
      <c r="S49" s="1545">
        <f t="shared" si="40"/>
        <v>0</v>
      </c>
      <c r="T49" s="1545">
        <f t="shared" si="41"/>
        <v>0</v>
      </c>
      <c r="U49" s="1389">
        <f>'Table 5C1A-Madison Prep'!U49</f>
        <v>3205</v>
      </c>
      <c r="V49" s="1515">
        <f t="shared" si="53"/>
        <v>0</v>
      </c>
      <c r="W49" s="1391"/>
      <c r="X49" s="1392">
        <f t="shared" si="42"/>
        <v>0</v>
      </c>
      <c r="Y49" s="1391"/>
      <c r="Z49" s="1392">
        <f t="shared" si="31"/>
        <v>0</v>
      </c>
      <c r="AA49" s="1390">
        <f t="shared" si="43"/>
        <v>0</v>
      </c>
      <c r="AB49" s="1510">
        <f t="shared" si="44"/>
        <v>0</v>
      </c>
      <c r="AC49" s="1394">
        <f t="shared" si="45"/>
        <v>0</v>
      </c>
      <c r="AD49" s="1510">
        <f t="shared" si="46"/>
        <v>0</v>
      </c>
      <c r="AE49" s="1395">
        <v>0</v>
      </c>
      <c r="AF49" s="1510">
        <f t="shared" si="47"/>
        <v>0</v>
      </c>
      <c r="AG49" s="1395"/>
      <c r="AH49" s="1395">
        <f t="shared" si="48"/>
        <v>0</v>
      </c>
      <c r="AI49" s="1510">
        <f t="shared" si="49"/>
        <v>0</v>
      </c>
      <c r="AJ49" s="1505">
        <f t="shared" si="50"/>
        <v>0</v>
      </c>
      <c r="AK49" s="1535">
        <f t="shared" si="51"/>
        <v>0</v>
      </c>
    </row>
    <row r="50" spans="1:37" ht="16.2" customHeight="1">
      <c r="A50" s="1176">
        <v>44</v>
      </c>
      <c r="B50" s="1177" t="s">
        <v>124</v>
      </c>
      <c r="C50" s="1178">
        <f>+'Table 8 Membership 2.1.14'!R46</f>
        <v>0</v>
      </c>
      <c r="D50" s="1179">
        <f>+'Table 5C1A-Madison Prep'!D50</f>
        <v>4897.5958151820359</v>
      </c>
      <c r="E50" s="1180">
        <f t="shared" si="32"/>
        <v>0</v>
      </c>
      <c r="F50" s="1180">
        <f>+'Table 5C1A-Madison Prep'!F50</f>
        <v>663.16000000000008</v>
      </c>
      <c r="G50" s="1180">
        <f t="shared" si="33"/>
        <v>0</v>
      </c>
      <c r="H50" s="1539">
        <f t="shared" si="34"/>
        <v>0</v>
      </c>
      <c r="I50" s="1181"/>
      <c r="J50" s="1181"/>
      <c r="K50" s="1182">
        <f t="shared" si="35"/>
        <v>0</v>
      </c>
      <c r="L50" s="1539">
        <f t="shared" si="52"/>
        <v>0</v>
      </c>
      <c r="M50" s="1388">
        <f t="shared" si="36"/>
        <v>0</v>
      </c>
      <c r="N50" s="1539">
        <f t="shared" si="37"/>
        <v>0</v>
      </c>
      <c r="O50" s="1179">
        <v>0</v>
      </c>
      <c r="P50" s="1545">
        <f t="shared" si="38"/>
        <v>0</v>
      </c>
      <c r="Q50" s="1181"/>
      <c r="R50" s="1181">
        <f t="shared" si="39"/>
        <v>0</v>
      </c>
      <c r="S50" s="1545">
        <f t="shared" si="40"/>
        <v>0</v>
      </c>
      <c r="T50" s="1545">
        <f t="shared" si="41"/>
        <v>0</v>
      </c>
      <c r="U50" s="1389">
        <f>'Table 5C1A-Madison Prep'!U50</f>
        <v>3719</v>
      </c>
      <c r="V50" s="1515">
        <f t="shared" si="53"/>
        <v>0</v>
      </c>
      <c r="W50" s="1391"/>
      <c r="X50" s="1392">
        <f t="shared" si="42"/>
        <v>0</v>
      </c>
      <c r="Y50" s="1391"/>
      <c r="Z50" s="1392">
        <f t="shared" si="31"/>
        <v>0</v>
      </c>
      <c r="AA50" s="1390">
        <f t="shared" si="43"/>
        <v>0</v>
      </c>
      <c r="AB50" s="1510">
        <f t="shared" si="44"/>
        <v>0</v>
      </c>
      <c r="AC50" s="1394">
        <f t="shared" si="45"/>
        <v>0</v>
      </c>
      <c r="AD50" s="1510">
        <f t="shared" si="46"/>
        <v>0</v>
      </c>
      <c r="AE50" s="1395">
        <v>0</v>
      </c>
      <c r="AF50" s="1510">
        <f t="shared" si="47"/>
        <v>0</v>
      </c>
      <c r="AG50" s="1395"/>
      <c r="AH50" s="1395">
        <f t="shared" si="48"/>
        <v>0</v>
      </c>
      <c r="AI50" s="1510">
        <f t="shared" si="49"/>
        <v>0</v>
      </c>
      <c r="AJ50" s="1505">
        <f t="shared" si="50"/>
        <v>0</v>
      </c>
      <c r="AK50" s="1535">
        <f t="shared" si="51"/>
        <v>0</v>
      </c>
    </row>
    <row r="51" spans="1:37" ht="16.2" customHeight="1">
      <c r="A51" s="1168">
        <v>45</v>
      </c>
      <c r="B51" s="1169" t="s">
        <v>125</v>
      </c>
      <c r="C51" s="1170">
        <f>+'Table 8 Membership 2.1.14'!R47</f>
        <v>0</v>
      </c>
      <c r="D51" s="1171">
        <f>+'Table 5C1A-Madison Prep'!D51</f>
        <v>2054.0472499469101</v>
      </c>
      <c r="E51" s="1172">
        <f t="shared" si="32"/>
        <v>0</v>
      </c>
      <c r="F51" s="1172">
        <f>+'Table 5C1A-Madison Prep'!F51</f>
        <v>753.96000000000015</v>
      </c>
      <c r="G51" s="1172">
        <f t="shared" si="33"/>
        <v>0</v>
      </c>
      <c r="H51" s="1540">
        <f t="shared" si="34"/>
        <v>0</v>
      </c>
      <c r="I51" s="1173"/>
      <c r="J51" s="1173"/>
      <c r="K51" s="1174">
        <f t="shared" si="35"/>
        <v>0</v>
      </c>
      <c r="L51" s="1540">
        <f t="shared" si="52"/>
        <v>0</v>
      </c>
      <c r="M51" s="1399">
        <f t="shared" si="36"/>
        <v>0</v>
      </c>
      <c r="N51" s="1540">
        <f t="shared" si="37"/>
        <v>0</v>
      </c>
      <c r="O51" s="1171">
        <v>0</v>
      </c>
      <c r="P51" s="1546">
        <f t="shared" si="38"/>
        <v>0</v>
      </c>
      <c r="Q51" s="1173"/>
      <c r="R51" s="1173">
        <f t="shared" si="39"/>
        <v>0</v>
      </c>
      <c r="S51" s="1550">
        <f t="shared" si="40"/>
        <v>0</v>
      </c>
      <c r="T51" s="1550">
        <f t="shared" si="41"/>
        <v>0</v>
      </c>
      <c r="U51" s="1382">
        <f>'Table 5C1A-Madison Prep'!U51</f>
        <v>12169</v>
      </c>
      <c r="V51" s="1516">
        <f t="shared" si="53"/>
        <v>0</v>
      </c>
      <c r="W51" s="1400"/>
      <c r="X51" s="1383">
        <f t="shared" si="42"/>
        <v>0</v>
      </c>
      <c r="Y51" s="1400"/>
      <c r="Z51" s="1383">
        <f t="shared" si="31"/>
        <v>0</v>
      </c>
      <c r="AA51" s="1384">
        <f t="shared" si="43"/>
        <v>0</v>
      </c>
      <c r="AB51" s="1511">
        <f t="shared" si="44"/>
        <v>0</v>
      </c>
      <c r="AC51" s="1402">
        <f t="shared" si="45"/>
        <v>0</v>
      </c>
      <c r="AD51" s="1511">
        <f t="shared" si="46"/>
        <v>0</v>
      </c>
      <c r="AE51" s="1385">
        <v>0</v>
      </c>
      <c r="AF51" s="1511">
        <f t="shared" si="47"/>
        <v>0</v>
      </c>
      <c r="AG51" s="1385"/>
      <c r="AH51" s="1385">
        <f t="shared" si="48"/>
        <v>0</v>
      </c>
      <c r="AI51" s="1511">
        <f t="shared" si="49"/>
        <v>0</v>
      </c>
      <c r="AJ51" s="1531">
        <f t="shared" si="50"/>
        <v>0</v>
      </c>
      <c r="AK51" s="1536">
        <f t="shared" si="51"/>
        <v>0</v>
      </c>
    </row>
    <row r="52" spans="1:37" ht="16.2" customHeight="1">
      <c r="A52" s="1183">
        <v>46</v>
      </c>
      <c r="B52" s="1184" t="s">
        <v>126</v>
      </c>
      <c r="C52" s="1185">
        <f>+'Table 8 Membership 2.1.14'!R48</f>
        <v>0</v>
      </c>
      <c r="D52" s="1186">
        <f>+'Table 5C1A-Madison Prep'!D52</f>
        <v>6051.2144468088381</v>
      </c>
      <c r="E52" s="1187">
        <f t="shared" si="32"/>
        <v>0</v>
      </c>
      <c r="F52" s="1187">
        <f>+'Table 5C1A-Madison Prep'!F52</f>
        <v>728.06</v>
      </c>
      <c r="G52" s="1187">
        <f t="shared" si="33"/>
        <v>0</v>
      </c>
      <c r="H52" s="1538">
        <f t="shared" si="34"/>
        <v>0</v>
      </c>
      <c r="I52" s="1188"/>
      <c r="J52" s="1188"/>
      <c r="K52" s="1189">
        <f t="shared" si="35"/>
        <v>0</v>
      </c>
      <c r="L52" s="1538">
        <f t="shared" si="52"/>
        <v>0</v>
      </c>
      <c r="M52" s="1372">
        <f t="shared" si="36"/>
        <v>0</v>
      </c>
      <c r="N52" s="1538">
        <f t="shared" si="37"/>
        <v>0</v>
      </c>
      <c r="O52" s="1186">
        <v>0</v>
      </c>
      <c r="P52" s="1544">
        <f t="shared" si="38"/>
        <v>0</v>
      </c>
      <c r="Q52" s="1188"/>
      <c r="R52" s="1188">
        <f t="shared" si="39"/>
        <v>0</v>
      </c>
      <c r="S52" s="1544">
        <f t="shared" si="40"/>
        <v>0</v>
      </c>
      <c r="T52" s="1544">
        <f t="shared" si="41"/>
        <v>0</v>
      </c>
      <c r="U52" s="1373">
        <f>'Table 5C1A-Madison Prep'!U52</f>
        <v>2713</v>
      </c>
      <c r="V52" s="1514">
        <f t="shared" si="53"/>
        <v>0</v>
      </c>
      <c r="W52" s="1375"/>
      <c r="X52" s="1376">
        <f t="shared" si="42"/>
        <v>0</v>
      </c>
      <c r="Y52" s="1375"/>
      <c r="Z52" s="1376">
        <f t="shared" si="31"/>
        <v>0</v>
      </c>
      <c r="AA52" s="1374">
        <f t="shared" si="43"/>
        <v>0</v>
      </c>
      <c r="AB52" s="1509">
        <f t="shared" si="44"/>
        <v>0</v>
      </c>
      <c r="AC52" s="1378">
        <f t="shared" si="45"/>
        <v>0</v>
      </c>
      <c r="AD52" s="1509">
        <f t="shared" si="46"/>
        <v>0</v>
      </c>
      <c r="AE52" s="1379">
        <v>0</v>
      </c>
      <c r="AF52" s="1509">
        <f t="shared" si="47"/>
        <v>0</v>
      </c>
      <c r="AG52" s="1379"/>
      <c r="AH52" s="1379">
        <f t="shared" si="48"/>
        <v>0</v>
      </c>
      <c r="AI52" s="1509">
        <f t="shared" si="49"/>
        <v>0</v>
      </c>
      <c r="AJ52" s="1530">
        <f t="shared" si="50"/>
        <v>0</v>
      </c>
      <c r="AK52" s="1534">
        <f t="shared" si="51"/>
        <v>0</v>
      </c>
    </row>
    <row r="53" spans="1:37" ht="16.2" customHeight="1">
      <c r="A53" s="1176">
        <v>47</v>
      </c>
      <c r="B53" s="1177" t="s">
        <v>127</v>
      </c>
      <c r="C53" s="1178">
        <f>+'Table 8 Membership 2.1.14'!R49</f>
        <v>0</v>
      </c>
      <c r="D53" s="1179">
        <f>+'Table 5C1A-Madison Prep'!D53</f>
        <v>2524.1485257646736</v>
      </c>
      <c r="E53" s="1180">
        <f t="shared" si="32"/>
        <v>0</v>
      </c>
      <c r="F53" s="1180">
        <f>+'Table 5C1A-Madison Prep'!F53</f>
        <v>910.76</v>
      </c>
      <c r="G53" s="1180">
        <f t="shared" si="33"/>
        <v>0</v>
      </c>
      <c r="H53" s="1539">
        <f t="shared" si="34"/>
        <v>0</v>
      </c>
      <c r="I53" s="1181"/>
      <c r="J53" s="1181"/>
      <c r="K53" s="1182">
        <f t="shared" si="35"/>
        <v>0</v>
      </c>
      <c r="L53" s="1539">
        <f t="shared" si="52"/>
        <v>0</v>
      </c>
      <c r="M53" s="1388">
        <f t="shared" si="36"/>
        <v>0</v>
      </c>
      <c r="N53" s="1539">
        <f t="shared" si="37"/>
        <v>0</v>
      </c>
      <c r="O53" s="1179">
        <v>0</v>
      </c>
      <c r="P53" s="1545">
        <f t="shared" si="38"/>
        <v>0</v>
      </c>
      <c r="Q53" s="1181"/>
      <c r="R53" s="1181">
        <f t="shared" si="39"/>
        <v>0</v>
      </c>
      <c r="S53" s="1545">
        <f t="shared" si="40"/>
        <v>0</v>
      </c>
      <c r="T53" s="1545">
        <f t="shared" si="41"/>
        <v>0</v>
      </c>
      <c r="U53" s="1389">
        <f>'Table 5C1A-Madison Prep'!U53</f>
        <v>11701</v>
      </c>
      <c r="V53" s="1515">
        <f t="shared" si="53"/>
        <v>0</v>
      </c>
      <c r="W53" s="1391"/>
      <c r="X53" s="1392">
        <f t="shared" si="42"/>
        <v>0</v>
      </c>
      <c r="Y53" s="1391"/>
      <c r="Z53" s="1392">
        <f t="shared" si="31"/>
        <v>0</v>
      </c>
      <c r="AA53" s="1390">
        <f t="shared" si="43"/>
        <v>0</v>
      </c>
      <c r="AB53" s="1510">
        <f t="shared" si="44"/>
        <v>0</v>
      </c>
      <c r="AC53" s="1394">
        <f t="shared" si="45"/>
        <v>0</v>
      </c>
      <c r="AD53" s="1510">
        <f t="shared" si="46"/>
        <v>0</v>
      </c>
      <c r="AE53" s="1395">
        <v>0</v>
      </c>
      <c r="AF53" s="1510">
        <f t="shared" si="47"/>
        <v>0</v>
      </c>
      <c r="AG53" s="1395"/>
      <c r="AH53" s="1395">
        <f t="shared" si="48"/>
        <v>0</v>
      </c>
      <c r="AI53" s="1510">
        <f t="shared" si="49"/>
        <v>0</v>
      </c>
      <c r="AJ53" s="1505">
        <f t="shared" si="50"/>
        <v>0</v>
      </c>
      <c r="AK53" s="1535">
        <f t="shared" si="51"/>
        <v>0</v>
      </c>
    </row>
    <row r="54" spans="1:37" ht="16.2" customHeight="1">
      <c r="A54" s="1176">
        <v>48</v>
      </c>
      <c r="B54" s="1177" t="s">
        <v>178</v>
      </c>
      <c r="C54" s="1178">
        <f>+'Table 8 Membership 2.1.14'!R50</f>
        <v>0</v>
      </c>
      <c r="D54" s="1179">
        <f>+'Table 5C1A-Madison Prep'!D54</f>
        <v>3983.3582529800719</v>
      </c>
      <c r="E54" s="1180">
        <f t="shared" si="32"/>
        <v>0</v>
      </c>
      <c r="F54" s="1180">
        <f>+'Table 5C1A-Madison Prep'!F54</f>
        <v>871.07</v>
      </c>
      <c r="G54" s="1180">
        <f t="shared" si="33"/>
        <v>0</v>
      </c>
      <c r="H54" s="1539">
        <f t="shared" si="34"/>
        <v>0</v>
      </c>
      <c r="I54" s="1181"/>
      <c r="J54" s="1181"/>
      <c r="K54" s="1182">
        <f t="shared" si="35"/>
        <v>0</v>
      </c>
      <c r="L54" s="1539">
        <f t="shared" si="52"/>
        <v>0</v>
      </c>
      <c r="M54" s="1388">
        <f t="shared" si="36"/>
        <v>0</v>
      </c>
      <c r="N54" s="1539">
        <f t="shared" si="37"/>
        <v>0</v>
      </c>
      <c r="O54" s="1179">
        <v>0</v>
      </c>
      <c r="P54" s="1545">
        <f t="shared" si="38"/>
        <v>0</v>
      </c>
      <c r="Q54" s="1181"/>
      <c r="R54" s="1181">
        <f t="shared" si="39"/>
        <v>0</v>
      </c>
      <c r="S54" s="1545">
        <f t="shared" si="40"/>
        <v>0</v>
      </c>
      <c r="T54" s="1545">
        <f t="shared" si="41"/>
        <v>0</v>
      </c>
      <c r="U54" s="1389">
        <f>'Table 5C1A-Madison Prep'!U54</f>
        <v>7338</v>
      </c>
      <c r="V54" s="1515">
        <f t="shared" si="53"/>
        <v>0</v>
      </c>
      <c r="W54" s="1391"/>
      <c r="X54" s="1392">
        <f t="shared" si="42"/>
        <v>0</v>
      </c>
      <c r="Y54" s="1391"/>
      <c r="Z54" s="1392">
        <f t="shared" si="31"/>
        <v>0</v>
      </c>
      <c r="AA54" s="1390">
        <f t="shared" si="43"/>
        <v>0</v>
      </c>
      <c r="AB54" s="1510">
        <f t="shared" si="44"/>
        <v>0</v>
      </c>
      <c r="AC54" s="1394">
        <f t="shared" si="45"/>
        <v>0</v>
      </c>
      <c r="AD54" s="1510">
        <f t="shared" si="46"/>
        <v>0</v>
      </c>
      <c r="AE54" s="1395">
        <v>0</v>
      </c>
      <c r="AF54" s="1510">
        <f t="shared" si="47"/>
        <v>0</v>
      </c>
      <c r="AG54" s="1395"/>
      <c r="AH54" s="1395">
        <f t="shared" si="48"/>
        <v>0</v>
      </c>
      <c r="AI54" s="1510">
        <f t="shared" si="49"/>
        <v>0</v>
      </c>
      <c r="AJ54" s="1505">
        <f t="shared" si="50"/>
        <v>0</v>
      </c>
      <c r="AK54" s="1535">
        <f t="shared" si="51"/>
        <v>0</v>
      </c>
    </row>
    <row r="55" spans="1:37" ht="16.2" customHeight="1">
      <c r="A55" s="1176">
        <v>49</v>
      </c>
      <c r="B55" s="1177" t="s">
        <v>128</v>
      </c>
      <c r="C55" s="1178">
        <f>+'Table 8 Membership 2.1.14'!R51</f>
        <v>0</v>
      </c>
      <c r="D55" s="1179">
        <f>+'Table 5C1A-Madison Prep'!D55</f>
        <v>4995.8755315659191</v>
      </c>
      <c r="E55" s="1180">
        <f t="shared" si="32"/>
        <v>0</v>
      </c>
      <c r="F55" s="1180">
        <f>+'Table 5C1A-Madison Prep'!F55</f>
        <v>574.43999999999994</v>
      </c>
      <c r="G55" s="1180">
        <f t="shared" si="33"/>
        <v>0</v>
      </c>
      <c r="H55" s="1539">
        <f t="shared" si="34"/>
        <v>0</v>
      </c>
      <c r="I55" s="1181"/>
      <c r="J55" s="1181"/>
      <c r="K55" s="1182">
        <f t="shared" si="35"/>
        <v>0</v>
      </c>
      <c r="L55" s="1539">
        <f t="shared" si="52"/>
        <v>0</v>
      </c>
      <c r="M55" s="1388">
        <f t="shared" si="36"/>
        <v>0</v>
      </c>
      <c r="N55" s="1539">
        <f t="shared" si="37"/>
        <v>0</v>
      </c>
      <c r="O55" s="1179">
        <v>0</v>
      </c>
      <c r="P55" s="1545">
        <f t="shared" si="38"/>
        <v>0</v>
      </c>
      <c r="Q55" s="1181"/>
      <c r="R55" s="1181">
        <f t="shared" si="39"/>
        <v>0</v>
      </c>
      <c r="S55" s="1545">
        <f t="shared" si="40"/>
        <v>0</v>
      </c>
      <c r="T55" s="1545">
        <f t="shared" si="41"/>
        <v>0</v>
      </c>
      <c r="U55" s="1389">
        <f>'Table 5C1A-Madison Prep'!U55</f>
        <v>2353</v>
      </c>
      <c r="V55" s="1515">
        <f t="shared" si="53"/>
        <v>0</v>
      </c>
      <c r="W55" s="1391"/>
      <c r="X55" s="1392">
        <f t="shared" si="42"/>
        <v>0</v>
      </c>
      <c r="Y55" s="1391"/>
      <c r="Z55" s="1392">
        <f t="shared" si="31"/>
        <v>0</v>
      </c>
      <c r="AA55" s="1390">
        <f t="shared" si="43"/>
        <v>0</v>
      </c>
      <c r="AB55" s="1510">
        <f t="shared" si="44"/>
        <v>0</v>
      </c>
      <c r="AC55" s="1394">
        <f t="shared" si="45"/>
        <v>0</v>
      </c>
      <c r="AD55" s="1510">
        <f t="shared" si="46"/>
        <v>0</v>
      </c>
      <c r="AE55" s="1395">
        <v>0</v>
      </c>
      <c r="AF55" s="1510">
        <f t="shared" si="47"/>
        <v>0</v>
      </c>
      <c r="AG55" s="1395"/>
      <c r="AH55" s="1395">
        <f t="shared" si="48"/>
        <v>0</v>
      </c>
      <c r="AI55" s="1510">
        <f t="shared" si="49"/>
        <v>0</v>
      </c>
      <c r="AJ55" s="1505">
        <f t="shared" si="50"/>
        <v>0</v>
      </c>
      <c r="AK55" s="1535">
        <f t="shared" si="51"/>
        <v>0</v>
      </c>
    </row>
    <row r="56" spans="1:37" ht="16.2" customHeight="1">
      <c r="A56" s="1168">
        <v>50</v>
      </c>
      <c r="B56" s="1169" t="s">
        <v>129</v>
      </c>
      <c r="C56" s="1170">
        <f>+'Table 8 Membership 2.1.14'!R52</f>
        <v>0</v>
      </c>
      <c r="D56" s="1171">
        <f>+'Table 5C1A-Madison Prep'!D56</f>
        <v>5177.6892722701677</v>
      </c>
      <c r="E56" s="1172">
        <f t="shared" si="32"/>
        <v>0</v>
      </c>
      <c r="F56" s="1172">
        <f>+'Table 5C1A-Madison Prep'!F56</f>
        <v>634.46</v>
      </c>
      <c r="G56" s="1172">
        <f t="shared" si="33"/>
        <v>0</v>
      </c>
      <c r="H56" s="1540">
        <f t="shared" si="34"/>
        <v>0</v>
      </c>
      <c r="I56" s="1173"/>
      <c r="J56" s="1173"/>
      <c r="K56" s="1174">
        <f t="shared" si="35"/>
        <v>0</v>
      </c>
      <c r="L56" s="1540">
        <f t="shared" si="52"/>
        <v>0</v>
      </c>
      <c r="M56" s="1399">
        <f t="shared" si="36"/>
        <v>0</v>
      </c>
      <c r="N56" s="1540">
        <f t="shared" si="37"/>
        <v>0</v>
      </c>
      <c r="O56" s="1171">
        <v>0</v>
      </c>
      <c r="P56" s="1546">
        <f t="shared" si="38"/>
        <v>0</v>
      </c>
      <c r="Q56" s="1173"/>
      <c r="R56" s="1173">
        <f t="shared" si="39"/>
        <v>0</v>
      </c>
      <c r="S56" s="1550">
        <f t="shared" si="40"/>
        <v>0</v>
      </c>
      <c r="T56" s="1550">
        <f t="shared" si="41"/>
        <v>0</v>
      </c>
      <c r="U56" s="1382">
        <f>'Table 5C1A-Madison Prep'!U56</f>
        <v>3510</v>
      </c>
      <c r="V56" s="1516">
        <f t="shared" si="53"/>
        <v>0</v>
      </c>
      <c r="W56" s="1400"/>
      <c r="X56" s="1383">
        <f t="shared" si="42"/>
        <v>0</v>
      </c>
      <c r="Y56" s="1400"/>
      <c r="Z56" s="1383">
        <f t="shared" si="31"/>
        <v>0</v>
      </c>
      <c r="AA56" s="1384">
        <f t="shared" si="43"/>
        <v>0</v>
      </c>
      <c r="AB56" s="1511">
        <f t="shared" si="44"/>
        <v>0</v>
      </c>
      <c r="AC56" s="1402">
        <f t="shared" si="45"/>
        <v>0</v>
      </c>
      <c r="AD56" s="1511">
        <f t="shared" si="46"/>
        <v>0</v>
      </c>
      <c r="AE56" s="1385">
        <v>0</v>
      </c>
      <c r="AF56" s="1511">
        <f t="shared" si="47"/>
        <v>0</v>
      </c>
      <c r="AG56" s="1385"/>
      <c r="AH56" s="1385">
        <f t="shared" si="48"/>
        <v>0</v>
      </c>
      <c r="AI56" s="1511">
        <f t="shared" si="49"/>
        <v>0</v>
      </c>
      <c r="AJ56" s="1531">
        <f t="shared" si="50"/>
        <v>0</v>
      </c>
      <c r="AK56" s="1536">
        <f t="shared" si="51"/>
        <v>0</v>
      </c>
    </row>
    <row r="57" spans="1:37" ht="16.2" customHeight="1">
      <c r="A57" s="1183">
        <v>51</v>
      </c>
      <c r="B57" s="1184" t="s">
        <v>130</v>
      </c>
      <c r="C57" s="1185">
        <f>+'Table 8 Membership 2.1.14'!R53</f>
        <v>0</v>
      </c>
      <c r="D57" s="1186">
        <f>+'Table 5C1A-Madison Prep'!D57</f>
        <v>4154.1928602178996</v>
      </c>
      <c r="E57" s="1187">
        <f t="shared" si="32"/>
        <v>0</v>
      </c>
      <c r="F57" s="1187">
        <f>+'Table 5C1A-Madison Prep'!F57</f>
        <v>706.66</v>
      </c>
      <c r="G57" s="1187">
        <f t="shared" si="33"/>
        <v>0</v>
      </c>
      <c r="H57" s="1538">
        <f t="shared" si="34"/>
        <v>0</v>
      </c>
      <c r="I57" s="1188"/>
      <c r="J57" s="1188"/>
      <c r="K57" s="1189">
        <f t="shared" si="35"/>
        <v>0</v>
      </c>
      <c r="L57" s="1538">
        <f t="shared" si="52"/>
        <v>0</v>
      </c>
      <c r="M57" s="1372">
        <f t="shared" si="36"/>
        <v>0</v>
      </c>
      <c r="N57" s="1538">
        <f t="shared" si="37"/>
        <v>0</v>
      </c>
      <c r="O57" s="1186">
        <v>0</v>
      </c>
      <c r="P57" s="1544">
        <f t="shared" si="38"/>
        <v>0</v>
      </c>
      <c r="Q57" s="1188"/>
      <c r="R57" s="1188">
        <f t="shared" si="39"/>
        <v>0</v>
      </c>
      <c r="S57" s="1544">
        <f t="shared" si="40"/>
        <v>0</v>
      </c>
      <c r="T57" s="1544">
        <f t="shared" si="41"/>
        <v>0</v>
      </c>
      <c r="U57" s="1373">
        <f>'Table 5C1A-Madison Prep'!U57</f>
        <v>4597</v>
      </c>
      <c r="V57" s="1514">
        <f t="shared" si="53"/>
        <v>0</v>
      </c>
      <c r="W57" s="1375"/>
      <c r="X57" s="1376">
        <f t="shared" si="42"/>
        <v>0</v>
      </c>
      <c r="Y57" s="1375"/>
      <c r="Z57" s="1376">
        <f t="shared" si="31"/>
        <v>0</v>
      </c>
      <c r="AA57" s="1374">
        <f t="shared" si="43"/>
        <v>0</v>
      </c>
      <c r="AB57" s="1509">
        <f t="shared" si="44"/>
        <v>0</v>
      </c>
      <c r="AC57" s="1378">
        <f t="shared" si="45"/>
        <v>0</v>
      </c>
      <c r="AD57" s="1509">
        <f t="shared" si="46"/>
        <v>0</v>
      </c>
      <c r="AE57" s="1379">
        <v>0</v>
      </c>
      <c r="AF57" s="1509">
        <f t="shared" si="47"/>
        <v>0</v>
      </c>
      <c r="AG57" s="1379"/>
      <c r="AH57" s="1379">
        <f t="shared" si="48"/>
        <v>0</v>
      </c>
      <c r="AI57" s="1509">
        <f t="shared" si="49"/>
        <v>0</v>
      </c>
      <c r="AJ57" s="1530">
        <f t="shared" si="50"/>
        <v>0</v>
      </c>
      <c r="AK57" s="1534">
        <f t="shared" si="51"/>
        <v>0</v>
      </c>
    </row>
    <row r="58" spans="1:37" ht="16.2" customHeight="1">
      <c r="A58" s="1176">
        <v>52</v>
      </c>
      <c r="B58" s="1177" t="s">
        <v>131</v>
      </c>
      <c r="C58" s="1178">
        <f>+'Table 8 Membership 2.1.14'!R54</f>
        <v>0</v>
      </c>
      <c r="D58" s="1179">
        <f>+'Table 5C1A-Madison Prep'!D58</f>
        <v>5062.2745845228173</v>
      </c>
      <c r="E58" s="1180">
        <f t="shared" si="32"/>
        <v>0</v>
      </c>
      <c r="F58" s="1180">
        <f>+'Table 5C1A-Madison Prep'!F58</f>
        <v>658.37</v>
      </c>
      <c r="G58" s="1180">
        <f t="shared" si="33"/>
        <v>0</v>
      </c>
      <c r="H58" s="1539">
        <f t="shared" si="34"/>
        <v>0</v>
      </c>
      <c r="I58" s="1181"/>
      <c r="J58" s="1181"/>
      <c r="K58" s="1182">
        <f t="shared" si="35"/>
        <v>0</v>
      </c>
      <c r="L58" s="1539">
        <f t="shared" si="52"/>
        <v>0</v>
      </c>
      <c r="M58" s="1388">
        <f t="shared" si="36"/>
        <v>0</v>
      </c>
      <c r="N58" s="1539">
        <f t="shared" si="37"/>
        <v>0</v>
      </c>
      <c r="O58" s="1179">
        <v>0</v>
      </c>
      <c r="P58" s="1545">
        <f t="shared" si="38"/>
        <v>0</v>
      </c>
      <c r="Q58" s="1181"/>
      <c r="R58" s="1181">
        <f t="shared" si="39"/>
        <v>0</v>
      </c>
      <c r="S58" s="1545">
        <f t="shared" si="40"/>
        <v>0</v>
      </c>
      <c r="T58" s="1545">
        <f t="shared" si="41"/>
        <v>0</v>
      </c>
      <c r="U58" s="1389">
        <f>'Table 5C1A-Madison Prep'!U58</f>
        <v>5212</v>
      </c>
      <c r="V58" s="1515">
        <f t="shared" si="53"/>
        <v>0</v>
      </c>
      <c r="W58" s="1391"/>
      <c r="X58" s="1392">
        <f t="shared" si="42"/>
        <v>0</v>
      </c>
      <c r="Y58" s="1391"/>
      <c r="Z58" s="1392">
        <f t="shared" si="31"/>
        <v>0</v>
      </c>
      <c r="AA58" s="1390">
        <f t="shared" si="43"/>
        <v>0</v>
      </c>
      <c r="AB58" s="1510">
        <f t="shared" si="44"/>
        <v>0</v>
      </c>
      <c r="AC58" s="1394">
        <f t="shared" si="45"/>
        <v>0</v>
      </c>
      <c r="AD58" s="1510">
        <f t="shared" si="46"/>
        <v>0</v>
      </c>
      <c r="AE58" s="1395">
        <v>0</v>
      </c>
      <c r="AF58" s="1510">
        <f t="shared" si="47"/>
        <v>0</v>
      </c>
      <c r="AG58" s="1395"/>
      <c r="AH58" s="1395">
        <f t="shared" si="48"/>
        <v>0</v>
      </c>
      <c r="AI58" s="1510">
        <f t="shared" si="49"/>
        <v>0</v>
      </c>
      <c r="AJ58" s="1505">
        <f t="shared" si="50"/>
        <v>0</v>
      </c>
      <c r="AK58" s="1535">
        <f t="shared" si="51"/>
        <v>0</v>
      </c>
    </row>
    <row r="59" spans="1:37" ht="16.2" customHeight="1">
      <c r="A59" s="1176">
        <v>53</v>
      </c>
      <c r="B59" s="1177" t="s">
        <v>132</v>
      </c>
      <c r="C59" s="1178">
        <f>+'Table 8 Membership 2.1.14'!R55</f>
        <v>0</v>
      </c>
      <c r="D59" s="1179">
        <f>+'Table 5C1A-Madison Prep'!D59</f>
        <v>5060.1508194045482</v>
      </c>
      <c r="E59" s="1180">
        <f t="shared" si="32"/>
        <v>0</v>
      </c>
      <c r="F59" s="1180">
        <f>+'Table 5C1A-Madison Prep'!F59</f>
        <v>689.74</v>
      </c>
      <c r="G59" s="1180">
        <f t="shared" si="33"/>
        <v>0</v>
      </c>
      <c r="H59" s="1539">
        <f t="shared" si="34"/>
        <v>0</v>
      </c>
      <c r="I59" s="1181"/>
      <c r="J59" s="1181"/>
      <c r="K59" s="1182">
        <f t="shared" si="35"/>
        <v>0</v>
      </c>
      <c r="L59" s="1539">
        <f t="shared" si="52"/>
        <v>0</v>
      </c>
      <c r="M59" s="1388">
        <f t="shared" si="36"/>
        <v>0</v>
      </c>
      <c r="N59" s="1539">
        <f t="shared" si="37"/>
        <v>0</v>
      </c>
      <c r="O59" s="1179">
        <v>0</v>
      </c>
      <c r="P59" s="1545">
        <f t="shared" si="38"/>
        <v>0</v>
      </c>
      <c r="Q59" s="1181"/>
      <c r="R59" s="1181">
        <f t="shared" si="39"/>
        <v>0</v>
      </c>
      <c r="S59" s="1545">
        <f t="shared" si="40"/>
        <v>0</v>
      </c>
      <c r="T59" s="1545">
        <f t="shared" si="41"/>
        <v>0</v>
      </c>
      <c r="U59" s="1389">
        <f>'Table 5C1A-Madison Prep'!U59</f>
        <v>2054</v>
      </c>
      <c r="V59" s="1515">
        <f t="shared" si="53"/>
        <v>0</v>
      </c>
      <c r="W59" s="1391"/>
      <c r="X59" s="1392">
        <f t="shared" si="42"/>
        <v>0</v>
      </c>
      <c r="Y59" s="1391"/>
      <c r="Z59" s="1392">
        <f t="shared" si="31"/>
        <v>0</v>
      </c>
      <c r="AA59" s="1390">
        <f t="shared" si="43"/>
        <v>0</v>
      </c>
      <c r="AB59" s="1510">
        <f t="shared" si="44"/>
        <v>0</v>
      </c>
      <c r="AC59" s="1394">
        <f t="shared" si="45"/>
        <v>0</v>
      </c>
      <c r="AD59" s="1510">
        <f t="shared" si="46"/>
        <v>0</v>
      </c>
      <c r="AE59" s="1395">
        <v>0</v>
      </c>
      <c r="AF59" s="1510">
        <f t="shared" si="47"/>
        <v>0</v>
      </c>
      <c r="AG59" s="1395"/>
      <c r="AH59" s="1395">
        <f t="shared" si="48"/>
        <v>0</v>
      </c>
      <c r="AI59" s="1510">
        <f t="shared" si="49"/>
        <v>0</v>
      </c>
      <c r="AJ59" s="1505">
        <f t="shared" si="50"/>
        <v>0</v>
      </c>
      <c r="AK59" s="1535">
        <f t="shared" si="51"/>
        <v>0</v>
      </c>
    </row>
    <row r="60" spans="1:37" ht="16.2" customHeight="1">
      <c r="A60" s="1176">
        <v>54</v>
      </c>
      <c r="B60" s="1177" t="s">
        <v>133</v>
      </c>
      <c r="C60" s="1178">
        <f>+'Table 8 Membership 2.1.14'!R56</f>
        <v>0</v>
      </c>
      <c r="D60" s="1179">
        <f>+'Table 5C1A-Madison Prep'!D60</f>
        <v>5867.0798370516713</v>
      </c>
      <c r="E60" s="1180">
        <f t="shared" si="32"/>
        <v>0</v>
      </c>
      <c r="F60" s="1180">
        <f>+'Table 5C1A-Madison Prep'!F60</f>
        <v>951.45</v>
      </c>
      <c r="G60" s="1180">
        <f t="shared" si="33"/>
        <v>0</v>
      </c>
      <c r="H60" s="1539">
        <f t="shared" si="34"/>
        <v>0</v>
      </c>
      <c r="I60" s="1181"/>
      <c r="J60" s="1181"/>
      <c r="K60" s="1182">
        <f t="shared" si="35"/>
        <v>0</v>
      </c>
      <c r="L60" s="1539">
        <f t="shared" si="52"/>
        <v>0</v>
      </c>
      <c r="M60" s="1388">
        <f t="shared" si="36"/>
        <v>0</v>
      </c>
      <c r="N60" s="1539">
        <f t="shared" si="37"/>
        <v>0</v>
      </c>
      <c r="O60" s="1179">
        <v>0</v>
      </c>
      <c r="P60" s="1545">
        <f t="shared" si="38"/>
        <v>0</v>
      </c>
      <c r="Q60" s="1181"/>
      <c r="R60" s="1181">
        <f t="shared" si="39"/>
        <v>0</v>
      </c>
      <c r="S60" s="1545">
        <f t="shared" si="40"/>
        <v>0</v>
      </c>
      <c r="T60" s="1545">
        <f t="shared" si="41"/>
        <v>0</v>
      </c>
      <c r="U60" s="1389">
        <f>'Table 5C1A-Madison Prep'!U60</f>
        <v>4116</v>
      </c>
      <c r="V60" s="1515">
        <f t="shared" si="53"/>
        <v>0</v>
      </c>
      <c r="W60" s="1391"/>
      <c r="X60" s="1392">
        <f t="shared" si="42"/>
        <v>0</v>
      </c>
      <c r="Y60" s="1391"/>
      <c r="Z60" s="1392">
        <f t="shared" si="31"/>
        <v>0</v>
      </c>
      <c r="AA60" s="1390">
        <f t="shared" si="43"/>
        <v>0</v>
      </c>
      <c r="AB60" s="1510">
        <f t="shared" si="44"/>
        <v>0</v>
      </c>
      <c r="AC60" s="1394">
        <f t="shared" si="45"/>
        <v>0</v>
      </c>
      <c r="AD60" s="1510">
        <f t="shared" si="46"/>
        <v>0</v>
      </c>
      <c r="AE60" s="1395">
        <v>0</v>
      </c>
      <c r="AF60" s="1510">
        <f t="shared" si="47"/>
        <v>0</v>
      </c>
      <c r="AG60" s="1395"/>
      <c r="AH60" s="1395">
        <f t="shared" si="48"/>
        <v>0</v>
      </c>
      <c r="AI60" s="1510">
        <f t="shared" si="49"/>
        <v>0</v>
      </c>
      <c r="AJ60" s="1505">
        <f t="shared" si="50"/>
        <v>0</v>
      </c>
      <c r="AK60" s="1535">
        <f t="shared" si="51"/>
        <v>0</v>
      </c>
    </row>
    <row r="61" spans="1:37" ht="16.2" customHeight="1">
      <c r="A61" s="1168">
        <v>55</v>
      </c>
      <c r="B61" s="1169" t="s">
        <v>134</v>
      </c>
      <c r="C61" s="1170">
        <f>+'Table 8 Membership 2.1.14'!R57</f>
        <v>0</v>
      </c>
      <c r="D61" s="1171">
        <f>+'Table 5C1A-Madison Prep'!D61</f>
        <v>4266.8225491298481</v>
      </c>
      <c r="E61" s="1172">
        <f t="shared" si="32"/>
        <v>0</v>
      </c>
      <c r="F61" s="1172">
        <f>+'Table 5C1A-Madison Prep'!F61</f>
        <v>795.14</v>
      </c>
      <c r="G61" s="1172">
        <f t="shared" si="33"/>
        <v>0</v>
      </c>
      <c r="H61" s="1540">
        <f t="shared" si="34"/>
        <v>0</v>
      </c>
      <c r="I61" s="1173"/>
      <c r="J61" s="1173"/>
      <c r="K61" s="1174">
        <f t="shared" si="35"/>
        <v>0</v>
      </c>
      <c r="L61" s="1540">
        <f t="shared" si="52"/>
        <v>0</v>
      </c>
      <c r="M61" s="1399">
        <f t="shared" si="36"/>
        <v>0</v>
      </c>
      <c r="N61" s="1540">
        <f t="shared" si="37"/>
        <v>0</v>
      </c>
      <c r="O61" s="1171">
        <v>0</v>
      </c>
      <c r="P61" s="1546">
        <f t="shared" si="38"/>
        <v>0</v>
      </c>
      <c r="Q61" s="1173"/>
      <c r="R61" s="1173">
        <f t="shared" si="39"/>
        <v>0</v>
      </c>
      <c r="S61" s="1550">
        <f t="shared" si="40"/>
        <v>0</v>
      </c>
      <c r="T61" s="1550">
        <f t="shared" si="41"/>
        <v>0</v>
      </c>
      <c r="U61" s="1382">
        <f>'Table 5C1A-Madison Prep'!U61</f>
        <v>3532</v>
      </c>
      <c r="V61" s="1516">
        <f t="shared" si="53"/>
        <v>0</v>
      </c>
      <c r="W61" s="1400"/>
      <c r="X61" s="1383">
        <f t="shared" si="42"/>
        <v>0</v>
      </c>
      <c r="Y61" s="1400"/>
      <c r="Z61" s="1383">
        <f t="shared" si="31"/>
        <v>0</v>
      </c>
      <c r="AA61" s="1384">
        <f t="shared" si="43"/>
        <v>0</v>
      </c>
      <c r="AB61" s="1511">
        <f t="shared" si="44"/>
        <v>0</v>
      </c>
      <c r="AC61" s="1402">
        <f t="shared" si="45"/>
        <v>0</v>
      </c>
      <c r="AD61" s="1511">
        <f t="shared" si="46"/>
        <v>0</v>
      </c>
      <c r="AE61" s="1385">
        <v>0</v>
      </c>
      <c r="AF61" s="1511">
        <f t="shared" si="47"/>
        <v>0</v>
      </c>
      <c r="AG61" s="1385"/>
      <c r="AH61" s="1385">
        <f t="shared" si="48"/>
        <v>0</v>
      </c>
      <c r="AI61" s="1511">
        <f t="shared" si="49"/>
        <v>0</v>
      </c>
      <c r="AJ61" s="1531">
        <f t="shared" si="50"/>
        <v>0</v>
      </c>
      <c r="AK61" s="1536">
        <f t="shared" si="51"/>
        <v>0</v>
      </c>
    </row>
    <row r="62" spans="1:37" ht="16.2" customHeight="1">
      <c r="A62" s="1183">
        <v>56</v>
      </c>
      <c r="B62" s="1184" t="s">
        <v>135</v>
      </c>
      <c r="C62" s="1185">
        <f>+'Table 8 Membership 2.1.14'!R58</f>
        <v>0</v>
      </c>
      <c r="D62" s="1186">
        <f>+'Table 5C1A-Madison Prep'!D62</f>
        <v>5028.4909408288286</v>
      </c>
      <c r="E62" s="1187">
        <f t="shared" si="32"/>
        <v>0</v>
      </c>
      <c r="F62" s="1187">
        <f>+'Table 5C1A-Madison Prep'!F62</f>
        <v>614.66000000000008</v>
      </c>
      <c r="G62" s="1187">
        <f t="shared" si="33"/>
        <v>0</v>
      </c>
      <c r="H62" s="1538">
        <f t="shared" si="34"/>
        <v>0</v>
      </c>
      <c r="I62" s="1188"/>
      <c r="J62" s="1188"/>
      <c r="K62" s="1189">
        <f t="shared" si="35"/>
        <v>0</v>
      </c>
      <c r="L62" s="1538">
        <f t="shared" si="52"/>
        <v>0</v>
      </c>
      <c r="M62" s="1372">
        <f t="shared" si="36"/>
        <v>0</v>
      </c>
      <c r="N62" s="1538">
        <f t="shared" si="37"/>
        <v>0</v>
      </c>
      <c r="O62" s="1186">
        <v>0</v>
      </c>
      <c r="P62" s="1544">
        <f t="shared" si="38"/>
        <v>0</v>
      </c>
      <c r="Q62" s="1188"/>
      <c r="R62" s="1188">
        <f t="shared" si="39"/>
        <v>0</v>
      </c>
      <c r="S62" s="1544">
        <f t="shared" si="40"/>
        <v>0</v>
      </c>
      <c r="T62" s="1544">
        <f t="shared" si="41"/>
        <v>0</v>
      </c>
      <c r="U62" s="1373">
        <f>'Table 5C1A-Madison Prep'!U62</f>
        <v>2865</v>
      </c>
      <c r="V62" s="1514">
        <f t="shared" si="53"/>
        <v>0</v>
      </c>
      <c r="W62" s="1375"/>
      <c r="X62" s="1376">
        <f t="shared" si="42"/>
        <v>0</v>
      </c>
      <c r="Y62" s="1375"/>
      <c r="Z62" s="1376">
        <f t="shared" si="31"/>
        <v>0</v>
      </c>
      <c r="AA62" s="1374">
        <f t="shared" si="43"/>
        <v>0</v>
      </c>
      <c r="AB62" s="1509">
        <f t="shared" si="44"/>
        <v>0</v>
      </c>
      <c r="AC62" s="1378">
        <f t="shared" si="45"/>
        <v>0</v>
      </c>
      <c r="AD62" s="1509">
        <f t="shared" si="46"/>
        <v>0</v>
      </c>
      <c r="AE62" s="1379">
        <v>0</v>
      </c>
      <c r="AF62" s="1509">
        <f t="shared" si="47"/>
        <v>0</v>
      </c>
      <c r="AG62" s="1379"/>
      <c r="AH62" s="1379">
        <f t="shared" si="48"/>
        <v>0</v>
      </c>
      <c r="AI62" s="1509">
        <f t="shared" si="49"/>
        <v>0</v>
      </c>
      <c r="AJ62" s="1530">
        <f t="shared" si="50"/>
        <v>0</v>
      </c>
      <c r="AK62" s="1534">
        <f t="shared" si="51"/>
        <v>0</v>
      </c>
    </row>
    <row r="63" spans="1:37" ht="16.2" customHeight="1">
      <c r="A63" s="1176">
        <v>57</v>
      </c>
      <c r="B63" s="1177" t="s">
        <v>136</v>
      </c>
      <c r="C63" s="1178">
        <f>+'Table 8 Membership 2.1.14'!R59</f>
        <v>0</v>
      </c>
      <c r="D63" s="1179">
        <f>+'Table 5C1A-Madison Prep'!D63</f>
        <v>4625.9922979230687</v>
      </c>
      <c r="E63" s="1180">
        <f t="shared" si="32"/>
        <v>0</v>
      </c>
      <c r="F63" s="1180">
        <f>+'Table 5C1A-Madison Prep'!F63</f>
        <v>764.51</v>
      </c>
      <c r="G63" s="1180">
        <f t="shared" si="33"/>
        <v>0</v>
      </c>
      <c r="H63" s="1539">
        <f t="shared" si="34"/>
        <v>0</v>
      </c>
      <c r="I63" s="1181"/>
      <c r="J63" s="1181"/>
      <c r="K63" s="1182">
        <f t="shared" si="35"/>
        <v>0</v>
      </c>
      <c r="L63" s="1539">
        <f t="shared" si="52"/>
        <v>0</v>
      </c>
      <c r="M63" s="1388">
        <f t="shared" si="36"/>
        <v>0</v>
      </c>
      <c r="N63" s="1539">
        <f t="shared" si="37"/>
        <v>0</v>
      </c>
      <c r="O63" s="1179">
        <v>0</v>
      </c>
      <c r="P63" s="1545">
        <f t="shared" si="38"/>
        <v>0</v>
      </c>
      <c r="Q63" s="1181"/>
      <c r="R63" s="1181">
        <f t="shared" si="39"/>
        <v>0</v>
      </c>
      <c r="S63" s="1545">
        <f t="shared" si="40"/>
        <v>0</v>
      </c>
      <c r="T63" s="1545">
        <f t="shared" si="41"/>
        <v>0</v>
      </c>
      <c r="U63" s="1389">
        <f>'Table 5C1A-Madison Prep'!U63</f>
        <v>3395</v>
      </c>
      <c r="V63" s="1515">
        <f t="shared" si="53"/>
        <v>0</v>
      </c>
      <c r="W63" s="1391"/>
      <c r="X63" s="1392">
        <f t="shared" si="42"/>
        <v>0</v>
      </c>
      <c r="Y63" s="1391"/>
      <c r="Z63" s="1392">
        <f t="shared" si="31"/>
        <v>0</v>
      </c>
      <c r="AA63" s="1390">
        <f t="shared" si="43"/>
        <v>0</v>
      </c>
      <c r="AB63" s="1510">
        <f t="shared" si="44"/>
        <v>0</v>
      </c>
      <c r="AC63" s="1394">
        <f t="shared" si="45"/>
        <v>0</v>
      </c>
      <c r="AD63" s="1510">
        <f t="shared" si="46"/>
        <v>0</v>
      </c>
      <c r="AE63" s="1395">
        <v>0</v>
      </c>
      <c r="AF63" s="1510">
        <f t="shared" si="47"/>
        <v>0</v>
      </c>
      <c r="AG63" s="1395"/>
      <c r="AH63" s="1395">
        <f t="shared" si="48"/>
        <v>0</v>
      </c>
      <c r="AI63" s="1510">
        <f t="shared" si="49"/>
        <v>0</v>
      </c>
      <c r="AJ63" s="1505">
        <f t="shared" si="50"/>
        <v>0</v>
      </c>
      <c r="AK63" s="1535">
        <f t="shared" si="51"/>
        <v>0</v>
      </c>
    </row>
    <row r="64" spans="1:37" ht="16.2" customHeight="1">
      <c r="A64" s="1176">
        <v>58</v>
      </c>
      <c r="B64" s="1177" t="s">
        <v>137</v>
      </c>
      <c r="C64" s="1178">
        <f>+'Table 8 Membership 2.1.14'!R60</f>
        <v>0</v>
      </c>
      <c r="D64" s="1179">
        <f>+'Table 5C1A-Madison Prep'!D64</f>
        <v>5673.1129637882123</v>
      </c>
      <c r="E64" s="1180">
        <f t="shared" si="32"/>
        <v>0</v>
      </c>
      <c r="F64" s="1180">
        <f>+'Table 5C1A-Madison Prep'!F64</f>
        <v>697.04</v>
      </c>
      <c r="G64" s="1180">
        <f t="shared" si="33"/>
        <v>0</v>
      </c>
      <c r="H64" s="1539">
        <f t="shared" si="34"/>
        <v>0</v>
      </c>
      <c r="I64" s="1181"/>
      <c r="J64" s="1181"/>
      <c r="K64" s="1182">
        <f t="shared" si="35"/>
        <v>0</v>
      </c>
      <c r="L64" s="1539">
        <f t="shared" si="52"/>
        <v>0</v>
      </c>
      <c r="M64" s="1388">
        <f t="shared" si="36"/>
        <v>0</v>
      </c>
      <c r="N64" s="1539">
        <f t="shared" si="37"/>
        <v>0</v>
      </c>
      <c r="O64" s="1179">
        <v>0</v>
      </c>
      <c r="P64" s="1545">
        <f t="shared" si="38"/>
        <v>0</v>
      </c>
      <c r="Q64" s="1181"/>
      <c r="R64" s="1181">
        <f t="shared" si="39"/>
        <v>0</v>
      </c>
      <c r="S64" s="1545">
        <f t="shared" si="40"/>
        <v>0</v>
      </c>
      <c r="T64" s="1545">
        <f t="shared" si="41"/>
        <v>0</v>
      </c>
      <c r="U64" s="1389">
        <f>'Table 5C1A-Madison Prep'!U64</f>
        <v>2084</v>
      </c>
      <c r="V64" s="1515">
        <f t="shared" si="53"/>
        <v>0</v>
      </c>
      <c r="W64" s="1391"/>
      <c r="X64" s="1392">
        <f t="shared" si="42"/>
        <v>0</v>
      </c>
      <c r="Y64" s="1391"/>
      <c r="Z64" s="1392">
        <f t="shared" si="31"/>
        <v>0</v>
      </c>
      <c r="AA64" s="1390">
        <f t="shared" si="43"/>
        <v>0</v>
      </c>
      <c r="AB64" s="1510">
        <f t="shared" si="44"/>
        <v>0</v>
      </c>
      <c r="AC64" s="1394">
        <f t="shared" si="45"/>
        <v>0</v>
      </c>
      <c r="AD64" s="1510">
        <f t="shared" si="46"/>
        <v>0</v>
      </c>
      <c r="AE64" s="1395">
        <v>0</v>
      </c>
      <c r="AF64" s="1510">
        <f t="shared" si="47"/>
        <v>0</v>
      </c>
      <c r="AG64" s="1395"/>
      <c r="AH64" s="1395">
        <f t="shared" si="48"/>
        <v>0</v>
      </c>
      <c r="AI64" s="1510">
        <f t="shared" si="49"/>
        <v>0</v>
      </c>
      <c r="AJ64" s="1505">
        <f t="shared" si="50"/>
        <v>0</v>
      </c>
      <c r="AK64" s="1535">
        <f t="shared" si="51"/>
        <v>0</v>
      </c>
    </row>
    <row r="65" spans="1:37" ht="16.2" customHeight="1">
      <c r="A65" s="1176">
        <v>59</v>
      </c>
      <c r="B65" s="1177" t="s">
        <v>138</v>
      </c>
      <c r="C65" s="1178">
        <f>+'Table 8 Membership 2.1.14'!R61</f>
        <v>0</v>
      </c>
      <c r="D65" s="1179">
        <f>+'Table 5C1A-Madison Prep'!D65</f>
        <v>6621.946293521848</v>
      </c>
      <c r="E65" s="1180">
        <f t="shared" si="32"/>
        <v>0</v>
      </c>
      <c r="F65" s="1180">
        <f>+'Table 5C1A-Madison Prep'!F65</f>
        <v>689.52</v>
      </c>
      <c r="G65" s="1180">
        <f t="shared" si="33"/>
        <v>0</v>
      </c>
      <c r="H65" s="1539">
        <f t="shared" si="34"/>
        <v>0</v>
      </c>
      <c r="I65" s="1181"/>
      <c r="J65" s="1181"/>
      <c r="K65" s="1182">
        <f t="shared" si="35"/>
        <v>0</v>
      </c>
      <c r="L65" s="1539">
        <f t="shared" si="52"/>
        <v>0</v>
      </c>
      <c r="M65" s="1388">
        <f t="shared" si="36"/>
        <v>0</v>
      </c>
      <c r="N65" s="1539">
        <f t="shared" si="37"/>
        <v>0</v>
      </c>
      <c r="O65" s="1179">
        <v>0</v>
      </c>
      <c r="P65" s="1545">
        <f t="shared" si="38"/>
        <v>0</v>
      </c>
      <c r="Q65" s="1181"/>
      <c r="R65" s="1181">
        <f t="shared" si="39"/>
        <v>0</v>
      </c>
      <c r="S65" s="1545">
        <f t="shared" si="40"/>
        <v>0</v>
      </c>
      <c r="T65" s="1545">
        <f t="shared" si="41"/>
        <v>0</v>
      </c>
      <c r="U65" s="1389">
        <f>'Table 5C1A-Madison Prep'!U65</f>
        <v>1577</v>
      </c>
      <c r="V65" s="1515">
        <f t="shared" si="53"/>
        <v>0</v>
      </c>
      <c r="W65" s="1391"/>
      <c r="X65" s="1392">
        <f t="shared" si="42"/>
        <v>0</v>
      </c>
      <c r="Y65" s="1391"/>
      <c r="Z65" s="1392">
        <f t="shared" si="31"/>
        <v>0</v>
      </c>
      <c r="AA65" s="1390">
        <f t="shared" si="43"/>
        <v>0</v>
      </c>
      <c r="AB65" s="1510">
        <f t="shared" si="44"/>
        <v>0</v>
      </c>
      <c r="AC65" s="1394">
        <f t="shared" si="45"/>
        <v>0</v>
      </c>
      <c r="AD65" s="1510">
        <f t="shared" si="46"/>
        <v>0</v>
      </c>
      <c r="AE65" s="1395">
        <v>0</v>
      </c>
      <c r="AF65" s="1510">
        <f t="shared" si="47"/>
        <v>0</v>
      </c>
      <c r="AG65" s="1395"/>
      <c r="AH65" s="1395">
        <f t="shared" si="48"/>
        <v>0</v>
      </c>
      <c r="AI65" s="1510">
        <f t="shared" si="49"/>
        <v>0</v>
      </c>
      <c r="AJ65" s="1505">
        <f t="shared" si="50"/>
        <v>0</v>
      </c>
      <c r="AK65" s="1535">
        <f t="shared" si="51"/>
        <v>0</v>
      </c>
    </row>
    <row r="66" spans="1:37" ht="16.2" customHeight="1">
      <c r="A66" s="1168">
        <v>60</v>
      </c>
      <c r="B66" s="1169" t="s">
        <v>139</v>
      </c>
      <c r="C66" s="1170">
        <f>+'Table 8 Membership 2.1.14'!R62</f>
        <v>0</v>
      </c>
      <c r="D66" s="1171">
        <f>+'Table 5C1A-Madison Prep'!D66</f>
        <v>5301.224090063828</v>
      </c>
      <c r="E66" s="1172">
        <f t="shared" si="32"/>
        <v>0</v>
      </c>
      <c r="F66" s="1172">
        <f>+'Table 5C1A-Madison Prep'!F66</f>
        <v>594.04</v>
      </c>
      <c r="G66" s="1172">
        <f t="shared" si="33"/>
        <v>0</v>
      </c>
      <c r="H66" s="1540">
        <f t="shared" si="34"/>
        <v>0</v>
      </c>
      <c r="I66" s="1173"/>
      <c r="J66" s="1173"/>
      <c r="K66" s="1174">
        <f t="shared" si="35"/>
        <v>0</v>
      </c>
      <c r="L66" s="1540">
        <f t="shared" si="52"/>
        <v>0</v>
      </c>
      <c r="M66" s="1399">
        <f t="shared" si="36"/>
        <v>0</v>
      </c>
      <c r="N66" s="1540">
        <f t="shared" si="37"/>
        <v>0</v>
      </c>
      <c r="O66" s="1171">
        <v>0</v>
      </c>
      <c r="P66" s="1546">
        <f t="shared" si="38"/>
        <v>0</v>
      </c>
      <c r="Q66" s="1173"/>
      <c r="R66" s="1173">
        <f t="shared" si="39"/>
        <v>0</v>
      </c>
      <c r="S66" s="1550">
        <f t="shared" si="40"/>
        <v>0</v>
      </c>
      <c r="T66" s="1550">
        <f t="shared" si="41"/>
        <v>0</v>
      </c>
      <c r="U66" s="1382">
        <f>'Table 5C1A-Madison Prep'!U66</f>
        <v>3922</v>
      </c>
      <c r="V66" s="1516">
        <f t="shared" si="53"/>
        <v>0</v>
      </c>
      <c r="W66" s="1400"/>
      <c r="X66" s="1383">
        <f t="shared" si="42"/>
        <v>0</v>
      </c>
      <c r="Y66" s="1400"/>
      <c r="Z66" s="1383">
        <f t="shared" si="31"/>
        <v>0</v>
      </c>
      <c r="AA66" s="1384">
        <f t="shared" si="43"/>
        <v>0</v>
      </c>
      <c r="AB66" s="1511">
        <f t="shared" si="44"/>
        <v>0</v>
      </c>
      <c r="AC66" s="1402">
        <f t="shared" si="45"/>
        <v>0</v>
      </c>
      <c r="AD66" s="1511">
        <f t="shared" si="46"/>
        <v>0</v>
      </c>
      <c r="AE66" s="1385">
        <v>0</v>
      </c>
      <c r="AF66" s="1511">
        <f t="shared" si="47"/>
        <v>0</v>
      </c>
      <c r="AG66" s="1385"/>
      <c r="AH66" s="1385">
        <f t="shared" si="48"/>
        <v>0</v>
      </c>
      <c r="AI66" s="1511">
        <f t="shared" si="49"/>
        <v>0</v>
      </c>
      <c r="AJ66" s="1531">
        <f t="shared" si="50"/>
        <v>0</v>
      </c>
      <c r="AK66" s="1536">
        <f t="shared" si="51"/>
        <v>0</v>
      </c>
    </row>
    <row r="67" spans="1:37" ht="16.2" customHeight="1">
      <c r="A67" s="1183">
        <v>61</v>
      </c>
      <c r="B67" s="1184" t="s">
        <v>140</v>
      </c>
      <c r="C67" s="1185">
        <f>+'Table 8 Membership 2.1.14'!R63</f>
        <v>0</v>
      </c>
      <c r="D67" s="1186">
        <f>+'Table 5C1A-Madison Prep'!D67</f>
        <v>2854.1575356369185</v>
      </c>
      <c r="E67" s="1187">
        <f t="shared" si="32"/>
        <v>0</v>
      </c>
      <c r="F67" s="1187">
        <f>+'Table 5C1A-Madison Prep'!F67</f>
        <v>833.70999999999992</v>
      </c>
      <c r="G67" s="1187">
        <f t="shared" si="33"/>
        <v>0</v>
      </c>
      <c r="H67" s="1538">
        <f t="shared" si="34"/>
        <v>0</v>
      </c>
      <c r="I67" s="1188"/>
      <c r="J67" s="1188"/>
      <c r="K67" s="1189">
        <f t="shared" si="35"/>
        <v>0</v>
      </c>
      <c r="L67" s="1538">
        <f t="shared" si="52"/>
        <v>0</v>
      </c>
      <c r="M67" s="1372">
        <f t="shared" si="36"/>
        <v>0</v>
      </c>
      <c r="N67" s="1538">
        <f t="shared" si="37"/>
        <v>0</v>
      </c>
      <c r="O67" s="1186">
        <v>0</v>
      </c>
      <c r="P67" s="1544">
        <f t="shared" si="38"/>
        <v>0</v>
      </c>
      <c r="Q67" s="1188"/>
      <c r="R67" s="1188">
        <f t="shared" si="39"/>
        <v>0</v>
      </c>
      <c r="S67" s="1544">
        <f t="shared" si="40"/>
        <v>0</v>
      </c>
      <c r="T67" s="1544">
        <f t="shared" si="41"/>
        <v>0</v>
      </c>
      <c r="U67" s="1373">
        <f>'Table 5C1A-Madison Prep'!U67</f>
        <v>6745</v>
      </c>
      <c r="V67" s="1514">
        <f t="shared" si="53"/>
        <v>0</v>
      </c>
      <c r="W67" s="1375"/>
      <c r="X67" s="1376">
        <f t="shared" si="42"/>
        <v>0</v>
      </c>
      <c r="Y67" s="1375"/>
      <c r="Z67" s="1376">
        <f t="shared" si="31"/>
        <v>0</v>
      </c>
      <c r="AA67" s="1374">
        <f t="shared" si="43"/>
        <v>0</v>
      </c>
      <c r="AB67" s="1509">
        <f t="shared" si="44"/>
        <v>0</v>
      </c>
      <c r="AC67" s="1378">
        <f t="shared" si="45"/>
        <v>0</v>
      </c>
      <c r="AD67" s="1509">
        <f t="shared" si="46"/>
        <v>0</v>
      </c>
      <c r="AE67" s="1379">
        <v>0</v>
      </c>
      <c r="AF67" s="1509">
        <f t="shared" si="47"/>
        <v>0</v>
      </c>
      <c r="AG67" s="1379"/>
      <c r="AH67" s="1379">
        <f t="shared" si="48"/>
        <v>0</v>
      </c>
      <c r="AI67" s="1509">
        <f t="shared" si="49"/>
        <v>0</v>
      </c>
      <c r="AJ67" s="1530">
        <f t="shared" si="50"/>
        <v>0</v>
      </c>
      <c r="AK67" s="1534">
        <f t="shared" si="51"/>
        <v>0</v>
      </c>
    </row>
    <row r="68" spans="1:37" ht="16.2" customHeight="1">
      <c r="A68" s="1176">
        <v>62</v>
      </c>
      <c r="B68" s="1177" t="s">
        <v>141</v>
      </c>
      <c r="C68" s="1178">
        <f>+'Table 8 Membership 2.1.14'!R64</f>
        <v>0</v>
      </c>
      <c r="D68" s="1179">
        <f>+'Table 5C1A-Madison Prep'!D68</f>
        <v>5901.074538516008</v>
      </c>
      <c r="E68" s="1180">
        <f t="shared" si="32"/>
        <v>0</v>
      </c>
      <c r="F68" s="1180">
        <f>+'Table 5C1A-Madison Prep'!F68</f>
        <v>516.08000000000004</v>
      </c>
      <c r="G68" s="1180">
        <f t="shared" si="33"/>
        <v>0</v>
      </c>
      <c r="H68" s="1539">
        <f t="shared" si="34"/>
        <v>0</v>
      </c>
      <c r="I68" s="1181"/>
      <c r="J68" s="1181"/>
      <c r="K68" s="1182">
        <f t="shared" si="35"/>
        <v>0</v>
      </c>
      <c r="L68" s="1539">
        <f t="shared" si="52"/>
        <v>0</v>
      </c>
      <c r="M68" s="1388">
        <f t="shared" si="36"/>
        <v>0</v>
      </c>
      <c r="N68" s="1539">
        <f t="shared" si="37"/>
        <v>0</v>
      </c>
      <c r="O68" s="1179">
        <v>0</v>
      </c>
      <c r="P68" s="1545">
        <f t="shared" si="38"/>
        <v>0</v>
      </c>
      <c r="Q68" s="1181"/>
      <c r="R68" s="1181">
        <f t="shared" si="39"/>
        <v>0</v>
      </c>
      <c r="S68" s="1545">
        <f t="shared" si="40"/>
        <v>0</v>
      </c>
      <c r="T68" s="1545">
        <f t="shared" si="41"/>
        <v>0</v>
      </c>
      <c r="U68" s="1389">
        <f>'Table 5C1A-Madison Prep'!U68</f>
        <v>1908</v>
      </c>
      <c r="V68" s="1515">
        <f t="shared" si="53"/>
        <v>0</v>
      </c>
      <c r="W68" s="1391"/>
      <c r="X68" s="1392">
        <f t="shared" si="42"/>
        <v>0</v>
      </c>
      <c r="Y68" s="1391"/>
      <c r="Z68" s="1392">
        <f t="shared" si="31"/>
        <v>0</v>
      </c>
      <c r="AA68" s="1390">
        <f t="shared" si="43"/>
        <v>0</v>
      </c>
      <c r="AB68" s="1510">
        <f t="shared" si="44"/>
        <v>0</v>
      </c>
      <c r="AC68" s="1394">
        <f t="shared" si="45"/>
        <v>0</v>
      </c>
      <c r="AD68" s="1510">
        <f t="shared" si="46"/>
        <v>0</v>
      </c>
      <c r="AE68" s="1395">
        <v>0</v>
      </c>
      <c r="AF68" s="1510">
        <f t="shared" si="47"/>
        <v>0</v>
      </c>
      <c r="AG68" s="1395"/>
      <c r="AH68" s="1395">
        <f t="shared" si="48"/>
        <v>0</v>
      </c>
      <c r="AI68" s="1510">
        <f t="shared" si="49"/>
        <v>0</v>
      </c>
      <c r="AJ68" s="1505">
        <f t="shared" si="50"/>
        <v>0</v>
      </c>
      <c r="AK68" s="1535">
        <f t="shared" si="51"/>
        <v>0</v>
      </c>
    </row>
    <row r="69" spans="1:37" ht="16.2" customHeight="1">
      <c r="A69" s="1176">
        <v>63</v>
      </c>
      <c r="B69" s="1177" t="s">
        <v>142</v>
      </c>
      <c r="C69" s="1178">
        <f>+'Table 8 Membership 2.1.14'!R65</f>
        <v>0</v>
      </c>
      <c r="D69" s="1179">
        <f>+'Table 5C1A-Madison Prep'!D69</f>
        <v>4124.3813481848092</v>
      </c>
      <c r="E69" s="1180">
        <f t="shared" si="32"/>
        <v>0</v>
      </c>
      <c r="F69" s="1180">
        <f>+'Table 5C1A-Madison Prep'!F69</f>
        <v>756.79</v>
      </c>
      <c r="G69" s="1180">
        <f t="shared" si="33"/>
        <v>0</v>
      </c>
      <c r="H69" s="1539">
        <f t="shared" si="34"/>
        <v>0</v>
      </c>
      <c r="I69" s="1181"/>
      <c r="J69" s="1181"/>
      <c r="K69" s="1182">
        <f t="shared" si="35"/>
        <v>0</v>
      </c>
      <c r="L69" s="1539">
        <f t="shared" si="52"/>
        <v>0</v>
      </c>
      <c r="M69" s="1388">
        <f t="shared" si="36"/>
        <v>0</v>
      </c>
      <c r="N69" s="1539">
        <f t="shared" si="37"/>
        <v>0</v>
      </c>
      <c r="O69" s="1179">
        <v>0</v>
      </c>
      <c r="P69" s="1545">
        <f t="shared" si="38"/>
        <v>0</v>
      </c>
      <c r="Q69" s="1181"/>
      <c r="R69" s="1181">
        <f t="shared" si="39"/>
        <v>0</v>
      </c>
      <c r="S69" s="1545">
        <f t="shared" si="40"/>
        <v>0</v>
      </c>
      <c r="T69" s="1545">
        <f t="shared" si="41"/>
        <v>0</v>
      </c>
      <c r="U69" s="1389">
        <f>'Table 5C1A-Madison Prep'!U69</f>
        <v>7290</v>
      </c>
      <c r="V69" s="1515">
        <f t="shared" si="53"/>
        <v>0</v>
      </c>
      <c r="W69" s="1391"/>
      <c r="X69" s="1392">
        <f t="shared" si="42"/>
        <v>0</v>
      </c>
      <c r="Y69" s="1391"/>
      <c r="Z69" s="1392">
        <f t="shared" si="31"/>
        <v>0</v>
      </c>
      <c r="AA69" s="1390">
        <f t="shared" si="43"/>
        <v>0</v>
      </c>
      <c r="AB69" s="1510">
        <f t="shared" si="44"/>
        <v>0</v>
      </c>
      <c r="AC69" s="1394">
        <f t="shared" si="45"/>
        <v>0</v>
      </c>
      <c r="AD69" s="1510">
        <f t="shared" si="46"/>
        <v>0</v>
      </c>
      <c r="AE69" s="1395">
        <v>0</v>
      </c>
      <c r="AF69" s="1510">
        <f t="shared" si="47"/>
        <v>0</v>
      </c>
      <c r="AG69" s="1395"/>
      <c r="AH69" s="1395">
        <f t="shared" si="48"/>
        <v>0</v>
      </c>
      <c r="AI69" s="1510">
        <f t="shared" si="49"/>
        <v>0</v>
      </c>
      <c r="AJ69" s="1505">
        <f t="shared" si="50"/>
        <v>0</v>
      </c>
      <c r="AK69" s="1535">
        <f t="shared" si="51"/>
        <v>0</v>
      </c>
    </row>
    <row r="70" spans="1:37" ht="16.2" customHeight="1">
      <c r="A70" s="1176">
        <v>64</v>
      </c>
      <c r="B70" s="1177" t="s">
        <v>143</v>
      </c>
      <c r="C70" s="1178">
        <f>+'Table 8 Membership 2.1.14'!R66</f>
        <v>0</v>
      </c>
      <c r="D70" s="1179">
        <f>+'Table 5C1A-Madison Prep'!D70</f>
        <v>6277.8307532778254</v>
      </c>
      <c r="E70" s="1180">
        <f t="shared" si="32"/>
        <v>0</v>
      </c>
      <c r="F70" s="1180">
        <f>+'Table 5C1A-Madison Prep'!F70</f>
        <v>592.66</v>
      </c>
      <c r="G70" s="1180">
        <f t="shared" si="33"/>
        <v>0</v>
      </c>
      <c r="H70" s="1539">
        <f t="shared" si="34"/>
        <v>0</v>
      </c>
      <c r="I70" s="1181"/>
      <c r="J70" s="1181"/>
      <c r="K70" s="1182">
        <f t="shared" si="35"/>
        <v>0</v>
      </c>
      <c r="L70" s="1539">
        <f t="shared" si="52"/>
        <v>0</v>
      </c>
      <c r="M70" s="1388">
        <f t="shared" si="36"/>
        <v>0</v>
      </c>
      <c r="N70" s="1539">
        <f t="shared" si="37"/>
        <v>0</v>
      </c>
      <c r="O70" s="1179">
        <v>0</v>
      </c>
      <c r="P70" s="1545">
        <f t="shared" si="38"/>
        <v>0</v>
      </c>
      <c r="Q70" s="1181"/>
      <c r="R70" s="1181">
        <f t="shared" si="39"/>
        <v>0</v>
      </c>
      <c r="S70" s="1545">
        <f t="shared" si="40"/>
        <v>0</v>
      </c>
      <c r="T70" s="1545">
        <f t="shared" si="41"/>
        <v>0</v>
      </c>
      <c r="U70" s="1389">
        <f>'Table 5C1A-Madison Prep'!U70</f>
        <v>2721</v>
      </c>
      <c r="V70" s="1515">
        <f t="shared" si="53"/>
        <v>0</v>
      </c>
      <c r="W70" s="1391"/>
      <c r="X70" s="1392">
        <f t="shared" si="42"/>
        <v>0</v>
      </c>
      <c r="Y70" s="1391"/>
      <c r="Z70" s="1392">
        <f t="shared" si="31"/>
        <v>0</v>
      </c>
      <c r="AA70" s="1390">
        <f t="shared" si="43"/>
        <v>0</v>
      </c>
      <c r="AB70" s="1510">
        <f t="shared" si="44"/>
        <v>0</v>
      </c>
      <c r="AC70" s="1394">
        <f t="shared" si="45"/>
        <v>0</v>
      </c>
      <c r="AD70" s="1510">
        <f t="shared" si="46"/>
        <v>0</v>
      </c>
      <c r="AE70" s="1395">
        <v>0</v>
      </c>
      <c r="AF70" s="1510">
        <f t="shared" si="47"/>
        <v>0</v>
      </c>
      <c r="AG70" s="1395"/>
      <c r="AH70" s="1395">
        <f t="shared" si="48"/>
        <v>0</v>
      </c>
      <c r="AI70" s="1510">
        <f t="shared" si="49"/>
        <v>0</v>
      </c>
      <c r="AJ70" s="1505">
        <f t="shared" si="50"/>
        <v>0</v>
      </c>
      <c r="AK70" s="1535">
        <f t="shared" si="51"/>
        <v>0</v>
      </c>
    </row>
    <row r="71" spans="1:37" ht="16.2" customHeight="1">
      <c r="A71" s="1168">
        <v>65</v>
      </c>
      <c r="B71" s="1169" t="s">
        <v>144</v>
      </c>
      <c r="C71" s="1170">
        <f>+'Table 8 Membership 2.1.14'!R67</f>
        <v>0</v>
      </c>
      <c r="D71" s="1171">
        <f>+'Table 5C1A-Madison Prep'!D71</f>
        <v>4775.1605543943642</v>
      </c>
      <c r="E71" s="1172">
        <f t="shared" si="32"/>
        <v>0</v>
      </c>
      <c r="F71" s="1172">
        <f>+'Table 5C1A-Madison Prep'!F71</f>
        <v>829.12</v>
      </c>
      <c r="G71" s="1172">
        <f t="shared" si="33"/>
        <v>0</v>
      </c>
      <c r="H71" s="1540">
        <f t="shared" si="34"/>
        <v>0</v>
      </c>
      <c r="I71" s="1173"/>
      <c r="J71" s="1173"/>
      <c r="K71" s="1174">
        <f t="shared" si="35"/>
        <v>0</v>
      </c>
      <c r="L71" s="1540">
        <f t="shared" ref="L71:L75" si="54">H71+K71</f>
        <v>0</v>
      </c>
      <c r="M71" s="1399">
        <f t="shared" si="36"/>
        <v>0</v>
      </c>
      <c r="N71" s="1540">
        <f t="shared" si="37"/>
        <v>0</v>
      </c>
      <c r="O71" s="1171">
        <v>0</v>
      </c>
      <c r="P71" s="1546">
        <f t="shared" si="38"/>
        <v>0</v>
      </c>
      <c r="Q71" s="1173"/>
      <c r="R71" s="1173">
        <f t="shared" si="39"/>
        <v>0</v>
      </c>
      <c r="S71" s="1550">
        <f t="shared" si="40"/>
        <v>0</v>
      </c>
      <c r="T71" s="1550">
        <f t="shared" si="41"/>
        <v>0</v>
      </c>
      <c r="U71" s="1382">
        <f>'Table 5C1A-Madison Prep'!U71</f>
        <v>5110</v>
      </c>
      <c r="V71" s="1516">
        <f t="shared" ref="V71:V75" si="55">C71*U71</f>
        <v>0</v>
      </c>
      <c r="W71" s="1400"/>
      <c r="X71" s="1383">
        <f t="shared" si="42"/>
        <v>0</v>
      </c>
      <c r="Y71" s="1400"/>
      <c r="Z71" s="1383">
        <f t="shared" ref="Z71:Z74" si="56">+U71*Y71*0.5</f>
        <v>0</v>
      </c>
      <c r="AA71" s="1384">
        <f t="shared" si="43"/>
        <v>0</v>
      </c>
      <c r="AB71" s="1511">
        <f t="shared" si="44"/>
        <v>0</v>
      </c>
      <c r="AC71" s="1402">
        <f t="shared" si="45"/>
        <v>0</v>
      </c>
      <c r="AD71" s="1511">
        <f t="shared" si="46"/>
        <v>0</v>
      </c>
      <c r="AE71" s="1385">
        <v>0</v>
      </c>
      <c r="AF71" s="1511">
        <f t="shared" si="47"/>
        <v>0</v>
      </c>
      <c r="AG71" s="1385"/>
      <c r="AH71" s="1385">
        <f t="shared" si="48"/>
        <v>0</v>
      </c>
      <c r="AI71" s="1511">
        <f t="shared" si="49"/>
        <v>0</v>
      </c>
      <c r="AJ71" s="1531">
        <f t="shared" si="50"/>
        <v>0</v>
      </c>
      <c r="AK71" s="1536">
        <f t="shared" si="51"/>
        <v>0</v>
      </c>
    </row>
    <row r="72" spans="1:37" ht="16.2" customHeight="1">
      <c r="A72" s="1176">
        <v>66</v>
      </c>
      <c r="B72" s="1177" t="s">
        <v>145</v>
      </c>
      <c r="C72" s="1197">
        <f>+'Table 8 Membership 2.1.14'!R68</f>
        <v>0</v>
      </c>
      <c r="D72" s="1198">
        <f>+'Table 5C1A-Madison Prep'!D72</f>
        <v>6564.0085433910035</v>
      </c>
      <c r="E72" s="1199">
        <f t="shared" ref="E72:E75" si="57">C72*D72</f>
        <v>0</v>
      </c>
      <c r="F72" s="1199">
        <f>+'Table 5C1A-Madison Prep'!F72</f>
        <v>730.06</v>
      </c>
      <c r="G72" s="1199">
        <f t="shared" ref="G72:G75" si="58">C72*F72</f>
        <v>0</v>
      </c>
      <c r="H72" s="1403">
        <f t="shared" ref="H72:H75" si="59">E72+G72</f>
        <v>0</v>
      </c>
      <c r="I72" s="1200"/>
      <c r="J72" s="1200"/>
      <c r="K72" s="1201">
        <f t="shared" ref="K72:K75" si="60">+I72+J72</f>
        <v>0</v>
      </c>
      <c r="L72" s="1403">
        <f t="shared" si="54"/>
        <v>0</v>
      </c>
      <c r="M72" s="1423">
        <f t="shared" ref="M72:M75" si="61">-(0.25%*L72)</f>
        <v>0</v>
      </c>
      <c r="N72" s="1403">
        <f t="shared" ref="N72:N75" si="62">SUM(L72:M72)</f>
        <v>0</v>
      </c>
      <c r="O72" s="1198">
        <v>0</v>
      </c>
      <c r="P72" s="1398">
        <f t="shared" ref="P72:P75" si="63">SUM(N72:O72)</f>
        <v>0</v>
      </c>
      <c r="Q72" s="1200"/>
      <c r="R72" s="1200">
        <f t="shared" ref="R72:R75" si="64">P72-Q72</f>
        <v>0</v>
      </c>
      <c r="S72" s="1545">
        <f t="shared" ref="S72:S75" si="65">ROUND(R72/12,0)</f>
        <v>0</v>
      </c>
      <c r="T72" s="1545">
        <f t="shared" ref="T72:T75" si="66">+P72</f>
        <v>0</v>
      </c>
      <c r="U72" s="1389">
        <f>'Table 5C1A-Madison Prep'!U72</f>
        <v>3369</v>
      </c>
      <c r="V72" s="1515">
        <f t="shared" si="55"/>
        <v>0</v>
      </c>
      <c r="W72" s="1391"/>
      <c r="X72" s="1392">
        <f t="shared" ref="X72:X75" si="67">W72*U72</f>
        <v>0</v>
      </c>
      <c r="Y72" s="1391"/>
      <c r="Z72" s="1392">
        <f t="shared" si="56"/>
        <v>0</v>
      </c>
      <c r="AA72" s="1390">
        <f t="shared" ref="AA72:AA75" si="68">+X72+Z72</f>
        <v>0</v>
      </c>
      <c r="AB72" s="1510">
        <f t="shared" ref="AB72:AB75" si="69">V72+AA72</f>
        <v>0</v>
      </c>
      <c r="AC72" s="1394">
        <f t="shared" ref="AC72:AC75" si="70">-(0.25%*AB72)</f>
        <v>0</v>
      </c>
      <c r="AD72" s="1510">
        <f t="shared" ref="AD72:AD75" si="71">SUM(AB72:AC72)</f>
        <v>0</v>
      </c>
      <c r="AE72" s="1395">
        <v>0</v>
      </c>
      <c r="AF72" s="1510">
        <f t="shared" ref="AF72:AF75" si="72">SUM(AD72:AE72)</f>
        <v>0</v>
      </c>
      <c r="AG72" s="1395"/>
      <c r="AH72" s="1395">
        <f t="shared" ref="AH72:AH75" si="73">AF72-AG72</f>
        <v>0</v>
      </c>
      <c r="AI72" s="1510">
        <f t="shared" ref="AI72:AI75" si="74">ROUND(AH72/12,0)</f>
        <v>0</v>
      </c>
      <c r="AJ72" s="1505">
        <f t="shared" ref="AJ72:AJ75" si="75">T72+AF72</f>
        <v>0</v>
      </c>
      <c r="AK72" s="1505">
        <f t="shared" ref="AK72:AK75" si="76">S72+AI72</f>
        <v>0</v>
      </c>
    </row>
    <row r="73" spans="1:37" ht="16.2" customHeight="1">
      <c r="A73" s="1176">
        <v>67</v>
      </c>
      <c r="B73" s="1177" t="s">
        <v>30</v>
      </c>
      <c r="C73" s="1197">
        <f>+'Table 8 Membership 2.1.14'!R69</f>
        <v>0</v>
      </c>
      <c r="D73" s="1198">
        <f>+'Table 5C1A-Madison Prep'!D73</f>
        <v>5029.1467736134118</v>
      </c>
      <c r="E73" s="1199">
        <f t="shared" si="57"/>
        <v>0</v>
      </c>
      <c r="F73" s="1199">
        <f>+'Table 5C1A-Madison Prep'!F73</f>
        <v>715.61</v>
      </c>
      <c r="G73" s="1199">
        <f t="shared" si="58"/>
        <v>0</v>
      </c>
      <c r="H73" s="1403">
        <f t="shared" si="59"/>
        <v>0</v>
      </c>
      <c r="I73" s="1200"/>
      <c r="J73" s="1200"/>
      <c r="K73" s="1201">
        <f t="shared" si="60"/>
        <v>0</v>
      </c>
      <c r="L73" s="1403">
        <f t="shared" si="54"/>
        <v>0</v>
      </c>
      <c r="M73" s="1423">
        <f t="shared" si="61"/>
        <v>0</v>
      </c>
      <c r="N73" s="1403">
        <f t="shared" si="62"/>
        <v>0</v>
      </c>
      <c r="O73" s="1198">
        <v>0</v>
      </c>
      <c r="P73" s="1398">
        <f t="shared" si="63"/>
        <v>0</v>
      </c>
      <c r="Q73" s="1200"/>
      <c r="R73" s="1200">
        <f t="shared" si="64"/>
        <v>0</v>
      </c>
      <c r="S73" s="1545">
        <f t="shared" si="65"/>
        <v>0</v>
      </c>
      <c r="T73" s="1545">
        <f t="shared" si="66"/>
        <v>0</v>
      </c>
      <c r="U73" s="1389">
        <f>'Table 5C1A-Madison Prep'!U73</f>
        <v>5015</v>
      </c>
      <c r="V73" s="1515">
        <f t="shared" si="55"/>
        <v>0</v>
      </c>
      <c r="W73" s="1391"/>
      <c r="X73" s="1392">
        <f t="shared" si="67"/>
        <v>0</v>
      </c>
      <c r="Y73" s="1391"/>
      <c r="Z73" s="1392">
        <f t="shared" si="56"/>
        <v>0</v>
      </c>
      <c r="AA73" s="1390">
        <f t="shared" si="68"/>
        <v>0</v>
      </c>
      <c r="AB73" s="1510">
        <f t="shared" si="69"/>
        <v>0</v>
      </c>
      <c r="AC73" s="1394">
        <f t="shared" si="70"/>
        <v>0</v>
      </c>
      <c r="AD73" s="1510">
        <f t="shared" si="71"/>
        <v>0</v>
      </c>
      <c r="AE73" s="1395">
        <v>0</v>
      </c>
      <c r="AF73" s="1510">
        <f t="shared" si="72"/>
        <v>0</v>
      </c>
      <c r="AG73" s="1395"/>
      <c r="AH73" s="1395">
        <f t="shared" si="73"/>
        <v>0</v>
      </c>
      <c r="AI73" s="1510">
        <f t="shared" si="74"/>
        <v>0</v>
      </c>
      <c r="AJ73" s="1505">
        <f t="shared" si="75"/>
        <v>0</v>
      </c>
      <c r="AK73" s="1505">
        <f t="shared" si="76"/>
        <v>0</v>
      </c>
    </row>
    <row r="74" spans="1:37" ht="16.2" customHeight="1">
      <c r="A74" s="1176">
        <v>68</v>
      </c>
      <c r="B74" s="1177" t="s">
        <v>28</v>
      </c>
      <c r="C74" s="1197">
        <f>+'Table 8 Membership 2.1.14'!R70</f>
        <v>0</v>
      </c>
      <c r="D74" s="1198">
        <f>+'Table 5C1A-Madison Prep'!D74</f>
        <v>6390.1644202560601</v>
      </c>
      <c r="E74" s="1199">
        <f t="shared" si="57"/>
        <v>0</v>
      </c>
      <c r="F74" s="1199">
        <f>+'Table 5C1A-Madison Prep'!F74</f>
        <v>798.7</v>
      </c>
      <c r="G74" s="1199">
        <f t="shared" si="58"/>
        <v>0</v>
      </c>
      <c r="H74" s="1403">
        <f t="shared" si="59"/>
        <v>0</v>
      </c>
      <c r="I74" s="1200"/>
      <c r="J74" s="1200"/>
      <c r="K74" s="1201">
        <f t="shared" si="60"/>
        <v>0</v>
      </c>
      <c r="L74" s="1403">
        <f t="shared" si="54"/>
        <v>0</v>
      </c>
      <c r="M74" s="1423">
        <f t="shared" si="61"/>
        <v>0</v>
      </c>
      <c r="N74" s="1403">
        <f t="shared" si="62"/>
        <v>0</v>
      </c>
      <c r="O74" s="1198">
        <v>0</v>
      </c>
      <c r="P74" s="1398">
        <f t="shared" si="63"/>
        <v>0</v>
      </c>
      <c r="Q74" s="1200"/>
      <c r="R74" s="1200">
        <f t="shared" si="64"/>
        <v>0</v>
      </c>
      <c r="S74" s="1545">
        <f t="shared" si="65"/>
        <v>0</v>
      </c>
      <c r="T74" s="1545">
        <f t="shared" si="66"/>
        <v>0</v>
      </c>
      <c r="U74" s="1389">
        <f>'Table 5C1A-Madison Prep'!U74</f>
        <v>2669</v>
      </c>
      <c r="V74" s="1515">
        <f t="shared" si="55"/>
        <v>0</v>
      </c>
      <c r="W74" s="1391"/>
      <c r="X74" s="1392">
        <f t="shared" si="67"/>
        <v>0</v>
      </c>
      <c r="Y74" s="1391"/>
      <c r="Z74" s="1392">
        <f t="shared" si="56"/>
        <v>0</v>
      </c>
      <c r="AA74" s="1390">
        <f t="shared" si="68"/>
        <v>0</v>
      </c>
      <c r="AB74" s="1510">
        <f t="shared" si="69"/>
        <v>0</v>
      </c>
      <c r="AC74" s="1394">
        <f t="shared" si="70"/>
        <v>0</v>
      </c>
      <c r="AD74" s="1510">
        <f t="shared" si="71"/>
        <v>0</v>
      </c>
      <c r="AE74" s="1395">
        <v>0</v>
      </c>
      <c r="AF74" s="1510">
        <f t="shared" si="72"/>
        <v>0</v>
      </c>
      <c r="AG74" s="1395"/>
      <c r="AH74" s="1395">
        <f t="shared" si="73"/>
        <v>0</v>
      </c>
      <c r="AI74" s="1510">
        <f t="shared" si="74"/>
        <v>0</v>
      </c>
      <c r="AJ74" s="1505">
        <f t="shared" si="75"/>
        <v>0</v>
      </c>
      <c r="AK74" s="1505">
        <f t="shared" si="76"/>
        <v>0</v>
      </c>
    </row>
    <row r="75" spans="1:37" ht="16.2" customHeight="1">
      <c r="A75" s="1190">
        <v>69</v>
      </c>
      <c r="B75" s="1191" t="s">
        <v>183</v>
      </c>
      <c r="C75" s="1192">
        <f>+'Table 8 Membership 2.1.14'!R71</f>
        <v>0</v>
      </c>
      <c r="D75" s="1193">
        <f>+'Table 5C1A-Madison Prep'!D75</f>
        <v>5722.4947921281337</v>
      </c>
      <c r="E75" s="1194">
        <f t="shared" si="57"/>
        <v>0</v>
      </c>
      <c r="F75" s="1194">
        <f>+'Table 5C1A-Madison Prep'!F75</f>
        <v>705.67</v>
      </c>
      <c r="G75" s="1194">
        <f t="shared" si="58"/>
        <v>0</v>
      </c>
      <c r="H75" s="1541">
        <f t="shared" si="59"/>
        <v>0</v>
      </c>
      <c r="I75" s="1195"/>
      <c r="J75" s="1195"/>
      <c r="K75" s="1196">
        <f t="shared" si="60"/>
        <v>0</v>
      </c>
      <c r="L75" s="1541">
        <f t="shared" si="54"/>
        <v>0</v>
      </c>
      <c r="M75" s="1405">
        <f t="shared" si="61"/>
        <v>0</v>
      </c>
      <c r="N75" s="1541">
        <f t="shared" si="62"/>
        <v>0</v>
      </c>
      <c r="O75" s="1193">
        <v>0</v>
      </c>
      <c r="P75" s="1547">
        <f t="shared" si="63"/>
        <v>0</v>
      </c>
      <c r="Q75" s="1195"/>
      <c r="R75" s="1195">
        <f t="shared" si="64"/>
        <v>0</v>
      </c>
      <c r="S75" s="1551">
        <f t="shared" si="65"/>
        <v>0</v>
      </c>
      <c r="T75" s="1551">
        <f t="shared" si="66"/>
        <v>0</v>
      </c>
      <c r="U75" s="653">
        <f>'Table 5C1A-Madison Prep'!U75</f>
        <v>3394</v>
      </c>
      <c r="V75" s="1517">
        <f t="shared" si="55"/>
        <v>0</v>
      </c>
      <c r="W75" s="1407"/>
      <c r="X75" s="1408">
        <f t="shared" si="67"/>
        <v>0</v>
      </c>
      <c r="Y75" s="1407"/>
      <c r="Z75" s="1408">
        <f>+U75*Y75*0.5</f>
        <v>0</v>
      </c>
      <c r="AA75" s="1406">
        <f t="shared" si="68"/>
        <v>0</v>
      </c>
      <c r="AB75" s="1512">
        <f t="shared" si="69"/>
        <v>0</v>
      </c>
      <c r="AC75" s="1410">
        <f t="shared" si="70"/>
        <v>0</v>
      </c>
      <c r="AD75" s="1512">
        <f t="shared" si="71"/>
        <v>0</v>
      </c>
      <c r="AE75" s="1416">
        <v>0</v>
      </c>
      <c r="AF75" s="1512">
        <f t="shared" si="72"/>
        <v>0</v>
      </c>
      <c r="AG75" s="661"/>
      <c r="AH75" s="1416">
        <f t="shared" si="73"/>
        <v>0</v>
      </c>
      <c r="AI75" s="1529">
        <f t="shared" si="74"/>
        <v>0</v>
      </c>
      <c r="AJ75" s="1506">
        <f t="shared" si="75"/>
        <v>0</v>
      </c>
      <c r="AK75" s="1506">
        <f t="shared" si="76"/>
        <v>0</v>
      </c>
    </row>
    <row r="76" spans="1:37" ht="16.2" customHeight="1" thickBot="1">
      <c r="A76" s="2221" t="s">
        <v>1045</v>
      </c>
      <c r="B76" s="2194"/>
      <c r="C76" s="470">
        <f>SUM(C7:C75)</f>
        <v>294</v>
      </c>
      <c r="D76" s="471">
        <f>+'Table 5C1A-Madison Prep'!D76</f>
        <v>4479.9292126977662</v>
      </c>
      <c r="E76" s="480">
        <f>SUM(E7:E75)</f>
        <v>1604130.2840077057</v>
      </c>
      <c r="F76" s="480">
        <f>+'Table 5C1A-Madison Prep'!F76</f>
        <v>704.64781030742063</v>
      </c>
      <c r="G76" s="480">
        <f t="shared" ref="G76:R76" si="77">SUM(G7:G75)</f>
        <v>192661.14</v>
      </c>
      <c r="H76" s="1542">
        <f t="shared" si="77"/>
        <v>1796791.4240077059</v>
      </c>
      <c r="I76" s="640">
        <f t="shared" si="77"/>
        <v>0</v>
      </c>
      <c r="J76" s="640">
        <f t="shared" si="77"/>
        <v>0</v>
      </c>
      <c r="K76" s="616">
        <f t="shared" si="77"/>
        <v>0</v>
      </c>
      <c r="L76" s="1560">
        <f t="shared" si="77"/>
        <v>1796791.4240077059</v>
      </c>
      <c r="M76" s="481">
        <f t="shared" si="77"/>
        <v>-4491.9785600192645</v>
      </c>
      <c r="N76" s="1542">
        <f t="shared" si="77"/>
        <v>1792299.4454476866</v>
      </c>
      <c r="O76" s="471">
        <f t="shared" si="77"/>
        <v>0</v>
      </c>
      <c r="P76" s="1548">
        <f t="shared" si="77"/>
        <v>1792299.4454476866</v>
      </c>
      <c r="Q76" s="636"/>
      <c r="R76" s="636">
        <f t="shared" si="77"/>
        <v>1792299.4454476866</v>
      </c>
      <c r="S76" s="1548">
        <f>SUM(S7:S75)</f>
        <v>149358</v>
      </c>
      <c r="T76" s="1548">
        <f>SUM(T7:T75)</f>
        <v>1792299.4454476866</v>
      </c>
      <c r="U76" s="658">
        <f>'Table 5C1A-Madison Prep'!U76</f>
        <v>4663</v>
      </c>
      <c r="V76" s="1518">
        <f t="shared" ref="V76:AK76" si="78">SUM(V7:V75)</f>
        <v>1063104</v>
      </c>
      <c r="W76" s="646">
        <f t="shared" si="78"/>
        <v>0</v>
      </c>
      <c r="X76" s="647">
        <f t="shared" si="78"/>
        <v>0</v>
      </c>
      <c r="Y76" s="646">
        <f t="shared" si="78"/>
        <v>0</v>
      </c>
      <c r="Z76" s="647">
        <f t="shared" si="78"/>
        <v>0</v>
      </c>
      <c r="AA76" s="633">
        <f t="shared" si="78"/>
        <v>0</v>
      </c>
      <c r="AB76" s="1520">
        <f t="shared" si="78"/>
        <v>1063104</v>
      </c>
      <c r="AC76" s="482">
        <f t="shared" si="78"/>
        <v>-2657.76</v>
      </c>
      <c r="AD76" s="1518">
        <f t="shared" si="78"/>
        <v>1060446.24</v>
      </c>
      <c r="AE76" s="660">
        <f t="shared" si="78"/>
        <v>0</v>
      </c>
      <c r="AF76" s="1518">
        <f t="shared" si="78"/>
        <v>1060446.24</v>
      </c>
      <c r="AG76" s="660">
        <f t="shared" si="78"/>
        <v>0</v>
      </c>
      <c r="AH76" s="660">
        <f t="shared" si="78"/>
        <v>1060446.24</v>
      </c>
      <c r="AI76" s="1518">
        <f t="shared" si="78"/>
        <v>88371</v>
      </c>
      <c r="AJ76" s="1532">
        <f t="shared" si="78"/>
        <v>2852745.6854476864</v>
      </c>
      <c r="AK76" s="1532">
        <f t="shared" si="78"/>
        <v>237729</v>
      </c>
    </row>
    <row r="77" spans="1:37" s="608" customFormat="1" ht="16.2" customHeight="1" thickTop="1">
      <c r="A77" s="2330" t="s">
        <v>1039</v>
      </c>
      <c r="B77" s="2338"/>
      <c r="C77" s="1425"/>
      <c r="D77" s="1198"/>
      <c r="E77" s="1198"/>
      <c r="F77" s="1198"/>
      <c r="G77" s="1198"/>
      <c r="H77" s="1198"/>
      <c r="I77" s="1200"/>
      <c r="J77" s="1200"/>
      <c r="K77" s="1200"/>
      <c r="L77" s="1198"/>
      <c r="M77" s="1200"/>
      <c r="N77" s="1198"/>
      <c r="O77" s="1198"/>
      <c r="P77" s="1398">
        <f>'Table 4 Level 4'!$E106</f>
        <v>0</v>
      </c>
      <c r="Q77" s="1200"/>
      <c r="R77" s="1200">
        <f t="shared" ref="R77" si="79">P77-Q77</f>
        <v>0</v>
      </c>
      <c r="S77" s="1545">
        <f t="shared" ref="S77" si="80">ROUND(R77/12,0)</f>
        <v>0</v>
      </c>
      <c r="T77" s="1545">
        <f>'Table 4 Level 4'!$E106</f>
        <v>0</v>
      </c>
      <c r="U77" s="1389"/>
      <c r="V77" s="1392"/>
      <c r="W77" s="1391"/>
      <c r="X77" s="1392"/>
      <c r="Y77" s="1391"/>
      <c r="Z77" s="1392"/>
      <c r="AA77" s="1392"/>
      <c r="AB77" s="1395"/>
      <c r="AC77" s="1392"/>
      <c r="AD77" s="1395"/>
      <c r="AE77" s="1395"/>
      <c r="AF77" s="1395"/>
      <c r="AG77" s="1395"/>
      <c r="AH77" s="1395"/>
      <c r="AI77" s="1395"/>
      <c r="AJ77" s="1505">
        <f t="shared" ref="AJ77:AJ81" si="81">T77+AF77</f>
        <v>0</v>
      </c>
      <c r="AK77" s="1505">
        <f t="shared" ref="AK77:AK81" si="82">S77+AI77</f>
        <v>0</v>
      </c>
    </row>
    <row r="78" spans="1:37" s="608" customFormat="1" ht="16.2" customHeight="1">
      <c r="A78" s="2332" t="s">
        <v>1040</v>
      </c>
      <c r="B78" s="2339"/>
      <c r="C78" s="1425"/>
      <c r="D78" s="1198"/>
      <c r="E78" s="1198"/>
      <c r="F78" s="1198"/>
      <c r="G78" s="1198"/>
      <c r="H78" s="1198"/>
      <c r="I78" s="1200"/>
      <c r="J78" s="1200"/>
      <c r="K78" s="1200"/>
      <c r="L78" s="1198"/>
      <c r="M78" s="1200"/>
      <c r="N78" s="1198"/>
      <c r="O78" s="1198"/>
      <c r="P78" s="1200">
        <v>0</v>
      </c>
      <c r="Q78" s="1200"/>
      <c r="R78" s="1200"/>
      <c r="S78" s="1181">
        <v>0</v>
      </c>
      <c r="T78" s="1545">
        <f>'Table 4 Level 4'!$J106</f>
        <v>0</v>
      </c>
      <c r="U78" s="1389"/>
      <c r="V78" s="1392"/>
      <c r="W78" s="1391"/>
      <c r="X78" s="1392"/>
      <c r="Y78" s="1391"/>
      <c r="Z78" s="1392"/>
      <c r="AA78" s="1392"/>
      <c r="AB78" s="1395"/>
      <c r="AC78" s="1392"/>
      <c r="AD78" s="1395"/>
      <c r="AE78" s="1395"/>
      <c r="AF78" s="1395"/>
      <c r="AG78" s="1395"/>
      <c r="AH78" s="1395"/>
      <c r="AI78" s="1395"/>
      <c r="AJ78" s="1505">
        <f t="shared" si="81"/>
        <v>0</v>
      </c>
      <c r="AK78" s="1395"/>
    </row>
    <row r="79" spans="1:37" s="608" customFormat="1" ht="16.2" customHeight="1">
      <c r="A79" s="2332" t="s">
        <v>1041</v>
      </c>
      <c r="B79" s="2339"/>
      <c r="C79" s="1425"/>
      <c r="D79" s="1198"/>
      <c r="E79" s="1198"/>
      <c r="F79" s="1198"/>
      <c r="G79" s="1198"/>
      <c r="H79" s="1198"/>
      <c r="I79" s="1200"/>
      <c r="J79" s="1200"/>
      <c r="K79" s="1200"/>
      <c r="L79" s="1198"/>
      <c r="M79" s="1200"/>
      <c r="N79" s="1198"/>
      <c r="O79" s="1198"/>
      <c r="P79" s="1200">
        <v>0</v>
      </c>
      <c r="Q79" s="1200"/>
      <c r="R79" s="1200"/>
      <c r="S79" s="1181">
        <v>0</v>
      </c>
      <c r="T79" s="1545">
        <f>'Table 4 Level 4'!$K106</f>
        <v>0</v>
      </c>
      <c r="U79" s="1389"/>
      <c r="V79" s="1392"/>
      <c r="W79" s="1391"/>
      <c r="X79" s="1392"/>
      <c r="Y79" s="1391"/>
      <c r="Z79" s="1392"/>
      <c r="AA79" s="1392"/>
      <c r="AB79" s="1395"/>
      <c r="AC79" s="1392"/>
      <c r="AD79" s="1395"/>
      <c r="AE79" s="1395"/>
      <c r="AF79" s="1395"/>
      <c r="AG79" s="1395"/>
      <c r="AH79" s="1395"/>
      <c r="AI79" s="1395"/>
      <c r="AJ79" s="1505">
        <f t="shared" si="81"/>
        <v>0</v>
      </c>
      <c r="AK79" s="1395"/>
    </row>
    <row r="80" spans="1:37" s="608" customFormat="1" ht="16.2" customHeight="1">
      <c r="A80" s="2332" t="s">
        <v>1042</v>
      </c>
      <c r="B80" s="2339"/>
      <c r="C80" s="1425"/>
      <c r="D80" s="1198"/>
      <c r="E80" s="1198"/>
      <c r="F80" s="1198"/>
      <c r="G80" s="1198"/>
      <c r="H80" s="1198"/>
      <c r="I80" s="1200"/>
      <c r="J80" s="1200"/>
      <c r="K80" s="1200"/>
      <c r="L80" s="1198"/>
      <c r="M80" s="1200"/>
      <c r="N80" s="1198"/>
      <c r="O80" s="1198"/>
      <c r="P80" s="1200">
        <v>0</v>
      </c>
      <c r="Q80" s="1200"/>
      <c r="R80" s="1200"/>
      <c r="S80" s="1181">
        <v>0</v>
      </c>
      <c r="T80" s="1545">
        <f>'Table 4 Level 4'!$L106</f>
        <v>0</v>
      </c>
      <c r="U80" s="1389"/>
      <c r="V80" s="1392"/>
      <c r="W80" s="1391"/>
      <c r="X80" s="1392"/>
      <c r="Y80" s="1391"/>
      <c r="Z80" s="1392"/>
      <c r="AA80" s="1392"/>
      <c r="AB80" s="1395"/>
      <c r="AC80" s="1392"/>
      <c r="AD80" s="1395"/>
      <c r="AE80" s="1395"/>
      <c r="AF80" s="1395"/>
      <c r="AG80" s="1395"/>
      <c r="AH80" s="1395"/>
      <c r="AI80" s="1395"/>
      <c r="AJ80" s="1505">
        <f t="shared" si="81"/>
        <v>0</v>
      </c>
      <c r="AK80" s="1395"/>
    </row>
    <row r="81" spans="1:37" s="608" customFormat="1" ht="16.2" customHeight="1">
      <c r="A81" s="2340" t="s">
        <v>1043</v>
      </c>
      <c r="B81" s="2341"/>
      <c r="C81" s="1417"/>
      <c r="D81" s="1193"/>
      <c r="E81" s="1193"/>
      <c r="F81" s="1193"/>
      <c r="G81" s="1193"/>
      <c r="H81" s="1193"/>
      <c r="I81" s="1195"/>
      <c r="J81" s="1195"/>
      <c r="K81" s="1195"/>
      <c r="L81" s="1193"/>
      <c r="M81" s="1195"/>
      <c r="N81" s="1193"/>
      <c r="O81" s="1193"/>
      <c r="P81" s="1547">
        <f>'Table 4 Level 4'!$N106</f>
        <v>0</v>
      </c>
      <c r="Q81" s="1195"/>
      <c r="R81" s="1195">
        <f t="shared" ref="R81" si="83">P81-Q81</f>
        <v>0</v>
      </c>
      <c r="S81" s="1552">
        <f t="shared" ref="S81" si="84">ROUND(R81/12,0)</f>
        <v>0</v>
      </c>
      <c r="T81" s="1552">
        <f>'Table 4 Level 4'!$N106</f>
        <v>0</v>
      </c>
      <c r="U81" s="1418"/>
      <c r="V81" s="1408"/>
      <c r="W81" s="1407"/>
      <c r="X81" s="1408"/>
      <c r="Y81" s="1407"/>
      <c r="Z81" s="1408"/>
      <c r="AA81" s="1408"/>
      <c r="AB81" s="1416"/>
      <c r="AC81" s="1408"/>
      <c r="AD81" s="1416"/>
      <c r="AE81" s="1416"/>
      <c r="AF81" s="1416"/>
      <c r="AG81" s="1416"/>
      <c r="AH81" s="1416"/>
      <c r="AI81" s="1416"/>
      <c r="AJ81" s="1506">
        <f t="shared" si="81"/>
        <v>0</v>
      </c>
      <c r="AK81" s="1506">
        <f t="shared" si="82"/>
        <v>0</v>
      </c>
    </row>
    <row r="82" spans="1:37" s="608" customFormat="1" ht="16.2" customHeight="1" thickBot="1">
      <c r="A82" s="2221" t="s">
        <v>1044</v>
      </c>
      <c r="B82" s="2194"/>
      <c r="C82" s="1052">
        <f>SUM(C76:C81)</f>
        <v>294</v>
      </c>
      <c r="D82" s="1046">
        <f t="shared" ref="D82:AK82" si="85">SUM(D76:D81)</f>
        <v>4479.9292126977662</v>
      </c>
      <c r="E82" s="1046">
        <f t="shared" si="85"/>
        <v>1604130.2840077057</v>
      </c>
      <c r="F82" s="1046">
        <f t="shared" si="85"/>
        <v>704.64781030742063</v>
      </c>
      <c r="G82" s="1046">
        <f t="shared" si="85"/>
        <v>192661.14</v>
      </c>
      <c r="H82" s="1046">
        <f t="shared" si="85"/>
        <v>1796791.4240077059</v>
      </c>
      <c r="I82" s="1053">
        <f t="shared" si="85"/>
        <v>0</v>
      </c>
      <c r="J82" s="1053">
        <f t="shared" si="85"/>
        <v>0</v>
      </c>
      <c r="K82" s="1053">
        <f t="shared" si="85"/>
        <v>0</v>
      </c>
      <c r="L82" s="1046">
        <f t="shared" si="85"/>
        <v>1796791.4240077059</v>
      </c>
      <c r="M82" s="1053">
        <f t="shared" si="85"/>
        <v>-4491.9785600192645</v>
      </c>
      <c r="N82" s="1046">
        <f t="shared" si="85"/>
        <v>1792299.4454476866</v>
      </c>
      <c r="O82" s="1046">
        <f t="shared" si="85"/>
        <v>0</v>
      </c>
      <c r="P82" s="1549">
        <f t="shared" si="85"/>
        <v>1792299.4454476866</v>
      </c>
      <c r="Q82" s="1053">
        <f t="shared" si="85"/>
        <v>0</v>
      </c>
      <c r="R82" s="1053">
        <f t="shared" si="85"/>
        <v>1792299.4454476866</v>
      </c>
      <c r="S82" s="1549">
        <f t="shared" si="85"/>
        <v>149358</v>
      </c>
      <c r="T82" s="1549">
        <f t="shared" si="85"/>
        <v>1792299.4454476866</v>
      </c>
      <c r="U82" s="1058">
        <f t="shared" si="85"/>
        <v>4663</v>
      </c>
      <c r="V82" s="1055">
        <f t="shared" si="85"/>
        <v>1063104</v>
      </c>
      <c r="W82" s="1057">
        <f t="shared" si="85"/>
        <v>0</v>
      </c>
      <c r="X82" s="1055">
        <f t="shared" si="85"/>
        <v>0</v>
      </c>
      <c r="Y82" s="1057">
        <f t="shared" si="85"/>
        <v>0</v>
      </c>
      <c r="Z82" s="1055">
        <f t="shared" si="85"/>
        <v>0</v>
      </c>
      <c r="AA82" s="1055">
        <f t="shared" si="85"/>
        <v>0</v>
      </c>
      <c r="AB82" s="1055">
        <f t="shared" si="85"/>
        <v>1063104</v>
      </c>
      <c r="AC82" s="1055">
        <f t="shared" si="85"/>
        <v>-2657.76</v>
      </c>
      <c r="AD82" s="1055">
        <f t="shared" si="85"/>
        <v>1060446.24</v>
      </c>
      <c r="AE82" s="1055">
        <f t="shared" si="85"/>
        <v>0</v>
      </c>
      <c r="AF82" s="1055">
        <f t="shared" si="85"/>
        <v>1060446.24</v>
      </c>
      <c r="AG82" s="1055">
        <f t="shared" si="85"/>
        <v>0</v>
      </c>
      <c r="AH82" s="1055">
        <f t="shared" si="85"/>
        <v>1060446.24</v>
      </c>
      <c r="AI82" s="1055">
        <f t="shared" si="85"/>
        <v>88371</v>
      </c>
      <c r="AJ82" s="1504">
        <f t="shared" si="85"/>
        <v>2852745.6854476864</v>
      </c>
      <c r="AK82" s="1504">
        <f t="shared" si="85"/>
        <v>237729</v>
      </c>
    </row>
    <row r="83" spans="1:37" ht="16.2" customHeight="1" thickTop="1"/>
    <row r="84" spans="1:37" ht="16.2" customHeight="1"/>
    <row r="85" spans="1:37" ht="16.2" customHeight="1"/>
    <row r="86" spans="1:37" ht="16.2" customHeight="1"/>
  </sheetData>
  <mergeCells count="43">
    <mergeCell ref="AJ1:AJ4"/>
    <mergeCell ref="AK1:AK4"/>
    <mergeCell ref="C3:C4"/>
    <mergeCell ref="D3:D4"/>
    <mergeCell ref="E3:E4"/>
    <mergeCell ref="F3:F4"/>
    <mergeCell ref="G3:G4"/>
    <mergeCell ref="AD3:AD4"/>
    <mergeCell ref="AE3:AE4"/>
    <mergeCell ref="AF3:AF4"/>
    <mergeCell ref="H3:H4"/>
    <mergeCell ref="N3:N4"/>
    <mergeCell ref="O3:O4"/>
    <mergeCell ref="P3:P4"/>
    <mergeCell ref="Y3:Y4"/>
    <mergeCell ref="Z3:Z4"/>
    <mergeCell ref="S3:S4"/>
    <mergeCell ref="U3:U4"/>
    <mergeCell ref="W3:W4"/>
    <mergeCell ref="X3:X4"/>
    <mergeCell ref="A1:B4"/>
    <mergeCell ref="I3:I4"/>
    <mergeCell ref="J3:J4"/>
    <mergeCell ref="K3:K4"/>
    <mergeCell ref="L3:L4"/>
    <mergeCell ref="C1:L1"/>
    <mergeCell ref="I2:K2"/>
    <mergeCell ref="AI3:AI4"/>
    <mergeCell ref="U1:AB1"/>
    <mergeCell ref="AC1:AI1"/>
    <mergeCell ref="A82:B82"/>
    <mergeCell ref="A76:B76"/>
    <mergeCell ref="A77:B77"/>
    <mergeCell ref="A78:B78"/>
    <mergeCell ref="A79:B79"/>
    <mergeCell ref="A80:B80"/>
    <mergeCell ref="A81:B81"/>
    <mergeCell ref="AB3:AB4"/>
    <mergeCell ref="T3:T4"/>
    <mergeCell ref="M1:T1"/>
    <mergeCell ref="AG3:AG4"/>
    <mergeCell ref="AH3:AH4"/>
    <mergeCell ref="W2:AA2"/>
  </mergeCells>
  <printOptions horizontalCentered="1"/>
  <pageMargins left="0.32" right="0.32" top="0.75" bottom="0.75" header="0.3" footer="0.3"/>
  <pageSetup paperSize="5" scale="60" firstPageNumber="56" orientation="portrait" r:id="rId1"/>
  <headerFooter>
    <oddHeader>&amp;L&amp;"Arial,Bold"&amp;20&amp;K000000Table 5C1-K: FY2014-15 MFP Budget Letter  
Tallulah Charter School</oddHeader>
    <oddFooter>&amp;R&amp;P</oddFooter>
  </headerFooter>
  <colBreaks count="3" manualBreakCount="3">
    <brk id="12" max="1048575" man="1"/>
    <brk id="20" max="1048575" man="1"/>
    <brk id="28" max="81"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K86"/>
  <sheetViews>
    <sheetView view="pageBreakPreview" zoomScale="80" zoomScaleNormal="100" zoomScaleSheetLayoutView="80" workbookViewId="0">
      <pane xSplit="2" ySplit="6" topLeftCell="C7" activePane="bottomRight" state="frozen"/>
      <selection sqref="A1:H1"/>
      <selection pane="topRight" sqref="A1:H1"/>
      <selection pane="bottomLeft" sqref="A1:H1"/>
      <selection pane="bottomRight" sqref="A1:H1"/>
    </sheetView>
  </sheetViews>
  <sheetFormatPr defaultColWidth="8.88671875" defaultRowHeight="13.2"/>
  <cols>
    <col min="1" max="1" width="5" style="520" customWidth="1"/>
    <col min="2" max="2" width="37.6640625" style="520" customWidth="1"/>
    <col min="3" max="3" width="12.109375" style="520" bestFit="1" customWidth="1"/>
    <col min="4" max="4" width="13.6640625" style="520" bestFit="1" customWidth="1"/>
    <col min="5" max="5" width="10.109375" style="520" bestFit="1" customWidth="1"/>
    <col min="6" max="7" width="12.33203125" style="520" bestFit="1" customWidth="1"/>
    <col min="8" max="8" width="11.5546875" style="520" bestFit="1" customWidth="1"/>
    <col min="9" max="12" width="11.88671875" style="598" bestFit="1" customWidth="1"/>
    <col min="13" max="13" width="10.88671875" style="520" bestFit="1" customWidth="1"/>
    <col min="14" max="14" width="13.109375" style="520" customWidth="1"/>
    <col min="15" max="15" width="13.44140625" style="520" bestFit="1" customWidth="1"/>
    <col min="16" max="16" width="14.6640625" style="520" customWidth="1"/>
    <col min="17" max="18" width="14" style="598" customWidth="1"/>
    <col min="19" max="19" width="10.6640625" style="520" customWidth="1"/>
    <col min="20" max="20" width="14.88671875" style="608" customWidth="1"/>
    <col min="21" max="22" width="14.5546875" style="520" customWidth="1"/>
    <col min="23" max="24" width="11.6640625" style="598" customWidth="1"/>
    <col min="25" max="27" width="11.6640625" style="608" customWidth="1"/>
    <col min="28" max="28" width="14.44140625" style="598" bestFit="1" customWidth="1"/>
    <col min="29" max="29" width="10.5546875" style="520" customWidth="1"/>
    <col min="30" max="30" width="14.44140625" style="520" bestFit="1" customWidth="1"/>
    <col min="31" max="31" width="11.88671875" style="520" bestFit="1" customWidth="1"/>
    <col min="32" max="32" width="14.44140625" style="520" bestFit="1" customWidth="1"/>
    <col min="33" max="33" width="9.5546875" style="598" bestFit="1" customWidth="1"/>
    <col min="34" max="34" width="9.33203125" style="598" bestFit="1" customWidth="1"/>
    <col min="35" max="37" width="14.44140625" style="520" bestFit="1" customWidth="1"/>
    <col min="38" max="16384" width="8.88671875" style="520"/>
  </cols>
  <sheetData>
    <row r="1" spans="1:37" ht="21.6" customHeight="1">
      <c r="A1" s="2367" t="s">
        <v>526</v>
      </c>
      <c r="B1" s="2368"/>
      <c r="C1" s="2319" t="s">
        <v>1089</v>
      </c>
      <c r="D1" s="2320"/>
      <c r="E1" s="2320"/>
      <c r="F1" s="2320"/>
      <c r="G1" s="2320"/>
      <c r="H1" s="2320"/>
      <c r="I1" s="2320"/>
      <c r="J1" s="2320"/>
      <c r="K1" s="2320"/>
      <c r="L1" s="2321"/>
      <c r="M1" s="2349" t="s">
        <v>1089</v>
      </c>
      <c r="N1" s="2350"/>
      <c r="O1" s="2350"/>
      <c r="P1" s="2350"/>
      <c r="Q1" s="2350"/>
      <c r="R1" s="2350"/>
      <c r="S1" s="2350"/>
      <c r="T1" s="2351"/>
      <c r="U1" s="2268" t="s">
        <v>1247</v>
      </c>
      <c r="V1" s="2266"/>
      <c r="W1" s="2266"/>
      <c r="X1" s="2266"/>
      <c r="Y1" s="2266"/>
      <c r="Z1" s="2266"/>
      <c r="AA1" s="2266"/>
      <c r="AB1" s="2267"/>
      <c r="AC1" s="2268" t="s">
        <v>1247</v>
      </c>
      <c r="AD1" s="2266"/>
      <c r="AE1" s="2266"/>
      <c r="AF1" s="2266"/>
      <c r="AG1" s="2266"/>
      <c r="AH1" s="2266"/>
      <c r="AI1" s="2267"/>
      <c r="AJ1" s="2302" t="s">
        <v>1272</v>
      </c>
      <c r="AK1" s="2302" t="s">
        <v>1273</v>
      </c>
    </row>
    <row r="2" spans="1:37" s="608" customFormat="1" ht="24.6" customHeight="1">
      <c r="A2" s="2369"/>
      <c r="B2" s="2370"/>
      <c r="C2" s="1565"/>
      <c r="D2" s="1566"/>
      <c r="E2" s="1566"/>
      <c r="F2" s="1566"/>
      <c r="G2" s="1566"/>
      <c r="H2" s="1566"/>
      <c r="I2" s="2334" t="s">
        <v>531</v>
      </c>
      <c r="J2" s="2335"/>
      <c r="K2" s="2336"/>
      <c r="L2" s="1567"/>
      <c r="M2" s="1565"/>
      <c r="N2" s="1566"/>
      <c r="O2" s="1566"/>
      <c r="P2" s="1566"/>
      <c r="Q2" s="1566"/>
      <c r="R2" s="1566"/>
      <c r="S2" s="1566"/>
      <c r="T2" s="1567"/>
      <c r="U2" s="1525"/>
      <c r="V2" s="1526"/>
      <c r="W2" s="2362" t="s">
        <v>531</v>
      </c>
      <c r="X2" s="2363"/>
      <c r="Y2" s="2363"/>
      <c r="Z2" s="2363"/>
      <c r="AA2" s="2364"/>
      <c r="AB2" s="1527"/>
      <c r="AC2" s="1525"/>
      <c r="AD2" s="1526"/>
      <c r="AE2" s="1526"/>
      <c r="AF2" s="1526"/>
      <c r="AG2" s="1526"/>
      <c r="AH2" s="1526"/>
      <c r="AI2" s="1527"/>
      <c r="AJ2" s="2303"/>
      <c r="AK2" s="2303"/>
    </row>
    <row r="3" spans="1:37" ht="148.94999999999999" customHeight="1">
      <c r="A3" s="2371"/>
      <c r="B3" s="2370"/>
      <c r="C3" s="2318" t="s">
        <v>933</v>
      </c>
      <c r="D3" s="2318" t="s">
        <v>1110</v>
      </c>
      <c r="E3" s="2318" t="s">
        <v>384</v>
      </c>
      <c r="F3" s="2306" t="s">
        <v>546</v>
      </c>
      <c r="G3" s="2306" t="s">
        <v>330</v>
      </c>
      <c r="H3" s="2306" t="s">
        <v>547</v>
      </c>
      <c r="I3" s="2299" t="s">
        <v>770</v>
      </c>
      <c r="J3" s="2299" t="s">
        <v>769</v>
      </c>
      <c r="K3" s="2299" t="s">
        <v>538</v>
      </c>
      <c r="L3" s="2300" t="s">
        <v>548</v>
      </c>
      <c r="M3" s="1496" t="s">
        <v>333</v>
      </c>
      <c r="N3" s="2306" t="s">
        <v>545</v>
      </c>
      <c r="O3" s="2307" t="s">
        <v>1036</v>
      </c>
      <c r="P3" s="2306" t="s">
        <v>1056</v>
      </c>
      <c r="Q3" s="1537" t="s">
        <v>760</v>
      </c>
      <c r="R3" s="1537" t="s">
        <v>761</v>
      </c>
      <c r="S3" s="2308" t="s">
        <v>544</v>
      </c>
      <c r="T3" s="2308" t="s">
        <v>1057</v>
      </c>
      <c r="U3" s="2309" t="s">
        <v>1267</v>
      </c>
      <c r="V3" s="1507" t="s">
        <v>1268</v>
      </c>
      <c r="W3" s="2312" t="s">
        <v>1253</v>
      </c>
      <c r="X3" s="2312" t="s">
        <v>1251</v>
      </c>
      <c r="Y3" s="2312" t="s">
        <v>1254</v>
      </c>
      <c r="Z3" s="2312" t="s">
        <v>1252</v>
      </c>
      <c r="AA3" s="1498" t="s">
        <v>551</v>
      </c>
      <c r="AB3" s="2313" t="s">
        <v>1269</v>
      </c>
      <c r="AC3" s="1507" t="s">
        <v>1094</v>
      </c>
      <c r="AD3" s="2309" t="s">
        <v>1270</v>
      </c>
      <c r="AE3" s="2307" t="s">
        <v>1036</v>
      </c>
      <c r="AF3" s="2309" t="s">
        <v>1271</v>
      </c>
      <c r="AG3" s="2322" t="s">
        <v>981</v>
      </c>
      <c r="AH3" s="2322" t="s">
        <v>761</v>
      </c>
      <c r="AI3" s="2322" t="s">
        <v>1242</v>
      </c>
      <c r="AJ3" s="2304"/>
      <c r="AK3" s="2304"/>
    </row>
    <row r="4" spans="1:37" ht="19.95" customHeight="1">
      <c r="A4" s="2372"/>
      <c r="B4" s="2373"/>
      <c r="C4" s="2318"/>
      <c r="D4" s="2318"/>
      <c r="E4" s="2318"/>
      <c r="F4" s="2301"/>
      <c r="G4" s="2301"/>
      <c r="H4" s="2301"/>
      <c r="I4" s="2251"/>
      <c r="J4" s="2251"/>
      <c r="K4" s="2251"/>
      <c r="L4" s="2301"/>
      <c r="M4" s="1568">
        <v>2.5000000000000001E-3</v>
      </c>
      <c r="N4" s="2301"/>
      <c r="O4" s="2251"/>
      <c r="P4" s="2301"/>
      <c r="Q4" s="1497"/>
      <c r="R4" s="1497"/>
      <c r="S4" s="2301"/>
      <c r="T4" s="2301"/>
      <c r="U4" s="2280"/>
      <c r="V4" s="1508"/>
      <c r="W4" s="2251"/>
      <c r="X4" s="2251"/>
      <c r="Y4" s="2251"/>
      <c r="Z4" s="2251"/>
      <c r="AA4" s="1494"/>
      <c r="AB4" s="2280" t="s">
        <v>537</v>
      </c>
      <c r="AC4" s="1570">
        <v>2.5000000000000001E-3</v>
      </c>
      <c r="AD4" s="2280"/>
      <c r="AE4" s="2251"/>
      <c r="AF4" s="2280"/>
      <c r="AG4" s="2323"/>
      <c r="AH4" s="2323"/>
      <c r="AI4" s="2323"/>
      <c r="AJ4" s="2305"/>
      <c r="AK4" s="2305"/>
    </row>
    <row r="5" spans="1:37" ht="14.25" customHeight="1">
      <c r="A5" s="463"/>
      <c r="B5" s="464"/>
      <c r="C5" s="465">
        <v>1</v>
      </c>
      <c r="D5" s="465">
        <f t="shared" ref="D5" si="0">C5+1</f>
        <v>2</v>
      </c>
      <c r="E5" s="465">
        <f>D5+1</f>
        <v>3</v>
      </c>
      <c r="F5" s="465">
        <f t="shared" ref="F5:I5" si="1">E5+1</f>
        <v>4</v>
      </c>
      <c r="G5" s="465">
        <f t="shared" si="1"/>
        <v>5</v>
      </c>
      <c r="H5" s="465">
        <f t="shared" si="1"/>
        <v>6</v>
      </c>
      <c r="I5" s="465">
        <f t="shared" si="1"/>
        <v>7</v>
      </c>
      <c r="J5" s="465">
        <f t="shared" ref="J5" si="2">I5+1</f>
        <v>8</v>
      </c>
      <c r="K5" s="465">
        <f t="shared" ref="K5" si="3">J5+1</f>
        <v>9</v>
      </c>
      <c r="L5" s="465">
        <f t="shared" ref="L5" si="4">K5+1</f>
        <v>10</v>
      </c>
      <c r="M5" s="465">
        <f t="shared" ref="M5" si="5">L5+1</f>
        <v>11</v>
      </c>
      <c r="N5" s="465">
        <f t="shared" ref="N5" si="6">M5+1</f>
        <v>12</v>
      </c>
      <c r="O5" s="465">
        <f t="shared" ref="O5" si="7">N5+1</f>
        <v>13</v>
      </c>
      <c r="P5" s="465">
        <f t="shared" ref="P5" si="8">O5+1</f>
        <v>14</v>
      </c>
      <c r="Q5" s="465">
        <f t="shared" ref="Q5" si="9">P5+1</f>
        <v>15</v>
      </c>
      <c r="R5" s="465">
        <f t="shared" ref="R5" si="10">Q5+1</f>
        <v>16</v>
      </c>
      <c r="S5" s="465">
        <f t="shared" ref="S5" si="11">R5+1</f>
        <v>17</v>
      </c>
      <c r="T5" s="465">
        <f t="shared" ref="T5" si="12">S5+1</f>
        <v>18</v>
      </c>
      <c r="U5" s="465">
        <f t="shared" ref="U5" si="13">T5+1</f>
        <v>19</v>
      </c>
      <c r="V5" s="465">
        <f t="shared" ref="V5" si="14">U5+1</f>
        <v>20</v>
      </c>
      <c r="W5" s="465">
        <f t="shared" ref="W5" si="15">V5+1</f>
        <v>21</v>
      </c>
      <c r="X5" s="465">
        <f t="shared" ref="X5" si="16">W5+1</f>
        <v>22</v>
      </c>
      <c r="Y5" s="465">
        <f t="shared" ref="Y5" si="17">X5+1</f>
        <v>23</v>
      </c>
      <c r="Z5" s="465">
        <f t="shared" ref="Z5" si="18">Y5+1</f>
        <v>24</v>
      </c>
      <c r="AA5" s="465">
        <f t="shared" ref="AA5:AB5" si="19">Z5+1</f>
        <v>25</v>
      </c>
      <c r="AB5" s="465">
        <f t="shared" si="19"/>
        <v>26</v>
      </c>
      <c r="AC5" s="465">
        <f t="shared" ref="AC5" si="20">AB5+1</f>
        <v>27</v>
      </c>
      <c r="AD5" s="465">
        <f t="shared" ref="AD5" si="21">AC5+1</f>
        <v>28</v>
      </c>
      <c r="AE5" s="465">
        <f t="shared" ref="AE5" si="22">AD5+1</f>
        <v>29</v>
      </c>
      <c r="AF5" s="465">
        <f t="shared" ref="AF5" si="23">AE5+1</f>
        <v>30</v>
      </c>
      <c r="AG5" s="465">
        <f t="shared" ref="AG5" si="24">AF5+1</f>
        <v>31</v>
      </c>
      <c r="AH5" s="465">
        <f t="shared" ref="AH5" si="25">AG5+1</f>
        <v>32</v>
      </c>
      <c r="AI5" s="465">
        <f t="shared" ref="AI5" si="26">AH5+1</f>
        <v>33</v>
      </c>
      <c r="AJ5" s="465">
        <f t="shared" ref="AJ5" si="27">AI5+1</f>
        <v>34</v>
      </c>
      <c r="AK5" s="465">
        <f t="shared" ref="AK5" si="28">AJ5+1</f>
        <v>35</v>
      </c>
    </row>
    <row r="6" spans="1:37" ht="27" hidden="1" customHeight="1">
      <c r="A6" s="472"/>
      <c r="B6" s="473"/>
      <c r="C6" s="473"/>
      <c r="D6" s="473"/>
      <c r="E6" s="473"/>
      <c r="F6" s="473"/>
      <c r="G6" s="473"/>
      <c r="H6" s="473"/>
      <c r="I6" s="597"/>
      <c r="J6" s="597"/>
      <c r="K6" s="597"/>
      <c r="L6" s="597"/>
      <c r="M6" s="473"/>
      <c r="N6" s="473"/>
      <c r="O6" s="473"/>
      <c r="P6" s="473"/>
      <c r="Q6" s="597"/>
      <c r="R6" s="597"/>
      <c r="S6" s="473"/>
      <c r="T6" s="473"/>
      <c r="U6" s="473"/>
      <c r="V6" s="473"/>
      <c r="W6" s="597"/>
      <c r="X6" s="597"/>
      <c r="Y6" s="615"/>
      <c r="Z6" s="615"/>
      <c r="AA6" s="615"/>
      <c r="AB6" s="597"/>
      <c r="AC6" s="473"/>
      <c r="AD6" s="473"/>
      <c r="AE6" s="473"/>
      <c r="AF6" s="473"/>
      <c r="AG6" s="597"/>
      <c r="AH6" s="597"/>
      <c r="AI6" s="473"/>
      <c r="AJ6" s="473"/>
      <c r="AK6" s="473"/>
    </row>
    <row r="7" spans="1:37" ht="16.2" customHeight="1">
      <c r="A7" s="1183">
        <v>1</v>
      </c>
      <c r="B7" s="1184" t="s">
        <v>81</v>
      </c>
      <c r="C7" s="1185">
        <f>+'Table 8 Membership 2.1.14'!U3</f>
        <v>0</v>
      </c>
      <c r="D7" s="1186">
        <f>+'Table 5C1A-Madison Prep'!D7</f>
        <v>4765.8584413349836</v>
      </c>
      <c r="E7" s="1187">
        <f>C7*D7</f>
        <v>0</v>
      </c>
      <c r="F7" s="1187">
        <f>+'Table 5C1A-Madison Prep'!F7</f>
        <v>777.48</v>
      </c>
      <c r="G7" s="1187">
        <f>C7*F7</f>
        <v>0</v>
      </c>
      <c r="H7" s="1538">
        <f>E7+G7</f>
        <v>0</v>
      </c>
      <c r="I7" s="1188"/>
      <c r="J7" s="1188"/>
      <c r="K7" s="1189">
        <f>+I7+J7</f>
        <v>0</v>
      </c>
      <c r="L7" s="1538">
        <f>H7+K7</f>
        <v>0</v>
      </c>
      <c r="M7" s="1372">
        <f>-(0.25%*L7)</f>
        <v>0</v>
      </c>
      <c r="N7" s="1538">
        <f>SUM(L7:M7)</f>
        <v>0</v>
      </c>
      <c r="O7" s="1186">
        <v>0</v>
      </c>
      <c r="P7" s="1544">
        <f>SUM(N7:O7)</f>
        <v>0</v>
      </c>
      <c r="Q7" s="1188"/>
      <c r="R7" s="1188">
        <f>P7-Q7</f>
        <v>0</v>
      </c>
      <c r="S7" s="1544">
        <f>ROUND(R7/12,0)</f>
        <v>0</v>
      </c>
      <c r="T7" s="1544">
        <f>+P7</f>
        <v>0</v>
      </c>
      <c r="U7" s="1373">
        <f>'Table 5C1A-Madison Prep'!U7</f>
        <v>2409</v>
      </c>
      <c r="V7" s="1514">
        <f t="shared" ref="V7:V38" si="29">C7*U7</f>
        <v>0</v>
      </c>
      <c r="W7" s="1375"/>
      <c r="X7" s="1376">
        <f>W7*U7</f>
        <v>0</v>
      </c>
      <c r="Y7" s="1375"/>
      <c r="Z7" s="1376">
        <f t="shared" ref="Z7:Z70" si="30">+U7*Y7*0.5</f>
        <v>0</v>
      </c>
      <c r="AA7" s="1374">
        <f>+X7+Z7</f>
        <v>0</v>
      </c>
      <c r="AB7" s="1509">
        <f>AA7+V7</f>
        <v>0</v>
      </c>
      <c r="AC7" s="1378">
        <f>-(0.25%*AB7)</f>
        <v>0</v>
      </c>
      <c r="AD7" s="1509">
        <f>SUM(AB7:AC7)</f>
        <v>0</v>
      </c>
      <c r="AE7" s="1379">
        <v>0</v>
      </c>
      <c r="AF7" s="1509">
        <f>SUM(AD7:AE7)</f>
        <v>0</v>
      </c>
      <c r="AG7" s="1379"/>
      <c r="AH7" s="1379">
        <f>AF7-AG7</f>
        <v>0</v>
      </c>
      <c r="AI7" s="1509">
        <f>ROUND(AH7/12,0)</f>
        <v>0</v>
      </c>
      <c r="AJ7" s="1530">
        <f>T7+AF7</f>
        <v>0</v>
      </c>
      <c r="AK7" s="1534">
        <f>S7+AI7</f>
        <v>0</v>
      </c>
    </row>
    <row r="8" spans="1:37" ht="16.2" customHeight="1">
      <c r="A8" s="1176">
        <v>2</v>
      </c>
      <c r="B8" s="1177" t="s">
        <v>82</v>
      </c>
      <c r="C8" s="1178">
        <f>+'Table 8 Membership 2.1.14'!U4</f>
        <v>0</v>
      </c>
      <c r="D8" s="1179">
        <f>+'Table 5C1A-Madison Prep'!D8</f>
        <v>6316.6266417386641</v>
      </c>
      <c r="E8" s="1180">
        <f t="shared" ref="E8:E71" si="31">C8*D8</f>
        <v>0</v>
      </c>
      <c r="F8" s="1180">
        <f>+'Table 5C1A-Madison Prep'!F8</f>
        <v>842.32</v>
      </c>
      <c r="G8" s="1180">
        <f t="shared" ref="G8:G71" si="32">C8*F8</f>
        <v>0</v>
      </c>
      <c r="H8" s="1539">
        <f t="shared" ref="H8:H71" si="33">E8+G8</f>
        <v>0</v>
      </c>
      <c r="I8" s="1181"/>
      <c r="J8" s="1181"/>
      <c r="K8" s="1182">
        <f t="shared" ref="K8:K71" si="34">+I8+J8</f>
        <v>0</v>
      </c>
      <c r="L8" s="1539">
        <f t="shared" ref="L8:L38" si="35">H8+K8</f>
        <v>0</v>
      </c>
      <c r="M8" s="1388">
        <f t="shared" ref="M8:M71" si="36">-(0.25%*L8)</f>
        <v>0</v>
      </c>
      <c r="N8" s="1539">
        <f t="shared" ref="N8:N71" si="37">SUM(L8:M8)</f>
        <v>0</v>
      </c>
      <c r="O8" s="1179">
        <v>0</v>
      </c>
      <c r="P8" s="1545">
        <f t="shared" ref="P8:P71" si="38">SUM(N8:O8)</f>
        <v>0</v>
      </c>
      <c r="Q8" s="1181"/>
      <c r="R8" s="1181">
        <f t="shared" ref="R8:R71" si="39">P8-Q8</f>
        <v>0</v>
      </c>
      <c r="S8" s="1545">
        <f t="shared" ref="S8:S71" si="40">ROUND(R8/12,0)</f>
        <v>0</v>
      </c>
      <c r="T8" s="1545">
        <f t="shared" ref="T8:T71" si="41">+P8</f>
        <v>0</v>
      </c>
      <c r="U8" s="1389">
        <f>'Table 5C1A-Madison Prep'!U8</f>
        <v>2829</v>
      </c>
      <c r="V8" s="1515">
        <f t="shared" si="29"/>
        <v>0</v>
      </c>
      <c r="W8" s="1391"/>
      <c r="X8" s="1392">
        <f t="shared" ref="X8:X71" si="42">W8*U8</f>
        <v>0</v>
      </c>
      <c r="Y8" s="1391"/>
      <c r="Z8" s="1392">
        <f t="shared" si="30"/>
        <v>0</v>
      </c>
      <c r="AA8" s="1390">
        <f t="shared" ref="AA8:AA71" si="43">+X8+Z8</f>
        <v>0</v>
      </c>
      <c r="AB8" s="1510">
        <f t="shared" ref="AB8:AB71" si="44">AA8+V8</f>
        <v>0</v>
      </c>
      <c r="AC8" s="1394">
        <f t="shared" ref="AC8:AC71" si="45">-(0.25%*AB8)</f>
        <v>0</v>
      </c>
      <c r="AD8" s="1510">
        <f t="shared" ref="AD8:AD71" si="46">SUM(AB8:AC8)</f>
        <v>0</v>
      </c>
      <c r="AE8" s="1395">
        <v>0</v>
      </c>
      <c r="AF8" s="1510">
        <f t="shared" ref="AF8:AF71" si="47">SUM(AD8:AE8)</f>
        <v>0</v>
      </c>
      <c r="AG8" s="1395"/>
      <c r="AH8" s="1395">
        <f t="shared" ref="AH8:AH71" si="48">AF8-AG8</f>
        <v>0</v>
      </c>
      <c r="AI8" s="1510">
        <f t="shared" ref="AI8:AI71" si="49">ROUND(AH8/12,0)</f>
        <v>0</v>
      </c>
      <c r="AJ8" s="1505">
        <f t="shared" ref="AJ8:AJ71" si="50">T8+AF8</f>
        <v>0</v>
      </c>
      <c r="AK8" s="1535">
        <f t="shared" ref="AK8:AK71" si="51">S8+AI8</f>
        <v>0</v>
      </c>
    </row>
    <row r="9" spans="1:37" ht="16.2" customHeight="1">
      <c r="A9" s="1176">
        <v>3</v>
      </c>
      <c r="B9" s="1177" t="s">
        <v>83</v>
      </c>
      <c r="C9" s="1178">
        <f>+'Table 8 Membership 2.1.14'!U5</f>
        <v>0</v>
      </c>
      <c r="D9" s="1179">
        <f>+'Table 5C1A-Madison Prep'!D9</f>
        <v>4155.1862027396819</v>
      </c>
      <c r="E9" s="1180">
        <f t="shared" si="31"/>
        <v>0</v>
      </c>
      <c r="F9" s="1180">
        <f>+'Table 5C1A-Madison Prep'!F9</f>
        <v>596.84</v>
      </c>
      <c r="G9" s="1180">
        <f t="shared" si="32"/>
        <v>0</v>
      </c>
      <c r="H9" s="1539">
        <f t="shared" si="33"/>
        <v>0</v>
      </c>
      <c r="I9" s="1181"/>
      <c r="J9" s="1181"/>
      <c r="K9" s="1182">
        <f t="shared" si="34"/>
        <v>0</v>
      </c>
      <c r="L9" s="1539">
        <f t="shared" si="35"/>
        <v>0</v>
      </c>
      <c r="M9" s="1388">
        <f t="shared" si="36"/>
        <v>0</v>
      </c>
      <c r="N9" s="1539">
        <f t="shared" si="37"/>
        <v>0</v>
      </c>
      <c r="O9" s="1179">
        <v>0</v>
      </c>
      <c r="P9" s="1545">
        <f t="shared" si="38"/>
        <v>0</v>
      </c>
      <c r="Q9" s="1181"/>
      <c r="R9" s="1181">
        <f t="shared" si="39"/>
        <v>0</v>
      </c>
      <c r="S9" s="1545">
        <f t="shared" si="40"/>
        <v>0</v>
      </c>
      <c r="T9" s="1545">
        <f t="shared" si="41"/>
        <v>0</v>
      </c>
      <c r="U9" s="1389">
        <f>'Table 5C1A-Madison Prep'!U9</f>
        <v>5770</v>
      </c>
      <c r="V9" s="1515">
        <f t="shared" si="29"/>
        <v>0</v>
      </c>
      <c r="W9" s="1391"/>
      <c r="X9" s="1392">
        <f t="shared" si="42"/>
        <v>0</v>
      </c>
      <c r="Y9" s="1391"/>
      <c r="Z9" s="1392">
        <f t="shared" si="30"/>
        <v>0</v>
      </c>
      <c r="AA9" s="1390">
        <f t="shared" si="43"/>
        <v>0</v>
      </c>
      <c r="AB9" s="1510">
        <f t="shared" si="44"/>
        <v>0</v>
      </c>
      <c r="AC9" s="1394">
        <f t="shared" si="45"/>
        <v>0</v>
      </c>
      <c r="AD9" s="1510">
        <f t="shared" si="46"/>
        <v>0</v>
      </c>
      <c r="AE9" s="1395">
        <v>0</v>
      </c>
      <c r="AF9" s="1510">
        <f t="shared" si="47"/>
        <v>0</v>
      </c>
      <c r="AG9" s="1395"/>
      <c r="AH9" s="1395">
        <f t="shared" si="48"/>
        <v>0</v>
      </c>
      <c r="AI9" s="1510">
        <f t="shared" si="49"/>
        <v>0</v>
      </c>
      <c r="AJ9" s="1505">
        <f t="shared" si="50"/>
        <v>0</v>
      </c>
      <c r="AK9" s="1535">
        <f t="shared" si="51"/>
        <v>0</v>
      </c>
    </row>
    <row r="10" spans="1:37" ht="16.2" customHeight="1">
      <c r="A10" s="1176">
        <v>4</v>
      </c>
      <c r="B10" s="1177" t="s">
        <v>84</v>
      </c>
      <c r="C10" s="1178">
        <f>+'Table 8 Membership 2.1.14'!U6</f>
        <v>0</v>
      </c>
      <c r="D10" s="1179">
        <f>+'Table 5C1A-Madison Prep'!D10</f>
        <v>6119.0581446878568</v>
      </c>
      <c r="E10" s="1180">
        <f t="shared" si="31"/>
        <v>0</v>
      </c>
      <c r="F10" s="1180">
        <f>+'Table 5C1A-Madison Prep'!F10</f>
        <v>585.76</v>
      </c>
      <c r="G10" s="1180">
        <f t="shared" si="32"/>
        <v>0</v>
      </c>
      <c r="H10" s="1539">
        <f t="shared" si="33"/>
        <v>0</v>
      </c>
      <c r="I10" s="1181"/>
      <c r="J10" s="1181"/>
      <c r="K10" s="1182">
        <f t="shared" si="34"/>
        <v>0</v>
      </c>
      <c r="L10" s="1539">
        <f t="shared" si="35"/>
        <v>0</v>
      </c>
      <c r="M10" s="1388">
        <f t="shared" si="36"/>
        <v>0</v>
      </c>
      <c r="N10" s="1539">
        <f t="shared" si="37"/>
        <v>0</v>
      </c>
      <c r="O10" s="1179">
        <v>0</v>
      </c>
      <c r="P10" s="1545">
        <f t="shared" si="38"/>
        <v>0</v>
      </c>
      <c r="Q10" s="1181"/>
      <c r="R10" s="1181">
        <f t="shared" si="39"/>
        <v>0</v>
      </c>
      <c r="S10" s="1545">
        <f t="shared" si="40"/>
        <v>0</v>
      </c>
      <c r="T10" s="1545">
        <f t="shared" si="41"/>
        <v>0</v>
      </c>
      <c r="U10" s="1389">
        <f>'Table 5C1A-Madison Prep'!U10</f>
        <v>3287</v>
      </c>
      <c r="V10" s="1515">
        <f t="shared" si="29"/>
        <v>0</v>
      </c>
      <c r="W10" s="1391"/>
      <c r="X10" s="1392">
        <f t="shared" si="42"/>
        <v>0</v>
      </c>
      <c r="Y10" s="1391"/>
      <c r="Z10" s="1392">
        <f t="shared" si="30"/>
        <v>0</v>
      </c>
      <c r="AA10" s="1390">
        <f t="shared" si="43"/>
        <v>0</v>
      </c>
      <c r="AB10" s="1510">
        <f t="shared" si="44"/>
        <v>0</v>
      </c>
      <c r="AC10" s="1394">
        <f t="shared" si="45"/>
        <v>0</v>
      </c>
      <c r="AD10" s="1510">
        <f t="shared" si="46"/>
        <v>0</v>
      </c>
      <c r="AE10" s="1395">
        <v>0</v>
      </c>
      <c r="AF10" s="1510">
        <f t="shared" si="47"/>
        <v>0</v>
      </c>
      <c r="AG10" s="1395"/>
      <c r="AH10" s="1395">
        <f t="shared" si="48"/>
        <v>0</v>
      </c>
      <c r="AI10" s="1510">
        <f t="shared" si="49"/>
        <v>0</v>
      </c>
      <c r="AJ10" s="1505">
        <f t="shared" si="50"/>
        <v>0</v>
      </c>
      <c r="AK10" s="1535">
        <f t="shared" si="51"/>
        <v>0</v>
      </c>
    </row>
    <row r="11" spans="1:37" ht="16.2" customHeight="1">
      <c r="A11" s="1168">
        <v>5</v>
      </c>
      <c r="B11" s="1169" t="s">
        <v>85</v>
      </c>
      <c r="C11" s="1170">
        <f>+'Table 8 Membership 2.1.14'!U7</f>
        <v>0</v>
      </c>
      <c r="D11" s="1171">
        <f>+'Table 5C1A-Madison Prep'!D11</f>
        <v>5268.940566009911</v>
      </c>
      <c r="E11" s="1172">
        <f t="shared" si="31"/>
        <v>0</v>
      </c>
      <c r="F11" s="1172">
        <f>+'Table 5C1A-Madison Prep'!F11</f>
        <v>555.91</v>
      </c>
      <c r="G11" s="1172">
        <f t="shared" si="32"/>
        <v>0</v>
      </c>
      <c r="H11" s="1540">
        <f t="shared" si="33"/>
        <v>0</v>
      </c>
      <c r="I11" s="1173"/>
      <c r="J11" s="1173"/>
      <c r="K11" s="1174">
        <f t="shared" si="34"/>
        <v>0</v>
      </c>
      <c r="L11" s="1540">
        <f t="shared" si="35"/>
        <v>0</v>
      </c>
      <c r="M11" s="1399">
        <f t="shared" si="36"/>
        <v>0</v>
      </c>
      <c r="N11" s="1540">
        <f t="shared" si="37"/>
        <v>0</v>
      </c>
      <c r="O11" s="1171">
        <v>0</v>
      </c>
      <c r="P11" s="1546">
        <f t="shared" si="38"/>
        <v>0</v>
      </c>
      <c r="Q11" s="1175"/>
      <c r="R11" s="1173">
        <f t="shared" si="39"/>
        <v>0</v>
      </c>
      <c r="S11" s="1550">
        <f t="shared" si="40"/>
        <v>0</v>
      </c>
      <c r="T11" s="1550">
        <f t="shared" si="41"/>
        <v>0</v>
      </c>
      <c r="U11" s="1382">
        <f>'Table 5C1A-Madison Prep'!U11</f>
        <v>1921</v>
      </c>
      <c r="V11" s="1516">
        <f t="shared" si="29"/>
        <v>0</v>
      </c>
      <c r="W11" s="1400"/>
      <c r="X11" s="1383">
        <f t="shared" si="42"/>
        <v>0</v>
      </c>
      <c r="Y11" s="1400"/>
      <c r="Z11" s="1383">
        <f t="shared" si="30"/>
        <v>0</v>
      </c>
      <c r="AA11" s="1384">
        <f t="shared" si="43"/>
        <v>0</v>
      </c>
      <c r="AB11" s="1511">
        <f t="shared" si="44"/>
        <v>0</v>
      </c>
      <c r="AC11" s="1402">
        <f t="shared" si="45"/>
        <v>0</v>
      </c>
      <c r="AD11" s="1511">
        <f t="shared" si="46"/>
        <v>0</v>
      </c>
      <c r="AE11" s="1385">
        <v>0</v>
      </c>
      <c r="AF11" s="1511">
        <f t="shared" si="47"/>
        <v>0</v>
      </c>
      <c r="AG11" s="1385"/>
      <c r="AH11" s="1385">
        <f t="shared" si="48"/>
        <v>0</v>
      </c>
      <c r="AI11" s="1511">
        <f t="shared" si="49"/>
        <v>0</v>
      </c>
      <c r="AJ11" s="1531">
        <f t="shared" si="50"/>
        <v>0</v>
      </c>
      <c r="AK11" s="1536">
        <f t="shared" si="51"/>
        <v>0</v>
      </c>
    </row>
    <row r="12" spans="1:37" ht="16.2" customHeight="1">
      <c r="A12" s="1183">
        <v>6</v>
      </c>
      <c r="B12" s="1184" t="s">
        <v>86</v>
      </c>
      <c r="C12" s="1185">
        <f>+'Table 8 Membership 2.1.14'!U8</f>
        <v>0</v>
      </c>
      <c r="D12" s="1186">
        <f>+'Table 5C1A-Madison Prep'!D12</f>
        <v>5378.5086124955869</v>
      </c>
      <c r="E12" s="1187">
        <f t="shared" si="31"/>
        <v>0</v>
      </c>
      <c r="F12" s="1187">
        <f>+'Table 5C1A-Madison Prep'!F12</f>
        <v>545.4799999999999</v>
      </c>
      <c r="G12" s="1187">
        <f t="shared" si="32"/>
        <v>0</v>
      </c>
      <c r="H12" s="1538">
        <f t="shared" si="33"/>
        <v>0</v>
      </c>
      <c r="I12" s="1188"/>
      <c r="J12" s="1188"/>
      <c r="K12" s="1189">
        <f t="shared" si="34"/>
        <v>0</v>
      </c>
      <c r="L12" s="1538">
        <f t="shared" si="35"/>
        <v>0</v>
      </c>
      <c r="M12" s="1372">
        <f t="shared" si="36"/>
        <v>0</v>
      </c>
      <c r="N12" s="1538">
        <f t="shared" si="37"/>
        <v>0</v>
      </c>
      <c r="O12" s="1186">
        <v>0</v>
      </c>
      <c r="P12" s="1544">
        <f t="shared" si="38"/>
        <v>0</v>
      </c>
      <c r="Q12" s="1188"/>
      <c r="R12" s="1188">
        <f t="shared" si="39"/>
        <v>0</v>
      </c>
      <c r="S12" s="1544">
        <f t="shared" si="40"/>
        <v>0</v>
      </c>
      <c r="T12" s="1544">
        <f t="shared" si="41"/>
        <v>0</v>
      </c>
      <c r="U12" s="1373">
        <f>'Table 5C1A-Madison Prep'!U12</f>
        <v>3807</v>
      </c>
      <c r="V12" s="1514">
        <f t="shared" si="29"/>
        <v>0</v>
      </c>
      <c r="W12" s="1375"/>
      <c r="X12" s="1376">
        <f t="shared" si="42"/>
        <v>0</v>
      </c>
      <c r="Y12" s="1375"/>
      <c r="Z12" s="1376">
        <f t="shared" si="30"/>
        <v>0</v>
      </c>
      <c r="AA12" s="1374">
        <f t="shared" si="43"/>
        <v>0</v>
      </c>
      <c r="AB12" s="1509">
        <f t="shared" si="44"/>
        <v>0</v>
      </c>
      <c r="AC12" s="1378">
        <f t="shared" si="45"/>
        <v>0</v>
      </c>
      <c r="AD12" s="1509">
        <f t="shared" si="46"/>
        <v>0</v>
      </c>
      <c r="AE12" s="1379">
        <v>0</v>
      </c>
      <c r="AF12" s="1509">
        <f t="shared" si="47"/>
        <v>0</v>
      </c>
      <c r="AG12" s="1379"/>
      <c r="AH12" s="1379">
        <f t="shared" si="48"/>
        <v>0</v>
      </c>
      <c r="AI12" s="1509">
        <f t="shared" si="49"/>
        <v>0</v>
      </c>
      <c r="AJ12" s="1530">
        <f t="shared" si="50"/>
        <v>0</v>
      </c>
      <c r="AK12" s="1534">
        <f t="shared" si="51"/>
        <v>0</v>
      </c>
    </row>
    <row r="13" spans="1:37" ht="16.2" customHeight="1">
      <c r="A13" s="1176">
        <v>7</v>
      </c>
      <c r="B13" s="1177" t="s">
        <v>87</v>
      </c>
      <c r="C13" s="1178">
        <f>+'Table 8 Membership 2.1.14'!U9</f>
        <v>0</v>
      </c>
      <c r="D13" s="1179">
        <f>+'Table 5C1A-Madison Prep'!D13</f>
        <v>2243.0031963470319</v>
      </c>
      <c r="E13" s="1180">
        <f t="shared" si="31"/>
        <v>0</v>
      </c>
      <c r="F13" s="1180">
        <f>+'Table 5C1A-Madison Prep'!F13</f>
        <v>756.91999999999985</v>
      </c>
      <c r="G13" s="1180">
        <f t="shared" si="32"/>
        <v>0</v>
      </c>
      <c r="H13" s="1539">
        <f t="shared" si="33"/>
        <v>0</v>
      </c>
      <c r="I13" s="1181"/>
      <c r="J13" s="1181"/>
      <c r="K13" s="1182">
        <f t="shared" si="34"/>
        <v>0</v>
      </c>
      <c r="L13" s="1539">
        <f t="shared" si="35"/>
        <v>0</v>
      </c>
      <c r="M13" s="1388">
        <f t="shared" si="36"/>
        <v>0</v>
      </c>
      <c r="N13" s="1539">
        <f t="shared" si="37"/>
        <v>0</v>
      </c>
      <c r="O13" s="1179">
        <v>0</v>
      </c>
      <c r="P13" s="1545">
        <f t="shared" si="38"/>
        <v>0</v>
      </c>
      <c r="Q13" s="1181"/>
      <c r="R13" s="1181">
        <f t="shared" si="39"/>
        <v>0</v>
      </c>
      <c r="S13" s="1545">
        <f t="shared" si="40"/>
        <v>0</v>
      </c>
      <c r="T13" s="1545">
        <f t="shared" si="41"/>
        <v>0</v>
      </c>
      <c r="U13" s="1389">
        <f>'Table 5C1A-Madison Prep'!U13</f>
        <v>11888</v>
      </c>
      <c r="V13" s="1515">
        <f t="shared" si="29"/>
        <v>0</v>
      </c>
      <c r="W13" s="1391"/>
      <c r="X13" s="1392">
        <f t="shared" si="42"/>
        <v>0</v>
      </c>
      <c r="Y13" s="1391"/>
      <c r="Z13" s="1392">
        <f t="shared" si="30"/>
        <v>0</v>
      </c>
      <c r="AA13" s="1390">
        <f t="shared" si="43"/>
        <v>0</v>
      </c>
      <c r="AB13" s="1510">
        <f t="shared" si="44"/>
        <v>0</v>
      </c>
      <c r="AC13" s="1394">
        <f t="shared" si="45"/>
        <v>0</v>
      </c>
      <c r="AD13" s="1510">
        <f t="shared" si="46"/>
        <v>0</v>
      </c>
      <c r="AE13" s="1395">
        <v>0</v>
      </c>
      <c r="AF13" s="1510">
        <f t="shared" si="47"/>
        <v>0</v>
      </c>
      <c r="AG13" s="1395"/>
      <c r="AH13" s="1395">
        <f t="shared" si="48"/>
        <v>0</v>
      </c>
      <c r="AI13" s="1510">
        <f t="shared" si="49"/>
        <v>0</v>
      </c>
      <c r="AJ13" s="1505">
        <f t="shared" si="50"/>
        <v>0</v>
      </c>
      <c r="AK13" s="1535">
        <f t="shared" si="51"/>
        <v>0</v>
      </c>
    </row>
    <row r="14" spans="1:37" ht="16.2" customHeight="1">
      <c r="A14" s="1176">
        <v>8</v>
      </c>
      <c r="B14" s="1177" t="s">
        <v>88</v>
      </c>
      <c r="C14" s="1178">
        <f>+'Table 8 Membership 2.1.14'!U10</f>
        <v>0</v>
      </c>
      <c r="D14" s="1179">
        <f>+'Table 5C1A-Madison Prep'!D14</f>
        <v>4669.802459558854</v>
      </c>
      <c r="E14" s="1180">
        <f t="shared" si="31"/>
        <v>0</v>
      </c>
      <c r="F14" s="1180">
        <f>+'Table 5C1A-Madison Prep'!F14</f>
        <v>725.76</v>
      </c>
      <c r="G14" s="1180">
        <f t="shared" si="32"/>
        <v>0</v>
      </c>
      <c r="H14" s="1539">
        <f t="shared" si="33"/>
        <v>0</v>
      </c>
      <c r="I14" s="1181"/>
      <c r="J14" s="1181"/>
      <c r="K14" s="1182">
        <f t="shared" si="34"/>
        <v>0</v>
      </c>
      <c r="L14" s="1539">
        <f t="shared" si="35"/>
        <v>0</v>
      </c>
      <c r="M14" s="1388">
        <f t="shared" si="36"/>
        <v>0</v>
      </c>
      <c r="N14" s="1539">
        <f t="shared" si="37"/>
        <v>0</v>
      </c>
      <c r="O14" s="1179">
        <v>0</v>
      </c>
      <c r="P14" s="1545">
        <f t="shared" si="38"/>
        <v>0</v>
      </c>
      <c r="Q14" s="1181"/>
      <c r="R14" s="1181">
        <f t="shared" si="39"/>
        <v>0</v>
      </c>
      <c r="S14" s="1545">
        <f t="shared" si="40"/>
        <v>0</v>
      </c>
      <c r="T14" s="1545">
        <f t="shared" si="41"/>
        <v>0</v>
      </c>
      <c r="U14" s="1389">
        <f>'Table 5C1A-Madison Prep'!U14</f>
        <v>4024</v>
      </c>
      <c r="V14" s="1515">
        <f t="shared" si="29"/>
        <v>0</v>
      </c>
      <c r="W14" s="1391"/>
      <c r="X14" s="1392">
        <f t="shared" si="42"/>
        <v>0</v>
      </c>
      <c r="Y14" s="1391"/>
      <c r="Z14" s="1392">
        <f t="shared" si="30"/>
        <v>0</v>
      </c>
      <c r="AA14" s="1390">
        <f t="shared" si="43"/>
        <v>0</v>
      </c>
      <c r="AB14" s="1510">
        <f t="shared" si="44"/>
        <v>0</v>
      </c>
      <c r="AC14" s="1394">
        <f t="shared" si="45"/>
        <v>0</v>
      </c>
      <c r="AD14" s="1510">
        <f t="shared" si="46"/>
        <v>0</v>
      </c>
      <c r="AE14" s="1395">
        <v>0</v>
      </c>
      <c r="AF14" s="1510">
        <f t="shared" si="47"/>
        <v>0</v>
      </c>
      <c r="AG14" s="1395"/>
      <c r="AH14" s="1395">
        <f t="shared" si="48"/>
        <v>0</v>
      </c>
      <c r="AI14" s="1510">
        <f t="shared" si="49"/>
        <v>0</v>
      </c>
      <c r="AJ14" s="1505">
        <f t="shared" si="50"/>
        <v>0</v>
      </c>
      <c r="AK14" s="1535">
        <f t="shared" si="51"/>
        <v>0</v>
      </c>
    </row>
    <row r="15" spans="1:37" ht="16.2" customHeight="1">
      <c r="A15" s="1176">
        <v>9</v>
      </c>
      <c r="B15" s="1177" t="s">
        <v>89</v>
      </c>
      <c r="C15" s="1178">
        <f>+'Table 8 Membership 2.1.14'!U11</f>
        <v>0</v>
      </c>
      <c r="D15" s="1179">
        <f>+'Table 5C1A-Madison Prep'!D15</f>
        <v>4632.4615072045008</v>
      </c>
      <c r="E15" s="1180">
        <f t="shared" si="31"/>
        <v>0</v>
      </c>
      <c r="F15" s="1180">
        <f>+'Table 5C1A-Madison Prep'!F15</f>
        <v>744.76</v>
      </c>
      <c r="G15" s="1180">
        <f t="shared" si="32"/>
        <v>0</v>
      </c>
      <c r="H15" s="1539">
        <f t="shared" si="33"/>
        <v>0</v>
      </c>
      <c r="I15" s="1181"/>
      <c r="J15" s="1181"/>
      <c r="K15" s="1182">
        <f t="shared" si="34"/>
        <v>0</v>
      </c>
      <c r="L15" s="1539">
        <f t="shared" si="35"/>
        <v>0</v>
      </c>
      <c r="M15" s="1388">
        <f t="shared" si="36"/>
        <v>0</v>
      </c>
      <c r="N15" s="1539">
        <f t="shared" si="37"/>
        <v>0</v>
      </c>
      <c r="O15" s="1179">
        <v>0</v>
      </c>
      <c r="P15" s="1545">
        <f t="shared" si="38"/>
        <v>0</v>
      </c>
      <c r="Q15" s="1181"/>
      <c r="R15" s="1181">
        <f t="shared" si="39"/>
        <v>0</v>
      </c>
      <c r="S15" s="1545">
        <f t="shared" si="40"/>
        <v>0</v>
      </c>
      <c r="T15" s="1545">
        <f t="shared" si="41"/>
        <v>0</v>
      </c>
      <c r="U15" s="1389">
        <f>'Table 5C1A-Madison Prep'!U15</f>
        <v>4828</v>
      </c>
      <c r="V15" s="1515">
        <f t="shared" si="29"/>
        <v>0</v>
      </c>
      <c r="W15" s="1391"/>
      <c r="X15" s="1392">
        <f t="shared" si="42"/>
        <v>0</v>
      </c>
      <c r="Y15" s="1391"/>
      <c r="Z15" s="1392">
        <f t="shared" si="30"/>
        <v>0</v>
      </c>
      <c r="AA15" s="1390">
        <f t="shared" si="43"/>
        <v>0</v>
      </c>
      <c r="AB15" s="1510">
        <f t="shared" si="44"/>
        <v>0</v>
      </c>
      <c r="AC15" s="1394">
        <f t="shared" si="45"/>
        <v>0</v>
      </c>
      <c r="AD15" s="1510">
        <f t="shared" si="46"/>
        <v>0</v>
      </c>
      <c r="AE15" s="1395">
        <v>0</v>
      </c>
      <c r="AF15" s="1510">
        <f t="shared" si="47"/>
        <v>0</v>
      </c>
      <c r="AG15" s="1395"/>
      <c r="AH15" s="1395">
        <f t="shared" si="48"/>
        <v>0</v>
      </c>
      <c r="AI15" s="1510">
        <f t="shared" si="49"/>
        <v>0</v>
      </c>
      <c r="AJ15" s="1505">
        <f t="shared" si="50"/>
        <v>0</v>
      </c>
      <c r="AK15" s="1535">
        <f t="shared" si="51"/>
        <v>0</v>
      </c>
    </row>
    <row r="16" spans="1:37" ht="16.2" customHeight="1">
      <c r="A16" s="1168">
        <v>10</v>
      </c>
      <c r="B16" s="1169" t="s">
        <v>90</v>
      </c>
      <c r="C16" s="1170">
        <f>+'Table 8 Membership 2.1.14'!U12</f>
        <v>0</v>
      </c>
      <c r="D16" s="1171">
        <f>+'Table 5C1A-Madison Prep'!D16</f>
        <v>4384.374733918472</v>
      </c>
      <c r="E16" s="1172">
        <f t="shared" si="31"/>
        <v>0</v>
      </c>
      <c r="F16" s="1172">
        <f>+'Table 5C1A-Madison Prep'!F16</f>
        <v>608.04000000000008</v>
      </c>
      <c r="G16" s="1172">
        <f t="shared" si="32"/>
        <v>0</v>
      </c>
      <c r="H16" s="1540">
        <f t="shared" si="33"/>
        <v>0</v>
      </c>
      <c r="I16" s="1173"/>
      <c r="J16" s="1173"/>
      <c r="K16" s="1174">
        <f t="shared" si="34"/>
        <v>0</v>
      </c>
      <c r="L16" s="1540">
        <f t="shared" si="35"/>
        <v>0</v>
      </c>
      <c r="M16" s="1399">
        <f t="shared" si="36"/>
        <v>0</v>
      </c>
      <c r="N16" s="1540">
        <f t="shared" si="37"/>
        <v>0</v>
      </c>
      <c r="O16" s="1171">
        <v>0</v>
      </c>
      <c r="P16" s="1546">
        <f t="shared" si="38"/>
        <v>0</v>
      </c>
      <c r="Q16" s="1175"/>
      <c r="R16" s="1173">
        <f t="shared" si="39"/>
        <v>0</v>
      </c>
      <c r="S16" s="1550">
        <f t="shared" si="40"/>
        <v>0</v>
      </c>
      <c r="T16" s="1550">
        <f t="shared" si="41"/>
        <v>0</v>
      </c>
      <c r="U16" s="1382">
        <f>'Table 5C1A-Madison Prep'!U16</f>
        <v>4565</v>
      </c>
      <c r="V16" s="1516">
        <f t="shared" si="29"/>
        <v>0</v>
      </c>
      <c r="W16" s="1400"/>
      <c r="X16" s="1383">
        <f t="shared" si="42"/>
        <v>0</v>
      </c>
      <c r="Y16" s="1400"/>
      <c r="Z16" s="1383">
        <f t="shared" si="30"/>
        <v>0</v>
      </c>
      <c r="AA16" s="1384">
        <f t="shared" si="43"/>
        <v>0</v>
      </c>
      <c r="AB16" s="1511">
        <f t="shared" si="44"/>
        <v>0</v>
      </c>
      <c r="AC16" s="1402">
        <f t="shared" si="45"/>
        <v>0</v>
      </c>
      <c r="AD16" s="1511">
        <f t="shared" si="46"/>
        <v>0</v>
      </c>
      <c r="AE16" s="1385">
        <v>0</v>
      </c>
      <c r="AF16" s="1511">
        <f t="shared" si="47"/>
        <v>0</v>
      </c>
      <c r="AG16" s="1385"/>
      <c r="AH16" s="1385">
        <f t="shared" si="48"/>
        <v>0</v>
      </c>
      <c r="AI16" s="1511">
        <f t="shared" si="49"/>
        <v>0</v>
      </c>
      <c r="AJ16" s="1531">
        <f t="shared" si="50"/>
        <v>0</v>
      </c>
      <c r="AK16" s="1536">
        <f t="shared" si="51"/>
        <v>0</v>
      </c>
    </row>
    <row r="17" spans="1:37" ht="16.2" customHeight="1">
      <c r="A17" s="1183">
        <v>11</v>
      </c>
      <c r="B17" s="1184" t="s">
        <v>91</v>
      </c>
      <c r="C17" s="1185">
        <f>+'Table 8 Membership 2.1.14'!U13</f>
        <v>0</v>
      </c>
      <c r="D17" s="1186">
        <f>+'Table 5C1A-Madison Prep'!D17</f>
        <v>7098.5372236353351</v>
      </c>
      <c r="E17" s="1187">
        <f t="shared" si="31"/>
        <v>0</v>
      </c>
      <c r="F17" s="1187">
        <f>+'Table 5C1A-Madison Prep'!F17</f>
        <v>706.55</v>
      </c>
      <c r="G17" s="1187">
        <f t="shared" si="32"/>
        <v>0</v>
      </c>
      <c r="H17" s="1538">
        <f t="shared" si="33"/>
        <v>0</v>
      </c>
      <c r="I17" s="1188"/>
      <c r="J17" s="1188"/>
      <c r="K17" s="1189">
        <f t="shared" si="34"/>
        <v>0</v>
      </c>
      <c r="L17" s="1538">
        <f t="shared" si="35"/>
        <v>0</v>
      </c>
      <c r="M17" s="1372">
        <f t="shared" si="36"/>
        <v>0</v>
      </c>
      <c r="N17" s="1538">
        <f t="shared" si="37"/>
        <v>0</v>
      </c>
      <c r="O17" s="1186">
        <v>0</v>
      </c>
      <c r="P17" s="1544">
        <f t="shared" si="38"/>
        <v>0</v>
      </c>
      <c r="Q17" s="1188"/>
      <c r="R17" s="1188">
        <f t="shared" si="39"/>
        <v>0</v>
      </c>
      <c r="S17" s="1544">
        <f t="shared" si="40"/>
        <v>0</v>
      </c>
      <c r="T17" s="1544">
        <f t="shared" si="41"/>
        <v>0</v>
      </c>
      <c r="U17" s="1373">
        <f>'Table 5C1A-Madison Prep'!U17</f>
        <v>3587</v>
      </c>
      <c r="V17" s="1514">
        <f t="shared" si="29"/>
        <v>0</v>
      </c>
      <c r="W17" s="1375"/>
      <c r="X17" s="1376">
        <f t="shared" si="42"/>
        <v>0</v>
      </c>
      <c r="Y17" s="1375"/>
      <c r="Z17" s="1376">
        <f t="shared" si="30"/>
        <v>0</v>
      </c>
      <c r="AA17" s="1374">
        <f t="shared" si="43"/>
        <v>0</v>
      </c>
      <c r="AB17" s="1509">
        <f t="shared" si="44"/>
        <v>0</v>
      </c>
      <c r="AC17" s="1378">
        <f t="shared" si="45"/>
        <v>0</v>
      </c>
      <c r="AD17" s="1509">
        <f t="shared" si="46"/>
        <v>0</v>
      </c>
      <c r="AE17" s="1379">
        <v>0</v>
      </c>
      <c r="AF17" s="1509">
        <f t="shared" si="47"/>
        <v>0</v>
      </c>
      <c r="AG17" s="1379"/>
      <c r="AH17" s="1379">
        <f t="shared" si="48"/>
        <v>0</v>
      </c>
      <c r="AI17" s="1509">
        <f t="shared" si="49"/>
        <v>0</v>
      </c>
      <c r="AJ17" s="1530">
        <f t="shared" si="50"/>
        <v>0</v>
      </c>
      <c r="AK17" s="1534">
        <f t="shared" si="51"/>
        <v>0</v>
      </c>
    </row>
    <row r="18" spans="1:37" ht="16.2" customHeight="1">
      <c r="A18" s="1176">
        <v>12</v>
      </c>
      <c r="B18" s="1177" t="s">
        <v>92</v>
      </c>
      <c r="C18" s="1178">
        <f>+'Table 8 Membership 2.1.14'!U14</f>
        <v>0</v>
      </c>
      <c r="D18" s="1179">
        <f>+'Table 5C1A-Madison Prep'!D18</f>
        <v>1666.6040983606558</v>
      </c>
      <c r="E18" s="1180">
        <f t="shared" si="31"/>
        <v>0</v>
      </c>
      <c r="F18" s="1180">
        <f>+'Table 5C1A-Madison Prep'!F18</f>
        <v>1063.31</v>
      </c>
      <c r="G18" s="1180">
        <f t="shared" si="32"/>
        <v>0</v>
      </c>
      <c r="H18" s="1539">
        <f t="shared" si="33"/>
        <v>0</v>
      </c>
      <c r="I18" s="1181"/>
      <c r="J18" s="1181"/>
      <c r="K18" s="1182">
        <f t="shared" si="34"/>
        <v>0</v>
      </c>
      <c r="L18" s="1539">
        <f t="shared" si="35"/>
        <v>0</v>
      </c>
      <c r="M18" s="1388">
        <f t="shared" si="36"/>
        <v>0</v>
      </c>
      <c r="N18" s="1539">
        <f t="shared" si="37"/>
        <v>0</v>
      </c>
      <c r="O18" s="1179">
        <v>0</v>
      </c>
      <c r="P18" s="1545">
        <f t="shared" si="38"/>
        <v>0</v>
      </c>
      <c r="Q18" s="1181"/>
      <c r="R18" s="1181">
        <f t="shared" si="39"/>
        <v>0</v>
      </c>
      <c r="S18" s="1545">
        <f t="shared" si="40"/>
        <v>0</v>
      </c>
      <c r="T18" s="1545">
        <f t="shared" si="41"/>
        <v>0</v>
      </c>
      <c r="U18" s="1389">
        <f>'Table 5C1A-Madison Prep'!U18</f>
        <v>8094</v>
      </c>
      <c r="V18" s="1515">
        <f t="shared" si="29"/>
        <v>0</v>
      </c>
      <c r="W18" s="1391"/>
      <c r="X18" s="1392">
        <f t="shared" si="42"/>
        <v>0</v>
      </c>
      <c r="Y18" s="1391"/>
      <c r="Z18" s="1392">
        <f t="shared" si="30"/>
        <v>0</v>
      </c>
      <c r="AA18" s="1390">
        <f t="shared" si="43"/>
        <v>0</v>
      </c>
      <c r="AB18" s="1510">
        <f t="shared" si="44"/>
        <v>0</v>
      </c>
      <c r="AC18" s="1394">
        <f t="shared" si="45"/>
        <v>0</v>
      </c>
      <c r="AD18" s="1510">
        <f t="shared" si="46"/>
        <v>0</v>
      </c>
      <c r="AE18" s="1395">
        <v>0</v>
      </c>
      <c r="AF18" s="1510">
        <f t="shared" si="47"/>
        <v>0</v>
      </c>
      <c r="AG18" s="1395"/>
      <c r="AH18" s="1395">
        <f t="shared" si="48"/>
        <v>0</v>
      </c>
      <c r="AI18" s="1510">
        <f t="shared" si="49"/>
        <v>0</v>
      </c>
      <c r="AJ18" s="1505">
        <f t="shared" si="50"/>
        <v>0</v>
      </c>
      <c r="AK18" s="1535">
        <f t="shared" si="51"/>
        <v>0</v>
      </c>
    </row>
    <row r="19" spans="1:37" ht="16.2" customHeight="1">
      <c r="A19" s="1176">
        <v>13</v>
      </c>
      <c r="B19" s="1177" t="s">
        <v>93</v>
      </c>
      <c r="C19" s="1178">
        <f>+'Table 8 Membership 2.1.14'!U15</f>
        <v>0</v>
      </c>
      <c r="D19" s="1179">
        <f>+'Table 5C1A-Madison Prep'!D19</f>
        <v>6433.6297758332212</v>
      </c>
      <c r="E19" s="1180">
        <f t="shared" si="31"/>
        <v>0</v>
      </c>
      <c r="F19" s="1180">
        <f>+'Table 5C1A-Madison Prep'!F19</f>
        <v>749.43000000000006</v>
      </c>
      <c r="G19" s="1180">
        <f t="shared" si="32"/>
        <v>0</v>
      </c>
      <c r="H19" s="1539">
        <f t="shared" si="33"/>
        <v>0</v>
      </c>
      <c r="I19" s="1181"/>
      <c r="J19" s="1181"/>
      <c r="K19" s="1182">
        <f t="shared" si="34"/>
        <v>0</v>
      </c>
      <c r="L19" s="1539">
        <f t="shared" si="35"/>
        <v>0</v>
      </c>
      <c r="M19" s="1388">
        <f t="shared" si="36"/>
        <v>0</v>
      </c>
      <c r="N19" s="1539">
        <f t="shared" si="37"/>
        <v>0</v>
      </c>
      <c r="O19" s="1179">
        <v>0</v>
      </c>
      <c r="P19" s="1545">
        <f t="shared" si="38"/>
        <v>0</v>
      </c>
      <c r="Q19" s="1181"/>
      <c r="R19" s="1181">
        <f t="shared" si="39"/>
        <v>0</v>
      </c>
      <c r="S19" s="1545">
        <f t="shared" si="40"/>
        <v>0</v>
      </c>
      <c r="T19" s="1545">
        <f t="shared" si="41"/>
        <v>0</v>
      </c>
      <c r="U19" s="1389">
        <f>'Table 5C1A-Madison Prep'!U19</f>
        <v>2842</v>
      </c>
      <c r="V19" s="1515">
        <f t="shared" si="29"/>
        <v>0</v>
      </c>
      <c r="W19" s="1391"/>
      <c r="X19" s="1392">
        <f t="shared" si="42"/>
        <v>0</v>
      </c>
      <c r="Y19" s="1391"/>
      <c r="Z19" s="1392">
        <f t="shared" si="30"/>
        <v>0</v>
      </c>
      <c r="AA19" s="1390">
        <f t="shared" si="43"/>
        <v>0</v>
      </c>
      <c r="AB19" s="1510">
        <f t="shared" si="44"/>
        <v>0</v>
      </c>
      <c r="AC19" s="1394">
        <f t="shared" si="45"/>
        <v>0</v>
      </c>
      <c r="AD19" s="1510">
        <f t="shared" si="46"/>
        <v>0</v>
      </c>
      <c r="AE19" s="1395">
        <v>0</v>
      </c>
      <c r="AF19" s="1510">
        <f t="shared" si="47"/>
        <v>0</v>
      </c>
      <c r="AG19" s="1395"/>
      <c r="AH19" s="1395">
        <f t="shared" si="48"/>
        <v>0</v>
      </c>
      <c r="AI19" s="1510">
        <f t="shared" si="49"/>
        <v>0</v>
      </c>
      <c r="AJ19" s="1505">
        <f t="shared" si="50"/>
        <v>0</v>
      </c>
      <c r="AK19" s="1535">
        <f t="shared" si="51"/>
        <v>0</v>
      </c>
    </row>
    <row r="20" spans="1:37" ht="16.2" customHeight="1">
      <c r="A20" s="1176">
        <v>14</v>
      </c>
      <c r="B20" s="1177" t="s">
        <v>94</v>
      </c>
      <c r="C20" s="1178">
        <f>+'Table 8 Membership 2.1.14'!U16</f>
        <v>0</v>
      </c>
      <c r="D20" s="1179">
        <f>+'Table 5C1A-Madison Prep'!D20</f>
        <v>5334.9509412500001</v>
      </c>
      <c r="E20" s="1180">
        <f t="shared" si="31"/>
        <v>0</v>
      </c>
      <c r="F20" s="1180">
        <f>+'Table 5C1A-Madison Prep'!F20</f>
        <v>809.9799999999999</v>
      </c>
      <c r="G20" s="1180">
        <f t="shared" si="32"/>
        <v>0</v>
      </c>
      <c r="H20" s="1539">
        <f t="shared" si="33"/>
        <v>0</v>
      </c>
      <c r="I20" s="1181"/>
      <c r="J20" s="1181"/>
      <c r="K20" s="1182">
        <f t="shared" si="34"/>
        <v>0</v>
      </c>
      <c r="L20" s="1539">
        <f t="shared" si="35"/>
        <v>0</v>
      </c>
      <c r="M20" s="1388">
        <f t="shared" si="36"/>
        <v>0</v>
      </c>
      <c r="N20" s="1539">
        <f t="shared" si="37"/>
        <v>0</v>
      </c>
      <c r="O20" s="1179">
        <v>0</v>
      </c>
      <c r="P20" s="1545">
        <f t="shared" si="38"/>
        <v>0</v>
      </c>
      <c r="Q20" s="1181"/>
      <c r="R20" s="1181">
        <f t="shared" si="39"/>
        <v>0</v>
      </c>
      <c r="S20" s="1545">
        <f t="shared" si="40"/>
        <v>0</v>
      </c>
      <c r="T20" s="1545">
        <f t="shared" si="41"/>
        <v>0</v>
      </c>
      <c r="U20" s="1389">
        <f>'Table 5C1A-Madison Prep'!U20</f>
        <v>4205</v>
      </c>
      <c r="V20" s="1515">
        <f t="shared" si="29"/>
        <v>0</v>
      </c>
      <c r="W20" s="1391"/>
      <c r="X20" s="1392">
        <f t="shared" si="42"/>
        <v>0</v>
      </c>
      <c r="Y20" s="1391"/>
      <c r="Z20" s="1392">
        <f t="shared" si="30"/>
        <v>0</v>
      </c>
      <c r="AA20" s="1390">
        <f t="shared" si="43"/>
        <v>0</v>
      </c>
      <c r="AB20" s="1510">
        <f t="shared" si="44"/>
        <v>0</v>
      </c>
      <c r="AC20" s="1394">
        <f t="shared" si="45"/>
        <v>0</v>
      </c>
      <c r="AD20" s="1510">
        <f t="shared" si="46"/>
        <v>0</v>
      </c>
      <c r="AE20" s="1395">
        <v>0</v>
      </c>
      <c r="AF20" s="1510">
        <f t="shared" si="47"/>
        <v>0</v>
      </c>
      <c r="AG20" s="1395"/>
      <c r="AH20" s="1395">
        <f t="shared" si="48"/>
        <v>0</v>
      </c>
      <c r="AI20" s="1510">
        <f t="shared" si="49"/>
        <v>0</v>
      </c>
      <c r="AJ20" s="1505">
        <f t="shared" si="50"/>
        <v>0</v>
      </c>
      <c r="AK20" s="1535">
        <f t="shared" si="51"/>
        <v>0</v>
      </c>
    </row>
    <row r="21" spans="1:37" ht="16.2" customHeight="1">
      <c r="A21" s="1168">
        <v>15</v>
      </c>
      <c r="B21" s="1169" t="s">
        <v>95</v>
      </c>
      <c r="C21" s="1170">
        <f>+'Table 8 Membership 2.1.14'!U17</f>
        <v>0</v>
      </c>
      <c r="D21" s="1171">
        <f>+'Table 5C1A-Madison Prep'!D21</f>
        <v>5749.8285214059952</v>
      </c>
      <c r="E21" s="1172">
        <f t="shared" si="31"/>
        <v>0</v>
      </c>
      <c r="F21" s="1172">
        <f>+'Table 5C1A-Madison Prep'!F21</f>
        <v>553.79999999999995</v>
      </c>
      <c r="G21" s="1172">
        <f t="shared" si="32"/>
        <v>0</v>
      </c>
      <c r="H21" s="1540">
        <f t="shared" si="33"/>
        <v>0</v>
      </c>
      <c r="I21" s="1173"/>
      <c r="J21" s="1173"/>
      <c r="K21" s="1174">
        <f t="shared" si="34"/>
        <v>0</v>
      </c>
      <c r="L21" s="1540">
        <f t="shared" si="35"/>
        <v>0</v>
      </c>
      <c r="M21" s="1399">
        <f t="shared" si="36"/>
        <v>0</v>
      </c>
      <c r="N21" s="1540">
        <f t="shared" si="37"/>
        <v>0</v>
      </c>
      <c r="O21" s="1171">
        <v>0</v>
      </c>
      <c r="P21" s="1546">
        <f t="shared" si="38"/>
        <v>0</v>
      </c>
      <c r="Q21" s="1175"/>
      <c r="R21" s="1173">
        <f t="shared" si="39"/>
        <v>0</v>
      </c>
      <c r="S21" s="1550">
        <f t="shared" si="40"/>
        <v>0</v>
      </c>
      <c r="T21" s="1550">
        <f t="shared" si="41"/>
        <v>0</v>
      </c>
      <c r="U21" s="1382">
        <f>'Table 5C1A-Madison Prep'!U21</f>
        <v>2535</v>
      </c>
      <c r="V21" s="1516">
        <f t="shared" si="29"/>
        <v>0</v>
      </c>
      <c r="W21" s="1400"/>
      <c r="X21" s="1383">
        <f t="shared" si="42"/>
        <v>0</v>
      </c>
      <c r="Y21" s="1400"/>
      <c r="Z21" s="1383">
        <f t="shared" si="30"/>
        <v>0</v>
      </c>
      <c r="AA21" s="1384">
        <f t="shared" si="43"/>
        <v>0</v>
      </c>
      <c r="AB21" s="1511">
        <f t="shared" si="44"/>
        <v>0</v>
      </c>
      <c r="AC21" s="1402">
        <f t="shared" si="45"/>
        <v>0</v>
      </c>
      <c r="AD21" s="1511">
        <f t="shared" si="46"/>
        <v>0</v>
      </c>
      <c r="AE21" s="1385">
        <v>0</v>
      </c>
      <c r="AF21" s="1511">
        <f t="shared" si="47"/>
        <v>0</v>
      </c>
      <c r="AG21" s="1385"/>
      <c r="AH21" s="1385">
        <f t="shared" si="48"/>
        <v>0</v>
      </c>
      <c r="AI21" s="1511">
        <f t="shared" si="49"/>
        <v>0</v>
      </c>
      <c r="AJ21" s="1531">
        <f t="shared" si="50"/>
        <v>0</v>
      </c>
      <c r="AK21" s="1536">
        <f t="shared" si="51"/>
        <v>0</v>
      </c>
    </row>
    <row r="22" spans="1:37" ht="16.2" customHeight="1">
      <c r="A22" s="1183">
        <v>16</v>
      </c>
      <c r="B22" s="1184" t="s">
        <v>96</v>
      </c>
      <c r="C22" s="1185">
        <f>+'Table 8 Membership 2.1.14'!U18</f>
        <v>0</v>
      </c>
      <c r="D22" s="1186">
        <f>+'Table 5C1A-Madison Prep'!D22</f>
        <v>1980.2494354342025</v>
      </c>
      <c r="E22" s="1187">
        <f t="shared" si="31"/>
        <v>0</v>
      </c>
      <c r="F22" s="1187">
        <f>+'Table 5C1A-Madison Prep'!F22</f>
        <v>686.73</v>
      </c>
      <c r="G22" s="1187">
        <f t="shared" si="32"/>
        <v>0</v>
      </c>
      <c r="H22" s="1538">
        <f t="shared" si="33"/>
        <v>0</v>
      </c>
      <c r="I22" s="1188"/>
      <c r="J22" s="1188"/>
      <c r="K22" s="1189">
        <f t="shared" si="34"/>
        <v>0</v>
      </c>
      <c r="L22" s="1538">
        <f t="shared" si="35"/>
        <v>0</v>
      </c>
      <c r="M22" s="1372">
        <f t="shared" si="36"/>
        <v>0</v>
      </c>
      <c r="N22" s="1538">
        <f t="shared" si="37"/>
        <v>0</v>
      </c>
      <c r="O22" s="1186">
        <v>0</v>
      </c>
      <c r="P22" s="1544">
        <f t="shared" si="38"/>
        <v>0</v>
      </c>
      <c r="Q22" s="1188"/>
      <c r="R22" s="1188">
        <f t="shared" si="39"/>
        <v>0</v>
      </c>
      <c r="S22" s="1544">
        <f t="shared" si="40"/>
        <v>0</v>
      </c>
      <c r="T22" s="1544">
        <f t="shared" si="41"/>
        <v>0</v>
      </c>
      <c r="U22" s="1373">
        <f>'Table 5C1A-Madison Prep'!U22</f>
        <v>12768</v>
      </c>
      <c r="V22" s="1514">
        <f t="shared" si="29"/>
        <v>0</v>
      </c>
      <c r="W22" s="1375"/>
      <c r="X22" s="1376">
        <f t="shared" si="42"/>
        <v>0</v>
      </c>
      <c r="Y22" s="1375"/>
      <c r="Z22" s="1376">
        <f t="shared" si="30"/>
        <v>0</v>
      </c>
      <c r="AA22" s="1374">
        <f t="shared" si="43"/>
        <v>0</v>
      </c>
      <c r="AB22" s="1509">
        <f t="shared" si="44"/>
        <v>0</v>
      </c>
      <c r="AC22" s="1378">
        <f t="shared" si="45"/>
        <v>0</v>
      </c>
      <c r="AD22" s="1509">
        <f t="shared" si="46"/>
        <v>0</v>
      </c>
      <c r="AE22" s="1379">
        <v>0</v>
      </c>
      <c r="AF22" s="1509">
        <f t="shared" si="47"/>
        <v>0</v>
      </c>
      <c r="AG22" s="1379"/>
      <c r="AH22" s="1379">
        <f t="shared" si="48"/>
        <v>0</v>
      </c>
      <c r="AI22" s="1509">
        <f t="shared" si="49"/>
        <v>0</v>
      </c>
      <c r="AJ22" s="1530">
        <f t="shared" si="50"/>
        <v>0</v>
      </c>
      <c r="AK22" s="1534">
        <f t="shared" si="51"/>
        <v>0</v>
      </c>
    </row>
    <row r="23" spans="1:37" ht="16.2" customHeight="1">
      <c r="A23" s="1176">
        <v>17</v>
      </c>
      <c r="B23" s="1177" t="s">
        <v>97</v>
      </c>
      <c r="C23" s="1178">
        <f>+'Table 8 Membership 2.1.14'!U19</f>
        <v>0</v>
      </c>
      <c r="D23" s="1179">
        <f>+'Table 5C1A-Madison Prep'!D23</f>
        <v>3363.5980368254495</v>
      </c>
      <c r="E23" s="1180">
        <f t="shared" si="31"/>
        <v>0</v>
      </c>
      <c r="F23" s="1180">
        <f>+'Table 5C1A-Madison Prep'!F23</f>
        <v>801.47762416806802</v>
      </c>
      <c r="G23" s="1180">
        <f t="shared" si="32"/>
        <v>0</v>
      </c>
      <c r="H23" s="1539">
        <f t="shared" si="33"/>
        <v>0</v>
      </c>
      <c r="I23" s="1181"/>
      <c r="J23" s="1181"/>
      <c r="K23" s="1182">
        <f t="shared" si="34"/>
        <v>0</v>
      </c>
      <c r="L23" s="1539">
        <f t="shared" si="35"/>
        <v>0</v>
      </c>
      <c r="M23" s="1388">
        <f t="shared" si="36"/>
        <v>0</v>
      </c>
      <c r="N23" s="1539">
        <f t="shared" si="37"/>
        <v>0</v>
      </c>
      <c r="O23" s="1179">
        <v>0</v>
      </c>
      <c r="P23" s="1545">
        <f t="shared" si="38"/>
        <v>0</v>
      </c>
      <c r="Q23" s="1181"/>
      <c r="R23" s="1181">
        <f t="shared" si="39"/>
        <v>0</v>
      </c>
      <c r="S23" s="1545">
        <f t="shared" si="40"/>
        <v>0</v>
      </c>
      <c r="T23" s="1545">
        <f t="shared" si="41"/>
        <v>0</v>
      </c>
      <c r="U23" s="1389">
        <f>'Table 5C1A-Madison Prep'!U23</f>
        <v>7050</v>
      </c>
      <c r="V23" s="1515">
        <f t="shared" si="29"/>
        <v>0</v>
      </c>
      <c r="W23" s="1391"/>
      <c r="X23" s="1392">
        <f t="shared" si="42"/>
        <v>0</v>
      </c>
      <c r="Y23" s="1391"/>
      <c r="Z23" s="1392">
        <f t="shared" si="30"/>
        <v>0</v>
      </c>
      <c r="AA23" s="1390">
        <f t="shared" si="43"/>
        <v>0</v>
      </c>
      <c r="AB23" s="1510">
        <f t="shared" si="44"/>
        <v>0</v>
      </c>
      <c r="AC23" s="1394">
        <f t="shared" si="45"/>
        <v>0</v>
      </c>
      <c r="AD23" s="1510">
        <f t="shared" si="46"/>
        <v>0</v>
      </c>
      <c r="AE23" s="1395">
        <v>0</v>
      </c>
      <c r="AF23" s="1510">
        <f t="shared" si="47"/>
        <v>0</v>
      </c>
      <c r="AG23" s="1395"/>
      <c r="AH23" s="1395">
        <f t="shared" si="48"/>
        <v>0</v>
      </c>
      <c r="AI23" s="1510">
        <f t="shared" si="49"/>
        <v>0</v>
      </c>
      <c r="AJ23" s="1505">
        <f t="shared" si="50"/>
        <v>0</v>
      </c>
      <c r="AK23" s="1535">
        <f t="shared" si="51"/>
        <v>0</v>
      </c>
    </row>
    <row r="24" spans="1:37" ht="16.2" customHeight="1">
      <c r="A24" s="1176">
        <v>18</v>
      </c>
      <c r="B24" s="1177" t="s">
        <v>98</v>
      </c>
      <c r="C24" s="1178">
        <f>+'Table 8 Membership 2.1.14'!U20</f>
        <v>0</v>
      </c>
      <c r="D24" s="1179">
        <f>+'Table 5C1A-Madison Prep'!D24</f>
        <v>6354.5533500475731</v>
      </c>
      <c r="E24" s="1180">
        <f t="shared" si="31"/>
        <v>0</v>
      </c>
      <c r="F24" s="1180">
        <f>+'Table 5C1A-Madison Prep'!F24</f>
        <v>845.94999999999993</v>
      </c>
      <c r="G24" s="1180">
        <f t="shared" si="32"/>
        <v>0</v>
      </c>
      <c r="H24" s="1539">
        <f t="shared" si="33"/>
        <v>0</v>
      </c>
      <c r="I24" s="1181"/>
      <c r="J24" s="1181"/>
      <c r="K24" s="1182">
        <f t="shared" si="34"/>
        <v>0</v>
      </c>
      <c r="L24" s="1539">
        <f t="shared" si="35"/>
        <v>0</v>
      </c>
      <c r="M24" s="1388">
        <f t="shared" si="36"/>
        <v>0</v>
      </c>
      <c r="N24" s="1539">
        <f t="shared" si="37"/>
        <v>0</v>
      </c>
      <c r="O24" s="1179">
        <v>0</v>
      </c>
      <c r="P24" s="1545">
        <f t="shared" si="38"/>
        <v>0</v>
      </c>
      <c r="Q24" s="1181"/>
      <c r="R24" s="1181">
        <f t="shared" si="39"/>
        <v>0</v>
      </c>
      <c r="S24" s="1545">
        <f t="shared" si="40"/>
        <v>0</v>
      </c>
      <c r="T24" s="1545">
        <f t="shared" si="41"/>
        <v>0</v>
      </c>
      <c r="U24" s="1389">
        <f>'Table 5C1A-Madison Prep'!U24</f>
        <v>2526</v>
      </c>
      <c r="V24" s="1515">
        <f t="shared" si="29"/>
        <v>0</v>
      </c>
      <c r="W24" s="1391"/>
      <c r="X24" s="1392">
        <f t="shared" si="42"/>
        <v>0</v>
      </c>
      <c r="Y24" s="1391"/>
      <c r="Z24" s="1392">
        <f t="shared" si="30"/>
        <v>0</v>
      </c>
      <c r="AA24" s="1390">
        <f t="shared" si="43"/>
        <v>0</v>
      </c>
      <c r="AB24" s="1510">
        <f t="shared" si="44"/>
        <v>0</v>
      </c>
      <c r="AC24" s="1394">
        <f t="shared" si="45"/>
        <v>0</v>
      </c>
      <c r="AD24" s="1510">
        <f t="shared" si="46"/>
        <v>0</v>
      </c>
      <c r="AE24" s="1395">
        <v>0</v>
      </c>
      <c r="AF24" s="1510">
        <f t="shared" si="47"/>
        <v>0</v>
      </c>
      <c r="AG24" s="1395"/>
      <c r="AH24" s="1395">
        <f t="shared" si="48"/>
        <v>0</v>
      </c>
      <c r="AI24" s="1510">
        <f t="shared" si="49"/>
        <v>0</v>
      </c>
      <c r="AJ24" s="1505">
        <f t="shared" si="50"/>
        <v>0</v>
      </c>
      <c r="AK24" s="1535">
        <f t="shared" si="51"/>
        <v>0</v>
      </c>
    </row>
    <row r="25" spans="1:37" ht="16.2" customHeight="1">
      <c r="A25" s="1176">
        <v>19</v>
      </c>
      <c r="B25" s="1177" t="s">
        <v>99</v>
      </c>
      <c r="C25" s="1178">
        <f>+'Table 8 Membership 2.1.14'!U21</f>
        <v>0</v>
      </c>
      <c r="D25" s="1179">
        <f>+'Table 5C1A-Madison Prep'!D25</f>
        <v>5314.3921869460446</v>
      </c>
      <c r="E25" s="1180">
        <f t="shared" si="31"/>
        <v>0</v>
      </c>
      <c r="F25" s="1180">
        <f>+'Table 5C1A-Madison Prep'!F25</f>
        <v>905.43</v>
      </c>
      <c r="G25" s="1180">
        <f t="shared" si="32"/>
        <v>0</v>
      </c>
      <c r="H25" s="1539">
        <f t="shared" si="33"/>
        <v>0</v>
      </c>
      <c r="I25" s="1181"/>
      <c r="J25" s="1181"/>
      <c r="K25" s="1182">
        <f t="shared" si="34"/>
        <v>0</v>
      </c>
      <c r="L25" s="1539">
        <f t="shared" si="35"/>
        <v>0</v>
      </c>
      <c r="M25" s="1388">
        <f t="shared" si="36"/>
        <v>0</v>
      </c>
      <c r="N25" s="1539">
        <f t="shared" si="37"/>
        <v>0</v>
      </c>
      <c r="O25" s="1179">
        <v>0</v>
      </c>
      <c r="P25" s="1545">
        <f t="shared" si="38"/>
        <v>0</v>
      </c>
      <c r="Q25" s="1181"/>
      <c r="R25" s="1181">
        <f t="shared" si="39"/>
        <v>0</v>
      </c>
      <c r="S25" s="1545">
        <f t="shared" si="40"/>
        <v>0</v>
      </c>
      <c r="T25" s="1545">
        <f t="shared" si="41"/>
        <v>0</v>
      </c>
      <c r="U25" s="1389">
        <f>'Table 5C1A-Madison Prep'!U25</f>
        <v>2908</v>
      </c>
      <c r="V25" s="1515">
        <f t="shared" si="29"/>
        <v>0</v>
      </c>
      <c r="W25" s="1391"/>
      <c r="X25" s="1392">
        <f t="shared" si="42"/>
        <v>0</v>
      </c>
      <c r="Y25" s="1391"/>
      <c r="Z25" s="1392">
        <f t="shared" si="30"/>
        <v>0</v>
      </c>
      <c r="AA25" s="1390">
        <f t="shared" si="43"/>
        <v>0</v>
      </c>
      <c r="AB25" s="1510">
        <f t="shared" si="44"/>
        <v>0</v>
      </c>
      <c r="AC25" s="1394">
        <f t="shared" si="45"/>
        <v>0</v>
      </c>
      <c r="AD25" s="1510">
        <f t="shared" si="46"/>
        <v>0</v>
      </c>
      <c r="AE25" s="1395">
        <v>0</v>
      </c>
      <c r="AF25" s="1510">
        <f t="shared" si="47"/>
        <v>0</v>
      </c>
      <c r="AG25" s="1395"/>
      <c r="AH25" s="1395">
        <f t="shared" si="48"/>
        <v>0</v>
      </c>
      <c r="AI25" s="1510">
        <f t="shared" si="49"/>
        <v>0</v>
      </c>
      <c r="AJ25" s="1505">
        <f t="shared" si="50"/>
        <v>0</v>
      </c>
      <c r="AK25" s="1535">
        <f t="shared" si="51"/>
        <v>0</v>
      </c>
    </row>
    <row r="26" spans="1:37" ht="16.2" customHeight="1">
      <c r="A26" s="1168">
        <v>20</v>
      </c>
      <c r="B26" s="1169" t="s">
        <v>100</v>
      </c>
      <c r="C26" s="1170">
        <f>+'Table 8 Membership 2.1.14'!U22</f>
        <v>0</v>
      </c>
      <c r="D26" s="1171">
        <f>+'Table 5C1A-Madison Prep'!D26</f>
        <v>5278.5201565562011</v>
      </c>
      <c r="E26" s="1172">
        <f t="shared" si="31"/>
        <v>0</v>
      </c>
      <c r="F26" s="1172">
        <f>+'Table 5C1A-Madison Prep'!F26</f>
        <v>586.16999999999996</v>
      </c>
      <c r="G26" s="1172">
        <f t="shared" si="32"/>
        <v>0</v>
      </c>
      <c r="H26" s="1540">
        <f t="shared" si="33"/>
        <v>0</v>
      </c>
      <c r="I26" s="1173"/>
      <c r="J26" s="1173"/>
      <c r="K26" s="1174">
        <f t="shared" si="34"/>
        <v>0</v>
      </c>
      <c r="L26" s="1540">
        <f t="shared" si="35"/>
        <v>0</v>
      </c>
      <c r="M26" s="1399">
        <f t="shared" si="36"/>
        <v>0</v>
      </c>
      <c r="N26" s="1540">
        <f t="shared" si="37"/>
        <v>0</v>
      </c>
      <c r="O26" s="1171">
        <v>0</v>
      </c>
      <c r="P26" s="1546">
        <f t="shared" si="38"/>
        <v>0</v>
      </c>
      <c r="Q26" s="1175"/>
      <c r="R26" s="1173">
        <f t="shared" si="39"/>
        <v>0</v>
      </c>
      <c r="S26" s="1550">
        <f t="shared" si="40"/>
        <v>0</v>
      </c>
      <c r="T26" s="1550">
        <f t="shared" si="41"/>
        <v>0</v>
      </c>
      <c r="U26" s="1382">
        <f>'Table 5C1A-Madison Prep'!U26</f>
        <v>2432</v>
      </c>
      <c r="V26" s="1516">
        <f t="shared" si="29"/>
        <v>0</v>
      </c>
      <c r="W26" s="1400"/>
      <c r="X26" s="1383">
        <f t="shared" si="42"/>
        <v>0</v>
      </c>
      <c r="Y26" s="1400"/>
      <c r="Z26" s="1383">
        <f t="shared" si="30"/>
        <v>0</v>
      </c>
      <c r="AA26" s="1384">
        <f t="shared" si="43"/>
        <v>0</v>
      </c>
      <c r="AB26" s="1511">
        <f t="shared" si="44"/>
        <v>0</v>
      </c>
      <c r="AC26" s="1402">
        <f t="shared" si="45"/>
        <v>0</v>
      </c>
      <c r="AD26" s="1511">
        <f t="shared" si="46"/>
        <v>0</v>
      </c>
      <c r="AE26" s="1385">
        <v>0</v>
      </c>
      <c r="AF26" s="1511">
        <f t="shared" si="47"/>
        <v>0</v>
      </c>
      <c r="AG26" s="1385"/>
      <c r="AH26" s="1385">
        <f t="shared" si="48"/>
        <v>0</v>
      </c>
      <c r="AI26" s="1511">
        <f t="shared" si="49"/>
        <v>0</v>
      </c>
      <c r="AJ26" s="1531">
        <f t="shared" si="50"/>
        <v>0</v>
      </c>
      <c r="AK26" s="1536">
        <f t="shared" si="51"/>
        <v>0</v>
      </c>
    </row>
    <row r="27" spans="1:37" ht="16.2" customHeight="1">
      <c r="A27" s="1183">
        <v>21</v>
      </c>
      <c r="B27" s="1184" t="s">
        <v>101</v>
      </c>
      <c r="C27" s="1185">
        <f>+'Table 8 Membership 2.1.14'!U23</f>
        <v>0</v>
      </c>
      <c r="D27" s="1186">
        <f>+'Table 5C1A-Madison Prep'!D27</f>
        <v>6082.3042295867763</v>
      </c>
      <c r="E27" s="1187">
        <f t="shared" si="31"/>
        <v>0</v>
      </c>
      <c r="F27" s="1187">
        <f>+'Table 5C1A-Madison Prep'!F27</f>
        <v>610.35</v>
      </c>
      <c r="G27" s="1187">
        <f t="shared" si="32"/>
        <v>0</v>
      </c>
      <c r="H27" s="1538">
        <f t="shared" si="33"/>
        <v>0</v>
      </c>
      <c r="I27" s="1188"/>
      <c r="J27" s="1188"/>
      <c r="K27" s="1189">
        <f t="shared" si="34"/>
        <v>0</v>
      </c>
      <c r="L27" s="1538">
        <f t="shared" si="35"/>
        <v>0</v>
      </c>
      <c r="M27" s="1372">
        <f t="shared" si="36"/>
        <v>0</v>
      </c>
      <c r="N27" s="1538">
        <f t="shared" si="37"/>
        <v>0</v>
      </c>
      <c r="O27" s="1186">
        <v>0</v>
      </c>
      <c r="P27" s="1544">
        <f t="shared" si="38"/>
        <v>0</v>
      </c>
      <c r="Q27" s="1188"/>
      <c r="R27" s="1188">
        <f t="shared" si="39"/>
        <v>0</v>
      </c>
      <c r="S27" s="1544">
        <f t="shared" si="40"/>
        <v>0</v>
      </c>
      <c r="T27" s="1544">
        <f t="shared" si="41"/>
        <v>0</v>
      </c>
      <c r="U27" s="1373">
        <f>'Table 5C1A-Madison Prep'!U27</f>
        <v>2460</v>
      </c>
      <c r="V27" s="1514">
        <f t="shared" si="29"/>
        <v>0</v>
      </c>
      <c r="W27" s="1375"/>
      <c r="X27" s="1376">
        <f t="shared" si="42"/>
        <v>0</v>
      </c>
      <c r="Y27" s="1375"/>
      <c r="Z27" s="1376">
        <f t="shared" si="30"/>
        <v>0</v>
      </c>
      <c r="AA27" s="1374">
        <f t="shared" si="43"/>
        <v>0</v>
      </c>
      <c r="AB27" s="1509">
        <f t="shared" si="44"/>
        <v>0</v>
      </c>
      <c r="AC27" s="1378">
        <f t="shared" si="45"/>
        <v>0</v>
      </c>
      <c r="AD27" s="1509">
        <f t="shared" si="46"/>
        <v>0</v>
      </c>
      <c r="AE27" s="1379">
        <v>0</v>
      </c>
      <c r="AF27" s="1509">
        <f t="shared" si="47"/>
        <v>0</v>
      </c>
      <c r="AG27" s="1379"/>
      <c r="AH27" s="1379">
        <f t="shared" si="48"/>
        <v>0</v>
      </c>
      <c r="AI27" s="1509">
        <f t="shared" si="49"/>
        <v>0</v>
      </c>
      <c r="AJ27" s="1530">
        <f t="shared" si="50"/>
        <v>0</v>
      </c>
      <c r="AK27" s="1534">
        <f t="shared" si="51"/>
        <v>0</v>
      </c>
    </row>
    <row r="28" spans="1:37" ht="16.2" customHeight="1">
      <c r="A28" s="1176">
        <v>22</v>
      </c>
      <c r="B28" s="1177" t="s">
        <v>102</v>
      </c>
      <c r="C28" s="1178">
        <f>+'Table 8 Membership 2.1.14'!U24</f>
        <v>0</v>
      </c>
      <c r="D28" s="1179">
        <f>+'Table 5C1A-Madison Prep'!D28</f>
        <v>6416.1099808195995</v>
      </c>
      <c r="E28" s="1180">
        <f t="shared" si="31"/>
        <v>0</v>
      </c>
      <c r="F28" s="1180">
        <f>+'Table 5C1A-Madison Prep'!F28</f>
        <v>496.36</v>
      </c>
      <c r="G28" s="1180">
        <f t="shared" si="32"/>
        <v>0</v>
      </c>
      <c r="H28" s="1539">
        <f t="shared" si="33"/>
        <v>0</v>
      </c>
      <c r="I28" s="1181"/>
      <c r="J28" s="1181"/>
      <c r="K28" s="1182">
        <f t="shared" si="34"/>
        <v>0</v>
      </c>
      <c r="L28" s="1539">
        <f t="shared" si="35"/>
        <v>0</v>
      </c>
      <c r="M28" s="1388">
        <f t="shared" si="36"/>
        <v>0</v>
      </c>
      <c r="N28" s="1539">
        <f t="shared" si="37"/>
        <v>0</v>
      </c>
      <c r="O28" s="1179">
        <v>0</v>
      </c>
      <c r="P28" s="1545">
        <f t="shared" si="38"/>
        <v>0</v>
      </c>
      <c r="Q28" s="1181"/>
      <c r="R28" s="1181">
        <f t="shared" si="39"/>
        <v>0</v>
      </c>
      <c r="S28" s="1545">
        <f t="shared" si="40"/>
        <v>0</v>
      </c>
      <c r="T28" s="1545">
        <f t="shared" si="41"/>
        <v>0</v>
      </c>
      <c r="U28" s="1389">
        <f>'Table 5C1A-Madison Prep'!U28</f>
        <v>1613</v>
      </c>
      <c r="V28" s="1515">
        <f t="shared" si="29"/>
        <v>0</v>
      </c>
      <c r="W28" s="1391"/>
      <c r="X28" s="1392">
        <f t="shared" si="42"/>
        <v>0</v>
      </c>
      <c r="Y28" s="1391"/>
      <c r="Z28" s="1392">
        <f t="shared" si="30"/>
        <v>0</v>
      </c>
      <c r="AA28" s="1390">
        <f t="shared" si="43"/>
        <v>0</v>
      </c>
      <c r="AB28" s="1510">
        <f t="shared" si="44"/>
        <v>0</v>
      </c>
      <c r="AC28" s="1394">
        <f t="shared" si="45"/>
        <v>0</v>
      </c>
      <c r="AD28" s="1510">
        <f t="shared" si="46"/>
        <v>0</v>
      </c>
      <c r="AE28" s="1395">
        <v>0</v>
      </c>
      <c r="AF28" s="1510">
        <f t="shared" si="47"/>
        <v>0</v>
      </c>
      <c r="AG28" s="1395"/>
      <c r="AH28" s="1395">
        <f t="shared" si="48"/>
        <v>0</v>
      </c>
      <c r="AI28" s="1510">
        <f t="shared" si="49"/>
        <v>0</v>
      </c>
      <c r="AJ28" s="1505">
        <f t="shared" si="50"/>
        <v>0</v>
      </c>
      <c r="AK28" s="1535">
        <f t="shared" si="51"/>
        <v>0</v>
      </c>
    </row>
    <row r="29" spans="1:37" ht="16.2" customHeight="1">
      <c r="A29" s="1176">
        <v>23</v>
      </c>
      <c r="B29" s="1177" t="s">
        <v>103</v>
      </c>
      <c r="C29" s="1178">
        <f>+'Table 8 Membership 2.1.14'!U25</f>
        <v>0</v>
      </c>
      <c r="D29" s="1179">
        <f>+'Table 5C1A-Madison Prep'!D29</f>
        <v>5011.0215265979159</v>
      </c>
      <c r="E29" s="1180">
        <f t="shared" si="31"/>
        <v>0</v>
      </c>
      <c r="F29" s="1180">
        <f>+'Table 5C1A-Madison Prep'!F29</f>
        <v>688.58</v>
      </c>
      <c r="G29" s="1180">
        <f t="shared" si="32"/>
        <v>0</v>
      </c>
      <c r="H29" s="1539">
        <f t="shared" si="33"/>
        <v>0</v>
      </c>
      <c r="I29" s="1181"/>
      <c r="J29" s="1181"/>
      <c r="K29" s="1182">
        <f t="shared" si="34"/>
        <v>0</v>
      </c>
      <c r="L29" s="1539">
        <f t="shared" si="35"/>
        <v>0</v>
      </c>
      <c r="M29" s="1388">
        <f t="shared" si="36"/>
        <v>0</v>
      </c>
      <c r="N29" s="1539">
        <f t="shared" si="37"/>
        <v>0</v>
      </c>
      <c r="O29" s="1179">
        <v>0</v>
      </c>
      <c r="P29" s="1545">
        <f t="shared" si="38"/>
        <v>0</v>
      </c>
      <c r="Q29" s="1181"/>
      <c r="R29" s="1181">
        <f t="shared" si="39"/>
        <v>0</v>
      </c>
      <c r="S29" s="1545">
        <f t="shared" si="40"/>
        <v>0</v>
      </c>
      <c r="T29" s="1545">
        <f t="shared" si="41"/>
        <v>0</v>
      </c>
      <c r="U29" s="1389">
        <f>'Table 5C1A-Madison Prep'!U29</f>
        <v>3473</v>
      </c>
      <c r="V29" s="1515">
        <f t="shared" si="29"/>
        <v>0</v>
      </c>
      <c r="W29" s="1391"/>
      <c r="X29" s="1392">
        <f t="shared" si="42"/>
        <v>0</v>
      </c>
      <c r="Y29" s="1391"/>
      <c r="Z29" s="1392">
        <f t="shared" si="30"/>
        <v>0</v>
      </c>
      <c r="AA29" s="1390">
        <f t="shared" si="43"/>
        <v>0</v>
      </c>
      <c r="AB29" s="1510">
        <f t="shared" si="44"/>
        <v>0</v>
      </c>
      <c r="AC29" s="1394">
        <f t="shared" si="45"/>
        <v>0</v>
      </c>
      <c r="AD29" s="1510">
        <f t="shared" si="46"/>
        <v>0</v>
      </c>
      <c r="AE29" s="1395">
        <v>0</v>
      </c>
      <c r="AF29" s="1510">
        <f t="shared" si="47"/>
        <v>0</v>
      </c>
      <c r="AG29" s="1395"/>
      <c r="AH29" s="1395">
        <f t="shared" si="48"/>
        <v>0</v>
      </c>
      <c r="AI29" s="1510">
        <f t="shared" si="49"/>
        <v>0</v>
      </c>
      <c r="AJ29" s="1505">
        <f t="shared" si="50"/>
        <v>0</v>
      </c>
      <c r="AK29" s="1535">
        <f t="shared" si="51"/>
        <v>0</v>
      </c>
    </row>
    <row r="30" spans="1:37" ht="16.2" customHeight="1">
      <c r="A30" s="1176">
        <v>24</v>
      </c>
      <c r="B30" s="1177" t="s">
        <v>104</v>
      </c>
      <c r="C30" s="1178">
        <f>+'Table 8 Membership 2.1.14'!U26</f>
        <v>0</v>
      </c>
      <c r="D30" s="1179">
        <f>+'Table 5C1A-Madison Prep'!D30</f>
        <v>2611.6740361576999</v>
      </c>
      <c r="E30" s="1180">
        <f t="shared" si="31"/>
        <v>0</v>
      </c>
      <c r="F30" s="1180">
        <f>+'Table 5C1A-Madison Prep'!F30</f>
        <v>854.24999999999989</v>
      </c>
      <c r="G30" s="1180">
        <f t="shared" si="32"/>
        <v>0</v>
      </c>
      <c r="H30" s="1539">
        <f t="shared" si="33"/>
        <v>0</v>
      </c>
      <c r="I30" s="1181"/>
      <c r="J30" s="1181"/>
      <c r="K30" s="1182">
        <f t="shared" si="34"/>
        <v>0</v>
      </c>
      <c r="L30" s="1539">
        <f t="shared" si="35"/>
        <v>0</v>
      </c>
      <c r="M30" s="1388">
        <f t="shared" si="36"/>
        <v>0</v>
      </c>
      <c r="N30" s="1539">
        <f t="shared" si="37"/>
        <v>0</v>
      </c>
      <c r="O30" s="1179">
        <v>0</v>
      </c>
      <c r="P30" s="1545">
        <f t="shared" si="38"/>
        <v>0</v>
      </c>
      <c r="Q30" s="1181"/>
      <c r="R30" s="1181">
        <f t="shared" si="39"/>
        <v>0</v>
      </c>
      <c r="S30" s="1545">
        <f t="shared" si="40"/>
        <v>0</v>
      </c>
      <c r="T30" s="1545">
        <f t="shared" si="41"/>
        <v>0</v>
      </c>
      <c r="U30" s="1389">
        <f>'Table 5C1A-Madison Prep'!U30</f>
        <v>10053</v>
      </c>
      <c r="V30" s="1515">
        <f t="shared" si="29"/>
        <v>0</v>
      </c>
      <c r="W30" s="1391"/>
      <c r="X30" s="1392">
        <f t="shared" si="42"/>
        <v>0</v>
      </c>
      <c r="Y30" s="1391"/>
      <c r="Z30" s="1392">
        <f t="shared" si="30"/>
        <v>0</v>
      </c>
      <c r="AA30" s="1390">
        <f t="shared" si="43"/>
        <v>0</v>
      </c>
      <c r="AB30" s="1510">
        <f t="shared" si="44"/>
        <v>0</v>
      </c>
      <c r="AC30" s="1394">
        <f t="shared" si="45"/>
        <v>0</v>
      </c>
      <c r="AD30" s="1510">
        <f t="shared" si="46"/>
        <v>0</v>
      </c>
      <c r="AE30" s="1395">
        <v>0</v>
      </c>
      <c r="AF30" s="1510">
        <f t="shared" si="47"/>
        <v>0</v>
      </c>
      <c r="AG30" s="1395"/>
      <c r="AH30" s="1395">
        <f t="shared" si="48"/>
        <v>0</v>
      </c>
      <c r="AI30" s="1510">
        <f t="shared" si="49"/>
        <v>0</v>
      </c>
      <c r="AJ30" s="1505">
        <f t="shared" si="50"/>
        <v>0</v>
      </c>
      <c r="AK30" s="1535">
        <f t="shared" si="51"/>
        <v>0</v>
      </c>
    </row>
    <row r="31" spans="1:37" ht="16.2" customHeight="1">
      <c r="A31" s="1168">
        <v>25</v>
      </c>
      <c r="B31" s="1169" t="s">
        <v>105</v>
      </c>
      <c r="C31" s="1170">
        <f>+'Table 8 Membership 2.1.14'!U27</f>
        <v>0</v>
      </c>
      <c r="D31" s="1171">
        <f>+'Table 5C1A-Madison Prep'!D31</f>
        <v>4173.0720274945697</v>
      </c>
      <c r="E31" s="1172">
        <f t="shared" si="31"/>
        <v>0</v>
      </c>
      <c r="F31" s="1172">
        <f>+'Table 5C1A-Madison Prep'!F31</f>
        <v>653.73</v>
      </c>
      <c r="G31" s="1172">
        <f t="shared" si="32"/>
        <v>0</v>
      </c>
      <c r="H31" s="1540">
        <f t="shared" si="33"/>
        <v>0</v>
      </c>
      <c r="I31" s="1173"/>
      <c r="J31" s="1173"/>
      <c r="K31" s="1174">
        <f t="shared" si="34"/>
        <v>0</v>
      </c>
      <c r="L31" s="1540">
        <f t="shared" si="35"/>
        <v>0</v>
      </c>
      <c r="M31" s="1399">
        <f t="shared" si="36"/>
        <v>0</v>
      </c>
      <c r="N31" s="1540">
        <f t="shared" si="37"/>
        <v>0</v>
      </c>
      <c r="O31" s="1171">
        <v>0</v>
      </c>
      <c r="P31" s="1546">
        <f t="shared" si="38"/>
        <v>0</v>
      </c>
      <c r="Q31" s="1175"/>
      <c r="R31" s="1173">
        <f t="shared" si="39"/>
        <v>0</v>
      </c>
      <c r="S31" s="1550">
        <f t="shared" si="40"/>
        <v>0</v>
      </c>
      <c r="T31" s="1550">
        <f t="shared" si="41"/>
        <v>0</v>
      </c>
      <c r="U31" s="1382">
        <f>'Table 5C1A-Madison Prep'!U31</f>
        <v>5073</v>
      </c>
      <c r="V31" s="1516">
        <f t="shared" si="29"/>
        <v>0</v>
      </c>
      <c r="W31" s="1400"/>
      <c r="X31" s="1383">
        <f t="shared" si="42"/>
        <v>0</v>
      </c>
      <c r="Y31" s="1400"/>
      <c r="Z31" s="1383">
        <f t="shared" si="30"/>
        <v>0</v>
      </c>
      <c r="AA31" s="1384">
        <f t="shared" si="43"/>
        <v>0</v>
      </c>
      <c r="AB31" s="1511">
        <f t="shared" si="44"/>
        <v>0</v>
      </c>
      <c r="AC31" s="1402">
        <f t="shared" si="45"/>
        <v>0</v>
      </c>
      <c r="AD31" s="1511">
        <f t="shared" si="46"/>
        <v>0</v>
      </c>
      <c r="AE31" s="1385">
        <v>0</v>
      </c>
      <c r="AF31" s="1511">
        <f t="shared" si="47"/>
        <v>0</v>
      </c>
      <c r="AG31" s="1385"/>
      <c r="AH31" s="1385">
        <f t="shared" si="48"/>
        <v>0</v>
      </c>
      <c r="AI31" s="1511">
        <f t="shared" si="49"/>
        <v>0</v>
      </c>
      <c r="AJ31" s="1531">
        <f t="shared" si="50"/>
        <v>0</v>
      </c>
      <c r="AK31" s="1536">
        <f t="shared" si="51"/>
        <v>0</v>
      </c>
    </row>
    <row r="32" spans="1:37" ht="16.2" customHeight="1">
      <c r="A32" s="1183">
        <v>26</v>
      </c>
      <c r="B32" s="1184" t="s">
        <v>106</v>
      </c>
      <c r="C32" s="1185">
        <f>+'Table 8 Membership 2.1.14'!U28</f>
        <v>0</v>
      </c>
      <c r="D32" s="1186">
        <f>+'Table 5C1A-Madison Prep'!D32</f>
        <v>3424.5649970570835</v>
      </c>
      <c r="E32" s="1187">
        <f t="shared" si="31"/>
        <v>0</v>
      </c>
      <c r="F32" s="1187">
        <f>+'Table 5C1A-Madison Prep'!F32</f>
        <v>836.83</v>
      </c>
      <c r="G32" s="1187">
        <f t="shared" si="32"/>
        <v>0</v>
      </c>
      <c r="H32" s="1538">
        <f t="shared" si="33"/>
        <v>0</v>
      </c>
      <c r="I32" s="1188"/>
      <c r="J32" s="1188"/>
      <c r="K32" s="1189">
        <f t="shared" si="34"/>
        <v>0</v>
      </c>
      <c r="L32" s="1538">
        <f t="shared" si="35"/>
        <v>0</v>
      </c>
      <c r="M32" s="1372">
        <f t="shared" si="36"/>
        <v>0</v>
      </c>
      <c r="N32" s="1538">
        <f t="shared" si="37"/>
        <v>0</v>
      </c>
      <c r="O32" s="1186">
        <v>0</v>
      </c>
      <c r="P32" s="1544">
        <f t="shared" si="38"/>
        <v>0</v>
      </c>
      <c r="Q32" s="1188"/>
      <c r="R32" s="1188">
        <f t="shared" si="39"/>
        <v>0</v>
      </c>
      <c r="S32" s="1544">
        <f t="shared" si="40"/>
        <v>0</v>
      </c>
      <c r="T32" s="1544">
        <f t="shared" si="41"/>
        <v>0</v>
      </c>
      <c r="U32" s="1373">
        <f>'Table 5C1A-Madison Prep'!U32</f>
        <v>5260</v>
      </c>
      <c r="V32" s="1514">
        <f t="shared" si="29"/>
        <v>0</v>
      </c>
      <c r="W32" s="1375"/>
      <c r="X32" s="1376">
        <f t="shared" si="42"/>
        <v>0</v>
      </c>
      <c r="Y32" s="1375"/>
      <c r="Z32" s="1376">
        <f t="shared" si="30"/>
        <v>0</v>
      </c>
      <c r="AA32" s="1374">
        <f t="shared" si="43"/>
        <v>0</v>
      </c>
      <c r="AB32" s="1509">
        <f t="shared" si="44"/>
        <v>0</v>
      </c>
      <c r="AC32" s="1378">
        <f t="shared" si="45"/>
        <v>0</v>
      </c>
      <c r="AD32" s="1509">
        <f t="shared" si="46"/>
        <v>0</v>
      </c>
      <c r="AE32" s="1379">
        <v>0</v>
      </c>
      <c r="AF32" s="1509">
        <f t="shared" si="47"/>
        <v>0</v>
      </c>
      <c r="AG32" s="1379"/>
      <c r="AH32" s="1379">
        <f t="shared" si="48"/>
        <v>0</v>
      </c>
      <c r="AI32" s="1509">
        <f t="shared" si="49"/>
        <v>0</v>
      </c>
      <c r="AJ32" s="1530">
        <f t="shared" si="50"/>
        <v>0</v>
      </c>
      <c r="AK32" s="1534">
        <f t="shared" si="51"/>
        <v>0</v>
      </c>
    </row>
    <row r="33" spans="1:37" ht="16.2" customHeight="1">
      <c r="A33" s="1176">
        <v>27</v>
      </c>
      <c r="B33" s="1177" t="s">
        <v>107</v>
      </c>
      <c r="C33" s="1178">
        <f>+'Table 8 Membership 2.1.14'!U29</f>
        <v>0</v>
      </c>
      <c r="D33" s="1179">
        <f>+'Table 5C1A-Madison Prep'!D33</f>
        <v>5804.9013839977006</v>
      </c>
      <c r="E33" s="1180">
        <f t="shared" si="31"/>
        <v>0</v>
      </c>
      <c r="F33" s="1180">
        <f>+'Table 5C1A-Madison Prep'!F33</f>
        <v>693.06</v>
      </c>
      <c r="G33" s="1180">
        <f t="shared" si="32"/>
        <v>0</v>
      </c>
      <c r="H33" s="1539">
        <f t="shared" si="33"/>
        <v>0</v>
      </c>
      <c r="I33" s="1181"/>
      <c r="J33" s="1181"/>
      <c r="K33" s="1182">
        <f t="shared" si="34"/>
        <v>0</v>
      </c>
      <c r="L33" s="1539">
        <f t="shared" si="35"/>
        <v>0</v>
      </c>
      <c r="M33" s="1388">
        <f t="shared" si="36"/>
        <v>0</v>
      </c>
      <c r="N33" s="1539">
        <f t="shared" si="37"/>
        <v>0</v>
      </c>
      <c r="O33" s="1179">
        <v>0</v>
      </c>
      <c r="P33" s="1545">
        <f t="shared" si="38"/>
        <v>0</v>
      </c>
      <c r="Q33" s="1181"/>
      <c r="R33" s="1181">
        <f t="shared" si="39"/>
        <v>0</v>
      </c>
      <c r="S33" s="1545">
        <f t="shared" si="40"/>
        <v>0</v>
      </c>
      <c r="T33" s="1545">
        <f t="shared" si="41"/>
        <v>0</v>
      </c>
      <c r="U33" s="1389">
        <f>'Table 5C1A-Madison Prep'!U33</f>
        <v>3169</v>
      </c>
      <c r="V33" s="1515">
        <f t="shared" si="29"/>
        <v>0</v>
      </c>
      <c r="W33" s="1391"/>
      <c r="X33" s="1392">
        <f t="shared" si="42"/>
        <v>0</v>
      </c>
      <c r="Y33" s="1391"/>
      <c r="Z33" s="1392">
        <f t="shared" si="30"/>
        <v>0</v>
      </c>
      <c r="AA33" s="1390">
        <f t="shared" si="43"/>
        <v>0</v>
      </c>
      <c r="AB33" s="1510">
        <f t="shared" si="44"/>
        <v>0</v>
      </c>
      <c r="AC33" s="1394">
        <f t="shared" si="45"/>
        <v>0</v>
      </c>
      <c r="AD33" s="1510">
        <f t="shared" si="46"/>
        <v>0</v>
      </c>
      <c r="AE33" s="1395">
        <v>0</v>
      </c>
      <c r="AF33" s="1510">
        <f t="shared" si="47"/>
        <v>0</v>
      </c>
      <c r="AG33" s="1395"/>
      <c r="AH33" s="1395">
        <f t="shared" si="48"/>
        <v>0</v>
      </c>
      <c r="AI33" s="1510">
        <f t="shared" si="49"/>
        <v>0</v>
      </c>
      <c r="AJ33" s="1505">
        <f t="shared" si="50"/>
        <v>0</v>
      </c>
      <c r="AK33" s="1535">
        <f t="shared" si="51"/>
        <v>0</v>
      </c>
    </row>
    <row r="34" spans="1:37" ht="16.2" customHeight="1">
      <c r="A34" s="1176">
        <v>28</v>
      </c>
      <c r="B34" s="1177" t="s">
        <v>108</v>
      </c>
      <c r="C34" s="1178">
        <f>+'Table 8 Membership 2.1.14'!U30</f>
        <v>0</v>
      </c>
      <c r="D34" s="1179">
        <f>+'Table 5C1A-Madison Prep'!D34</f>
        <v>3137.4158846568821</v>
      </c>
      <c r="E34" s="1180">
        <f t="shared" si="31"/>
        <v>0</v>
      </c>
      <c r="F34" s="1180">
        <f>+'Table 5C1A-Madison Prep'!F34</f>
        <v>694.4</v>
      </c>
      <c r="G34" s="1180">
        <f t="shared" si="32"/>
        <v>0</v>
      </c>
      <c r="H34" s="1539">
        <f t="shared" si="33"/>
        <v>0</v>
      </c>
      <c r="I34" s="1181"/>
      <c r="J34" s="1181"/>
      <c r="K34" s="1182">
        <f t="shared" si="34"/>
        <v>0</v>
      </c>
      <c r="L34" s="1539">
        <f t="shared" si="35"/>
        <v>0</v>
      </c>
      <c r="M34" s="1388">
        <f t="shared" si="36"/>
        <v>0</v>
      </c>
      <c r="N34" s="1539">
        <f t="shared" si="37"/>
        <v>0</v>
      </c>
      <c r="O34" s="1179">
        <v>0</v>
      </c>
      <c r="P34" s="1545">
        <f t="shared" si="38"/>
        <v>0</v>
      </c>
      <c r="Q34" s="1181"/>
      <c r="R34" s="1181">
        <f t="shared" si="39"/>
        <v>0</v>
      </c>
      <c r="S34" s="1545">
        <f t="shared" si="40"/>
        <v>0</v>
      </c>
      <c r="T34" s="1545">
        <f t="shared" si="41"/>
        <v>0</v>
      </c>
      <c r="U34" s="1389">
        <f>'Table 5C1A-Madison Prep'!U34</f>
        <v>5790</v>
      </c>
      <c r="V34" s="1515">
        <f t="shared" si="29"/>
        <v>0</v>
      </c>
      <c r="W34" s="1391"/>
      <c r="X34" s="1392">
        <f t="shared" si="42"/>
        <v>0</v>
      </c>
      <c r="Y34" s="1391"/>
      <c r="Z34" s="1392">
        <f t="shared" si="30"/>
        <v>0</v>
      </c>
      <c r="AA34" s="1390">
        <f t="shared" si="43"/>
        <v>0</v>
      </c>
      <c r="AB34" s="1510">
        <f t="shared" si="44"/>
        <v>0</v>
      </c>
      <c r="AC34" s="1394">
        <f t="shared" si="45"/>
        <v>0</v>
      </c>
      <c r="AD34" s="1510">
        <f t="shared" si="46"/>
        <v>0</v>
      </c>
      <c r="AE34" s="1395">
        <v>0</v>
      </c>
      <c r="AF34" s="1510">
        <f t="shared" si="47"/>
        <v>0</v>
      </c>
      <c r="AG34" s="1395"/>
      <c r="AH34" s="1395">
        <f t="shared" si="48"/>
        <v>0</v>
      </c>
      <c r="AI34" s="1510">
        <f t="shared" si="49"/>
        <v>0</v>
      </c>
      <c r="AJ34" s="1505">
        <f t="shared" si="50"/>
        <v>0</v>
      </c>
      <c r="AK34" s="1535">
        <f t="shared" si="51"/>
        <v>0</v>
      </c>
    </row>
    <row r="35" spans="1:37" ht="16.2" customHeight="1">
      <c r="A35" s="1176">
        <v>29</v>
      </c>
      <c r="B35" s="1177" t="s">
        <v>109</v>
      </c>
      <c r="C35" s="1178">
        <f>+'Table 8 Membership 2.1.14'!U31</f>
        <v>0</v>
      </c>
      <c r="D35" s="1179">
        <f>+'Table 5C1A-Madison Prep'!D35</f>
        <v>3839.0123210173724</v>
      </c>
      <c r="E35" s="1180">
        <f t="shared" si="31"/>
        <v>0</v>
      </c>
      <c r="F35" s="1180">
        <f>+'Table 5C1A-Madison Prep'!F35</f>
        <v>754.94999999999993</v>
      </c>
      <c r="G35" s="1180">
        <f t="shared" si="32"/>
        <v>0</v>
      </c>
      <c r="H35" s="1539">
        <f t="shared" si="33"/>
        <v>0</v>
      </c>
      <c r="I35" s="1181"/>
      <c r="J35" s="1181"/>
      <c r="K35" s="1182">
        <f t="shared" si="34"/>
        <v>0</v>
      </c>
      <c r="L35" s="1539">
        <f t="shared" si="35"/>
        <v>0</v>
      </c>
      <c r="M35" s="1388">
        <f t="shared" si="36"/>
        <v>0</v>
      </c>
      <c r="N35" s="1539">
        <f t="shared" si="37"/>
        <v>0</v>
      </c>
      <c r="O35" s="1179">
        <v>0</v>
      </c>
      <c r="P35" s="1545">
        <f t="shared" si="38"/>
        <v>0</v>
      </c>
      <c r="Q35" s="1181"/>
      <c r="R35" s="1181">
        <f t="shared" si="39"/>
        <v>0</v>
      </c>
      <c r="S35" s="1545">
        <f t="shared" si="40"/>
        <v>0</v>
      </c>
      <c r="T35" s="1545">
        <f t="shared" si="41"/>
        <v>0</v>
      </c>
      <c r="U35" s="1389">
        <f>'Table 5C1A-Madison Prep'!U35</f>
        <v>5069</v>
      </c>
      <c r="V35" s="1515">
        <f t="shared" si="29"/>
        <v>0</v>
      </c>
      <c r="W35" s="1391"/>
      <c r="X35" s="1392">
        <f t="shared" si="42"/>
        <v>0</v>
      </c>
      <c r="Y35" s="1391"/>
      <c r="Z35" s="1392">
        <f t="shared" si="30"/>
        <v>0</v>
      </c>
      <c r="AA35" s="1390">
        <f t="shared" si="43"/>
        <v>0</v>
      </c>
      <c r="AB35" s="1510">
        <f t="shared" si="44"/>
        <v>0</v>
      </c>
      <c r="AC35" s="1394">
        <f t="shared" si="45"/>
        <v>0</v>
      </c>
      <c r="AD35" s="1510">
        <f t="shared" si="46"/>
        <v>0</v>
      </c>
      <c r="AE35" s="1395">
        <v>0</v>
      </c>
      <c r="AF35" s="1510">
        <f t="shared" si="47"/>
        <v>0</v>
      </c>
      <c r="AG35" s="1395"/>
      <c r="AH35" s="1395">
        <f t="shared" si="48"/>
        <v>0</v>
      </c>
      <c r="AI35" s="1510">
        <f t="shared" si="49"/>
        <v>0</v>
      </c>
      <c r="AJ35" s="1505">
        <f t="shared" si="50"/>
        <v>0</v>
      </c>
      <c r="AK35" s="1535">
        <f t="shared" si="51"/>
        <v>0</v>
      </c>
    </row>
    <row r="36" spans="1:37" ht="16.2" customHeight="1">
      <c r="A36" s="1168">
        <v>30</v>
      </c>
      <c r="B36" s="1169" t="s">
        <v>110</v>
      </c>
      <c r="C36" s="1170">
        <f>+'Table 8 Membership 2.1.14'!U32</f>
        <v>0</v>
      </c>
      <c r="D36" s="1171">
        <f>+'Table 5C1A-Madison Prep'!D36</f>
        <v>5804.5327273996763</v>
      </c>
      <c r="E36" s="1172">
        <f t="shared" si="31"/>
        <v>0</v>
      </c>
      <c r="F36" s="1172">
        <f>+'Table 5C1A-Madison Prep'!F36</f>
        <v>727.17</v>
      </c>
      <c r="G36" s="1172">
        <f t="shared" si="32"/>
        <v>0</v>
      </c>
      <c r="H36" s="1540">
        <f t="shared" si="33"/>
        <v>0</v>
      </c>
      <c r="I36" s="1173"/>
      <c r="J36" s="1173"/>
      <c r="K36" s="1174">
        <f t="shared" si="34"/>
        <v>0</v>
      </c>
      <c r="L36" s="1540">
        <f t="shared" si="35"/>
        <v>0</v>
      </c>
      <c r="M36" s="1399">
        <f t="shared" si="36"/>
        <v>0</v>
      </c>
      <c r="N36" s="1540">
        <f t="shared" si="37"/>
        <v>0</v>
      </c>
      <c r="O36" s="1171">
        <v>0</v>
      </c>
      <c r="P36" s="1546">
        <f t="shared" si="38"/>
        <v>0</v>
      </c>
      <c r="Q36" s="1175"/>
      <c r="R36" s="1173">
        <f t="shared" si="39"/>
        <v>0</v>
      </c>
      <c r="S36" s="1550">
        <f t="shared" si="40"/>
        <v>0</v>
      </c>
      <c r="T36" s="1550">
        <f t="shared" si="41"/>
        <v>0</v>
      </c>
      <c r="U36" s="1382">
        <f>'Table 5C1A-Madison Prep'!U36</f>
        <v>3609</v>
      </c>
      <c r="V36" s="1516">
        <f t="shared" si="29"/>
        <v>0</v>
      </c>
      <c r="W36" s="1400"/>
      <c r="X36" s="1383">
        <f t="shared" si="42"/>
        <v>0</v>
      </c>
      <c r="Y36" s="1400"/>
      <c r="Z36" s="1383">
        <f t="shared" si="30"/>
        <v>0</v>
      </c>
      <c r="AA36" s="1384">
        <f t="shared" si="43"/>
        <v>0</v>
      </c>
      <c r="AB36" s="1511">
        <f t="shared" si="44"/>
        <v>0</v>
      </c>
      <c r="AC36" s="1402">
        <f t="shared" si="45"/>
        <v>0</v>
      </c>
      <c r="AD36" s="1511">
        <f t="shared" si="46"/>
        <v>0</v>
      </c>
      <c r="AE36" s="1385">
        <v>0</v>
      </c>
      <c r="AF36" s="1511">
        <f t="shared" si="47"/>
        <v>0</v>
      </c>
      <c r="AG36" s="1385"/>
      <c r="AH36" s="1385">
        <f t="shared" si="48"/>
        <v>0</v>
      </c>
      <c r="AI36" s="1511">
        <f t="shared" si="49"/>
        <v>0</v>
      </c>
      <c r="AJ36" s="1531">
        <f t="shared" si="50"/>
        <v>0</v>
      </c>
      <c r="AK36" s="1536">
        <f t="shared" si="51"/>
        <v>0</v>
      </c>
    </row>
    <row r="37" spans="1:37" ht="16.2" customHeight="1">
      <c r="A37" s="1183">
        <v>31</v>
      </c>
      <c r="B37" s="1184" t="s">
        <v>111</v>
      </c>
      <c r="C37" s="1185">
        <f>+'Table 8 Membership 2.1.14'!U33</f>
        <v>0</v>
      </c>
      <c r="D37" s="1186">
        <f>+'Table 5C1A-Madison Prep'!D37</f>
        <v>4520.6176716868531</v>
      </c>
      <c r="E37" s="1187">
        <f t="shared" si="31"/>
        <v>0</v>
      </c>
      <c r="F37" s="1187">
        <f>+'Table 5C1A-Madison Prep'!F37</f>
        <v>620.83000000000004</v>
      </c>
      <c r="G37" s="1187">
        <f t="shared" si="32"/>
        <v>0</v>
      </c>
      <c r="H37" s="1538">
        <f t="shared" si="33"/>
        <v>0</v>
      </c>
      <c r="I37" s="1188"/>
      <c r="J37" s="1188"/>
      <c r="K37" s="1189">
        <f t="shared" si="34"/>
        <v>0</v>
      </c>
      <c r="L37" s="1538">
        <f t="shared" si="35"/>
        <v>0</v>
      </c>
      <c r="M37" s="1372">
        <f t="shared" si="36"/>
        <v>0</v>
      </c>
      <c r="N37" s="1538">
        <f t="shared" si="37"/>
        <v>0</v>
      </c>
      <c r="O37" s="1186">
        <v>0</v>
      </c>
      <c r="P37" s="1544">
        <f t="shared" si="38"/>
        <v>0</v>
      </c>
      <c r="Q37" s="1188"/>
      <c r="R37" s="1188">
        <f t="shared" si="39"/>
        <v>0</v>
      </c>
      <c r="S37" s="1544">
        <f t="shared" si="40"/>
        <v>0</v>
      </c>
      <c r="T37" s="1544">
        <f t="shared" si="41"/>
        <v>0</v>
      </c>
      <c r="U37" s="1373">
        <f>'Table 5C1A-Madison Prep'!U37</f>
        <v>5043</v>
      </c>
      <c r="V37" s="1514">
        <f t="shared" si="29"/>
        <v>0</v>
      </c>
      <c r="W37" s="1375"/>
      <c r="X37" s="1376">
        <f t="shared" si="42"/>
        <v>0</v>
      </c>
      <c r="Y37" s="1375"/>
      <c r="Z37" s="1376">
        <f t="shared" si="30"/>
        <v>0</v>
      </c>
      <c r="AA37" s="1374">
        <f t="shared" si="43"/>
        <v>0</v>
      </c>
      <c r="AB37" s="1509">
        <f t="shared" si="44"/>
        <v>0</v>
      </c>
      <c r="AC37" s="1378">
        <f t="shared" si="45"/>
        <v>0</v>
      </c>
      <c r="AD37" s="1509">
        <f t="shared" si="46"/>
        <v>0</v>
      </c>
      <c r="AE37" s="1379">
        <v>0</v>
      </c>
      <c r="AF37" s="1509">
        <f t="shared" si="47"/>
        <v>0</v>
      </c>
      <c r="AG37" s="1379"/>
      <c r="AH37" s="1379">
        <f t="shared" si="48"/>
        <v>0</v>
      </c>
      <c r="AI37" s="1509">
        <f t="shared" si="49"/>
        <v>0</v>
      </c>
      <c r="AJ37" s="1530">
        <f t="shared" si="50"/>
        <v>0</v>
      </c>
      <c r="AK37" s="1534">
        <f t="shared" si="51"/>
        <v>0</v>
      </c>
    </row>
    <row r="38" spans="1:37" ht="16.2" customHeight="1">
      <c r="A38" s="1176">
        <v>32</v>
      </c>
      <c r="B38" s="1177" t="s">
        <v>112</v>
      </c>
      <c r="C38" s="1178">
        <f>+'Table 8 Membership 2.1.14'!U34</f>
        <v>0</v>
      </c>
      <c r="D38" s="1179">
        <f>+'Table 5C1A-Madison Prep'!D38</f>
        <v>5652.819189061127</v>
      </c>
      <c r="E38" s="1180">
        <f t="shared" si="31"/>
        <v>0</v>
      </c>
      <c r="F38" s="1180">
        <f>+'Table 5C1A-Madison Prep'!F38</f>
        <v>559.77</v>
      </c>
      <c r="G38" s="1180">
        <f t="shared" si="32"/>
        <v>0</v>
      </c>
      <c r="H38" s="1539">
        <f t="shared" si="33"/>
        <v>0</v>
      </c>
      <c r="I38" s="1181"/>
      <c r="J38" s="1181"/>
      <c r="K38" s="1182">
        <f t="shared" si="34"/>
        <v>0</v>
      </c>
      <c r="L38" s="1539">
        <f t="shared" si="35"/>
        <v>0</v>
      </c>
      <c r="M38" s="1388">
        <f t="shared" si="36"/>
        <v>0</v>
      </c>
      <c r="N38" s="1539">
        <f t="shared" si="37"/>
        <v>0</v>
      </c>
      <c r="O38" s="1179">
        <v>0</v>
      </c>
      <c r="P38" s="1545">
        <f t="shared" si="38"/>
        <v>0</v>
      </c>
      <c r="Q38" s="1181"/>
      <c r="R38" s="1181">
        <f t="shared" si="39"/>
        <v>0</v>
      </c>
      <c r="S38" s="1545">
        <f t="shared" si="40"/>
        <v>0</v>
      </c>
      <c r="T38" s="1545">
        <f t="shared" si="41"/>
        <v>0</v>
      </c>
      <c r="U38" s="1389">
        <f>'Table 5C1A-Madison Prep'!U38</f>
        <v>2121</v>
      </c>
      <c r="V38" s="1515">
        <f t="shared" si="29"/>
        <v>0</v>
      </c>
      <c r="W38" s="1391"/>
      <c r="X38" s="1392">
        <f t="shared" si="42"/>
        <v>0</v>
      </c>
      <c r="Y38" s="1391"/>
      <c r="Z38" s="1392">
        <f t="shared" si="30"/>
        <v>0</v>
      </c>
      <c r="AA38" s="1390">
        <f t="shared" si="43"/>
        <v>0</v>
      </c>
      <c r="AB38" s="1510">
        <f t="shared" si="44"/>
        <v>0</v>
      </c>
      <c r="AC38" s="1394">
        <f t="shared" si="45"/>
        <v>0</v>
      </c>
      <c r="AD38" s="1510">
        <f t="shared" si="46"/>
        <v>0</v>
      </c>
      <c r="AE38" s="1395">
        <v>0</v>
      </c>
      <c r="AF38" s="1510">
        <f t="shared" si="47"/>
        <v>0</v>
      </c>
      <c r="AG38" s="1395"/>
      <c r="AH38" s="1395">
        <f t="shared" si="48"/>
        <v>0</v>
      </c>
      <c r="AI38" s="1510">
        <f t="shared" si="49"/>
        <v>0</v>
      </c>
      <c r="AJ38" s="1505">
        <f t="shared" si="50"/>
        <v>0</v>
      </c>
      <c r="AK38" s="1535">
        <f t="shared" si="51"/>
        <v>0</v>
      </c>
    </row>
    <row r="39" spans="1:37" ht="16.2" customHeight="1">
      <c r="A39" s="1176">
        <v>33</v>
      </c>
      <c r="B39" s="1177" t="s">
        <v>113</v>
      </c>
      <c r="C39" s="1178">
        <f>+'Table 8 Membership 2.1.14'!U35</f>
        <v>0</v>
      </c>
      <c r="D39" s="1179">
        <f>+'Table 5C1A-Madison Prep'!D39</f>
        <v>5456.2254558085233</v>
      </c>
      <c r="E39" s="1180">
        <f t="shared" si="31"/>
        <v>0</v>
      </c>
      <c r="F39" s="1180">
        <f>+'Table 5C1A-Madison Prep'!F39</f>
        <v>655.31000000000006</v>
      </c>
      <c r="G39" s="1180">
        <f t="shared" si="32"/>
        <v>0</v>
      </c>
      <c r="H39" s="1539">
        <f t="shared" si="33"/>
        <v>0</v>
      </c>
      <c r="I39" s="1181"/>
      <c r="J39" s="1181"/>
      <c r="K39" s="1182">
        <f t="shared" si="34"/>
        <v>0</v>
      </c>
      <c r="L39" s="1539">
        <f t="shared" ref="L39:L70" si="52">H39+K39</f>
        <v>0</v>
      </c>
      <c r="M39" s="1388">
        <f t="shared" si="36"/>
        <v>0</v>
      </c>
      <c r="N39" s="1539">
        <f t="shared" si="37"/>
        <v>0</v>
      </c>
      <c r="O39" s="1179">
        <v>0</v>
      </c>
      <c r="P39" s="1545">
        <f t="shared" si="38"/>
        <v>0</v>
      </c>
      <c r="Q39" s="1181"/>
      <c r="R39" s="1181">
        <f t="shared" si="39"/>
        <v>0</v>
      </c>
      <c r="S39" s="1545">
        <f t="shared" si="40"/>
        <v>0</v>
      </c>
      <c r="T39" s="1545">
        <f t="shared" si="41"/>
        <v>0</v>
      </c>
      <c r="U39" s="1389">
        <f>'Table 5C1A-Madison Prep'!U39</f>
        <v>3616</v>
      </c>
      <c r="V39" s="1515">
        <f t="shared" ref="V39:V70" si="53">C39*U39</f>
        <v>0</v>
      </c>
      <c r="W39" s="1391"/>
      <c r="X39" s="1392">
        <f t="shared" si="42"/>
        <v>0</v>
      </c>
      <c r="Y39" s="1391"/>
      <c r="Z39" s="1392">
        <f t="shared" si="30"/>
        <v>0</v>
      </c>
      <c r="AA39" s="1390">
        <f t="shared" si="43"/>
        <v>0</v>
      </c>
      <c r="AB39" s="1510">
        <f t="shared" si="44"/>
        <v>0</v>
      </c>
      <c r="AC39" s="1394">
        <f t="shared" si="45"/>
        <v>0</v>
      </c>
      <c r="AD39" s="1510">
        <f t="shared" si="46"/>
        <v>0</v>
      </c>
      <c r="AE39" s="1395">
        <v>0</v>
      </c>
      <c r="AF39" s="1510">
        <f t="shared" si="47"/>
        <v>0</v>
      </c>
      <c r="AG39" s="1395"/>
      <c r="AH39" s="1395">
        <f t="shared" si="48"/>
        <v>0</v>
      </c>
      <c r="AI39" s="1510">
        <f t="shared" si="49"/>
        <v>0</v>
      </c>
      <c r="AJ39" s="1505">
        <f t="shared" si="50"/>
        <v>0</v>
      </c>
      <c r="AK39" s="1535">
        <f t="shared" si="51"/>
        <v>0</v>
      </c>
    </row>
    <row r="40" spans="1:37" ht="16.2" customHeight="1">
      <c r="A40" s="1176">
        <v>34</v>
      </c>
      <c r="B40" s="1177" t="s">
        <v>114</v>
      </c>
      <c r="C40" s="1178">
        <f>+'Table 8 Membership 2.1.14'!U36</f>
        <v>0</v>
      </c>
      <c r="D40" s="1179">
        <f>+'Table 5C1A-Madison Prep'!D40</f>
        <v>6292.0976842789005</v>
      </c>
      <c r="E40" s="1180">
        <f t="shared" si="31"/>
        <v>0</v>
      </c>
      <c r="F40" s="1180">
        <f>+'Table 5C1A-Madison Prep'!F40</f>
        <v>644.11000000000013</v>
      </c>
      <c r="G40" s="1180">
        <f t="shared" si="32"/>
        <v>0</v>
      </c>
      <c r="H40" s="1539">
        <f t="shared" si="33"/>
        <v>0</v>
      </c>
      <c r="I40" s="1181"/>
      <c r="J40" s="1181"/>
      <c r="K40" s="1182">
        <f t="shared" si="34"/>
        <v>0</v>
      </c>
      <c r="L40" s="1539">
        <f t="shared" si="52"/>
        <v>0</v>
      </c>
      <c r="M40" s="1388">
        <f t="shared" si="36"/>
        <v>0</v>
      </c>
      <c r="N40" s="1539">
        <f t="shared" si="37"/>
        <v>0</v>
      </c>
      <c r="O40" s="1179">
        <v>0</v>
      </c>
      <c r="P40" s="1545">
        <f t="shared" si="38"/>
        <v>0</v>
      </c>
      <c r="Q40" s="1181"/>
      <c r="R40" s="1181">
        <f t="shared" si="39"/>
        <v>0</v>
      </c>
      <c r="S40" s="1545">
        <f t="shared" si="40"/>
        <v>0</v>
      </c>
      <c r="T40" s="1545">
        <f t="shared" si="41"/>
        <v>0</v>
      </c>
      <c r="U40" s="1389">
        <f>'Table 5C1A-Madison Prep'!U40</f>
        <v>2721</v>
      </c>
      <c r="V40" s="1515">
        <f t="shared" si="53"/>
        <v>0</v>
      </c>
      <c r="W40" s="1391"/>
      <c r="X40" s="1392">
        <f t="shared" si="42"/>
        <v>0</v>
      </c>
      <c r="Y40" s="1391"/>
      <c r="Z40" s="1392">
        <f t="shared" si="30"/>
        <v>0</v>
      </c>
      <c r="AA40" s="1390">
        <f t="shared" si="43"/>
        <v>0</v>
      </c>
      <c r="AB40" s="1510">
        <f t="shared" si="44"/>
        <v>0</v>
      </c>
      <c r="AC40" s="1394">
        <f t="shared" si="45"/>
        <v>0</v>
      </c>
      <c r="AD40" s="1510">
        <f t="shared" si="46"/>
        <v>0</v>
      </c>
      <c r="AE40" s="1395">
        <v>0</v>
      </c>
      <c r="AF40" s="1510">
        <f t="shared" si="47"/>
        <v>0</v>
      </c>
      <c r="AG40" s="1395"/>
      <c r="AH40" s="1395">
        <f t="shared" si="48"/>
        <v>0</v>
      </c>
      <c r="AI40" s="1510">
        <f t="shared" si="49"/>
        <v>0</v>
      </c>
      <c r="AJ40" s="1505">
        <f t="shared" si="50"/>
        <v>0</v>
      </c>
      <c r="AK40" s="1535">
        <f t="shared" si="51"/>
        <v>0</v>
      </c>
    </row>
    <row r="41" spans="1:37" ht="16.2" customHeight="1">
      <c r="A41" s="1168">
        <v>35</v>
      </c>
      <c r="B41" s="1169" t="s">
        <v>115</v>
      </c>
      <c r="C41" s="1170">
        <f>+'Table 8 Membership 2.1.14'!U37</f>
        <v>0</v>
      </c>
      <c r="D41" s="1171">
        <f>+'Table 5C1A-Madison Prep'!D41</f>
        <v>5166.2482060477605</v>
      </c>
      <c r="E41" s="1172">
        <f t="shared" si="31"/>
        <v>0</v>
      </c>
      <c r="F41" s="1172">
        <f>+'Table 5C1A-Madison Prep'!F41</f>
        <v>537.96</v>
      </c>
      <c r="G41" s="1172">
        <f t="shared" si="32"/>
        <v>0</v>
      </c>
      <c r="H41" s="1540">
        <f t="shared" si="33"/>
        <v>0</v>
      </c>
      <c r="I41" s="1173"/>
      <c r="J41" s="1173"/>
      <c r="K41" s="1174">
        <f t="shared" si="34"/>
        <v>0</v>
      </c>
      <c r="L41" s="1540">
        <f t="shared" si="52"/>
        <v>0</v>
      </c>
      <c r="M41" s="1399">
        <f t="shared" si="36"/>
        <v>0</v>
      </c>
      <c r="N41" s="1540">
        <f t="shared" si="37"/>
        <v>0</v>
      </c>
      <c r="O41" s="1171">
        <v>0</v>
      </c>
      <c r="P41" s="1546">
        <f t="shared" si="38"/>
        <v>0</v>
      </c>
      <c r="Q41" s="1175"/>
      <c r="R41" s="1173">
        <f t="shared" si="39"/>
        <v>0</v>
      </c>
      <c r="S41" s="1550">
        <f t="shared" si="40"/>
        <v>0</v>
      </c>
      <c r="T41" s="1550">
        <f t="shared" si="41"/>
        <v>0</v>
      </c>
      <c r="U41" s="1382">
        <f>'Table 5C1A-Madison Prep'!U41</f>
        <v>3255</v>
      </c>
      <c r="V41" s="1516">
        <f t="shared" si="53"/>
        <v>0</v>
      </c>
      <c r="W41" s="1400"/>
      <c r="X41" s="1383">
        <f t="shared" si="42"/>
        <v>0</v>
      </c>
      <c r="Y41" s="1400"/>
      <c r="Z41" s="1383">
        <f t="shared" si="30"/>
        <v>0</v>
      </c>
      <c r="AA41" s="1384">
        <f t="shared" si="43"/>
        <v>0</v>
      </c>
      <c r="AB41" s="1511">
        <f t="shared" si="44"/>
        <v>0</v>
      </c>
      <c r="AC41" s="1402">
        <f t="shared" si="45"/>
        <v>0</v>
      </c>
      <c r="AD41" s="1511">
        <f t="shared" si="46"/>
        <v>0</v>
      </c>
      <c r="AE41" s="1385">
        <v>0</v>
      </c>
      <c r="AF41" s="1511">
        <f t="shared" si="47"/>
        <v>0</v>
      </c>
      <c r="AG41" s="1385"/>
      <c r="AH41" s="1385">
        <f t="shared" si="48"/>
        <v>0</v>
      </c>
      <c r="AI41" s="1511">
        <f t="shared" si="49"/>
        <v>0</v>
      </c>
      <c r="AJ41" s="1531">
        <f t="shared" si="50"/>
        <v>0</v>
      </c>
      <c r="AK41" s="1536">
        <f t="shared" si="51"/>
        <v>0</v>
      </c>
    </row>
    <row r="42" spans="1:37" ht="16.2" customHeight="1">
      <c r="A42" s="1183">
        <v>36</v>
      </c>
      <c r="B42" s="1184" t="s">
        <v>116</v>
      </c>
      <c r="C42" s="1185">
        <f>+'Table 8 Membership 2.1.14'!U38</f>
        <v>0</v>
      </c>
      <c r="D42" s="1186">
        <f>+'Table 5C1A-Madison Prep'!D42</f>
        <v>3602.7009974327857</v>
      </c>
      <c r="E42" s="1187">
        <f t="shared" si="31"/>
        <v>0</v>
      </c>
      <c r="F42" s="1187">
        <f>+'Table 5C1A-Madison Prep'!F42</f>
        <v>746.0335616438357</v>
      </c>
      <c r="G42" s="1187">
        <f t="shared" si="32"/>
        <v>0</v>
      </c>
      <c r="H42" s="1538">
        <f t="shared" si="33"/>
        <v>0</v>
      </c>
      <c r="I42" s="1188"/>
      <c r="J42" s="1188"/>
      <c r="K42" s="1189">
        <f t="shared" si="34"/>
        <v>0</v>
      </c>
      <c r="L42" s="1538">
        <f t="shared" si="52"/>
        <v>0</v>
      </c>
      <c r="M42" s="1372">
        <f t="shared" si="36"/>
        <v>0</v>
      </c>
      <c r="N42" s="1538">
        <f t="shared" si="37"/>
        <v>0</v>
      </c>
      <c r="O42" s="1186">
        <v>0</v>
      </c>
      <c r="P42" s="1544">
        <f t="shared" si="38"/>
        <v>0</v>
      </c>
      <c r="Q42" s="1188"/>
      <c r="R42" s="1188">
        <f t="shared" si="39"/>
        <v>0</v>
      </c>
      <c r="S42" s="1544">
        <f t="shared" si="40"/>
        <v>0</v>
      </c>
      <c r="T42" s="1544">
        <f t="shared" si="41"/>
        <v>0</v>
      </c>
      <c r="U42" s="1373">
        <f>'Table 5C1A-Madison Prep'!U42</f>
        <v>5435</v>
      </c>
      <c r="V42" s="1514">
        <f t="shared" si="53"/>
        <v>0</v>
      </c>
      <c r="W42" s="1375"/>
      <c r="X42" s="1376">
        <f t="shared" si="42"/>
        <v>0</v>
      </c>
      <c r="Y42" s="1375"/>
      <c r="Z42" s="1376">
        <f t="shared" si="30"/>
        <v>0</v>
      </c>
      <c r="AA42" s="1374">
        <f t="shared" si="43"/>
        <v>0</v>
      </c>
      <c r="AB42" s="1509">
        <f t="shared" si="44"/>
        <v>0</v>
      </c>
      <c r="AC42" s="1378">
        <f t="shared" si="45"/>
        <v>0</v>
      </c>
      <c r="AD42" s="1509">
        <f t="shared" si="46"/>
        <v>0</v>
      </c>
      <c r="AE42" s="1379">
        <v>0</v>
      </c>
      <c r="AF42" s="1509">
        <f t="shared" si="47"/>
        <v>0</v>
      </c>
      <c r="AG42" s="1379"/>
      <c r="AH42" s="1379">
        <f t="shared" si="48"/>
        <v>0</v>
      </c>
      <c r="AI42" s="1509">
        <f t="shared" si="49"/>
        <v>0</v>
      </c>
      <c r="AJ42" s="1530">
        <f t="shared" si="50"/>
        <v>0</v>
      </c>
      <c r="AK42" s="1534">
        <f t="shared" si="51"/>
        <v>0</v>
      </c>
    </row>
    <row r="43" spans="1:37" ht="16.2" customHeight="1">
      <c r="A43" s="1176">
        <v>37</v>
      </c>
      <c r="B43" s="1177" t="s">
        <v>117</v>
      </c>
      <c r="C43" s="1178">
        <f>+'Table 8 Membership 2.1.14'!U39</f>
        <v>0</v>
      </c>
      <c r="D43" s="1179">
        <f>+'Table 5C1A-Madison Prep'!D43</f>
        <v>5665.3839260317691</v>
      </c>
      <c r="E43" s="1180">
        <f t="shared" si="31"/>
        <v>0</v>
      </c>
      <c r="F43" s="1180">
        <f>+'Table 5C1A-Madison Prep'!F43</f>
        <v>653.61</v>
      </c>
      <c r="G43" s="1180">
        <f t="shared" si="32"/>
        <v>0</v>
      </c>
      <c r="H43" s="1539">
        <f t="shared" si="33"/>
        <v>0</v>
      </c>
      <c r="I43" s="1181"/>
      <c r="J43" s="1181"/>
      <c r="K43" s="1182">
        <f t="shared" si="34"/>
        <v>0</v>
      </c>
      <c r="L43" s="1539">
        <f t="shared" si="52"/>
        <v>0</v>
      </c>
      <c r="M43" s="1388">
        <f t="shared" si="36"/>
        <v>0</v>
      </c>
      <c r="N43" s="1539">
        <f t="shared" si="37"/>
        <v>0</v>
      </c>
      <c r="O43" s="1179">
        <v>0</v>
      </c>
      <c r="P43" s="1545">
        <f t="shared" si="38"/>
        <v>0</v>
      </c>
      <c r="Q43" s="1181"/>
      <c r="R43" s="1181">
        <f t="shared" si="39"/>
        <v>0</v>
      </c>
      <c r="S43" s="1545">
        <f t="shared" si="40"/>
        <v>0</v>
      </c>
      <c r="T43" s="1545">
        <f t="shared" si="41"/>
        <v>0</v>
      </c>
      <c r="U43" s="1389">
        <f>'Table 5C1A-Madison Prep'!U43</f>
        <v>3520</v>
      </c>
      <c r="V43" s="1515">
        <f t="shared" si="53"/>
        <v>0</v>
      </c>
      <c r="W43" s="1391"/>
      <c r="X43" s="1392">
        <f t="shared" si="42"/>
        <v>0</v>
      </c>
      <c r="Y43" s="1391"/>
      <c r="Z43" s="1392">
        <f t="shared" si="30"/>
        <v>0</v>
      </c>
      <c r="AA43" s="1390">
        <f t="shared" si="43"/>
        <v>0</v>
      </c>
      <c r="AB43" s="1510">
        <f t="shared" si="44"/>
        <v>0</v>
      </c>
      <c r="AC43" s="1394">
        <f t="shared" si="45"/>
        <v>0</v>
      </c>
      <c r="AD43" s="1510">
        <f t="shared" si="46"/>
        <v>0</v>
      </c>
      <c r="AE43" s="1395">
        <v>0</v>
      </c>
      <c r="AF43" s="1510">
        <f t="shared" si="47"/>
        <v>0</v>
      </c>
      <c r="AG43" s="1395"/>
      <c r="AH43" s="1395">
        <f t="shared" si="48"/>
        <v>0</v>
      </c>
      <c r="AI43" s="1510">
        <f t="shared" si="49"/>
        <v>0</v>
      </c>
      <c r="AJ43" s="1505">
        <f t="shared" si="50"/>
        <v>0</v>
      </c>
      <c r="AK43" s="1535">
        <f t="shared" si="51"/>
        <v>0</v>
      </c>
    </row>
    <row r="44" spans="1:37" ht="16.2" customHeight="1">
      <c r="A44" s="1176">
        <v>38</v>
      </c>
      <c r="B44" s="1177" t="s">
        <v>118</v>
      </c>
      <c r="C44" s="1178">
        <f>+'Table 8 Membership 2.1.14'!U40</f>
        <v>0</v>
      </c>
      <c r="D44" s="1179">
        <f>+'Table 5C1A-Madison Prep'!D44</f>
        <v>2088.8017552916881</v>
      </c>
      <c r="E44" s="1180">
        <f t="shared" si="31"/>
        <v>0</v>
      </c>
      <c r="F44" s="1180">
        <f>+'Table 5C1A-Madison Prep'!F44</f>
        <v>829.92000000000007</v>
      </c>
      <c r="G44" s="1180">
        <f t="shared" si="32"/>
        <v>0</v>
      </c>
      <c r="H44" s="1539">
        <f t="shared" si="33"/>
        <v>0</v>
      </c>
      <c r="I44" s="1181"/>
      <c r="J44" s="1181"/>
      <c r="K44" s="1182">
        <f t="shared" si="34"/>
        <v>0</v>
      </c>
      <c r="L44" s="1539">
        <f t="shared" si="52"/>
        <v>0</v>
      </c>
      <c r="M44" s="1388">
        <f t="shared" si="36"/>
        <v>0</v>
      </c>
      <c r="N44" s="1539">
        <f t="shared" si="37"/>
        <v>0</v>
      </c>
      <c r="O44" s="1179">
        <v>0</v>
      </c>
      <c r="P44" s="1545">
        <f t="shared" si="38"/>
        <v>0</v>
      </c>
      <c r="Q44" s="1181"/>
      <c r="R44" s="1181">
        <f t="shared" si="39"/>
        <v>0</v>
      </c>
      <c r="S44" s="1545">
        <f t="shared" si="40"/>
        <v>0</v>
      </c>
      <c r="T44" s="1545">
        <f t="shared" si="41"/>
        <v>0</v>
      </c>
      <c r="U44" s="1389">
        <f>'Table 5C1A-Madison Prep'!U44</f>
        <v>11379</v>
      </c>
      <c r="V44" s="1515">
        <f t="shared" si="53"/>
        <v>0</v>
      </c>
      <c r="W44" s="1391"/>
      <c r="X44" s="1392">
        <f t="shared" si="42"/>
        <v>0</v>
      </c>
      <c r="Y44" s="1391"/>
      <c r="Z44" s="1392">
        <f t="shared" si="30"/>
        <v>0</v>
      </c>
      <c r="AA44" s="1390">
        <f t="shared" si="43"/>
        <v>0</v>
      </c>
      <c r="AB44" s="1510">
        <f t="shared" si="44"/>
        <v>0</v>
      </c>
      <c r="AC44" s="1394">
        <f t="shared" si="45"/>
        <v>0</v>
      </c>
      <c r="AD44" s="1510">
        <f t="shared" si="46"/>
        <v>0</v>
      </c>
      <c r="AE44" s="1395">
        <v>0</v>
      </c>
      <c r="AF44" s="1510">
        <f t="shared" si="47"/>
        <v>0</v>
      </c>
      <c r="AG44" s="1395"/>
      <c r="AH44" s="1395">
        <f t="shared" si="48"/>
        <v>0</v>
      </c>
      <c r="AI44" s="1510">
        <f t="shared" si="49"/>
        <v>0</v>
      </c>
      <c r="AJ44" s="1505">
        <f t="shared" si="50"/>
        <v>0</v>
      </c>
      <c r="AK44" s="1535">
        <f t="shared" si="51"/>
        <v>0</v>
      </c>
    </row>
    <row r="45" spans="1:37" ht="16.2" customHeight="1">
      <c r="A45" s="1176">
        <v>39</v>
      </c>
      <c r="B45" s="1177" t="s">
        <v>119</v>
      </c>
      <c r="C45" s="1178">
        <f>+'Table 8 Membership 2.1.14'!U41</f>
        <v>0</v>
      </c>
      <c r="D45" s="1179">
        <f>+'Table 5C1A-Madison Prep'!D45</f>
        <v>3656.9056809295676</v>
      </c>
      <c r="E45" s="1180">
        <f t="shared" si="31"/>
        <v>0</v>
      </c>
      <c r="F45" s="1180">
        <f>+'Table 5C1A-Madison Prep'!F45</f>
        <v>779.65573042776396</v>
      </c>
      <c r="G45" s="1180">
        <f t="shared" si="32"/>
        <v>0</v>
      </c>
      <c r="H45" s="1539">
        <f t="shared" si="33"/>
        <v>0</v>
      </c>
      <c r="I45" s="1181"/>
      <c r="J45" s="1181"/>
      <c r="K45" s="1182">
        <f t="shared" si="34"/>
        <v>0</v>
      </c>
      <c r="L45" s="1539">
        <f t="shared" si="52"/>
        <v>0</v>
      </c>
      <c r="M45" s="1388">
        <f t="shared" si="36"/>
        <v>0</v>
      </c>
      <c r="N45" s="1539">
        <f t="shared" si="37"/>
        <v>0</v>
      </c>
      <c r="O45" s="1179">
        <v>0</v>
      </c>
      <c r="P45" s="1545">
        <f t="shared" si="38"/>
        <v>0</v>
      </c>
      <c r="Q45" s="1181"/>
      <c r="R45" s="1181">
        <f t="shared" si="39"/>
        <v>0</v>
      </c>
      <c r="S45" s="1545">
        <f t="shared" si="40"/>
        <v>0</v>
      </c>
      <c r="T45" s="1545">
        <f t="shared" si="41"/>
        <v>0</v>
      </c>
      <c r="U45" s="1389">
        <f>'Table 5C1A-Madison Prep'!U45</f>
        <v>4955</v>
      </c>
      <c r="V45" s="1515">
        <f t="shared" si="53"/>
        <v>0</v>
      </c>
      <c r="W45" s="1391"/>
      <c r="X45" s="1392">
        <f t="shared" si="42"/>
        <v>0</v>
      </c>
      <c r="Y45" s="1391"/>
      <c r="Z45" s="1392">
        <f t="shared" si="30"/>
        <v>0</v>
      </c>
      <c r="AA45" s="1390">
        <f t="shared" si="43"/>
        <v>0</v>
      </c>
      <c r="AB45" s="1510">
        <f t="shared" si="44"/>
        <v>0</v>
      </c>
      <c r="AC45" s="1394">
        <f t="shared" si="45"/>
        <v>0</v>
      </c>
      <c r="AD45" s="1510">
        <f t="shared" si="46"/>
        <v>0</v>
      </c>
      <c r="AE45" s="1395">
        <v>0</v>
      </c>
      <c r="AF45" s="1510">
        <f t="shared" si="47"/>
        <v>0</v>
      </c>
      <c r="AG45" s="1395"/>
      <c r="AH45" s="1395">
        <f t="shared" si="48"/>
        <v>0</v>
      </c>
      <c r="AI45" s="1510">
        <f t="shared" si="49"/>
        <v>0</v>
      </c>
      <c r="AJ45" s="1505">
        <f t="shared" si="50"/>
        <v>0</v>
      </c>
      <c r="AK45" s="1535">
        <f t="shared" si="51"/>
        <v>0</v>
      </c>
    </row>
    <row r="46" spans="1:37" ht="16.2" customHeight="1">
      <c r="A46" s="1168">
        <v>40</v>
      </c>
      <c r="B46" s="1169" t="s">
        <v>120</v>
      </c>
      <c r="C46" s="1170">
        <f>+'Table 8 Membership 2.1.14'!U42</f>
        <v>0</v>
      </c>
      <c r="D46" s="1171">
        <f>+'Table 5C1A-Madison Prep'!D46</f>
        <v>5121.8110285698403</v>
      </c>
      <c r="E46" s="1172">
        <f t="shared" si="31"/>
        <v>0</v>
      </c>
      <c r="F46" s="1172">
        <f>+'Table 5C1A-Madison Prep'!F46</f>
        <v>700.2700000000001</v>
      </c>
      <c r="G46" s="1172">
        <f t="shared" si="32"/>
        <v>0</v>
      </c>
      <c r="H46" s="1540">
        <f t="shared" si="33"/>
        <v>0</v>
      </c>
      <c r="I46" s="1173"/>
      <c r="J46" s="1173"/>
      <c r="K46" s="1174">
        <f t="shared" si="34"/>
        <v>0</v>
      </c>
      <c r="L46" s="1540">
        <f t="shared" si="52"/>
        <v>0</v>
      </c>
      <c r="M46" s="1399">
        <f t="shared" si="36"/>
        <v>0</v>
      </c>
      <c r="N46" s="1540">
        <f t="shared" si="37"/>
        <v>0</v>
      </c>
      <c r="O46" s="1171">
        <v>0</v>
      </c>
      <c r="P46" s="1546">
        <f t="shared" si="38"/>
        <v>0</v>
      </c>
      <c r="Q46" s="1175"/>
      <c r="R46" s="1173">
        <f t="shared" si="39"/>
        <v>0</v>
      </c>
      <c r="S46" s="1550">
        <f t="shared" si="40"/>
        <v>0</v>
      </c>
      <c r="T46" s="1550">
        <f t="shared" si="41"/>
        <v>0</v>
      </c>
      <c r="U46" s="1382">
        <f>'Table 5C1A-Madison Prep'!U46</f>
        <v>3069</v>
      </c>
      <c r="V46" s="1516">
        <f t="shared" si="53"/>
        <v>0</v>
      </c>
      <c r="W46" s="1400"/>
      <c r="X46" s="1383">
        <f t="shared" si="42"/>
        <v>0</v>
      </c>
      <c r="Y46" s="1400"/>
      <c r="Z46" s="1383">
        <f t="shared" si="30"/>
        <v>0</v>
      </c>
      <c r="AA46" s="1384">
        <f t="shared" si="43"/>
        <v>0</v>
      </c>
      <c r="AB46" s="1511">
        <f t="shared" si="44"/>
        <v>0</v>
      </c>
      <c r="AC46" s="1402">
        <f t="shared" si="45"/>
        <v>0</v>
      </c>
      <c r="AD46" s="1511">
        <f t="shared" si="46"/>
        <v>0</v>
      </c>
      <c r="AE46" s="1385">
        <v>0</v>
      </c>
      <c r="AF46" s="1511">
        <f t="shared" si="47"/>
        <v>0</v>
      </c>
      <c r="AG46" s="1385"/>
      <c r="AH46" s="1385">
        <f t="shared" si="48"/>
        <v>0</v>
      </c>
      <c r="AI46" s="1511">
        <f t="shared" si="49"/>
        <v>0</v>
      </c>
      <c r="AJ46" s="1531">
        <f t="shared" si="50"/>
        <v>0</v>
      </c>
      <c r="AK46" s="1536">
        <f t="shared" si="51"/>
        <v>0</v>
      </c>
    </row>
    <row r="47" spans="1:37" ht="16.2" customHeight="1">
      <c r="A47" s="1183">
        <v>41</v>
      </c>
      <c r="B47" s="1184" t="s">
        <v>121</v>
      </c>
      <c r="C47" s="1185">
        <f>+'Table 8 Membership 2.1.14'!U43</f>
        <v>0</v>
      </c>
      <c r="D47" s="1186">
        <f>+'Table 5C1A-Madison Prep'!D47</f>
        <v>3291.1948574716475</v>
      </c>
      <c r="E47" s="1187">
        <f t="shared" si="31"/>
        <v>0</v>
      </c>
      <c r="F47" s="1187">
        <f>+'Table 5C1A-Madison Prep'!F47</f>
        <v>886.22</v>
      </c>
      <c r="G47" s="1187">
        <f t="shared" si="32"/>
        <v>0</v>
      </c>
      <c r="H47" s="1538">
        <f t="shared" si="33"/>
        <v>0</v>
      </c>
      <c r="I47" s="1188"/>
      <c r="J47" s="1188"/>
      <c r="K47" s="1189">
        <f t="shared" si="34"/>
        <v>0</v>
      </c>
      <c r="L47" s="1538">
        <f t="shared" si="52"/>
        <v>0</v>
      </c>
      <c r="M47" s="1372">
        <f t="shared" si="36"/>
        <v>0</v>
      </c>
      <c r="N47" s="1538">
        <f t="shared" si="37"/>
        <v>0</v>
      </c>
      <c r="O47" s="1186">
        <v>0</v>
      </c>
      <c r="P47" s="1544">
        <f t="shared" si="38"/>
        <v>0</v>
      </c>
      <c r="Q47" s="1188"/>
      <c r="R47" s="1188">
        <f t="shared" si="39"/>
        <v>0</v>
      </c>
      <c r="S47" s="1544">
        <f t="shared" si="40"/>
        <v>0</v>
      </c>
      <c r="T47" s="1544">
        <f t="shared" si="41"/>
        <v>0</v>
      </c>
      <c r="U47" s="1373">
        <f>'Table 5C1A-Madison Prep'!U47</f>
        <v>8478</v>
      </c>
      <c r="V47" s="1514">
        <f t="shared" si="53"/>
        <v>0</v>
      </c>
      <c r="W47" s="1375"/>
      <c r="X47" s="1376">
        <f t="shared" si="42"/>
        <v>0</v>
      </c>
      <c r="Y47" s="1375"/>
      <c r="Z47" s="1376">
        <f t="shared" si="30"/>
        <v>0</v>
      </c>
      <c r="AA47" s="1374">
        <f t="shared" si="43"/>
        <v>0</v>
      </c>
      <c r="AB47" s="1509">
        <f t="shared" si="44"/>
        <v>0</v>
      </c>
      <c r="AC47" s="1378">
        <f t="shared" si="45"/>
        <v>0</v>
      </c>
      <c r="AD47" s="1509">
        <f t="shared" si="46"/>
        <v>0</v>
      </c>
      <c r="AE47" s="1379">
        <v>0</v>
      </c>
      <c r="AF47" s="1509">
        <f t="shared" si="47"/>
        <v>0</v>
      </c>
      <c r="AG47" s="1379"/>
      <c r="AH47" s="1379">
        <f t="shared" si="48"/>
        <v>0</v>
      </c>
      <c r="AI47" s="1509">
        <f t="shared" si="49"/>
        <v>0</v>
      </c>
      <c r="AJ47" s="1530">
        <f t="shared" si="50"/>
        <v>0</v>
      </c>
      <c r="AK47" s="1534">
        <f t="shared" si="51"/>
        <v>0</v>
      </c>
    </row>
    <row r="48" spans="1:37" ht="16.2" customHeight="1">
      <c r="A48" s="1176">
        <v>42</v>
      </c>
      <c r="B48" s="1177" t="s">
        <v>122</v>
      </c>
      <c r="C48" s="1178">
        <f>+'Table 8 Membership 2.1.14'!U44</f>
        <v>0</v>
      </c>
      <c r="D48" s="1179">
        <f>+'Table 5C1A-Madison Prep'!D48</f>
        <v>5113.6077751368684</v>
      </c>
      <c r="E48" s="1180">
        <f t="shared" si="31"/>
        <v>0</v>
      </c>
      <c r="F48" s="1180">
        <f>+'Table 5C1A-Madison Prep'!F48</f>
        <v>534.28</v>
      </c>
      <c r="G48" s="1180">
        <f t="shared" si="32"/>
        <v>0</v>
      </c>
      <c r="H48" s="1539">
        <f t="shared" si="33"/>
        <v>0</v>
      </c>
      <c r="I48" s="1181"/>
      <c r="J48" s="1181"/>
      <c r="K48" s="1182">
        <f t="shared" si="34"/>
        <v>0</v>
      </c>
      <c r="L48" s="1539">
        <f t="shared" si="52"/>
        <v>0</v>
      </c>
      <c r="M48" s="1388">
        <f t="shared" si="36"/>
        <v>0</v>
      </c>
      <c r="N48" s="1539">
        <f t="shared" si="37"/>
        <v>0</v>
      </c>
      <c r="O48" s="1179">
        <v>0</v>
      </c>
      <c r="P48" s="1545">
        <f t="shared" si="38"/>
        <v>0</v>
      </c>
      <c r="Q48" s="1181"/>
      <c r="R48" s="1181">
        <f t="shared" si="39"/>
        <v>0</v>
      </c>
      <c r="S48" s="1545">
        <f t="shared" si="40"/>
        <v>0</v>
      </c>
      <c r="T48" s="1545">
        <f t="shared" si="41"/>
        <v>0</v>
      </c>
      <c r="U48" s="1389">
        <f>'Table 5C1A-Madison Prep'!U48</f>
        <v>3578</v>
      </c>
      <c r="V48" s="1515">
        <f t="shared" si="53"/>
        <v>0</v>
      </c>
      <c r="W48" s="1391"/>
      <c r="X48" s="1392">
        <f t="shared" si="42"/>
        <v>0</v>
      </c>
      <c r="Y48" s="1391"/>
      <c r="Z48" s="1392">
        <f t="shared" si="30"/>
        <v>0</v>
      </c>
      <c r="AA48" s="1390">
        <f t="shared" si="43"/>
        <v>0</v>
      </c>
      <c r="AB48" s="1510">
        <f t="shared" si="44"/>
        <v>0</v>
      </c>
      <c r="AC48" s="1394">
        <f t="shared" si="45"/>
        <v>0</v>
      </c>
      <c r="AD48" s="1510">
        <f t="shared" si="46"/>
        <v>0</v>
      </c>
      <c r="AE48" s="1395">
        <v>0</v>
      </c>
      <c r="AF48" s="1510">
        <f t="shared" si="47"/>
        <v>0</v>
      </c>
      <c r="AG48" s="1395"/>
      <c r="AH48" s="1395">
        <f t="shared" si="48"/>
        <v>0</v>
      </c>
      <c r="AI48" s="1510">
        <f t="shared" si="49"/>
        <v>0</v>
      </c>
      <c r="AJ48" s="1505">
        <f t="shared" si="50"/>
        <v>0</v>
      </c>
      <c r="AK48" s="1535">
        <f t="shared" si="51"/>
        <v>0</v>
      </c>
    </row>
    <row r="49" spans="1:37" ht="16.2" customHeight="1">
      <c r="A49" s="1176">
        <v>43</v>
      </c>
      <c r="B49" s="1177" t="s">
        <v>123</v>
      </c>
      <c r="C49" s="1178">
        <f>+'Table 8 Membership 2.1.14'!U45</f>
        <v>0</v>
      </c>
      <c r="D49" s="1179">
        <f>+'Table 5C1A-Madison Prep'!D49</f>
        <v>5788.74387205947</v>
      </c>
      <c r="E49" s="1180">
        <f t="shared" si="31"/>
        <v>0</v>
      </c>
      <c r="F49" s="1180">
        <f>+'Table 5C1A-Madison Prep'!F49</f>
        <v>574.6099999999999</v>
      </c>
      <c r="G49" s="1180">
        <f t="shared" si="32"/>
        <v>0</v>
      </c>
      <c r="H49" s="1539">
        <f t="shared" si="33"/>
        <v>0</v>
      </c>
      <c r="I49" s="1181"/>
      <c r="J49" s="1181"/>
      <c r="K49" s="1182">
        <f t="shared" si="34"/>
        <v>0</v>
      </c>
      <c r="L49" s="1539">
        <f t="shared" si="52"/>
        <v>0</v>
      </c>
      <c r="M49" s="1388">
        <f t="shared" si="36"/>
        <v>0</v>
      </c>
      <c r="N49" s="1539">
        <f t="shared" si="37"/>
        <v>0</v>
      </c>
      <c r="O49" s="1179">
        <v>0</v>
      </c>
      <c r="P49" s="1545">
        <f t="shared" si="38"/>
        <v>0</v>
      </c>
      <c r="Q49" s="1181"/>
      <c r="R49" s="1181">
        <f t="shared" si="39"/>
        <v>0</v>
      </c>
      <c r="S49" s="1545">
        <f t="shared" si="40"/>
        <v>0</v>
      </c>
      <c r="T49" s="1545">
        <f t="shared" si="41"/>
        <v>0</v>
      </c>
      <c r="U49" s="1389">
        <f>'Table 5C1A-Madison Prep'!U49</f>
        <v>3205</v>
      </c>
      <c r="V49" s="1515">
        <f t="shared" si="53"/>
        <v>0</v>
      </c>
      <c r="W49" s="1391"/>
      <c r="X49" s="1392">
        <f t="shared" si="42"/>
        <v>0</v>
      </c>
      <c r="Y49" s="1391"/>
      <c r="Z49" s="1392">
        <f t="shared" si="30"/>
        <v>0</v>
      </c>
      <c r="AA49" s="1390">
        <f t="shared" si="43"/>
        <v>0</v>
      </c>
      <c r="AB49" s="1510">
        <f t="shared" si="44"/>
        <v>0</v>
      </c>
      <c r="AC49" s="1394">
        <f t="shared" si="45"/>
        <v>0</v>
      </c>
      <c r="AD49" s="1510">
        <f t="shared" si="46"/>
        <v>0</v>
      </c>
      <c r="AE49" s="1395">
        <v>0</v>
      </c>
      <c r="AF49" s="1510">
        <f t="shared" si="47"/>
        <v>0</v>
      </c>
      <c r="AG49" s="1395"/>
      <c r="AH49" s="1395">
        <f t="shared" si="48"/>
        <v>0</v>
      </c>
      <c r="AI49" s="1510">
        <f t="shared" si="49"/>
        <v>0</v>
      </c>
      <c r="AJ49" s="1505">
        <f t="shared" si="50"/>
        <v>0</v>
      </c>
      <c r="AK49" s="1535">
        <f t="shared" si="51"/>
        <v>0</v>
      </c>
    </row>
    <row r="50" spans="1:37" ht="16.2" customHeight="1">
      <c r="A50" s="1176">
        <v>44</v>
      </c>
      <c r="B50" s="1177" t="s">
        <v>124</v>
      </c>
      <c r="C50" s="1178">
        <f>+'Table 8 Membership 2.1.14'!U46</f>
        <v>0</v>
      </c>
      <c r="D50" s="1179">
        <f>+'Table 5C1A-Madison Prep'!D50</f>
        <v>4897.5958151820359</v>
      </c>
      <c r="E50" s="1180">
        <f t="shared" si="31"/>
        <v>0</v>
      </c>
      <c r="F50" s="1180">
        <f>+'Table 5C1A-Madison Prep'!F50</f>
        <v>663.16000000000008</v>
      </c>
      <c r="G50" s="1180">
        <f t="shared" si="32"/>
        <v>0</v>
      </c>
      <c r="H50" s="1539">
        <f t="shared" si="33"/>
        <v>0</v>
      </c>
      <c r="I50" s="1181"/>
      <c r="J50" s="1181"/>
      <c r="K50" s="1182">
        <f t="shared" si="34"/>
        <v>0</v>
      </c>
      <c r="L50" s="1539">
        <f t="shared" si="52"/>
        <v>0</v>
      </c>
      <c r="M50" s="1388">
        <f t="shared" si="36"/>
        <v>0</v>
      </c>
      <c r="N50" s="1539">
        <f t="shared" si="37"/>
        <v>0</v>
      </c>
      <c r="O50" s="1179">
        <v>0</v>
      </c>
      <c r="P50" s="1545">
        <f t="shared" si="38"/>
        <v>0</v>
      </c>
      <c r="Q50" s="1181"/>
      <c r="R50" s="1181">
        <f t="shared" si="39"/>
        <v>0</v>
      </c>
      <c r="S50" s="1545">
        <f t="shared" si="40"/>
        <v>0</v>
      </c>
      <c r="T50" s="1545">
        <f t="shared" si="41"/>
        <v>0</v>
      </c>
      <c r="U50" s="1389">
        <f>'Table 5C1A-Madison Prep'!U50</f>
        <v>3719</v>
      </c>
      <c r="V50" s="1515">
        <f t="shared" si="53"/>
        <v>0</v>
      </c>
      <c r="W50" s="1391"/>
      <c r="X50" s="1392">
        <f t="shared" si="42"/>
        <v>0</v>
      </c>
      <c r="Y50" s="1391"/>
      <c r="Z50" s="1392">
        <f t="shared" si="30"/>
        <v>0</v>
      </c>
      <c r="AA50" s="1390">
        <f t="shared" si="43"/>
        <v>0</v>
      </c>
      <c r="AB50" s="1510">
        <f t="shared" si="44"/>
        <v>0</v>
      </c>
      <c r="AC50" s="1394">
        <f t="shared" si="45"/>
        <v>0</v>
      </c>
      <c r="AD50" s="1510">
        <f t="shared" si="46"/>
        <v>0</v>
      </c>
      <c r="AE50" s="1395">
        <v>0</v>
      </c>
      <c r="AF50" s="1510">
        <f t="shared" si="47"/>
        <v>0</v>
      </c>
      <c r="AG50" s="1395"/>
      <c r="AH50" s="1395">
        <f t="shared" si="48"/>
        <v>0</v>
      </c>
      <c r="AI50" s="1510">
        <f t="shared" si="49"/>
        <v>0</v>
      </c>
      <c r="AJ50" s="1505">
        <f t="shared" si="50"/>
        <v>0</v>
      </c>
      <c r="AK50" s="1535">
        <f t="shared" si="51"/>
        <v>0</v>
      </c>
    </row>
    <row r="51" spans="1:37" ht="16.2" customHeight="1">
      <c r="A51" s="1168">
        <v>45</v>
      </c>
      <c r="B51" s="1169" t="s">
        <v>125</v>
      </c>
      <c r="C51" s="1170">
        <f>+'Table 8 Membership 2.1.14'!U47</f>
        <v>0</v>
      </c>
      <c r="D51" s="1171">
        <f>+'Table 5C1A-Madison Prep'!D51</f>
        <v>2054.0472499469101</v>
      </c>
      <c r="E51" s="1172">
        <f t="shared" si="31"/>
        <v>0</v>
      </c>
      <c r="F51" s="1172">
        <f>+'Table 5C1A-Madison Prep'!F51</f>
        <v>753.96000000000015</v>
      </c>
      <c r="G51" s="1172">
        <f t="shared" si="32"/>
        <v>0</v>
      </c>
      <c r="H51" s="1540">
        <f t="shared" si="33"/>
        <v>0</v>
      </c>
      <c r="I51" s="1173"/>
      <c r="J51" s="1173"/>
      <c r="K51" s="1174">
        <f t="shared" si="34"/>
        <v>0</v>
      </c>
      <c r="L51" s="1540">
        <f t="shared" si="52"/>
        <v>0</v>
      </c>
      <c r="M51" s="1399">
        <f t="shared" si="36"/>
        <v>0</v>
      </c>
      <c r="N51" s="1540">
        <f t="shared" si="37"/>
        <v>0</v>
      </c>
      <c r="O51" s="1171">
        <v>0</v>
      </c>
      <c r="P51" s="1546">
        <f t="shared" si="38"/>
        <v>0</v>
      </c>
      <c r="Q51" s="1175"/>
      <c r="R51" s="1173">
        <f t="shared" si="39"/>
        <v>0</v>
      </c>
      <c r="S51" s="1550">
        <f t="shared" si="40"/>
        <v>0</v>
      </c>
      <c r="T51" s="1550">
        <f t="shared" si="41"/>
        <v>0</v>
      </c>
      <c r="U51" s="1382">
        <f>'Table 5C1A-Madison Prep'!U51</f>
        <v>12169</v>
      </c>
      <c r="V51" s="1516">
        <f t="shared" si="53"/>
        <v>0</v>
      </c>
      <c r="W51" s="1400"/>
      <c r="X51" s="1383">
        <f t="shared" si="42"/>
        <v>0</v>
      </c>
      <c r="Y51" s="1400"/>
      <c r="Z51" s="1383">
        <f t="shared" si="30"/>
        <v>0</v>
      </c>
      <c r="AA51" s="1384">
        <f t="shared" si="43"/>
        <v>0</v>
      </c>
      <c r="AB51" s="1511">
        <f t="shared" si="44"/>
        <v>0</v>
      </c>
      <c r="AC51" s="1402">
        <f t="shared" si="45"/>
        <v>0</v>
      </c>
      <c r="AD51" s="1511">
        <f t="shared" si="46"/>
        <v>0</v>
      </c>
      <c r="AE51" s="1385">
        <v>0</v>
      </c>
      <c r="AF51" s="1511">
        <f t="shared" si="47"/>
        <v>0</v>
      </c>
      <c r="AG51" s="1385"/>
      <c r="AH51" s="1385">
        <f t="shared" si="48"/>
        <v>0</v>
      </c>
      <c r="AI51" s="1511">
        <f t="shared" si="49"/>
        <v>0</v>
      </c>
      <c r="AJ51" s="1531">
        <f t="shared" si="50"/>
        <v>0</v>
      </c>
      <c r="AK51" s="1536">
        <f t="shared" si="51"/>
        <v>0</v>
      </c>
    </row>
    <row r="52" spans="1:37" ht="16.2" customHeight="1">
      <c r="A52" s="1183">
        <v>46</v>
      </c>
      <c r="B52" s="1184" t="s">
        <v>126</v>
      </c>
      <c r="C52" s="1185">
        <f>+'Table 8 Membership 2.1.14'!U48</f>
        <v>0</v>
      </c>
      <c r="D52" s="1186">
        <f>+'Table 5C1A-Madison Prep'!D52</f>
        <v>6051.2144468088381</v>
      </c>
      <c r="E52" s="1187">
        <f t="shared" si="31"/>
        <v>0</v>
      </c>
      <c r="F52" s="1187">
        <f>+'Table 5C1A-Madison Prep'!F52</f>
        <v>728.06</v>
      </c>
      <c r="G52" s="1187">
        <f t="shared" si="32"/>
        <v>0</v>
      </c>
      <c r="H52" s="1538">
        <f t="shared" si="33"/>
        <v>0</v>
      </c>
      <c r="I52" s="1188"/>
      <c r="J52" s="1188"/>
      <c r="K52" s="1189">
        <f t="shared" si="34"/>
        <v>0</v>
      </c>
      <c r="L52" s="1538">
        <f t="shared" si="52"/>
        <v>0</v>
      </c>
      <c r="M52" s="1372">
        <f t="shared" si="36"/>
        <v>0</v>
      </c>
      <c r="N52" s="1538">
        <f t="shared" si="37"/>
        <v>0</v>
      </c>
      <c r="O52" s="1186">
        <v>0</v>
      </c>
      <c r="P52" s="1544">
        <f t="shared" si="38"/>
        <v>0</v>
      </c>
      <c r="Q52" s="1188"/>
      <c r="R52" s="1188">
        <f t="shared" si="39"/>
        <v>0</v>
      </c>
      <c r="S52" s="1544">
        <f t="shared" si="40"/>
        <v>0</v>
      </c>
      <c r="T52" s="1544">
        <f t="shared" si="41"/>
        <v>0</v>
      </c>
      <c r="U52" s="1373">
        <f>'Table 5C1A-Madison Prep'!U52</f>
        <v>2713</v>
      </c>
      <c r="V52" s="1514">
        <f t="shared" si="53"/>
        <v>0</v>
      </c>
      <c r="W52" s="1375"/>
      <c r="X52" s="1376">
        <f t="shared" si="42"/>
        <v>0</v>
      </c>
      <c r="Y52" s="1375"/>
      <c r="Z52" s="1376">
        <f t="shared" si="30"/>
        <v>0</v>
      </c>
      <c r="AA52" s="1374">
        <f t="shared" si="43"/>
        <v>0</v>
      </c>
      <c r="AB52" s="1509">
        <f t="shared" si="44"/>
        <v>0</v>
      </c>
      <c r="AC52" s="1378">
        <f t="shared" si="45"/>
        <v>0</v>
      </c>
      <c r="AD52" s="1509">
        <f t="shared" si="46"/>
        <v>0</v>
      </c>
      <c r="AE52" s="1379">
        <v>0</v>
      </c>
      <c r="AF52" s="1509">
        <f t="shared" si="47"/>
        <v>0</v>
      </c>
      <c r="AG52" s="1379"/>
      <c r="AH52" s="1379">
        <f t="shared" si="48"/>
        <v>0</v>
      </c>
      <c r="AI52" s="1509">
        <f t="shared" si="49"/>
        <v>0</v>
      </c>
      <c r="AJ52" s="1530">
        <f t="shared" si="50"/>
        <v>0</v>
      </c>
      <c r="AK52" s="1534">
        <f t="shared" si="51"/>
        <v>0</v>
      </c>
    </row>
    <row r="53" spans="1:37" ht="16.2" customHeight="1">
      <c r="A53" s="1176">
        <v>47</v>
      </c>
      <c r="B53" s="1177" t="s">
        <v>127</v>
      </c>
      <c r="C53" s="1178">
        <f>+'Table 8 Membership 2.1.14'!U49</f>
        <v>0</v>
      </c>
      <c r="D53" s="1179">
        <f>+'Table 5C1A-Madison Prep'!D53</f>
        <v>2524.1485257646736</v>
      </c>
      <c r="E53" s="1180">
        <f t="shared" si="31"/>
        <v>0</v>
      </c>
      <c r="F53" s="1180">
        <f>+'Table 5C1A-Madison Prep'!F53</f>
        <v>910.76</v>
      </c>
      <c r="G53" s="1180">
        <f t="shared" si="32"/>
        <v>0</v>
      </c>
      <c r="H53" s="1539">
        <f t="shared" si="33"/>
        <v>0</v>
      </c>
      <c r="I53" s="1181"/>
      <c r="J53" s="1181"/>
      <c r="K53" s="1182">
        <f t="shared" si="34"/>
        <v>0</v>
      </c>
      <c r="L53" s="1539">
        <f t="shared" si="52"/>
        <v>0</v>
      </c>
      <c r="M53" s="1388">
        <f t="shared" si="36"/>
        <v>0</v>
      </c>
      <c r="N53" s="1539">
        <f t="shared" si="37"/>
        <v>0</v>
      </c>
      <c r="O53" s="1179">
        <v>0</v>
      </c>
      <c r="P53" s="1545">
        <f t="shared" si="38"/>
        <v>0</v>
      </c>
      <c r="Q53" s="1181"/>
      <c r="R53" s="1181">
        <f t="shared" si="39"/>
        <v>0</v>
      </c>
      <c r="S53" s="1545">
        <f t="shared" si="40"/>
        <v>0</v>
      </c>
      <c r="T53" s="1545">
        <f t="shared" si="41"/>
        <v>0</v>
      </c>
      <c r="U53" s="1389">
        <f>'Table 5C1A-Madison Prep'!U53</f>
        <v>11701</v>
      </c>
      <c r="V53" s="1515">
        <f t="shared" si="53"/>
        <v>0</v>
      </c>
      <c r="W53" s="1391"/>
      <c r="X53" s="1392">
        <f t="shared" si="42"/>
        <v>0</v>
      </c>
      <c r="Y53" s="1391"/>
      <c r="Z53" s="1392">
        <f t="shared" si="30"/>
        <v>0</v>
      </c>
      <c r="AA53" s="1390">
        <f t="shared" si="43"/>
        <v>0</v>
      </c>
      <c r="AB53" s="1510">
        <f t="shared" si="44"/>
        <v>0</v>
      </c>
      <c r="AC53" s="1394">
        <f t="shared" si="45"/>
        <v>0</v>
      </c>
      <c r="AD53" s="1510">
        <f t="shared" si="46"/>
        <v>0</v>
      </c>
      <c r="AE53" s="1395">
        <v>0</v>
      </c>
      <c r="AF53" s="1510">
        <f t="shared" si="47"/>
        <v>0</v>
      </c>
      <c r="AG53" s="1395"/>
      <c r="AH53" s="1395">
        <f t="shared" si="48"/>
        <v>0</v>
      </c>
      <c r="AI53" s="1510">
        <f t="shared" si="49"/>
        <v>0</v>
      </c>
      <c r="AJ53" s="1505">
        <f t="shared" si="50"/>
        <v>0</v>
      </c>
      <c r="AK53" s="1535">
        <f t="shared" si="51"/>
        <v>0</v>
      </c>
    </row>
    <row r="54" spans="1:37" ht="16.2" customHeight="1">
      <c r="A54" s="1176">
        <v>48</v>
      </c>
      <c r="B54" s="1177" t="s">
        <v>178</v>
      </c>
      <c r="C54" s="1178">
        <f>+'Table 8 Membership 2.1.14'!U50</f>
        <v>0</v>
      </c>
      <c r="D54" s="1179">
        <f>+'Table 5C1A-Madison Prep'!D54</f>
        <v>3983.3582529800719</v>
      </c>
      <c r="E54" s="1180">
        <f t="shared" si="31"/>
        <v>0</v>
      </c>
      <c r="F54" s="1180">
        <f>+'Table 5C1A-Madison Prep'!F54</f>
        <v>871.07</v>
      </c>
      <c r="G54" s="1180">
        <f t="shared" si="32"/>
        <v>0</v>
      </c>
      <c r="H54" s="1539">
        <f t="shared" si="33"/>
        <v>0</v>
      </c>
      <c r="I54" s="1181"/>
      <c r="J54" s="1181"/>
      <c r="K54" s="1182">
        <f t="shared" si="34"/>
        <v>0</v>
      </c>
      <c r="L54" s="1539">
        <f t="shared" si="52"/>
        <v>0</v>
      </c>
      <c r="M54" s="1388">
        <f t="shared" si="36"/>
        <v>0</v>
      </c>
      <c r="N54" s="1539">
        <f t="shared" si="37"/>
        <v>0</v>
      </c>
      <c r="O54" s="1179">
        <v>0</v>
      </c>
      <c r="P54" s="1545">
        <f t="shared" si="38"/>
        <v>0</v>
      </c>
      <c r="Q54" s="1181"/>
      <c r="R54" s="1181">
        <f t="shared" si="39"/>
        <v>0</v>
      </c>
      <c r="S54" s="1545">
        <f t="shared" si="40"/>
        <v>0</v>
      </c>
      <c r="T54" s="1545">
        <f t="shared" si="41"/>
        <v>0</v>
      </c>
      <c r="U54" s="1389">
        <f>'Table 5C1A-Madison Prep'!U54</f>
        <v>7338</v>
      </c>
      <c r="V54" s="1515">
        <f t="shared" si="53"/>
        <v>0</v>
      </c>
      <c r="W54" s="1391"/>
      <c r="X54" s="1392">
        <f t="shared" si="42"/>
        <v>0</v>
      </c>
      <c r="Y54" s="1391"/>
      <c r="Z54" s="1392">
        <f t="shared" si="30"/>
        <v>0</v>
      </c>
      <c r="AA54" s="1390">
        <f t="shared" si="43"/>
        <v>0</v>
      </c>
      <c r="AB54" s="1510">
        <f t="shared" si="44"/>
        <v>0</v>
      </c>
      <c r="AC54" s="1394">
        <f t="shared" si="45"/>
        <v>0</v>
      </c>
      <c r="AD54" s="1510">
        <f t="shared" si="46"/>
        <v>0</v>
      </c>
      <c r="AE54" s="1395">
        <v>0</v>
      </c>
      <c r="AF54" s="1510">
        <f t="shared" si="47"/>
        <v>0</v>
      </c>
      <c r="AG54" s="1395"/>
      <c r="AH54" s="1395">
        <f t="shared" si="48"/>
        <v>0</v>
      </c>
      <c r="AI54" s="1510">
        <f t="shared" si="49"/>
        <v>0</v>
      </c>
      <c r="AJ54" s="1505">
        <f t="shared" si="50"/>
        <v>0</v>
      </c>
      <c r="AK54" s="1535">
        <f t="shared" si="51"/>
        <v>0</v>
      </c>
    </row>
    <row r="55" spans="1:37" ht="16.2" customHeight="1">
      <c r="A55" s="1176">
        <v>49</v>
      </c>
      <c r="B55" s="1177" t="s">
        <v>128</v>
      </c>
      <c r="C55" s="1178">
        <f>+'Table 8 Membership 2.1.14'!U51</f>
        <v>0</v>
      </c>
      <c r="D55" s="1179">
        <f>+'Table 5C1A-Madison Prep'!D55</f>
        <v>4995.8755315659191</v>
      </c>
      <c r="E55" s="1180">
        <f t="shared" si="31"/>
        <v>0</v>
      </c>
      <c r="F55" s="1180">
        <f>+'Table 5C1A-Madison Prep'!F55</f>
        <v>574.43999999999994</v>
      </c>
      <c r="G55" s="1180">
        <f t="shared" si="32"/>
        <v>0</v>
      </c>
      <c r="H55" s="1539">
        <f t="shared" si="33"/>
        <v>0</v>
      </c>
      <c r="I55" s="1181"/>
      <c r="J55" s="1181"/>
      <c r="K55" s="1182">
        <f t="shared" si="34"/>
        <v>0</v>
      </c>
      <c r="L55" s="1539">
        <f t="shared" si="52"/>
        <v>0</v>
      </c>
      <c r="M55" s="1388">
        <f t="shared" si="36"/>
        <v>0</v>
      </c>
      <c r="N55" s="1539">
        <f t="shared" si="37"/>
        <v>0</v>
      </c>
      <c r="O55" s="1179">
        <v>0</v>
      </c>
      <c r="P55" s="1545">
        <f t="shared" si="38"/>
        <v>0</v>
      </c>
      <c r="Q55" s="1181"/>
      <c r="R55" s="1181">
        <f t="shared" si="39"/>
        <v>0</v>
      </c>
      <c r="S55" s="1545">
        <f t="shared" si="40"/>
        <v>0</v>
      </c>
      <c r="T55" s="1545">
        <f t="shared" si="41"/>
        <v>0</v>
      </c>
      <c r="U55" s="1389">
        <f>'Table 5C1A-Madison Prep'!U55</f>
        <v>2353</v>
      </c>
      <c r="V55" s="1515">
        <f t="shared" si="53"/>
        <v>0</v>
      </c>
      <c r="W55" s="1391"/>
      <c r="X55" s="1392">
        <f t="shared" si="42"/>
        <v>0</v>
      </c>
      <c r="Y55" s="1391"/>
      <c r="Z55" s="1392">
        <f t="shared" si="30"/>
        <v>0</v>
      </c>
      <c r="AA55" s="1390">
        <f t="shared" si="43"/>
        <v>0</v>
      </c>
      <c r="AB55" s="1510">
        <f t="shared" si="44"/>
        <v>0</v>
      </c>
      <c r="AC55" s="1394">
        <f t="shared" si="45"/>
        <v>0</v>
      </c>
      <c r="AD55" s="1510">
        <f t="shared" si="46"/>
        <v>0</v>
      </c>
      <c r="AE55" s="1395">
        <v>0</v>
      </c>
      <c r="AF55" s="1510">
        <f t="shared" si="47"/>
        <v>0</v>
      </c>
      <c r="AG55" s="1395"/>
      <c r="AH55" s="1395">
        <f t="shared" si="48"/>
        <v>0</v>
      </c>
      <c r="AI55" s="1510">
        <f t="shared" si="49"/>
        <v>0</v>
      </c>
      <c r="AJ55" s="1505">
        <f t="shared" si="50"/>
        <v>0</v>
      </c>
      <c r="AK55" s="1535">
        <f t="shared" si="51"/>
        <v>0</v>
      </c>
    </row>
    <row r="56" spans="1:37" ht="16.2" customHeight="1">
      <c r="A56" s="1168">
        <v>50</v>
      </c>
      <c r="B56" s="1169" t="s">
        <v>129</v>
      </c>
      <c r="C56" s="1170">
        <f>+'Table 8 Membership 2.1.14'!U52</f>
        <v>0</v>
      </c>
      <c r="D56" s="1171">
        <f>+'Table 5C1A-Madison Prep'!D56</f>
        <v>5177.6892722701677</v>
      </c>
      <c r="E56" s="1172">
        <f t="shared" si="31"/>
        <v>0</v>
      </c>
      <c r="F56" s="1172">
        <f>+'Table 5C1A-Madison Prep'!F56</f>
        <v>634.46</v>
      </c>
      <c r="G56" s="1172">
        <f t="shared" si="32"/>
        <v>0</v>
      </c>
      <c r="H56" s="1540">
        <f t="shared" si="33"/>
        <v>0</v>
      </c>
      <c r="I56" s="1173"/>
      <c r="J56" s="1173"/>
      <c r="K56" s="1174">
        <f t="shared" si="34"/>
        <v>0</v>
      </c>
      <c r="L56" s="1540">
        <f t="shared" si="52"/>
        <v>0</v>
      </c>
      <c r="M56" s="1399">
        <f t="shared" si="36"/>
        <v>0</v>
      </c>
      <c r="N56" s="1540">
        <f t="shared" si="37"/>
        <v>0</v>
      </c>
      <c r="O56" s="1171">
        <v>0</v>
      </c>
      <c r="P56" s="1546">
        <f t="shared" si="38"/>
        <v>0</v>
      </c>
      <c r="Q56" s="1175"/>
      <c r="R56" s="1173">
        <f t="shared" si="39"/>
        <v>0</v>
      </c>
      <c r="S56" s="1550">
        <f t="shared" si="40"/>
        <v>0</v>
      </c>
      <c r="T56" s="1550">
        <f t="shared" si="41"/>
        <v>0</v>
      </c>
      <c r="U56" s="1382">
        <f>'Table 5C1A-Madison Prep'!U56</f>
        <v>3510</v>
      </c>
      <c r="V56" s="1516">
        <f t="shared" si="53"/>
        <v>0</v>
      </c>
      <c r="W56" s="1400"/>
      <c r="X56" s="1383">
        <f t="shared" si="42"/>
        <v>0</v>
      </c>
      <c r="Y56" s="1400"/>
      <c r="Z56" s="1383">
        <f t="shared" si="30"/>
        <v>0</v>
      </c>
      <c r="AA56" s="1384">
        <f t="shared" si="43"/>
        <v>0</v>
      </c>
      <c r="AB56" s="1511">
        <f t="shared" si="44"/>
        <v>0</v>
      </c>
      <c r="AC56" s="1402">
        <f t="shared" si="45"/>
        <v>0</v>
      </c>
      <c r="AD56" s="1511">
        <f t="shared" si="46"/>
        <v>0</v>
      </c>
      <c r="AE56" s="1385">
        <v>0</v>
      </c>
      <c r="AF56" s="1511">
        <f t="shared" si="47"/>
        <v>0</v>
      </c>
      <c r="AG56" s="1385"/>
      <c r="AH56" s="1385">
        <f t="shared" si="48"/>
        <v>0</v>
      </c>
      <c r="AI56" s="1511">
        <f t="shared" si="49"/>
        <v>0</v>
      </c>
      <c r="AJ56" s="1531">
        <f t="shared" si="50"/>
        <v>0</v>
      </c>
      <c r="AK56" s="1536">
        <f t="shared" si="51"/>
        <v>0</v>
      </c>
    </row>
    <row r="57" spans="1:37" ht="16.2" customHeight="1">
      <c r="A57" s="1183">
        <v>51</v>
      </c>
      <c r="B57" s="1184" t="s">
        <v>130</v>
      </c>
      <c r="C57" s="1185">
        <f>+'Table 8 Membership 2.1.14'!U53</f>
        <v>0</v>
      </c>
      <c r="D57" s="1186">
        <f>+'Table 5C1A-Madison Prep'!D57</f>
        <v>4154.1928602178996</v>
      </c>
      <c r="E57" s="1187">
        <f t="shared" si="31"/>
        <v>0</v>
      </c>
      <c r="F57" s="1187">
        <f>+'Table 5C1A-Madison Prep'!F57</f>
        <v>706.66</v>
      </c>
      <c r="G57" s="1187">
        <f t="shared" si="32"/>
        <v>0</v>
      </c>
      <c r="H57" s="1538">
        <f t="shared" si="33"/>
        <v>0</v>
      </c>
      <c r="I57" s="1188"/>
      <c r="J57" s="1188"/>
      <c r="K57" s="1189">
        <f t="shared" si="34"/>
        <v>0</v>
      </c>
      <c r="L57" s="1538">
        <f t="shared" si="52"/>
        <v>0</v>
      </c>
      <c r="M57" s="1372">
        <f t="shared" si="36"/>
        <v>0</v>
      </c>
      <c r="N57" s="1538">
        <f t="shared" si="37"/>
        <v>0</v>
      </c>
      <c r="O57" s="1186">
        <v>0</v>
      </c>
      <c r="P57" s="1544">
        <f t="shared" si="38"/>
        <v>0</v>
      </c>
      <c r="Q57" s="1188"/>
      <c r="R57" s="1188">
        <f t="shared" si="39"/>
        <v>0</v>
      </c>
      <c r="S57" s="1544">
        <f t="shared" si="40"/>
        <v>0</v>
      </c>
      <c r="T57" s="1544">
        <f t="shared" si="41"/>
        <v>0</v>
      </c>
      <c r="U57" s="1373">
        <f>'Table 5C1A-Madison Prep'!U57</f>
        <v>4597</v>
      </c>
      <c r="V57" s="1514">
        <f t="shared" si="53"/>
        <v>0</v>
      </c>
      <c r="W57" s="1375"/>
      <c r="X57" s="1376">
        <f t="shared" si="42"/>
        <v>0</v>
      </c>
      <c r="Y57" s="1375"/>
      <c r="Z57" s="1376">
        <f t="shared" si="30"/>
        <v>0</v>
      </c>
      <c r="AA57" s="1374">
        <f t="shared" si="43"/>
        <v>0</v>
      </c>
      <c r="AB57" s="1509">
        <f t="shared" si="44"/>
        <v>0</v>
      </c>
      <c r="AC57" s="1378">
        <f t="shared" si="45"/>
        <v>0</v>
      </c>
      <c r="AD57" s="1509">
        <f t="shared" si="46"/>
        <v>0</v>
      </c>
      <c r="AE57" s="1379">
        <v>0</v>
      </c>
      <c r="AF57" s="1509">
        <f t="shared" si="47"/>
        <v>0</v>
      </c>
      <c r="AG57" s="1379"/>
      <c r="AH57" s="1379">
        <f t="shared" si="48"/>
        <v>0</v>
      </c>
      <c r="AI57" s="1509">
        <f t="shared" si="49"/>
        <v>0</v>
      </c>
      <c r="AJ57" s="1530">
        <f t="shared" si="50"/>
        <v>0</v>
      </c>
      <c r="AK57" s="1534">
        <f t="shared" si="51"/>
        <v>0</v>
      </c>
    </row>
    <row r="58" spans="1:37" ht="16.2" customHeight="1">
      <c r="A58" s="1176">
        <v>52</v>
      </c>
      <c r="B58" s="1177" t="s">
        <v>131</v>
      </c>
      <c r="C58" s="1178">
        <f>+'Table 8 Membership 2.1.14'!U54</f>
        <v>0</v>
      </c>
      <c r="D58" s="1179">
        <f>+'Table 5C1A-Madison Prep'!D58</f>
        <v>5062.2745845228173</v>
      </c>
      <c r="E58" s="1180">
        <f t="shared" si="31"/>
        <v>0</v>
      </c>
      <c r="F58" s="1180">
        <f>+'Table 5C1A-Madison Prep'!F58</f>
        <v>658.37</v>
      </c>
      <c r="G58" s="1180">
        <f t="shared" si="32"/>
        <v>0</v>
      </c>
      <c r="H58" s="1539">
        <f t="shared" si="33"/>
        <v>0</v>
      </c>
      <c r="I58" s="1181"/>
      <c r="J58" s="1181"/>
      <c r="K58" s="1182">
        <f t="shared" si="34"/>
        <v>0</v>
      </c>
      <c r="L58" s="1539">
        <f t="shared" si="52"/>
        <v>0</v>
      </c>
      <c r="M58" s="1388">
        <f t="shared" si="36"/>
        <v>0</v>
      </c>
      <c r="N58" s="1539">
        <f t="shared" si="37"/>
        <v>0</v>
      </c>
      <c r="O58" s="1179">
        <v>0</v>
      </c>
      <c r="P58" s="1545">
        <f t="shared" si="38"/>
        <v>0</v>
      </c>
      <c r="Q58" s="1181"/>
      <c r="R58" s="1181">
        <f t="shared" si="39"/>
        <v>0</v>
      </c>
      <c r="S58" s="1545">
        <f t="shared" si="40"/>
        <v>0</v>
      </c>
      <c r="T58" s="1545">
        <f t="shared" si="41"/>
        <v>0</v>
      </c>
      <c r="U58" s="1389">
        <f>'Table 5C1A-Madison Prep'!U58</f>
        <v>5212</v>
      </c>
      <c r="V58" s="1515">
        <f t="shared" si="53"/>
        <v>0</v>
      </c>
      <c r="W58" s="1391"/>
      <c r="X58" s="1392">
        <f t="shared" si="42"/>
        <v>0</v>
      </c>
      <c r="Y58" s="1391"/>
      <c r="Z58" s="1392">
        <f t="shared" si="30"/>
        <v>0</v>
      </c>
      <c r="AA58" s="1390">
        <f t="shared" si="43"/>
        <v>0</v>
      </c>
      <c r="AB58" s="1510">
        <f t="shared" si="44"/>
        <v>0</v>
      </c>
      <c r="AC58" s="1394">
        <f t="shared" si="45"/>
        <v>0</v>
      </c>
      <c r="AD58" s="1510">
        <f t="shared" si="46"/>
        <v>0</v>
      </c>
      <c r="AE58" s="1395">
        <v>0</v>
      </c>
      <c r="AF58" s="1510">
        <f t="shared" si="47"/>
        <v>0</v>
      </c>
      <c r="AG58" s="1395"/>
      <c r="AH58" s="1395">
        <f t="shared" si="48"/>
        <v>0</v>
      </c>
      <c r="AI58" s="1510">
        <f t="shared" si="49"/>
        <v>0</v>
      </c>
      <c r="AJ58" s="1505">
        <f t="shared" si="50"/>
        <v>0</v>
      </c>
      <c r="AK58" s="1535">
        <f t="shared" si="51"/>
        <v>0</v>
      </c>
    </row>
    <row r="59" spans="1:37" ht="16.2" customHeight="1">
      <c r="A59" s="1176">
        <v>53</v>
      </c>
      <c r="B59" s="1177" t="s">
        <v>132</v>
      </c>
      <c r="C59" s="1178">
        <f>+'Table 8 Membership 2.1.14'!U55</f>
        <v>0</v>
      </c>
      <c r="D59" s="1179">
        <f>+'Table 5C1A-Madison Prep'!D59</f>
        <v>5060.1508194045482</v>
      </c>
      <c r="E59" s="1180">
        <f t="shared" si="31"/>
        <v>0</v>
      </c>
      <c r="F59" s="1180">
        <f>+'Table 5C1A-Madison Prep'!F59</f>
        <v>689.74</v>
      </c>
      <c r="G59" s="1180">
        <f t="shared" si="32"/>
        <v>0</v>
      </c>
      <c r="H59" s="1539">
        <f t="shared" si="33"/>
        <v>0</v>
      </c>
      <c r="I59" s="1181"/>
      <c r="J59" s="1181"/>
      <c r="K59" s="1182">
        <f t="shared" si="34"/>
        <v>0</v>
      </c>
      <c r="L59" s="1539">
        <f t="shared" si="52"/>
        <v>0</v>
      </c>
      <c r="M59" s="1388">
        <f t="shared" si="36"/>
        <v>0</v>
      </c>
      <c r="N59" s="1539">
        <f t="shared" si="37"/>
        <v>0</v>
      </c>
      <c r="O59" s="1179">
        <v>0</v>
      </c>
      <c r="P59" s="1545">
        <f t="shared" si="38"/>
        <v>0</v>
      </c>
      <c r="Q59" s="1181"/>
      <c r="R59" s="1181">
        <f t="shared" si="39"/>
        <v>0</v>
      </c>
      <c r="S59" s="1545">
        <f t="shared" si="40"/>
        <v>0</v>
      </c>
      <c r="T59" s="1545">
        <f t="shared" si="41"/>
        <v>0</v>
      </c>
      <c r="U59" s="1389">
        <f>'Table 5C1A-Madison Prep'!U59</f>
        <v>2054</v>
      </c>
      <c r="V59" s="1515">
        <f t="shared" si="53"/>
        <v>0</v>
      </c>
      <c r="W59" s="1391"/>
      <c r="X59" s="1392">
        <f t="shared" si="42"/>
        <v>0</v>
      </c>
      <c r="Y59" s="1391"/>
      <c r="Z59" s="1392">
        <f t="shared" si="30"/>
        <v>0</v>
      </c>
      <c r="AA59" s="1390">
        <f t="shared" si="43"/>
        <v>0</v>
      </c>
      <c r="AB59" s="1510">
        <f t="shared" si="44"/>
        <v>0</v>
      </c>
      <c r="AC59" s="1394">
        <f t="shared" si="45"/>
        <v>0</v>
      </c>
      <c r="AD59" s="1510">
        <f t="shared" si="46"/>
        <v>0</v>
      </c>
      <c r="AE59" s="1395">
        <v>0</v>
      </c>
      <c r="AF59" s="1510">
        <f t="shared" si="47"/>
        <v>0</v>
      </c>
      <c r="AG59" s="1395"/>
      <c r="AH59" s="1395">
        <f t="shared" si="48"/>
        <v>0</v>
      </c>
      <c r="AI59" s="1510">
        <f t="shared" si="49"/>
        <v>0</v>
      </c>
      <c r="AJ59" s="1505">
        <f t="shared" si="50"/>
        <v>0</v>
      </c>
      <c r="AK59" s="1535">
        <f t="shared" si="51"/>
        <v>0</v>
      </c>
    </row>
    <row r="60" spans="1:37" ht="16.2" customHeight="1">
      <c r="A60" s="1176">
        <v>54</v>
      </c>
      <c r="B60" s="1177" t="s">
        <v>133</v>
      </c>
      <c r="C60" s="1178">
        <f>+'Table 8 Membership 2.1.14'!U56</f>
        <v>0</v>
      </c>
      <c r="D60" s="1179">
        <f>+'Table 5C1A-Madison Prep'!D60</f>
        <v>5867.0798370516713</v>
      </c>
      <c r="E60" s="1180">
        <f t="shared" si="31"/>
        <v>0</v>
      </c>
      <c r="F60" s="1180">
        <f>+'Table 5C1A-Madison Prep'!F60</f>
        <v>951.45</v>
      </c>
      <c r="G60" s="1180">
        <f t="shared" si="32"/>
        <v>0</v>
      </c>
      <c r="H60" s="1539">
        <f t="shared" si="33"/>
        <v>0</v>
      </c>
      <c r="I60" s="1181"/>
      <c r="J60" s="1181"/>
      <c r="K60" s="1182">
        <f t="shared" si="34"/>
        <v>0</v>
      </c>
      <c r="L60" s="1539">
        <f t="shared" si="52"/>
        <v>0</v>
      </c>
      <c r="M60" s="1388">
        <f t="shared" si="36"/>
        <v>0</v>
      </c>
      <c r="N60" s="1539">
        <f t="shared" si="37"/>
        <v>0</v>
      </c>
      <c r="O60" s="1179">
        <v>0</v>
      </c>
      <c r="P60" s="1545">
        <f t="shared" si="38"/>
        <v>0</v>
      </c>
      <c r="Q60" s="1181"/>
      <c r="R60" s="1181">
        <f t="shared" si="39"/>
        <v>0</v>
      </c>
      <c r="S60" s="1545">
        <f t="shared" si="40"/>
        <v>0</v>
      </c>
      <c r="T60" s="1545">
        <f t="shared" si="41"/>
        <v>0</v>
      </c>
      <c r="U60" s="1389">
        <f>'Table 5C1A-Madison Prep'!U60</f>
        <v>4116</v>
      </c>
      <c r="V60" s="1515">
        <f t="shared" si="53"/>
        <v>0</v>
      </c>
      <c r="W60" s="1391"/>
      <c r="X60" s="1392">
        <f t="shared" si="42"/>
        <v>0</v>
      </c>
      <c r="Y60" s="1391"/>
      <c r="Z60" s="1392">
        <f t="shared" si="30"/>
        <v>0</v>
      </c>
      <c r="AA60" s="1390">
        <f t="shared" si="43"/>
        <v>0</v>
      </c>
      <c r="AB60" s="1510">
        <f t="shared" si="44"/>
        <v>0</v>
      </c>
      <c r="AC60" s="1394">
        <f t="shared" si="45"/>
        <v>0</v>
      </c>
      <c r="AD60" s="1510">
        <f t="shared" si="46"/>
        <v>0</v>
      </c>
      <c r="AE60" s="1395">
        <v>0</v>
      </c>
      <c r="AF60" s="1510">
        <f t="shared" si="47"/>
        <v>0</v>
      </c>
      <c r="AG60" s="1395"/>
      <c r="AH60" s="1395">
        <f t="shared" si="48"/>
        <v>0</v>
      </c>
      <c r="AI60" s="1510">
        <f t="shared" si="49"/>
        <v>0</v>
      </c>
      <c r="AJ60" s="1505">
        <f t="shared" si="50"/>
        <v>0</v>
      </c>
      <c r="AK60" s="1535">
        <f t="shared" si="51"/>
        <v>0</v>
      </c>
    </row>
    <row r="61" spans="1:37" ht="16.2" customHeight="1">
      <c r="A61" s="1168">
        <v>55</v>
      </c>
      <c r="B61" s="1169" t="s">
        <v>134</v>
      </c>
      <c r="C61" s="1170">
        <f>+'Table 8 Membership 2.1.14'!U57</f>
        <v>0</v>
      </c>
      <c r="D61" s="1171">
        <f>+'Table 5C1A-Madison Prep'!D61</f>
        <v>4266.8225491298481</v>
      </c>
      <c r="E61" s="1172">
        <f t="shared" si="31"/>
        <v>0</v>
      </c>
      <c r="F61" s="1172">
        <f>+'Table 5C1A-Madison Prep'!F61</f>
        <v>795.14</v>
      </c>
      <c r="G61" s="1172">
        <f t="shared" si="32"/>
        <v>0</v>
      </c>
      <c r="H61" s="1540">
        <f t="shared" si="33"/>
        <v>0</v>
      </c>
      <c r="I61" s="1173"/>
      <c r="J61" s="1173"/>
      <c r="K61" s="1174">
        <f t="shared" si="34"/>
        <v>0</v>
      </c>
      <c r="L61" s="1540">
        <f t="shared" si="52"/>
        <v>0</v>
      </c>
      <c r="M61" s="1399">
        <f t="shared" si="36"/>
        <v>0</v>
      </c>
      <c r="N61" s="1540">
        <f t="shared" si="37"/>
        <v>0</v>
      </c>
      <c r="O61" s="1171">
        <v>0</v>
      </c>
      <c r="P61" s="1546">
        <f t="shared" si="38"/>
        <v>0</v>
      </c>
      <c r="Q61" s="1175"/>
      <c r="R61" s="1173">
        <f t="shared" si="39"/>
        <v>0</v>
      </c>
      <c r="S61" s="1550">
        <f t="shared" si="40"/>
        <v>0</v>
      </c>
      <c r="T61" s="1550">
        <f t="shared" si="41"/>
        <v>0</v>
      </c>
      <c r="U61" s="1382">
        <f>'Table 5C1A-Madison Prep'!U61</f>
        <v>3532</v>
      </c>
      <c r="V61" s="1516">
        <f t="shared" si="53"/>
        <v>0</v>
      </c>
      <c r="W61" s="1400"/>
      <c r="X61" s="1383">
        <f t="shared" si="42"/>
        <v>0</v>
      </c>
      <c r="Y61" s="1400"/>
      <c r="Z61" s="1383">
        <f t="shared" si="30"/>
        <v>0</v>
      </c>
      <c r="AA61" s="1384">
        <f t="shared" si="43"/>
        <v>0</v>
      </c>
      <c r="AB61" s="1511">
        <f t="shared" si="44"/>
        <v>0</v>
      </c>
      <c r="AC61" s="1402">
        <f t="shared" si="45"/>
        <v>0</v>
      </c>
      <c r="AD61" s="1511">
        <f t="shared" si="46"/>
        <v>0</v>
      </c>
      <c r="AE61" s="1385">
        <v>0</v>
      </c>
      <c r="AF61" s="1511">
        <f t="shared" si="47"/>
        <v>0</v>
      </c>
      <c r="AG61" s="1385"/>
      <c r="AH61" s="1385">
        <f t="shared" si="48"/>
        <v>0</v>
      </c>
      <c r="AI61" s="1511">
        <f t="shared" si="49"/>
        <v>0</v>
      </c>
      <c r="AJ61" s="1531">
        <f t="shared" si="50"/>
        <v>0</v>
      </c>
      <c r="AK61" s="1536">
        <f t="shared" si="51"/>
        <v>0</v>
      </c>
    </row>
    <row r="62" spans="1:37" ht="16.2" customHeight="1">
      <c r="A62" s="1183">
        <v>56</v>
      </c>
      <c r="B62" s="1184" t="s">
        <v>135</v>
      </c>
      <c r="C62" s="1185">
        <f>+'Table 8 Membership 2.1.14'!U58</f>
        <v>0</v>
      </c>
      <c r="D62" s="1186">
        <f>+'Table 5C1A-Madison Prep'!D62</f>
        <v>5028.4909408288286</v>
      </c>
      <c r="E62" s="1187">
        <f t="shared" si="31"/>
        <v>0</v>
      </c>
      <c r="F62" s="1187">
        <f>+'Table 5C1A-Madison Prep'!F62</f>
        <v>614.66000000000008</v>
      </c>
      <c r="G62" s="1187">
        <f t="shared" si="32"/>
        <v>0</v>
      </c>
      <c r="H62" s="1538">
        <f t="shared" si="33"/>
        <v>0</v>
      </c>
      <c r="I62" s="1188"/>
      <c r="J62" s="1188"/>
      <c r="K62" s="1189">
        <f t="shared" si="34"/>
        <v>0</v>
      </c>
      <c r="L62" s="1538">
        <f t="shared" si="52"/>
        <v>0</v>
      </c>
      <c r="M62" s="1372">
        <f t="shared" si="36"/>
        <v>0</v>
      </c>
      <c r="N62" s="1538">
        <f t="shared" si="37"/>
        <v>0</v>
      </c>
      <c r="O62" s="1186">
        <v>0</v>
      </c>
      <c r="P62" s="1544">
        <f t="shared" si="38"/>
        <v>0</v>
      </c>
      <c r="Q62" s="1188"/>
      <c r="R62" s="1188">
        <f t="shared" si="39"/>
        <v>0</v>
      </c>
      <c r="S62" s="1544">
        <f t="shared" si="40"/>
        <v>0</v>
      </c>
      <c r="T62" s="1544">
        <f t="shared" si="41"/>
        <v>0</v>
      </c>
      <c r="U62" s="1373">
        <f>'Table 5C1A-Madison Prep'!U62</f>
        <v>2865</v>
      </c>
      <c r="V62" s="1514">
        <f t="shared" si="53"/>
        <v>0</v>
      </c>
      <c r="W62" s="1375"/>
      <c r="X62" s="1376">
        <f t="shared" si="42"/>
        <v>0</v>
      </c>
      <c r="Y62" s="1375"/>
      <c r="Z62" s="1376">
        <f t="shared" si="30"/>
        <v>0</v>
      </c>
      <c r="AA62" s="1374">
        <f t="shared" si="43"/>
        <v>0</v>
      </c>
      <c r="AB62" s="1509">
        <f t="shared" si="44"/>
        <v>0</v>
      </c>
      <c r="AC62" s="1378">
        <f t="shared" si="45"/>
        <v>0</v>
      </c>
      <c r="AD62" s="1509">
        <f t="shared" si="46"/>
        <v>0</v>
      </c>
      <c r="AE62" s="1379">
        <v>0</v>
      </c>
      <c r="AF62" s="1509">
        <f t="shared" si="47"/>
        <v>0</v>
      </c>
      <c r="AG62" s="1379"/>
      <c r="AH62" s="1379">
        <f t="shared" si="48"/>
        <v>0</v>
      </c>
      <c r="AI62" s="1509">
        <f t="shared" si="49"/>
        <v>0</v>
      </c>
      <c r="AJ62" s="1530">
        <f t="shared" si="50"/>
        <v>0</v>
      </c>
      <c r="AK62" s="1534">
        <f t="shared" si="51"/>
        <v>0</v>
      </c>
    </row>
    <row r="63" spans="1:37" ht="16.2" customHeight="1">
      <c r="A63" s="1176">
        <v>57</v>
      </c>
      <c r="B63" s="1177" t="s">
        <v>136</v>
      </c>
      <c r="C63" s="1178">
        <f>+'Table 8 Membership 2.1.14'!U59</f>
        <v>0</v>
      </c>
      <c r="D63" s="1179">
        <f>+'Table 5C1A-Madison Prep'!D63</f>
        <v>4625.9922979230687</v>
      </c>
      <c r="E63" s="1180">
        <f t="shared" si="31"/>
        <v>0</v>
      </c>
      <c r="F63" s="1180">
        <f>+'Table 5C1A-Madison Prep'!F63</f>
        <v>764.51</v>
      </c>
      <c r="G63" s="1180">
        <f t="shared" si="32"/>
        <v>0</v>
      </c>
      <c r="H63" s="1539">
        <f t="shared" si="33"/>
        <v>0</v>
      </c>
      <c r="I63" s="1181"/>
      <c r="J63" s="1181"/>
      <c r="K63" s="1182">
        <f t="shared" si="34"/>
        <v>0</v>
      </c>
      <c r="L63" s="1539">
        <f t="shared" si="52"/>
        <v>0</v>
      </c>
      <c r="M63" s="1388">
        <f t="shared" si="36"/>
        <v>0</v>
      </c>
      <c r="N63" s="1539">
        <f t="shared" si="37"/>
        <v>0</v>
      </c>
      <c r="O63" s="1179">
        <v>0</v>
      </c>
      <c r="P63" s="1545">
        <f t="shared" si="38"/>
        <v>0</v>
      </c>
      <c r="Q63" s="1181"/>
      <c r="R63" s="1181">
        <f t="shared" si="39"/>
        <v>0</v>
      </c>
      <c r="S63" s="1545">
        <f t="shared" si="40"/>
        <v>0</v>
      </c>
      <c r="T63" s="1545">
        <f t="shared" si="41"/>
        <v>0</v>
      </c>
      <c r="U63" s="1389">
        <f>'Table 5C1A-Madison Prep'!U63</f>
        <v>3395</v>
      </c>
      <c r="V63" s="1515">
        <f t="shared" si="53"/>
        <v>0</v>
      </c>
      <c r="W63" s="1391"/>
      <c r="X63" s="1392">
        <f t="shared" si="42"/>
        <v>0</v>
      </c>
      <c r="Y63" s="1391"/>
      <c r="Z63" s="1392">
        <f t="shared" si="30"/>
        <v>0</v>
      </c>
      <c r="AA63" s="1390">
        <f t="shared" si="43"/>
        <v>0</v>
      </c>
      <c r="AB63" s="1510">
        <f t="shared" si="44"/>
        <v>0</v>
      </c>
      <c r="AC63" s="1394">
        <f t="shared" si="45"/>
        <v>0</v>
      </c>
      <c r="AD63" s="1510">
        <f t="shared" si="46"/>
        <v>0</v>
      </c>
      <c r="AE63" s="1395">
        <v>0</v>
      </c>
      <c r="AF63" s="1510">
        <f t="shared" si="47"/>
        <v>0</v>
      </c>
      <c r="AG63" s="1395"/>
      <c r="AH63" s="1395">
        <f t="shared" si="48"/>
        <v>0</v>
      </c>
      <c r="AI63" s="1510">
        <f t="shared" si="49"/>
        <v>0</v>
      </c>
      <c r="AJ63" s="1505">
        <f t="shared" si="50"/>
        <v>0</v>
      </c>
      <c r="AK63" s="1535">
        <f t="shared" si="51"/>
        <v>0</v>
      </c>
    </row>
    <row r="64" spans="1:37" ht="16.2" customHeight="1">
      <c r="A64" s="1176">
        <v>58</v>
      </c>
      <c r="B64" s="1177" t="s">
        <v>137</v>
      </c>
      <c r="C64" s="1178">
        <f>+'Table 8 Membership 2.1.14'!U60</f>
        <v>0</v>
      </c>
      <c r="D64" s="1179">
        <f>+'Table 5C1A-Madison Prep'!D64</f>
        <v>5673.1129637882123</v>
      </c>
      <c r="E64" s="1180">
        <f t="shared" si="31"/>
        <v>0</v>
      </c>
      <c r="F64" s="1180">
        <f>+'Table 5C1A-Madison Prep'!F64</f>
        <v>697.04</v>
      </c>
      <c r="G64" s="1180">
        <f t="shared" si="32"/>
        <v>0</v>
      </c>
      <c r="H64" s="1539">
        <f t="shared" si="33"/>
        <v>0</v>
      </c>
      <c r="I64" s="1181"/>
      <c r="J64" s="1181"/>
      <c r="K64" s="1182">
        <f t="shared" si="34"/>
        <v>0</v>
      </c>
      <c r="L64" s="1539">
        <f t="shared" si="52"/>
        <v>0</v>
      </c>
      <c r="M64" s="1388">
        <f t="shared" si="36"/>
        <v>0</v>
      </c>
      <c r="N64" s="1539">
        <f t="shared" si="37"/>
        <v>0</v>
      </c>
      <c r="O64" s="1179">
        <v>0</v>
      </c>
      <c r="P64" s="1545">
        <f t="shared" si="38"/>
        <v>0</v>
      </c>
      <c r="Q64" s="1181"/>
      <c r="R64" s="1181">
        <f t="shared" si="39"/>
        <v>0</v>
      </c>
      <c r="S64" s="1545">
        <f t="shared" si="40"/>
        <v>0</v>
      </c>
      <c r="T64" s="1545">
        <f t="shared" si="41"/>
        <v>0</v>
      </c>
      <c r="U64" s="1389">
        <f>'Table 5C1A-Madison Prep'!U64</f>
        <v>2084</v>
      </c>
      <c r="V64" s="1515">
        <f t="shared" si="53"/>
        <v>0</v>
      </c>
      <c r="W64" s="1391"/>
      <c r="X64" s="1392">
        <f t="shared" si="42"/>
        <v>0</v>
      </c>
      <c r="Y64" s="1391"/>
      <c r="Z64" s="1392">
        <f t="shared" si="30"/>
        <v>0</v>
      </c>
      <c r="AA64" s="1390">
        <f t="shared" si="43"/>
        <v>0</v>
      </c>
      <c r="AB64" s="1510">
        <f t="shared" si="44"/>
        <v>0</v>
      </c>
      <c r="AC64" s="1394">
        <f t="shared" si="45"/>
        <v>0</v>
      </c>
      <c r="AD64" s="1510">
        <f t="shared" si="46"/>
        <v>0</v>
      </c>
      <c r="AE64" s="1395">
        <v>0</v>
      </c>
      <c r="AF64" s="1510">
        <f t="shared" si="47"/>
        <v>0</v>
      </c>
      <c r="AG64" s="1395"/>
      <c r="AH64" s="1395">
        <f t="shared" si="48"/>
        <v>0</v>
      </c>
      <c r="AI64" s="1510">
        <f t="shared" si="49"/>
        <v>0</v>
      </c>
      <c r="AJ64" s="1505">
        <f t="shared" si="50"/>
        <v>0</v>
      </c>
      <c r="AK64" s="1535">
        <f t="shared" si="51"/>
        <v>0</v>
      </c>
    </row>
    <row r="65" spans="1:37" ht="16.2" customHeight="1">
      <c r="A65" s="1176">
        <v>59</v>
      </c>
      <c r="B65" s="1177" t="s">
        <v>138</v>
      </c>
      <c r="C65" s="1178">
        <f>+'Table 8 Membership 2.1.14'!U61</f>
        <v>12</v>
      </c>
      <c r="D65" s="1179">
        <f>+'Table 5C1A-Madison Prep'!D65</f>
        <v>6621.946293521848</v>
      </c>
      <c r="E65" s="1180">
        <f t="shared" si="31"/>
        <v>79463.35552226218</v>
      </c>
      <c r="F65" s="1180">
        <f>+'Table 5C1A-Madison Prep'!F65</f>
        <v>689.52</v>
      </c>
      <c r="G65" s="1180">
        <f t="shared" si="32"/>
        <v>8274.24</v>
      </c>
      <c r="H65" s="1539">
        <f t="shared" si="33"/>
        <v>87737.595522262185</v>
      </c>
      <c r="I65" s="1181"/>
      <c r="J65" s="1181"/>
      <c r="K65" s="1182">
        <f t="shared" si="34"/>
        <v>0</v>
      </c>
      <c r="L65" s="1539">
        <f t="shared" si="52"/>
        <v>87737.595522262185</v>
      </c>
      <c r="M65" s="1388">
        <f t="shared" si="36"/>
        <v>-219.34398880565547</v>
      </c>
      <c r="N65" s="1539">
        <f t="shared" si="37"/>
        <v>87518.251533456525</v>
      </c>
      <c r="O65" s="1179">
        <v>0</v>
      </c>
      <c r="P65" s="1545">
        <f t="shared" si="38"/>
        <v>87518.251533456525</v>
      </c>
      <c r="Q65" s="1181"/>
      <c r="R65" s="1181">
        <f t="shared" si="39"/>
        <v>87518.251533456525</v>
      </c>
      <c r="S65" s="1545">
        <f t="shared" si="40"/>
        <v>7293</v>
      </c>
      <c r="T65" s="1545">
        <f t="shared" si="41"/>
        <v>87518.251533456525</v>
      </c>
      <c r="U65" s="1389">
        <f>'Table 5C1A-Madison Prep'!U65</f>
        <v>1577</v>
      </c>
      <c r="V65" s="1515">
        <f t="shared" si="53"/>
        <v>18924</v>
      </c>
      <c r="W65" s="1391"/>
      <c r="X65" s="1392">
        <f t="shared" si="42"/>
        <v>0</v>
      </c>
      <c r="Y65" s="1391"/>
      <c r="Z65" s="1392">
        <f t="shared" si="30"/>
        <v>0</v>
      </c>
      <c r="AA65" s="1390">
        <f t="shared" si="43"/>
        <v>0</v>
      </c>
      <c r="AB65" s="1510">
        <f t="shared" si="44"/>
        <v>18924</v>
      </c>
      <c r="AC65" s="1394">
        <f t="shared" si="45"/>
        <v>-47.31</v>
      </c>
      <c r="AD65" s="1510">
        <f t="shared" si="46"/>
        <v>18876.689999999999</v>
      </c>
      <c r="AE65" s="1395">
        <v>0</v>
      </c>
      <c r="AF65" s="1510">
        <f t="shared" si="47"/>
        <v>18876.689999999999</v>
      </c>
      <c r="AG65" s="1395"/>
      <c r="AH65" s="1395">
        <f t="shared" si="48"/>
        <v>18876.689999999999</v>
      </c>
      <c r="AI65" s="1510">
        <f t="shared" si="49"/>
        <v>1573</v>
      </c>
      <c r="AJ65" s="1505">
        <f t="shared" si="50"/>
        <v>106394.94153345653</v>
      </c>
      <c r="AK65" s="1535">
        <f t="shared" si="51"/>
        <v>8866</v>
      </c>
    </row>
    <row r="66" spans="1:37" ht="16.2" customHeight="1">
      <c r="A66" s="1168">
        <v>60</v>
      </c>
      <c r="B66" s="1169" t="s">
        <v>139</v>
      </c>
      <c r="C66" s="1170">
        <f>+'Table 8 Membership 2.1.14'!U62</f>
        <v>0</v>
      </c>
      <c r="D66" s="1171">
        <f>+'Table 5C1A-Madison Prep'!D66</f>
        <v>5301.224090063828</v>
      </c>
      <c r="E66" s="1172">
        <f t="shared" si="31"/>
        <v>0</v>
      </c>
      <c r="F66" s="1172">
        <f>+'Table 5C1A-Madison Prep'!F66</f>
        <v>594.04</v>
      </c>
      <c r="G66" s="1172">
        <f t="shared" si="32"/>
        <v>0</v>
      </c>
      <c r="H66" s="1540">
        <f t="shared" si="33"/>
        <v>0</v>
      </c>
      <c r="I66" s="1173"/>
      <c r="J66" s="1173"/>
      <c r="K66" s="1174">
        <f t="shared" si="34"/>
        <v>0</v>
      </c>
      <c r="L66" s="1540">
        <f t="shared" si="52"/>
        <v>0</v>
      </c>
      <c r="M66" s="1399">
        <f t="shared" si="36"/>
        <v>0</v>
      </c>
      <c r="N66" s="1540">
        <f t="shared" si="37"/>
        <v>0</v>
      </c>
      <c r="O66" s="1171">
        <v>0</v>
      </c>
      <c r="P66" s="1546">
        <f t="shared" si="38"/>
        <v>0</v>
      </c>
      <c r="Q66" s="1175"/>
      <c r="R66" s="1173">
        <f t="shared" si="39"/>
        <v>0</v>
      </c>
      <c r="S66" s="1550">
        <f t="shared" si="40"/>
        <v>0</v>
      </c>
      <c r="T66" s="1550">
        <f t="shared" si="41"/>
        <v>0</v>
      </c>
      <c r="U66" s="1382">
        <f>'Table 5C1A-Madison Prep'!U66</f>
        <v>3922</v>
      </c>
      <c r="V66" s="1516">
        <f t="shared" si="53"/>
        <v>0</v>
      </c>
      <c r="W66" s="1400"/>
      <c r="X66" s="1383">
        <f t="shared" si="42"/>
        <v>0</v>
      </c>
      <c r="Y66" s="1400"/>
      <c r="Z66" s="1383">
        <f t="shared" si="30"/>
        <v>0</v>
      </c>
      <c r="AA66" s="1384">
        <f t="shared" si="43"/>
        <v>0</v>
      </c>
      <c r="AB66" s="1511">
        <f t="shared" si="44"/>
        <v>0</v>
      </c>
      <c r="AC66" s="1402">
        <f t="shared" si="45"/>
        <v>0</v>
      </c>
      <c r="AD66" s="1511">
        <f t="shared" si="46"/>
        <v>0</v>
      </c>
      <c r="AE66" s="1385">
        <v>0</v>
      </c>
      <c r="AF66" s="1511">
        <f t="shared" si="47"/>
        <v>0</v>
      </c>
      <c r="AG66" s="1385"/>
      <c r="AH66" s="1385">
        <f t="shared" si="48"/>
        <v>0</v>
      </c>
      <c r="AI66" s="1511">
        <f t="shared" si="49"/>
        <v>0</v>
      </c>
      <c r="AJ66" s="1531">
        <f t="shared" si="50"/>
        <v>0</v>
      </c>
      <c r="AK66" s="1536">
        <f t="shared" si="51"/>
        <v>0</v>
      </c>
    </row>
    <row r="67" spans="1:37" ht="16.2" customHeight="1">
      <c r="A67" s="1183">
        <v>61</v>
      </c>
      <c r="B67" s="1184" t="s">
        <v>140</v>
      </c>
      <c r="C67" s="1185">
        <f>+'Table 8 Membership 2.1.14'!U63</f>
        <v>0</v>
      </c>
      <c r="D67" s="1186">
        <f>+'Table 5C1A-Madison Prep'!D67</f>
        <v>2854.1575356369185</v>
      </c>
      <c r="E67" s="1187">
        <f t="shared" si="31"/>
        <v>0</v>
      </c>
      <c r="F67" s="1187">
        <f>+'Table 5C1A-Madison Prep'!F67</f>
        <v>833.70999999999992</v>
      </c>
      <c r="G67" s="1187">
        <f t="shared" si="32"/>
        <v>0</v>
      </c>
      <c r="H67" s="1538">
        <f t="shared" si="33"/>
        <v>0</v>
      </c>
      <c r="I67" s="1188"/>
      <c r="J67" s="1188"/>
      <c r="K67" s="1189">
        <f t="shared" si="34"/>
        <v>0</v>
      </c>
      <c r="L67" s="1538">
        <f t="shared" si="52"/>
        <v>0</v>
      </c>
      <c r="M67" s="1372">
        <f t="shared" si="36"/>
        <v>0</v>
      </c>
      <c r="N67" s="1538">
        <f t="shared" si="37"/>
        <v>0</v>
      </c>
      <c r="O67" s="1186">
        <v>0</v>
      </c>
      <c r="P67" s="1544">
        <f t="shared" si="38"/>
        <v>0</v>
      </c>
      <c r="Q67" s="1188"/>
      <c r="R67" s="1188">
        <f t="shared" si="39"/>
        <v>0</v>
      </c>
      <c r="S67" s="1544">
        <f t="shared" si="40"/>
        <v>0</v>
      </c>
      <c r="T67" s="1544">
        <f t="shared" si="41"/>
        <v>0</v>
      </c>
      <c r="U67" s="1373">
        <f>'Table 5C1A-Madison Prep'!U67</f>
        <v>6745</v>
      </c>
      <c r="V67" s="1514">
        <f t="shared" si="53"/>
        <v>0</v>
      </c>
      <c r="W67" s="1375"/>
      <c r="X67" s="1376">
        <f t="shared" si="42"/>
        <v>0</v>
      </c>
      <c r="Y67" s="1375"/>
      <c r="Z67" s="1376">
        <f t="shared" si="30"/>
        <v>0</v>
      </c>
      <c r="AA67" s="1374">
        <f t="shared" si="43"/>
        <v>0</v>
      </c>
      <c r="AB67" s="1509">
        <f t="shared" si="44"/>
        <v>0</v>
      </c>
      <c r="AC67" s="1378">
        <f t="shared" si="45"/>
        <v>0</v>
      </c>
      <c r="AD67" s="1509">
        <f t="shared" si="46"/>
        <v>0</v>
      </c>
      <c r="AE67" s="1379">
        <v>0</v>
      </c>
      <c r="AF67" s="1509">
        <f t="shared" si="47"/>
        <v>0</v>
      </c>
      <c r="AG67" s="1379"/>
      <c r="AH67" s="1379">
        <f t="shared" si="48"/>
        <v>0</v>
      </c>
      <c r="AI67" s="1509">
        <f t="shared" si="49"/>
        <v>0</v>
      </c>
      <c r="AJ67" s="1530">
        <f t="shared" si="50"/>
        <v>0</v>
      </c>
      <c r="AK67" s="1534">
        <f t="shared" si="51"/>
        <v>0</v>
      </c>
    </row>
    <row r="68" spans="1:37" ht="16.2" customHeight="1">
      <c r="A68" s="1176">
        <v>62</v>
      </c>
      <c r="B68" s="1177" t="s">
        <v>141</v>
      </c>
      <c r="C68" s="1178">
        <f>+'Table 8 Membership 2.1.14'!U64</f>
        <v>0</v>
      </c>
      <c r="D68" s="1179">
        <f>+'Table 5C1A-Madison Prep'!D68</f>
        <v>5901.074538516008</v>
      </c>
      <c r="E68" s="1180">
        <f t="shared" si="31"/>
        <v>0</v>
      </c>
      <c r="F68" s="1180">
        <f>+'Table 5C1A-Madison Prep'!F68</f>
        <v>516.08000000000004</v>
      </c>
      <c r="G68" s="1180">
        <f t="shared" si="32"/>
        <v>0</v>
      </c>
      <c r="H68" s="1539">
        <f t="shared" si="33"/>
        <v>0</v>
      </c>
      <c r="I68" s="1181"/>
      <c r="J68" s="1181"/>
      <c r="K68" s="1182">
        <f t="shared" si="34"/>
        <v>0</v>
      </c>
      <c r="L68" s="1539">
        <f t="shared" si="52"/>
        <v>0</v>
      </c>
      <c r="M68" s="1388">
        <f t="shared" si="36"/>
        <v>0</v>
      </c>
      <c r="N68" s="1539">
        <f t="shared" si="37"/>
        <v>0</v>
      </c>
      <c r="O68" s="1179">
        <v>0</v>
      </c>
      <c r="P68" s="1545">
        <f t="shared" si="38"/>
        <v>0</v>
      </c>
      <c r="Q68" s="1181"/>
      <c r="R68" s="1181">
        <f t="shared" si="39"/>
        <v>0</v>
      </c>
      <c r="S68" s="1545">
        <f t="shared" si="40"/>
        <v>0</v>
      </c>
      <c r="T68" s="1545">
        <f t="shared" si="41"/>
        <v>0</v>
      </c>
      <c r="U68" s="1389">
        <f>'Table 5C1A-Madison Prep'!U68</f>
        <v>1908</v>
      </c>
      <c r="V68" s="1515">
        <f t="shared" si="53"/>
        <v>0</v>
      </c>
      <c r="W68" s="1391"/>
      <c r="X68" s="1392">
        <f t="shared" si="42"/>
        <v>0</v>
      </c>
      <c r="Y68" s="1391"/>
      <c r="Z68" s="1392">
        <f t="shared" si="30"/>
        <v>0</v>
      </c>
      <c r="AA68" s="1390">
        <f t="shared" si="43"/>
        <v>0</v>
      </c>
      <c r="AB68" s="1510">
        <f t="shared" si="44"/>
        <v>0</v>
      </c>
      <c r="AC68" s="1394">
        <f t="shared" si="45"/>
        <v>0</v>
      </c>
      <c r="AD68" s="1510">
        <f t="shared" si="46"/>
        <v>0</v>
      </c>
      <c r="AE68" s="1395">
        <v>0</v>
      </c>
      <c r="AF68" s="1510">
        <f t="shared" si="47"/>
        <v>0</v>
      </c>
      <c r="AG68" s="1395"/>
      <c r="AH68" s="1395">
        <f t="shared" si="48"/>
        <v>0</v>
      </c>
      <c r="AI68" s="1510">
        <f t="shared" si="49"/>
        <v>0</v>
      </c>
      <c r="AJ68" s="1505">
        <f t="shared" si="50"/>
        <v>0</v>
      </c>
      <c r="AK68" s="1535">
        <f t="shared" si="51"/>
        <v>0</v>
      </c>
    </row>
    <row r="69" spans="1:37" ht="16.2" customHeight="1">
      <c r="A69" s="1176">
        <v>63</v>
      </c>
      <c r="B69" s="1177" t="s">
        <v>142</v>
      </c>
      <c r="C69" s="1178">
        <f>+'Table 8 Membership 2.1.14'!U65</f>
        <v>0</v>
      </c>
      <c r="D69" s="1179">
        <f>+'Table 5C1A-Madison Prep'!D69</f>
        <v>4124.3813481848092</v>
      </c>
      <c r="E69" s="1180">
        <f t="shared" si="31"/>
        <v>0</v>
      </c>
      <c r="F69" s="1180">
        <f>+'Table 5C1A-Madison Prep'!F69</f>
        <v>756.79</v>
      </c>
      <c r="G69" s="1180">
        <f t="shared" si="32"/>
        <v>0</v>
      </c>
      <c r="H69" s="1539">
        <f t="shared" si="33"/>
        <v>0</v>
      </c>
      <c r="I69" s="1181"/>
      <c r="J69" s="1181"/>
      <c r="K69" s="1182">
        <f t="shared" si="34"/>
        <v>0</v>
      </c>
      <c r="L69" s="1539">
        <f t="shared" si="52"/>
        <v>0</v>
      </c>
      <c r="M69" s="1388">
        <f t="shared" si="36"/>
        <v>0</v>
      </c>
      <c r="N69" s="1539">
        <f t="shared" si="37"/>
        <v>0</v>
      </c>
      <c r="O69" s="1179">
        <v>0</v>
      </c>
      <c r="P69" s="1545">
        <f t="shared" si="38"/>
        <v>0</v>
      </c>
      <c r="Q69" s="1181"/>
      <c r="R69" s="1181">
        <f t="shared" si="39"/>
        <v>0</v>
      </c>
      <c r="S69" s="1545">
        <f t="shared" si="40"/>
        <v>0</v>
      </c>
      <c r="T69" s="1545">
        <f t="shared" si="41"/>
        <v>0</v>
      </c>
      <c r="U69" s="1389">
        <f>'Table 5C1A-Madison Prep'!U69</f>
        <v>7290</v>
      </c>
      <c r="V69" s="1515">
        <f t="shared" si="53"/>
        <v>0</v>
      </c>
      <c r="W69" s="1391"/>
      <c r="X69" s="1392">
        <f t="shared" si="42"/>
        <v>0</v>
      </c>
      <c r="Y69" s="1391"/>
      <c r="Z69" s="1392">
        <f t="shared" si="30"/>
        <v>0</v>
      </c>
      <c r="AA69" s="1390">
        <f t="shared" si="43"/>
        <v>0</v>
      </c>
      <c r="AB69" s="1510">
        <f t="shared" si="44"/>
        <v>0</v>
      </c>
      <c r="AC69" s="1394">
        <f t="shared" si="45"/>
        <v>0</v>
      </c>
      <c r="AD69" s="1510">
        <f t="shared" si="46"/>
        <v>0</v>
      </c>
      <c r="AE69" s="1395">
        <v>0</v>
      </c>
      <c r="AF69" s="1510">
        <f t="shared" si="47"/>
        <v>0</v>
      </c>
      <c r="AG69" s="1395"/>
      <c r="AH69" s="1395">
        <f t="shared" si="48"/>
        <v>0</v>
      </c>
      <c r="AI69" s="1510">
        <f t="shared" si="49"/>
        <v>0</v>
      </c>
      <c r="AJ69" s="1505">
        <f t="shared" si="50"/>
        <v>0</v>
      </c>
      <c r="AK69" s="1535">
        <f t="shared" si="51"/>
        <v>0</v>
      </c>
    </row>
    <row r="70" spans="1:37" ht="16.2" customHeight="1">
      <c r="A70" s="1176">
        <v>64</v>
      </c>
      <c r="B70" s="1177" t="s">
        <v>143</v>
      </c>
      <c r="C70" s="1178">
        <f>+'Table 8 Membership 2.1.14'!U66</f>
        <v>0</v>
      </c>
      <c r="D70" s="1179">
        <f>+'Table 5C1A-Madison Prep'!D70</f>
        <v>6277.8307532778254</v>
      </c>
      <c r="E70" s="1180">
        <f t="shared" si="31"/>
        <v>0</v>
      </c>
      <c r="F70" s="1180">
        <f>+'Table 5C1A-Madison Prep'!F70</f>
        <v>592.66</v>
      </c>
      <c r="G70" s="1180">
        <f t="shared" si="32"/>
        <v>0</v>
      </c>
      <c r="H70" s="1539">
        <f t="shared" si="33"/>
        <v>0</v>
      </c>
      <c r="I70" s="1181"/>
      <c r="J70" s="1181"/>
      <c r="K70" s="1182">
        <f t="shared" si="34"/>
        <v>0</v>
      </c>
      <c r="L70" s="1539">
        <f t="shared" si="52"/>
        <v>0</v>
      </c>
      <c r="M70" s="1388">
        <f t="shared" si="36"/>
        <v>0</v>
      </c>
      <c r="N70" s="1539">
        <f t="shared" si="37"/>
        <v>0</v>
      </c>
      <c r="O70" s="1179">
        <v>0</v>
      </c>
      <c r="P70" s="1545">
        <f t="shared" si="38"/>
        <v>0</v>
      </c>
      <c r="Q70" s="1181"/>
      <c r="R70" s="1181">
        <f t="shared" si="39"/>
        <v>0</v>
      </c>
      <c r="S70" s="1545">
        <f t="shared" si="40"/>
        <v>0</v>
      </c>
      <c r="T70" s="1545">
        <f t="shared" si="41"/>
        <v>0</v>
      </c>
      <c r="U70" s="1389">
        <f>'Table 5C1A-Madison Prep'!U70</f>
        <v>2721</v>
      </c>
      <c r="V70" s="1515">
        <f t="shared" si="53"/>
        <v>0</v>
      </c>
      <c r="W70" s="1391"/>
      <c r="X70" s="1392">
        <f t="shared" si="42"/>
        <v>0</v>
      </c>
      <c r="Y70" s="1391"/>
      <c r="Z70" s="1392">
        <f t="shared" si="30"/>
        <v>0</v>
      </c>
      <c r="AA70" s="1390">
        <f t="shared" si="43"/>
        <v>0</v>
      </c>
      <c r="AB70" s="1510">
        <f t="shared" si="44"/>
        <v>0</v>
      </c>
      <c r="AC70" s="1394">
        <f t="shared" si="45"/>
        <v>0</v>
      </c>
      <c r="AD70" s="1510">
        <f t="shared" si="46"/>
        <v>0</v>
      </c>
      <c r="AE70" s="1395">
        <v>0</v>
      </c>
      <c r="AF70" s="1510">
        <f t="shared" si="47"/>
        <v>0</v>
      </c>
      <c r="AG70" s="1395"/>
      <c r="AH70" s="1395">
        <f t="shared" si="48"/>
        <v>0</v>
      </c>
      <c r="AI70" s="1510">
        <f t="shared" si="49"/>
        <v>0</v>
      </c>
      <c r="AJ70" s="1505">
        <f t="shared" si="50"/>
        <v>0</v>
      </c>
      <c r="AK70" s="1535">
        <f t="shared" si="51"/>
        <v>0</v>
      </c>
    </row>
    <row r="71" spans="1:37" ht="16.2" customHeight="1">
      <c r="A71" s="1168">
        <v>65</v>
      </c>
      <c r="B71" s="1169" t="s">
        <v>144</v>
      </c>
      <c r="C71" s="1170">
        <f>+'Table 8 Membership 2.1.14'!U67</f>
        <v>0</v>
      </c>
      <c r="D71" s="1171">
        <f>+'Table 5C1A-Madison Prep'!D71</f>
        <v>4775.1605543943642</v>
      </c>
      <c r="E71" s="1172">
        <f t="shared" si="31"/>
        <v>0</v>
      </c>
      <c r="F71" s="1172">
        <f>+'Table 5C1A-Madison Prep'!F71</f>
        <v>829.12</v>
      </c>
      <c r="G71" s="1172">
        <f t="shared" si="32"/>
        <v>0</v>
      </c>
      <c r="H71" s="1540">
        <f t="shared" si="33"/>
        <v>0</v>
      </c>
      <c r="I71" s="1173"/>
      <c r="J71" s="1173"/>
      <c r="K71" s="1174">
        <f t="shared" si="34"/>
        <v>0</v>
      </c>
      <c r="L71" s="1540">
        <f t="shared" ref="L71:L75" si="54">H71+K71</f>
        <v>0</v>
      </c>
      <c r="M71" s="1399">
        <f t="shared" si="36"/>
        <v>0</v>
      </c>
      <c r="N71" s="1540">
        <f t="shared" si="37"/>
        <v>0</v>
      </c>
      <c r="O71" s="1171">
        <v>0</v>
      </c>
      <c r="P71" s="1546">
        <f t="shared" si="38"/>
        <v>0</v>
      </c>
      <c r="Q71" s="1175"/>
      <c r="R71" s="1173">
        <f t="shared" si="39"/>
        <v>0</v>
      </c>
      <c r="S71" s="1550">
        <f t="shared" si="40"/>
        <v>0</v>
      </c>
      <c r="T71" s="1550">
        <f t="shared" si="41"/>
        <v>0</v>
      </c>
      <c r="U71" s="1382">
        <f>'Table 5C1A-Madison Prep'!U71</f>
        <v>5110</v>
      </c>
      <c r="V71" s="1516">
        <f t="shared" ref="V71:V75" si="55">C71*U71</f>
        <v>0</v>
      </c>
      <c r="W71" s="1400"/>
      <c r="X71" s="1383">
        <f t="shared" si="42"/>
        <v>0</v>
      </c>
      <c r="Y71" s="1400"/>
      <c r="Z71" s="1383">
        <f t="shared" ref="Z71:Z74" si="56">+U71*Y71*0.5</f>
        <v>0</v>
      </c>
      <c r="AA71" s="1384">
        <f t="shared" si="43"/>
        <v>0</v>
      </c>
      <c r="AB71" s="1511">
        <f t="shared" si="44"/>
        <v>0</v>
      </c>
      <c r="AC71" s="1402">
        <f t="shared" si="45"/>
        <v>0</v>
      </c>
      <c r="AD71" s="1511">
        <f t="shared" si="46"/>
        <v>0</v>
      </c>
      <c r="AE71" s="1385">
        <v>0</v>
      </c>
      <c r="AF71" s="1511">
        <f t="shared" si="47"/>
        <v>0</v>
      </c>
      <c r="AG71" s="1385"/>
      <c r="AH71" s="1385">
        <f t="shared" si="48"/>
        <v>0</v>
      </c>
      <c r="AI71" s="1511">
        <f t="shared" si="49"/>
        <v>0</v>
      </c>
      <c r="AJ71" s="1531">
        <f t="shared" si="50"/>
        <v>0</v>
      </c>
      <c r="AK71" s="1536">
        <f t="shared" si="51"/>
        <v>0</v>
      </c>
    </row>
    <row r="72" spans="1:37" ht="16.2" customHeight="1">
      <c r="A72" s="1176">
        <v>66</v>
      </c>
      <c r="B72" s="1177" t="s">
        <v>145</v>
      </c>
      <c r="C72" s="1197">
        <f>+'Table 8 Membership 2.1.14'!U68</f>
        <v>158</v>
      </c>
      <c r="D72" s="1198">
        <f>+'Table 5C1A-Madison Prep'!D72</f>
        <v>6564.0085433910035</v>
      </c>
      <c r="E72" s="1199">
        <f t="shared" ref="E72:E75" si="57">C72*D72</f>
        <v>1037113.3498557785</v>
      </c>
      <c r="F72" s="1199">
        <f>+'Table 5C1A-Madison Prep'!F72</f>
        <v>730.06</v>
      </c>
      <c r="G72" s="1199">
        <f t="shared" ref="G72:G75" si="58">C72*F72</f>
        <v>115349.48</v>
      </c>
      <c r="H72" s="1403">
        <f t="shared" ref="H72:H75" si="59">E72+G72</f>
        <v>1152462.8298557785</v>
      </c>
      <c r="I72" s="1200"/>
      <c r="J72" s="1200"/>
      <c r="K72" s="1201">
        <f t="shared" ref="K72:K75" si="60">+I72+J72</f>
        <v>0</v>
      </c>
      <c r="L72" s="1403">
        <f t="shared" si="54"/>
        <v>1152462.8298557785</v>
      </c>
      <c r="M72" s="1423">
        <f t="shared" ref="M72:M75" si="61">-(0.25%*L72)</f>
        <v>-2881.1570746394464</v>
      </c>
      <c r="N72" s="1403">
        <f t="shared" ref="N72:N75" si="62">SUM(L72:M72)</f>
        <v>1149581.6727811391</v>
      </c>
      <c r="O72" s="1198">
        <v>0</v>
      </c>
      <c r="P72" s="1398">
        <f t="shared" ref="P72:P75" si="63">SUM(N72:O72)</f>
        <v>1149581.6727811391</v>
      </c>
      <c r="Q72" s="1181"/>
      <c r="R72" s="1200">
        <f t="shared" ref="R72:R75" si="64">P72-Q72</f>
        <v>1149581.6727811391</v>
      </c>
      <c r="S72" s="1545">
        <f t="shared" ref="S72:S75" si="65">ROUND(R72/12,0)</f>
        <v>95798</v>
      </c>
      <c r="T72" s="1545">
        <f t="shared" ref="T72:T75" si="66">+P72</f>
        <v>1149581.6727811391</v>
      </c>
      <c r="U72" s="1389">
        <f>'Table 5C1A-Madison Prep'!U72</f>
        <v>3369</v>
      </c>
      <c r="V72" s="1515">
        <f t="shared" si="55"/>
        <v>532302</v>
      </c>
      <c r="W72" s="1391"/>
      <c r="X72" s="1392">
        <f t="shared" ref="X72:X75" si="67">W72*U72</f>
        <v>0</v>
      </c>
      <c r="Y72" s="1391"/>
      <c r="Z72" s="1392">
        <f t="shared" si="56"/>
        <v>0</v>
      </c>
      <c r="AA72" s="1390">
        <f t="shared" ref="AA72:AA75" si="68">+X72+Z72</f>
        <v>0</v>
      </c>
      <c r="AB72" s="1510">
        <f t="shared" ref="AB72:AB75" si="69">AA72+V72</f>
        <v>532302</v>
      </c>
      <c r="AC72" s="1394">
        <f t="shared" ref="AC72:AC75" si="70">-(0.25%*AB72)</f>
        <v>-1330.7550000000001</v>
      </c>
      <c r="AD72" s="1510">
        <f t="shared" ref="AD72:AD75" si="71">SUM(AB72:AC72)</f>
        <v>530971.245</v>
      </c>
      <c r="AE72" s="1395">
        <v>0</v>
      </c>
      <c r="AF72" s="1510">
        <f t="shared" ref="AF72:AF75" si="72">SUM(AD72:AE72)</f>
        <v>530971.245</v>
      </c>
      <c r="AG72" s="1395"/>
      <c r="AH72" s="1395">
        <f t="shared" ref="AH72:AH75" si="73">AF72-AG72</f>
        <v>530971.245</v>
      </c>
      <c r="AI72" s="1510">
        <f t="shared" ref="AI72:AI75" si="74">ROUND(AH72/12,0)</f>
        <v>44248</v>
      </c>
      <c r="AJ72" s="1505">
        <f t="shared" ref="AJ72:AJ75" si="75">T72+AF72</f>
        <v>1680552.9177811393</v>
      </c>
      <c r="AK72" s="1505">
        <f t="shared" ref="AK72:AK75" si="76">S72+AI72</f>
        <v>140046</v>
      </c>
    </row>
    <row r="73" spans="1:37" ht="16.2" customHeight="1">
      <c r="A73" s="1176">
        <v>67</v>
      </c>
      <c r="B73" s="1177" t="s">
        <v>30</v>
      </c>
      <c r="C73" s="1197">
        <f>+'Table 8 Membership 2.1.14'!U69</f>
        <v>0</v>
      </c>
      <c r="D73" s="1198">
        <f>+'Table 5C1A-Madison Prep'!D73</f>
        <v>5029.1467736134118</v>
      </c>
      <c r="E73" s="1199">
        <f t="shared" si="57"/>
        <v>0</v>
      </c>
      <c r="F73" s="1199">
        <f>+'Table 5C1A-Madison Prep'!F73</f>
        <v>715.61</v>
      </c>
      <c r="G73" s="1199">
        <f t="shared" si="58"/>
        <v>0</v>
      </c>
      <c r="H73" s="1403">
        <f t="shared" si="59"/>
        <v>0</v>
      </c>
      <c r="I73" s="1200"/>
      <c r="J73" s="1200"/>
      <c r="K73" s="1201">
        <f t="shared" si="60"/>
        <v>0</v>
      </c>
      <c r="L73" s="1403">
        <f t="shared" si="54"/>
        <v>0</v>
      </c>
      <c r="M73" s="1423">
        <f t="shared" si="61"/>
        <v>0</v>
      </c>
      <c r="N73" s="1403">
        <f t="shared" si="62"/>
        <v>0</v>
      </c>
      <c r="O73" s="1198">
        <v>0</v>
      </c>
      <c r="P73" s="1398">
        <f t="shared" si="63"/>
        <v>0</v>
      </c>
      <c r="Q73" s="1181"/>
      <c r="R73" s="1200">
        <f t="shared" si="64"/>
        <v>0</v>
      </c>
      <c r="S73" s="1545">
        <f t="shared" si="65"/>
        <v>0</v>
      </c>
      <c r="T73" s="1545">
        <f t="shared" si="66"/>
        <v>0</v>
      </c>
      <c r="U73" s="1389">
        <f>'Table 5C1A-Madison Prep'!U73</f>
        <v>5015</v>
      </c>
      <c r="V73" s="1515">
        <f t="shared" si="55"/>
        <v>0</v>
      </c>
      <c r="W73" s="1391"/>
      <c r="X73" s="1392">
        <f t="shared" si="67"/>
        <v>0</v>
      </c>
      <c r="Y73" s="1391"/>
      <c r="Z73" s="1392">
        <f t="shared" si="56"/>
        <v>0</v>
      </c>
      <c r="AA73" s="1390">
        <f t="shared" si="68"/>
        <v>0</v>
      </c>
      <c r="AB73" s="1510">
        <f t="shared" si="69"/>
        <v>0</v>
      </c>
      <c r="AC73" s="1394">
        <f t="shared" si="70"/>
        <v>0</v>
      </c>
      <c r="AD73" s="1510">
        <f t="shared" si="71"/>
        <v>0</v>
      </c>
      <c r="AE73" s="1395">
        <v>0</v>
      </c>
      <c r="AF73" s="1510">
        <f t="shared" si="72"/>
        <v>0</v>
      </c>
      <c r="AG73" s="1395"/>
      <c r="AH73" s="1395">
        <f t="shared" si="73"/>
        <v>0</v>
      </c>
      <c r="AI73" s="1510">
        <f t="shared" si="74"/>
        <v>0</v>
      </c>
      <c r="AJ73" s="1505">
        <f t="shared" si="75"/>
        <v>0</v>
      </c>
      <c r="AK73" s="1505">
        <f t="shared" si="76"/>
        <v>0</v>
      </c>
    </row>
    <row r="74" spans="1:37" ht="16.2" customHeight="1">
      <c r="A74" s="1176">
        <v>68</v>
      </c>
      <c r="B74" s="1177" t="s">
        <v>28</v>
      </c>
      <c r="C74" s="1197">
        <f>+'Table 8 Membership 2.1.14'!U70</f>
        <v>0</v>
      </c>
      <c r="D74" s="1198">
        <f>+'Table 5C1A-Madison Prep'!D74</f>
        <v>6390.1644202560601</v>
      </c>
      <c r="E74" s="1199">
        <f t="shared" si="57"/>
        <v>0</v>
      </c>
      <c r="F74" s="1199">
        <f>+'Table 5C1A-Madison Prep'!F74</f>
        <v>798.7</v>
      </c>
      <c r="G74" s="1199">
        <f t="shared" si="58"/>
        <v>0</v>
      </c>
      <c r="H74" s="1403">
        <f t="shared" si="59"/>
        <v>0</v>
      </c>
      <c r="I74" s="1200"/>
      <c r="J74" s="1200"/>
      <c r="K74" s="1201">
        <f t="shared" si="60"/>
        <v>0</v>
      </c>
      <c r="L74" s="1403">
        <f t="shared" si="54"/>
        <v>0</v>
      </c>
      <c r="M74" s="1423">
        <f t="shared" si="61"/>
        <v>0</v>
      </c>
      <c r="N74" s="1403">
        <f t="shared" si="62"/>
        <v>0</v>
      </c>
      <c r="O74" s="1198">
        <v>0</v>
      </c>
      <c r="P74" s="1398">
        <f t="shared" si="63"/>
        <v>0</v>
      </c>
      <c r="Q74" s="1181"/>
      <c r="R74" s="1200">
        <f t="shared" si="64"/>
        <v>0</v>
      </c>
      <c r="S74" s="1545">
        <f t="shared" si="65"/>
        <v>0</v>
      </c>
      <c r="T74" s="1545">
        <f t="shared" si="66"/>
        <v>0</v>
      </c>
      <c r="U74" s="1389">
        <f>'Table 5C1A-Madison Prep'!U74</f>
        <v>2669</v>
      </c>
      <c r="V74" s="1515">
        <f t="shared" si="55"/>
        <v>0</v>
      </c>
      <c r="W74" s="1391"/>
      <c r="X74" s="1392">
        <f t="shared" si="67"/>
        <v>0</v>
      </c>
      <c r="Y74" s="1391"/>
      <c r="Z74" s="1392">
        <f t="shared" si="56"/>
        <v>0</v>
      </c>
      <c r="AA74" s="1390">
        <f t="shared" si="68"/>
        <v>0</v>
      </c>
      <c r="AB74" s="1510">
        <f t="shared" si="69"/>
        <v>0</v>
      </c>
      <c r="AC74" s="1394">
        <f t="shared" si="70"/>
        <v>0</v>
      </c>
      <c r="AD74" s="1510">
        <f t="shared" si="71"/>
        <v>0</v>
      </c>
      <c r="AE74" s="1395">
        <v>0</v>
      </c>
      <c r="AF74" s="1510">
        <f t="shared" si="72"/>
        <v>0</v>
      </c>
      <c r="AG74" s="1395"/>
      <c r="AH74" s="1395">
        <f t="shared" si="73"/>
        <v>0</v>
      </c>
      <c r="AI74" s="1510">
        <f t="shared" si="74"/>
        <v>0</v>
      </c>
      <c r="AJ74" s="1505">
        <f t="shared" si="75"/>
        <v>0</v>
      </c>
      <c r="AK74" s="1505">
        <f t="shared" si="76"/>
        <v>0</v>
      </c>
    </row>
    <row r="75" spans="1:37" ht="16.2" customHeight="1">
      <c r="A75" s="1190">
        <v>69</v>
      </c>
      <c r="B75" s="1191" t="s">
        <v>183</v>
      </c>
      <c r="C75" s="1192">
        <f>+'Table 8 Membership 2.1.14'!U71</f>
        <v>0</v>
      </c>
      <c r="D75" s="1193">
        <f>+'Table 5C1A-Madison Prep'!D75</f>
        <v>5722.4947921281337</v>
      </c>
      <c r="E75" s="1194">
        <f t="shared" si="57"/>
        <v>0</v>
      </c>
      <c r="F75" s="1194">
        <f>+'Table 5C1A-Madison Prep'!F75</f>
        <v>705.67</v>
      </c>
      <c r="G75" s="1194">
        <f t="shared" si="58"/>
        <v>0</v>
      </c>
      <c r="H75" s="1541">
        <f t="shared" si="59"/>
        <v>0</v>
      </c>
      <c r="I75" s="1195"/>
      <c r="J75" s="1195"/>
      <c r="K75" s="1196">
        <f t="shared" si="60"/>
        <v>0</v>
      </c>
      <c r="L75" s="1541">
        <f t="shared" si="54"/>
        <v>0</v>
      </c>
      <c r="M75" s="1405">
        <f t="shared" si="61"/>
        <v>0</v>
      </c>
      <c r="N75" s="1541">
        <f t="shared" si="62"/>
        <v>0</v>
      </c>
      <c r="O75" s="1193">
        <v>0</v>
      </c>
      <c r="P75" s="1547">
        <f t="shared" si="63"/>
        <v>0</v>
      </c>
      <c r="Q75" s="634"/>
      <c r="R75" s="1195">
        <f t="shared" si="64"/>
        <v>0</v>
      </c>
      <c r="S75" s="1551">
        <f t="shared" si="65"/>
        <v>0</v>
      </c>
      <c r="T75" s="1551">
        <f t="shared" si="66"/>
        <v>0</v>
      </c>
      <c r="U75" s="653">
        <f>'Table 5C1A-Madison Prep'!U75</f>
        <v>3394</v>
      </c>
      <c r="V75" s="1517">
        <f t="shared" si="55"/>
        <v>0</v>
      </c>
      <c r="W75" s="1407"/>
      <c r="X75" s="1408">
        <f t="shared" si="67"/>
        <v>0</v>
      </c>
      <c r="Y75" s="1407"/>
      <c r="Z75" s="1408">
        <f>+U75*Y75*0.5</f>
        <v>0</v>
      </c>
      <c r="AA75" s="1406">
        <f t="shared" si="68"/>
        <v>0</v>
      </c>
      <c r="AB75" s="1512">
        <f t="shared" si="69"/>
        <v>0</v>
      </c>
      <c r="AC75" s="1410">
        <f t="shared" si="70"/>
        <v>0</v>
      </c>
      <c r="AD75" s="1512">
        <f t="shared" si="71"/>
        <v>0</v>
      </c>
      <c r="AE75" s="1416">
        <v>0</v>
      </c>
      <c r="AF75" s="1512">
        <f t="shared" si="72"/>
        <v>0</v>
      </c>
      <c r="AG75" s="661"/>
      <c r="AH75" s="1416">
        <f t="shared" si="73"/>
        <v>0</v>
      </c>
      <c r="AI75" s="1529">
        <f t="shared" si="74"/>
        <v>0</v>
      </c>
      <c r="AJ75" s="1506">
        <f t="shared" si="75"/>
        <v>0</v>
      </c>
      <c r="AK75" s="1506">
        <f t="shared" si="76"/>
        <v>0</v>
      </c>
    </row>
    <row r="76" spans="1:37" ht="16.2" customHeight="1" thickBot="1">
      <c r="A76" s="2221" t="s">
        <v>1045</v>
      </c>
      <c r="B76" s="2194"/>
      <c r="C76" s="470">
        <f>SUM(C7:C75)</f>
        <v>170</v>
      </c>
      <c r="D76" s="471">
        <f>+'Table 5C1A-Madison Prep'!D76</f>
        <v>4479.9292126977662</v>
      </c>
      <c r="E76" s="480">
        <f>SUM(E7:E75)</f>
        <v>1116576.7053780407</v>
      </c>
      <c r="F76" s="480">
        <f>+'Table 5C1A-Madison Prep'!F76</f>
        <v>704.64781030742063</v>
      </c>
      <c r="G76" s="480">
        <f t="shared" ref="G76:R76" si="77">SUM(G7:G75)</f>
        <v>123623.72</v>
      </c>
      <c r="H76" s="1542">
        <f t="shared" si="77"/>
        <v>1240200.4253780406</v>
      </c>
      <c r="I76" s="640">
        <f t="shared" si="77"/>
        <v>0</v>
      </c>
      <c r="J76" s="640">
        <f t="shared" si="77"/>
        <v>0</v>
      </c>
      <c r="K76" s="616">
        <f t="shared" si="77"/>
        <v>0</v>
      </c>
      <c r="L76" s="1560">
        <f t="shared" si="77"/>
        <v>1240200.4253780406</v>
      </c>
      <c r="M76" s="481">
        <f t="shared" si="77"/>
        <v>-3100.5010634451019</v>
      </c>
      <c r="N76" s="1542">
        <f t="shared" si="77"/>
        <v>1237099.9243145958</v>
      </c>
      <c r="O76" s="471">
        <f t="shared" si="77"/>
        <v>0</v>
      </c>
      <c r="P76" s="1548">
        <f t="shared" si="77"/>
        <v>1237099.9243145958</v>
      </c>
      <c r="Q76" s="636"/>
      <c r="R76" s="636">
        <f t="shared" si="77"/>
        <v>1237099.9243145958</v>
      </c>
      <c r="S76" s="1548">
        <f>SUM(S7:S75)</f>
        <v>103091</v>
      </c>
      <c r="T76" s="1548">
        <f>SUM(T7:T75)</f>
        <v>1237099.9243145958</v>
      </c>
      <c r="U76" s="658">
        <f>'Table 5C1A-Madison Prep'!U76</f>
        <v>4663</v>
      </c>
      <c r="V76" s="1518">
        <f t="shared" ref="V76:AK76" si="78">SUM(V7:V75)</f>
        <v>551226</v>
      </c>
      <c r="W76" s="646">
        <f t="shared" si="78"/>
        <v>0</v>
      </c>
      <c r="X76" s="647">
        <f t="shared" si="78"/>
        <v>0</v>
      </c>
      <c r="Y76" s="646">
        <f t="shared" si="78"/>
        <v>0</v>
      </c>
      <c r="Z76" s="647">
        <f t="shared" si="78"/>
        <v>0</v>
      </c>
      <c r="AA76" s="633">
        <f t="shared" si="78"/>
        <v>0</v>
      </c>
      <c r="AB76" s="1520">
        <f t="shared" si="78"/>
        <v>551226</v>
      </c>
      <c r="AC76" s="482">
        <f t="shared" si="78"/>
        <v>-1378.0650000000001</v>
      </c>
      <c r="AD76" s="1518">
        <f t="shared" si="78"/>
        <v>549847.93499999994</v>
      </c>
      <c r="AE76" s="660">
        <f t="shared" si="78"/>
        <v>0</v>
      </c>
      <c r="AF76" s="1518">
        <f t="shared" si="78"/>
        <v>549847.93499999994</v>
      </c>
      <c r="AG76" s="660">
        <f t="shared" si="78"/>
        <v>0</v>
      </c>
      <c r="AH76" s="660">
        <f t="shared" si="78"/>
        <v>549847.93499999994</v>
      </c>
      <c r="AI76" s="1518">
        <f t="shared" si="78"/>
        <v>45821</v>
      </c>
      <c r="AJ76" s="1532">
        <f t="shared" si="78"/>
        <v>1786947.8593145958</v>
      </c>
      <c r="AK76" s="1532">
        <f t="shared" si="78"/>
        <v>148912</v>
      </c>
    </row>
    <row r="77" spans="1:37" s="608" customFormat="1" ht="16.2" customHeight="1" thickTop="1">
      <c r="A77" s="2330" t="s">
        <v>1039</v>
      </c>
      <c r="B77" s="2338"/>
      <c r="C77" s="1425"/>
      <c r="D77" s="1198"/>
      <c r="E77" s="1198"/>
      <c r="F77" s="1198"/>
      <c r="G77" s="1198"/>
      <c r="H77" s="1198"/>
      <c r="I77" s="1200"/>
      <c r="J77" s="1200"/>
      <c r="K77" s="1200"/>
      <c r="L77" s="1198"/>
      <c r="M77" s="1200"/>
      <c r="N77" s="1198"/>
      <c r="O77" s="1198"/>
      <c r="P77" s="1398">
        <f>'Table 4 Level 4'!$E110</f>
        <v>0</v>
      </c>
      <c r="Q77" s="1181"/>
      <c r="R77" s="1200">
        <f t="shared" ref="R77" si="79">P77-Q77</f>
        <v>0</v>
      </c>
      <c r="S77" s="1545">
        <f t="shared" ref="S77" si="80">ROUND(R77/12,0)</f>
        <v>0</v>
      </c>
      <c r="T77" s="1545">
        <f>'Table 4 Level 4'!$E110</f>
        <v>0</v>
      </c>
      <c r="U77" s="1389"/>
      <c r="V77" s="1392"/>
      <c r="W77" s="1391"/>
      <c r="X77" s="1392"/>
      <c r="Y77" s="1391"/>
      <c r="Z77" s="1392"/>
      <c r="AA77" s="1392"/>
      <c r="AB77" s="1395"/>
      <c r="AC77" s="1392"/>
      <c r="AD77" s="1395"/>
      <c r="AE77" s="1395"/>
      <c r="AF77" s="1395"/>
      <c r="AG77" s="1395"/>
      <c r="AH77" s="1395"/>
      <c r="AI77" s="1395"/>
      <c r="AJ77" s="1505">
        <f t="shared" ref="AJ77:AJ81" si="81">T77+AF77</f>
        <v>0</v>
      </c>
      <c r="AK77" s="1505">
        <f t="shared" ref="AK77:AK81" si="82">S77+AI77</f>
        <v>0</v>
      </c>
    </row>
    <row r="78" spans="1:37" s="608" customFormat="1" ht="16.2" customHeight="1">
      <c r="A78" s="2332" t="s">
        <v>1040</v>
      </c>
      <c r="B78" s="2339"/>
      <c r="C78" s="1425"/>
      <c r="D78" s="1198"/>
      <c r="E78" s="1198"/>
      <c r="F78" s="1198"/>
      <c r="G78" s="1198"/>
      <c r="H78" s="1198"/>
      <c r="I78" s="1200"/>
      <c r="J78" s="1200"/>
      <c r="K78" s="1200"/>
      <c r="L78" s="1198"/>
      <c r="M78" s="1200"/>
      <c r="N78" s="1198"/>
      <c r="O78" s="1198"/>
      <c r="P78" s="1200">
        <v>0</v>
      </c>
      <c r="Q78" s="1181"/>
      <c r="R78" s="1200"/>
      <c r="S78" s="1181">
        <v>0</v>
      </c>
      <c r="T78" s="1545">
        <f>'Table 4 Level 4'!$J110</f>
        <v>0</v>
      </c>
      <c r="U78" s="1389"/>
      <c r="V78" s="1392"/>
      <c r="W78" s="1391"/>
      <c r="X78" s="1392"/>
      <c r="Y78" s="1391"/>
      <c r="Z78" s="1392"/>
      <c r="AA78" s="1392"/>
      <c r="AB78" s="1395"/>
      <c r="AC78" s="1392"/>
      <c r="AD78" s="1395"/>
      <c r="AE78" s="1395"/>
      <c r="AF78" s="1395"/>
      <c r="AG78" s="1395"/>
      <c r="AH78" s="1395"/>
      <c r="AI78" s="1395"/>
      <c r="AJ78" s="1505">
        <f t="shared" si="81"/>
        <v>0</v>
      </c>
      <c r="AK78" s="1395"/>
    </row>
    <row r="79" spans="1:37" s="608" customFormat="1" ht="16.2" customHeight="1">
      <c r="A79" s="2332" t="s">
        <v>1041</v>
      </c>
      <c r="B79" s="2339"/>
      <c r="C79" s="1425"/>
      <c r="D79" s="1198"/>
      <c r="E79" s="1198"/>
      <c r="F79" s="1198"/>
      <c r="G79" s="1198"/>
      <c r="H79" s="1198"/>
      <c r="I79" s="1200"/>
      <c r="J79" s="1200"/>
      <c r="K79" s="1200"/>
      <c r="L79" s="1198"/>
      <c r="M79" s="1200"/>
      <c r="N79" s="1198"/>
      <c r="O79" s="1198"/>
      <c r="P79" s="1200">
        <v>0</v>
      </c>
      <c r="Q79" s="1181"/>
      <c r="R79" s="1200"/>
      <c r="S79" s="1181">
        <v>0</v>
      </c>
      <c r="T79" s="1545">
        <f>'Table 4 Level 4'!$K110</f>
        <v>0</v>
      </c>
      <c r="U79" s="1389"/>
      <c r="V79" s="1392"/>
      <c r="W79" s="1391"/>
      <c r="X79" s="1392"/>
      <c r="Y79" s="1391"/>
      <c r="Z79" s="1392"/>
      <c r="AA79" s="1392"/>
      <c r="AB79" s="1395"/>
      <c r="AC79" s="1392"/>
      <c r="AD79" s="1395"/>
      <c r="AE79" s="1395"/>
      <c r="AF79" s="1395"/>
      <c r="AG79" s="1395"/>
      <c r="AH79" s="1395"/>
      <c r="AI79" s="1395"/>
      <c r="AJ79" s="1505">
        <f t="shared" si="81"/>
        <v>0</v>
      </c>
      <c r="AK79" s="1395"/>
    </row>
    <row r="80" spans="1:37" s="608" customFormat="1" ht="16.2" customHeight="1">
      <c r="A80" s="2332" t="s">
        <v>1042</v>
      </c>
      <c r="B80" s="2339"/>
      <c r="C80" s="1425"/>
      <c r="D80" s="1198"/>
      <c r="E80" s="1198"/>
      <c r="F80" s="1198"/>
      <c r="G80" s="1198"/>
      <c r="H80" s="1198"/>
      <c r="I80" s="1200"/>
      <c r="J80" s="1200"/>
      <c r="K80" s="1200"/>
      <c r="L80" s="1198"/>
      <c r="M80" s="1200"/>
      <c r="N80" s="1198"/>
      <c r="O80" s="1198"/>
      <c r="P80" s="1200">
        <v>0</v>
      </c>
      <c r="Q80" s="1181"/>
      <c r="R80" s="1200"/>
      <c r="S80" s="1181">
        <v>0</v>
      </c>
      <c r="T80" s="1545">
        <f>'Table 4 Level 4'!$L110</f>
        <v>0</v>
      </c>
      <c r="U80" s="1389"/>
      <c r="V80" s="1392"/>
      <c r="W80" s="1391"/>
      <c r="X80" s="1392"/>
      <c r="Y80" s="1391"/>
      <c r="Z80" s="1392"/>
      <c r="AA80" s="1392"/>
      <c r="AB80" s="1395"/>
      <c r="AC80" s="1392"/>
      <c r="AD80" s="1395"/>
      <c r="AE80" s="1395"/>
      <c r="AF80" s="1395"/>
      <c r="AG80" s="1395"/>
      <c r="AH80" s="1395"/>
      <c r="AI80" s="1395"/>
      <c r="AJ80" s="1505">
        <f t="shared" si="81"/>
        <v>0</v>
      </c>
      <c r="AK80" s="1395"/>
    </row>
    <row r="81" spans="1:37" s="608" customFormat="1" ht="16.2" customHeight="1">
      <c r="A81" s="2340" t="s">
        <v>1043</v>
      </c>
      <c r="B81" s="2341"/>
      <c r="C81" s="1417"/>
      <c r="D81" s="1193"/>
      <c r="E81" s="1193"/>
      <c r="F81" s="1193"/>
      <c r="G81" s="1193"/>
      <c r="H81" s="1193"/>
      <c r="I81" s="1195"/>
      <c r="J81" s="1195"/>
      <c r="K81" s="1195"/>
      <c r="L81" s="1193"/>
      <c r="M81" s="1195"/>
      <c r="N81" s="1193"/>
      <c r="O81" s="1193"/>
      <c r="P81" s="1547">
        <f>'Table 4 Level 4'!$N110</f>
        <v>702</v>
      </c>
      <c r="Q81" s="1420"/>
      <c r="R81" s="1195">
        <f t="shared" ref="R81" si="83">P81-Q81</f>
        <v>702</v>
      </c>
      <c r="S81" s="1552">
        <f t="shared" ref="S81" si="84">ROUND(R81/12,0)</f>
        <v>59</v>
      </c>
      <c r="T81" s="1552">
        <f>'Table 4 Level 4'!$N110</f>
        <v>702</v>
      </c>
      <c r="U81" s="1418"/>
      <c r="V81" s="1408"/>
      <c r="W81" s="1407"/>
      <c r="X81" s="1408"/>
      <c r="Y81" s="1407"/>
      <c r="Z81" s="1408"/>
      <c r="AA81" s="1408"/>
      <c r="AB81" s="1416"/>
      <c r="AC81" s="1408"/>
      <c r="AD81" s="1416"/>
      <c r="AE81" s="1416"/>
      <c r="AF81" s="1416"/>
      <c r="AG81" s="1416"/>
      <c r="AH81" s="1416"/>
      <c r="AI81" s="1416"/>
      <c r="AJ81" s="1506">
        <f t="shared" si="81"/>
        <v>702</v>
      </c>
      <c r="AK81" s="1506">
        <f t="shared" si="82"/>
        <v>59</v>
      </c>
    </row>
    <row r="82" spans="1:37" s="608" customFormat="1" ht="16.2" customHeight="1" thickBot="1">
      <c r="A82" s="2221" t="s">
        <v>1044</v>
      </c>
      <c r="B82" s="2194"/>
      <c r="C82" s="1052">
        <f>SUM(C76:C81)</f>
        <v>170</v>
      </c>
      <c r="D82" s="1046">
        <f t="shared" ref="D82:AK82" si="85">SUM(D76:D81)</f>
        <v>4479.9292126977662</v>
      </c>
      <c r="E82" s="1046">
        <f t="shared" si="85"/>
        <v>1116576.7053780407</v>
      </c>
      <c r="F82" s="1046">
        <f t="shared" si="85"/>
        <v>704.64781030742063</v>
      </c>
      <c r="G82" s="1046">
        <f t="shared" si="85"/>
        <v>123623.72</v>
      </c>
      <c r="H82" s="1046">
        <f t="shared" si="85"/>
        <v>1240200.4253780406</v>
      </c>
      <c r="I82" s="1053">
        <f t="shared" si="85"/>
        <v>0</v>
      </c>
      <c r="J82" s="1053">
        <f t="shared" si="85"/>
        <v>0</v>
      </c>
      <c r="K82" s="1053">
        <f t="shared" si="85"/>
        <v>0</v>
      </c>
      <c r="L82" s="1046">
        <f t="shared" si="85"/>
        <v>1240200.4253780406</v>
      </c>
      <c r="M82" s="1053">
        <f t="shared" si="85"/>
        <v>-3100.5010634451019</v>
      </c>
      <c r="N82" s="1046">
        <f t="shared" si="85"/>
        <v>1237099.9243145958</v>
      </c>
      <c r="O82" s="1046">
        <f t="shared" si="85"/>
        <v>0</v>
      </c>
      <c r="P82" s="1549">
        <f t="shared" si="85"/>
        <v>1237801.9243145958</v>
      </c>
      <c r="Q82" s="1053">
        <f t="shared" si="85"/>
        <v>0</v>
      </c>
      <c r="R82" s="1053">
        <f t="shared" si="85"/>
        <v>1237801.9243145958</v>
      </c>
      <c r="S82" s="1549">
        <f t="shared" si="85"/>
        <v>103150</v>
      </c>
      <c r="T82" s="1549">
        <f t="shared" si="85"/>
        <v>1237801.9243145958</v>
      </c>
      <c r="U82" s="1058">
        <f t="shared" si="85"/>
        <v>4663</v>
      </c>
      <c r="V82" s="1055">
        <f t="shared" si="85"/>
        <v>551226</v>
      </c>
      <c r="W82" s="1057">
        <f t="shared" si="85"/>
        <v>0</v>
      </c>
      <c r="X82" s="1055">
        <f t="shared" si="85"/>
        <v>0</v>
      </c>
      <c r="Y82" s="1057">
        <f t="shared" si="85"/>
        <v>0</v>
      </c>
      <c r="Z82" s="1055">
        <f t="shared" si="85"/>
        <v>0</v>
      </c>
      <c r="AA82" s="1055">
        <f t="shared" si="85"/>
        <v>0</v>
      </c>
      <c r="AB82" s="1055">
        <f t="shared" si="85"/>
        <v>551226</v>
      </c>
      <c r="AC82" s="1055">
        <f t="shared" si="85"/>
        <v>-1378.0650000000001</v>
      </c>
      <c r="AD82" s="1055">
        <f t="shared" si="85"/>
        <v>549847.93499999994</v>
      </c>
      <c r="AE82" s="1055">
        <f t="shared" si="85"/>
        <v>0</v>
      </c>
      <c r="AF82" s="1055">
        <f t="shared" si="85"/>
        <v>549847.93499999994</v>
      </c>
      <c r="AG82" s="1055">
        <f t="shared" si="85"/>
        <v>0</v>
      </c>
      <c r="AH82" s="1055">
        <f t="shared" si="85"/>
        <v>549847.93499999994</v>
      </c>
      <c r="AI82" s="1055">
        <f t="shared" si="85"/>
        <v>45821</v>
      </c>
      <c r="AJ82" s="1504">
        <f t="shared" si="85"/>
        <v>1787649.8593145958</v>
      </c>
      <c r="AK82" s="1504">
        <f t="shared" si="85"/>
        <v>148971</v>
      </c>
    </row>
    <row r="83" spans="1:37" ht="16.2" customHeight="1" thickTop="1"/>
    <row r="84" spans="1:37" ht="16.2" customHeight="1"/>
    <row r="85" spans="1:37" ht="16.2" customHeight="1"/>
    <row r="86" spans="1:37" ht="16.2" customHeight="1"/>
  </sheetData>
  <mergeCells count="43">
    <mergeCell ref="AI3:AI4"/>
    <mergeCell ref="M1:T1"/>
    <mergeCell ref="C1:L1"/>
    <mergeCell ref="AJ1:AJ4"/>
    <mergeCell ref="AK1:AK4"/>
    <mergeCell ref="C3:C4"/>
    <mergeCell ref="D3:D4"/>
    <mergeCell ref="E3:E4"/>
    <mergeCell ref="F3:F4"/>
    <mergeCell ref="G3:G4"/>
    <mergeCell ref="AD3:AD4"/>
    <mergeCell ref="AE3:AE4"/>
    <mergeCell ref="AF3:AF4"/>
    <mergeCell ref="H3:H4"/>
    <mergeCell ref="N3:N4"/>
    <mergeCell ref="O3:O4"/>
    <mergeCell ref="AG3:AG4"/>
    <mergeCell ref="AH3:AH4"/>
    <mergeCell ref="U1:AB1"/>
    <mergeCell ref="AC1:AI1"/>
    <mergeCell ref="A1:B4"/>
    <mergeCell ref="L3:L4"/>
    <mergeCell ref="W3:W4"/>
    <mergeCell ref="X3:X4"/>
    <mergeCell ref="AB3:AB4"/>
    <mergeCell ref="P3:P4"/>
    <mergeCell ref="S3:S4"/>
    <mergeCell ref="U3:U4"/>
    <mergeCell ref="J3:J4"/>
    <mergeCell ref="K3:K4"/>
    <mergeCell ref="I2:K2"/>
    <mergeCell ref="Y3:Y4"/>
    <mergeCell ref="Z3:Z4"/>
    <mergeCell ref="T3:T4"/>
    <mergeCell ref="W2:AA2"/>
    <mergeCell ref="I3:I4"/>
    <mergeCell ref="A82:B82"/>
    <mergeCell ref="A76:B76"/>
    <mergeCell ref="A77:B77"/>
    <mergeCell ref="A78:B78"/>
    <mergeCell ref="A79:B79"/>
    <mergeCell ref="A80:B80"/>
    <mergeCell ref="A81:B81"/>
  </mergeCells>
  <printOptions horizontalCentered="1"/>
  <pageMargins left="0.32" right="0.32" top="0.75" bottom="0.75" header="0.3" footer="0.3"/>
  <pageSetup paperSize="5" scale="60" firstPageNumber="56" orientation="portrait" r:id="rId1"/>
  <headerFooter>
    <oddHeader>&amp;L&amp;"Arial,Bold"&amp;20&amp;K000000Table 5C1-L: FY2014-15 MFP Budget Letter 
Northshore Charter School</oddHeader>
    <oddFooter>&amp;R&amp;P</oddFooter>
  </headerFooter>
  <colBreaks count="3" manualBreakCount="3">
    <brk id="12" max="1048575" man="1"/>
    <brk id="20" max="1048575" man="1"/>
    <brk id="28" max="81"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K86"/>
  <sheetViews>
    <sheetView view="pageBreakPreview" zoomScale="80" zoomScaleNormal="100" zoomScaleSheetLayoutView="80" workbookViewId="0">
      <pane xSplit="2" ySplit="6" topLeftCell="C7" activePane="bottomRight" state="frozen"/>
      <selection sqref="A1:H1"/>
      <selection pane="topRight" sqref="A1:H1"/>
      <selection pane="bottomLeft" sqref="A1:H1"/>
      <selection pane="bottomRight" sqref="A1:H1"/>
    </sheetView>
  </sheetViews>
  <sheetFormatPr defaultColWidth="8.88671875" defaultRowHeight="13.2"/>
  <cols>
    <col min="1" max="1" width="5" style="520" customWidth="1"/>
    <col min="2" max="2" width="37.6640625" style="520" customWidth="1"/>
    <col min="3" max="3" width="12.109375" style="520" bestFit="1" customWidth="1"/>
    <col min="4" max="4" width="13.6640625" style="520" bestFit="1" customWidth="1"/>
    <col min="5" max="5" width="10.109375" style="520" bestFit="1" customWidth="1"/>
    <col min="6" max="7" width="12.33203125" style="520" bestFit="1" customWidth="1"/>
    <col min="8" max="8" width="11.5546875" style="520" bestFit="1" customWidth="1"/>
    <col min="9" max="12" width="11.88671875" style="608" bestFit="1" customWidth="1"/>
    <col min="13" max="13" width="10.88671875" style="520" bestFit="1" customWidth="1"/>
    <col min="14" max="14" width="13.109375" style="520" customWidth="1"/>
    <col min="15" max="15" width="13.44140625" style="520" bestFit="1" customWidth="1"/>
    <col min="16" max="16" width="14.6640625" style="520" customWidth="1"/>
    <col min="17" max="18" width="14" style="608" customWidth="1"/>
    <col min="19" max="19" width="10.6640625" style="520" customWidth="1"/>
    <col min="20" max="20" width="14.88671875" style="608" customWidth="1"/>
    <col min="21" max="22" width="14.5546875" style="520" customWidth="1"/>
    <col min="23" max="27" width="11.6640625" style="608" customWidth="1"/>
    <col min="28" max="28" width="14.44140625" style="608" bestFit="1" customWidth="1"/>
    <col min="29" max="29" width="10.5546875" style="520" customWidth="1"/>
    <col min="30" max="30" width="14.44140625" style="520" bestFit="1" customWidth="1"/>
    <col min="31" max="31" width="11.88671875" style="520" bestFit="1" customWidth="1"/>
    <col min="32" max="32" width="14.44140625" style="520" bestFit="1" customWidth="1"/>
    <col min="33" max="33" width="9.5546875" style="608" bestFit="1" customWidth="1"/>
    <col min="34" max="34" width="10.6640625" style="608" bestFit="1" customWidth="1"/>
    <col min="35" max="37" width="14.44140625" style="520" bestFit="1" customWidth="1"/>
    <col min="38" max="16384" width="8.88671875" style="520"/>
  </cols>
  <sheetData>
    <row r="1" spans="1:37" ht="21.6" customHeight="1">
      <c r="A1" s="2367" t="s">
        <v>528</v>
      </c>
      <c r="B1" s="2368"/>
      <c r="C1" s="2319" t="s">
        <v>1089</v>
      </c>
      <c r="D1" s="2320"/>
      <c r="E1" s="2320"/>
      <c r="F1" s="2320"/>
      <c r="G1" s="2320"/>
      <c r="H1" s="2320"/>
      <c r="I1" s="2320"/>
      <c r="J1" s="2320"/>
      <c r="K1" s="2320"/>
      <c r="L1" s="2321"/>
      <c r="M1" s="2349" t="s">
        <v>1089</v>
      </c>
      <c r="N1" s="2350"/>
      <c r="O1" s="2350"/>
      <c r="P1" s="2350"/>
      <c r="Q1" s="2350"/>
      <c r="R1" s="2350"/>
      <c r="S1" s="2350"/>
      <c r="T1" s="2351"/>
      <c r="U1" s="2268" t="s">
        <v>1247</v>
      </c>
      <c r="V1" s="2266"/>
      <c r="W1" s="2266"/>
      <c r="X1" s="2266"/>
      <c r="Y1" s="2266"/>
      <c r="Z1" s="2266"/>
      <c r="AA1" s="2266"/>
      <c r="AB1" s="2267"/>
      <c r="AC1" s="2268" t="s">
        <v>1247</v>
      </c>
      <c r="AD1" s="2266"/>
      <c r="AE1" s="2266"/>
      <c r="AF1" s="2266"/>
      <c r="AG1" s="2266"/>
      <c r="AH1" s="2266"/>
      <c r="AI1" s="2267"/>
      <c r="AJ1" s="2302" t="s">
        <v>1272</v>
      </c>
      <c r="AK1" s="2302" t="s">
        <v>1273</v>
      </c>
    </row>
    <row r="2" spans="1:37" s="608" customFormat="1" ht="24.6" customHeight="1">
      <c r="A2" s="2369"/>
      <c r="B2" s="2370"/>
      <c r="C2" s="1565"/>
      <c r="D2" s="1566"/>
      <c r="E2" s="1566"/>
      <c r="F2" s="1566"/>
      <c r="G2" s="1566"/>
      <c r="H2" s="1566"/>
      <c r="I2" s="2334" t="s">
        <v>531</v>
      </c>
      <c r="J2" s="2335"/>
      <c r="K2" s="2336"/>
      <c r="L2" s="1567"/>
      <c r="M2" s="1565"/>
      <c r="N2" s="1566"/>
      <c r="O2" s="1566"/>
      <c r="P2" s="1566"/>
      <c r="Q2" s="1566"/>
      <c r="R2" s="1566"/>
      <c r="S2" s="1566"/>
      <c r="T2" s="1567"/>
      <c r="U2" s="1525"/>
      <c r="V2" s="1526"/>
      <c r="W2" s="2362" t="s">
        <v>531</v>
      </c>
      <c r="X2" s="2363"/>
      <c r="Y2" s="2363"/>
      <c r="Z2" s="2363"/>
      <c r="AA2" s="2364"/>
      <c r="AB2" s="1527"/>
      <c r="AC2" s="1525"/>
      <c r="AD2" s="1526"/>
      <c r="AE2" s="1526"/>
      <c r="AF2" s="1526"/>
      <c r="AG2" s="1526"/>
      <c r="AH2" s="1526"/>
      <c r="AI2" s="1527"/>
      <c r="AJ2" s="2303"/>
      <c r="AK2" s="2303"/>
    </row>
    <row r="3" spans="1:37" ht="148.94999999999999" customHeight="1">
      <c r="A3" s="2371"/>
      <c r="B3" s="2370"/>
      <c r="C3" s="2318" t="s">
        <v>933</v>
      </c>
      <c r="D3" s="2318" t="s">
        <v>1110</v>
      </c>
      <c r="E3" s="2318" t="s">
        <v>384</v>
      </c>
      <c r="F3" s="2306" t="s">
        <v>546</v>
      </c>
      <c r="G3" s="2306" t="s">
        <v>330</v>
      </c>
      <c r="H3" s="2306" t="s">
        <v>547</v>
      </c>
      <c r="I3" s="2299" t="s">
        <v>770</v>
      </c>
      <c r="J3" s="2299" t="s">
        <v>769</v>
      </c>
      <c r="K3" s="2299" t="s">
        <v>538</v>
      </c>
      <c r="L3" s="2300" t="s">
        <v>548</v>
      </c>
      <c r="M3" s="1496" t="s">
        <v>333</v>
      </c>
      <c r="N3" s="2306" t="s">
        <v>545</v>
      </c>
      <c r="O3" s="2307" t="s">
        <v>1036</v>
      </c>
      <c r="P3" s="2306" t="s">
        <v>1056</v>
      </c>
      <c r="Q3" s="1537" t="s">
        <v>760</v>
      </c>
      <c r="R3" s="1537" t="s">
        <v>761</v>
      </c>
      <c r="S3" s="2308" t="s">
        <v>544</v>
      </c>
      <c r="T3" s="2308" t="s">
        <v>1057</v>
      </c>
      <c r="U3" s="2309" t="s">
        <v>1267</v>
      </c>
      <c r="V3" s="1507" t="s">
        <v>1268</v>
      </c>
      <c r="W3" s="2312" t="s">
        <v>1253</v>
      </c>
      <c r="X3" s="2312" t="s">
        <v>1251</v>
      </c>
      <c r="Y3" s="2312" t="s">
        <v>1254</v>
      </c>
      <c r="Z3" s="2312" t="s">
        <v>1252</v>
      </c>
      <c r="AA3" s="1498" t="s">
        <v>551</v>
      </c>
      <c r="AB3" s="2313" t="s">
        <v>1269</v>
      </c>
      <c r="AC3" s="1507" t="s">
        <v>1094</v>
      </c>
      <c r="AD3" s="2309" t="s">
        <v>1270</v>
      </c>
      <c r="AE3" s="2307" t="s">
        <v>1036</v>
      </c>
      <c r="AF3" s="2309" t="s">
        <v>1271</v>
      </c>
      <c r="AG3" s="2322" t="s">
        <v>981</v>
      </c>
      <c r="AH3" s="2322" t="s">
        <v>761</v>
      </c>
      <c r="AI3" s="2322" t="s">
        <v>1242</v>
      </c>
      <c r="AJ3" s="2304"/>
      <c r="AK3" s="2304"/>
    </row>
    <row r="4" spans="1:37" ht="19.95" customHeight="1">
      <c r="A4" s="2372"/>
      <c r="B4" s="2373"/>
      <c r="C4" s="2318"/>
      <c r="D4" s="2318"/>
      <c r="E4" s="2318"/>
      <c r="F4" s="2301"/>
      <c r="G4" s="2301"/>
      <c r="H4" s="2301"/>
      <c r="I4" s="2251"/>
      <c r="J4" s="2251"/>
      <c r="K4" s="2251"/>
      <c r="L4" s="2301"/>
      <c r="M4" s="1568">
        <v>2.5000000000000001E-3</v>
      </c>
      <c r="N4" s="2301"/>
      <c r="O4" s="2251"/>
      <c r="P4" s="2301"/>
      <c r="Q4" s="1497"/>
      <c r="R4" s="1497"/>
      <c r="S4" s="2301"/>
      <c r="T4" s="2301"/>
      <c r="U4" s="2280"/>
      <c r="V4" s="1508"/>
      <c r="W4" s="2251"/>
      <c r="X4" s="2251"/>
      <c r="Y4" s="2251"/>
      <c r="Z4" s="2251"/>
      <c r="AA4" s="1494"/>
      <c r="AB4" s="2280" t="s">
        <v>537</v>
      </c>
      <c r="AC4" s="1570">
        <v>2.5000000000000001E-3</v>
      </c>
      <c r="AD4" s="2280"/>
      <c r="AE4" s="2251"/>
      <c r="AF4" s="2280"/>
      <c r="AG4" s="2323"/>
      <c r="AH4" s="2323"/>
      <c r="AI4" s="2323"/>
      <c r="AJ4" s="2305"/>
      <c r="AK4" s="2305"/>
    </row>
    <row r="5" spans="1:37" ht="14.25" customHeight="1">
      <c r="A5" s="463"/>
      <c r="B5" s="464"/>
      <c r="C5" s="465">
        <v>1</v>
      </c>
      <c r="D5" s="465">
        <f t="shared" ref="D5" si="0">C5+1</f>
        <v>2</v>
      </c>
      <c r="E5" s="465">
        <f>D5+1</f>
        <v>3</v>
      </c>
      <c r="F5" s="465">
        <f t="shared" ref="F5:AK5" si="1">E5+1</f>
        <v>4</v>
      </c>
      <c r="G5" s="465">
        <f t="shared" si="1"/>
        <v>5</v>
      </c>
      <c r="H5" s="465">
        <f t="shared" si="1"/>
        <v>6</v>
      </c>
      <c r="I5" s="465">
        <f t="shared" si="1"/>
        <v>7</v>
      </c>
      <c r="J5" s="465">
        <f t="shared" ref="J5" si="2">I5+1</f>
        <v>8</v>
      </c>
      <c r="K5" s="465">
        <f t="shared" ref="K5" si="3">J5+1</f>
        <v>9</v>
      </c>
      <c r="L5" s="465">
        <f t="shared" ref="L5" si="4">K5+1</f>
        <v>10</v>
      </c>
      <c r="M5" s="465">
        <f t="shared" ref="M5" si="5">L5+1</f>
        <v>11</v>
      </c>
      <c r="N5" s="465">
        <f t="shared" si="1"/>
        <v>12</v>
      </c>
      <c r="O5" s="465">
        <f t="shared" si="1"/>
        <v>13</v>
      </c>
      <c r="P5" s="465">
        <f t="shared" si="1"/>
        <v>14</v>
      </c>
      <c r="Q5" s="465">
        <f t="shared" ref="Q5" si="6">P5+1</f>
        <v>15</v>
      </c>
      <c r="R5" s="465">
        <f t="shared" ref="R5" si="7">Q5+1</f>
        <v>16</v>
      </c>
      <c r="S5" s="465">
        <f t="shared" ref="S5" si="8">R5+1</f>
        <v>17</v>
      </c>
      <c r="T5" s="465">
        <f t="shared" ref="T5" si="9">S5+1</f>
        <v>18</v>
      </c>
      <c r="U5" s="465">
        <f t="shared" ref="U5" si="10">T5+1</f>
        <v>19</v>
      </c>
      <c r="V5" s="465">
        <f t="shared" si="1"/>
        <v>20</v>
      </c>
      <c r="W5" s="465">
        <f t="shared" ref="W5" si="11">V5+1</f>
        <v>21</v>
      </c>
      <c r="X5" s="465">
        <f t="shared" ref="X5" si="12">W5+1</f>
        <v>22</v>
      </c>
      <c r="Y5" s="465">
        <f t="shared" ref="Y5" si="13">X5+1</f>
        <v>23</v>
      </c>
      <c r="Z5" s="465">
        <f t="shared" ref="Z5" si="14">Y5+1</f>
        <v>24</v>
      </c>
      <c r="AA5" s="465">
        <f t="shared" ref="AA5:AB5" si="15">Z5+1</f>
        <v>25</v>
      </c>
      <c r="AB5" s="465">
        <f t="shared" si="15"/>
        <v>26</v>
      </c>
      <c r="AC5" s="465">
        <f t="shared" ref="AC5" si="16">AB5+1</f>
        <v>27</v>
      </c>
      <c r="AD5" s="465">
        <f t="shared" si="1"/>
        <v>28</v>
      </c>
      <c r="AE5" s="465">
        <f t="shared" si="1"/>
        <v>29</v>
      </c>
      <c r="AF5" s="465">
        <f t="shared" si="1"/>
        <v>30</v>
      </c>
      <c r="AG5" s="465">
        <f t="shared" ref="AG5" si="17">AF5+1</f>
        <v>31</v>
      </c>
      <c r="AH5" s="465">
        <f t="shared" ref="AH5" si="18">AG5+1</f>
        <v>32</v>
      </c>
      <c r="AI5" s="465">
        <f t="shared" ref="AI5" si="19">AH5+1</f>
        <v>33</v>
      </c>
      <c r="AJ5" s="465">
        <f t="shared" si="1"/>
        <v>34</v>
      </c>
      <c r="AK5" s="465">
        <f t="shared" si="1"/>
        <v>35</v>
      </c>
    </row>
    <row r="6" spans="1:37" ht="27" hidden="1" customHeight="1">
      <c r="A6" s="472"/>
      <c r="B6" s="473"/>
      <c r="C6" s="473"/>
      <c r="D6" s="473"/>
      <c r="E6" s="473"/>
      <c r="F6" s="473"/>
      <c r="G6" s="473"/>
      <c r="H6" s="473"/>
      <c r="I6" s="615"/>
      <c r="J6" s="615"/>
      <c r="K6" s="615"/>
      <c r="L6" s="615"/>
      <c r="M6" s="473"/>
      <c r="N6" s="473"/>
      <c r="O6" s="473"/>
      <c r="P6" s="473"/>
      <c r="Q6" s="615"/>
      <c r="R6" s="615"/>
      <c r="S6" s="473"/>
      <c r="T6" s="473"/>
      <c r="U6" s="473"/>
      <c r="V6" s="473"/>
      <c r="W6" s="615"/>
      <c r="X6" s="615"/>
      <c r="Y6" s="615"/>
      <c r="Z6" s="615"/>
      <c r="AA6" s="615"/>
      <c r="AB6" s="615"/>
      <c r="AC6" s="473"/>
      <c r="AD6" s="473"/>
      <c r="AE6" s="473"/>
      <c r="AF6" s="473"/>
      <c r="AG6" s="615"/>
      <c r="AH6" s="615"/>
      <c r="AI6" s="473"/>
      <c r="AJ6" s="473"/>
      <c r="AK6" s="473"/>
    </row>
    <row r="7" spans="1:37" ht="16.2" customHeight="1">
      <c r="A7" s="1183">
        <v>1</v>
      </c>
      <c r="B7" s="1184" t="s">
        <v>81</v>
      </c>
      <c r="C7" s="1185">
        <f>+'Table 8 Membership 2.1.14'!S3</f>
        <v>0</v>
      </c>
      <c r="D7" s="1186">
        <f>+'Table 5C1A-Madison Prep'!D7</f>
        <v>4765.8584413349836</v>
      </c>
      <c r="E7" s="1187">
        <f>C7*D7</f>
        <v>0</v>
      </c>
      <c r="F7" s="1187">
        <f>+'Table 5C1A-Madison Prep'!F7</f>
        <v>777.48</v>
      </c>
      <c r="G7" s="1187">
        <f>C7*F7</f>
        <v>0</v>
      </c>
      <c r="H7" s="1538">
        <f>E7+G7</f>
        <v>0</v>
      </c>
      <c r="I7" s="1188"/>
      <c r="J7" s="1188"/>
      <c r="K7" s="1189"/>
      <c r="L7" s="1544">
        <f t="shared" ref="L7:L38" si="20">H7+K7</f>
        <v>0</v>
      </c>
      <c r="M7" s="1372">
        <f>-(0.25%*L7)</f>
        <v>0</v>
      </c>
      <c r="N7" s="1544">
        <f>SUM(L7:M7)</f>
        <v>0</v>
      </c>
      <c r="O7" s="1188">
        <v>0</v>
      </c>
      <c r="P7" s="1544">
        <f t="shared" ref="P7:P71" si="21">SUM(N7:O7)</f>
        <v>0</v>
      </c>
      <c r="Q7" s="1188"/>
      <c r="R7" s="1188">
        <f>P7-Q7</f>
        <v>0</v>
      </c>
      <c r="S7" s="1544">
        <f>ROUND(R7/12,0)</f>
        <v>0</v>
      </c>
      <c r="T7" s="1544">
        <f>+P7</f>
        <v>0</v>
      </c>
      <c r="U7" s="1373">
        <f>'Table 5C1A-Madison Prep'!U7</f>
        <v>2409</v>
      </c>
      <c r="V7" s="1514">
        <f t="shared" ref="V7:V38" si="22">C7*U7</f>
        <v>0</v>
      </c>
      <c r="W7" s="1380"/>
      <c r="X7" s="1376">
        <f>W7*U7</f>
        <v>0</v>
      </c>
      <c r="Y7" s="1375"/>
      <c r="Z7" s="1376">
        <f t="shared" ref="Z7:Z70" si="23">+U7*Y7*0.5</f>
        <v>0</v>
      </c>
      <c r="AA7" s="1374">
        <f>+X7+Z7</f>
        <v>0</v>
      </c>
      <c r="AB7" s="1509">
        <f>V7+AA7</f>
        <v>0</v>
      </c>
      <c r="AC7" s="1378">
        <f>-(0.25%*AB7)</f>
        <v>0</v>
      </c>
      <c r="AD7" s="1509">
        <f>SUM(AB7:AC7)</f>
        <v>0</v>
      </c>
      <c r="AE7" s="1376">
        <v>0</v>
      </c>
      <c r="AF7" s="1514">
        <f>SUM(AD7:AE7)</f>
        <v>0</v>
      </c>
      <c r="AG7" s="1376"/>
      <c r="AH7" s="1376">
        <f>AF7-AG7</f>
        <v>0</v>
      </c>
      <c r="AI7" s="1514">
        <f>ROUND(AH7/12,0)</f>
        <v>0</v>
      </c>
      <c r="AJ7" s="1530">
        <f>T7+AF7</f>
        <v>0</v>
      </c>
      <c r="AK7" s="1534">
        <f>S7+AI7</f>
        <v>0</v>
      </c>
    </row>
    <row r="8" spans="1:37" ht="16.2" customHeight="1">
      <c r="A8" s="1176">
        <v>2</v>
      </c>
      <c r="B8" s="1177" t="s">
        <v>82</v>
      </c>
      <c r="C8" s="1178">
        <f>+'Table 8 Membership 2.1.14'!S4</f>
        <v>0</v>
      </c>
      <c r="D8" s="1179">
        <f>+'Table 5C1A-Madison Prep'!D8</f>
        <v>6316.6266417386641</v>
      </c>
      <c r="E8" s="1180">
        <f t="shared" ref="E8:E71" si="24">C8*D8</f>
        <v>0</v>
      </c>
      <c r="F8" s="1180">
        <f>+'Table 5C1A-Madison Prep'!F8</f>
        <v>842.32</v>
      </c>
      <c r="G8" s="1180">
        <f t="shared" ref="G8:G71" si="25">C8*F8</f>
        <v>0</v>
      </c>
      <c r="H8" s="1539">
        <f t="shared" ref="H8:H71" si="26">E8+G8</f>
        <v>0</v>
      </c>
      <c r="I8" s="1181"/>
      <c r="J8" s="1181"/>
      <c r="K8" s="1182"/>
      <c r="L8" s="1545">
        <f t="shared" si="20"/>
        <v>0</v>
      </c>
      <c r="M8" s="1388">
        <f t="shared" ref="M8:M71" si="27">-(0.25%*L8)</f>
        <v>0</v>
      </c>
      <c r="N8" s="1545">
        <f t="shared" ref="N8:N71" si="28">SUM(L8:M8)</f>
        <v>0</v>
      </c>
      <c r="O8" s="1181">
        <v>0</v>
      </c>
      <c r="P8" s="1545">
        <f t="shared" si="21"/>
        <v>0</v>
      </c>
      <c r="Q8" s="1181"/>
      <c r="R8" s="1181">
        <f t="shared" ref="R8:R71" si="29">P8-Q8</f>
        <v>0</v>
      </c>
      <c r="S8" s="1545">
        <f t="shared" ref="S8:S71" si="30">ROUND(R8/12,0)</f>
        <v>0</v>
      </c>
      <c r="T8" s="1545">
        <f t="shared" ref="T8:T71" si="31">+P8</f>
        <v>0</v>
      </c>
      <c r="U8" s="1389">
        <f>'Table 5C1A-Madison Prep'!U8</f>
        <v>2829</v>
      </c>
      <c r="V8" s="1515">
        <f t="shared" si="22"/>
        <v>0</v>
      </c>
      <c r="W8" s="1396"/>
      <c r="X8" s="1392">
        <f t="shared" ref="X8:X71" si="32">W8*U8</f>
        <v>0</v>
      </c>
      <c r="Y8" s="1391"/>
      <c r="Z8" s="1392">
        <f t="shared" si="23"/>
        <v>0</v>
      </c>
      <c r="AA8" s="1390">
        <f t="shared" ref="AA8:AA71" si="33">+X8+Z8</f>
        <v>0</v>
      </c>
      <c r="AB8" s="1510">
        <f t="shared" ref="AB8:AB71" si="34">V8+AA8</f>
        <v>0</v>
      </c>
      <c r="AC8" s="1394">
        <f t="shared" ref="AC8:AC71" si="35">-(0.25%*AB8)</f>
        <v>0</v>
      </c>
      <c r="AD8" s="1510">
        <f t="shared" ref="AD8:AD71" si="36">SUM(AB8:AC8)</f>
        <v>0</v>
      </c>
      <c r="AE8" s="1392">
        <v>0</v>
      </c>
      <c r="AF8" s="1515">
        <f t="shared" ref="AF8:AF71" si="37">SUM(AD8:AE8)</f>
        <v>0</v>
      </c>
      <c r="AG8" s="1392"/>
      <c r="AH8" s="1392">
        <f t="shared" ref="AH8:AH71" si="38">AF8-AG8</f>
        <v>0</v>
      </c>
      <c r="AI8" s="1515">
        <f t="shared" ref="AI8:AI71" si="39">ROUND(AH8/12,0)</f>
        <v>0</v>
      </c>
      <c r="AJ8" s="1505">
        <f t="shared" ref="AJ8:AJ71" si="40">T8+AF8</f>
        <v>0</v>
      </c>
      <c r="AK8" s="1535">
        <f t="shared" ref="AK8:AK38" si="41">S8+AI8</f>
        <v>0</v>
      </c>
    </row>
    <row r="9" spans="1:37" ht="16.2" customHeight="1">
      <c r="A9" s="1176">
        <v>3</v>
      </c>
      <c r="B9" s="1177" t="s">
        <v>83</v>
      </c>
      <c r="C9" s="1178">
        <f>+'Table 8 Membership 2.1.14'!S5</f>
        <v>1</v>
      </c>
      <c r="D9" s="1179">
        <f>+'Table 5C1A-Madison Prep'!D9</f>
        <v>4155.1862027396819</v>
      </c>
      <c r="E9" s="1180">
        <f t="shared" si="24"/>
        <v>4155.1862027396819</v>
      </c>
      <c r="F9" s="1180">
        <f>+'Table 5C1A-Madison Prep'!F9</f>
        <v>596.84</v>
      </c>
      <c r="G9" s="1180">
        <f t="shared" si="25"/>
        <v>596.84</v>
      </c>
      <c r="H9" s="1539">
        <f t="shared" si="26"/>
        <v>4752.026202739682</v>
      </c>
      <c r="I9" s="1181"/>
      <c r="J9" s="1181"/>
      <c r="K9" s="1182"/>
      <c r="L9" s="1545">
        <f t="shared" si="20"/>
        <v>4752.026202739682</v>
      </c>
      <c r="M9" s="1388">
        <f t="shared" si="27"/>
        <v>-11.880065506849204</v>
      </c>
      <c r="N9" s="1545">
        <f t="shared" si="28"/>
        <v>4740.1461372328331</v>
      </c>
      <c r="O9" s="1181">
        <v>0</v>
      </c>
      <c r="P9" s="1545">
        <f t="shared" si="21"/>
        <v>4740.1461372328331</v>
      </c>
      <c r="Q9" s="1181"/>
      <c r="R9" s="1181">
        <f t="shared" si="29"/>
        <v>4740.1461372328331</v>
      </c>
      <c r="S9" s="1545">
        <f t="shared" si="30"/>
        <v>395</v>
      </c>
      <c r="T9" s="1545">
        <f t="shared" si="31"/>
        <v>4740.1461372328331</v>
      </c>
      <c r="U9" s="1389">
        <f>'Table 5C1A-Madison Prep'!U9</f>
        <v>5770</v>
      </c>
      <c r="V9" s="1515">
        <f t="shared" si="22"/>
        <v>5770</v>
      </c>
      <c r="W9" s="1396"/>
      <c r="X9" s="1392">
        <f t="shared" si="32"/>
        <v>0</v>
      </c>
      <c r="Y9" s="1391"/>
      <c r="Z9" s="1392">
        <f t="shared" si="23"/>
        <v>0</v>
      </c>
      <c r="AA9" s="1390">
        <f t="shared" si="33"/>
        <v>0</v>
      </c>
      <c r="AB9" s="1510">
        <f t="shared" si="34"/>
        <v>5770</v>
      </c>
      <c r="AC9" s="1394">
        <f t="shared" si="35"/>
        <v>-14.425000000000001</v>
      </c>
      <c r="AD9" s="1510">
        <f t="shared" si="36"/>
        <v>5755.5749999999998</v>
      </c>
      <c r="AE9" s="1392">
        <v>0</v>
      </c>
      <c r="AF9" s="1515">
        <f t="shared" si="37"/>
        <v>5755.5749999999998</v>
      </c>
      <c r="AG9" s="1392"/>
      <c r="AH9" s="1392">
        <f t="shared" si="38"/>
        <v>5755.5749999999998</v>
      </c>
      <c r="AI9" s="1515">
        <f t="shared" si="39"/>
        <v>480</v>
      </c>
      <c r="AJ9" s="1505">
        <f t="shared" si="40"/>
        <v>10495.721137232833</v>
      </c>
      <c r="AK9" s="1535">
        <f t="shared" si="41"/>
        <v>875</v>
      </c>
    </row>
    <row r="10" spans="1:37" ht="16.2" customHeight="1">
      <c r="A10" s="1176">
        <v>4</v>
      </c>
      <c r="B10" s="1177" t="s">
        <v>84</v>
      </c>
      <c r="C10" s="1178">
        <f>+'Table 8 Membership 2.1.14'!S6</f>
        <v>0</v>
      </c>
      <c r="D10" s="1179">
        <f>+'Table 5C1A-Madison Prep'!D10</f>
        <v>6119.0581446878568</v>
      </c>
      <c r="E10" s="1180">
        <f t="shared" si="24"/>
        <v>0</v>
      </c>
      <c r="F10" s="1180">
        <f>+'Table 5C1A-Madison Prep'!F10</f>
        <v>585.76</v>
      </c>
      <c r="G10" s="1180">
        <f t="shared" si="25"/>
        <v>0</v>
      </c>
      <c r="H10" s="1539">
        <f t="shared" si="26"/>
        <v>0</v>
      </c>
      <c r="I10" s="1181"/>
      <c r="J10" s="1181"/>
      <c r="K10" s="1182"/>
      <c r="L10" s="1545">
        <f t="shared" si="20"/>
        <v>0</v>
      </c>
      <c r="M10" s="1388">
        <f t="shared" si="27"/>
        <v>0</v>
      </c>
      <c r="N10" s="1545">
        <f t="shared" si="28"/>
        <v>0</v>
      </c>
      <c r="O10" s="1181">
        <v>0</v>
      </c>
      <c r="P10" s="1545">
        <f t="shared" si="21"/>
        <v>0</v>
      </c>
      <c r="Q10" s="1181"/>
      <c r="R10" s="1181">
        <f t="shared" si="29"/>
        <v>0</v>
      </c>
      <c r="S10" s="1545">
        <f t="shared" si="30"/>
        <v>0</v>
      </c>
      <c r="T10" s="1545">
        <f t="shared" si="31"/>
        <v>0</v>
      </c>
      <c r="U10" s="1389">
        <f>'Table 5C1A-Madison Prep'!U10</f>
        <v>3287</v>
      </c>
      <c r="V10" s="1515">
        <f t="shared" si="22"/>
        <v>0</v>
      </c>
      <c r="W10" s="1396"/>
      <c r="X10" s="1392">
        <f t="shared" si="32"/>
        <v>0</v>
      </c>
      <c r="Y10" s="1391"/>
      <c r="Z10" s="1392">
        <f t="shared" si="23"/>
        <v>0</v>
      </c>
      <c r="AA10" s="1390">
        <f t="shared" si="33"/>
        <v>0</v>
      </c>
      <c r="AB10" s="1510">
        <f t="shared" si="34"/>
        <v>0</v>
      </c>
      <c r="AC10" s="1394">
        <f t="shared" si="35"/>
        <v>0</v>
      </c>
      <c r="AD10" s="1510">
        <f t="shared" si="36"/>
        <v>0</v>
      </c>
      <c r="AE10" s="1392">
        <v>0</v>
      </c>
      <c r="AF10" s="1515">
        <f t="shared" si="37"/>
        <v>0</v>
      </c>
      <c r="AG10" s="1392"/>
      <c r="AH10" s="1392">
        <f t="shared" si="38"/>
        <v>0</v>
      </c>
      <c r="AI10" s="1515">
        <f t="shared" si="39"/>
        <v>0</v>
      </c>
      <c r="AJ10" s="1505">
        <f t="shared" si="40"/>
        <v>0</v>
      </c>
      <c r="AK10" s="1535">
        <f t="shared" si="41"/>
        <v>0</v>
      </c>
    </row>
    <row r="11" spans="1:37" ht="16.2" customHeight="1">
      <c r="A11" s="1168">
        <v>5</v>
      </c>
      <c r="B11" s="1169" t="s">
        <v>85</v>
      </c>
      <c r="C11" s="1170">
        <f>+'Table 8 Membership 2.1.14'!S7</f>
        <v>0</v>
      </c>
      <c r="D11" s="1171">
        <f>+'Table 5C1A-Madison Prep'!D11</f>
        <v>5268.940566009911</v>
      </c>
      <c r="E11" s="1172">
        <f t="shared" si="24"/>
        <v>0</v>
      </c>
      <c r="F11" s="1172">
        <f>+'Table 5C1A-Madison Prep'!F11</f>
        <v>555.91</v>
      </c>
      <c r="G11" s="1172">
        <f t="shared" si="25"/>
        <v>0</v>
      </c>
      <c r="H11" s="1540">
        <f t="shared" si="26"/>
        <v>0</v>
      </c>
      <c r="I11" s="1173"/>
      <c r="J11" s="1173"/>
      <c r="K11" s="1174"/>
      <c r="L11" s="1546">
        <f t="shared" si="20"/>
        <v>0</v>
      </c>
      <c r="M11" s="1399">
        <f t="shared" si="27"/>
        <v>0</v>
      </c>
      <c r="N11" s="1546">
        <f t="shared" si="28"/>
        <v>0</v>
      </c>
      <c r="O11" s="1173">
        <v>0</v>
      </c>
      <c r="P11" s="1546">
        <f t="shared" si="21"/>
        <v>0</v>
      </c>
      <c r="Q11" s="1173"/>
      <c r="R11" s="1173">
        <f t="shared" si="29"/>
        <v>0</v>
      </c>
      <c r="S11" s="1546">
        <f t="shared" si="30"/>
        <v>0</v>
      </c>
      <c r="T11" s="1546">
        <f t="shared" si="31"/>
        <v>0</v>
      </c>
      <c r="U11" s="1382">
        <f>'Table 5C1A-Madison Prep'!U11</f>
        <v>1921</v>
      </c>
      <c r="V11" s="1516">
        <f t="shared" si="22"/>
        <v>0</v>
      </c>
      <c r="W11" s="1404"/>
      <c r="X11" s="1383">
        <f t="shared" si="32"/>
        <v>0</v>
      </c>
      <c r="Y11" s="1400"/>
      <c r="Z11" s="1383">
        <f t="shared" si="23"/>
        <v>0</v>
      </c>
      <c r="AA11" s="1384">
        <f t="shared" si="33"/>
        <v>0</v>
      </c>
      <c r="AB11" s="1511">
        <f t="shared" si="34"/>
        <v>0</v>
      </c>
      <c r="AC11" s="1402">
        <f t="shared" si="35"/>
        <v>0</v>
      </c>
      <c r="AD11" s="1511">
        <f t="shared" si="36"/>
        <v>0</v>
      </c>
      <c r="AE11" s="1383">
        <v>0</v>
      </c>
      <c r="AF11" s="1516">
        <f t="shared" si="37"/>
        <v>0</v>
      </c>
      <c r="AG11" s="1383"/>
      <c r="AH11" s="1383">
        <f t="shared" si="38"/>
        <v>0</v>
      </c>
      <c r="AI11" s="1516">
        <f t="shared" si="39"/>
        <v>0</v>
      </c>
      <c r="AJ11" s="1531">
        <f t="shared" si="40"/>
        <v>0</v>
      </c>
      <c r="AK11" s="1536">
        <f t="shared" si="41"/>
        <v>0</v>
      </c>
    </row>
    <row r="12" spans="1:37" ht="16.2" customHeight="1">
      <c r="A12" s="1183">
        <v>6</v>
      </c>
      <c r="B12" s="1184" t="s">
        <v>86</v>
      </c>
      <c r="C12" s="1185">
        <f>+'Table 8 Membership 2.1.14'!S8</f>
        <v>0</v>
      </c>
      <c r="D12" s="1186">
        <f>+'Table 5C1A-Madison Prep'!D12</f>
        <v>5378.5086124955869</v>
      </c>
      <c r="E12" s="1187">
        <f t="shared" si="24"/>
        <v>0</v>
      </c>
      <c r="F12" s="1187">
        <f>+'Table 5C1A-Madison Prep'!F12</f>
        <v>545.4799999999999</v>
      </c>
      <c r="G12" s="1187">
        <f t="shared" si="25"/>
        <v>0</v>
      </c>
      <c r="H12" s="1538">
        <f t="shared" si="26"/>
        <v>0</v>
      </c>
      <c r="I12" s="1188"/>
      <c r="J12" s="1188"/>
      <c r="K12" s="1189"/>
      <c r="L12" s="1544">
        <f t="shared" si="20"/>
        <v>0</v>
      </c>
      <c r="M12" s="1372">
        <f t="shared" si="27"/>
        <v>0</v>
      </c>
      <c r="N12" s="1544">
        <f t="shared" si="28"/>
        <v>0</v>
      </c>
      <c r="O12" s="1188">
        <v>0</v>
      </c>
      <c r="P12" s="1544">
        <f t="shared" si="21"/>
        <v>0</v>
      </c>
      <c r="Q12" s="1188"/>
      <c r="R12" s="1188">
        <f t="shared" si="29"/>
        <v>0</v>
      </c>
      <c r="S12" s="1544">
        <f t="shared" si="30"/>
        <v>0</v>
      </c>
      <c r="T12" s="1544">
        <f t="shared" si="31"/>
        <v>0</v>
      </c>
      <c r="U12" s="1373">
        <f>'Table 5C1A-Madison Prep'!U12</f>
        <v>3807</v>
      </c>
      <c r="V12" s="1514">
        <f t="shared" si="22"/>
        <v>0</v>
      </c>
      <c r="W12" s="1380"/>
      <c r="X12" s="1376">
        <f t="shared" si="32"/>
        <v>0</v>
      </c>
      <c r="Y12" s="1375"/>
      <c r="Z12" s="1376">
        <f t="shared" si="23"/>
        <v>0</v>
      </c>
      <c r="AA12" s="1374">
        <f t="shared" si="33"/>
        <v>0</v>
      </c>
      <c r="AB12" s="1509">
        <f t="shared" si="34"/>
        <v>0</v>
      </c>
      <c r="AC12" s="1378">
        <f t="shared" si="35"/>
        <v>0</v>
      </c>
      <c r="AD12" s="1509">
        <f t="shared" si="36"/>
        <v>0</v>
      </c>
      <c r="AE12" s="1376">
        <v>0</v>
      </c>
      <c r="AF12" s="1514">
        <f t="shared" si="37"/>
        <v>0</v>
      </c>
      <c r="AG12" s="1376"/>
      <c r="AH12" s="1376">
        <f t="shared" si="38"/>
        <v>0</v>
      </c>
      <c r="AI12" s="1514">
        <f t="shared" si="39"/>
        <v>0</v>
      </c>
      <c r="AJ12" s="1530">
        <f t="shared" si="40"/>
        <v>0</v>
      </c>
      <c r="AK12" s="1534">
        <f t="shared" si="41"/>
        <v>0</v>
      </c>
    </row>
    <row r="13" spans="1:37" ht="16.2" customHeight="1">
      <c r="A13" s="1176">
        <v>7</v>
      </c>
      <c r="B13" s="1177" t="s">
        <v>87</v>
      </c>
      <c r="C13" s="1178">
        <f>+'Table 8 Membership 2.1.14'!S9</f>
        <v>0</v>
      </c>
      <c r="D13" s="1179">
        <f>+'Table 5C1A-Madison Prep'!D13</f>
        <v>2243.0031963470319</v>
      </c>
      <c r="E13" s="1180">
        <f t="shared" si="24"/>
        <v>0</v>
      </c>
      <c r="F13" s="1180">
        <f>+'Table 5C1A-Madison Prep'!F13</f>
        <v>756.91999999999985</v>
      </c>
      <c r="G13" s="1180">
        <f t="shared" si="25"/>
        <v>0</v>
      </c>
      <c r="H13" s="1539">
        <f t="shared" si="26"/>
        <v>0</v>
      </c>
      <c r="I13" s="1181"/>
      <c r="J13" s="1181"/>
      <c r="K13" s="1182"/>
      <c r="L13" s="1545">
        <f t="shared" si="20"/>
        <v>0</v>
      </c>
      <c r="M13" s="1388">
        <f t="shared" si="27"/>
        <v>0</v>
      </c>
      <c r="N13" s="1545">
        <f t="shared" si="28"/>
        <v>0</v>
      </c>
      <c r="O13" s="1181">
        <v>0</v>
      </c>
      <c r="P13" s="1545">
        <f t="shared" si="21"/>
        <v>0</v>
      </c>
      <c r="Q13" s="1181"/>
      <c r="R13" s="1181">
        <f t="shared" si="29"/>
        <v>0</v>
      </c>
      <c r="S13" s="1545">
        <f t="shared" si="30"/>
        <v>0</v>
      </c>
      <c r="T13" s="1545">
        <f t="shared" si="31"/>
        <v>0</v>
      </c>
      <c r="U13" s="1389">
        <f>'Table 5C1A-Madison Prep'!U13</f>
        <v>11888</v>
      </c>
      <c r="V13" s="1515">
        <f t="shared" si="22"/>
        <v>0</v>
      </c>
      <c r="W13" s="1396"/>
      <c r="X13" s="1392">
        <f t="shared" si="32"/>
        <v>0</v>
      </c>
      <c r="Y13" s="1391"/>
      <c r="Z13" s="1392">
        <f t="shared" si="23"/>
        <v>0</v>
      </c>
      <c r="AA13" s="1390">
        <f t="shared" si="33"/>
        <v>0</v>
      </c>
      <c r="AB13" s="1510">
        <f t="shared" si="34"/>
        <v>0</v>
      </c>
      <c r="AC13" s="1394">
        <f t="shared" si="35"/>
        <v>0</v>
      </c>
      <c r="AD13" s="1510">
        <f t="shared" si="36"/>
        <v>0</v>
      </c>
      <c r="AE13" s="1392">
        <v>0</v>
      </c>
      <c r="AF13" s="1515">
        <f t="shared" si="37"/>
        <v>0</v>
      </c>
      <c r="AG13" s="1392"/>
      <c r="AH13" s="1392">
        <f t="shared" si="38"/>
        <v>0</v>
      </c>
      <c r="AI13" s="1515">
        <f t="shared" si="39"/>
        <v>0</v>
      </c>
      <c r="AJ13" s="1505">
        <f t="shared" si="40"/>
        <v>0</v>
      </c>
      <c r="AK13" s="1535">
        <f t="shared" si="41"/>
        <v>0</v>
      </c>
    </row>
    <row r="14" spans="1:37" ht="16.2" customHeight="1">
      <c r="A14" s="1176">
        <v>8</v>
      </c>
      <c r="B14" s="1177" t="s">
        <v>88</v>
      </c>
      <c r="C14" s="1178">
        <f>+'Table 8 Membership 2.1.14'!S10</f>
        <v>0</v>
      </c>
      <c r="D14" s="1179">
        <f>+'Table 5C1A-Madison Prep'!D14</f>
        <v>4669.802459558854</v>
      </c>
      <c r="E14" s="1180">
        <f t="shared" si="24"/>
        <v>0</v>
      </c>
      <c r="F14" s="1180">
        <f>+'Table 5C1A-Madison Prep'!F14</f>
        <v>725.76</v>
      </c>
      <c r="G14" s="1180">
        <f t="shared" si="25"/>
        <v>0</v>
      </c>
      <c r="H14" s="1539">
        <f t="shared" si="26"/>
        <v>0</v>
      </c>
      <c r="I14" s="1181"/>
      <c r="J14" s="1181"/>
      <c r="K14" s="1182"/>
      <c r="L14" s="1545">
        <f t="shared" si="20"/>
        <v>0</v>
      </c>
      <c r="M14" s="1388">
        <f t="shared" si="27"/>
        <v>0</v>
      </c>
      <c r="N14" s="1545">
        <f t="shared" si="28"/>
        <v>0</v>
      </c>
      <c r="O14" s="1181">
        <v>0</v>
      </c>
      <c r="P14" s="1545">
        <f t="shared" si="21"/>
        <v>0</v>
      </c>
      <c r="Q14" s="1181"/>
      <c r="R14" s="1181">
        <f t="shared" si="29"/>
        <v>0</v>
      </c>
      <c r="S14" s="1545">
        <f t="shared" si="30"/>
        <v>0</v>
      </c>
      <c r="T14" s="1545">
        <f t="shared" si="31"/>
        <v>0</v>
      </c>
      <c r="U14" s="1389">
        <f>'Table 5C1A-Madison Prep'!U14</f>
        <v>4024</v>
      </c>
      <c r="V14" s="1515">
        <f t="shared" si="22"/>
        <v>0</v>
      </c>
      <c r="W14" s="1396"/>
      <c r="X14" s="1392">
        <f t="shared" si="32"/>
        <v>0</v>
      </c>
      <c r="Y14" s="1391"/>
      <c r="Z14" s="1392">
        <f t="shared" si="23"/>
        <v>0</v>
      </c>
      <c r="AA14" s="1390">
        <f t="shared" si="33"/>
        <v>0</v>
      </c>
      <c r="AB14" s="1510">
        <f t="shared" si="34"/>
        <v>0</v>
      </c>
      <c r="AC14" s="1394">
        <f t="shared" si="35"/>
        <v>0</v>
      </c>
      <c r="AD14" s="1510">
        <f t="shared" si="36"/>
        <v>0</v>
      </c>
      <c r="AE14" s="1392">
        <v>0</v>
      </c>
      <c r="AF14" s="1515">
        <f t="shared" si="37"/>
        <v>0</v>
      </c>
      <c r="AG14" s="1392"/>
      <c r="AH14" s="1392">
        <f t="shared" si="38"/>
        <v>0</v>
      </c>
      <c r="AI14" s="1515">
        <f t="shared" si="39"/>
        <v>0</v>
      </c>
      <c r="AJ14" s="1505">
        <f t="shared" si="40"/>
        <v>0</v>
      </c>
      <c r="AK14" s="1535">
        <f t="shared" si="41"/>
        <v>0</v>
      </c>
    </row>
    <row r="15" spans="1:37" ht="16.2" customHeight="1">
      <c r="A15" s="1176">
        <v>9</v>
      </c>
      <c r="B15" s="1177" t="s">
        <v>89</v>
      </c>
      <c r="C15" s="1178">
        <f>+'Table 8 Membership 2.1.14'!S11</f>
        <v>0</v>
      </c>
      <c r="D15" s="1179">
        <f>+'Table 5C1A-Madison Prep'!D15</f>
        <v>4632.4615072045008</v>
      </c>
      <c r="E15" s="1180">
        <f t="shared" si="24"/>
        <v>0</v>
      </c>
      <c r="F15" s="1180">
        <f>+'Table 5C1A-Madison Prep'!F15</f>
        <v>744.76</v>
      </c>
      <c r="G15" s="1180">
        <f t="shared" si="25"/>
        <v>0</v>
      </c>
      <c r="H15" s="1539">
        <f t="shared" si="26"/>
        <v>0</v>
      </c>
      <c r="I15" s="1181"/>
      <c r="J15" s="1181"/>
      <c r="K15" s="1182"/>
      <c r="L15" s="1545">
        <f t="shared" si="20"/>
        <v>0</v>
      </c>
      <c r="M15" s="1388">
        <f t="shared" si="27"/>
        <v>0</v>
      </c>
      <c r="N15" s="1545">
        <f t="shared" si="28"/>
        <v>0</v>
      </c>
      <c r="O15" s="1181">
        <v>0</v>
      </c>
      <c r="P15" s="1545">
        <f t="shared" si="21"/>
        <v>0</v>
      </c>
      <c r="Q15" s="1181"/>
      <c r="R15" s="1181">
        <f t="shared" si="29"/>
        <v>0</v>
      </c>
      <c r="S15" s="1545">
        <f t="shared" si="30"/>
        <v>0</v>
      </c>
      <c r="T15" s="1545">
        <f t="shared" si="31"/>
        <v>0</v>
      </c>
      <c r="U15" s="1389">
        <f>'Table 5C1A-Madison Prep'!U15</f>
        <v>4828</v>
      </c>
      <c r="V15" s="1515">
        <f t="shared" si="22"/>
        <v>0</v>
      </c>
      <c r="W15" s="1396"/>
      <c r="X15" s="1392">
        <f t="shared" si="32"/>
        <v>0</v>
      </c>
      <c r="Y15" s="1391"/>
      <c r="Z15" s="1392">
        <f t="shared" si="23"/>
        <v>0</v>
      </c>
      <c r="AA15" s="1390">
        <f t="shared" si="33"/>
        <v>0</v>
      </c>
      <c r="AB15" s="1510">
        <f t="shared" si="34"/>
        <v>0</v>
      </c>
      <c r="AC15" s="1394">
        <f t="shared" si="35"/>
        <v>0</v>
      </c>
      <c r="AD15" s="1510">
        <f t="shared" si="36"/>
        <v>0</v>
      </c>
      <c r="AE15" s="1392">
        <v>0</v>
      </c>
      <c r="AF15" s="1515">
        <f t="shared" si="37"/>
        <v>0</v>
      </c>
      <c r="AG15" s="1392"/>
      <c r="AH15" s="1392">
        <f t="shared" si="38"/>
        <v>0</v>
      </c>
      <c r="AI15" s="1515">
        <f t="shared" si="39"/>
        <v>0</v>
      </c>
      <c r="AJ15" s="1505">
        <f t="shared" si="40"/>
        <v>0</v>
      </c>
      <c r="AK15" s="1535">
        <f t="shared" si="41"/>
        <v>0</v>
      </c>
    </row>
    <row r="16" spans="1:37" ht="16.2" customHeight="1">
      <c r="A16" s="1168">
        <v>10</v>
      </c>
      <c r="B16" s="1169" t="s">
        <v>90</v>
      </c>
      <c r="C16" s="1170">
        <f>+'Table 8 Membership 2.1.14'!S12</f>
        <v>0</v>
      </c>
      <c r="D16" s="1171">
        <f>+'Table 5C1A-Madison Prep'!D16</f>
        <v>4384.374733918472</v>
      </c>
      <c r="E16" s="1172">
        <f t="shared" si="24"/>
        <v>0</v>
      </c>
      <c r="F16" s="1172">
        <f>+'Table 5C1A-Madison Prep'!F16</f>
        <v>608.04000000000008</v>
      </c>
      <c r="G16" s="1172">
        <f t="shared" si="25"/>
        <v>0</v>
      </c>
      <c r="H16" s="1540">
        <f t="shared" si="26"/>
        <v>0</v>
      </c>
      <c r="I16" s="1173"/>
      <c r="J16" s="1173"/>
      <c r="K16" s="1174"/>
      <c r="L16" s="1546">
        <f t="shared" si="20"/>
        <v>0</v>
      </c>
      <c r="M16" s="1399">
        <f t="shared" si="27"/>
        <v>0</v>
      </c>
      <c r="N16" s="1546">
        <f t="shared" si="28"/>
        <v>0</v>
      </c>
      <c r="O16" s="1173">
        <v>0</v>
      </c>
      <c r="P16" s="1546">
        <f t="shared" si="21"/>
        <v>0</v>
      </c>
      <c r="Q16" s="1173"/>
      <c r="R16" s="1173">
        <f t="shared" si="29"/>
        <v>0</v>
      </c>
      <c r="S16" s="1546">
        <f t="shared" si="30"/>
        <v>0</v>
      </c>
      <c r="T16" s="1546">
        <f t="shared" si="31"/>
        <v>0</v>
      </c>
      <c r="U16" s="1382">
        <f>'Table 5C1A-Madison Prep'!U16</f>
        <v>4565</v>
      </c>
      <c r="V16" s="1516">
        <f t="shared" si="22"/>
        <v>0</v>
      </c>
      <c r="W16" s="1404"/>
      <c r="X16" s="1383">
        <f t="shared" si="32"/>
        <v>0</v>
      </c>
      <c r="Y16" s="1400"/>
      <c r="Z16" s="1383">
        <f t="shared" si="23"/>
        <v>0</v>
      </c>
      <c r="AA16" s="1384">
        <f t="shared" si="33"/>
        <v>0</v>
      </c>
      <c r="AB16" s="1511">
        <f t="shared" si="34"/>
        <v>0</v>
      </c>
      <c r="AC16" s="1402">
        <f t="shared" si="35"/>
        <v>0</v>
      </c>
      <c r="AD16" s="1511">
        <f t="shared" si="36"/>
        <v>0</v>
      </c>
      <c r="AE16" s="1383">
        <v>0</v>
      </c>
      <c r="AF16" s="1516">
        <f t="shared" si="37"/>
        <v>0</v>
      </c>
      <c r="AG16" s="1383"/>
      <c r="AH16" s="1383">
        <f t="shared" si="38"/>
        <v>0</v>
      </c>
      <c r="AI16" s="1516">
        <f t="shared" si="39"/>
        <v>0</v>
      </c>
      <c r="AJ16" s="1531">
        <f t="shared" si="40"/>
        <v>0</v>
      </c>
      <c r="AK16" s="1536">
        <f t="shared" si="41"/>
        <v>0</v>
      </c>
    </row>
    <row r="17" spans="1:37" ht="16.2" customHeight="1">
      <c r="A17" s="1183">
        <v>11</v>
      </c>
      <c r="B17" s="1184" t="s">
        <v>91</v>
      </c>
      <c r="C17" s="1185">
        <f>+'Table 8 Membership 2.1.14'!S13</f>
        <v>0</v>
      </c>
      <c r="D17" s="1186">
        <f>+'Table 5C1A-Madison Prep'!D17</f>
        <v>7098.5372236353351</v>
      </c>
      <c r="E17" s="1187">
        <f t="shared" si="24"/>
        <v>0</v>
      </c>
      <c r="F17" s="1187">
        <f>+'Table 5C1A-Madison Prep'!F17</f>
        <v>706.55</v>
      </c>
      <c r="G17" s="1187">
        <f t="shared" si="25"/>
        <v>0</v>
      </c>
      <c r="H17" s="1538">
        <f t="shared" si="26"/>
        <v>0</v>
      </c>
      <c r="I17" s="1188"/>
      <c r="J17" s="1188"/>
      <c r="K17" s="1189"/>
      <c r="L17" s="1544">
        <f t="shared" si="20"/>
        <v>0</v>
      </c>
      <c r="M17" s="1372">
        <f t="shared" si="27"/>
        <v>0</v>
      </c>
      <c r="N17" s="1544">
        <f t="shared" si="28"/>
        <v>0</v>
      </c>
      <c r="O17" s="1188">
        <v>0</v>
      </c>
      <c r="P17" s="1544">
        <f t="shared" si="21"/>
        <v>0</v>
      </c>
      <c r="Q17" s="1188"/>
      <c r="R17" s="1188">
        <f t="shared" si="29"/>
        <v>0</v>
      </c>
      <c r="S17" s="1544">
        <f t="shared" si="30"/>
        <v>0</v>
      </c>
      <c r="T17" s="1544">
        <f t="shared" si="31"/>
        <v>0</v>
      </c>
      <c r="U17" s="1373">
        <f>'Table 5C1A-Madison Prep'!U17</f>
        <v>3587</v>
      </c>
      <c r="V17" s="1514">
        <f t="shared" si="22"/>
        <v>0</v>
      </c>
      <c r="W17" s="1380"/>
      <c r="X17" s="1376">
        <f t="shared" si="32"/>
        <v>0</v>
      </c>
      <c r="Y17" s="1375"/>
      <c r="Z17" s="1376">
        <f t="shared" si="23"/>
        <v>0</v>
      </c>
      <c r="AA17" s="1374">
        <f t="shared" si="33"/>
        <v>0</v>
      </c>
      <c r="AB17" s="1509">
        <f t="shared" si="34"/>
        <v>0</v>
      </c>
      <c r="AC17" s="1378">
        <f t="shared" si="35"/>
        <v>0</v>
      </c>
      <c r="AD17" s="1509">
        <f t="shared" si="36"/>
        <v>0</v>
      </c>
      <c r="AE17" s="1376">
        <v>0</v>
      </c>
      <c r="AF17" s="1514">
        <f t="shared" si="37"/>
        <v>0</v>
      </c>
      <c r="AG17" s="1376"/>
      <c r="AH17" s="1376">
        <f t="shared" si="38"/>
        <v>0</v>
      </c>
      <c r="AI17" s="1514">
        <f t="shared" si="39"/>
        <v>0</v>
      </c>
      <c r="AJ17" s="1530">
        <f t="shared" si="40"/>
        <v>0</v>
      </c>
      <c r="AK17" s="1534">
        <f t="shared" si="41"/>
        <v>0</v>
      </c>
    </row>
    <row r="18" spans="1:37" ht="16.2" customHeight="1">
      <c r="A18" s="1176">
        <v>12</v>
      </c>
      <c r="B18" s="1177" t="s">
        <v>92</v>
      </c>
      <c r="C18" s="1178">
        <f>+'Table 8 Membership 2.1.14'!S14</f>
        <v>0</v>
      </c>
      <c r="D18" s="1179">
        <f>+'Table 5C1A-Madison Prep'!D18</f>
        <v>1666.6040983606558</v>
      </c>
      <c r="E18" s="1180">
        <f t="shared" si="24"/>
        <v>0</v>
      </c>
      <c r="F18" s="1180">
        <f>+'Table 5C1A-Madison Prep'!F18</f>
        <v>1063.31</v>
      </c>
      <c r="G18" s="1180">
        <f t="shared" si="25"/>
        <v>0</v>
      </c>
      <c r="H18" s="1539">
        <f t="shared" si="26"/>
        <v>0</v>
      </c>
      <c r="I18" s="1181"/>
      <c r="J18" s="1181"/>
      <c r="K18" s="1182"/>
      <c r="L18" s="1545">
        <f t="shared" si="20"/>
        <v>0</v>
      </c>
      <c r="M18" s="1388">
        <f t="shared" si="27"/>
        <v>0</v>
      </c>
      <c r="N18" s="1545">
        <f t="shared" si="28"/>
        <v>0</v>
      </c>
      <c r="O18" s="1181">
        <v>0</v>
      </c>
      <c r="P18" s="1545">
        <f t="shared" si="21"/>
        <v>0</v>
      </c>
      <c r="Q18" s="1181"/>
      <c r="R18" s="1181">
        <f t="shared" si="29"/>
        <v>0</v>
      </c>
      <c r="S18" s="1545">
        <f t="shared" si="30"/>
        <v>0</v>
      </c>
      <c r="T18" s="1545">
        <f t="shared" si="31"/>
        <v>0</v>
      </c>
      <c r="U18" s="1389">
        <f>'Table 5C1A-Madison Prep'!U18</f>
        <v>8094</v>
      </c>
      <c r="V18" s="1515">
        <f t="shared" si="22"/>
        <v>0</v>
      </c>
      <c r="W18" s="1396"/>
      <c r="X18" s="1392">
        <f t="shared" si="32"/>
        <v>0</v>
      </c>
      <c r="Y18" s="1391"/>
      <c r="Z18" s="1392">
        <f t="shared" si="23"/>
        <v>0</v>
      </c>
      <c r="AA18" s="1390">
        <f t="shared" si="33"/>
        <v>0</v>
      </c>
      <c r="AB18" s="1510">
        <f t="shared" si="34"/>
        <v>0</v>
      </c>
      <c r="AC18" s="1394">
        <f t="shared" si="35"/>
        <v>0</v>
      </c>
      <c r="AD18" s="1510">
        <f t="shared" si="36"/>
        <v>0</v>
      </c>
      <c r="AE18" s="1392">
        <v>0</v>
      </c>
      <c r="AF18" s="1515">
        <f t="shared" si="37"/>
        <v>0</v>
      </c>
      <c r="AG18" s="1392"/>
      <c r="AH18" s="1392">
        <f t="shared" si="38"/>
        <v>0</v>
      </c>
      <c r="AI18" s="1515">
        <f t="shared" si="39"/>
        <v>0</v>
      </c>
      <c r="AJ18" s="1505">
        <f t="shared" si="40"/>
        <v>0</v>
      </c>
      <c r="AK18" s="1535">
        <f t="shared" si="41"/>
        <v>0</v>
      </c>
    </row>
    <row r="19" spans="1:37" ht="16.2" customHeight="1">
      <c r="A19" s="1176">
        <v>13</v>
      </c>
      <c r="B19" s="1177" t="s">
        <v>93</v>
      </c>
      <c r="C19" s="1178">
        <f>+'Table 8 Membership 2.1.14'!S15</f>
        <v>0</v>
      </c>
      <c r="D19" s="1179">
        <f>+'Table 5C1A-Madison Prep'!D19</f>
        <v>6433.6297758332212</v>
      </c>
      <c r="E19" s="1180">
        <f t="shared" si="24"/>
        <v>0</v>
      </c>
      <c r="F19" s="1180">
        <f>+'Table 5C1A-Madison Prep'!F19</f>
        <v>749.43000000000006</v>
      </c>
      <c r="G19" s="1180">
        <f t="shared" si="25"/>
        <v>0</v>
      </c>
      <c r="H19" s="1539">
        <f t="shared" si="26"/>
        <v>0</v>
      </c>
      <c r="I19" s="1181"/>
      <c r="J19" s="1181"/>
      <c r="K19" s="1182"/>
      <c r="L19" s="1545">
        <f t="shared" si="20"/>
        <v>0</v>
      </c>
      <c r="M19" s="1388">
        <f t="shared" si="27"/>
        <v>0</v>
      </c>
      <c r="N19" s="1545">
        <f t="shared" si="28"/>
        <v>0</v>
      </c>
      <c r="O19" s="1181">
        <v>0</v>
      </c>
      <c r="P19" s="1545">
        <f t="shared" si="21"/>
        <v>0</v>
      </c>
      <c r="Q19" s="1181"/>
      <c r="R19" s="1181">
        <f t="shared" si="29"/>
        <v>0</v>
      </c>
      <c r="S19" s="1545">
        <f t="shared" si="30"/>
        <v>0</v>
      </c>
      <c r="T19" s="1545">
        <f t="shared" si="31"/>
        <v>0</v>
      </c>
      <c r="U19" s="1389">
        <f>'Table 5C1A-Madison Prep'!U19</f>
        <v>2842</v>
      </c>
      <c r="V19" s="1515">
        <f t="shared" si="22"/>
        <v>0</v>
      </c>
      <c r="W19" s="1396"/>
      <c r="X19" s="1392">
        <f t="shared" si="32"/>
        <v>0</v>
      </c>
      <c r="Y19" s="1391"/>
      <c r="Z19" s="1392">
        <f t="shared" si="23"/>
        <v>0</v>
      </c>
      <c r="AA19" s="1390">
        <f t="shared" si="33"/>
        <v>0</v>
      </c>
      <c r="AB19" s="1510">
        <f t="shared" si="34"/>
        <v>0</v>
      </c>
      <c r="AC19" s="1394">
        <f t="shared" si="35"/>
        <v>0</v>
      </c>
      <c r="AD19" s="1510">
        <f t="shared" si="36"/>
        <v>0</v>
      </c>
      <c r="AE19" s="1392">
        <v>0</v>
      </c>
      <c r="AF19" s="1515">
        <f t="shared" si="37"/>
        <v>0</v>
      </c>
      <c r="AG19" s="1392"/>
      <c r="AH19" s="1392">
        <f t="shared" si="38"/>
        <v>0</v>
      </c>
      <c r="AI19" s="1515">
        <f t="shared" si="39"/>
        <v>0</v>
      </c>
      <c r="AJ19" s="1505">
        <f t="shared" si="40"/>
        <v>0</v>
      </c>
      <c r="AK19" s="1535">
        <f t="shared" si="41"/>
        <v>0</v>
      </c>
    </row>
    <row r="20" spans="1:37" ht="16.2" customHeight="1">
      <c r="A20" s="1176">
        <v>14</v>
      </c>
      <c r="B20" s="1177" t="s">
        <v>94</v>
      </c>
      <c r="C20" s="1178">
        <f>+'Table 8 Membership 2.1.14'!S16</f>
        <v>0</v>
      </c>
      <c r="D20" s="1179">
        <f>+'Table 5C1A-Madison Prep'!D20</f>
        <v>5334.9509412500001</v>
      </c>
      <c r="E20" s="1180">
        <f t="shared" si="24"/>
        <v>0</v>
      </c>
      <c r="F20" s="1180">
        <f>+'Table 5C1A-Madison Prep'!F20</f>
        <v>809.9799999999999</v>
      </c>
      <c r="G20" s="1180">
        <f t="shared" si="25"/>
        <v>0</v>
      </c>
      <c r="H20" s="1539">
        <f t="shared" si="26"/>
        <v>0</v>
      </c>
      <c r="I20" s="1181"/>
      <c r="J20" s="1181"/>
      <c r="K20" s="1182"/>
      <c r="L20" s="1545">
        <f t="shared" si="20"/>
        <v>0</v>
      </c>
      <c r="M20" s="1388">
        <f t="shared" si="27"/>
        <v>0</v>
      </c>
      <c r="N20" s="1545">
        <f t="shared" si="28"/>
        <v>0</v>
      </c>
      <c r="O20" s="1181">
        <v>0</v>
      </c>
      <c r="P20" s="1545">
        <f t="shared" si="21"/>
        <v>0</v>
      </c>
      <c r="Q20" s="1181"/>
      <c r="R20" s="1181">
        <f t="shared" si="29"/>
        <v>0</v>
      </c>
      <c r="S20" s="1545">
        <f t="shared" si="30"/>
        <v>0</v>
      </c>
      <c r="T20" s="1545">
        <f t="shared" si="31"/>
        <v>0</v>
      </c>
      <c r="U20" s="1389">
        <f>'Table 5C1A-Madison Prep'!U20</f>
        <v>4205</v>
      </c>
      <c r="V20" s="1515">
        <f t="shared" si="22"/>
        <v>0</v>
      </c>
      <c r="W20" s="1396"/>
      <c r="X20" s="1392">
        <f t="shared" si="32"/>
        <v>0</v>
      </c>
      <c r="Y20" s="1391"/>
      <c r="Z20" s="1392">
        <f t="shared" si="23"/>
        <v>0</v>
      </c>
      <c r="AA20" s="1390">
        <f t="shared" si="33"/>
        <v>0</v>
      </c>
      <c r="AB20" s="1510">
        <f t="shared" si="34"/>
        <v>0</v>
      </c>
      <c r="AC20" s="1394">
        <f t="shared" si="35"/>
        <v>0</v>
      </c>
      <c r="AD20" s="1510">
        <f t="shared" si="36"/>
        <v>0</v>
      </c>
      <c r="AE20" s="1392">
        <v>0</v>
      </c>
      <c r="AF20" s="1515">
        <f t="shared" si="37"/>
        <v>0</v>
      </c>
      <c r="AG20" s="1392"/>
      <c r="AH20" s="1392">
        <f t="shared" si="38"/>
        <v>0</v>
      </c>
      <c r="AI20" s="1515">
        <f t="shared" si="39"/>
        <v>0</v>
      </c>
      <c r="AJ20" s="1505">
        <f t="shared" si="40"/>
        <v>0</v>
      </c>
      <c r="AK20" s="1535">
        <f t="shared" si="41"/>
        <v>0</v>
      </c>
    </row>
    <row r="21" spans="1:37" ht="16.2" customHeight="1">
      <c r="A21" s="1168">
        <v>15</v>
      </c>
      <c r="B21" s="1169" t="s">
        <v>95</v>
      </c>
      <c r="C21" s="1170">
        <f>+'Table 8 Membership 2.1.14'!S17</f>
        <v>0</v>
      </c>
      <c r="D21" s="1171">
        <f>+'Table 5C1A-Madison Prep'!D21</f>
        <v>5749.8285214059952</v>
      </c>
      <c r="E21" s="1172">
        <f t="shared" si="24"/>
        <v>0</v>
      </c>
      <c r="F21" s="1172">
        <f>+'Table 5C1A-Madison Prep'!F21</f>
        <v>553.79999999999995</v>
      </c>
      <c r="G21" s="1172">
        <f t="shared" si="25"/>
        <v>0</v>
      </c>
      <c r="H21" s="1540">
        <f t="shared" si="26"/>
        <v>0</v>
      </c>
      <c r="I21" s="1173"/>
      <c r="J21" s="1173"/>
      <c r="K21" s="1174"/>
      <c r="L21" s="1546">
        <f t="shared" si="20"/>
        <v>0</v>
      </c>
      <c r="M21" s="1399">
        <f t="shared" si="27"/>
        <v>0</v>
      </c>
      <c r="N21" s="1546">
        <f t="shared" si="28"/>
        <v>0</v>
      </c>
      <c r="O21" s="1173">
        <v>0</v>
      </c>
      <c r="P21" s="1546">
        <f t="shared" si="21"/>
        <v>0</v>
      </c>
      <c r="Q21" s="1173"/>
      <c r="R21" s="1173">
        <f t="shared" si="29"/>
        <v>0</v>
      </c>
      <c r="S21" s="1546">
        <f t="shared" si="30"/>
        <v>0</v>
      </c>
      <c r="T21" s="1546">
        <f t="shared" si="31"/>
        <v>0</v>
      </c>
      <c r="U21" s="1382">
        <f>'Table 5C1A-Madison Prep'!U21</f>
        <v>2535</v>
      </c>
      <c r="V21" s="1516">
        <f t="shared" si="22"/>
        <v>0</v>
      </c>
      <c r="W21" s="1404"/>
      <c r="X21" s="1383">
        <f t="shared" si="32"/>
        <v>0</v>
      </c>
      <c r="Y21" s="1400"/>
      <c r="Z21" s="1383">
        <f t="shared" si="23"/>
        <v>0</v>
      </c>
      <c r="AA21" s="1384">
        <f t="shared" si="33"/>
        <v>0</v>
      </c>
      <c r="AB21" s="1511">
        <f t="shared" si="34"/>
        <v>0</v>
      </c>
      <c r="AC21" s="1402">
        <f t="shared" si="35"/>
        <v>0</v>
      </c>
      <c r="AD21" s="1511">
        <f t="shared" si="36"/>
        <v>0</v>
      </c>
      <c r="AE21" s="1383">
        <v>0</v>
      </c>
      <c r="AF21" s="1516">
        <f t="shared" si="37"/>
        <v>0</v>
      </c>
      <c r="AG21" s="1383"/>
      <c r="AH21" s="1383">
        <f t="shared" si="38"/>
        <v>0</v>
      </c>
      <c r="AI21" s="1516">
        <f t="shared" si="39"/>
        <v>0</v>
      </c>
      <c r="AJ21" s="1531">
        <f t="shared" si="40"/>
        <v>0</v>
      </c>
      <c r="AK21" s="1536">
        <f t="shared" si="41"/>
        <v>0</v>
      </c>
    </row>
    <row r="22" spans="1:37" ht="16.2" customHeight="1">
      <c r="A22" s="1183">
        <v>16</v>
      </c>
      <c r="B22" s="1184" t="s">
        <v>96</v>
      </c>
      <c r="C22" s="1185">
        <f>+'Table 8 Membership 2.1.14'!S18</f>
        <v>0</v>
      </c>
      <c r="D22" s="1186">
        <f>+'Table 5C1A-Madison Prep'!D22</f>
        <v>1980.2494354342025</v>
      </c>
      <c r="E22" s="1187">
        <f t="shared" si="24"/>
        <v>0</v>
      </c>
      <c r="F22" s="1187">
        <f>+'Table 5C1A-Madison Prep'!F22</f>
        <v>686.73</v>
      </c>
      <c r="G22" s="1187">
        <f t="shared" si="25"/>
        <v>0</v>
      </c>
      <c r="H22" s="1538">
        <f t="shared" si="26"/>
        <v>0</v>
      </c>
      <c r="I22" s="1188"/>
      <c r="J22" s="1188"/>
      <c r="K22" s="1189"/>
      <c r="L22" s="1544">
        <f t="shared" si="20"/>
        <v>0</v>
      </c>
      <c r="M22" s="1372">
        <f t="shared" si="27"/>
        <v>0</v>
      </c>
      <c r="N22" s="1544">
        <f t="shared" si="28"/>
        <v>0</v>
      </c>
      <c r="O22" s="1188">
        <v>0</v>
      </c>
      <c r="P22" s="1544">
        <f t="shared" si="21"/>
        <v>0</v>
      </c>
      <c r="Q22" s="1188"/>
      <c r="R22" s="1188">
        <f t="shared" si="29"/>
        <v>0</v>
      </c>
      <c r="S22" s="1544">
        <f t="shared" si="30"/>
        <v>0</v>
      </c>
      <c r="T22" s="1544">
        <f t="shared" si="31"/>
        <v>0</v>
      </c>
      <c r="U22" s="1373">
        <f>'Table 5C1A-Madison Prep'!U22</f>
        <v>12768</v>
      </c>
      <c r="V22" s="1514">
        <f t="shared" si="22"/>
        <v>0</v>
      </c>
      <c r="W22" s="1380"/>
      <c r="X22" s="1376">
        <f t="shared" si="32"/>
        <v>0</v>
      </c>
      <c r="Y22" s="1375"/>
      <c r="Z22" s="1376">
        <f t="shared" si="23"/>
        <v>0</v>
      </c>
      <c r="AA22" s="1374">
        <f t="shared" si="33"/>
        <v>0</v>
      </c>
      <c r="AB22" s="1509">
        <f t="shared" si="34"/>
        <v>0</v>
      </c>
      <c r="AC22" s="1378">
        <f t="shared" si="35"/>
        <v>0</v>
      </c>
      <c r="AD22" s="1509">
        <f t="shared" si="36"/>
        <v>0</v>
      </c>
      <c r="AE22" s="1376">
        <v>0</v>
      </c>
      <c r="AF22" s="1514">
        <f t="shared" si="37"/>
        <v>0</v>
      </c>
      <c r="AG22" s="1376"/>
      <c r="AH22" s="1376">
        <f t="shared" si="38"/>
        <v>0</v>
      </c>
      <c r="AI22" s="1514">
        <f t="shared" si="39"/>
        <v>0</v>
      </c>
      <c r="AJ22" s="1530">
        <f t="shared" si="40"/>
        <v>0</v>
      </c>
      <c r="AK22" s="1534">
        <f t="shared" si="41"/>
        <v>0</v>
      </c>
    </row>
    <row r="23" spans="1:37" ht="16.2" customHeight="1">
      <c r="A23" s="1176">
        <v>17</v>
      </c>
      <c r="B23" s="1177" t="s">
        <v>97</v>
      </c>
      <c r="C23" s="1178">
        <f>+'Table 8 Membership 2.1.14'!S19</f>
        <v>432</v>
      </c>
      <c r="D23" s="1179">
        <f>+'Table 5C1A-Madison Prep'!D23</f>
        <v>3363.5980368254495</v>
      </c>
      <c r="E23" s="1180">
        <f t="shared" si="24"/>
        <v>1453074.3519085941</v>
      </c>
      <c r="F23" s="1180">
        <f>+'Table 5C1A-Madison Prep'!F23</f>
        <v>801.47762416806802</v>
      </c>
      <c r="G23" s="1180">
        <f t="shared" si="25"/>
        <v>346238.33364060539</v>
      </c>
      <c r="H23" s="1539">
        <f t="shared" si="26"/>
        <v>1799312.6855491996</v>
      </c>
      <c r="I23" s="1181"/>
      <c r="J23" s="1181"/>
      <c r="K23" s="1182"/>
      <c r="L23" s="1545">
        <f t="shared" si="20"/>
        <v>1799312.6855491996</v>
      </c>
      <c r="M23" s="1388">
        <f t="shared" si="27"/>
        <v>-4498.2817138729988</v>
      </c>
      <c r="N23" s="1545">
        <f t="shared" si="28"/>
        <v>1794814.4038353267</v>
      </c>
      <c r="O23" s="1181">
        <v>0</v>
      </c>
      <c r="P23" s="1545">
        <f t="shared" si="21"/>
        <v>1794814.4038353267</v>
      </c>
      <c r="Q23" s="1181"/>
      <c r="R23" s="1181">
        <f t="shared" si="29"/>
        <v>1794814.4038353267</v>
      </c>
      <c r="S23" s="1545">
        <f t="shared" si="30"/>
        <v>149568</v>
      </c>
      <c r="T23" s="1545">
        <f t="shared" si="31"/>
        <v>1794814.4038353267</v>
      </c>
      <c r="U23" s="1389">
        <f>'Table 5C1A-Madison Prep'!U23</f>
        <v>7050</v>
      </c>
      <c r="V23" s="1515">
        <f t="shared" si="22"/>
        <v>3045600</v>
      </c>
      <c r="W23" s="1396"/>
      <c r="X23" s="1392">
        <f t="shared" si="32"/>
        <v>0</v>
      </c>
      <c r="Y23" s="1391"/>
      <c r="Z23" s="1392">
        <f t="shared" si="23"/>
        <v>0</v>
      </c>
      <c r="AA23" s="1390">
        <f t="shared" si="33"/>
        <v>0</v>
      </c>
      <c r="AB23" s="1510">
        <f t="shared" si="34"/>
        <v>3045600</v>
      </c>
      <c r="AC23" s="1394">
        <f t="shared" si="35"/>
        <v>-7614</v>
      </c>
      <c r="AD23" s="1510">
        <f t="shared" si="36"/>
        <v>3037986</v>
      </c>
      <c r="AE23" s="1392">
        <v>0</v>
      </c>
      <c r="AF23" s="1515">
        <f t="shared" si="37"/>
        <v>3037986</v>
      </c>
      <c r="AG23" s="1392"/>
      <c r="AH23" s="1392">
        <f t="shared" si="38"/>
        <v>3037986</v>
      </c>
      <c r="AI23" s="1515">
        <f t="shared" si="39"/>
        <v>253166</v>
      </c>
      <c r="AJ23" s="1505">
        <f t="shared" si="40"/>
        <v>4832800.4038353264</v>
      </c>
      <c r="AK23" s="1535">
        <f t="shared" si="41"/>
        <v>402734</v>
      </c>
    </row>
    <row r="24" spans="1:37" ht="16.2" customHeight="1">
      <c r="A24" s="1176">
        <v>18</v>
      </c>
      <c r="B24" s="1177" t="s">
        <v>98</v>
      </c>
      <c r="C24" s="1178">
        <f>+'Table 8 Membership 2.1.14'!S20</f>
        <v>0</v>
      </c>
      <c r="D24" s="1179">
        <f>+'Table 5C1A-Madison Prep'!D24</f>
        <v>6354.5533500475731</v>
      </c>
      <c r="E24" s="1180">
        <f t="shared" si="24"/>
        <v>0</v>
      </c>
      <c r="F24" s="1180">
        <f>+'Table 5C1A-Madison Prep'!F24</f>
        <v>845.94999999999993</v>
      </c>
      <c r="G24" s="1180">
        <f t="shared" si="25"/>
        <v>0</v>
      </c>
      <c r="H24" s="1539">
        <f t="shared" si="26"/>
        <v>0</v>
      </c>
      <c r="I24" s="1181"/>
      <c r="J24" s="1181"/>
      <c r="K24" s="1182"/>
      <c r="L24" s="1545">
        <f t="shared" si="20"/>
        <v>0</v>
      </c>
      <c r="M24" s="1388">
        <f t="shared" si="27"/>
        <v>0</v>
      </c>
      <c r="N24" s="1545">
        <f t="shared" si="28"/>
        <v>0</v>
      </c>
      <c r="O24" s="1181">
        <v>0</v>
      </c>
      <c r="P24" s="1545">
        <f t="shared" si="21"/>
        <v>0</v>
      </c>
      <c r="Q24" s="1181"/>
      <c r="R24" s="1181">
        <f t="shared" si="29"/>
        <v>0</v>
      </c>
      <c r="S24" s="1545">
        <f t="shared" si="30"/>
        <v>0</v>
      </c>
      <c r="T24" s="1545">
        <f t="shared" si="31"/>
        <v>0</v>
      </c>
      <c r="U24" s="1389">
        <f>'Table 5C1A-Madison Prep'!U24</f>
        <v>2526</v>
      </c>
      <c r="V24" s="1515">
        <f t="shared" si="22"/>
        <v>0</v>
      </c>
      <c r="W24" s="1396"/>
      <c r="X24" s="1392">
        <f t="shared" si="32"/>
        <v>0</v>
      </c>
      <c r="Y24" s="1391"/>
      <c r="Z24" s="1392">
        <f t="shared" si="23"/>
        <v>0</v>
      </c>
      <c r="AA24" s="1390">
        <f t="shared" si="33"/>
        <v>0</v>
      </c>
      <c r="AB24" s="1510">
        <f t="shared" si="34"/>
        <v>0</v>
      </c>
      <c r="AC24" s="1394">
        <f t="shared" si="35"/>
        <v>0</v>
      </c>
      <c r="AD24" s="1510">
        <f t="shared" si="36"/>
        <v>0</v>
      </c>
      <c r="AE24" s="1392">
        <v>0</v>
      </c>
      <c r="AF24" s="1515">
        <f t="shared" si="37"/>
        <v>0</v>
      </c>
      <c r="AG24" s="1392"/>
      <c r="AH24" s="1392">
        <f t="shared" si="38"/>
        <v>0</v>
      </c>
      <c r="AI24" s="1515">
        <f t="shared" si="39"/>
        <v>0</v>
      </c>
      <c r="AJ24" s="1505">
        <f t="shared" si="40"/>
        <v>0</v>
      </c>
      <c r="AK24" s="1535">
        <f t="shared" si="41"/>
        <v>0</v>
      </c>
    </row>
    <row r="25" spans="1:37" ht="16.2" customHeight="1">
      <c r="A25" s="1176">
        <v>19</v>
      </c>
      <c r="B25" s="1177" t="s">
        <v>99</v>
      </c>
      <c r="C25" s="1178">
        <f>+'Table 8 Membership 2.1.14'!S21</f>
        <v>3</v>
      </c>
      <c r="D25" s="1179">
        <f>+'Table 5C1A-Madison Prep'!D25</f>
        <v>5314.3921869460446</v>
      </c>
      <c r="E25" s="1180">
        <f t="shared" si="24"/>
        <v>15943.176560838134</v>
      </c>
      <c r="F25" s="1180">
        <f>+'Table 5C1A-Madison Prep'!F25</f>
        <v>905.43</v>
      </c>
      <c r="G25" s="1180">
        <f t="shared" si="25"/>
        <v>2716.29</v>
      </c>
      <c r="H25" s="1539">
        <f t="shared" si="26"/>
        <v>18659.466560838133</v>
      </c>
      <c r="I25" s="1181"/>
      <c r="J25" s="1181"/>
      <c r="K25" s="1182"/>
      <c r="L25" s="1545">
        <f t="shared" si="20"/>
        <v>18659.466560838133</v>
      </c>
      <c r="M25" s="1388">
        <f t="shared" si="27"/>
        <v>-46.64866640209533</v>
      </c>
      <c r="N25" s="1545">
        <f t="shared" si="28"/>
        <v>18612.817894436037</v>
      </c>
      <c r="O25" s="1181">
        <v>0</v>
      </c>
      <c r="P25" s="1545">
        <f t="shared" si="21"/>
        <v>18612.817894436037</v>
      </c>
      <c r="Q25" s="1181"/>
      <c r="R25" s="1181">
        <f t="shared" si="29"/>
        <v>18612.817894436037</v>
      </c>
      <c r="S25" s="1545">
        <f t="shared" si="30"/>
        <v>1551</v>
      </c>
      <c r="T25" s="1545">
        <f t="shared" si="31"/>
        <v>18612.817894436037</v>
      </c>
      <c r="U25" s="1389">
        <f>'Table 5C1A-Madison Prep'!U25</f>
        <v>2908</v>
      </c>
      <c r="V25" s="1515">
        <f t="shared" si="22"/>
        <v>8724</v>
      </c>
      <c r="W25" s="1396"/>
      <c r="X25" s="1392">
        <f t="shared" si="32"/>
        <v>0</v>
      </c>
      <c r="Y25" s="1391"/>
      <c r="Z25" s="1392">
        <f t="shared" si="23"/>
        <v>0</v>
      </c>
      <c r="AA25" s="1390">
        <f t="shared" si="33"/>
        <v>0</v>
      </c>
      <c r="AB25" s="1510">
        <f t="shared" si="34"/>
        <v>8724</v>
      </c>
      <c r="AC25" s="1394">
        <f t="shared" si="35"/>
        <v>-21.81</v>
      </c>
      <c r="AD25" s="1510">
        <f t="shared" si="36"/>
        <v>8702.19</v>
      </c>
      <c r="AE25" s="1392">
        <v>0</v>
      </c>
      <c r="AF25" s="1515">
        <f t="shared" si="37"/>
        <v>8702.19</v>
      </c>
      <c r="AG25" s="1392"/>
      <c r="AH25" s="1392">
        <f t="shared" si="38"/>
        <v>8702.19</v>
      </c>
      <c r="AI25" s="1515">
        <f t="shared" si="39"/>
        <v>725</v>
      </c>
      <c r="AJ25" s="1505">
        <f t="shared" si="40"/>
        <v>27315.007894436036</v>
      </c>
      <c r="AK25" s="1535">
        <f t="shared" si="41"/>
        <v>2276</v>
      </c>
    </row>
    <row r="26" spans="1:37" ht="16.2" customHeight="1">
      <c r="A26" s="1168">
        <v>20</v>
      </c>
      <c r="B26" s="1169" t="s">
        <v>100</v>
      </c>
      <c r="C26" s="1170">
        <f>+'Table 8 Membership 2.1.14'!S22</f>
        <v>0</v>
      </c>
      <c r="D26" s="1171">
        <f>+'Table 5C1A-Madison Prep'!D26</f>
        <v>5278.5201565562011</v>
      </c>
      <c r="E26" s="1172">
        <f t="shared" si="24"/>
        <v>0</v>
      </c>
      <c r="F26" s="1172">
        <f>+'Table 5C1A-Madison Prep'!F26</f>
        <v>586.16999999999996</v>
      </c>
      <c r="G26" s="1172">
        <f t="shared" si="25"/>
        <v>0</v>
      </c>
      <c r="H26" s="1540">
        <f t="shared" si="26"/>
        <v>0</v>
      </c>
      <c r="I26" s="1173"/>
      <c r="J26" s="1173"/>
      <c r="K26" s="1174"/>
      <c r="L26" s="1546">
        <f t="shared" si="20"/>
        <v>0</v>
      </c>
      <c r="M26" s="1399">
        <f t="shared" si="27"/>
        <v>0</v>
      </c>
      <c r="N26" s="1546">
        <f t="shared" si="28"/>
        <v>0</v>
      </c>
      <c r="O26" s="1173">
        <v>0</v>
      </c>
      <c r="P26" s="1546">
        <f t="shared" si="21"/>
        <v>0</v>
      </c>
      <c r="Q26" s="1173"/>
      <c r="R26" s="1173">
        <f t="shared" si="29"/>
        <v>0</v>
      </c>
      <c r="S26" s="1546">
        <f t="shared" si="30"/>
        <v>0</v>
      </c>
      <c r="T26" s="1546">
        <f t="shared" si="31"/>
        <v>0</v>
      </c>
      <c r="U26" s="1382">
        <f>'Table 5C1A-Madison Prep'!U26</f>
        <v>2432</v>
      </c>
      <c r="V26" s="1516">
        <f t="shared" si="22"/>
        <v>0</v>
      </c>
      <c r="W26" s="1404"/>
      <c r="X26" s="1383">
        <f t="shared" si="32"/>
        <v>0</v>
      </c>
      <c r="Y26" s="1400"/>
      <c r="Z26" s="1383">
        <f t="shared" si="23"/>
        <v>0</v>
      </c>
      <c r="AA26" s="1384">
        <f t="shared" si="33"/>
        <v>0</v>
      </c>
      <c r="AB26" s="1511">
        <f t="shared" si="34"/>
        <v>0</v>
      </c>
      <c r="AC26" s="1402">
        <f t="shared" si="35"/>
        <v>0</v>
      </c>
      <c r="AD26" s="1511">
        <f t="shared" si="36"/>
        <v>0</v>
      </c>
      <c r="AE26" s="1383">
        <v>0</v>
      </c>
      <c r="AF26" s="1516">
        <f t="shared" si="37"/>
        <v>0</v>
      </c>
      <c r="AG26" s="1383"/>
      <c r="AH26" s="1383">
        <f t="shared" si="38"/>
        <v>0</v>
      </c>
      <c r="AI26" s="1516">
        <f t="shared" si="39"/>
        <v>0</v>
      </c>
      <c r="AJ26" s="1531">
        <f t="shared" si="40"/>
        <v>0</v>
      </c>
      <c r="AK26" s="1536">
        <f t="shared" si="41"/>
        <v>0</v>
      </c>
    </row>
    <row r="27" spans="1:37" ht="16.2" customHeight="1">
      <c r="A27" s="1183">
        <v>21</v>
      </c>
      <c r="B27" s="1184" t="s">
        <v>101</v>
      </c>
      <c r="C27" s="1185">
        <f>+'Table 8 Membership 2.1.14'!S23</f>
        <v>0</v>
      </c>
      <c r="D27" s="1186">
        <f>+'Table 5C1A-Madison Prep'!D27</f>
        <v>6082.3042295867763</v>
      </c>
      <c r="E27" s="1187">
        <f t="shared" si="24"/>
        <v>0</v>
      </c>
      <c r="F27" s="1187">
        <f>+'Table 5C1A-Madison Prep'!F27</f>
        <v>610.35</v>
      </c>
      <c r="G27" s="1187">
        <f t="shared" si="25"/>
        <v>0</v>
      </c>
      <c r="H27" s="1538">
        <f t="shared" si="26"/>
        <v>0</v>
      </c>
      <c r="I27" s="1188"/>
      <c r="J27" s="1188"/>
      <c r="K27" s="1189"/>
      <c r="L27" s="1544">
        <f t="shared" si="20"/>
        <v>0</v>
      </c>
      <c r="M27" s="1372">
        <f t="shared" si="27"/>
        <v>0</v>
      </c>
      <c r="N27" s="1544">
        <f t="shared" si="28"/>
        <v>0</v>
      </c>
      <c r="O27" s="1188">
        <v>0</v>
      </c>
      <c r="P27" s="1544">
        <f t="shared" si="21"/>
        <v>0</v>
      </c>
      <c r="Q27" s="1188"/>
      <c r="R27" s="1188">
        <f t="shared" si="29"/>
        <v>0</v>
      </c>
      <c r="S27" s="1544">
        <f t="shared" si="30"/>
        <v>0</v>
      </c>
      <c r="T27" s="1544">
        <f t="shared" si="31"/>
        <v>0</v>
      </c>
      <c r="U27" s="1373">
        <f>'Table 5C1A-Madison Prep'!U27</f>
        <v>2460</v>
      </c>
      <c r="V27" s="1514">
        <f t="shared" si="22"/>
        <v>0</v>
      </c>
      <c r="W27" s="1380"/>
      <c r="X27" s="1376">
        <f t="shared" si="32"/>
        <v>0</v>
      </c>
      <c r="Y27" s="1375"/>
      <c r="Z27" s="1376">
        <f t="shared" si="23"/>
        <v>0</v>
      </c>
      <c r="AA27" s="1374">
        <f t="shared" si="33"/>
        <v>0</v>
      </c>
      <c r="AB27" s="1509">
        <f t="shared" si="34"/>
        <v>0</v>
      </c>
      <c r="AC27" s="1378">
        <f t="shared" si="35"/>
        <v>0</v>
      </c>
      <c r="AD27" s="1509">
        <f t="shared" si="36"/>
        <v>0</v>
      </c>
      <c r="AE27" s="1376">
        <v>0</v>
      </c>
      <c r="AF27" s="1514">
        <f t="shared" si="37"/>
        <v>0</v>
      </c>
      <c r="AG27" s="1376"/>
      <c r="AH27" s="1376">
        <f t="shared" si="38"/>
        <v>0</v>
      </c>
      <c r="AI27" s="1514">
        <f t="shared" si="39"/>
        <v>0</v>
      </c>
      <c r="AJ27" s="1530">
        <f t="shared" si="40"/>
        <v>0</v>
      </c>
      <c r="AK27" s="1534">
        <f t="shared" si="41"/>
        <v>0</v>
      </c>
    </row>
    <row r="28" spans="1:37" ht="16.2" customHeight="1">
      <c r="A28" s="1176">
        <v>22</v>
      </c>
      <c r="B28" s="1177" t="s">
        <v>102</v>
      </c>
      <c r="C28" s="1178">
        <f>+'Table 8 Membership 2.1.14'!S24</f>
        <v>0</v>
      </c>
      <c r="D28" s="1179">
        <f>+'Table 5C1A-Madison Prep'!D28</f>
        <v>6416.1099808195995</v>
      </c>
      <c r="E28" s="1180">
        <f t="shared" si="24"/>
        <v>0</v>
      </c>
      <c r="F28" s="1180">
        <f>+'Table 5C1A-Madison Prep'!F28</f>
        <v>496.36</v>
      </c>
      <c r="G28" s="1180">
        <f t="shared" si="25"/>
        <v>0</v>
      </c>
      <c r="H28" s="1539">
        <f t="shared" si="26"/>
        <v>0</v>
      </c>
      <c r="I28" s="1181"/>
      <c r="J28" s="1181"/>
      <c r="K28" s="1182"/>
      <c r="L28" s="1545">
        <f t="shared" si="20"/>
        <v>0</v>
      </c>
      <c r="M28" s="1388">
        <f t="shared" si="27"/>
        <v>0</v>
      </c>
      <c r="N28" s="1545">
        <f t="shared" si="28"/>
        <v>0</v>
      </c>
      <c r="O28" s="1181">
        <v>0</v>
      </c>
      <c r="P28" s="1545">
        <f t="shared" si="21"/>
        <v>0</v>
      </c>
      <c r="Q28" s="1181"/>
      <c r="R28" s="1181">
        <f t="shared" si="29"/>
        <v>0</v>
      </c>
      <c r="S28" s="1545">
        <f t="shared" si="30"/>
        <v>0</v>
      </c>
      <c r="T28" s="1545">
        <f t="shared" si="31"/>
        <v>0</v>
      </c>
      <c r="U28" s="1389">
        <f>'Table 5C1A-Madison Prep'!U28</f>
        <v>1613</v>
      </c>
      <c r="V28" s="1515">
        <f t="shared" si="22"/>
        <v>0</v>
      </c>
      <c r="W28" s="1396"/>
      <c r="X28" s="1392">
        <f t="shared" si="32"/>
        <v>0</v>
      </c>
      <c r="Y28" s="1391"/>
      <c r="Z28" s="1392">
        <f t="shared" si="23"/>
        <v>0</v>
      </c>
      <c r="AA28" s="1390">
        <f t="shared" si="33"/>
        <v>0</v>
      </c>
      <c r="AB28" s="1510">
        <f t="shared" si="34"/>
        <v>0</v>
      </c>
      <c r="AC28" s="1394">
        <f t="shared" si="35"/>
        <v>0</v>
      </c>
      <c r="AD28" s="1510">
        <f t="shared" si="36"/>
        <v>0</v>
      </c>
      <c r="AE28" s="1392">
        <v>0</v>
      </c>
      <c r="AF28" s="1515">
        <f t="shared" si="37"/>
        <v>0</v>
      </c>
      <c r="AG28" s="1392"/>
      <c r="AH28" s="1392">
        <f t="shared" si="38"/>
        <v>0</v>
      </c>
      <c r="AI28" s="1515">
        <f t="shared" si="39"/>
        <v>0</v>
      </c>
      <c r="AJ28" s="1505">
        <f t="shared" si="40"/>
        <v>0</v>
      </c>
      <c r="AK28" s="1535">
        <f t="shared" si="41"/>
        <v>0</v>
      </c>
    </row>
    <row r="29" spans="1:37" ht="16.2" customHeight="1">
      <c r="A29" s="1176">
        <v>23</v>
      </c>
      <c r="B29" s="1177" t="s">
        <v>103</v>
      </c>
      <c r="C29" s="1178">
        <f>+'Table 8 Membership 2.1.14'!S25</f>
        <v>0</v>
      </c>
      <c r="D29" s="1179">
        <f>+'Table 5C1A-Madison Prep'!D29</f>
        <v>5011.0215265979159</v>
      </c>
      <c r="E29" s="1180">
        <f t="shared" si="24"/>
        <v>0</v>
      </c>
      <c r="F29" s="1180">
        <f>+'Table 5C1A-Madison Prep'!F29</f>
        <v>688.58</v>
      </c>
      <c r="G29" s="1180">
        <f t="shared" si="25"/>
        <v>0</v>
      </c>
      <c r="H29" s="1539">
        <f t="shared" si="26"/>
        <v>0</v>
      </c>
      <c r="I29" s="1181"/>
      <c r="J29" s="1181"/>
      <c r="K29" s="1182"/>
      <c r="L29" s="1545">
        <f t="shared" si="20"/>
        <v>0</v>
      </c>
      <c r="M29" s="1388">
        <f t="shared" si="27"/>
        <v>0</v>
      </c>
      <c r="N29" s="1545">
        <f t="shared" si="28"/>
        <v>0</v>
      </c>
      <c r="O29" s="1181">
        <v>0</v>
      </c>
      <c r="P29" s="1545">
        <f t="shared" si="21"/>
        <v>0</v>
      </c>
      <c r="Q29" s="1181"/>
      <c r="R29" s="1181">
        <f t="shared" si="29"/>
        <v>0</v>
      </c>
      <c r="S29" s="1545">
        <f t="shared" si="30"/>
        <v>0</v>
      </c>
      <c r="T29" s="1545">
        <f t="shared" si="31"/>
        <v>0</v>
      </c>
      <c r="U29" s="1389">
        <f>'Table 5C1A-Madison Prep'!U29</f>
        <v>3473</v>
      </c>
      <c r="V29" s="1515">
        <f t="shared" si="22"/>
        <v>0</v>
      </c>
      <c r="W29" s="1396"/>
      <c r="X29" s="1392">
        <f t="shared" si="32"/>
        <v>0</v>
      </c>
      <c r="Y29" s="1391"/>
      <c r="Z29" s="1392">
        <f t="shared" si="23"/>
        <v>0</v>
      </c>
      <c r="AA29" s="1390">
        <f t="shared" si="33"/>
        <v>0</v>
      </c>
      <c r="AB29" s="1510">
        <f t="shared" si="34"/>
        <v>0</v>
      </c>
      <c r="AC29" s="1394">
        <f t="shared" si="35"/>
        <v>0</v>
      </c>
      <c r="AD29" s="1510">
        <f t="shared" si="36"/>
        <v>0</v>
      </c>
      <c r="AE29" s="1392">
        <v>0</v>
      </c>
      <c r="AF29" s="1515">
        <f t="shared" si="37"/>
        <v>0</v>
      </c>
      <c r="AG29" s="1392"/>
      <c r="AH29" s="1392">
        <f t="shared" si="38"/>
        <v>0</v>
      </c>
      <c r="AI29" s="1515">
        <f t="shared" si="39"/>
        <v>0</v>
      </c>
      <c r="AJ29" s="1505">
        <f t="shared" si="40"/>
        <v>0</v>
      </c>
      <c r="AK29" s="1535">
        <f t="shared" si="41"/>
        <v>0</v>
      </c>
    </row>
    <row r="30" spans="1:37" ht="16.2" customHeight="1">
      <c r="A30" s="1176">
        <v>24</v>
      </c>
      <c r="B30" s="1177" t="s">
        <v>104</v>
      </c>
      <c r="C30" s="1178">
        <f>+'Table 8 Membership 2.1.14'!S26</f>
        <v>4</v>
      </c>
      <c r="D30" s="1179">
        <f>+'Table 5C1A-Madison Prep'!D30</f>
        <v>2611.6740361576999</v>
      </c>
      <c r="E30" s="1180">
        <f t="shared" si="24"/>
        <v>10446.6961446308</v>
      </c>
      <c r="F30" s="1180">
        <f>+'Table 5C1A-Madison Prep'!F30</f>
        <v>854.24999999999989</v>
      </c>
      <c r="G30" s="1180">
        <f t="shared" si="25"/>
        <v>3416.9999999999995</v>
      </c>
      <c r="H30" s="1539">
        <f t="shared" si="26"/>
        <v>13863.6961446308</v>
      </c>
      <c r="I30" s="1181"/>
      <c r="J30" s="1181"/>
      <c r="K30" s="1182"/>
      <c r="L30" s="1545">
        <f t="shared" si="20"/>
        <v>13863.6961446308</v>
      </c>
      <c r="M30" s="1388">
        <f t="shared" si="27"/>
        <v>-34.659240361576998</v>
      </c>
      <c r="N30" s="1545">
        <f t="shared" si="28"/>
        <v>13829.036904269222</v>
      </c>
      <c r="O30" s="1181">
        <v>0</v>
      </c>
      <c r="P30" s="1545">
        <f t="shared" si="21"/>
        <v>13829.036904269222</v>
      </c>
      <c r="Q30" s="1181"/>
      <c r="R30" s="1181">
        <f t="shared" si="29"/>
        <v>13829.036904269222</v>
      </c>
      <c r="S30" s="1545">
        <f t="shared" si="30"/>
        <v>1152</v>
      </c>
      <c r="T30" s="1545">
        <f t="shared" si="31"/>
        <v>13829.036904269222</v>
      </c>
      <c r="U30" s="1389">
        <f>'Table 5C1A-Madison Prep'!U30</f>
        <v>10053</v>
      </c>
      <c r="V30" s="1515">
        <f t="shared" si="22"/>
        <v>40212</v>
      </c>
      <c r="W30" s="1396"/>
      <c r="X30" s="1392">
        <f t="shared" si="32"/>
        <v>0</v>
      </c>
      <c r="Y30" s="1391"/>
      <c r="Z30" s="1392">
        <f t="shared" si="23"/>
        <v>0</v>
      </c>
      <c r="AA30" s="1390">
        <f t="shared" si="33"/>
        <v>0</v>
      </c>
      <c r="AB30" s="1510">
        <f t="shared" si="34"/>
        <v>40212</v>
      </c>
      <c r="AC30" s="1394">
        <f t="shared" si="35"/>
        <v>-100.53</v>
      </c>
      <c r="AD30" s="1510">
        <f t="shared" si="36"/>
        <v>40111.47</v>
      </c>
      <c r="AE30" s="1392">
        <v>0</v>
      </c>
      <c r="AF30" s="1515">
        <f t="shared" si="37"/>
        <v>40111.47</v>
      </c>
      <c r="AG30" s="1392"/>
      <c r="AH30" s="1392">
        <f t="shared" si="38"/>
        <v>40111.47</v>
      </c>
      <c r="AI30" s="1515">
        <f t="shared" si="39"/>
        <v>3343</v>
      </c>
      <c r="AJ30" s="1505">
        <f t="shared" si="40"/>
        <v>53940.506904269219</v>
      </c>
      <c r="AK30" s="1535">
        <f t="shared" si="41"/>
        <v>4495</v>
      </c>
    </row>
    <row r="31" spans="1:37" ht="16.2" customHeight="1">
      <c r="A31" s="1168">
        <v>25</v>
      </c>
      <c r="B31" s="1169" t="s">
        <v>105</v>
      </c>
      <c r="C31" s="1170">
        <f>+'Table 8 Membership 2.1.14'!S27</f>
        <v>0</v>
      </c>
      <c r="D31" s="1171">
        <f>+'Table 5C1A-Madison Prep'!D31</f>
        <v>4173.0720274945697</v>
      </c>
      <c r="E31" s="1172">
        <f t="shared" si="24"/>
        <v>0</v>
      </c>
      <c r="F31" s="1172">
        <f>+'Table 5C1A-Madison Prep'!F31</f>
        <v>653.73</v>
      </c>
      <c r="G31" s="1172">
        <f t="shared" si="25"/>
        <v>0</v>
      </c>
      <c r="H31" s="1540">
        <f t="shared" si="26"/>
        <v>0</v>
      </c>
      <c r="I31" s="1173"/>
      <c r="J31" s="1173"/>
      <c r="K31" s="1174"/>
      <c r="L31" s="1546">
        <f t="shared" si="20"/>
        <v>0</v>
      </c>
      <c r="M31" s="1399">
        <f t="shared" si="27"/>
        <v>0</v>
      </c>
      <c r="N31" s="1546">
        <f t="shared" si="28"/>
        <v>0</v>
      </c>
      <c r="O31" s="1173">
        <v>0</v>
      </c>
      <c r="P31" s="1546">
        <f t="shared" si="21"/>
        <v>0</v>
      </c>
      <c r="Q31" s="1173"/>
      <c r="R31" s="1173">
        <f t="shared" si="29"/>
        <v>0</v>
      </c>
      <c r="S31" s="1546">
        <f t="shared" si="30"/>
        <v>0</v>
      </c>
      <c r="T31" s="1546">
        <f t="shared" si="31"/>
        <v>0</v>
      </c>
      <c r="U31" s="1382">
        <f>'Table 5C1A-Madison Prep'!U31</f>
        <v>5073</v>
      </c>
      <c r="V31" s="1516">
        <f t="shared" si="22"/>
        <v>0</v>
      </c>
      <c r="W31" s="1404"/>
      <c r="X31" s="1383">
        <f t="shared" si="32"/>
        <v>0</v>
      </c>
      <c r="Y31" s="1400"/>
      <c r="Z31" s="1383">
        <f t="shared" si="23"/>
        <v>0</v>
      </c>
      <c r="AA31" s="1384">
        <f t="shared" si="33"/>
        <v>0</v>
      </c>
      <c r="AB31" s="1511">
        <f t="shared" si="34"/>
        <v>0</v>
      </c>
      <c r="AC31" s="1402">
        <f t="shared" si="35"/>
        <v>0</v>
      </c>
      <c r="AD31" s="1511">
        <f t="shared" si="36"/>
        <v>0</v>
      </c>
      <c r="AE31" s="1383">
        <v>0</v>
      </c>
      <c r="AF31" s="1516">
        <f t="shared" si="37"/>
        <v>0</v>
      </c>
      <c r="AG31" s="1383"/>
      <c r="AH31" s="1383">
        <f t="shared" si="38"/>
        <v>0</v>
      </c>
      <c r="AI31" s="1516">
        <f t="shared" si="39"/>
        <v>0</v>
      </c>
      <c r="AJ31" s="1531">
        <f t="shared" si="40"/>
        <v>0</v>
      </c>
      <c r="AK31" s="1536">
        <f t="shared" si="41"/>
        <v>0</v>
      </c>
    </row>
    <row r="32" spans="1:37" ht="16.2" customHeight="1">
      <c r="A32" s="1183">
        <v>26</v>
      </c>
      <c r="B32" s="1184" t="s">
        <v>106</v>
      </c>
      <c r="C32" s="1185">
        <f>+'Table 8 Membership 2.1.14'!S28</f>
        <v>0</v>
      </c>
      <c r="D32" s="1186">
        <f>+'Table 5C1A-Madison Prep'!D32</f>
        <v>3424.5649970570835</v>
      </c>
      <c r="E32" s="1187">
        <f t="shared" si="24"/>
        <v>0</v>
      </c>
      <c r="F32" s="1187">
        <f>+'Table 5C1A-Madison Prep'!F32</f>
        <v>836.83</v>
      </c>
      <c r="G32" s="1187">
        <f t="shared" si="25"/>
        <v>0</v>
      </c>
      <c r="H32" s="1538">
        <f t="shared" si="26"/>
        <v>0</v>
      </c>
      <c r="I32" s="1188"/>
      <c r="J32" s="1188"/>
      <c r="K32" s="1189"/>
      <c r="L32" s="1544">
        <f t="shared" si="20"/>
        <v>0</v>
      </c>
      <c r="M32" s="1372">
        <f t="shared" si="27"/>
        <v>0</v>
      </c>
      <c r="N32" s="1544">
        <f t="shared" si="28"/>
        <v>0</v>
      </c>
      <c r="O32" s="1188">
        <v>0</v>
      </c>
      <c r="P32" s="1544">
        <f t="shared" si="21"/>
        <v>0</v>
      </c>
      <c r="Q32" s="1188"/>
      <c r="R32" s="1188">
        <f t="shared" si="29"/>
        <v>0</v>
      </c>
      <c r="S32" s="1544">
        <f t="shared" si="30"/>
        <v>0</v>
      </c>
      <c r="T32" s="1544">
        <f t="shared" si="31"/>
        <v>0</v>
      </c>
      <c r="U32" s="1373">
        <f>'Table 5C1A-Madison Prep'!U32</f>
        <v>5260</v>
      </c>
      <c r="V32" s="1514">
        <f t="shared" si="22"/>
        <v>0</v>
      </c>
      <c r="W32" s="1380"/>
      <c r="X32" s="1376">
        <f t="shared" si="32"/>
        <v>0</v>
      </c>
      <c r="Y32" s="1375"/>
      <c r="Z32" s="1376">
        <f t="shared" si="23"/>
        <v>0</v>
      </c>
      <c r="AA32" s="1374">
        <f t="shared" si="33"/>
        <v>0</v>
      </c>
      <c r="AB32" s="1509">
        <f t="shared" si="34"/>
        <v>0</v>
      </c>
      <c r="AC32" s="1378">
        <f t="shared" si="35"/>
        <v>0</v>
      </c>
      <c r="AD32" s="1509">
        <f t="shared" si="36"/>
        <v>0</v>
      </c>
      <c r="AE32" s="1376">
        <v>0</v>
      </c>
      <c r="AF32" s="1514">
        <f t="shared" si="37"/>
        <v>0</v>
      </c>
      <c r="AG32" s="1376"/>
      <c r="AH32" s="1376">
        <f t="shared" si="38"/>
        <v>0</v>
      </c>
      <c r="AI32" s="1514">
        <f t="shared" si="39"/>
        <v>0</v>
      </c>
      <c r="AJ32" s="1530">
        <f t="shared" si="40"/>
        <v>0</v>
      </c>
      <c r="AK32" s="1534">
        <f t="shared" si="41"/>
        <v>0</v>
      </c>
    </row>
    <row r="33" spans="1:37" ht="16.2" customHeight="1">
      <c r="A33" s="1176">
        <v>27</v>
      </c>
      <c r="B33" s="1177" t="s">
        <v>107</v>
      </c>
      <c r="C33" s="1178">
        <f>+'Table 8 Membership 2.1.14'!S29</f>
        <v>0</v>
      </c>
      <c r="D33" s="1179">
        <f>+'Table 5C1A-Madison Prep'!D33</f>
        <v>5804.9013839977006</v>
      </c>
      <c r="E33" s="1180">
        <f t="shared" si="24"/>
        <v>0</v>
      </c>
      <c r="F33" s="1180">
        <f>+'Table 5C1A-Madison Prep'!F33</f>
        <v>693.06</v>
      </c>
      <c r="G33" s="1180">
        <f t="shared" si="25"/>
        <v>0</v>
      </c>
      <c r="H33" s="1539">
        <f t="shared" si="26"/>
        <v>0</v>
      </c>
      <c r="I33" s="1181"/>
      <c r="J33" s="1181"/>
      <c r="K33" s="1182"/>
      <c r="L33" s="1545">
        <f t="shared" si="20"/>
        <v>0</v>
      </c>
      <c r="M33" s="1388">
        <f t="shared" si="27"/>
        <v>0</v>
      </c>
      <c r="N33" s="1545">
        <f t="shared" si="28"/>
        <v>0</v>
      </c>
      <c r="O33" s="1181">
        <v>0</v>
      </c>
      <c r="P33" s="1545">
        <f t="shared" si="21"/>
        <v>0</v>
      </c>
      <c r="Q33" s="1181"/>
      <c r="R33" s="1181">
        <f t="shared" si="29"/>
        <v>0</v>
      </c>
      <c r="S33" s="1545">
        <f t="shared" si="30"/>
        <v>0</v>
      </c>
      <c r="T33" s="1545">
        <f t="shared" si="31"/>
        <v>0</v>
      </c>
      <c r="U33" s="1389">
        <f>'Table 5C1A-Madison Prep'!U33</f>
        <v>3169</v>
      </c>
      <c r="V33" s="1515">
        <f t="shared" si="22"/>
        <v>0</v>
      </c>
      <c r="W33" s="1396"/>
      <c r="X33" s="1392">
        <f t="shared" si="32"/>
        <v>0</v>
      </c>
      <c r="Y33" s="1391"/>
      <c r="Z33" s="1392">
        <f t="shared" si="23"/>
        <v>0</v>
      </c>
      <c r="AA33" s="1390">
        <f t="shared" si="33"/>
        <v>0</v>
      </c>
      <c r="AB33" s="1510">
        <f t="shared" si="34"/>
        <v>0</v>
      </c>
      <c r="AC33" s="1394">
        <f t="shared" si="35"/>
        <v>0</v>
      </c>
      <c r="AD33" s="1510">
        <f t="shared" si="36"/>
        <v>0</v>
      </c>
      <c r="AE33" s="1392">
        <v>0</v>
      </c>
      <c r="AF33" s="1515">
        <f t="shared" si="37"/>
        <v>0</v>
      </c>
      <c r="AG33" s="1392"/>
      <c r="AH33" s="1392">
        <f t="shared" si="38"/>
        <v>0</v>
      </c>
      <c r="AI33" s="1515">
        <f t="shared" si="39"/>
        <v>0</v>
      </c>
      <c r="AJ33" s="1505">
        <f t="shared" si="40"/>
        <v>0</v>
      </c>
      <c r="AK33" s="1535">
        <f t="shared" si="41"/>
        <v>0</v>
      </c>
    </row>
    <row r="34" spans="1:37" ht="16.2" customHeight="1">
      <c r="A34" s="1176">
        <v>28</v>
      </c>
      <c r="B34" s="1177" t="s">
        <v>108</v>
      </c>
      <c r="C34" s="1178">
        <f>+'Table 8 Membership 2.1.14'!S30</f>
        <v>0</v>
      </c>
      <c r="D34" s="1179">
        <f>+'Table 5C1A-Madison Prep'!D34</f>
        <v>3137.4158846568821</v>
      </c>
      <c r="E34" s="1180">
        <f t="shared" si="24"/>
        <v>0</v>
      </c>
      <c r="F34" s="1180">
        <f>+'Table 5C1A-Madison Prep'!F34</f>
        <v>694.4</v>
      </c>
      <c r="G34" s="1180">
        <f t="shared" si="25"/>
        <v>0</v>
      </c>
      <c r="H34" s="1539">
        <f t="shared" si="26"/>
        <v>0</v>
      </c>
      <c r="I34" s="1181"/>
      <c r="J34" s="1181"/>
      <c r="K34" s="1182"/>
      <c r="L34" s="1545">
        <f t="shared" si="20"/>
        <v>0</v>
      </c>
      <c r="M34" s="1388">
        <f t="shared" si="27"/>
        <v>0</v>
      </c>
      <c r="N34" s="1545">
        <f t="shared" si="28"/>
        <v>0</v>
      </c>
      <c r="O34" s="1181">
        <v>0</v>
      </c>
      <c r="P34" s="1545">
        <f t="shared" si="21"/>
        <v>0</v>
      </c>
      <c r="Q34" s="1181"/>
      <c r="R34" s="1181">
        <f t="shared" si="29"/>
        <v>0</v>
      </c>
      <c r="S34" s="1545">
        <f t="shared" si="30"/>
        <v>0</v>
      </c>
      <c r="T34" s="1545">
        <f t="shared" si="31"/>
        <v>0</v>
      </c>
      <c r="U34" s="1389">
        <f>'Table 5C1A-Madison Prep'!U34</f>
        <v>5790</v>
      </c>
      <c r="V34" s="1515">
        <f t="shared" si="22"/>
        <v>0</v>
      </c>
      <c r="W34" s="1396"/>
      <c r="X34" s="1392">
        <f t="shared" si="32"/>
        <v>0</v>
      </c>
      <c r="Y34" s="1391"/>
      <c r="Z34" s="1392">
        <f t="shared" si="23"/>
        <v>0</v>
      </c>
      <c r="AA34" s="1390">
        <f t="shared" si="33"/>
        <v>0</v>
      </c>
      <c r="AB34" s="1510">
        <f t="shared" si="34"/>
        <v>0</v>
      </c>
      <c r="AC34" s="1394">
        <f t="shared" si="35"/>
        <v>0</v>
      </c>
      <c r="AD34" s="1510">
        <f t="shared" si="36"/>
        <v>0</v>
      </c>
      <c r="AE34" s="1392">
        <v>0</v>
      </c>
      <c r="AF34" s="1515">
        <f t="shared" si="37"/>
        <v>0</v>
      </c>
      <c r="AG34" s="1392"/>
      <c r="AH34" s="1392">
        <f t="shared" si="38"/>
        <v>0</v>
      </c>
      <c r="AI34" s="1515">
        <f t="shared" si="39"/>
        <v>0</v>
      </c>
      <c r="AJ34" s="1505">
        <f t="shared" si="40"/>
        <v>0</v>
      </c>
      <c r="AK34" s="1535">
        <f t="shared" si="41"/>
        <v>0</v>
      </c>
    </row>
    <row r="35" spans="1:37" ht="16.2" customHeight="1">
      <c r="A35" s="1176">
        <v>29</v>
      </c>
      <c r="B35" s="1177" t="s">
        <v>109</v>
      </c>
      <c r="C35" s="1178">
        <f>+'Table 8 Membership 2.1.14'!S31</f>
        <v>0</v>
      </c>
      <c r="D35" s="1179">
        <f>+'Table 5C1A-Madison Prep'!D35</f>
        <v>3839.0123210173724</v>
      </c>
      <c r="E35" s="1180">
        <f t="shared" si="24"/>
        <v>0</v>
      </c>
      <c r="F35" s="1180">
        <f>+'Table 5C1A-Madison Prep'!F35</f>
        <v>754.94999999999993</v>
      </c>
      <c r="G35" s="1180">
        <f t="shared" si="25"/>
        <v>0</v>
      </c>
      <c r="H35" s="1539">
        <f t="shared" si="26"/>
        <v>0</v>
      </c>
      <c r="I35" s="1181"/>
      <c r="J35" s="1181"/>
      <c r="K35" s="1182"/>
      <c r="L35" s="1545">
        <f t="shared" si="20"/>
        <v>0</v>
      </c>
      <c r="M35" s="1388">
        <f t="shared" si="27"/>
        <v>0</v>
      </c>
      <c r="N35" s="1545">
        <f t="shared" si="28"/>
        <v>0</v>
      </c>
      <c r="O35" s="1181">
        <v>0</v>
      </c>
      <c r="P35" s="1545">
        <f t="shared" si="21"/>
        <v>0</v>
      </c>
      <c r="Q35" s="1181"/>
      <c r="R35" s="1181">
        <f t="shared" si="29"/>
        <v>0</v>
      </c>
      <c r="S35" s="1545">
        <f t="shared" si="30"/>
        <v>0</v>
      </c>
      <c r="T35" s="1545">
        <f t="shared" si="31"/>
        <v>0</v>
      </c>
      <c r="U35" s="1389">
        <f>'Table 5C1A-Madison Prep'!U35</f>
        <v>5069</v>
      </c>
      <c r="V35" s="1515">
        <f t="shared" si="22"/>
        <v>0</v>
      </c>
      <c r="W35" s="1396"/>
      <c r="X35" s="1392">
        <f t="shared" si="32"/>
        <v>0</v>
      </c>
      <c r="Y35" s="1391"/>
      <c r="Z35" s="1392">
        <f t="shared" si="23"/>
        <v>0</v>
      </c>
      <c r="AA35" s="1390">
        <f t="shared" si="33"/>
        <v>0</v>
      </c>
      <c r="AB35" s="1510">
        <f t="shared" si="34"/>
        <v>0</v>
      </c>
      <c r="AC35" s="1394">
        <f t="shared" si="35"/>
        <v>0</v>
      </c>
      <c r="AD35" s="1510">
        <f t="shared" si="36"/>
        <v>0</v>
      </c>
      <c r="AE35" s="1392">
        <v>0</v>
      </c>
      <c r="AF35" s="1515">
        <f t="shared" si="37"/>
        <v>0</v>
      </c>
      <c r="AG35" s="1392"/>
      <c r="AH35" s="1392">
        <f t="shared" si="38"/>
        <v>0</v>
      </c>
      <c r="AI35" s="1515">
        <f t="shared" si="39"/>
        <v>0</v>
      </c>
      <c r="AJ35" s="1505">
        <f t="shared" si="40"/>
        <v>0</v>
      </c>
      <c r="AK35" s="1535">
        <f t="shared" si="41"/>
        <v>0</v>
      </c>
    </row>
    <row r="36" spans="1:37" ht="16.2" customHeight="1">
      <c r="A36" s="1168">
        <v>30</v>
      </c>
      <c r="B36" s="1169" t="s">
        <v>110</v>
      </c>
      <c r="C36" s="1170">
        <f>+'Table 8 Membership 2.1.14'!S32</f>
        <v>0</v>
      </c>
      <c r="D36" s="1171">
        <f>+'Table 5C1A-Madison Prep'!D36</f>
        <v>5804.5327273996763</v>
      </c>
      <c r="E36" s="1172">
        <f t="shared" si="24"/>
        <v>0</v>
      </c>
      <c r="F36" s="1172">
        <f>+'Table 5C1A-Madison Prep'!F36</f>
        <v>727.17</v>
      </c>
      <c r="G36" s="1172">
        <f t="shared" si="25"/>
        <v>0</v>
      </c>
      <c r="H36" s="1540">
        <f t="shared" si="26"/>
        <v>0</v>
      </c>
      <c r="I36" s="1173"/>
      <c r="J36" s="1173"/>
      <c r="K36" s="1174"/>
      <c r="L36" s="1546">
        <f t="shared" si="20"/>
        <v>0</v>
      </c>
      <c r="M36" s="1399">
        <f t="shared" si="27"/>
        <v>0</v>
      </c>
      <c r="N36" s="1546">
        <f t="shared" si="28"/>
        <v>0</v>
      </c>
      <c r="O36" s="1173">
        <v>0</v>
      </c>
      <c r="P36" s="1546">
        <f t="shared" si="21"/>
        <v>0</v>
      </c>
      <c r="Q36" s="1173"/>
      <c r="R36" s="1173">
        <f t="shared" si="29"/>
        <v>0</v>
      </c>
      <c r="S36" s="1546">
        <f t="shared" si="30"/>
        <v>0</v>
      </c>
      <c r="T36" s="1546">
        <f t="shared" si="31"/>
        <v>0</v>
      </c>
      <c r="U36" s="1382">
        <f>'Table 5C1A-Madison Prep'!U36</f>
        <v>3609</v>
      </c>
      <c r="V36" s="1516">
        <f t="shared" si="22"/>
        <v>0</v>
      </c>
      <c r="W36" s="1404"/>
      <c r="X36" s="1383">
        <f t="shared" si="32"/>
        <v>0</v>
      </c>
      <c r="Y36" s="1400"/>
      <c r="Z36" s="1383">
        <f t="shared" si="23"/>
        <v>0</v>
      </c>
      <c r="AA36" s="1384">
        <f t="shared" si="33"/>
        <v>0</v>
      </c>
      <c r="AB36" s="1511">
        <f t="shared" si="34"/>
        <v>0</v>
      </c>
      <c r="AC36" s="1402">
        <f t="shared" si="35"/>
        <v>0</v>
      </c>
      <c r="AD36" s="1511">
        <f t="shared" si="36"/>
        <v>0</v>
      </c>
      <c r="AE36" s="1383">
        <v>0</v>
      </c>
      <c r="AF36" s="1516">
        <f t="shared" si="37"/>
        <v>0</v>
      </c>
      <c r="AG36" s="1383"/>
      <c r="AH36" s="1383">
        <f t="shared" si="38"/>
        <v>0</v>
      </c>
      <c r="AI36" s="1516">
        <f t="shared" si="39"/>
        <v>0</v>
      </c>
      <c r="AJ36" s="1531">
        <f t="shared" si="40"/>
        <v>0</v>
      </c>
      <c r="AK36" s="1536">
        <f t="shared" si="41"/>
        <v>0</v>
      </c>
    </row>
    <row r="37" spans="1:37" ht="16.2" customHeight="1">
      <c r="A37" s="1183">
        <v>31</v>
      </c>
      <c r="B37" s="1184" t="s">
        <v>111</v>
      </c>
      <c r="C37" s="1185">
        <f>+'Table 8 Membership 2.1.14'!S33</f>
        <v>0</v>
      </c>
      <c r="D37" s="1186">
        <f>+'Table 5C1A-Madison Prep'!D37</f>
        <v>4520.6176716868531</v>
      </c>
      <c r="E37" s="1187">
        <f t="shared" si="24"/>
        <v>0</v>
      </c>
      <c r="F37" s="1187">
        <f>+'Table 5C1A-Madison Prep'!F37</f>
        <v>620.83000000000004</v>
      </c>
      <c r="G37" s="1187">
        <f t="shared" si="25"/>
        <v>0</v>
      </c>
      <c r="H37" s="1538">
        <f t="shared" si="26"/>
        <v>0</v>
      </c>
      <c r="I37" s="1188"/>
      <c r="J37" s="1188"/>
      <c r="K37" s="1189"/>
      <c r="L37" s="1544">
        <f t="shared" si="20"/>
        <v>0</v>
      </c>
      <c r="M37" s="1372">
        <f t="shared" si="27"/>
        <v>0</v>
      </c>
      <c r="N37" s="1544">
        <f t="shared" si="28"/>
        <v>0</v>
      </c>
      <c r="O37" s="1188">
        <v>0</v>
      </c>
      <c r="P37" s="1544">
        <f t="shared" si="21"/>
        <v>0</v>
      </c>
      <c r="Q37" s="1188"/>
      <c r="R37" s="1188">
        <f t="shared" si="29"/>
        <v>0</v>
      </c>
      <c r="S37" s="1544">
        <f t="shared" si="30"/>
        <v>0</v>
      </c>
      <c r="T37" s="1544">
        <f t="shared" si="31"/>
        <v>0</v>
      </c>
      <c r="U37" s="1373">
        <f>'Table 5C1A-Madison Prep'!U37</f>
        <v>5043</v>
      </c>
      <c r="V37" s="1514">
        <f t="shared" si="22"/>
        <v>0</v>
      </c>
      <c r="W37" s="1380"/>
      <c r="X37" s="1376">
        <f t="shared" si="32"/>
        <v>0</v>
      </c>
      <c r="Y37" s="1375"/>
      <c r="Z37" s="1376">
        <f t="shared" si="23"/>
        <v>0</v>
      </c>
      <c r="AA37" s="1374">
        <f t="shared" si="33"/>
        <v>0</v>
      </c>
      <c r="AB37" s="1509">
        <f t="shared" si="34"/>
        <v>0</v>
      </c>
      <c r="AC37" s="1378">
        <f t="shared" si="35"/>
        <v>0</v>
      </c>
      <c r="AD37" s="1509">
        <f t="shared" si="36"/>
        <v>0</v>
      </c>
      <c r="AE37" s="1376">
        <v>0</v>
      </c>
      <c r="AF37" s="1514">
        <f t="shared" si="37"/>
        <v>0</v>
      </c>
      <c r="AG37" s="1376"/>
      <c r="AH37" s="1376">
        <f t="shared" si="38"/>
        <v>0</v>
      </c>
      <c r="AI37" s="1514">
        <f t="shared" si="39"/>
        <v>0</v>
      </c>
      <c r="AJ37" s="1530">
        <f t="shared" si="40"/>
        <v>0</v>
      </c>
      <c r="AK37" s="1534">
        <f t="shared" si="41"/>
        <v>0</v>
      </c>
    </row>
    <row r="38" spans="1:37" ht="16.2" customHeight="1">
      <c r="A38" s="1176">
        <v>32</v>
      </c>
      <c r="B38" s="1177" t="s">
        <v>112</v>
      </c>
      <c r="C38" s="1178">
        <f>+'Table 8 Membership 2.1.14'!S34</f>
        <v>1</v>
      </c>
      <c r="D38" s="1179">
        <f>+'Table 5C1A-Madison Prep'!D38</f>
        <v>5652.819189061127</v>
      </c>
      <c r="E38" s="1180">
        <f t="shared" si="24"/>
        <v>5652.819189061127</v>
      </c>
      <c r="F38" s="1180">
        <f>+'Table 5C1A-Madison Prep'!F38</f>
        <v>559.77</v>
      </c>
      <c r="G38" s="1180">
        <f t="shared" si="25"/>
        <v>559.77</v>
      </c>
      <c r="H38" s="1539">
        <f t="shared" si="26"/>
        <v>6212.5891890611274</v>
      </c>
      <c r="I38" s="1181"/>
      <c r="J38" s="1181"/>
      <c r="K38" s="1182"/>
      <c r="L38" s="1545">
        <f t="shared" si="20"/>
        <v>6212.5891890611274</v>
      </c>
      <c r="M38" s="1388">
        <f t="shared" si="27"/>
        <v>-15.53147297265282</v>
      </c>
      <c r="N38" s="1545">
        <f t="shared" si="28"/>
        <v>6197.057716088475</v>
      </c>
      <c r="O38" s="1181">
        <v>0</v>
      </c>
      <c r="P38" s="1545">
        <f t="shared" si="21"/>
        <v>6197.057716088475</v>
      </c>
      <c r="Q38" s="1181"/>
      <c r="R38" s="1181">
        <f t="shared" si="29"/>
        <v>6197.057716088475</v>
      </c>
      <c r="S38" s="1545">
        <f t="shared" si="30"/>
        <v>516</v>
      </c>
      <c r="T38" s="1545">
        <f t="shared" si="31"/>
        <v>6197.057716088475</v>
      </c>
      <c r="U38" s="1389">
        <f>'Table 5C1A-Madison Prep'!U38</f>
        <v>2121</v>
      </c>
      <c r="V38" s="1515">
        <f t="shared" si="22"/>
        <v>2121</v>
      </c>
      <c r="W38" s="1396"/>
      <c r="X38" s="1392">
        <f t="shared" si="32"/>
        <v>0</v>
      </c>
      <c r="Y38" s="1391"/>
      <c r="Z38" s="1392">
        <f t="shared" si="23"/>
        <v>0</v>
      </c>
      <c r="AA38" s="1390">
        <f t="shared" si="33"/>
        <v>0</v>
      </c>
      <c r="AB38" s="1510">
        <f t="shared" si="34"/>
        <v>2121</v>
      </c>
      <c r="AC38" s="1394">
        <f t="shared" si="35"/>
        <v>-5.3025000000000002</v>
      </c>
      <c r="AD38" s="1510">
        <f t="shared" si="36"/>
        <v>2115.6975000000002</v>
      </c>
      <c r="AE38" s="1392">
        <v>0</v>
      </c>
      <c r="AF38" s="1515">
        <f t="shared" si="37"/>
        <v>2115.6975000000002</v>
      </c>
      <c r="AG38" s="1392"/>
      <c r="AH38" s="1392">
        <f t="shared" si="38"/>
        <v>2115.6975000000002</v>
      </c>
      <c r="AI38" s="1515">
        <f t="shared" si="39"/>
        <v>176</v>
      </c>
      <c r="AJ38" s="1505">
        <f t="shared" si="40"/>
        <v>8312.7552160884752</v>
      </c>
      <c r="AK38" s="1535">
        <f t="shared" si="41"/>
        <v>692</v>
      </c>
    </row>
    <row r="39" spans="1:37" ht="16.2" customHeight="1">
      <c r="A39" s="1176">
        <v>33</v>
      </c>
      <c r="B39" s="1177" t="s">
        <v>113</v>
      </c>
      <c r="C39" s="1178">
        <f>+'Table 8 Membership 2.1.14'!S35</f>
        <v>0</v>
      </c>
      <c r="D39" s="1179">
        <f>+'Table 5C1A-Madison Prep'!D39</f>
        <v>5456.2254558085233</v>
      </c>
      <c r="E39" s="1180">
        <f t="shared" si="24"/>
        <v>0</v>
      </c>
      <c r="F39" s="1180">
        <f>+'Table 5C1A-Madison Prep'!F39</f>
        <v>655.31000000000006</v>
      </c>
      <c r="G39" s="1180">
        <f t="shared" si="25"/>
        <v>0</v>
      </c>
      <c r="H39" s="1539">
        <f t="shared" si="26"/>
        <v>0</v>
      </c>
      <c r="I39" s="1181"/>
      <c r="J39" s="1181"/>
      <c r="K39" s="1182"/>
      <c r="L39" s="1545">
        <f t="shared" ref="L39:L70" si="42">H39+K39</f>
        <v>0</v>
      </c>
      <c r="M39" s="1388">
        <f t="shared" si="27"/>
        <v>0</v>
      </c>
      <c r="N39" s="1545">
        <f t="shared" si="28"/>
        <v>0</v>
      </c>
      <c r="O39" s="1181">
        <v>0</v>
      </c>
      <c r="P39" s="1545">
        <f t="shared" si="21"/>
        <v>0</v>
      </c>
      <c r="Q39" s="1181"/>
      <c r="R39" s="1181">
        <f t="shared" si="29"/>
        <v>0</v>
      </c>
      <c r="S39" s="1545">
        <f t="shared" si="30"/>
        <v>0</v>
      </c>
      <c r="T39" s="1545">
        <f t="shared" si="31"/>
        <v>0</v>
      </c>
      <c r="U39" s="1389">
        <f>'Table 5C1A-Madison Prep'!U39</f>
        <v>3616</v>
      </c>
      <c r="V39" s="1515">
        <f t="shared" ref="V39:V70" si="43">C39*U39</f>
        <v>0</v>
      </c>
      <c r="W39" s="1396"/>
      <c r="X39" s="1392">
        <f t="shared" si="32"/>
        <v>0</v>
      </c>
      <c r="Y39" s="1391"/>
      <c r="Z39" s="1392">
        <f t="shared" si="23"/>
        <v>0</v>
      </c>
      <c r="AA39" s="1390">
        <f t="shared" si="33"/>
        <v>0</v>
      </c>
      <c r="AB39" s="1510">
        <f t="shared" si="34"/>
        <v>0</v>
      </c>
      <c r="AC39" s="1394">
        <f t="shared" si="35"/>
        <v>0</v>
      </c>
      <c r="AD39" s="1510">
        <f t="shared" si="36"/>
        <v>0</v>
      </c>
      <c r="AE39" s="1392">
        <v>0</v>
      </c>
      <c r="AF39" s="1515">
        <f t="shared" si="37"/>
        <v>0</v>
      </c>
      <c r="AG39" s="1392"/>
      <c r="AH39" s="1392">
        <f t="shared" si="38"/>
        <v>0</v>
      </c>
      <c r="AI39" s="1515">
        <f t="shared" si="39"/>
        <v>0</v>
      </c>
      <c r="AJ39" s="1505">
        <f t="shared" si="40"/>
        <v>0</v>
      </c>
      <c r="AK39" s="1535">
        <f t="shared" ref="AK39:AK75" si="44">S39+AI39</f>
        <v>0</v>
      </c>
    </row>
    <row r="40" spans="1:37" ht="16.2" customHeight="1">
      <c r="A40" s="1176">
        <v>34</v>
      </c>
      <c r="B40" s="1177" t="s">
        <v>114</v>
      </c>
      <c r="C40" s="1178">
        <f>+'Table 8 Membership 2.1.14'!S36</f>
        <v>0</v>
      </c>
      <c r="D40" s="1179">
        <f>+'Table 5C1A-Madison Prep'!D40</f>
        <v>6292.0976842789005</v>
      </c>
      <c r="E40" s="1180">
        <f t="shared" si="24"/>
        <v>0</v>
      </c>
      <c r="F40" s="1180">
        <f>+'Table 5C1A-Madison Prep'!F40</f>
        <v>644.11000000000013</v>
      </c>
      <c r="G40" s="1180">
        <f t="shared" si="25"/>
        <v>0</v>
      </c>
      <c r="H40" s="1539">
        <f t="shared" si="26"/>
        <v>0</v>
      </c>
      <c r="I40" s="1181"/>
      <c r="J40" s="1181"/>
      <c r="K40" s="1182"/>
      <c r="L40" s="1545">
        <f t="shared" si="42"/>
        <v>0</v>
      </c>
      <c r="M40" s="1388">
        <f t="shared" si="27"/>
        <v>0</v>
      </c>
      <c r="N40" s="1545">
        <f t="shared" si="28"/>
        <v>0</v>
      </c>
      <c r="O40" s="1181">
        <v>0</v>
      </c>
      <c r="P40" s="1545">
        <f t="shared" si="21"/>
        <v>0</v>
      </c>
      <c r="Q40" s="1181"/>
      <c r="R40" s="1181">
        <f t="shared" si="29"/>
        <v>0</v>
      </c>
      <c r="S40" s="1545">
        <f t="shared" si="30"/>
        <v>0</v>
      </c>
      <c r="T40" s="1545">
        <f t="shared" si="31"/>
        <v>0</v>
      </c>
      <c r="U40" s="1389">
        <f>'Table 5C1A-Madison Prep'!U40</f>
        <v>2721</v>
      </c>
      <c r="V40" s="1515">
        <f t="shared" si="43"/>
        <v>0</v>
      </c>
      <c r="W40" s="1396"/>
      <c r="X40" s="1392">
        <f t="shared" si="32"/>
        <v>0</v>
      </c>
      <c r="Y40" s="1391"/>
      <c r="Z40" s="1392">
        <f t="shared" si="23"/>
        <v>0</v>
      </c>
      <c r="AA40" s="1390">
        <f t="shared" si="33"/>
        <v>0</v>
      </c>
      <c r="AB40" s="1510">
        <f t="shared" si="34"/>
        <v>0</v>
      </c>
      <c r="AC40" s="1394">
        <f t="shared" si="35"/>
        <v>0</v>
      </c>
      <c r="AD40" s="1510">
        <f t="shared" si="36"/>
        <v>0</v>
      </c>
      <c r="AE40" s="1392">
        <v>0</v>
      </c>
      <c r="AF40" s="1515">
        <f t="shared" si="37"/>
        <v>0</v>
      </c>
      <c r="AG40" s="1392"/>
      <c r="AH40" s="1392">
        <f t="shared" si="38"/>
        <v>0</v>
      </c>
      <c r="AI40" s="1515">
        <f t="shared" si="39"/>
        <v>0</v>
      </c>
      <c r="AJ40" s="1505">
        <f t="shared" si="40"/>
        <v>0</v>
      </c>
      <c r="AK40" s="1535">
        <f t="shared" si="44"/>
        <v>0</v>
      </c>
    </row>
    <row r="41" spans="1:37" ht="16.2" customHeight="1">
      <c r="A41" s="1168">
        <v>35</v>
      </c>
      <c r="B41" s="1169" t="s">
        <v>115</v>
      </c>
      <c r="C41" s="1170">
        <f>+'Table 8 Membership 2.1.14'!S37</f>
        <v>0</v>
      </c>
      <c r="D41" s="1171">
        <f>+'Table 5C1A-Madison Prep'!D41</f>
        <v>5166.2482060477605</v>
      </c>
      <c r="E41" s="1172">
        <f t="shared" si="24"/>
        <v>0</v>
      </c>
      <c r="F41" s="1172">
        <f>+'Table 5C1A-Madison Prep'!F41</f>
        <v>537.96</v>
      </c>
      <c r="G41" s="1172">
        <f t="shared" si="25"/>
        <v>0</v>
      </c>
      <c r="H41" s="1540">
        <f t="shared" si="26"/>
        <v>0</v>
      </c>
      <c r="I41" s="1173"/>
      <c r="J41" s="1173"/>
      <c r="K41" s="1174"/>
      <c r="L41" s="1546">
        <f t="shared" si="42"/>
        <v>0</v>
      </c>
      <c r="M41" s="1399">
        <f t="shared" si="27"/>
        <v>0</v>
      </c>
      <c r="N41" s="1546">
        <f t="shared" si="28"/>
        <v>0</v>
      </c>
      <c r="O41" s="1173">
        <v>0</v>
      </c>
      <c r="P41" s="1546">
        <f t="shared" si="21"/>
        <v>0</v>
      </c>
      <c r="Q41" s="1173"/>
      <c r="R41" s="1173">
        <f t="shared" si="29"/>
        <v>0</v>
      </c>
      <c r="S41" s="1546">
        <f t="shared" si="30"/>
        <v>0</v>
      </c>
      <c r="T41" s="1546">
        <f t="shared" si="31"/>
        <v>0</v>
      </c>
      <c r="U41" s="1382">
        <f>'Table 5C1A-Madison Prep'!U41</f>
        <v>3255</v>
      </c>
      <c r="V41" s="1516">
        <f t="shared" si="43"/>
        <v>0</v>
      </c>
      <c r="W41" s="1404"/>
      <c r="X41" s="1383">
        <f t="shared" si="32"/>
        <v>0</v>
      </c>
      <c r="Y41" s="1400"/>
      <c r="Z41" s="1383">
        <f t="shared" si="23"/>
        <v>0</v>
      </c>
      <c r="AA41" s="1384">
        <f t="shared" si="33"/>
        <v>0</v>
      </c>
      <c r="AB41" s="1511">
        <f t="shared" si="34"/>
        <v>0</v>
      </c>
      <c r="AC41" s="1402">
        <f t="shared" si="35"/>
        <v>0</v>
      </c>
      <c r="AD41" s="1511">
        <f t="shared" si="36"/>
        <v>0</v>
      </c>
      <c r="AE41" s="1383">
        <v>0</v>
      </c>
      <c r="AF41" s="1516">
        <f t="shared" si="37"/>
        <v>0</v>
      </c>
      <c r="AG41" s="1383"/>
      <c r="AH41" s="1383">
        <f t="shared" si="38"/>
        <v>0</v>
      </c>
      <c r="AI41" s="1516">
        <f t="shared" si="39"/>
        <v>0</v>
      </c>
      <c r="AJ41" s="1531">
        <f t="shared" si="40"/>
        <v>0</v>
      </c>
      <c r="AK41" s="1536">
        <f t="shared" si="44"/>
        <v>0</v>
      </c>
    </row>
    <row r="42" spans="1:37" ht="16.2" customHeight="1">
      <c r="A42" s="1183">
        <v>36</v>
      </c>
      <c r="B42" s="1184" t="s">
        <v>116</v>
      </c>
      <c r="C42" s="1185">
        <f>+'Table 8 Membership 2.1.14'!S38</f>
        <v>0</v>
      </c>
      <c r="D42" s="1186">
        <f>+'Table 5C1A-Madison Prep'!D42</f>
        <v>3602.7009974327857</v>
      </c>
      <c r="E42" s="1187">
        <f t="shared" si="24"/>
        <v>0</v>
      </c>
      <c r="F42" s="1187">
        <f>+'Table 5C1A-Madison Prep'!F42</f>
        <v>746.0335616438357</v>
      </c>
      <c r="G42" s="1187">
        <f t="shared" si="25"/>
        <v>0</v>
      </c>
      <c r="H42" s="1538">
        <f t="shared" si="26"/>
        <v>0</v>
      </c>
      <c r="I42" s="1188"/>
      <c r="J42" s="1188"/>
      <c r="K42" s="1189"/>
      <c r="L42" s="1544">
        <f t="shared" si="42"/>
        <v>0</v>
      </c>
      <c r="M42" s="1372">
        <f t="shared" si="27"/>
        <v>0</v>
      </c>
      <c r="N42" s="1544">
        <f t="shared" si="28"/>
        <v>0</v>
      </c>
      <c r="O42" s="1188">
        <v>0</v>
      </c>
      <c r="P42" s="1544">
        <f t="shared" si="21"/>
        <v>0</v>
      </c>
      <c r="Q42" s="1188"/>
      <c r="R42" s="1188">
        <f t="shared" si="29"/>
        <v>0</v>
      </c>
      <c r="S42" s="1544">
        <f t="shared" si="30"/>
        <v>0</v>
      </c>
      <c r="T42" s="1544">
        <f t="shared" si="31"/>
        <v>0</v>
      </c>
      <c r="U42" s="1373">
        <f>'Table 5C1A-Madison Prep'!U42</f>
        <v>5435</v>
      </c>
      <c r="V42" s="1514">
        <f t="shared" si="43"/>
        <v>0</v>
      </c>
      <c r="W42" s="1380"/>
      <c r="X42" s="1376">
        <f t="shared" si="32"/>
        <v>0</v>
      </c>
      <c r="Y42" s="1375"/>
      <c r="Z42" s="1376">
        <f t="shared" si="23"/>
        <v>0</v>
      </c>
      <c r="AA42" s="1374">
        <f t="shared" si="33"/>
        <v>0</v>
      </c>
      <c r="AB42" s="1509">
        <f t="shared" si="34"/>
        <v>0</v>
      </c>
      <c r="AC42" s="1378">
        <f t="shared" si="35"/>
        <v>0</v>
      </c>
      <c r="AD42" s="1509">
        <f t="shared" si="36"/>
        <v>0</v>
      </c>
      <c r="AE42" s="1376">
        <v>0</v>
      </c>
      <c r="AF42" s="1514">
        <f t="shared" si="37"/>
        <v>0</v>
      </c>
      <c r="AG42" s="1376"/>
      <c r="AH42" s="1376">
        <f t="shared" si="38"/>
        <v>0</v>
      </c>
      <c r="AI42" s="1514">
        <f t="shared" si="39"/>
        <v>0</v>
      </c>
      <c r="AJ42" s="1530">
        <f t="shared" si="40"/>
        <v>0</v>
      </c>
      <c r="AK42" s="1534">
        <f t="shared" si="44"/>
        <v>0</v>
      </c>
    </row>
    <row r="43" spans="1:37" ht="16.2" customHeight="1">
      <c r="A43" s="1176">
        <v>37</v>
      </c>
      <c r="B43" s="1177" t="s">
        <v>117</v>
      </c>
      <c r="C43" s="1178">
        <f>+'Table 8 Membership 2.1.14'!S39</f>
        <v>0</v>
      </c>
      <c r="D43" s="1179">
        <f>+'Table 5C1A-Madison Prep'!D43</f>
        <v>5665.3839260317691</v>
      </c>
      <c r="E43" s="1180">
        <f t="shared" si="24"/>
        <v>0</v>
      </c>
      <c r="F43" s="1180">
        <f>+'Table 5C1A-Madison Prep'!F43</f>
        <v>653.61</v>
      </c>
      <c r="G43" s="1180">
        <f t="shared" si="25"/>
        <v>0</v>
      </c>
      <c r="H43" s="1539">
        <f t="shared" si="26"/>
        <v>0</v>
      </c>
      <c r="I43" s="1181"/>
      <c r="J43" s="1181"/>
      <c r="K43" s="1182"/>
      <c r="L43" s="1545">
        <f t="shared" si="42"/>
        <v>0</v>
      </c>
      <c r="M43" s="1388">
        <f t="shared" si="27"/>
        <v>0</v>
      </c>
      <c r="N43" s="1545">
        <f t="shared" si="28"/>
        <v>0</v>
      </c>
      <c r="O43" s="1181">
        <v>0</v>
      </c>
      <c r="P43" s="1545">
        <f t="shared" si="21"/>
        <v>0</v>
      </c>
      <c r="Q43" s="1181"/>
      <c r="R43" s="1181">
        <f t="shared" si="29"/>
        <v>0</v>
      </c>
      <c r="S43" s="1545">
        <f t="shared" si="30"/>
        <v>0</v>
      </c>
      <c r="T43" s="1545">
        <f t="shared" si="31"/>
        <v>0</v>
      </c>
      <c r="U43" s="1389">
        <f>'Table 5C1A-Madison Prep'!U43</f>
        <v>3520</v>
      </c>
      <c r="V43" s="1515">
        <f t="shared" si="43"/>
        <v>0</v>
      </c>
      <c r="W43" s="1396"/>
      <c r="X43" s="1392">
        <f t="shared" si="32"/>
        <v>0</v>
      </c>
      <c r="Y43" s="1391"/>
      <c r="Z43" s="1392">
        <f t="shared" si="23"/>
        <v>0</v>
      </c>
      <c r="AA43" s="1390">
        <f t="shared" si="33"/>
        <v>0</v>
      </c>
      <c r="AB43" s="1510">
        <f t="shared" si="34"/>
        <v>0</v>
      </c>
      <c r="AC43" s="1394">
        <f t="shared" si="35"/>
        <v>0</v>
      </c>
      <c r="AD43" s="1510">
        <f t="shared" si="36"/>
        <v>0</v>
      </c>
      <c r="AE43" s="1392">
        <v>0</v>
      </c>
      <c r="AF43" s="1515">
        <f t="shared" si="37"/>
        <v>0</v>
      </c>
      <c r="AG43" s="1392"/>
      <c r="AH43" s="1392">
        <f t="shared" si="38"/>
        <v>0</v>
      </c>
      <c r="AI43" s="1515">
        <f t="shared" si="39"/>
        <v>0</v>
      </c>
      <c r="AJ43" s="1505">
        <f t="shared" si="40"/>
        <v>0</v>
      </c>
      <c r="AK43" s="1535">
        <f t="shared" si="44"/>
        <v>0</v>
      </c>
    </row>
    <row r="44" spans="1:37" ht="16.2" customHeight="1">
      <c r="A44" s="1176">
        <v>38</v>
      </c>
      <c r="B44" s="1177" t="s">
        <v>118</v>
      </c>
      <c r="C44" s="1178">
        <f>+'Table 8 Membership 2.1.14'!S40</f>
        <v>0</v>
      </c>
      <c r="D44" s="1179">
        <f>+'Table 5C1A-Madison Prep'!D44</f>
        <v>2088.8017552916881</v>
      </c>
      <c r="E44" s="1180">
        <f t="shared" si="24"/>
        <v>0</v>
      </c>
      <c r="F44" s="1180">
        <f>+'Table 5C1A-Madison Prep'!F44</f>
        <v>829.92000000000007</v>
      </c>
      <c r="G44" s="1180">
        <f t="shared" si="25"/>
        <v>0</v>
      </c>
      <c r="H44" s="1539">
        <f t="shared" si="26"/>
        <v>0</v>
      </c>
      <c r="I44" s="1181"/>
      <c r="J44" s="1181"/>
      <c r="K44" s="1182"/>
      <c r="L44" s="1545">
        <f t="shared" si="42"/>
        <v>0</v>
      </c>
      <c r="M44" s="1388">
        <f t="shared" si="27"/>
        <v>0</v>
      </c>
      <c r="N44" s="1545">
        <f t="shared" si="28"/>
        <v>0</v>
      </c>
      <c r="O44" s="1181">
        <v>0</v>
      </c>
      <c r="P44" s="1545">
        <f t="shared" si="21"/>
        <v>0</v>
      </c>
      <c r="Q44" s="1181"/>
      <c r="R44" s="1181">
        <f t="shared" si="29"/>
        <v>0</v>
      </c>
      <c r="S44" s="1545">
        <f t="shared" si="30"/>
        <v>0</v>
      </c>
      <c r="T44" s="1545">
        <f t="shared" si="31"/>
        <v>0</v>
      </c>
      <c r="U44" s="1389">
        <f>'Table 5C1A-Madison Prep'!U44</f>
        <v>11379</v>
      </c>
      <c r="V44" s="1515">
        <f t="shared" si="43"/>
        <v>0</v>
      </c>
      <c r="W44" s="1396"/>
      <c r="X44" s="1392">
        <f t="shared" si="32"/>
        <v>0</v>
      </c>
      <c r="Y44" s="1391"/>
      <c r="Z44" s="1392">
        <f t="shared" si="23"/>
        <v>0</v>
      </c>
      <c r="AA44" s="1390">
        <f t="shared" si="33"/>
        <v>0</v>
      </c>
      <c r="AB44" s="1510">
        <f t="shared" si="34"/>
        <v>0</v>
      </c>
      <c r="AC44" s="1394">
        <f t="shared" si="35"/>
        <v>0</v>
      </c>
      <c r="AD44" s="1510">
        <f t="shared" si="36"/>
        <v>0</v>
      </c>
      <c r="AE44" s="1392">
        <v>0</v>
      </c>
      <c r="AF44" s="1515">
        <f t="shared" si="37"/>
        <v>0</v>
      </c>
      <c r="AG44" s="1392"/>
      <c r="AH44" s="1392">
        <f t="shared" si="38"/>
        <v>0</v>
      </c>
      <c r="AI44" s="1515">
        <f t="shared" si="39"/>
        <v>0</v>
      </c>
      <c r="AJ44" s="1505">
        <f t="shared" si="40"/>
        <v>0</v>
      </c>
      <c r="AK44" s="1535">
        <f t="shared" si="44"/>
        <v>0</v>
      </c>
    </row>
    <row r="45" spans="1:37" ht="16.2" customHeight="1">
      <c r="A45" s="1176">
        <v>39</v>
      </c>
      <c r="B45" s="1177" t="s">
        <v>119</v>
      </c>
      <c r="C45" s="1178">
        <f>+'Table 8 Membership 2.1.14'!S41</f>
        <v>0</v>
      </c>
      <c r="D45" s="1179">
        <f>+'Table 5C1A-Madison Prep'!D45</f>
        <v>3656.9056809295676</v>
      </c>
      <c r="E45" s="1180">
        <f t="shared" si="24"/>
        <v>0</v>
      </c>
      <c r="F45" s="1180">
        <f>+'Table 5C1A-Madison Prep'!F45</f>
        <v>779.65573042776396</v>
      </c>
      <c r="G45" s="1180">
        <f t="shared" si="25"/>
        <v>0</v>
      </c>
      <c r="H45" s="1539">
        <f t="shared" si="26"/>
        <v>0</v>
      </c>
      <c r="I45" s="1181"/>
      <c r="J45" s="1181"/>
      <c r="K45" s="1182"/>
      <c r="L45" s="1545">
        <f t="shared" si="42"/>
        <v>0</v>
      </c>
      <c r="M45" s="1388">
        <f t="shared" si="27"/>
        <v>0</v>
      </c>
      <c r="N45" s="1545">
        <f t="shared" si="28"/>
        <v>0</v>
      </c>
      <c r="O45" s="1181">
        <v>0</v>
      </c>
      <c r="P45" s="1545">
        <f t="shared" si="21"/>
        <v>0</v>
      </c>
      <c r="Q45" s="1181"/>
      <c r="R45" s="1181">
        <f t="shared" si="29"/>
        <v>0</v>
      </c>
      <c r="S45" s="1545">
        <f t="shared" si="30"/>
        <v>0</v>
      </c>
      <c r="T45" s="1545">
        <f t="shared" si="31"/>
        <v>0</v>
      </c>
      <c r="U45" s="1389">
        <f>'Table 5C1A-Madison Prep'!U45</f>
        <v>4955</v>
      </c>
      <c r="V45" s="1515">
        <f t="shared" si="43"/>
        <v>0</v>
      </c>
      <c r="W45" s="1396"/>
      <c r="X45" s="1392">
        <f t="shared" si="32"/>
        <v>0</v>
      </c>
      <c r="Y45" s="1391"/>
      <c r="Z45" s="1392">
        <f t="shared" si="23"/>
        <v>0</v>
      </c>
      <c r="AA45" s="1390">
        <f t="shared" si="33"/>
        <v>0</v>
      </c>
      <c r="AB45" s="1510">
        <f t="shared" si="34"/>
        <v>0</v>
      </c>
      <c r="AC45" s="1394">
        <f t="shared" si="35"/>
        <v>0</v>
      </c>
      <c r="AD45" s="1510">
        <f t="shared" si="36"/>
        <v>0</v>
      </c>
      <c r="AE45" s="1392">
        <v>0</v>
      </c>
      <c r="AF45" s="1515">
        <f t="shared" si="37"/>
        <v>0</v>
      </c>
      <c r="AG45" s="1392"/>
      <c r="AH45" s="1392">
        <f t="shared" si="38"/>
        <v>0</v>
      </c>
      <c r="AI45" s="1515">
        <f t="shared" si="39"/>
        <v>0</v>
      </c>
      <c r="AJ45" s="1505">
        <f t="shared" si="40"/>
        <v>0</v>
      </c>
      <c r="AK45" s="1535">
        <f t="shared" si="44"/>
        <v>0</v>
      </c>
    </row>
    <row r="46" spans="1:37" ht="16.2" customHeight="1">
      <c r="A46" s="1168">
        <v>40</v>
      </c>
      <c r="B46" s="1169" t="s">
        <v>120</v>
      </c>
      <c r="C46" s="1170">
        <f>+'Table 8 Membership 2.1.14'!S42</f>
        <v>0</v>
      </c>
      <c r="D46" s="1171">
        <f>+'Table 5C1A-Madison Prep'!D46</f>
        <v>5121.8110285698403</v>
      </c>
      <c r="E46" s="1172">
        <f t="shared" si="24"/>
        <v>0</v>
      </c>
      <c r="F46" s="1172">
        <f>+'Table 5C1A-Madison Prep'!F46</f>
        <v>700.2700000000001</v>
      </c>
      <c r="G46" s="1172">
        <f t="shared" si="25"/>
        <v>0</v>
      </c>
      <c r="H46" s="1540">
        <f t="shared" si="26"/>
        <v>0</v>
      </c>
      <c r="I46" s="1173"/>
      <c r="J46" s="1173"/>
      <c r="K46" s="1174"/>
      <c r="L46" s="1546">
        <f t="shared" si="42"/>
        <v>0</v>
      </c>
      <c r="M46" s="1399">
        <f t="shared" si="27"/>
        <v>0</v>
      </c>
      <c r="N46" s="1546">
        <f t="shared" si="28"/>
        <v>0</v>
      </c>
      <c r="O46" s="1173">
        <v>0</v>
      </c>
      <c r="P46" s="1546">
        <f t="shared" si="21"/>
        <v>0</v>
      </c>
      <c r="Q46" s="1173"/>
      <c r="R46" s="1173">
        <f t="shared" si="29"/>
        <v>0</v>
      </c>
      <c r="S46" s="1546">
        <f t="shared" si="30"/>
        <v>0</v>
      </c>
      <c r="T46" s="1546">
        <f t="shared" si="31"/>
        <v>0</v>
      </c>
      <c r="U46" s="1382">
        <f>'Table 5C1A-Madison Prep'!U46</f>
        <v>3069</v>
      </c>
      <c r="V46" s="1516">
        <f t="shared" si="43"/>
        <v>0</v>
      </c>
      <c r="W46" s="1404"/>
      <c r="X46" s="1383">
        <f t="shared" si="32"/>
        <v>0</v>
      </c>
      <c r="Y46" s="1400"/>
      <c r="Z46" s="1383">
        <f t="shared" si="23"/>
        <v>0</v>
      </c>
      <c r="AA46" s="1384">
        <f t="shared" si="33"/>
        <v>0</v>
      </c>
      <c r="AB46" s="1511">
        <f t="shared" si="34"/>
        <v>0</v>
      </c>
      <c r="AC46" s="1402">
        <f t="shared" si="35"/>
        <v>0</v>
      </c>
      <c r="AD46" s="1511">
        <f t="shared" si="36"/>
        <v>0</v>
      </c>
      <c r="AE46" s="1383">
        <v>0</v>
      </c>
      <c r="AF46" s="1516">
        <f t="shared" si="37"/>
        <v>0</v>
      </c>
      <c r="AG46" s="1383"/>
      <c r="AH46" s="1383">
        <f t="shared" si="38"/>
        <v>0</v>
      </c>
      <c r="AI46" s="1516">
        <f t="shared" si="39"/>
        <v>0</v>
      </c>
      <c r="AJ46" s="1531">
        <f t="shared" si="40"/>
        <v>0</v>
      </c>
      <c r="AK46" s="1536">
        <f t="shared" si="44"/>
        <v>0</v>
      </c>
    </row>
    <row r="47" spans="1:37" ht="16.2" customHeight="1">
      <c r="A47" s="1183">
        <v>41</v>
      </c>
      <c r="B47" s="1184" t="s">
        <v>121</v>
      </c>
      <c r="C47" s="1185">
        <f>+'Table 8 Membership 2.1.14'!S43</f>
        <v>0</v>
      </c>
      <c r="D47" s="1186">
        <f>+'Table 5C1A-Madison Prep'!D47</f>
        <v>3291.1948574716475</v>
      </c>
      <c r="E47" s="1187">
        <f t="shared" si="24"/>
        <v>0</v>
      </c>
      <c r="F47" s="1187">
        <f>+'Table 5C1A-Madison Prep'!F47</f>
        <v>886.22</v>
      </c>
      <c r="G47" s="1187">
        <f t="shared" si="25"/>
        <v>0</v>
      </c>
      <c r="H47" s="1538">
        <f t="shared" si="26"/>
        <v>0</v>
      </c>
      <c r="I47" s="1188"/>
      <c r="J47" s="1188"/>
      <c r="K47" s="1189"/>
      <c r="L47" s="1544">
        <f t="shared" si="42"/>
        <v>0</v>
      </c>
      <c r="M47" s="1372">
        <f t="shared" si="27"/>
        <v>0</v>
      </c>
      <c r="N47" s="1544">
        <f t="shared" si="28"/>
        <v>0</v>
      </c>
      <c r="O47" s="1188">
        <v>0</v>
      </c>
      <c r="P47" s="1544">
        <f t="shared" si="21"/>
        <v>0</v>
      </c>
      <c r="Q47" s="1188"/>
      <c r="R47" s="1188">
        <f t="shared" si="29"/>
        <v>0</v>
      </c>
      <c r="S47" s="1544">
        <f t="shared" si="30"/>
        <v>0</v>
      </c>
      <c r="T47" s="1544">
        <f t="shared" si="31"/>
        <v>0</v>
      </c>
      <c r="U47" s="1373">
        <f>'Table 5C1A-Madison Prep'!U47</f>
        <v>8478</v>
      </c>
      <c r="V47" s="1514">
        <f t="shared" si="43"/>
        <v>0</v>
      </c>
      <c r="W47" s="1380"/>
      <c r="X47" s="1376">
        <f t="shared" si="32"/>
        <v>0</v>
      </c>
      <c r="Y47" s="1375"/>
      <c r="Z47" s="1376">
        <f t="shared" si="23"/>
        <v>0</v>
      </c>
      <c r="AA47" s="1374">
        <f t="shared" si="33"/>
        <v>0</v>
      </c>
      <c r="AB47" s="1509">
        <f t="shared" si="34"/>
        <v>0</v>
      </c>
      <c r="AC47" s="1378">
        <f t="shared" si="35"/>
        <v>0</v>
      </c>
      <c r="AD47" s="1509">
        <f t="shared" si="36"/>
        <v>0</v>
      </c>
      <c r="AE47" s="1376">
        <v>0</v>
      </c>
      <c r="AF47" s="1514">
        <f t="shared" si="37"/>
        <v>0</v>
      </c>
      <c r="AG47" s="1376"/>
      <c r="AH47" s="1376">
        <f t="shared" si="38"/>
        <v>0</v>
      </c>
      <c r="AI47" s="1514">
        <f t="shared" si="39"/>
        <v>0</v>
      </c>
      <c r="AJ47" s="1530">
        <f t="shared" si="40"/>
        <v>0</v>
      </c>
      <c r="AK47" s="1534">
        <f t="shared" si="44"/>
        <v>0</v>
      </c>
    </row>
    <row r="48" spans="1:37" ht="16.2" customHeight="1">
      <c r="A48" s="1176">
        <v>42</v>
      </c>
      <c r="B48" s="1177" t="s">
        <v>122</v>
      </c>
      <c r="C48" s="1178">
        <f>+'Table 8 Membership 2.1.14'!S44</f>
        <v>0</v>
      </c>
      <c r="D48" s="1179">
        <f>+'Table 5C1A-Madison Prep'!D48</f>
        <v>5113.6077751368684</v>
      </c>
      <c r="E48" s="1180">
        <f t="shared" si="24"/>
        <v>0</v>
      </c>
      <c r="F48" s="1180">
        <f>+'Table 5C1A-Madison Prep'!F48</f>
        <v>534.28</v>
      </c>
      <c r="G48" s="1180">
        <f t="shared" si="25"/>
        <v>0</v>
      </c>
      <c r="H48" s="1539">
        <f t="shared" si="26"/>
        <v>0</v>
      </c>
      <c r="I48" s="1181"/>
      <c r="J48" s="1181"/>
      <c r="K48" s="1182"/>
      <c r="L48" s="1545">
        <f t="shared" si="42"/>
        <v>0</v>
      </c>
      <c r="M48" s="1388">
        <f t="shared" si="27"/>
        <v>0</v>
      </c>
      <c r="N48" s="1545">
        <f t="shared" si="28"/>
        <v>0</v>
      </c>
      <c r="O48" s="1181">
        <v>0</v>
      </c>
      <c r="P48" s="1545">
        <f t="shared" si="21"/>
        <v>0</v>
      </c>
      <c r="Q48" s="1181"/>
      <c r="R48" s="1181">
        <f t="shared" si="29"/>
        <v>0</v>
      </c>
      <c r="S48" s="1545">
        <f t="shared" si="30"/>
        <v>0</v>
      </c>
      <c r="T48" s="1545">
        <f t="shared" si="31"/>
        <v>0</v>
      </c>
      <c r="U48" s="1389">
        <f>'Table 5C1A-Madison Prep'!U48</f>
        <v>3578</v>
      </c>
      <c r="V48" s="1515">
        <f t="shared" si="43"/>
        <v>0</v>
      </c>
      <c r="W48" s="1396"/>
      <c r="X48" s="1392">
        <f t="shared" si="32"/>
        <v>0</v>
      </c>
      <c r="Y48" s="1391"/>
      <c r="Z48" s="1392">
        <f t="shared" si="23"/>
        <v>0</v>
      </c>
      <c r="AA48" s="1390">
        <f t="shared" si="33"/>
        <v>0</v>
      </c>
      <c r="AB48" s="1510">
        <f t="shared" si="34"/>
        <v>0</v>
      </c>
      <c r="AC48" s="1394">
        <f t="shared" si="35"/>
        <v>0</v>
      </c>
      <c r="AD48" s="1510">
        <f t="shared" si="36"/>
        <v>0</v>
      </c>
      <c r="AE48" s="1392">
        <v>0</v>
      </c>
      <c r="AF48" s="1515">
        <f t="shared" si="37"/>
        <v>0</v>
      </c>
      <c r="AG48" s="1392"/>
      <c r="AH48" s="1392">
        <f t="shared" si="38"/>
        <v>0</v>
      </c>
      <c r="AI48" s="1515">
        <f t="shared" si="39"/>
        <v>0</v>
      </c>
      <c r="AJ48" s="1505">
        <f t="shared" si="40"/>
        <v>0</v>
      </c>
      <c r="AK48" s="1535">
        <f t="shared" si="44"/>
        <v>0</v>
      </c>
    </row>
    <row r="49" spans="1:37" ht="16.2" customHeight="1">
      <c r="A49" s="1176">
        <v>43</v>
      </c>
      <c r="B49" s="1177" t="s">
        <v>123</v>
      </c>
      <c r="C49" s="1178">
        <f>+'Table 8 Membership 2.1.14'!S45</f>
        <v>0</v>
      </c>
      <c r="D49" s="1179">
        <f>+'Table 5C1A-Madison Prep'!D49</f>
        <v>5788.74387205947</v>
      </c>
      <c r="E49" s="1180">
        <f t="shared" si="24"/>
        <v>0</v>
      </c>
      <c r="F49" s="1180">
        <f>+'Table 5C1A-Madison Prep'!F49</f>
        <v>574.6099999999999</v>
      </c>
      <c r="G49" s="1180">
        <f t="shared" si="25"/>
        <v>0</v>
      </c>
      <c r="H49" s="1539">
        <f t="shared" si="26"/>
        <v>0</v>
      </c>
      <c r="I49" s="1181"/>
      <c r="J49" s="1181"/>
      <c r="K49" s="1182"/>
      <c r="L49" s="1545">
        <f t="shared" si="42"/>
        <v>0</v>
      </c>
      <c r="M49" s="1388">
        <f t="shared" si="27"/>
        <v>0</v>
      </c>
      <c r="N49" s="1545">
        <f t="shared" si="28"/>
        <v>0</v>
      </c>
      <c r="O49" s="1181">
        <v>0</v>
      </c>
      <c r="P49" s="1545">
        <f t="shared" si="21"/>
        <v>0</v>
      </c>
      <c r="Q49" s="1181"/>
      <c r="R49" s="1181">
        <f t="shared" si="29"/>
        <v>0</v>
      </c>
      <c r="S49" s="1545">
        <f t="shared" si="30"/>
        <v>0</v>
      </c>
      <c r="T49" s="1545">
        <f t="shared" si="31"/>
        <v>0</v>
      </c>
      <c r="U49" s="1389">
        <f>'Table 5C1A-Madison Prep'!U49</f>
        <v>3205</v>
      </c>
      <c r="V49" s="1515">
        <f t="shared" si="43"/>
        <v>0</v>
      </c>
      <c r="W49" s="1396"/>
      <c r="X49" s="1392">
        <f t="shared" si="32"/>
        <v>0</v>
      </c>
      <c r="Y49" s="1391"/>
      <c r="Z49" s="1392">
        <f t="shared" si="23"/>
        <v>0</v>
      </c>
      <c r="AA49" s="1390">
        <f t="shared" si="33"/>
        <v>0</v>
      </c>
      <c r="AB49" s="1510">
        <f t="shared" si="34"/>
        <v>0</v>
      </c>
      <c r="AC49" s="1394">
        <f t="shared" si="35"/>
        <v>0</v>
      </c>
      <c r="AD49" s="1510">
        <f t="shared" si="36"/>
        <v>0</v>
      </c>
      <c r="AE49" s="1392">
        <v>0</v>
      </c>
      <c r="AF49" s="1515">
        <f t="shared" si="37"/>
        <v>0</v>
      </c>
      <c r="AG49" s="1392"/>
      <c r="AH49" s="1392">
        <f t="shared" si="38"/>
        <v>0</v>
      </c>
      <c r="AI49" s="1515">
        <f t="shared" si="39"/>
        <v>0</v>
      </c>
      <c r="AJ49" s="1505">
        <f t="shared" si="40"/>
        <v>0</v>
      </c>
      <c r="AK49" s="1535">
        <f t="shared" si="44"/>
        <v>0</v>
      </c>
    </row>
    <row r="50" spans="1:37" ht="16.2" customHeight="1">
      <c r="A50" s="1176">
        <v>44</v>
      </c>
      <c r="B50" s="1177" t="s">
        <v>124</v>
      </c>
      <c r="C50" s="1178">
        <f>+'Table 8 Membership 2.1.14'!S46</f>
        <v>0</v>
      </c>
      <c r="D50" s="1179">
        <f>+'Table 5C1A-Madison Prep'!D50</f>
        <v>4897.5958151820359</v>
      </c>
      <c r="E50" s="1180">
        <f t="shared" si="24"/>
        <v>0</v>
      </c>
      <c r="F50" s="1180">
        <f>+'Table 5C1A-Madison Prep'!F50</f>
        <v>663.16000000000008</v>
      </c>
      <c r="G50" s="1180">
        <f t="shared" si="25"/>
        <v>0</v>
      </c>
      <c r="H50" s="1539">
        <f t="shared" si="26"/>
        <v>0</v>
      </c>
      <c r="I50" s="1181"/>
      <c r="J50" s="1181"/>
      <c r="K50" s="1182"/>
      <c r="L50" s="1545">
        <f t="shared" si="42"/>
        <v>0</v>
      </c>
      <c r="M50" s="1388">
        <f t="shared" si="27"/>
        <v>0</v>
      </c>
      <c r="N50" s="1545">
        <f t="shared" si="28"/>
        <v>0</v>
      </c>
      <c r="O50" s="1181">
        <v>0</v>
      </c>
      <c r="P50" s="1545">
        <f t="shared" si="21"/>
        <v>0</v>
      </c>
      <c r="Q50" s="1181"/>
      <c r="R50" s="1181">
        <f t="shared" si="29"/>
        <v>0</v>
      </c>
      <c r="S50" s="1545">
        <f t="shared" si="30"/>
        <v>0</v>
      </c>
      <c r="T50" s="1545">
        <f t="shared" si="31"/>
        <v>0</v>
      </c>
      <c r="U50" s="1389">
        <f>'Table 5C1A-Madison Prep'!U50</f>
        <v>3719</v>
      </c>
      <c r="V50" s="1515">
        <f t="shared" si="43"/>
        <v>0</v>
      </c>
      <c r="W50" s="1396"/>
      <c r="X50" s="1392">
        <f t="shared" si="32"/>
        <v>0</v>
      </c>
      <c r="Y50" s="1391"/>
      <c r="Z50" s="1392">
        <f t="shared" si="23"/>
        <v>0</v>
      </c>
      <c r="AA50" s="1390">
        <f t="shared" si="33"/>
        <v>0</v>
      </c>
      <c r="AB50" s="1510">
        <f t="shared" si="34"/>
        <v>0</v>
      </c>
      <c r="AC50" s="1394">
        <f t="shared" si="35"/>
        <v>0</v>
      </c>
      <c r="AD50" s="1510">
        <f t="shared" si="36"/>
        <v>0</v>
      </c>
      <c r="AE50" s="1392">
        <v>0</v>
      </c>
      <c r="AF50" s="1515">
        <f t="shared" si="37"/>
        <v>0</v>
      </c>
      <c r="AG50" s="1392"/>
      <c r="AH50" s="1392">
        <f t="shared" si="38"/>
        <v>0</v>
      </c>
      <c r="AI50" s="1515">
        <f t="shared" si="39"/>
        <v>0</v>
      </c>
      <c r="AJ50" s="1505">
        <f t="shared" si="40"/>
        <v>0</v>
      </c>
      <c r="AK50" s="1535">
        <f t="shared" si="44"/>
        <v>0</v>
      </c>
    </row>
    <row r="51" spans="1:37" ht="16.2" customHeight="1">
      <c r="A51" s="1168">
        <v>45</v>
      </c>
      <c r="B51" s="1169" t="s">
        <v>125</v>
      </c>
      <c r="C51" s="1170">
        <f>+'Table 8 Membership 2.1.14'!S47</f>
        <v>0</v>
      </c>
      <c r="D51" s="1171">
        <f>+'Table 5C1A-Madison Prep'!D51</f>
        <v>2054.0472499469101</v>
      </c>
      <c r="E51" s="1172">
        <f t="shared" si="24"/>
        <v>0</v>
      </c>
      <c r="F51" s="1172">
        <f>+'Table 5C1A-Madison Prep'!F51</f>
        <v>753.96000000000015</v>
      </c>
      <c r="G51" s="1172">
        <f t="shared" si="25"/>
        <v>0</v>
      </c>
      <c r="H51" s="1540">
        <f t="shared" si="26"/>
        <v>0</v>
      </c>
      <c r="I51" s="1173"/>
      <c r="J51" s="1173"/>
      <c r="K51" s="1174"/>
      <c r="L51" s="1546">
        <f t="shared" si="42"/>
        <v>0</v>
      </c>
      <c r="M51" s="1399">
        <f t="shared" si="27"/>
        <v>0</v>
      </c>
      <c r="N51" s="1546">
        <f t="shared" si="28"/>
        <v>0</v>
      </c>
      <c r="O51" s="1173">
        <v>0</v>
      </c>
      <c r="P51" s="1546">
        <f t="shared" si="21"/>
        <v>0</v>
      </c>
      <c r="Q51" s="1173"/>
      <c r="R51" s="1173">
        <f t="shared" si="29"/>
        <v>0</v>
      </c>
      <c r="S51" s="1546">
        <f t="shared" si="30"/>
        <v>0</v>
      </c>
      <c r="T51" s="1546">
        <f t="shared" si="31"/>
        <v>0</v>
      </c>
      <c r="U51" s="1382">
        <f>'Table 5C1A-Madison Prep'!U51</f>
        <v>12169</v>
      </c>
      <c r="V51" s="1516">
        <f t="shared" si="43"/>
        <v>0</v>
      </c>
      <c r="W51" s="1404"/>
      <c r="X51" s="1383">
        <f t="shared" si="32"/>
        <v>0</v>
      </c>
      <c r="Y51" s="1400"/>
      <c r="Z51" s="1383">
        <f t="shared" si="23"/>
        <v>0</v>
      </c>
      <c r="AA51" s="1384">
        <f t="shared" si="33"/>
        <v>0</v>
      </c>
      <c r="AB51" s="1511">
        <f t="shared" si="34"/>
        <v>0</v>
      </c>
      <c r="AC51" s="1402">
        <f t="shared" si="35"/>
        <v>0</v>
      </c>
      <c r="AD51" s="1511">
        <f t="shared" si="36"/>
        <v>0</v>
      </c>
      <c r="AE51" s="1383">
        <v>0</v>
      </c>
      <c r="AF51" s="1516">
        <f t="shared" si="37"/>
        <v>0</v>
      </c>
      <c r="AG51" s="1383"/>
      <c r="AH51" s="1383">
        <f t="shared" si="38"/>
        <v>0</v>
      </c>
      <c r="AI51" s="1516">
        <f t="shared" si="39"/>
        <v>0</v>
      </c>
      <c r="AJ51" s="1531">
        <f t="shared" si="40"/>
        <v>0</v>
      </c>
      <c r="AK51" s="1536">
        <f t="shared" si="44"/>
        <v>0</v>
      </c>
    </row>
    <row r="52" spans="1:37" ht="16.2" customHeight="1">
      <c r="A52" s="1183">
        <v>46</v>
      </c>
      <c r="B52" s="1184" t="s">
        <v>126</v>
      </c>
      <c r="C52" s="1185">
        <f>+'Table 8 Membership 2.1.14'!S48</f>
        <v>0</v>
      </c>
      <c r="D52" s="1186">
        <f>+'Table 5C1A-Madison Prep'!D52</f>
        <v>6051.2144468088381</v>
      </c>
      <c r="E52" s="1187">
        <f t="shared" si="24"/>
        <v>0</v>
      </c>
      <c r="F52" s="1187">
        <f>+'Table 5C1A-Madison Prep'!F52</f>
        <v>728.06</v>
      </c>
      <c r="G52" s="1187">
        <f t="shared" si="25"/>
        <v>0</v>
      </c>
      <c r="H52" s="1538">
        <f t="shared" si="26"/>
        <v>0</v>
      </c>
      <c r="I52" s="1188"/>
      <c r="J52" s="1188"/>
      <c r="K52" s="1189"/>
      <c r="L52" s="1544">
        <f t="shared" si="42"/>
        <v>0</v>
      </c>
      <c r="M52" s="1372">
        <f t="shared" si="27"/>
        <v>0</v>
      </c>
      <c r="N52" s="1544">
        <f t="shared" si="28"/>
        <v>0</v>
      </c>
      <c r="O52" s="1188">
        <v>0</v>
      </c>
      <c r="P52" s="1544">
        <f t="shared" si="21"/>
        <v>0</v>
      </c>
      <c r="Q52" s="1188"/>
      <c r="R52" s="1188">
        <f t="shared" si="29"/>
        <v>0</v>
      </c>
      <c r="S52" s="1544">
        <f t="shared" si="30"/>
        <v>0</v>
      </c>
      <c r="T52" s="1544">
        <f t="shared" si="31"/>
        <v>0</v>
      </c>
      <c r="U52" s="1373">
        <f>'Table 5C1A-Madison Prep'!U52</f>
        <v>2713</v>
      </c>
      <c r="V52" s="1514">
        <f t="shared" si="43"/>
        <v>0</v>
      </c>
      <c r="W52" s="1380"/>
      <c r="X52" s="1376">
        <f t="shared" si="32"/>
        <v>0</v>
      </c>
      <c r="Y52" s="1375"/>
      <c r="Z52" s="1376">
        <f t="shared" si="23"/>
        <v>0</v>
      </c>
      <c r="AA52" s="1374">
        <f t="shared" si="33"/>
        <v>0</v>
      </c>
      <c r="AB52" s="1509">
        <f t="shared" si="34"/>
        <v>0</v>
      </c>
      <c r="AC52" s="1378">
        <f t="shared" si="35"/>
        <v>0</v>
      </c>
      <c r="AD52" s="1509">
        <f t="shared" si="36"/>
        <v>0</v>
      </c>
      <c r="AE52" s="1376">
        <v>0</v>
      </c>
      <c r="AF52" s="1514">
        <f t="shared" si="37"/>
        <v>0</v>
      </c>
      <c r="AG52" s="1376"/>
      <c r="AH52" s="1376">
        <f t="shared" si="38"/>
        <v>0</v>
      </c>
      <c r="AI52" s="1514">
        <f t="shared" si="39"/>
        <v>0</v>
      </c>
      <c r="AJ52" s="1530">
        <f t="shared" si="40"/>
        <v>0</v>
      </c>
      <c r="AK52" s="1534">
        <f t="shared" si="44"/>
        <v>0</v>
      </c>
    </row>
    <row r="53" spans="1:37" ht="16.2" customHeight="1">
      <c r="A53" s="1176">
        <v>47</v>
      </c>
      <c r="B53" s="1177" t="s">
        <v>127</v>
      </c>
      <c r="C53" s="1178">
        <f>+'Table 8 Membership 2.1.14'!S49</f>
        <v>0</v>
      </c>
      <c r="D53" s="1179">
        <f>+'Table 5C1A-Madison Prep'!D53</f>
        <v>2524.1485257646736</v>
      </c>
      <c r="E53" s="1180">
        <f t="shared" si="24"/>
        <v>0</v>
      </c>
      <c r="F53" s="1180">
        <f>+'Table 5C1A-Madison Prep'!F53</f>
        <v>910.76</v>
      </c>
      <c r="G53" s="1180">
        <f t="shared" si="25"/>
        <v>0</v>
      </c>
      <c r="H53" s="1539">
        <f t="shared" si="26"/>
        <v>0</v>
      </c>
      <c r="I53" s="1181"/>
      <c r="J53" s="1181"/>
      <c r="K53" s="1182"/>
      <c r="L53" s="1545">
        <f t="shared" si="42"/>
        <v>0</v>
      </c>
      <c r="M53" s="1388">
        <f t="shared" si="27"/>
        <v>0</v>
      </c>
      <c r="N53" s="1545">
        <f t="shared" si="28"/>
        <v>0</v>
      </c>
      <c r="O53" s="1181">
        <v>0</v>
      </c>
      <c r="P53" s="1545">
        <f t="shared" si="21"/>
        <v>0</v>
      </c>
      <c r="Q53" s="1181"/>
      <c r="R53" s="1181">
        <f t="shared" si="29"/>
        <v>0</v>
      </c>
      <c r="S53" s="1545">
        <f t="shared" si="30"/>
        <v>0</v>
      </c>
      <c r="T53" s="1545">
        <f t="shared" si="31"/>
        <v>0</v>
      </c>
      <c r="U53" s="1389">
        <f>'Table 5C1A-Madison Prep'!U53</f>
        <v>11701</v>
      </c>
      <c r="V53" s="1515">
        <f t="shared" si="43"/>
        <v>0</v>
      </c>
      <c r="W53" s="1396"/>
      <c r="X53" s="1392">
        <f t="shared" si="32"/>
        <v>0</v>
      </c>
      <c r="Y53" s="1391"/>
      <c r="Z53" s="1392">
        <f t="shared" si="23"/>
        <v>0</v>
      </c>
      <c r="AA53" s="1390">
        <f t="shared" si="33"/>
        <v>0</v>
      </c>
      <c r="AB53" s="1510">
        <f t="shared" si="34"/>
        <v>0</v>
      </c>
      <c r="AC53" s="1394">
        <f t="shared" si="35"/>
        <v>0</v>
      </c>
      <c r="AD53" s="1510">
        <f t="shared" si="36"/>
        <v>0</v>
      </c>
      <c r="AE53" s="1392">
        <v>0</v>
      </c>
      <c r="AF53" s="1515">
        <f t="shared" si="37"/>
        <v>0</v>
      </c>
      <c r="AG53" s="1392"/>
      <c r="AH53" s="1392">
        <f t="shared" si="38"/>
        <v>0</v>
      </c>
      <c r="AI53" s="1515">
        <f t="shared" si="39"/>
        <v>0</v>
      </c>
      <c r="AJ53" s="1505">
        <f t="shared" si="40"/>
        <v>0</v>
      </c>
      <c r="AK53" s="1535">
        <f t="shared" si="44"/>
        <v>0</v>
      </c>
    </row>
    <row r="54" spans="1:37" ht="16.2" customHeight="1">
      <c r="A54" s="1176">
        <v>48</v>
      </c>
      <c r="B54" s="1177" t="s">
        <v>178</v>
      </c>
      <c r="C54" s="1178">
        <f>+'Table 8 Membership 2.1.14'!S50</f>
        <v>0</v>
      </c>
      <c r="D54" s="1179">
        <f>+'Table 5C1A-Madison Prep'!D54</f>
        <v>3983.3582529800719</v>
      </c>
      <c r="E54" s="1180">
        <f t="shared" si="24"/>
        <v>0</v>
      </c>
      <c r="F54" s="1180">
        <f>+'Table 5C1A-Madison Prep'!F54</f>
        <v>871.07</v>
      </c>
      <c r="G54" s="1180">
        <f t="shared" si="25"/>
        <v>0</v>
      </c>
      <c r="H54" s="1539">
        <f t="shared" si="26"/>
        <v>0</v>
      </c>
      <c r="I54" s="1181"/>
      <c r="J54" s="1181"/>
      <c r="K54" s="1182"/>
      <c r="L54" s="1545">
        <f t="shared" si="42"/>
        <v>0</v>
      </c>
      <c r="M54" s="1388">
        <f t="shared" si="27"/>
        <v>0</v>
      </c>
      <c r="N54" s="1545">
        <f t="shared" si="28"/>
        <v>0</v>
      </c>
      <c r="O54" s="1181">
        <v>0</v>
      </c>
      <c r="P54" s="1545">
        <f t="shared" si="21"/>
        <v>0</v>
      </c>
      <c r="Q54" s="1181"/>
      <c r="R54" s="1181">
        <f t="shared" si="29"/>
        <v>0</v>
      </c>
      <c r="S54" s="1545">
        <f t="shared" si="30"/>
        <v>0</v>
      </c>
      <c r="T54" s="1545">
        <f t="shared" si="31"/>
        <v>0</v>
      </c>
      <c r="U54" s="1389">
        <f>'Table 5C1A-Madison Prep'!U54</f>
        <v>7338</v>
      </c>
      <c r="V54" s="1515">
        <f t="shared" si="43"/>
        <v>0</v>
      </c>
      <c r="W54" s="1396"/>
      <c r="X54" s="1392">
        <f t="shared" si="32"/>
        <v>0</v>
      </c>
      <c r="Y54" s="1391"/>
      <c r="Z54" s="1392">
        <f t="shared" si="23"/>
        <v>0</v>
      </c>
      <c r="AA54" s="1390">
        <f t="shared" si="33"/>
        <v>0</v>
      </c>
      <c r="AB54" s="1510">
        <f t="shared" si="34"/>
        <v>0</v>
      </c>
      <c r="AC54" s="1394">
        <f t="shared" si="35"/>
        <v>0</v>
      </c>
      <c r="AD54" s="1510">
        <f t="shared" si="36"/>
        <v>0</v>
      </c>
      <c r="AE54" s="1392">
        <v>0</v>
      </c>
      <c r="AF54" s="1515">
        <f t="shared" si="37"/>
        <v>0</v>
      </c>
      <c r="AG54" s="1392"/>
      <c r="AH54" s="1392">
        <f t="shared" si="38"/>
        <v>0</v>
      </c>
      <c r="AI54" s="1515">
        <f t="shared" si="39"/>
        <v>0</v>
      </c>
      <c r="AJ54" s="1505">
        <f t="shared" si="40"/>
        <v>0</v>
      </c>
      <c r="AK54" s="1535">
        <f t="shared" si="44"/>
        <v>0</v>
      </c>
    </row>
    <row r="55" spans="1:37" ht="16.2" customHeight="1">
      <c r="A55" s="1176">
        <v>49</v>
      </c>
      <c r="B55" s="1177" t="s">
        <v>128</v>
      </c>
      <c r="C55" s="1178">
        <f>+'Table 8 Membership 2.1.14'!S51</f>
        <v>0</v>
      </c>
      <c r="D55" s="1179">
        <f>+'Table 5C1A-Madison Prep'!D55</f>
        <v>4995.8755315659191</v>
      </c>
      <c r="E55" s="1180">
        <f t="shared" si="24"/>
        <v>0</v>
      </c>
      <c r="F55" s="1180">
        <f>+'Table 5C1A-Madison Prep'!F55</f>
        <v>574.43999999999994</v>
      </c>
      <c r="G55" s="1180">
        <f t="shared" si="25"/>
        <v>0</v>
      </c>
      <c r="H55" s="1539">
        <f t="shared" si="26"/>
        <v>0</v>
      </c>
      <c r="I55" s="1181"/>
      <c r="J55" s="1181"/>
      <c r="K55" s="1182"/>
      <c r="L55" s="1545">
        <f t="shared" si="42"/>
        <v>0</v>
      </c>
      <c r="M55" s="1388">
        <f t="shared" si="27"/>
        <v>0</v>
      </c>
      <c r="N55" s="1545">
        <f t="shared" si="28"/>
        <v>0</v>
      </c>
      <c r="O55" s="1181">
        <v>0</v>
      </c>
      <c r="P55" s="1545">
        <f t="shared" si="21"/>
        <v>0</v>
      </c>
      <c r="Q55" s="1181"/>
      <c r="R55" s="1181">
        <f t="shared" si="29"/>
        <v>0</v>
      </c>
      <c r="S55" s="1545">
        <f t="shared" si="30"/>
        <v>0</v>
      </c>
      <c r="T55" s="1545">
        <f t="shared" si="31"/>
        <v>0</v>
      </c>
      <c r="U55" s="1389">
        <f>'Table 5C1A-Madison Prep'!U55</f>
        <v>2353</v>
      </c>
      <c r="V55" s="1515">
        <f t="shared" si="43"/>
        <v>0</v>
      </c>
      <c r="W55" s="1396"/>
      <c r="X55" s="1392">
        <f t="shared" si="32"/>
        <v>0</v>
      </c>
      <c r="Y55" s="1391"/>
      <c r="Z55" s="1392">
        <f t="shared" si="23"/>
        <v>0</v>
      </c>
      <c r="AA55" s="1390">
        <f t="shared" si="33"/>
        <v>0</v>
      </c>
      <c r="AB55" s="1510">
        <f t="shared" si="34"/>
        <v>0</v>
      </c>
      <c r="AC55" s="1394">
        <f t="shared" si="35"/>
        <v>0</v>
      </c>
      <c r="AD55" s="1510">
        <f t="shared" si="36"/>
        <v>0</v>
      </c>
      <c r="AE55" s="1392">
        <v>0</v>
      </c>
      <c r="AF55" s="1515">
        <f t="shared" si="37"/>
        <v>0</v>
      </c>
      <c r="AG55" s="1392"/>
      <c r="AH55" s="1392">
        <f t="shared" si="38"/>
        <v>0</v>
      </c>
      <c r="AI55" s="1515">
        <f t="shared" si="39"/>
        <v>0</v>
      </c>
      <c r="AJ55" s="1505">
        <f t="shared" si="40"/>
        <v>0</v>
      </c>
      <c r="AK55" s="1535">
        <f t="shared" si="44"/>
        <v>0</v>
      </c>
    </row>
    <row r="56" spans="1:37" ht="16.2" customHeight="1">
      <c r="A56" s="1168">
        <v>50</v>
      </c>
      <c r="B56" s="1169" t="s">
        <v>129</v>
      </c>
      <c r="C56" s="1170">
        <f>+'Table 8 Membership 2.1.14'!S52</f>
        <v>0</v>
      </c>
      <c r="D56" s="1171">
        <f>+'Table 5C1A-Madison Prep'!D56</f>
        <v>5177.6892722701677</v>
      </c>
      <c r="E56" s="1172">
        <f t="shared" si="24"/>
        <v>0</v>
      </c>
      <c r="F56" s="1172">
        <f>+'Table 5C1A-Madison Prep'!F56</f>
        <v>634.46</v>
      </c>
      <c r="G56" s="1172">
        <f t="shared" si="25"/>
        <v>0</v>
      </c>
      <c r="H56" s="1540">
        <f t="shared" si="26"/>
        <v>0</v>
      </c>
      <c r="I56" s="1173"/>
      <c r="J56" s="1173"/>
      <c r="K56" s="1174"/>
      <c r="L56" s="1546">
        <f t="shared" si="42"/>
        <v>0</v>
      </c>
      <c r="M56" s="1399">
        <f t="shared" si="27"/>
        <v>0</v>
      </c>
      <c r="N56" s="1546">
        <f t="shared" si="28"/>
        <v>0</v>
      </c>
      <c r="O56" s="1173">
        <v>0</v>
      </c>
      <c r="P56" s="1546">
        <f t="shared" si="21"/>
        <v>0</v>
      </c>
      <c r="Q56" s="1173"/>
      <c r="R56" s="1173">
        <f t="shared" si="29"/>
        <v>0</v>
      </c>
      <c r="S56" s="1546">
        <f t="shared" si="30"/>
        <v>0</v>
      </c>
      <c r="T56" s="1546">
        <f t="shared" si="31"/>
        <v>0</v>
      </c>
      <c r="U56" s="1382">
        <f>'Table 5C1A-Madison Prep'!U56</f>
        <v>3510</v>
      </c>
      <c r="V56" s="1516">
        <f t="shared" si="43"/>
        <v>0</v>
      </c>
      <c r="W56" s="1404"/>
      <c r="X56" s="1383">
        <f t="shared" si="32"/>
        <v>0</v>
      </c>
      <c r="Y56" s="1400"/>
      <c r="Z56" s="1383">
        <f t="shared" si="23"/>
        <v>0</v>
      </c>
      <c r="AA56" s="1384">
        <f t="shared" si="33"/>
        <v>0</v>
      </c>
      <c r="AB56" s="1511">
        <f t="shared" si="34"/>
        <v>0</v>
      </c>
      <c r="AC56" s="1402">
        <f t="shared" si="35"/>
        <v>0</v>
      </c>
      <c r="AD56" s="1511">
        <f t="shared" si="36"/>
        <v>0</v>
      </c>
      <c r="AE56" s="1383">
        <v>0</v>
      </c>
      <c r="AF56" s="1516">
        <f t="shared" si="37"/>
        <v>0</v>
      </c>
      <c r="AG56" s="1383"/>
      <c r="AH56" s="1383">
        <f t="shared" si="38"/>
        <v>0</v>
      </c>
      <c r="AI56" s="1516">
        <f t="shared" si="39"/>
        <v>0</v>
      </c>
      <c r="AJ56" s="1531">
        <f t="shared" si="40"/>
        <v>0</v>
      </c>
      <c r="AK56" s="1536">
        <f t="shared" si="44"/>
        <v>0</v>
      </c>
    </row>
    <row r="57" spans="1:37" ht="16.2" customHeight="1">
      <c r="A57" s="1183">
        <v>51</v>
      </c>
      <c r="B57" s="1184" t="s">
        <v>130</v>
      </c>
      <c r="C57" s="1185">
        <f>+'Table 8 Membership 2.1.14'!S53</f>
        <v>0</v>
      </c>
      <c r="D57" s="1186">
        <f>+'Table 5C1A-Madison Prep'!D57</f>
        <v>4154.1928602178996</v>
      </c>
      <c r="E57" s="1187">
        <f t="shared" si="24"/>
        <v>0</v>
      </c>
      <c r="F57" s="1187">
        <f>+'Table 5C1A-Madison Prep'!F57</f>
        <v>706.66</v>
      </c>
      <c r="G57" s="1187">
        <f t="shared" si="25"/>
        <v>0</v>
      </c>
      <c r="H57" s="1538">
        <f t="shared" si="26"/>
        <v>0</v>
      </c>
      <c r="I57" s="1188"/>
      <c r="J57" s="1188"/>
      <c r="K57" s="1189"/>
      <c r="L57" s="1544">
        <f t="shared" si="42"/>
        <v>0</v>
      </c>
      <c r="M57" s="1372">
        <f t="shared" si="27"/>
        <v>0</v>
      </c>
      <c r="N57" s="1544">
        <f t="shared" si="28"/>
        <v>0</v>
      </c>
      <c r="O57" s="1188">
        <v>0</v>
      </c>
      <c r="P57" s="1544">
        <f t="shared" si="21"/>
        <v>0</v>
      </c>
      <c r="Q57" s="1188"/>
      <c r="R57" s="1188">
        <f t="shared" si="29"/>
        <v>0</v>
      </c>
      <c r="S57" s="1544">
        <f t="shared" si="30"/>
        <v>0</v>
      </c>
      <c r="T57" s="1544">
        <f t="shared" si="31"/>
        <v>0</v>
      </c>
      <c r="U57" s="1373">
        <f>'Table 5C1A-Madison Prep'!U57</f>
        <v>4597</v>
      </c>
      <c r="V57" s="1514">
        <f t="shared" si="43"/>
        <v>0</v>
      </c>
      <c r="W57" s="1380"/>
      <c r="X57" s="1376">
        <f t="shared" si="32"/>
        <v>0</v>
      </c>
      <c r="Y57" s="1375"/>
      <c r="Z57" s="1376">
        <f t="shared" si="23"/>
        <v>0</v>
      </c>
      <c r="AA57" s="1374">
        <f t="shared" si="33"/>
        <v>0</v>
      </c>
      <c r="AB57" s="1509">
        <f t="shared" si="34"/>
        <v>0</v>
      </c>
      <c r="AC57" s="1378">
        <f t="shared" si="35"/>
        <v>0</v>
      </c>
      <c r="AD57" s="1509">
        <f t="shared" si="36"/>
        <v>0</v>
      </c>
      <c r="AE57" s="1376">
        <v>0</v>
      </c>
      <c r="AF57" s="1514">
        <f t="shared" si="37"/>
        <v>0</v>
      </c>
      <c r="AG57" s="1376"/>
      <c r="AH57" s="1376">
        <f t="shared" si="38"/>
        <v>0</v>
      </c>
      <c r="AI57" s="1514">
        <f t="shared" si="39"/>
        <v>0</v>
      </c>
      <c r="AJ57" s="1530">
        <f t="shared" si="40"/>
        <v>0</v>
      </c>
      <c r="AK57" s="1534">
        <f t="shared" si="44"/>
        <v>0</v>
      </c>
    </row>
    <row r="58" spans="1:37" ht="16.2" customHeight="1">
      <c r="A58" s="1176">
        <v>52</v>
      </c>
      <c r="B58" s="1177" t="s">
        <v>131</v>
      </c>
      <c r="C58" s="1178">
        <f>+'Table 8 Membership 2.1.14'!S54</f>
        <v>0</v>
      </c>
      <c r="D58" s="1179">
        <f>+'Table 5C1A-Madison Prep'!D58</f>
        <v>5062.2745845228173</v>
      </c>
      <c r="E58" s="1180">
        <f t="shared" si="24"/>
        <v>0</v>
      </c>
      <c r="F58" s="1180">
        <f>+'Table 5C1A-Madison Prep'!F58</f>
        <v>658.37</v>
      </c>
      <c r="G58" s="1180">
        <f t="shared" si="25"/>
        <v>0</v>
      </c>
      <c r="H58" s="1539">
        <f t="shared" si="26"/>
        <v>0</v>
      </c>
      <c r="I58" s="1181"/>
      <c r="J58" s="1181"/>
      <c r="K58" s="1182"/>
      <c r="L58" s="1545">
        <f t="shared" si="42"/>
        <v>0</v>
      </c>
      <c r="M58" s="1388">
        <f t="shared" si="27"/>
        <v>0</v>
      </c>
      <c r="N58" s="1545">
        <f t="shared" si="28"/>
        <v>0</v>
      </c>
      <c r="O58" s="1181">
        <v>0</v>
      </c>
      <c r="P58" s="1545">
        <f t="shared" si="21"/>
        <v>0</v>
      </c>
      <c r="Q58" s="1181"/>
      <c r="R58" s="1181">
        <f t="shared" si="29"/>
        <v>0</v>
      </c>
      <c r="S58" s="1545">
        <f t="shared" si="30"/>
        <v>0</v>
      </c>
      <c r="T58" s="1545">
        <f t="shared" si="31"/>
        <v>0</v>
      </c>
      <c r="U58" s="1389">
        <f>'Table 5C1A-Madison Prep'!U58</f>
        <v>5212</v>
      </c>
      <c r="V58" s="1515">
        <f t="shared" si="43"/>
        <v>0</v>
      </c>
      <c r="W58" s="1396"/>
      <c r="X58" s="1392">
        <f t="shared" si="32"/>
        <v>0</v>
      </c>
      <c r="Y58" s="1391"/>
      <c r="Z58" s="1392">
        <f t="shared" si="23"/>
        <v>0</v>
      </c>
      <c r="AA58" s="1390">
        <f t="shared" si="33"/>
        <v>0</v>
      </c>
      <c r="AB58" s="1510">
        <f t="shared" si="34"/>
        <v>0</v>
      </c>
      <c r="AC58" s="1394">
        <f t="shared" si="35"/>
        <v>0</v>
      </c>
      <c r="AD58" s="1510">
        <f t="shared" si="36"/>
        <v>0</v>
      </c>
      <c r="AE58" s="1392">
        <v>0</v>
      </c>
      <c r="AF58" s="1515">
        <f t="shared" si="37"/>
        <v>0</v>
      </c>
      <c r="AG58" s="1392"/>
      <c r="AH58" s="1392">
        <f t="shared" si="38"/>
        <v>0</v>
      </c>
      <c r="AI58" s="1515">
        <f t="shared" si="39"/>
        <v>0</v>
      </c>
      <c r="AJ58" s="1505">
        <f t="shared" si="40"/>
        <v>0</v>
      </c>
      <c r="AK58" s="1535">
        <f t="shared" si="44"/>
        <v>0</v>
      </c>
    </row>
    <row r="59" spans="1:37" ht="16.2" customHeight="1">
      <c r="A59" s="1176">
        <v>53</v>
      </c>
      <c r="B59" s="1177" t="s">
        <v>132</v>
      </c>
      <c r="C59" s="1178">
        <f>+'Table 8 Membership 2.1.14'!S55</f>
        <v>0</v>
      </c>
      <c r="D59" s="1179">
        <f>+'Table 5C1A-Madison Prep'!D59</f>
        <v>5060.1508194045482</v>
      </c>
      <c r="E59" s="1180">
        <f t="shared" si="24"/>
        <v>0</v>
      </c>
      <c r="F59" s="1180">
        <f>+'Table 5C1A-Madison Prep'!F59</f>
        <v>689.74</v>
      </c>
      <c r="G59" s="1180">
        <f t="shared" si="25"/>
        <v>0</v>
      </c>
      <c r="H59" s="1539">
        <f t="shared" si="26"/>
        <v>0</v>
      </c>
      <c r="I59" s="1181"/>
      <c r="J59" s="1181"/>
      <c r="K59" s="1182"/>
      <c r="L59" s="1545">
        <f t="shared" si="42"/>
        <v>0</v>
      </c>
      <c r="M59" s="1388">
        <f t="shared" si="27"/>
        <v>0</v>
      </c>
      <c r="N59" s="1545">
        <f t="shared" si="28"/>
        <v>0</v>
      </c>
      <c r="O59" s="1181">
        <v>0</v>
      </c>
      <c r="P59" s="1545">
        <f t="shared" si="21"/>
        <v>0</v>
      </c>
      <c r="Q59" s="1181"/>
      <c r="R59" s="1181">
        <f t="shared" si="29"/>
        <v>0</v>
      </c>
      <c r="S59" s="1545">
        <f t="shared" si="30"/>
        <v>0</v>
      </c>
      <c r="T59" s="1545">
        <f t="shared" si="31"/>
        <v>0</v>
      </c>
      <c r="U59" s="1389">
        <f>'Table 5C1A-Madison Prep'!U59</f>
        <v>2054</v>
      </c>
      <c r="V59" s="1515">
        <f t="shared" si="43"/>
        <v>0</v>
      </c>
      <c r="W59" s="1396"/>
      <c r="X59" s="1392">
        <f t="shared" si="32"/>
        <v>0</v>
      </c>
      <c r="Y59" s="1391"/>
      <c r="Z59" s="1392">
        <f t="shared" si="23"/>
        <v>0</v>
      </c>
      <c r="AA59" s="1390">
        <f t="shared" si="33"/>
        <v>0</v>
      </c>
      <c r="AB59" s="1510">
        <f t="shared" si="34"/>
        <v>0</v>
      </c>
      <c r="AC59" s="1394">
        <f t="shared" si="35"/>
        <v>0</v>
      </c>
      <c r="AD59" s="1510">
        <f t="shared" si="36"/>
        <v>0</v>
      </c>
      <c r="AE59" s="1392">
        <v>0</v>
      </c>
      <c r="AF59" s="1515">
        <f t="shared" si="37"/>
        <v>0</v>
      </c>
      <c r="AG59" s="1392"/>
      <c r="AH59" s="1392">
        <f t="shared" si="38"/>
        <v>0</v>
      </c>
      <c r="AI59" s="1515">
        <f t="shared" si="39"/>
        <v>0</v>
      </c>
      <c r="AJ59" s="1505">
        <f t="shared" si="40"/>
        <v>0</v>
      </c>
      <c r="AK59" s="1535">
        <f t="shared" si="44"/>
        <v>0</v>
      </c>
    </row>
    <row r="60" spans="1:37" ht="16.2" customHeight="1">
      <c r="A60" s="1176">
        <v>54</v>
      </c>
      <c r="B60" s="1177" t="s">
        <v>133</v>
      </c>
      <c r="C60" s="1178">
        <f>+'Table 8 Membership 2.1.14'!S56</f>
        <v>0</v>
      </c>
      <c r="D60" s="1179">
        <f>+'Table 5C1A-Madison Prep'!D60</f>
        <v>5867.0798370516713</v>
      </c>
      <c r="E60" s="1180">
        <f t="shared" si="24"/>
        <v>0</v>
      </c>
      <c r="F60" s="1180">
        <f>+'Table 5C1A-Madison Prep'!F60</f>
        <v>951.45</v>
      </c>
      <c r="G60" s="1180">
        <f t="shared" si="25"/>
        <v>0</v>
      </c>
      <c r="H60" s="1539">
        <f t="shared" si="26"/>
        <v>0</v>
      </c>
      <c r="I60" s="1181"/>
      <c r="J60" s="1181"/>
      <c r="K60" s="1182"/>
      <c r="L60" s="1545">
        <f t="shared" si="42"/>
        <v>0</v>
      </c>
      <c r="M60" s="1388">
        <f t="shared" si="27"/>
        <v>0</v>
      </c>
      <c r="N60" s="1545">
        <f t="shared" si="28"/>
        <v>0</v>
      </c>
      <c r="O60" s="1181">
        <v>0</v>
      </c>
      <c r="P60" s="1545">
        <f t="shared" si="21"/>
        <v>0</v>
      </c>
      <c r="Q60" s="1181"/>
      <c r="R60" s="1181">
        <f t="shared" si="29"/>
        <v>0</v>
      </c>
      <c r="S60" s="1545">
        <f t="shared" si="30"/>
        <v>0</v>
      </c>
      <c r="T60" s="1545">
        <f t="shared" si="31"/>
        <v>0</v>
      </c>
      <c r="U60" s="1389">
        <f>'Table 5C1A-Madison Prep'!U60</f>
        <v>4116</v>
      </c>
      <c r="V60" s="1515">
        <f t="shared" si="43"/>
        <v>0</v>
      </c>
      <c r="W60" s="1396"/>
      <c r="X60" s="1392">
        <f t="shared" si="32"/>
        <v>0</v>
      </c>
      <c r="Y60" s="1391"/>
      <c r="Z60" s="1392">
        <f t="shared" si="23"/>
        <v>0</v>
      </c>
      <c r="AA60" s="1390">
        <f t="shared" si="33"/>
        <v>0</v>
      </c>
      <c r="AB60" s="1510">
        <f t="shared" si="34"/>
        <v>0</v>
      </c>
      <c r="AC60" s="1394">
        <f t="shared" si="35"/>
        <v>0</v>
      </c>
      <c r="AD60" s="1510">
        <f t="shared" si="36"/>
        <v>0</v>
      </c>
      <c r="AE60" s="1392">
        <v>0</v>
      </c>
      <c r="AF60" s="1515">
        <f t="shared" si="37"/>
        <v>0</v>
      </c>
      <c r="AG60" s="1392"/>
      <c r="AH60" s="1392">
        <f t="shared" si="38"/>
        <v>0</v>
      </c>
      <c r="AI60" s="1515">
        <f t="shared" si="39"/>
        <v>0</v>
      </c>
      <c r="AJ60" s="1505">
        <f t="shared" si="40"/>
        <v>0</v>
      </c>
      <c r="AK60" s="1535">
        <f t="shared" si="44"/>
        <v>0</v>
      </c>
    </row>
    <row r="61" spans="1:37" ht="16.2" customHeight="1">
      <c r="A61" s="1168">
        <v>55</v>
      </c>
      <c r="B61" s="1169" t="s">
        <v>134</v>
      </c>
      <c r="C61" s="1170">
        <f>+'Table 8 Membership 2.1.14'!S57</f>
        <v>0</v>
      </c>
      <c r="D61" s="1171">
        <f>+'Table 5C1A-Madison Prep'!D61</f>
        <v>4266.8225491298481</v>
      </c>
      <c r="E61" s="1172">
        <f t="shared" si="24"/>
        <v>0</v>
      </c>
      <c r="F61" s="1172">
        <f>+'Table 5C1A-Madison Prep'!F61</f>
        <v>795.14</v>
      </c>
      <c r="G61" s="1172">
        <f t="shared" si="25"/>
        <v>0</v>
      </c>
      <c r="H61" s="1540">
        <f t="shared" si="26"/>
        <v>0</v>
      </c>
      <c r="I61" s="1173"/>
      <c r="J61" s="1173"/>
      <c r="K61" s="1174"/>
      <c r="L61" s="1546">
        <f t="shared" si="42"/>
        <v>0</v>
      </c>
      <c r="M61" s="1399">
        <f t="shared" si="27"/>
        <v>0</v>
      </c>
      <c r="N61" s="1546">
        <f t="shared" si="28"/>
        <v>0</v>
      </c>
      <c r="O61" s="1173">
        <v>0</v>
      </c>
      <c r="P61" s="1546">
        <f t="shared" si="21"/>
        <v>0</v>
      </c>
      <c r="Q61" s="1173"/>
      <c r="R61" s="1173">
        <f t="shared" si="29"/>
        <v>0</v>
      </c>
      <c r="S61" s="1546">
        <f t="shared" si="30"/>
        <v>0</v>
      </c>
      <c r="T61" s="1546">
        <f t="shared" si="31"/>
        <v>0</v>
      </c>
      <c r="U61" s="1382">
        <f>'Table 5C1A-Madison Prep'!U61</f>
        <v>3532</v>
      </c>
      <c r="V61" s="1516">
        <f t="shared" si="43"/>
        <v>0</v>
      </c>
      <c r="W61" s="1404"/>
      <c r="X61" s="1383">
        <f t="shared" si="32"/>
        <v>0</v>
      </c>
      <c r="Y61" s="1400"/>
      <c r="Z61" s="1383">
        <f t="shared" si="23"/>
        <v>0</v>
      </c>
      <c r="AA61" s="1384">
        <f t="shared" si="33"/>
        <v>0</v>
      </c>
      <c r="AB61" s="1511">
        <f t="shared" si="34"/>
        <v>0</v>
      </c>
      <c r="AC61" s="1402">
        <f t="shared" si="35"/>
        <v>0</v>
      </c>
      <c r="AD61" s="1511">
        <f t="shared" si="36"/>
        <v>0</v>
      </c>
      <c r="AE61" s="1383">
        <v>0</v>
      </c>
      <c r="AF61" s="1516">
        <f t="shared" si="37"/>
        <v>0</v>
      </c>
      <c r="AG61" s="1383"/>
      <c r="AH61" s="1383">
        <f t="shared" si="38"/>
        <v>0</v>
      </c>
      <c r="AI61" s="1516">
        <f t="shared" si="39"/>
        <v>0</v>
      </c>
      <c r="AJ61" s="1531">
        <f t="shared" si="40"/>
        <v>0</v>
      </c>
      <c r="AK61" s="1536">
        <f t="shared" si="44"/>
        <v>0</v>
      </c>
    </row>
    <row r="62" spans="1:37" ht="16.2" customHeight="1">
      <c r="A62" s="1183">
        <v>56</v>
      </c>
      <c r="B62" s="1184" t="s">
        <v>135</v>
      </c>
      <c r="C62" s="1185">
        <f>+'Table 8 Membership 2.1.14'!S58</f>
        <v>0</v>
      </c>
      <c r="D62" s="1186">
        <f>+'Table 5C1A-Madison Prep'!D62</f>
        <v>5028.4909408288286</v>
      </c>
      <c r="E62" s="1187">
        <f t="shared" si="24"/>
        <v>0</v>
      </c>
      <c r="F62" s="1187">
        <f>+'Table 5C1A-Madison Prep'!F62</f>
        <v>614.66000000000008</v>
      </c>
      <c r="G62" s="1187">
        <f t="shared" si="25"/>
        <v>0</v>
      </c>
      <c r="H62" s="1538">
        <f t="shared" si="26"/>
        <v>0</v>
      </c>
      <c r="I62" s="1188"/>
      <c r="J62" s="1188"/>
      <c r="K62" s="1189"/>
      <c r="L62" s="1544">
        <f t="shared" si="42"/>
        <v>0</v>
      </c>
      <c r="M62" s="1372">
        <f t="shared" si="27"/>
        <v>0</v>
      </c>
      <c r="N62" s="1544">
        <f t="shared" si="28"/>
        <v>0</v>
      </c>
      <c r="O62" s="1188">
        <v>0</v>
      </c>
      <c r="P62" s="1544">
        <f t="shared" si="21"/>
        <v>0</v>
      </c>
      <c r="Q62" s="1188"/>
      <c r="R62" s="1188">
        <f t="shared" si="29"/>
        <v>0</v>
      </c>
      <c r="S62" s="1544">
        <f t="shared" si="30"/>
        <v>0</v>
      </c>
      <c r="T62" s="1544">
        <f t="shared" si="31"/>
        <v>0</v>
      </c>
      <c r="U62" s="1373">
        <f>'Table 5C1A-Madison Prep'!U62</f>
        <v>2865</v>
      </c>
      <c r="V62" s="1514">
        <f t="shared" si="43"/>
        <v>0</v>
      </c>
      <c r="W62" s="1380"/>
      <c r="X62" s="1376">
        <f t="shared" si="32"/>
        <v>0</v>
      </c>
      <c r="Y62" s="1375"/>
      <c r="Z62" s="1376">
        <f t="shared" si="23"/>
        <v>0</v>
      </c>
      <c r="AA62" s="1374">
        <f t="shared" si="33"/>
        <v>0</v>
      </c>
      <c r="AB62" s="1509">
        <f t="shared" si="34"/>
        <v>0</v>
      </c>
      <c r="AC62" s="1378">
        <f t="shared" si="35"/>
        <v>0</v>
      </c>
      <c r="AD62" s="1509">
        <f t="shared" si="36"/>
        <v>0</v>
      </c>
      <c r="AE62" s="1376">
        <v>0</v>
      </c>
      <c r="AF62" s="1514">
        <f t="shared" si="37"/>
        <v>0</v>
      </c>
      <c r="AG62" s="1376"/>
      <c r="AH62" s="1376">
        <f t="shared" si="38"/>
        <v>0</v>
      </c>
      <c r="AI62" s="1514">
        <f t="shared" si="39"/>
        <v>0</v>
      </c>
      <c r="AJ62" s="1530">
        <f t="shared" si="40"/>
        <v>0</v>
      </c>
      <c r="AK62" s="1534">
        <f t="shared" si="44"/>
        <v>0</v>
      </c>
    </row>
    <row r="63" spans="1:37" ht="16.2" customHeight="1">
      <c r="A63" s="1176">
        <v>57</v>
      </c>
      <c r="B63" s="1177" t="s">
        <v>136</v>
      </c>
      <c r="C63" s="1178">
        <f>+'Table 8 Membership 2.1.14'!S59</f>
        <v>0</v>
      </c>
      <c r="D63" s="1179">
        <f>+'Table 5C1A-Madison Prep'!D63</f>
        <v>4625.9922979230687</v>
      </c>
      <c r="E63" s="1180">
        <f t="shared" si="24"/>
        <v>0</v>
      </c>
      <c r="F63" s="1180">
        <f>+'Table 5C1A-Madison Prep'!F63</f>
        <v>764.51</v>
      </c>
      <c r="G63" s="1180">
        <f t="shared" si="25"/>
        <v>0</v>
      </c>
      <c r="H63" s="1539">
        <f t="shared" si="26"/>
        <v>0</v>
      </c>
      <c r="I63" s="1181"/>
      <c r="J63" s="1181"/>
      <c r="K63" s="1182"/>
      <c r="L63" s="1545">
        <f t="shared" si="42"/>
        <v>0</v>
      </c>
      <c r="M63" s="1388">
        <f t="shared" si="27"/>
        <v>0</v>
      </c>
      <c r="N63" s="1545">
        <f t="shared" si="28"/>
        <v>0</v>
      </c>
      <c r="O63" s="1181">
        <v>0</v>
      </c>
      <c r="P63" s="1545">
        <f t="shared" si="21"/>
        <v>0</v>
      </c>
      <c r="Q63" s="1181"/>
      <c r="R63" s="1181">
        <f t="shared" si="29"/>
        <v>0</v>
      </c>
      <c r="S63" s="1545">
        <f t="shared" si="30"/>
        <v>0</v>
      </c>
      <c r="T63" s="1545">
        <f t="shared" si="31"/>
        <v>0</v>
      </c>
      <c r="U63" s="1389">
        <f>'Table 5C1A-Madison Prep'!U63</f>
        <v>3395</v>
      </c>
      <c r="V63" s="1515">
        <f t="shared" si="43"/>
        <v>0</v>
      </c>
      <c r="W63" s="1396"/>
      <c r="X63" s="1392">
        <f t="shared" si="32"/>
        <v>0</v>
      </c>
      <c r="Y63" s="1391"/>
      <c r="Z63" s="1392">
        <f t="shared" si="23"/>
        <v>0</v>
      </c>
      <c r="AA63" s="1390">
        <f t="shared" si="33"/>
        <v>0</v>
      </c>
      <c r="AB63" s="1510">
        <f t="shared" si="34"/>
        <v>0</v>
      </c>
      <c r="AC63" s="1394">
        <f t="shared" si="35"/>
        <v>0</v>
      </c>
      <c r="AD63" s="1510">
        <f t="shared" si="36"/>
        <v>0</v>
      </c>
      <c r="AE63" s="1392">
        <v>0</v>
      </c>
      <c r="AF63" s="1515">
        <f t="shared" si="37"/>
        <v>0</v>
      </c>
      <c r="AG63" s="1392"/>
      <c r="AH63" s="1392">
        <f t="shared" si="38"/>
        <v>0</v>
      </c>
      <c r="AI63" s="1515">
        <f t="shared" si="39"/>
        <v>0</v>
      </c>
      <c r="AJ63" s="1505">
        <f t="shared" si="40"/>
        <v>0</v>
      </c>
      <c r="AK63" s="1535">
        <f t="shared" si="44"/>
        <v>0</v>
      </c>
    </row>
    <row r="64" spans="1:37" ht="16.2" customHeight="1">
      <c r="A64" s="1176">
        <v>58</v>
      </c>
      <c r="B64" s="1177" t="s">
        <v>137</v>
      </c>
      <c r="C64" s="1178">
        <f>+'Table 8 Membership 2.1.14'!S60</f>
        <v>0</v>
      </c>
      <c r="D64" s="1179">
        <f>+'Table 5C1A-Madison Prep'!D64</f>
        <v>5673.1129637882123</v>
      </c>
      <c r="E64" s="1180">
        <f t="shared" si="24"/>
        <v>0</v>
      </c>
      <c r="F64" s="1180">
        <f>+'Table 5C1A-Madison Prep'!F64</f>
        <v>697.04</v>
      </c>
      <c r="G64" s="1180">
        <f t="shared" si="25"/>
        <v>0</v>
      </c>
      <c r="H64" s="1539">
        <f t="shared" si="26"/>
        <v>0</v>
      </c>
      <c r="I64" s="1181"/>
      <c r="J64" s="1181"/>
      <c r="K64" s="1182"/>
      <c r="L64" s="1545">
        <f t="shared" si="42"/>
        <v>0</v>
      </c>
      <c r="M64" s="1388">
        <f t="shared" si="27"/>
        <v>0</v>
      </c>
      <c r="N64" s="1545">
        <f t="shared" si="28"/>
        <v>0</v>
      </c>
      <c r="O64" s="1181">
        <v>0</v>
      </c>
      <c r="P64" s="1545">
        <f t="shared" si="21"/>
        <v>0</v>
      </c>
      <c r="Q64" s="1181"/>
      <c r="R64" s="1181">
        <f t="shared" si="29"/>
        <v>0</v>
      </c>
      <c r="S64" s="1545">
        <f t="shared" si="30"/>
        <v>0</v>
      </c>
      <c r="T64" s="1545">
        <f t="shared" si="31"/>
        <v>0</v>
      </c>
      <c r="U64" s="1389">
        <f>'Table 5C1A-Madison Prep'!U64</f>
        <v>2084</v>
      </c>
      <c r="V64" s="1515">
        <f t="shared" si="43"/>
        <v>0</v>
      </c>
      <c r="W64" s="1396"/>
      <c r="X64" s="1392">
        <f t="shared" si="32"/>
        <v>0</v>
      </c>
      <c r="Y64" s="1391"/>
      <c r="Z64" s="1392">
        <f t="shared" si="23"/>
        <v>0</v>
      </c>
      <c r="AA64" s="1390">
        <f t="shared" si="33"/>
        <v>0</v>
      </c>
      <c r="AB64" s="1510">
        <f t="shared" si="34"/>
        <v>0</v>
      </c>
      <c r="AC64" s="1394">
        <f t="shared" si="35"/>
        <v>0</v>
      </c>
      <c r="AD64" s="1510">
        <f t="shared" si="36"/>
        <v>0</v>
      </c>
      <c r="AE64" s="1392">
        <v>0</v>
      </c>
      <c r="AF64" s="1515">
        <f t="shared" si="37"/>
        <v>0</v>
      </c>
      <c r="AG64" s="1392"/>
      <c r="AH64" s="1392">
        <f t="shared" si="38"/>
        <v>0</v>
      </c>
      <c r="AI64" s="1515">
        <f t="shared" si="39"/>
        <v>0</v>
      </c>
      <c r="AJ64" s="1505">
        <f t="shared" si="40"/>
        <v>0</v>
      </c>
      <c r="AK64" s="1535">
        <f t="shared" si="44"/>
        <v>0</v>
      </c>
    </row>
    <row r="65" spans="1:37" ht="16.2" customHeight="1">
      <c r="A65" s="1176">
        <v>59</v>
      </c>
      <c r="B65" s="1177" t="s">
        <v>138</v>
      </c>
      <c r="C65" s="1178">
        <f>+'Table 8 Membership 2.1.14'!S61</f>
        <v>0</v>
      </c>
      <c r="D65" s="1179">
        <f>+'Table 5C1A-Madison Prep'!D65</f>
        <v>6621.946293521848</v>
      </c>
      <c r="E65" s="1180">
        <f t="shared" si="24"/>
        <v>0</v>
      </c>
      <c r="F65" s="1180">
        <f>+'Table 5C1A-Madison Prep'!F65</f>
        <v>689.52</v>
      </c>
      <c r="G65" s="1180">
        <f t="shared" si="25"/>
        <v>0</v>
      </c>
      <c r="H65" s="1539">
        <f t="shared" si="26"/>
        <v>0</v>
      </c>
      <c r="I65" s="1181"/>
      <c r="J65" s="1181"/>
      <c r="K65" s="1182"/>
      <c r="L65" s="1545">
        <f t="shared" si="42"/>
        <v>0</v>
      </c>
      <c r="M65" s="1388">
        <f t="shared" si="27"/>
        <v>0</v>
      </c>
      <c r="N65" s="1545">
        <f t="shared" si="28"/>
        <v>0</v>
      </c>
      <c r="O65" s="1181">
        <v>0</v>
      </c>
      <c r="P65" s="1545">
        <f t="shared" si="21"/>
        <v>0</v>
      </c>
      <c r="Q65" s="1181"/>
      <c r="R65" s="1181">
        <f t="shared" si="29"/>
        <v>0</v>
      </c>
      <c r="S65" s="1545">
        <f t="shared" si="30"/>
        <v>0</v>
      </c>
      <c r="T65" s="1545">
        <f t="shared" si="31"/>
        <v>0</v>
      </c>
      <c r="U65" s="1389">
        <f>'Table 5C1A-Madison Prep'!U65</f>
        <v>1577</v>
      </c>
      <c r="V65" s="1515">
        <f t="shared" si="43"/>
        <v>0</v>
      </c>
      <c r="W65" s="1396"/>
      <c r="X65" s="1392">
        <f t="shared" si="32"/>
        <v>0</v>
      </c>
      <c r="Y65" s="1391"/>
      <c r="Z65" s="1392">
        <f t="shared" si="23"/>
        <v>0</v>
      </c>
      <c r="AA65" s="1390">
        <f t="shared" si="33"/>
        <v>0</v>
      </c>
      <c r="AB65" s="1510">
        <f t="shared" si="34"/>
        <v>0</v>
      </c>
      <c r="AC65" s="1394">
        <f t="shared" si="35"/>
        <v>0</v>
      </c>
      <c r="AD65" s="1510">
        <f t="shared" si="36"/>
        <v>0</v>
      </c>
      <c r="AE65" s="1392">
        <v>0</v>
      </c>
      <c r="AF65" s="1515">
        <f t="shared" si="37"/>
        <v>0</v>
      </c>
      <c r="AG65" s="1392"/>
      <c r="AH65" s="1392">
        <f t="shared" si="38"/>
        <v>0</v>
      </c>
      <c r="AI65" s="1515">
        <f t="shared" si="39"/>
        <v>0</v>
      </c>
      <c r="AJ65" s="1505">
        <f t="shared" si="40"/>
        <v>0</v>
      </c>
      <c r="AK65" s="1535">
        <f t="shared" si="44"/>
        <v>0</v>
      </c>
    </row>
    <row r="66" spans="1:37" ht="16.2" customHeight="1">
      <c r="A66" s="1168">
        <v>60</v>
      </c>
      <c r="B66" s="1169" t="s">
        <v>139</v>
      </c>
      <c r="C66" s="1170">
        <f>+'Table 8 Membership 2.1.14'!S62</f>
        <v>0</v>
      </c>
      <c r="D66" s="1171">
        <f>+'Table 5C1A-Madison Prep'!D66</f>
        <v>5301.224090063828</v>
      </c>
      <c r="E66" s="1172">
        <f t="shared" si="24"/>
        <v>0</v>
      </c>
      <c r="F66" s="1172">
        <f>+'Table 5C1A-Madison Prep'!F66</f>
        <v>594.04</v>
      </c>
      <c r="G66" s="1172">
        <f t="shared" si="25"/>
        <v>0</v>
      </c>
      <c r="H66" s="1540">
        <f t="shared" si="26"/>
        <v>0</v>
      </c>
      <c r="I66" s="1173"/>
      <c r="J66" s="1173"/>
      <c r="K66" s="1174"/>
      <c r="L66" s="1546">
        <f t="shared" si="42"/>
        <v>0</v>
      </c>
      <c r="M66" s="1399">
        <f t="shared" si="27"/>
        <v>0</v>
      </c>
      <c r="N66" s="1546">
        <f t="shared" si="28"/>
        <v>0</v>
      </c>
      <c r="O66" s="1173">
        <v>0</v>
      </c>
      <c r="P66" s="1546">
        <f t="shared" si="21"/>
        <v>0</v>
      </c>
      <c r="Q66" s="1173"/>
      <c r="R66" s="1173">
        <f t="shared" si="29"/>
        <v>0</v>
      </c>
      <c r="S66" s="1546">
        <f t="shared" si="30"/>
        <v>0</v>
      </c>
      <c r="T66" s="1546">
        <f t="shared" si="31"/>
        <v>0</v>
      </c>
      <c r="U66" s="1382">
        <f>'Table 5C1A-Madison Prep'!U66</f>
        <v>3922</v>
      </c>
      <c r="V66" s="1516">
        <f t="shared" si="43"/>
        <v>0</v>
      </c>
      <c r="W66" s="1404"/>
      <c r="X66" s="1383">
        <f t="shared" si="32"/>
        <v>0</v>
      </c>
      <c r="Y66" s="1400"/>
      <c r="Z66" s="1383">
        <f t="shared" si="23"/>
        <v>0</v>
      </c>
      <c r="AA66" s="1384">
        <f t="shared" si="33"/>
        <v>0</v>
      </c>
      <c r="AB66" s="1511">
        <f t="shared" si="34"/>
        <v>0</v>
      </c>
      <c r="AC66" s="1402">
        <f t="shared" si="35"/>
        <v>0</v>
      </c>
      <c r="AD66" s="1511">
        <f t="shared" si="36"/>
        <v>0</v>
      </c>
      <c r="AE66" s="1383">
        <v>0</v>
      </c>
      <c r="AF66" s="1516">
        <f t="shared" si="37"/>
        <v>0</v>
      </c>
      <c r="AG66" s="1383"/>
      <c r="AH66" s="1383">
        <f t="shared" si="38"/>
        <v>0</v>
      </c>
      <c r="AI66" s="1516">
        <f t="shared" si="39"/>
        <v>0</v>
      </c>
      <c r="AJ66" s="1531">
        <f t="shared" si="40"/>
        <v>0</v>
      </c>
      <c r="AK66" s="1536">
        <f t="shared" si="44"/>
        <v>0</v>
      </c>
    </row>
    <row r="67" spans="1:37" ht="16.2" customHeight="1">
      <c r="A67" s="1183">
        <v>61</v>
      </c>
      <c r="B67" s="1184" t="s">
        <v>140</v>
      </c>
      <c r="C67" s="1185">
        <f>+'Table 8 Membership 2.1.14'!S63</f>
        <v>0</v>
      </c>
      <c r="D67" s="1186">
        <f>+'Table 5C1A-Madison Prep'!D67</f>
        <v>2854.1575356369185</v>
      </c>
      <c r="E67" s="1187">
        <f t="shared" si="24"/>
        <v>0</v>
      </c>
      <c r="F67" s="1187">
        <f>+'Table 5C1A-Madison Prep'!F67</f>
        <v>833.70999999999992</v>
      </c>
      <c r="G67" s="1187">
        <f t="shared" si="25"/>
        <v>0</v>
      </c>
      <c r="H67" s="1538">
        <f t="shared" si="26"/>
        <v>0</v>
      </c>
      <c r="I67" s="1188"/>
      <c r="J67" s="1188"/>
      <c r="K67" s="1189"/>
      <c r="L67" s="1544">
        <f t="shared" si="42"/>
        <v>0</v>
      </c>
      <c r="M67" s="1372">
        <f t="shared" si="27"/>
        <v>0</v>
      </c>
      <c r="N67" s="1544">
        <f t="shared" si="28"/>
        <v>0</v>
      </c>
      <c r="O67" s="1188">
        <v>0</v>
      </c>
      <c r="P67" s="1544">
        <f t="shared" si="21"/>
        <v>0</v>
      </c>
      <c r="Q67" s="1188"/>
      <c r="R67" s="1188">
        <f t="shared" si="29"/>
        <v>0</v>
      </c>
      <c r="S67" s="1544">
        <f t="shared" si="30"/>
        <v>0</v>
      </c>
      <c r="T67" s="1544">
        <f t="shared" si="31"/>
        <v>0</v>
      </c>
      <c r="U67" s="1373">
        <f>'Table 5C1A-Madison Prep'!U67</f>
        <v>6745</v>
      </c>
      <c r="V67" s="1514">
        <f t="shared" si="43"/>
        <v>0</v>
      </c>
      <c r="W67" s="1380"/>
      <c r="X67" s="1376">
        <f t="shared" si="32"/>
        <v>0</v>
      </c>
      <c r="Y67" s="1375"/>
      <c r="Z67" s="1376">
        <f t="shared" si="23"/>
        <v>0</v>
      </c>
      <c r="AA67" s="1374">
        <f t="shared" si="33"/>
        <v>0</v>
      </c>
      <c r="AB67" s="1509">
        <f t="shared" si="34"/>
        <v>0</v>
      </c>
      <c r="AC67" s="1378">
        <f t="shared" si="35"/>
        <v>0</v>
      </c>
      <c r="AD67" s="1509">
        <f t="shared" si="36"/>
        <v>0</v>
      </c>
      <c r="AE67" s="1376">
        <v>0</v>
      </c>
      <c r="AF67" s="1514">
        <f t="shared" si="37"/>
        <v>0</v>
      </c>
      <c r="AG67" s="1376"/>
      <c r="AH67" s="1376">
        <f t="shared" si="38"/>
        <v>0</v>
      </c>
      <c r="AI67" s="1514">
        <f t="shared" si="39"/>
        <v>0</v>
      </c>
      <c r="AJ67" s="1530">
        <f t="shared" si="40"/>
        <v>0</v>
      </c>
      <c r="AK67" s="1534">
        <f t="shared" si="44"/>
        <v>0</v>
      </c>
    </row>
    <row r="68" spans="1:37" ht="16.2" customHeight="1">
      <c r="A68" s="1176">
        <v>62</v>
      </c>
      <c r="B68" s="1177" t="s">
        <v>141</v>
      </c>
      <c r="C68" s="1178">
        <f>+'Table 8 Membership 2.1.14'!S64</f>
        <v>0</v>
      </c>
      <c r="D68" s="1179">
        <f>+'Table 5C1A-Madison Prep'!D68</f>
        <v>5901.074538516008</v>
      </c>
      <c r="E68" s="1180">
        <f t="shared" si="24"/>
        <v>0</v>
      </c>
      <c r="F68" s="1180">
        <f>+'Table 5C1A-Madison Prep'!F68</f>
        <v>516.08000000000004</v>
      </c>
      <c r="G68" s="1180">
        <f t="shared" si="25"/>
        <v>0</v>
      </c>
      <c r="H68" s="1539">
        <f t="shared" si="26"/>
        <v>0</v>
      </c>
      <c r="I68" s="1181"/>
      <c r="J68" s="1181"/>
      <c r="K68" s="1182"/>
      <c r="L68" s="1545">
        <f t="shared" si="42"/>
        <v>0</v>
      </c>
      <c r="M68" s="1388">
        <f t="shared" si="27"/>
        <v>0</v>
      </c>
      <c r="N68" s="1545">
        <f t="shared" si="28"/>
        <v>0</v>
      </c>
      <c r="O68" s="1181">
        <v>0</v>
      </c>
      <c r="P68" s="1545">
        <f t="shared" si="21"/>
        <v>0</v>
      </c>
      <c r="Q68" s="1181"/>
      <c r="R68" s="1181">
        <f t="shared" si="29"/>
        <v>0</v>
      </c>
      <c r="S68" s="1545">
        <f t="shared" si="30"/>
        <v>0</v>
      </c>
      <c r="T68" s="1545">
        <f t="shared" si="31"/>
        <v>0</v>
      </c>
      <c r="U68" s="1389">
        <f>'Table 5C1A-Madison Prep'!U68</f>
        <v>1908</v>
      </c>
      <c r="V68" s="1515">
        <f t="shared" si="43"/>
        <v>0</v>
      </c>
      <c r="W68" s="1396"/>
      <c r="X68" s="1392">
        <f t="shared" si="32"/>
        <v>0</v>
      </c>
      <c r="Y68" s="1391"/>
      <c r="Z68" s="1392">
        <f t="shared" si="23"/>
        <v>0</v>
      </c>
      <c r="AA68" s="1390">
        <f t="shared" si="33"/>
        <v>0</v>
      </c>
      <c r="AB68" s="1510">
        <f t="shared" si="34"/>
        <v>0</v>
      </c>
      <c r="AC68" s="1394">
        <f t="shared" si="35"/>
        <v>0</v>
      </c>
      <c r="AD68" s="1510">
        <f t="shared" si="36"/>
        <v>0</v>
      </c>
      <c r="AE68" s="1392">
        <v>0</v>
      </c>
      <c r="AF68" s="1515">
        <f t="shared" si="37"/>
        <v>0</v>
      </c>
      <c r="AG68" s="1392"/>
      <c r="AH68" s="1392">
        <f t="shared" si="38"/>
        <v>0</v>
      </c>
      <c r="AI68" s="1515">
        <f t="shared" si="39"/>
        <v>0</v>
      </c>
      <c r="AJ68" s="1505">
        <f t="shared" si="40"/>
        <v>0</v>
      </c>
      <c r="AK68" s="1535">
        <f t="shared" si="44"/>
        <v>0</v>
      </c>
    </row>
    <row r="69" spans="1:37" ht="16.2" customHeight="1">
      <c r="A69" s="1176">
        <v>63</v>
      </c>
      <c r="B69" s="1177" t="s">
        <v>142</v>
      </c>
      <c r="C69" s="1178">
        <f>+'Table 8 Membership 2.1.14'!S65</f>
        <v>0</v>
      </c>
      <c r="D69" s="1179">
        <f>+'Table 5C1A-Madison Prep'!D69</f>
        <v>4124.3813481848092</v>
      </c>
      <c r="E69" s="1180">
        <f t="shared" si="24"/>
        <v>0</v>
      </c>
      <c r="F69" s="1180">
        <f>+'Table 5C1A-Madison Prep'!F69</f>
        <v>756.79</v>
      </c>
      <c r="G69" s="1180">
        <f t="shared" si="25"/>
        <v>0</v>
      </c>
      <c r="H69" s="1539">
        <f t="shared" si="26"/>
        <v>0</v>
      </c>
      <c r="I69" s="1181"/>
      <c r="J69" s="1181"/>
      <c r="K69" s="1182"/>
      <c r="L69" s="1545">
        <f t="shared" si="42"/>
        <v>0</v>
      </c>
      <c r="M69" s="1388">
        <f t="shared" si="27"/>
        <v>0</v>
      </c>
      <c r="N69" s="1545">
        <f t="shared" si="28"/>
        <v>0</v>
      </c>
      <c r="O69" s="1181">
        <v>0</v>
      </c>
      <c r="P69" s="1545">
        <f t="shared" si="21"/>
        <v>0</v>
      </c>
      <c r="Q69" s="1181"/>
      <c r="R69" s="1181">
        <f t="shared" si="29"/>
        <v>0</v>
      </c>
      <c r="S69" s="1545">
        <f t="shared" si="30"/>
        <v>0</v>
      </c>
      <c r="T69" s="1545">
        <f t="shared" si="31"/>
        <v>0</v>
      </c>
      <c r="U69" s="1389">
        <f>'Table 5C1A-Madison Prep'!U69</f>
        <v>7290</v>
      </c>
      <c r="V69" s="1515">
        <f t="shared" si="43"/>
        <v>0</v>
      </c>
      <c r="W69" s="1396"/>
      <c r="X69" s="1392">
        <f t="shared" si="32"/>
        <v>0</v>
      </c>
      <c r="Y69" s="1391"/>
      <c r="Z69" s="1392">
        <f t="shared" si="23"/>
        <v>0</v>
      </c>
      <c r="AA69" s="1390">
        <f t="shared" si="33"/>
        <v>0</v>
      </c>
      <c r="AB69" s="1510">
        <f t="shared" si="34"/>
        <v>0</v>
      </c>
      <c r="AC69" s="1394">
        <f t="shared" si="35"/>
        <v>0</v>
      </c>
      <c r="AD69" s="1510">
        <f t="shared" si="36"/>
        <v>0</v>
      </c>
      <c r="AE69" s="1392">
        <v>0</v>
      </c>
      <c r="AF69" s="1515">
        <f t="shared" si="37"/>
        <v>0</v>
      </c>
      <c r="AG69" s="1392"/>
      <c r="AH69" s="1392">
        <f t="shared" si="38"/>
        <v>0</v>
      </c>
      <c r="AI69" s="1515">
        <f t="shared" si="39"/>
        <v>0</v>
      </c>
      <c r="AJ69" s="1505">
        <f t="shared" si="40"/>
        <v>0</v>
      </c>
      <c r="AK69" s="1535">
        <f t="shared" si="44"/>
        <v>0</v>
      </c>
    </row>
    <row r="70" spans="1:37" ht="16.2" customHeight="1">
      <c r="A70" s="1176">
        <v>64</v>
      </c>
      <c r="B70" s="1177" t="s">
        <v>143</v>
      </c>
      <c r="C70" s="1178">
        <f>+'Table 8 Membership 2.1.14'!S66</f>
        <v>0</v>
      </c>
      <c r="D70" s="1179">
        <f>+'Table 5C1A-Madison Prep'!D70</f>
        <v>6277.8307532778254</v>
      </c>
      <c r="E70" s="1180">
        <f t="shared" si="24"/>
        <v>0</v>
      </c>
      <c r="F70" s="1180">
        <f>+'Table 5C1A-Madison Prep'!F70</f>
        <v>592.66</v>
      </c>
      <c r="G70" s="1180">
        <f t="shared" si="25"/>
        <v>0</v>
      </c>
      <c r="H70" s="1539">
        <f t="shared" si="26"/>
        <v>0</v>
      </c>
      <c r="I70" s="1181"/>
      <c r="J70" s="1181"/>
      <c r="K70" s="1182"/>
      <c r="L70" s="1545">
        <f t="shared" si="42"/>
        <v>0</v>
      </c>
      <c r="M70" s="1388">
        <f t="shared" si="27"/>
        <v>0</v>
      </c>
      <c r="N70" s="1545">
        <f t="shared" si="28"/>
        <v>0</v>
      </c>
      <c r="O70" s="1181">
        <v>0</v>
      </c>
      <c r="P70" s="1545">
        <f t="shared" si="21"/>
        <v>0</v>
      </c>
      <c r="Q70" s="1181"/>
      <c r="R70" s="1181">
        <f t="shared" si="29"/>
        <v>0</v>
      </c>
      <c r="S70" s="1545">
        <f t="shared" si="30"/>
        <v>0</v>
      </c>
      <c r="T70" s="1545">
        <f t="shared" si="31"/>
        <v>0</v>
      </c>
      <c r="U70" s="1389">
        <f>'Table 5C1A-Madison Prep'!U70</f>
        <v>2721</v>
      </c>
      <c r="V70" s="1515">
        <f t="shared" si="43"/>
        <v>0</v>
      </c>
      <c r="W70" s="1396"/>
      <c r="X70" s="1392">
        <f t="shared" si="32"/>
        <v>0</v>
      </c>
      <c r="Y70" s="1391"/>
      <c r="Z70" s="1392">
        <f t="shared" si="23"/>
        <v>0</v>
      </c>
      <c r="AA70" s="1390">
        <f t="shared" si="33"/>
        <v>0</v>
      </c>
      <c r="AB70" s="1510">
        <f t="shared" si="34"/>
        <v>0</v>
      </c>
      <c r="AC70" s="1394">
        <f t="shared" si="35"/>
        <v>0</v>
      </c>
      <c r="AD70" s="1510">
        <f t="shared" si="36"/>
        <v>0</v>
      </c>
      <c r="AE70" s="1392">
        <v>0</v>
      </c>
      <c r="AF70" s="1515">
        <f t="shared" si="37"/>
        <v>0</v>
      </c>
      <c r="AG70" s="1392"/>
      <c r="AH70" s="1392">
        <f t="shared" si="38"/>
        <v>0</v>
      </c>
      <c r="AI70" s="1515">
        <f t="shared" si="39"/>
        <v>0</v>
      </c>
      <c r="AJ70" s="1505">
        <f t="shared" si="40"/>
        <v>0</v>
      </c>
      <c r="AK70" s="1535">
        <f t="shared" si="44"/>
        <v>0</v>
      </c>
    </row>
    <row r="71" spans="1:37" ht="16.2" customHeight="1">
      <c r="A71" s="1168">
        <v>65</v>
      </c>
      <c r="B71" s="1169" t="s">
        <v>144</v>
      </c>
      <c r="C71" s="1170">
        <f>+'Table 8 Membership 2.1.14'!S67</f>
        <v>0</v>
      </c>
      <c r="D71" s="1171">
        <f>+'Table 5C1A-Madison Prep'!D71</f>
        <v>4775.1605543943642</v>
      </c>
      <c r="E71" s="1172">
        <f t="shared" si="24"/>
        <v>0</v>
      </c>
      <c r="F71" s="1172">
        <f>+'Table 5C1A-Madison Prep'!F71</f>
        <v>829.12</v>
      </c>
      <c r="G71" s="1172">
        <f t="shared" si="25"/>
        <v>0</v>
      </c>
      <c r="H71" s="1540">
        <f t="shared" si="26"/>
        <v>0</v>
      </c>
      <c r="I71" s="1173"/>
      <c r="J71" s="1173"/>
      <c r="K71" s="1174"/>
      <c r="L71" s="1546">
        <f t="shared" ref="L71:L75" si="45">H71+K71</f>
        <v>0</v>
      </c>
      <c r="M71" s="1399">
        <f t="shared" si="27"/>
        <v>0</v>
      </c>
      <c r="N71" s="1546">
        <f t="shared" si="28"/>
        <v>0</v>
      </c>
      <c r="O71" s="1173">
        <v>0</v>
      </c>
      <c r="P71" s="1546">
        <f t="shared" si="21"/>
        <v>0</v>
      </c>
      <c r="Q71" s="1173"/>
      <c r="R71" s="1173">
        <f t="shared" si="29"/>
        <v>0</v>
      </c>
      <c r="S71" s="1546">
        <f t="shared" si="30"/>
        <v>0</v>
      </c>
      <c r="T71" s="1546">
        <f t="shared" si="31"/>
        <v>0</v>
      </c>
      <c r="U71" s="1382">
        <f>'Table 5C1A-Madison Prep'!U71</f>
        <v>5110</v>
      </c>
      <c r="V71" s="1516">
        <f t="shared" ref="V71:V75" si="46">C71*U71</f>
        <v>0</v>
      </c>
      <c r="W71" s="1404"/>
      <c r="X71" s="1383">
        <f t="shared" si="32"/>
        <v>0</v>
      </c>
      <c r="Y71" s="1400"/>
      <c r="Z71" s="1383">
        <f t="shared" ref="Z71:Z74" si="47">+U71*Y71*0.5</f>
        <v>0</v>
      </c>
      <c r="AA71" s="1384">
        <f t="shared" si="33"/>
        <v>0</v>
      </c>
      <c r="AB71" s="1511">
        <f t="shared" si="34"/>
        <v>0</v>
      </c>
      <c r="AC71" s="1402">
        <f t="shared" si="35"/>
        <v>0</v>
      </c>
      <c r="AD71" s="1511">
        <f t="shared" si="36"/>
        <v>0</v>
      </c>
      <c r="AE71" s="1383">
        <v>0</v>
      </c>
      <c r="AF71" s="1516">
        <f t="shared" si="37"/>
        <v>0</v>
      </c>
      <c r="AG71" s="1383"/>
      <c r="AH71" s="1383">
        <f t="shared" si="38"/>
        <v>0</v>
      </c>
      <c r="AI71" s="1516">
        <f t="shared" si="39"/>
        <v>0</v>
      </c>
      <c r="AJ71" s="1531">
        <f t="shared" si="40"/>
        <v>0</v>
      </c>
      <c r="AK71" s="1536">
        <f t="shared" si="44"/>
        <v>0</v>
      </c>
    </row>
    <row r="72" spans="1:37" ht="16.2" customHeight="1">
      <c r="A72" s="1176">
        <v>66</v>
      </c>
      <c r="B72" s="1177" t="s">
        <v>145</v>
      </c>
      <c r="C72" s="1197">
        <f>+'Table 8 Membership 2.1.14'!S68</f>
        <v>0</v>
      </c>
      <c r="D72" s="1198">
        <f>+'Table 5C1A-Madison Prep'!D72</f>
        <v>6564.0085433910035</v>
      </c>
      <c r="E72" s="1199">
        <f t="shared" ref="E72:E75" si="48">C72*D72</f>
        <v>0</v>
      </c>
      <c r="F72" s="1199">
        <f>+'Table 5C1A-Madison Prep'!F72</f>
        <v>730.06</v>
      </c>
      <c r="G72" s="1199">
        <f t="shared" ref="G72:G75" si="49">C72*F72</f>
        <v>0</v>
      </c>
      <c r="H72" s="1403">
        <f t="shared" ref="H72:H75" si="50">E72+G72</f>
        <v>0</v>
      </c>
      <c r="I72" s="1200"/>
      <c r="J72" s="1200"/>
      <c r="K72" s="1201"/>
      <c r="L72" s="1398">
        <f t="shared" si="45"/>
        <v>0</v>
      </c>
      <c r="M72" s="1423">
        <f t="shared" ref="M72:M75" si="51">-(0.25%*L72)</f>
        <v>0</v>
      </c>
      <c r="N72" s="1398">
        <f t="shared" ref="N72:N75" si="52">SUM(L72:M72)</f>
        <v>0</v>
      </c>
      <c r="O72" s="1200">
        <v>0</v>
      </c>
      <c r="P72" s="1398">
        <f t="shared" ref="P72:P75" si="53">SUM(N72:O72)</f>
        <v>0</v>
      </c>
      <c r="Q72" s="1200"/>
      <c r="R72" s="1200">
        <f t="shared" ref="R72:R75" si="54">P72-Q72</f>
        <v>0</v>
      </c>
      <c r="S72" s="1398">
        <f t="shared" ref="S72:S75" si="55">ROUND(R72/12,0)</f>
        <v>0</v>
      </c>
      <c r="T72" s="1398">
        <f t="shared" ref="T72:T75" si="56">+P72</f>
        <v>0</v>
      </c>
      <c r="U72" s="1389">
        <f>'Table 5C1A-Madison Prep'!U72</f>
        <v>3369</v>
      </c>
      <c r="V72" s="1515">
        <f t="shared" si="46"/>
        <v>0</v>
      </c>
      <c r="W72" s="1396"/>
      <c r="X72" s="1392">
        <f t="shared" ref="X72:X75" si="57">W72*U72</f>
        <v>0</v>
      </c>
      <c r="Y72" s="1391"/>
      <c r="Z72" s="1392">
        <f t="shared" si="47"/>
        <v>0</v>
      </c>
      <c r="AA72" s="1390">
        <f t="shared" ref="AA72:AA75" si="58">+X72+Z72</f>
        <v>0</v>
      </c>
      <c r="AB72" s="1510">
        <f t="shared" ref="AB72:AB75" si="59">V72+AA72</f>
        <v>0</v>
      </c>
      <c r="AC72" s="1394">
        <f t="shared" ref="AC72:AC75" si="60">-(0.25%*AB72)</f>
        <v>0</v>
      </c>
      <c r="AD72" s="1510">
        <f t="shared" ref="AD72:AD75" si="61">SUM(AB72:AC72)</f>
        <v>0</v>
      </c>
      <c r="AE72" s="1392">
        <v>0</v>
      </c>
      <c r="AF72" s="1515">
        <f t="shared" ref="AF72:AF75" si="62">SUM(AD72:AE72)</f>
        <v>0</v>
      </c>
      <c r="AG72" s="1392"/>
      <c r="AH72" s="1392">
        <f t="shared" ref="AH72:AH74" si="63">AF72-AG72</f>
        <v>0</v>
      </c>
      <c r="AI72" s="1515">
        <f t="shared" ref="AI72:AI75" si="64">ROUND(AH72/12,0)</f>
        <v>0</v>
      </c>
      <c r="AJ72" s="1505">
        <f t="shared" ref="AJ72:AJ75" si="65">T72+AF72</f>
        <v>0</v>
      </c>
      <c r="AK72" s="1505">
        <f t="shared" si="44"/>
        <v>0</v>
      </c>
    </row>
    <row r="73" spans="1:37" ht="16.2" customHeight="1">
      <c r="A73" s="1176">
        <v>67</v>
      </c>
      <c r="B73" s="1177" t="s">
        <v>30</v>
      </c>
      <c r="C73" s="1197">
        <f>+'Table 8 Membership 2.1.14'!S69</f>
        <v>0</v>
      </c>
      <c r="D73" s="1198">
        <f>+'Table 5C1A-Madison Prep'!D73</f>
        <v>5029.1467736134118</v>
      </c>
      <c r="E73" s="1199">
        <f t="shared" si="48"/>
        <v>0</v>
      </c>
      <c r="F73" s="1199">
        <f>+'Table 5C1A-Madison Prep'!F73</f>
        <v>715.61</v>
      </c>
      <c r="G73" s="1199">
        <f t="shared" si="49"/>
        <v>0</v>
      </c>
      <c r="H73" s="1403">
        <f t="shared" si="50"/>
        <v>0</v>
      </c>
      <c r="I73" s="1200"/>
      <c r="J73" s="1200"/>
      <c r="K73" s="1201"/>
      <c r="L73" s="1398">
        <f t="shared" si="45"/>
        <v>0</v>
      </c>
      <c r="M73" s="1423">
        <f t="shared" si="51"/>
        <v>0</v>
      </c>
      <c r="N73" s="1398">
        <f t="shared" si="52"/>
        <v>0</v>
      </c>
      <c r="O73" s="1200">
        <v>0</v>
      </c>
      <c r="P73" s="1398">
        <f t="shared" si="53"/>
        <v>0</v>
      </c>
      <c r="Q73" s="1200"/>
      <c r="R73" s="1200">
        <f t="shared" si="54"/>
        <v>0</v>
      </c>
      <c r="S73" s="1398">
        <f t="shared" si="55"/>
        <v>0</v>
      </c>
      <c r="T73" s="1398">
        <f t="shared" si="56"/>
        <v>0</v>
      </c>
      <c r="U73" s="1389">
        <f>'Table 5C1A-Madison Prep'!U73</f>
        <v>5015</v>
      </c>
      <c r="V73" s="1515">
        <f t="shared" si="46"/>
        <v>0</v>
      </c>
      <c r="W73" s="1396"/>
      <c r="X73" s="1392">
        <f t="shared" si="57"/>
        <v>0</v>
      </c>
      <c r="Y73" s="1391"/>
      <c r="Z73" s="1392">
        <f t="shared" si="47"/>
        <v>0</v>
      </c>
      <c r="AA73" s="1390">
        <f t="shared" si="58"/>
        <v>0</v>
      </c>
      <c r="AB73" s="1510">
        <f t="shared" si="59"/>
        <v>0</v>
      </c>
      <c r="AC73" s="1394">
        <f t="shared" si="60"/>
        <v>0</v>
      </c>
      <c r="AD73" s="1510">
        <f t="shared" si="61"/>
        <v>0</v>
      </c>
      <c r="AE73" s="1392">
        <v>0</v>
      </c>
      <c r="AF73" s="1515">
        <f t="shared" si="62"/>
        <v>0</v>
      </c>
      <c r="AG73" s="1392"/>
      <c r="AH73" s="1392">
        <f t="shared" si="63"/>
        <v>0</v>
      </c>
      <c r="AI73" s="1515">
        <f t="shared" si="64"/>
        <v>0</v>
      </c>
      <c r="AJ73" s="1505">
        <f t="shared" si="65"/>
        <v>0</v>
      </c>
      <c r="AK73" s="1505">
        <f t="shared" si="44"/>
        <v>0</v>
      </c>
    </row>
    <row r="74" spans="1:37" ht="16.2" customHeight="1">
      <c r="A74" s="1176">
        <v>68</v>
      </c>
      <c r="B74" s="1177" t="s">
        <v>28</v>
      </c>
      <c r="C74" s="1197">
        <f>+'Table 8 Membership 2.1.14'!S70</f>
        <v>0</v>
      </c>
      <c r="D74" s="1198">
        <f>+'Table 5C1A-Madison Prep'!D74</f>
        <v>6390.1644202560601</v>
      </c>
      <c r="E74" s="1199">
        <f t="shared" si="48"/>
        <v>0</v>
      </c>
      <c r="F74" s="1199">
        <f>+'Table 5C1A-Madison Prep'!F74</f>
        <v>798.7</v>
      </c>
      <c r="G74" s="1199">
        <f t="shared" si="49"/>
        <v>0</v>
      </c>
      <c r="H74" s="1403">
        <f t="shared" si="50"/>
        <v>0</v>
      </c>
      <c r="I74" s="1200"/>
      <c r="J74" s="1200"/>
      <c r="K74" s="1201"/>
      <c r="L74" s="1398">
        <f t="shared" si="45"/>
        <v>0</v>
      </c>
      <c r="M74" s="1423">
        <f t="shared" si="51"/>
        <v>0</v>
      </c>
      <c r="N74" s="1398">
        <f t="shared" si="52"/>
        <v>0</v>
      </c>
      <c r="O74" s="1200">
        <v>0</v>
      </c>
      <c r="P74" s="1398">
        <f t="shared" si="53"/>
        <v>0</v>
      </c>
      <c r="Q74" s="1200"/>
      <c r="R74" s="1200">
        <f t="shared" si="54"/>
        <v>0</v>
      </c>
      <c r="S74" s="1398">
        <f t="shared" si="55"/>
        <v>0</v>
      </c>
      <c r="T74" s="1398">
        <f t="shared" si="56"/>
        <v>0</v>
      </c>
      <c r="U74" s="1389">
        <f>'Table 5C1A-Madison Prep'!U74</f>
        <v>2669</v>
      </c>
      <c r="V74" s="1515">
        <f t="shared" si="46"/>
        <v>0</v>
      </c>
      <c r="W74" s="1396"/>
      <c r="X74" s="1392">
        <f t="shared" si="57"/>
        <v>0</v>
      </c>
      <c r="Y74" s="1391"/>
      <c r="Z74" s="1392">
        <f t="shared" si="47"/>
        <v>0</v>
      </c>
      <c r="AA74" s="1390">
        <f t="shared" si="58"/>
        <v>0</v>
      </c>
      <c r="AB74" s="1510">
        <f t="shared" si="59"/>
        <v>0</v>
      </c>
      <c r="AC74" s="1394">
        <f t="shared" si="60"/>
        <v>0</v>
      </c>
      <c r="AD74" s="1510">
        <f t="shared" si="61"/>
        <v>0</v>
      </c>
      <c r="AE74" s="1392">
        <v>0</v>
      </c>
      <c r="AF74" s="1515">
        <f t="shared" si="62"/>
        <v>0</v>
      </c>
      <c r="AG74" s="1392"/>
      <c r="AH74" s="1392">
        <f t="shared" si="63"/>
        <v>0</v>
      </c>
      <c r="AI74" s="1515">
        <f t="shared" si="64"/>
        <v>0</v>
      </c>
      <c r="AJ74" s="1505">
        <f t="shared" si="65"/>
        <v>0</v>
      </c>
      <c r="AK74" s="1505">
        <f t="shared" si="44"/>
        <v>0</v>
      </c>
    </row>
    <row r="75" spans="1:37" ht="16.2" customHeight="1">
      <c r="A75" s="1190">
        <v>69</v>
      </c>
      <c r="B75" s="1191" t="s">
        <v>183</v>
      </c>
      <c r="C75" s="1192">
        <f>+'Table 8 Membership 2.1.14'!S71</f>
        <v>0</v>
      </c>
      <c r="D75" s="1193">
        <f>+'Table 5C1A-Madison Prep'!D75</f>
        <v>5722.4947921281337</v>
      </c>
      <c r="E75" s="1194">
        <f t="shared" si="48"/>
        <v>0</v>
      </c>
      <c r="F75" s="1194">
        <f>+'Table 5C1A-Madison Prep'!F75</f>
        <v>705.67</v>
      </c>
      <c r="G75" s="1194">
        <f t="shared" si="49"/>
        <v>0</v>
      </c>
      <c r="H75" s="1541">
        <f t="shared" si="50"/>
        <v>0</v>
      </c>
      <c r="I75" s="1195"/>
      <c r="J75" s="1195"/>
      <c r="K75" s="1196"/>
      <c r="L75" s="1547">
        <f t="shared" si="45"/>
        <v>0</v>
      </c>
      <c r="M75" s="1405">
        <f t="shared" si="51"/>
        <v>0</v>
      </c>
      <c r="N75" s="1547">
        <f t="shared" si="52"/>
        <v>0</v>
      </c>
      <c r="O75" s="1195">
        <v>0</v>
      </c>
      <c r="P75" s="1547">
        <f t="shared" si="53"/>
        <v>0</v>
      </c>
      <c r="Q75" s="1195"/>
      <c r="R75" s="1195">
        <f t="shared" si="54"/>
        <v>0</v>
      </c>
      <c r="S75" s="1547">
        <f t="shared" si="55"/>
        <v>0</v>
      </c>
      <c r="T75" s="1547">
        <f t="shared" si="56"/>
        <v>0</v>
      </c>
      <c r="U75" s="653">
        <f>'Table 5C1A-Madison Prep'!U75</f>
        <v>3394</v>
      </c>
      <c r="V75" s="1517">
        <f t="shared" si="46"/>
        <v>0</v>
      </c>
      <c r="W75" s="1419"/>
      <c r="X75" s="1408">
        <f t="shared" si="57"/>
        <v>0</v>
      </c>
      <c r="Y75" s="1407"/>
      <c r="Z75" s="1408">
        <f>+U75*Y75*0.5</f>
        <v>0</v>
      </c>
      <c r="AA75" s="1406">
        <f t="shared" si="58"/>
        <v>0</v>
      </c>
      <c r="AB75" s="1512">
        <f t="shared" si="59"/>
        <v>0</v>
      </c>
      <c r="AC75" s="1410">
        <f t="shared" si="60"/>
        <v>0</v>
      </c>
      <c r="AD75" s="1512">
        <f t="shared" si="61"/>
        <v>0</v>
      </c>
      <c r="AE75" s="1408">
        <v>0</v>
      </c>
      <c r="AF75" s="1517">
        <f t="shared" si="62"/>
        <v>0</v>
      </c>
      <c r="AG75" s="1408"/>
      <c r="AH75" s="1408">
        <f>AF75-AG75</f>
        <v>0</v>
      </c>
      <c r="AI75" s="1517">
        <f t="shared" si="64"/>
        <v>0</v>
      </c>
      <c r="AJ75" s="1506">
        <f t="shared" si="65"/>
        <v>0</v>
      </c>
      <c r="AK75" s="1506">
        <f t="shared" si="44"/>
        <v>0</v>
      </c>
    </row>
    <row r="76" spans="1:37" ht="16.2" customHeight="1" thickBot="1">
      <c r="A76" s="2221" t="s">
        <v>1045</v>
      </c>
      <c r="B76" s="2194"/>
      <c r="C76" s="470">
        <f>SUM(C7:C75)</f>
        <v>441</v>
      </c>
      <c r="D76" s="471">
        <f>+'Table 5C1A-Madison Prep'!D76</f>
        <v>4479.9292126977662</v>
      </c>
      <c r="E76" s="480">
        <f>SUM(E7:E75)</f>
        <v>1489272.2300058641</v>
      </c>
      <c r="F76" s="480">
        <f>+'Table 5C1A-Madison Prep'!F76</f>
        <v>704.64781030742063</v>
      </c>
      <c r="G76" s="480">
        <f t="shared" ref="G76:T76" si="66">SUM(G7:G75)</f>
        <v>353528.23364060541</v>
      </c>
      <c r="H76" s="1542">
        <f t="shared" si="66"/>
        <v>1842800.4636464694</v>
      </c>
      <c r="I76" s="640">
        <f>SUM(I7:I75)</f>
        <v>0</v>
      </c>
      <c r="J76" s="640">
        <f t="shared" ref="J76:L76" si="67">SUM(J7:J75)</f>
        <v>0</v>
      </c>
      <c r="K76" s="616">
        <f t="shared" si="67"/>
        <v>0</v>
      </c>
      <c r="L76" s="1561">
        <f t="shared" si="67"/>
        <v>1842800.4636464694</v>
      </c>
      <c r="M76" s="481">
        <f t="shared" si="66"/>
        <v>-4607.0011591161719</v>
      </c>
      <c r="N76" s="1542">
        <f t="shared" si="66"/>
        <v>1838193.462487353</v>
      </c>
      <c r="O76" s="471">
        <f t="shared" si="66"/>
        <v>0</v>
      </c>
      <c r="P76" s="1548">
        <f t="shared" si="66"/>
        <v>1838193.462487353</v>
      </c>
      <c r="Q76" s="636"/>
      <c r="R76" s="636">
        <f t="shared" si="66"/>
        <v>1838193.462487353</v>
      </c>
      <c r="S76" s="1548">
        <f t="shared" si="66"/>
        <v>153182</v>
      </c>
      <c r="T76" s="1548">
        <f t="shared" si="66"/>
        <v>1838193.462487353</v>
      </c>
      <c r="U76" s="658">
        <f>'Table 5C1A-Madison Prep'!U76</f>
        <v>4663</v>
      </c>
      <c r="V76" s="1518">
        <f t="shared" ref="V76:AK76" si="68">SUM(V7:V75)</f>
        <v>3102427</v>
      </c>
      <c r="W76" s="648">
        <f t="shared" si="68"/>
        <v>0</v>
      </c>
      <c r="X76" s="647">
        <f>SUM(X7:X75)</f>
        <v>0</v>
      </c>
      <c r="Y76" s="646">
        <f t="shared" ref="Y76:AA76" si="69">SUM(Y7:Y75)</f>
        <v>0</v>
      </c>
      <c r="Z76" s="647">
        <f t="shared" si="69"/>
        <v>0</v>
      </c>
      <c r="AA76" s="633">
        <f t="shared" si="69"/>
        <v>0</v>
      </c>
      <c r="AB76" s="1520">
        <f t="shared" si="68"/>
        <v>3102427</v>
      </c>
      <c r="AC76" s="482">
        <f t="shared" si="68"/>
        <v>-7756.0675000000001</v>
      </c>
      <c r="AD76" s="1518">
        <f t="shared" si="68"/>
        <v>3094670.9325000001</v>
      </c>
      <c r="AE76" s="660">
        <f t="shared" si="68"/>
        <v>0</v>
      </c>
      <c r="AF76" s="1518">
        <f t="shared" si="68"/>
        <v>3094670.9325000001</v>
      </c>
      <c r="AG76" s="660">
        <f t="shared" si="68"/>
        <v>0</v>
      </c>
      <c r="AH76" s="660">
        <f t="shared" si="68"/>
        <v>3094670.9325000001</v>
      </c>
      <c r="AI76" s="1518">
        <f t="shared" si="68"/>
        <v>257890</v>
      </c>
      <c r="AJ76" s="1532">
        <f t="shared" si="68"/>
        <v>4932864.3949873531</v>
      </c>
      <c r="AK76" s="1532">
        <f t="shared" si="68"/>
        <v>411072</v>
      </c>
    </row>
    <row r="77" spans="1:37" s="608" customFormat="1" ht="16.2" customHeight="1" thickTop="1">
      <c r="A77" s="2330" t="s">
        <v>1039</v>
      </c>
      <c r="B77" s="2338"/>
      <c r="C77" s="1425"/>
      <c r="D77" s="1198"/>
      <c r="E77" s="1198"/>
      <c r="F77" s="1198"/>
      <c r="G77" s="1198"/>
      <c r="H77" s="1198"/>
      <c r="I77" s="1200"/>
      <c r="J77" s="1200"/>
      <c r="K77" s="1200"/>
      <c r="L77" s="1200"/>
      <c r="M77" s="1200"/>
      <c r="N77" s="1200"/>
      <c r="O77" s="1200"/>
      <c r="P77" s="1398">
        <f>'Table 4 Level 4'!$E107</f>
        <v>0</v>
      </c>
      <c r="Q77" s="1200"/>
      <c r="R77" s="1200">
        <f t="shared" ref="R77" si="70">P77-Q77</f>
        <v>0</v>
      </c>
      <c r="S77" s="1398">
        <f t="shared" ref="S77" si="71">ROUND(R77/12,0)</f>
        <v>0</v>
      </c>
      <c r="T77" s="1398">
        <f>'Table 4 Level 4'!$E107</f>
        <v>0</v>
      </c>
      <c r="U77" s="1389"/>
      <c r="V77" s="1392"/>
      <c r="W77" s="1396"/>
      <c r="X77" s="1392"/>
      <c r="Y77" s="1391"/>
      <c r="Z77" s="1392"/>
      <c r="AA77" s="1392"/>
      <c r="AB77" s="1395"/>
      <c r="AC77" s="1392"/>
      <c r="AD77" s="1395"/>
      <c r="AE77" s="1392"/>
      <c r="AF77" s="1392"/>
      <c r="AG77" s="1392"/>
      <c r="AH77" s="1392"/>
      <c r="AI77" s="1392"/>
      <c r="AJ77" s="1505">
        <f t="shared" ref="AJ77:AJ81" si="72">T77+AF77</f>
        <v>0</v>
      </c>
      <c r="AK77" s="1505">
        <f t="shared" ref="AK77:AK81" si="73">S77+AI77</f>
        <v>0</v>
      </c>
    </row>
    <row r="78" spans="1:37" s="608" customFormat="1" ht="16.2" customHeight="1">
      <c r="A78" s="2332" t="s">
        <v>1040</v>
      </c>
      <c r="B78" s="2339"/>
      <c r="C78" s="1425"/>
      <c r="D78" s="1198"/>
      <c r="E78" s="1198"/>
      <c r="F78" s="1198"/>
      <c r="G78" s="1198"/>
      <c r="H78" s="1198"/>
      <c r="I78" s="1200"/>
      <c r="J78" s="1200"/>
      <c r="K78" s="1200"/>
      <c r="L78" s="1200"/>
      <c r="M78" s="1200"/>
      <c r="N78" s="1200"/>
      <c r="O78" s="1200"/>
      <c r="P78" s="1200">
        <v>0</v>
      </c>
      <c r="Q78" s="1200"/>
      <c r="R78" s="1200"/>
      <c r="S78" s="1200">
        <v>0</v>
      </c>
      <c r="T78" s="1398">
        <f>'Table 4 Level 4'!$J107</f>
        <v>0</v>
      </c>
      <c r="U78" s="1389"/>
      <c r="V78" s="1392"/>
      <c r="W78" s="1396"/>
      <c r="X78" s="1392"/>
      <c r="Y78" s="1391"/>
      <c r="Z78" s="1392"/>
      <c r="AA78" s="1392"/>
      <c r="AB78" s="1395"/>
      <c r="AC78" s="1392"/>
      <c r="AD78" s="1395"/>
      <c r="AE78" s="1392"/>
      <c r="AF78" s="1392"/>
      <c r="AG78" s="1392"/>
      <c r="AH78" s="1392"/>
      <c r="AI78" s="1392"/>
      <c r="AJ78" s="1505">
        <f t="shared" si="72"/>
        <v>0</v>
      </c>
      <c r="AK78" s="1395"/>
    </row>
    <row r="79" spans="1:37" s="608" customFormat="1" ht="16.2" customHeight="1">
      <c r="A79" s="2332" t="s">
        <v>1041</v>
      </c>
      <c r="B79" s="2339"/>
      <c r="C79" s="1425"/>
      <c r="D79" s="1198"/>
      <c r="E79" s="1198"/>
      <c r="F79" s="1198"/>
      <c r="G79" s="1198"/>
      <c r="H79" s="1198"/>
      <c r="I79" s="1200"/>
      <c r="J79" s="1200"/>
      <c r="K79" s="1200"/>
      <c r="L79" s="1200"/>
      <c r="M79" s="1200"/>
      <c r="N79" s="1200"/>
      <c r="O79" s="1200"/>
      <c r="P79" s="1200">
        <v>0</v>
      </c>
      <c r="Q79" s="1200"/>
      <c r="R79" s="1200"/>
      <c r="S79" s="1200">
        <v>0</v>
      </c>
      <c r="T79" s="1398">
        <f>'Table 4 Level 4'!$K107</f>
        <v>0</v>
      </c>
      <c r="U79" s="1389"/>
      <c r="V79" s="1392"/>
      <c r="W79" s="1396"/>
      <c r="X79" s="1392"/>
      <c r="Y79" s="1391"/>
      <c r="Z79" s="1392"/>
      <c r="AA79" s="1392"/>
      <c r="AB79" s="1395"/>
      <c r="AC79" s="1392"/>
      <c r="AD79" s="1395"/>
      <c r="AE79" s="1392"/>
      <c r="AF79" s="1392"/>
      <c r="AG79" s="1392"/>
      <c r="AH79" s="1392"/>
      <c r="AI79" s="1392"/>
      <c r="AJ79" s="1505">
        <f t="shared" si="72"/>
        <v>0</v>
      </c>
      <c r="AK79" s="1395"/>
    </row>
    <row r="80" spans="1:37" s="608" customFormat="1" ht="16.2" customHeight="1">
      <c r="A80" s="2332" t="s">
        <v>1042</v>
      </c>
      <c r="B80" s="2339"/>
      <c r="C80" s="1425"/>
      <c r="D80" s="1198"/>
      <c r="E80" s="1198"/>
      <c r="F80" s="1198"/>
      <c r="G80" s="1198"/>
      <c r="H80" s="1198"/>
      <c r="I80" s="1200"/>
      <c r="J80" s="1200"/>
      <c r="K80" s="1200"/>
      <c r="L80" s="1200"/>
      <c r="M80" s="1200"/>
      <c r="N80" s="1200"/>
      <c r="O80" s="1200"/>
      <c r="P80" s="1200">
        <v>0</v>
      </c>
      <c r="Q80" s="1200"/>
      <c r="R80" s="1200"/>
      <c r="S80" s="1200">
        <v>0</v>
      </c>
      <c r="T80" s="1398">
        <f>'Table 4 Level 4'!$L107</f>
        <v>0</v>
      </c>
      <c r="U80" s="1389"/>
      <c r="V80" s="1392"/>
      <c r="W80" s="1396"/>
      <c r="X80" s="1392"/>
      <c r="Y80" s="1391"/>
      <c r="Z80" s="1392"/>
      <c r="AA80" s="1392"/>
      <c r="AB80" s="1395"/>
      <c r="AC80" s="1392"/>
      <c r="AD80" s="1395"/>
      <c r="AE80" s="1392"/>
      <c r="AF80" s="1392"/>
      <c r="AG80" s="1392"/>
      <c r="AH80" s="1392"/>
      <c r="AI80" s="1392"/>
      <c r="AJ80" s="1505">
        <f t="shared" si="72"/>
        <v>0</v>
      </c>
      <c r="AK80" s="1395"/>
    </row>
    <row r="81" spans="1:37" s="608" customFormat="1" ht="16.2" customHeight="1">
      <c r="A81" s="2340" t="s">
        <v>1043</v>
      </c>
      <c r="B81" s="2341"/>
      <c r="C81" s="1417"/>
      <c r="D81" s="1193"/>
      <c r="E81" s="1193"/>
      <c r="F81" s="1193"/>
      <c r="G81" s="1193"/>
      <c r="H81" s="1193"/>
      <c r="I81" s="1195"/>
      <c r="J81" s="1195"/>
      <c r="K81" s="1195"/>
      <c r="L81" s="1195"/>
      <c r="M81" s="1195"/>
      <c r="N81" s="1195"/>
      <c r="O81" s="1195"/>
      <c r="P81" s="1547">
        <f>'Table 4 Level 4'!$N107</f>
        <v>0</v>
      </c>
      <c r="Q81" s="1195"/>
      <c r="R81" s="1195">
        <f t="shared" ref="R81" si="74">P81-Q81</f>
        <v>0</v>
      </c>
      <c r="S81" s="1547">
        <f t="shared" ref="S81" si="75">ROUND(R81/12,0)</f>
        <v>0</v>
      </c>
      <c r="T81" s="1547">
        <f>'Table 4 Level 4'!$N107</f>
        <v>0</v>
      </c>
      <c r="U81" s="1418"/>
      <c r="V81" s="1408"/>
      <c r="W81" s="1419"/>
      <c r="X81" s="1408"/>
      <c r="Y81" s="1407"/>
      <c r="Z81" s="1408"/>
      <c r="AA81" s="1408"/>
      <c r="AB81" s="1416"/>
      <c r="AC81" s="1408"/>
      <c r="AD81" s="1416"/>
      <c r="AE81" s="1408"/>
      <c r="AF81" s="1408"/>
      <c r="AG81" s="1408"/>
      <c r="AH81" s="1408"/>
      <c r="AI81" s="1408"/>
      <c r="AJ81" s="1506">
        <f t="shared" si="72"/>
        <v>0</v>
      </c>
      <c r="AK81" s="1506">
        <f t="shared" si="73"/>
        <v>0</v>
      </c>
    </row>
    <row r="82" spans="1:37" s="608" customFormat="1" ht="16.2" customHeight="1" thickBot="1">
      <c r="A82" s="2221" t="s">
        <v>1044</v>
      </c>
      <c r="B82" s="2194"/>
      <c r="C82" s="1052">
        <f>SUM(C76:C81)</f>
        <v>441</v>
      </c>
      <c r="D82" s="1046">
        <f t="shared" ref="D82:AK82" si="76">SUM(D76:D81)</f>
        <v>4479.9292126977662</v>
      </c>
      <c r="E82" s="1046">
        <f t="shared" si="76"/>
        <v>1489272.2300058641</v>
      </c>
      <c r="F82" s="1046">
        <f t="shared" si="76"/>
        <v>704.64781030742063</v>
      </c>
      <c r="G82" s="1046">
        <f t="shared" si="76"/>
        <v>353528.23364060541</v>
      </c>
      <c r="H82" s="1046">
        <f t="shared" si="76"/>
        <v>1842800.4636464694</v>
      </c>
      <c r="I82" s="1053">
        <f t="shared" si="76"/>
        <v>0</v>
      </c>
      <c r="J82" s="1053">
        <f t="shared" si="76"/>
        <v>0</v>
      </c>
      <c r="K82" s="1053">
        <f t="shared" si="76"/>
        <v>0</v>
      </c>
      <c r="L82" s="1053">
        <f t="shared" si="76"/>
        <v>1842800.4636464694</v>
      </c>
      <c r="M82" s="1053">
        <f t="shared" si="76"/>
        <v>-4607.0011591161719</v>
      </c>
      <c r="N82" s="1046">
        <f t="shared" si="76"/>
        <v>1838193.462487353</v>
      </c>
      <c r="O82" s="1046">
        <f t="shared" si="76"/>
        <v>0</v>
      </c>
      <c r="P82" s="1549">
        <f t="shared" si="76"/>
        <v>1838193.462487353</v>
      </c>
      <c r="Q82" s="1053">
        <f t="shared" si="76"/>
        <v>0</v>
      </c>
      <c r="R82" s="1053">
        <f t="shared" si="76"/>
        <v>1838193.462487353</v>
      </c>
      <c r="S82" s="1549">
        <f t="shared" si="76"/>
        <v>153182</v>
      </c>
      <c r="T82" s="1549">
        <f t="shared" si="76"/>
        <v>1838193.462487353</v>
      </c>
      <c r="U82" s="1058">
        <f t="shared" si="76"/>
        <v>4663</v>
      </c>
      <c r="V82" s="1055">
        <f t="shared" si="76"/>
        <v>3102427</v>
      </c>
      <c r="W82" s="1059">
        <f t="shared" si="76"/>
        <v>0</v>
      </c>
      <c r="X82" s="1055">
        <f t="shared" si="76"/>
        <v>0</v>
      </c>
      <c r="Y82" s="1057">
        <f t="shared" si="76"/>
        <v>0</v>
      </c>
      <c r="Z82" s="1055">
        <f t="shared" si="76"/>
        <v>0</v>
      </c>
      <c r="AA82" s="1055">
        <f t="shared" si="76"/>
        <v>0</v>
      </c>
      <c r="AB82" s="1055">
        <f t="shared" si="76"/>
        <v>3102427</v>
      </c>
      <c r="AC82" s="1055">
        <f t="shared" si="76"/>
        <v>-7756.0675000000001</v>
      </c>
      <c r="AD82" s="1055">
        <f t="shared" si="76"/>
        <v>3094670.9325000001</v>
      </c>
      <c r="AE82" s="1055">
        <f t="shared" si="76"/>
        <v>0</v>
      </c>
      <c r="AF82" s="1055">
        <f t="shared" si="76"/>
        <v>3094670.9325000001</v>
      </c>
      <c r="AG82" s="1055">
        <f t="shared" si="76"/>
        <v>0</v>
      </c>
      <c r="AH82" s="1055">
        <f t="shared" si="76"/>
        <v>3094670.9325000001</v>
      </c>
      <c r="AI82" s="1055">
        <f t="shared" si="76"/>
        <v>257890</v>
      </c>
      <c r="AJ82" s="1504">
        <f t="shared" si="76"/>
        <v>4932864.3949873531</v>
      </c>
      <c r="AK82" s="1504">
        <f t="shared" si="76"/>
        <v>411072</v>
      </c>
    </row>
    <row r="83" spans="1:37" ht="16.2" customHeight="1" thickTop="1"/>
    <row r="84" spans="1:37" ht="16.2" customHeight="1"/>
    <row r="85" spans="1:37" ht="16.2" customHeight="1"/>
    <row r="86" spans="1:37" ht="16.2" customHeight="1"/>
  </sheetData>
  <mergeCells count="43">
    <mergeCell ref="A1:B4"/>
    <mergeCell ref="I3:I4"/>
    <mergeCell ref="J3:J4"/>
    <mergeCell ref="K3:K4"/>
    <mergeCell ref="I2:K2"/>
    <mergeCell ref="AJ1:AJ4"/>
    <mergeCell ref="L3:L4"/>
    <mergeCell ref="P3:P4"/>
    <mergeCell ref="S3:S4"/>
    <mergeCell ref="U3:U4"/>
    <mergeCell ref="W3:W4"/>
    <mergeCell ref="W2:AA2"/>
    <mergeCell ref="T3:T4"/>
    <mergeCell ref="AG3:AG4"/>
    <mergeCell ref="AH3:AH4"/>
    <mergeCell ref="AI3:AI4"/>
    <mergeCell ref="M1:T1"/>
    <mergeCell ref="C1:L1"/>
    <mergeCell ref="U1:AB1"/>
    <mergeCell ref="AC1:AI1"/>
    <mergeCell ref="AK1:AK4"/>
    <mergeCell ref="C3:C4"/>
    <mergeCell ref="D3:D4"/>
    <mergeCell ref="E3:E4"/>
    <mergeCell ref="F3:F4"/>
    <mergeCell ref="G3:G4"/>
    <mergeCell ref="AD3:AD4"/>
    <mergeCell ref="AE3:AE4"/>
    <mergeCell ref="AF3:AF4"/>
    <mergeCell ref="H3:H4"/>
    <mergeCell ref="N3:N4"/>
    <mergeCell ref="O3:O4"/>
    <mergeCell ref="AB3:AB4"/>
    <mergeCell ref="X3:X4"/>
    <mergeCell ref="Y3:Y4"/>
    <mergeCell ref="Z3:Z4"/>
    <mergeCell ref="A82:B82"/>
    <mergeCell ref="A76:B76"/>
    <mergeCell ref="A77:B77"/>
    <mergeCell ref="A78:B78"/>
    <mergeCell ref="A79:B79"/>
    <mergeCell ref="A80:B80"/>
    <mergeCell ref="A81:B81"/>
  </mergeCells>
  <printOptions horizontalCentered="1"/>
  <pageMargins left="0.32" right="0.32" top="0.75" bottom="0.75" header="0.3" footer="0.3"/>
  <pageSetup paperSize="5" scale="60" firstPageNumber="56" orientation="portrait" r:id="rId1"/>
  <headerFooter>
    <oddHeader>&amp;L&amp;"Arial,Bold"&amp;20&amp;K000000Table 5C1-M: FY2014-15 MFP Budget Letter  
East Baton Rouge Charter Academy</oddHeader>
    <oddFooter>&amp;R&amp;P</oddFooter>
  </headerFooter>
  <colBreaks count="3" manualBreakCount="3">
    <brk id="12" max="1048575" man="1"/>
    <brk id="20" max="1048575" man="1"/>
    <brk id="28" max="81"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showGridLines="0" tabSelected="1" view="pageBreakPreview" zoomScale="90" zoomScaleNormal="80" zoomScaleSheetLayoutView="90" workbookViewId="0">
      <pane ySplit="7" topLeftCell="A8" activePane="bottomLeft" state="frozen"/>
      <selection activeCell="C21" sqref="C21"/>
      <selection pane="bottomLeft" sqref="A1:H1"/>
    </sheetView>
  </sheetViews>
  <sheetFormatPr defaultColWidth="9.109375" defaultRowHeight="13.2"/>
  <cols>
    <col min="1" max="1" width="4.33203125" style="594" customWidth="1"/>
    <col min="2" max="2" width="4.5546875" style="594" customWidth="1"/>
    <col min="3" max="3" width="67.88671875" style="594" customWidth="1"/>
    <col min="4" max="4" width="12.88671875" style="38" customWidth="1"/>
    <col min="5" max="5" width="16.5546875" style="594" hidden="1" customWidth="1"/>
    <col min="6" max="6" width="22" style="594" customWidth="1"/>
    <col min="7" max="7" width="2.6640625" style="594" hidden="1" customWidth="1"/>
    <col min="8" max="8" width="10.44140625" style="594" hidden="1" customWidth="1"/>
    <col min="9" max="9" width="3" style="594" customWidth="1"/>
    <col min="10" max="16384" width="9.109375" style="594"/>
  </cols>
  <sheetData>
    <row r="1" spans="1:8" ht="30">
      <c r="A1" s="1996" t="s">
        <v>1013</v>
      </c>
      <c r="B1" s="1997"/>
      <c r="C1" s="1997"/>
      <c r="D1" s="1997"/>
      <c r="E1" s="1997"/>
      <c r="F1" s="1997"/>
      <c r="G1" s="1997"/>
      <c r="H1" s="1997"/>
    </row>
    <row r="2" spans="1:8" ht="23.4">
      <c r="A2" s="1998" t="s">
        <v>1132</v>
      </c>
      <c r="B2" s="1998"/>
      <c r="C2" s="1998"/>
      <c r="D2" s="1998"/>
      <c r="E2" s="1998"/>
      <c r="F2" s="1998"/>
      <c r="G2" s="1998"/>
      <c r="H2" s="1998"/>
    </row>
    <row r="3" spans="1:8" ht="36" customHeight="1" thickBot="1">
      <c r="A3" s="1999"/>
      <c r="B3" s="2000"/>
      <c r="C3" s="2000"/>
      <c r="D3" s="2000"/>
      <c r="E3" s="2000"/>
      <c r="F3" s="2000"/>
      <c r="G3" s="2000"/>
      <c r="H3" s="2000"/>
    </row>
    <row r="4" spans="1:8" s="624" customFormat="1" ht="12" customHeight="1" thickTop="1">
      <c r="A4" s="2066" t="s">
        <v>164</v>
      </c>
      <c r="B4" s="2067"/>
      <c r="C4" s="2068"/>
      <c r="D4" s="2057" t="s">
        <v>1131</v>
      </c>
      <c r="E4" s="2060" t="s">
        <v>1014</v>
      </c>
      <c r="F4" s="2057" t="s">
        <v>1130</v>
      </c>
      <c r="G4" s="2063" t="s">
        <v>1008</v>
      </c>
      <c r="H4" s="2009" t="s">
        <v>19</v>
      </c>
    </row>
    <row r="5" spans="1:8" ht="24" customHeight="1">
      <c r="A5" s="2069"/>
      <c r="B5" s="2070"/>
      <c r="C5" s="2071"/>
      <c r="D5" s="2058"/>
      <c r="E5" s="2061"/>
      <c r="F5" s="2058"/>
      <c r="G5" s="2064"/>
      <c r="H5" s="2010"/>
    </row>
    <row r="6" spans="1:8" s="624" customFormat="1" ht="20.100000000000001" customHeight="1">
      <c r="A6" s="2069"/>
      <c r="B6" s="2070"/>
      <c r="C6" s="2071"/>
      <c r="D6" s="2058"/>
      <c r="E6" s="2061"/>
      <c r="F6" s="2058"/>
      <c r="G6" s="2064"/>
      <c r="H6" s="2010"/>
    </row>
    <row r="7" spans="1:8" s="624" customFormat="1" ht="21" customHeight="1" thickBot="1">
      <c r="A7" s="2072"/>
      <c r="B7" s="2073"/>
      <c r="C7" s="2074"/>
      <c r="D7" s="2059"/>
      <c r="E7" s="2062"/>
      <c r="F7" s="2059"/>
      <c r="G7" s="2065"/>
      <c r="H7" s="2011"/>
    </row>
    <row r="8" spans="1:8" s="252" customFormat="1" ht="22.5" customHeight="1" thickTop="1">
      <c r="A8" s="153" t="s">
        <v>156</v>
      </c>
      <c r="B8" s="2075" t="s">
        <v>815</v>
      </c>
      <c r="C8" s="2076"/>
      <c r="D8" s="1832" t="s">
        <v>617</v>
      </c>
      <c r="E8" s="1833">
        <f>SUM(E9:E14)</f>
        <v>940548</v>
      </c>
      <c r="F8" s="1909">
        <f>SUM(F9:F14)</f>
        <v>947660</v>
      </c>
      <c r="G8" s="1894">
        <f t="shared" ref="G8:G19" si="0">F8-E8</f>
        <v>7112</v>
      </c>
      <c r="H8" s="1834">
        <f t="shared" ref="H8:H19" si="1">ROUND((F8/E8)-1,4)</f>
        <v>7.6E-3</v>
      </c>
    </row>
    <row r="9" spans="1:8" s="252" customFormat="1" ht="21.75" customHeight="1">
      <c r="A9" s="153"/>
      <c r="B9" s="1855" t="s">
        <v>148</v>
      </c>
      <c r="C9" s="1856" t="s">
        <v>969</v>
      </c>
      <c r="D9" s="1857" t="s">
        <v>624</v>
      </c>
      <c r="E9" s="1858">
        <f>+'[2]Table 1 State Summary '!E12</f>
        <v>673908</v>
      </c>
      <c r="F9" s="1910">
        <f>'Table 3 Levels 1&amp;2'!C73</f>
        <v>678570</v>
      </c>
      <c r="G9" s="1895">
        <f t="shared" si="0"/>
        <v>4662</v>
      </c>
      <c r="H9" s="925">
        <f t="shared" si="1"/>
        <v>6.8999999999999999E-3</v>
      </c>
    </row>
    <row r="10" spans="1:8" s="252" customFormat="1" ht="21.75" customHeight="1">
      <c r="A10" s="153"/>
      <c r="B10" s="1859" t="s">
        <v>149</v>
      </c>
      <c r="C10" s="1860" t="s">
        <v>817</v>
      </c>
      <c r="D10" s="1861" t="s">
        <v>626</v>
      </c>
      <c r="E10" s="1862">
        <v>100693</v>
      </c>
      <c r="F10" s="1911">
        <f>'Table 3 Levels 1&amp;2'!E73</f>
        <v>101540</v>
      </c>
      <c r="G10" s="1896">
        <f t="shared" si="0"/>
        <v>847</v>
      </c>
      <c r="H10" s="925">
        <f t="shared" si="1"/>
        <v>8.3999999999999995E-3</v>
      </c>
    </row>
    <row r="11" spans="1:8" s="252" customFormat="1" ht="21.75" customHeight="1">
      <c r="A11" s="153"/>
      <c r="B11" s="1859" t="s">
        <v>150</v>
      </c>
      <c r="C11" s="1860" t="s">
        <v>870</v>
      </c>
      <c r="D11" s="1861" t="s">
        <v>627</v>
      </c>
      <c r="E11" s="1863">
        <v>13368</v>
      </c>
      <c r="F11" s="1911">
        <f>'Table 3 Levels 1&amp;2'!G73</f>
        <v>13240</v>
      </c>
      <c r="G11" s="1896">
        <f t="shared" si="0"/>
        <v>-128</v>
      </c>
      <c r="H11" s="925">
        <f t="shared" si="1"/>
        <v>-9.5999999999999992E-3</v>
      </c>
    </row>
    <row r="12" spans="1:8" s="252" customFormat="1" ht="21.75" customHeight="1">
      <c r="A12" s="153"/>
      <c r="B12" s="1864" t="s">
        <v>151</v>
      </c>
      <c r="C12" s="1860" t="s">
        <v>614</v>
      </c>
      <c r="D12" s="1861" t="s">
        <v>628</v>
      </c>
      <c r="E12" s="1863">
        <v>121907</v>
      </c>
      <c r="F12" s="1911">
        <f>'Table 3 Levels 1&amp;2'!I73</f>
        <v>123435</v>
      </c>
      <c r="G12" s="1896">
        <f t="shared" si="0"/>
        <v>1528</v>
      </c>
      <c r="H12" s="925">
        <f t="shared" si="1"/>
        <v>1.2500000000000001E-2</v>
      </c>
    </row>
    <row r="13" spans="1:8" s="252" customFormat="1" ht="21.75" customHeight="1">
      <c r="A13" s="153"/>
      <c r="B13" s="1864" t="s">
        <v>152</v>
      </c>
      <c r="C13" s="1860" t="s">
        <v>795</v>
      </c>
      <c r="D13" s="1861" t="s">
        <v>629</v>
      </c>
      <c r="E13" s="1863">
        <v>17447</v>
      </c>
      <c r="F13" s="1911">
        <f>'Table 3 Levels 1&amp;2'!K73</f>
        <v>17713</v>
      </c>
      <c r="G13" s="1896">
        <f t="shared" si="0"/>
        <v>266</v>
      </c>
      <c r="H13" s="925">
        <f t="shared" si="1"/>
        <v>1.52E-2</v>
      </c>
    </row>
    <row r="14" spans="1:8" s="252" customFormat="1" ht="21.75" customHeight="1" thickBot="1">
      <c r="A14" s="1827"/>
      <c r="B14" s="1854" t="s">
        <v>153</v>
      </c>
      <c r="C14" s="940" t="s">
        <v>796</v>
      </c>
      <c r="D14" s="935" t="s">
        <v>630</v>
      </c>
      <c r="E14" s="941">
        <v>13225</v>
      </c>
      <c r="F14" s="1912">
        <f>'Table 3 Levels 1&amp;2'!N73</f>
        <v>13162</v>
      </c>
      <c r="G14" s="1897">
        <f t="shared" si="0"/>
        <v>-63</v>
      </c>
      <c r="H14" s="1831">
        <f t="shared" si="1"/>
        <v>-4.7999999999999996E-3</v>
      </c>
    </row>
    <row r="15" spans="1:8" s="252" customFormat="1" ht="24.75" customHeight="1" thickBot="1">
      <c r="A15" s="1827" t="s">
        <v>157</v>
      </c>
      <c r="B15" s="940" t="s">
        <v>828</v>
      </c>
      <c r="C15" s="940"/>
      <c r="D15" s="1828" t="s">
        <v>616</v>
      </c>
      <c r="E15" s="1829">
        <v>3855</v>
      </c>
      <c r="F15" s="1913">
        <f>'Table 3 Levels 1&amp;2'!Q1</f>
        <v>3961</v>
      </c>
      <c r="G15" s="1898">
        <f t="shared" si="0"/>
        <v>106</v>
      </c>
      <c r="H15" s="936">
        <f t="shared" si="1"/>
        <v>2.75E-2</v>
      </c>
    </row>
    <row r="16" spans="1:8" s="252" customFormat="1" ht="18.75" customHeight="1">
      <c r="A16" s="153" t="s">
        <v>158</v>
      </c>
      <c r="B16" s="933" t="s">
        <v>818</v>
      </c>
      <c r="C16" s="1866"/>
      <c r="D16" s="1830" t="s">
        <v>863</v>
      </c>
      <c r="E16" s="889">
        <v>3625812169</v>
      </c>
      <c r="F16" s="1914">
        <f>'Table 3 Levels 1&amp;2'!R73</f>
        <v>3753681260</v>
      </c>
      <c r="G16" s="1899">
        <f t="shared" si="0"/>
        <v>127869091</v>
      </c>
      <c r="H16" s="925">
        <f t="shared" si="1"/>
        <v>3.5299999999999998E-2</v>
      </c>
    </row>
    <row r="17" spans="1:8" s="252" customFormat="1" ht="21.75" customHeight="1">
      <c r="A17" s="1835"/>
      <c r="B17" s="1865" t="s">
        <v>148</v>
      </c>
      <c r="C17" s="1867" t="s">
        <v>819</v>
      </c>
      <c r="D17" s="1868" t="s">
        <v>962</v>
      </c>
      <c r="E17" s="1869">
        <v>2356737143</v>
      </c>
      <c r="F17" s="1915">
        <f>'Table 3 Levels 1&amp;2'!U73</f>
        <v>2439942287</v>
      </c>
      <c r="G17" s="1900">
        <f t="shared" si="0"/>
        <v>83205144</v>
      </c>
      <c r="H17" s="1837">
        <f t="shared" si="1"/>
        <v>3.5299999999999998E-2</v>
      </c>
    </row>
    <row r="18" spans="1:8" s="252" customFormat="1" ht="21" customHeight="1" thickBot="1">
      <c r="A18" s="1827"/>
      <c r="B18" s="1838" t="s">
        <v>149</v>
      </c>
      <c r="C18" s="940" t="s">
        <v>820</v>
      </c>
      <c r="D18" s="935" t="s">
        <v>963</v>
      </c>
      <c r="E18" s="1829">
        <v>1269075026</v>
      </c>
      <c r="F18" s="1913">
        <f>'Table 3 Levels 1&amp;2'!T73</f>
        <v>1313738973</v>
      </c>
      <c r="G18" s="1898">
        <f t="shared" si="0"/>
        <v>44663947</v>
      </c>
      <c r="H18" s="936">
        <f t="shared" si="1"/>
        <v>3.5200000000000002E-2</v>
      </c>
    </row>
    <row r="19" spans="1:8" s="252" customFormat="1" ht="21" customHeight="1">
      <c r="A19" s="1839" t="s">
        <v>159</v>
      </c>
      <c r="B19" s="924" t="s">
        <v>924</v>
      </c>
      <c r="C19" s="930"/>
      <c r="D19" s="1830" t="s">
        <v>634</v>
      </c>
      <c r="E19" s="1870">
        <v>3078646126</v>
      </c>
      <c r="F19" s="1916">
        <f>'Table 7 Local Revenue'!AQ77</f>
        <v>3227058931.5</v>
      </c>
      <c r="G19" s="1899">
        <f t="shared" si="0"/>
        <v>148412805.5</v>
      </c>
      <c r="H19" s="925">
        <f t="shared" si="1"/>
        <v>4.82E-2</v>
      </c>
    </row>
    <row r="20" spans="1:8" s="252" customFormat="1" ht="21" customHeight="1">
      <c r="A20" s="153"/>
      <c r="B20" s="1860" t="s">
        <v>852</v>
      </c>
      <c r="C20" s="1871"/>
      <c r="D20" s="1861"/>
      <c r="E20" s="1872"/>
      <c r="F20" s="1917"/>
      <c r="G20" s="1899"/>
      <c r="H20" s="925"/>
    </row>
    <row r="21" spans="1:8" s="252" customFormat="1" ht="21" customHeight="1">
      <c r="A21" s="153"/>
      <c r="B21" s="1864" t="s">
        <v>848</v>
      </c>
      <c r="C21" s="1860" t="s">
        <v>824</v>
      </c>
      <c r="D21" s="1861" t="s">
        <v>635</v>
      </c>
      <c r="E21" s="1872">
        <v>33628503076</v>
      </c>
      <c r="F21" s="1917">
        <f>'Table 7 Local Revenue'!H77</f>
        <v>35814070376.900002</v>
      </c>
      <c r="G21" s="1899">
        <f>F21-E21</f>
        <v>2185567300.9000015</v>
      </c>
      <c r="H21" s="925">
        <f>ROUND((F21/E21)-1,4)</f>
        <v>6.5000000000000002E-2</v>
      </c>
    </row>
    <row r="22" spans="1:8" s="252" customFormat="1" ht="21" customHeight="1">
      <c r="A22" s="153"/>
      <c r="B22" s="1864" t="s">
        <v>849</v>
      </c>
      <c r="C22" s="1873" t="s">
        <v>856</v>
      </c>
      <c r="D22" s="1861" t="s">
        <v>957</v>
      </c>
      <c r="E22" s="1874">
        <v>16.62</v>
      </c>
      <c r="F22" s="1918">
        <f>'Table 6 (Local Deduct Calc.)'!E4</f>
        <v>16.601043999999998</v>
      </c>
      <c r="G22" s="1901">
        <f>F22-E22</f>
        <v>-1.8956000000002859E-2</v>
      </c>
      <c r="H22" s="925">
        <f>ROUND((F22/E22)-1,4)</f>
        <v>-1.1000000000000001E-3</v>
      </c>
    </row>
    <row r="23" spans="1:8" s="252" customFormat="1" ht="21" customHeight="1">
      <c r="A23" s="153"/>
      <c r="B23" s="1864" t="s">
        <v>850</v>
      </c>
      <c r="C23" s="1860" t="s">
        <v>846</v>
      </c>
      <c r="D23" s="1861" t="s">
        <v>639</v>
      </c>
      <c r="E23" s="1872">
        <v>1371935890</v>
      </c>
      <c r="F23" s="1917">
        <f>'Table 7 Local Revenue'!AE77</f>
        <v>1475705348</v>
      </c>
      <c r="G23" s="1899">
        <f>F23-E23</f>
        <v>103769458</v>
      </c>
      <c r="H23" s="925">
        <f>ROUND((F23/E23)-1,4)</f>
        <v>7.5600000000000001E-2</v>
      </c>
    </row>
    <row r="24" spans="1:8" s="252" customFormat="1" ht="21" customHeight="1">
      <c r="A24" s="153"/>
      <c r="B24" s="1860" t="s">
        <v>851</v>
      </c>
      <c r="C24" s="1860"/>
      <c r="D24" s="1861"/>
      <c r="E24" s="1872"/>
      <c r="F24" s="1917"/>
      <c r="G24" s="1899"/>
      <c r="H24" s="925"/>
    </row>
    <row r="25" spans="1:8" s="252" customFormat="1" ht="21" customHeight="1">
      <c r="A25" s="153"/>
      <c r="B25" s="1864" t="s">
        <v>848</v>
      </c>
      <c r="C25" s="1860" t="s">
        <v>825</v>
      </c>
      <c r="D25" s="1861" t="s">
        <v>636</v>
      </c>
      <c r="E25" s="1872">
        <v>83696655340</v>
      </c>
      <c r="F25" s="1917">
        <f>'Table 7 Local Revenue'!AM77</f>
        <v>86095616017.25</v>
      </c>
      <c r="G25" s="1899">
        <f t="shared" ref="G25:G37" si="2">F25-E25</f>
        <v>2398960677.25</v>
      </c>
      <c r="H25" s="925">
        <f t="shared" ref="H25:H35" si="3">ROUND((F25/E25)-1,4)</f>
        <v>2.87E-2</v>
      </c>
    </row>
    <row r="26" spans="1:8" s="252" customFormat="1" ht="21" customHeight="1">
      <c r="A26" s="153"/>
      <c r="B26" s="1864" t="s">
        <v>849</v>
      </c>
      <c r="C26" s="1873" t="s">
        <v>857</v>
      </c>
      <c r="D26" s="1861" t="s">
        <v>958</v>
      </c>
      <c r="E26" s="1875">
        <v>8.2000000000000007E-3</v>
      </c>
      <c r="F26" s="1919">
        <f>'Table 6 (Local Deduct Calc.)'!H4</f>
        <v>8.0229600000000009E-3</v>
      </c>
      <c r="G26" s="1902">
        <f t="shared" si="2"/>
        <v>-1.7703999999999984E-4</v>
      </c>
      <c r="H26" s="925">
        <f t="shared" si="3"/>
        <v>-2.1600000000000001E-2</v>
      </c>
    </row>
    <row r="27" spans="1:8" s="252" customFormat="1" ht="21" customHeight="1">
      <c r="A27" s="153"/>
      <c r="B27" s="1864" t="s">
        <v>850</v>
      </c>
      <c r="C27" s="1860" t="s">
        <v>847</v>
      </c>
      <c r="D27" s="1861" t="s">
        <v>640</v>
      </c>
      <c r="E27" s="1872">
        <v>1669272600</v>
      </c>
      <c r="F27" s="1917">
        <f>'Table 7 Local Revenue'!AI77</f>
        <v>1714025872</v>
      </c>
      <c r="G27" s="1899">
        <f t="shared" si="2"/>
        <v>44753272</v>
      </c>
      <c r="H27" s="925">
        <f t="shared" si="3"/>
        <v>2.6800000000000001E-2</v>
      </c>
    </row>
    <row r="28" spans="1:8" s="252" customFormat="1" ht="21" customHeight="1" thickBot="1">
      <c r="A28" s="1827"/>
      <c r="B28" s="940" t="s">
        <v>858</v>
      </c>
      <c r="C28" s="940"/>
      <c r="D28" s="935" t="s">
        <v>641</v>
      </c>
      <c r="E28" s="1829">
        <v>37437636</v>
      </c>
      <c r="F28" s="1913">
        <f>'Table 7 Local Revenue'!AP77</f>
        <v>37327711.5</v>
      </c>
      <c r="G28" s="1903">
        <f t="shared" si="2"/>
        <v>-109924.5</v>
      </c>
      <c r="H28" s="1841">
        <f t="shared" si="3"/>
        <v>-2.8999999999999998E-3</v>
      </c>
    </row>
    <row r="29" spans="1:8" s="252" customFormat="1" ht="21" customHeight="1">
      <c r="A29" s="153" t="s">
        <v>160</v>
      </c>
      <c r="B29" s="1842" t="s">
        <v>155</v>
      </c>
      <c r="C29" s="933"/>
      <c r="D29" s="922" t="s">
        <v>964</v>
      </c>
      <c r="E29" s="1840">
        <v>1119541066</v>
      </c>
      <c r="F29" s="1920">
        <f>'Table 3 Levels 1&amp;2'!AC73</f>
        <v>1175854531.9599998</v>
      </c>
      <c r="G29" s="1899">
        <f t="shared" si="2"/>
        <v>56313465.9599998</v>
      </c>
      <c r="H29" s="925">
        <f t="shared" si="3"/>
        <v>5.0299999999999997E-2</v>
      </c>
    </row>
    <row r="30" spans="1:8" s="252" customFormat="1" ht="23.25" customHeight="1" thickBot="1">
      <c r="A30" s="1843"/>
      <c r="B30" s="1836" t="s">
        <v>148</v>
      </c>
      <c r="C30" s="1844" t="s">
        <v>829</v>
      </c>
      <c r="D30" s="1921" t="s">
        <v>633</v>
      </c>
      <c r="E30" s="1922">
        <v>430268295</v>
      </c>
      <c r="F30" s="1923">
        <f>'Table 3 Levels 1&amp;2'!AE73</f>
        <v>455353340.86032325</v>
      </c>
      <c r="G30" s="1900">
        <f t="shared" si="2"/>
        <v>25085045.86032325</v>
      </c>
      <c r="H30" s="1837">
        <f t="shared" si="3"/>
        <v>5.8299999999999998E-2</v>
      </c>
    </row>
    <row r="31" spans="1:8" s="252" customFormat="1" ht="21.75" customHeight="1" thickBot="1">
      <c r="A31" s="815" t="s">
        <v>180</v>
      </c>
      <c r="B31" s="816" t="s">
        <v>915</v>
      </c>
      <c r="C31" s="817"/>
      <c r="D31" s="1921" t="s">
        <v>648</v>
      </c>
      <c r="E31" s="818">
        <f>E17+E30</f>
        <v>2787005438</v>
      </c>
      <c r="F31" s="1924">
        <f>F17+F30</f>
        <v>2895295627.8603234</v>
      </c>
      <c r="G31" s="1904">
        <f t="shared" si="2"/>
        <v>108290189.86032343</v>
      </c>
      <c r="H31" s="1845">
        <f t="shared" si="3"/>
        <v>3.8899999999999997E-2</v>
      </c>
    </row>
    <row r="32" spans="1:8" s="252" customFormat="1" ht="30" customHeight="1">
      <c r="A32" s="820" t="s">
        <v>161</v>
      </c>
      <c r="B32" s="2077" t="s">
        <v>1141</v>
      </c>
      <c r="C32" s="2078"/>
      <c r="D32" s="1876" t="s">
        <v>864</v>
      </c>
      <c r="E32" s="1877">
        <f>SUM(E33:E35)</f>
        <v>618945582</v>
      </c>
      <c r="F32" s="1925">
        <f>SUM(F33:F35)</f>
        <v>622802802.64030647</v>
      </c>
      <c r="G32" s="1905">
        <f t="shared" si="2"/>
        <v>3857220.6403064728</v>
      </c>
      <c r="H32" s="1846">
        <f t="shared" si="3"/>
        <v>6.1999999999999998E-3</v>
      </c>
    </row>
    <row r="33" spans="1:8" s="252" customFormat="1" ht="21" customHeight="1">
      <c r="A33" s="153"/>
      <c r="B33" s="1878" t="s">
        <v>148</v>
      </c>
      <c r="C33" s="1879" t="s">
        <v>830</v>
      </c>
      <c r="D33" s="1861" t="s">
        <v>954</v>
      </c>
      <c r="E33" s="1872">
        <v>474761851</v>
      </c>
      <c r="F33" s="1917">
        <f>+'Table 3A Level 3'!D75</f>
        <v>478152864.64030641</v>
      </c>
      <c r="G33" s="1906">
        <f t="shared" si="2"/>
        <v>3391013.6403064132</v>
      </c>
      <c r="H33" s="925">
        <f t="shared" si="3"/>
        <v>7.1000000000000004E-3</v>
      </c>
    </row>
    <row r="34" spans="1:8" s="252" customFormat="1" ht="21" customHeight="1">
      <c r="A34" s="153"/>
      <c r="B34" s="1878" t="s">
        <v>149</v>
      </c>
      <c r="C34" s="1879" t="s">
        <v>831</v>
      </c>
      <c r="D34" s="1861" t="s">
        <v>955</v>
      </c>
      <c r="E34" s="1872">
        <v>76792931</v>
      </c>
      <c r="F34" s="1917">
        <f>'Table 3A Level 3'!L75+'Table 3A Level 3'!J75+'Table 3A Level 3'!I75+'Table 3A Level 3'!F75</f>
        <v>76792938</v>
      </c>
      <c r="G34" s="1906">
        <f t="shared" si="2"/>
        <v>7</v>
      </c>
      <c r="H34" s="925">
        <f t="shared" si="3"/>
        <v>0</v>
      </c>
    </row>
    <row r="35" spans="1:8" s="252" customFormat="1" ht="21" customHeight="1" thickBot="1">
      <c r="A35" s="153"/>
      <c r="B35" s="1878" t="s">
        <v>150</v>
      </c>
      <c r="C35" s="1879" t="s">
        <v>832</v>
      </c>
      <c r="D35" s="935" t="s">
        <v>956</v>
      </c>
      <c r="E35" s="1872">
        <v>67390800</v>
      </c>
      <c r="F35" s="1917">
        <f>'Table 3A Level 3'!N75</f>
        <v>67857000</v>
      </c>
      <c r="G35" s="1906">
        <f t="shared" si="2"/>
        <v>466200</v>
      </c>
      <c r="H35" s="925">
        <f t="shared" si="3"/>
        <v>6.8999999999999999E-3</v>
      </c>
    </row>
    <row r="36" spans="1:8" s="252" customFormat="1" ht="17.25" customHeight="1">
      <c r="A36" s="1847" t="s">
        <v>389</v>
      </c>
      <c r="B36" s="2079" t="s">
        <v>1140</v>
      </c>
      <c r="C36" s="2080"/>
      <c r="D36" s="1848" t="s">
        <v>965</v>
      </c>
      <c r="E36" s="1849">
        <f>E31+E32</f>
        <v>3405951020</v>
      </c>
      <c r="F36" s="1926">
        <f>F31+F32</f>
        <v>3518098430.5006299</v>
      </c>
      <c r="G36" s="1907">
        <f t="shared" si="2"/>
        <v>112147410.5006299</v>
      </c>
      <c r="H36" s="1850">
        <f>ROUND((F36/E36)-1,4)</f>
        <v>3.2899999999999999E-2</v>
      </c>
    </row>
    <row r="37" spans="1:8" s="252" customFormat="1" ht="16.2" thickBot="1">
      <c r="A37" s="1927"/>
      <c r="B37" s="2081"/>
      <c r="C37" s="2082"/>
      <c r="D37" s="1928" t="s">
        <v>865</v>
      </c>
      <c r="E37" s="1929">
        <v>5060</v>
      </c>
      <c r="F37" s="1930">
        <f>'Table 3 Levels 1&amp;2'!AP73</f>
        <v>5184.5770230051867</v>
      </c>
      <c r="G37" s="1908">
        <f t="shared" si="2"/>
        <v>124.57702300518667</v>
      </c>
      <c r="H37" s="1851">
        <f>ROUND((F37/E37)-1,4)</f>
        <v>2.46E-2</v>
      </c>
    </row>
    <row r="38" spans="1:8" s="914" customFormat="1" ht="25.5" customHeight="1" thickTop="1" thickBot="1">
      <c r="A38" s="1934"/>
      <c r="B38" s="1935"/>
      <c r="C38" s="1935"/>
      <c r="D38" s="1936"/>
      <c r="E38" s="911"/>
      <c r="F38" s="911"/>
      <c r="G38" s="911"/>
      <c r="H38" s="1852"/>
    </row>
    <row r="39" spans="1:8" s="252" customFormat="1" ht="30" customHeight="1" thickTop="1">
      <c r="A39" s="1937" t="s">
        <v>609</v>
      </c>
      <c r="B39" s="2083" t="s">
        <v>914</v>
      </c>
      <c r="C39" s="2084"/>
      <c r="D39" s="1938" t="s">
        <v>647</v>
      </c>
      <c r="E39" s="1939">
        <f>SUM(E40:E44)</f>
        <v>656000</v>
      </c>
      <c r="F39" s="1940">
        <f>SUM(F40:F44)</f>
        <v>21649426</v>
      </c>
      <c r="G39" s="1905">
        <f t="shared" ref="G39:G56" si="4">F39-E39</f>
        <v>20993426</v>
      </c>
      <c r="H39" s="1853">
        <f>ROUND((F39/E39)-1,4)</f>
        <v>32.002200000000002</v>
      </c>
    </row>
    <row r="40" spans="1:8" s="252" customFormat="1" ht="36" customHeight="1">
      <c r="A40" s="928"/>
      <c r="B40" s="1878" t="s">
        <v>971</v>
      </c>
      <c r="C40" s="1879" t="s">
        <v>862</v>
      </c>
      <c r="D40" s="1861" t="s">
        <v>645</v>
      </c>
      <c r="E40" s="1872"/>
      <c r="F40" s="1941">
        <f>+'Table 4 Level 4'!E193</f>
        <v>5313000</v>
      </c>
      <c r="G40" s="1899">
        <f t="shared" si="4"/>
        <v>5313000</v>
      </c>
      <c r="H40" s="925"/>
    </row>
    <row r="41" spans="1:8" s="252" customFormat="1" ht="19.5" customHeight="1">
      <c r="A41" s="928"/>
      <c r="B41" s="1878" t="s">
        <v>972</v>
      </c>
      <c r="C41" s="1860" t="s">
        <v>859</v>
      </c>
      <c r="D41" s="1861" t="s">
        <v>866</v>
      </c>
      <c r="E41" s="1872">
        <v>656000</v>
      </c>
      <c r="F41" s="1945">
        <v>734000</v>
      </c>
      <c r="G41" s="1899">
        <f t="shared" si="4"/>
        <v>78000</v>
      </c>
      <c r="H41" s="925">
        <f>ROUND((F41/E41)-1,4)</f>
        <v>0.11890000000000001</v>
      </c>
    </row>
    <row r="42" spans="1:8" s="252" customFormat="1" ht="19.5" customHeight="1">
      <c r="A42" s="928"/>
      <c r="B42" s="1878" t="s">
        <v>149</v>
      </c>
      <c r="C42" s="1860" t="s">
        <v>896</v>
      </c>
      <c r="D42" s="1861" t="s">
        <v>644</v>
      </c>
      <c r="E42" s="1872"/>
      <c r="F42" s="1945">
        <v>4000000</v>
      </c>
      <c r="G42" s="1899">
        <f t="shared" si="4"/>
        <v>4000000</v>
      </c>
      <c r="H42" s="925"/>
    </row>
    <row r="43" spans="1:8" s="252" customFormat="1" ht="19.5" customHeight="1">
      <c r="A43" s="928"/>
      <c r="B43" s="1878" t="s">
        <v>150</v>
      </c>
      <c r="C43" s="1860" t="s">
        <v>1282</v>
      </c>
      <c r="D43" s="1861" t="s">
        <v>966</v>
      </c>
      <c r="E43" s="1872"/>
      <c r="F43" s="1945">
        <v>4000000</v>
      </c>
      <c r="G43" s="1899">
        <f t="shared" si="4"/>
        <v>4000000</v>
      </c>
      <c r="H43" s="925"/>
    </row>
    <row r="44" spans="1:8" s="252" customFormat="1" ht="19.5" customHeight="1" thickBot="1">
      <c r="A44" s="1942"/>
      <c r="B44" s="1880" t="s">
        <v>151</v>
      </c>
      <c r="C44" s="940" t="s">
        <v>692</v>
      </c>
      <c r="D44" s="935" t="s">
        <v>867</v>
      </c>
      <c r="E44" s="1829"/>
      <c r="F44" s="1943">
        <f>+'Table 4 Level 4'!N193+'Table 4 Level 4'!N194</f>
        <v>7602426</v>
      </c>
      <c r="G44" s="1898">
        <f t="shared" si="4"/>
        <v>7602426</v>
      </c>
      <c r="H44" s="936"/>
    </row>
    <row r="45" spans="1:8" s="252" customFormat="1" ht="36.75" customHeight="1">
      <c r="A45" s="1893" t="s">
        <v>1136</v>
      </c>
      <c r="B45" s="2085" t="s">
        <v>1138</v>
      </c>
      <c r="C45" s="2086"/>
      <c r="D45" s="1848"/>
      <c r="E45" s="1881">
        <f>SUM(E46:E53)</f>
        <v>63265293.33033336</v>
      </c>
      <c r="F45" s="1944">
        <f>SUM(F46:F53)</f>
        <v>75046009.870792031</v>
      </c>
      <c r="G45" s="1900">
        <f t="shared" si="4"/>
        <v>11780716.540458672</v>
      </c>
      <c r="H45" s="1837">
        <f t="shared" ref="H45:H52" si="5">ROUND((F45/E45)-1,4)</f>
        <v>0.1862</v>
      </c>
    </row>
    <row r="46" spans="1:8" s="252" customFormat="1" ht="18.75" customHeight="1">
      <c r="A46" s="921"/>
      <c r="B46" s="1859" t="s">
        <v>971</v>
      </c>
      <c r="C46" s="1882" t="s">
        <v>308</v>
      </c>
      <c r="D46" s="1861" t="s">
        <v>650</v>
      </c>
      <c r="E46" s="1872">
        <v>6827673</v>
      </c>
      <c r="F46" s="1941">
        <f>'Table 5A1_Labs'!H5</f>
        <v>7089844.7710780669</v>
      </c>
      <c r="G46" s="1931">
        <f t="shared" si="4"/>
        <v>262171.7710780669</v>
      </c>
      <c r="H46" s="923">
        <f t="shared" si="5"/>
        <v>3.8399999999999997E-2</v>
      </c>
    </row>
    <row r="47" spans="1:8" s="252" customFormat="1" ht="18.75" customHeight="1">
      <c r="A47" s="921"/>
      <c r="B47" s="1859" t="s">
        <v>972</v>
      </c>
      <c r="C47" s="1860" t="s">
        <v>309</v>
      </c>
      <c r="D47" s="1861" t="s">
        <v>650</v>
      </c>
      <c r="E47" s="1872">
        <v>1976856</v>
      </c>
      <c r="F47" s="1941">
        <f>'Table 5A1_Labs'!H6</f>
        <v>3045780.2172237961</v>
      </c>
      <c r="G47" s="1899">
        <f t="shared" si="4"/>
        <v>1068924.2172237961</v>
      </c>
      <c r="H47" s="925">
        <f t="shared" si="5"/>
        <v>0.54069999999999996</v>
      </c>
    </row>
    <row r="48" spans="1:8" s="250" customFormat="1" ht="18.75" customHeight="1">
      <c r="A48" s="926"/>
      <c r="B48" s="1859" t="s">
        <v>149</v>
      </c>
      <c r="C48" s="1882" t="s">
        <v>610</v>
      </c>
      <c r="D48" s="1861" t="s">
        <v>967</v>
      </c>
      <c r="E48" s="1883">
        <v>42532078</v>
      </c>
      <c r="F48" s="1941">
        <f>'Table 5A2- Legacy Type 2'!H15</f>
        <v>45971989</v>
      </c>
      <c r="G48" s="1899">
        <f t="shared" si="4"/>
        <v>3439911</v>
      </c>
      <c r="H48" s="927">
        <f t="shared" si="5"/>
        <v>8.09E-2</v>
      </c>
    </row>
    <row r="49" spans="1:8" s="250" customFormat="1" ht="18.75" customHeight="1">
      <c r="A49" s="926"/>
      <c r="B49" s="1859" t="s">
        <v>150</v>
      </c>
      <c r="C49" s="1860" t="s">
        <v>1283</v>
      </c>
      <c r="D49" s="1861" t="s">
        <v>1301</v>
      </c>
      <c r="E49" s="1883">
        <v>8605242</v>
      </c>
      <c r="F49" s="1941">
        <f>'Table 5C1O-Impact'!H76+'Table 5C1P-Vision'!H76+'Table 5C1Q-Advantage'!H76+'Table 5C1R-Iberville'!H76+'Table 5C1S-L.C. Coll Prep'!H76+'Table 5C1T-Northeast'!H76+'Table 5C1U-Acadiana Ren'!H76+'Table 5C1V-Laf Ren'!H76+'Table 5C1W-Willow'!H76</f>
        <v>14247141.643908894</v>
      </c>
      <c r="G49" s="1899">
        <f t="shared" si="4"/>
        <v>5641899.6439088937</v>
      </c>
      <c r="H49" s="927">
        <f t="shared" si="5"/>
        <v>0.65559999999999996</v>
      </c>
    </row>
    <row r="50" spans="1:8" s="252" customFormat="1" ht="18.75" customHeight="1">
      <c r="A50" s="928"/>
      <c r="B50" s="1859" t="s">
        <v>151</v>
      </c>
      <c r="C50" s="1860" t="s">
        <v>272</v>
      </c>
      <c r="D50" s="1861" t="s">
        <v>968</v>
      </c>
      <c r="E50" s="1872">
        <v>2551347</v>
      </c>
      <c r="F50" s="1941">
        <f>'Table 5A3_OJJ'!G75</f>
        <v>2285941.4773492529</v>
      </c>
      <c r="G50" s="1899">
        <f t="shared" si="4"/>
        <v>-265405.52265074709</v>
      </c>
      <c r="H50" s="925">
        <f t="shared" si="5"/>
        <v>-0.104</v>
      </c>
    </row>
    <row r="51" spans="1:8" s="250" customFormat="1" ht="18.75" customHeight="1">
      <c r="A51" s="926"/>
      <c r="B51" s="1859" t="s">
        <v>152</v>
      </c>
      <c r="C51" s="1871" t="s">
        <v>787</v>
      </c>
      <c r="D51" s="1861" t="s">
        <v>1133</v>
      </c>
      <c r="E51" s="1883">
        <v>1391635</v>
      </c>
      <c r="F51" s="1945">
        <f>+'Table 5A5_LSMSA'!L76</f>
        <v>2438308.9434366622</v>
      </c>
      <c r="G51" s="1932">
        <f t="shared" si="4"/>
        <v>1046673.9434366622</v>
      </c>
      <c r="H51" s="925">
        <f t="shared" si="5"/>
        <v>0.75209999999999999</v>
      </c>
    </row>
    <row r="52" spans="1:8" s="250" customFormat="1" ht="18.75" customHeight="1">
      <c r="A52" s="926"/>
      <c r="B52" s="1859" t="s">
        <v>153</v>
      </c>
      <c r="C52" s="1871" t="s">
        <v>788</v>
      </c>
      <c r="D52" s="1861" t="s">
        <v>1134</v>
      </c>
      <c r="E52" s="1883">
        <v>576896</v>
      </c>
      <c r="F52" s="1945">
        <f>+'Table 5A4_NOCCA'!L76</f>
        <v>1565592.8001704959</v>
      </c>
      <c r="G52" s="1932">
        <f t="shared" si="4"/>
        <v>988696.80017049587</v>
      </c>
      <c r="H52" s="925">
        <f t="shared" si="5"/>
        <v>1.7138</v>
      </c>
    </row>
    <row r="53" spans="1:8" s="250" customFormat="1" ht="18.75" customHeight="1" thickBot="1">
      <c r="A53" s="926"/>
      <c r="B53" s="929" t="s">
        <v>171</v>
      </c>
      <c r="C53" s="930" t="s">
        <v>861</v>
      </c>
      <c r="D53" s="922" t="s">
        <v>868</v>
      </c>
      <c r="E53" s="931">
        <f>-('[2]Table 5C2 - LA Virtual Admy'!$I$73+'[2]Table 5C3 - LA Connections EBR'!$I$73)</f>
        <v>-1196433.6696666409</v>
      </c>
      <c r="F53" s="1946">
        <f>-('Table 5C2 - LA Virtual Admy'!I75+'Table 5C3 - LA Connections EBR'!I75)</f>
        <v>-1598588.9823751231</v>
      </c>
      <c r="G53" s="1933">
        <f t="shared" si="4"/>
        <v>-402155.31270848215</v>
      </c>
      <c r="H53" s="978">
        <f>ROUND((F53/E53)-1,4)</f>
        <v>0.33610000000000001</v>
      </c>
    </row>
    <row r="54" spans="1:8" s="252" customFormat="1" ht="37.5" customHeight="1" thickBot="1">
      <c r="A54" s="1892" t="s">
        <v>1135</v>
      </c>
      <c r="B54" s="2023" t="s">
        <v>925</v>
      </c>
      <c r="C54" s="2024"/>
      <c r="D54" s="932"/>
      <c r="E54" s="708">
        <f>E36+E39+E45</f>
        <v>3469872313.3303332</v>
      </c>
      <c r="F54" s="1947">
        <f>F36+F39+F45</f>
        <v>3614793866.3714218</v>
      </c>
      <c r="G54" s="450">
        <f t="shared" si="4"/>
        <v>144921553.04108858</v>
      </c>
      <c r="H54" s="768">
        <f>ROUND((F54/E54)-1,4)</f>
        <v>4.1799999999999997E-2</v>
      </c>
    </row>
    <row r="55" spans="1:8" s="252" customFormat="1" ht="20.25" customHeight="1">
      <c r="A55" s="934" t="s">
        <v>271</v>
      </c>
      <c r="B55" s="1886" t="s">
        <v>148</v>
      </c>
      <c r="C55" s="1887" t="s">
        <v>897</v>
      </c>
      <c r="D55" s="1888"/>
      <c r="E55" s="1870">
        <f>+'[2]Table 2_State Distrib and Adjs'!$F$76+'[2]Table 5A Labs, NOCCA,LSMSA'!$H$10+'[2]Table 5A Labs, NOCCA,LSMSA'!$H$21+'[2]Table 5B1_RSD_Orleans'!$I$70+'[2]Table 5B2_RSD_LA'!$M$38+'[2]Table 5C1A-Madison Prep'!$K$76+'[2]Table 5C1B-DArbonne'!$K$77+'[2]Table 5C1D-NOMMA'!$K$76+'[2]Table 5C1D-NOMMA'!$K$76+'[2]Table 5C1E-LFNO'!$K$76+'[2]Table 5C1F-Lake Charles Charter'!$K$76+'[2]Table 5C1G-JS Clark Academy'!$K$76+'[2]Table 5C1H-Southwest LA Charter'!$K$76+'[2]Table 5C1I-LA Key Academy'!$K$76+'[2]Table 5C1J-Jefferson Chamber'!$K$76+'[2]Table 5C1K-Tallulah Charter'!$K$76+'[2]Table 5C1L-Northshore Charter'!$K$76+'[2]Table 5C1M-B.R. Charter'!$K$76+'[2]Table 5C1N-Delta Charter'!$K$76+'[2]Table 5C2 - LA Virtual Admy'!$L$73+'[2]Table 5C3 - LA Connections EBR'!$L$77+'[2]Table 5D- Legacy Type 2'!$K$22+'[2]Table 6 (Local Deduct Calc.)'!$I$76</f>
        <v>-3375072.2854841147</v>
      </c>
      <c r="F55" s="1948">
        <f>+'Table 2_State Distrib and Adjs'!F76+'Table 5A2- Legacy Type 2'!O19+'Table 5A3_OJJ'!H75+'Table 5A4_NOCCA'!M76+'Table 5A5_LSMSA'!M76+'Table 5B1_RSD_Orleans'!Q72+'Table 5B2_RSD_LA'!Q17+'Table 5C1A-Madison Prep'!O76+'Table 5C1B-DArbonne'!O77+'Table 5C1C-Intl_VIBE'!O76+'Table 5C1D-NOMMA'!O76+'Table 5C1E-LFNO'!O76+'Table 5C1F-Lake Charles Charter'!O76+'Table 5C1G-JS Clark Academy'!O76+'Table 5C1H-Southwest LA Charter'!O76+'Table 5C1I-LA Key Academy'!O76+'Table 5C1J-Jefferson Chamber'!O76+'Table 5C1K-Tallulah Charter'!O76+'Table 5C1L-Northshore Charter'!O76+'Table 5C1M-B.R. Charter'!O76+'Table 5C1N-Delta Charter'!O76+'Table 5C2 - LA Virtual Admy'!P75+'Table 5C3 - LA Connections EBR'!P75</f>
        <v>-1423947.6254094611</v>
      </c>
      <c r="G55" s="1899">
        <f t="shared" si="4"/>
        <v>1951124.6600746536</v>
      </c>
      <c r="H55" s="925">
        <f>ROUND((F55/E55)-1,4)</f>
        <v>-0.57809999999999995</v>
      </c>
    </row>
    <row r="56" spans="1:8" s="252" customFormat="1" ht="20.25" customHeight="1">
      <c r="A56" s="934" t="s">
        <v>162</v>
      </c>
      <c r="B56" s="1889" t="s">
        <v>843</v>
      </c>
      <c r="C56" s="1890"/>
      <c r="D56" s="1861"/>
      <c r="E56" s="1891">
        <f>'[3]Table 1 State Summary'!F58</f>
        <v>0</v>
      </c>
      <c r="F56" s="1949">
        <v>0</v>
      </c>
      <c r="G56" s="1906">
        <f t="shared" si="4"/>
        <v>0</v>
      </c>
      <c r="H56" s="925" t="e">
        <f>ROUND((F56/E56)-1,4)</f>
        <v>#DIV/0!</v>
      </c>
    </row>
    <row r="57" spans="1:8" s="252" customFormat="1" ht="20.25" customHeight="1">
      <c r="A57" s="934"/>
      <c r="B57" s="1859" t="s">
        <v>148</v>
      </c>
      <c r="C57" s="1889" t="s">
        <v>844</v>
      </c>
      <c r="D57" s="1861"/>
      <c r="E57" s="1891" t="str">
        <f>'[3]Table 1 State Summary'!F59</f>
        <v>TBD</v>
      </c>
      <c r="F57" s="1949" t="s">
        <v>860</v>
      </c>
      <c r="G57" s="1906"/>
      <c r="H57" s="925"/>
    </row>
    <row r="58" spans="1:8" s="252" customFormat="1" ht="20.25" customHeight="1" thickBot="1">
      <c r="A58" s="1950"/>
      <c r="B58" s="1854" t="s">
        <v>149</v>
      </c>
      <c r="C58" s="1884" t="s">
        <v>845</v>
      </c>
      <c r="D58" s="935"/>
      <c r="E58" s="1885" t="str">
        <f>'[3]Table 1 State Summary'!F60</f>
        <v>TBD</v>
      </c>
      <c r="F58" s="1951" t="s">
        <v>860</v>
      </c>
      <c r="G58" s="1903"/>
      <c r="H58" s="936"/>
    </row>
    <row r="59" spans="1:8" s="252" customFormat="1" ht="33" customHeight="1" thickBot="1">
      <c r="A59" s="1952" t="s">
        <v>1137</v>
      </c>
      <c r="B59" s="2055" t="s">
        <v>1139</v>
      </c>
      <c r="C59" s="2056"/>
      <c r="D59" s="1953"/>
      <c r="E59" s="1954">
        <f>+E54+E55</f>
        <v>3466497241.0448489</v>
      </c>
      <c r="F59" s="1955">
        <f>+F54+F55+F56</f>
        <v>3613369918.7460122</v>
      </c>
      <c r="G59" s="450">
        <f>F59-E59</f>
        <v>146872677.70116329</v>
      </c>
      <c r="H59" s="768">
        <f>ROUND((F59/E59)-1,4)</f>
        <v>4.24E-2</v>
      </c>
    </row>
    <row r="60" spans="1:8" s="914" customFormat="1" ht="24" customHeight="1" thickTop="1">
      <c r="A60" s="909"/>
      <c r="B60" s="910"/>
      <c r="C60" s="910"/>
      <c r="D60" s="983"/>
      <c r="E60" s="911"/>
      <c r="F60" s="911"/>
      <c r="G60" s="912"/>
      <c r="H60" s="913"/>
    </row>
    <row r="61" spans="1:8" s="914" customFormat="1" ht="15.6">
      <c r="A61" s="909"/>
      <c r="B61" s="910"/>
      <c r="C61" s="910"/>
      <c r="D61" s="911"/>
      <c r="E61" s="911"/>
      <c r="F61" s="911"/>
      <c r="G61" s="912"/>
      <c r="H61" s="913"/>
    </row>
    <row r="62" spans="1:8" s="915" customFormat="1" ht="18.600000000000001" hidden="1" customHeight="1">
      <c r="A62" s="937"/>
      <c r="B62" s="938"/>
      <c r="C62" s="938"/>
      <c r="D62" s="938"/>
      <c r="E62" s="938"/>
      <c r="F62" s="939">
        <f>'Table 3 Levels 1&amp;2'!V73</f>
        <v>0.65</v>
      </c>
      <c r="G62" s="939">
        <f>'Table 3 Levels 1&amp;2'!W73</f>
        <v>0.35</v>
      </c>
      <c r="H62" s="938"/>
    </row>
  </sheetData>
  <mergeCells count="16">
    <mergeCell ref="B59:C59"/>
    <mergeCell ref="B54:C54"/>
    <mergeCell ref="A1:H1"/>
    <mergeCell ref="A2:H2"/>
    <mergeCell ref="A3:H3"/>
    <mergeCell ref="D4:D7"/>
    <mergeCell ref="E4:E7"/>
    <mergeCell ref="F4:F7"/>
    <mergeCell ref="G4:G7"/>
    <mergeCell ref="H4:H7"/>
    <mergeCell ref="A4:C7"/>
    <mergeCell ref="B8:C8"/>
    <mergeCell ref="B32:C32"/>
    <mergeCell ref="B36:C37"/>
    <mergeCell ref="B39:C39"/>
    <mergeCell ref="B45:C45"/>
  </mergeCells>
  <printOptions horizontalCentered="1"/>
  <pageMargins left="0.25" right="0.25" top="0.62" bottom="0.16" header="0.38" footer="0.16"/>
  <pageSetup paperSize="5" scale="65" orientation="portrait" r:id="rId1"/>
  <headerFooter alignWithMargins="0">
    <oddFooter>&amp;R&amp;12&amp;P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K86"/>
  <sheetViews>
    <sheetView view="pageBreakPreview" zoomScale="80" zoomScaleNormal="100" zoomScaleSheetLayoutView="80" workbookViewId="0">
      <pane xSplit="2" ySplit="6" topLeftCell="C7" activePane="bottomRight" state="frozen"/>
      <selection sqref="A1:H1"/>
      <selection pane="topRight" sqref="A1:H1"/>
      <selection pane="bottomLeft" sqref="A1:H1"/>
      <selection pane="bottomRight" sqref="A1:H1"/>
    </sheetView>
  </sheetViews>
  <sheetFormatPr defaultColWidth="8.88671875" defaultRowHeight="13.2"/>
  <cols>
    <col min="1" max="1" width="5" style="520" customWidth="1"/>
    <col min="2" max="2" width="37.6640625" style="520" customWidth="1"/>
    <col min="3" max="3" width="12.109375" style="520" bestFit="1" customWidth="1"/>
    <col min="4" max="4" width="13.6640625" style="520" bestFit="1" customWidth="1"/>
    <col min="5" max="5" width="10.109375" style="520" bestFit="1" customWidth="1"/>
    <col min="6" max="7" width="12.33203125" style="520" bestFit="1" customWidth="1"/>
    <col min="8" max="8" width="11.5546875" style="520" bestFit="1" customWidth="1"/>
    <col min="9" max="12" width="11.88671875" style="608" bestFit="1" customWidth="1"/>
    <col min="13" max="13" width="10.88671875" style="520" bestFit="1" customWidth="1"/>
    <col min="14" max="14" width="13.109375" style="520" customWidth="1"/>
    <col min="15" max="15" width="13.44140625" style="520" bestFit="1" customWidth="1"/>
    <col min="16" max="16" width="14.6640625" style="520" customWidth="1"/>
    <col min="17" max="18" width="14" style="608" customWidth="1"/>
    <col min="19" max="19" width="10.6640625" style="520" customWidth="1"/>
    <col min="20" max="20" width="14.88671875" style="608" customWidth="1"/>
    <col min="21" max="22" width="14.5546875" style="520" customWidth="1"/>
    <col min="23" max="27" width="11.6640625" style="608" customWidth="1"/>
    <col min="28" max="28" width="14.44140625" style="608" bestFit="1" customWidth="1"/>
    <col min="29" max="29" width="10.5546875" style="520" customWidth="1"/>
    <col min="30" max="30" width="14.44140625" style="520" bestFit="1" customWidth="1"/>
    <col min="31" max="31" width="11.88671875" style="520" bestFit="1" customWidth="1"/>
    <col min="32" max="32" width="14.44140625" style="520" bestFit="1" customWidth="1"/>
    <col min="33" max="33" width="9.5546875" style="608" bestFit="1" customWidth="1"/>
    <col min="34" max="34" width="9.33203125" style="608" bestFit="1" customWidth="1"/>
    <col min="35" max="37" width="14.44140625" style="520" bestFit="1" customWidth="1"/>
    <col min="38" max="16384" width="8.88671875" style="520"/>
  </cols>
  <sheetData>
    <row r="1" spans="1:37" ht="21.6" customHeight="1">
      <c r="A1" s="2367" t="s">
        <v>527</v>
      </c>
      <c r="B1" s="2368"/>
      <c r="C1" s="2319" t="s">
        <v>1089</v>
      </c>
      <c r="D1" s="2320"/>
      <c r="E1" s="2320"/>
      <c r="F1" s="2320"/>
      <c r="G1" s="2320"/>
      <c r="H1" s="2320"/>
      <c r="I1" s="2320"/>
      <c r="J1" s="2320"/>
      <c r="K1" s="2320"/>
      <c r="L1" s="2321"/>
      <c r="M1" s="2349" t="s">
        <v>1089</v>
      </c>
      <c r="N1" s="2350"/>
      <c r="O1" s="2350"/>
      <c r="P1" s="2350"/>
      <c r="Q1" s="2350"/>
      <c r="R1" s="2350"/>
      <c r="S1" s="2350"/>
      <c r="T1" s="2351"/>
      <c r="U1" s="2268" t="s">
        <v>1247</v>
      </c>
      <c r="V1" s="2266"/>
      <c r="W1" s="2266"/>
      <c r="X1" s="2266"/>
      <c r="Y1" s="2266"/>
      <c r="Z1" s="2266"/>
      <c r="AA1" s="2266"/>
      <c r="AB1" s="2267"/>
      <c r="AC1" s="2268" t="s">
        <v>1247</v>
      </c>
      <c r="AD1" s="2266"/>
      <c r="AE1" s="2266"/>
      <c r="AF1" s="2266"/>
      <c r="AG1" s="2266"/>
      <c r="AH1" s="2266"/>
      <c r="AI1" s="2267"/>
      <c r="AJ1" s="2302" t="s">
        <v>1272</v>
      </c>
      <c r="AK1" s="2302" t="s">
        <v>1273</v>
      </c>
    </row>
    <row r="2" spans="1:37" s="608" customFormat="1" ht="24.6" customHeight="1">
      <c r="A2" s="2369"/>
      <c r="B2" s="2370"/>
      <c r="C2" s="1565"/>
      <c r="D2" s="1566"/>
      <c r="E2" s="1566"/>
      <c r="F2" s="1566"/>
      <c r="G2" s="1566"/>
      <c r="H2" s="1566"/>
      <c r="I2" s="2334" t="s">
        <v>531</v>
      </c>
      <c r="J2" s="2335"/>
      <c r="K2" s="2336"/>
      <c r="L2" s="1567"/>
      <c r="M2" s="1565"/>
      <c r="N2" s="1566"/>
      <c r="O2" s="1566"/>
      <c r="P2" s="1566"/>
      <c r="Q2" s="1566"/>
      <c r="R2" s="1566"/>
      <c r="S2" s="1566"/>
      <c r="T2" s="1567"/>
      <c r="U2" s="1525"/>
      <c r="V2" s="1526"/>
      <c r="W2" s="2362" t="s">
        <v>531</v>
      </c>
      <c r="X2" s="2363"/>
      <c r="Y2" s="2363"/>
      <c r="Z2" s="2363"/>
      <c r="AA2" s="2364"/>
      <c r="AB2" s="1527"/>
      <c r="AC2" s="1525"/>
      <c r="AD2" s="1526"/>
      <c r="AE2" s="1526"/>
      <c r="AF2" s="1526"/>
      <c r="AG2" s="1526"/>
      <c r="AH2" s="1526"/>
      <c r="AI2" s="1527"/>
      <c r="AJ2" s="2303"/>
      <c r="AK2" s="2303"/>
    </row>
    <row r="3" spans="1:37" ht="148.94999999999999" customHeight="1">
      <c r="A3" s="2371"/>
      <c r="B3" s="2370"/>
      <c r="C3" s="2318" t="s">
        <v>933</v>
      </c>
      <c r="D3" s="2318" t="s">
        <v>1110</v>
      </c>
      <c r="E3" s="2318" t="s">
        <v>384</v>
      </c>
      <c r="F3" s="2306" t="s">
        <v>546</v>
      </c>
      <c r="G3" s="2306" t="s">
        <v>330</v>
      </c>
      <c r="H3" s="2306" t="s">
        <v>547</v>
      </c>
      <c r="I3" s="2299" t="s">
        <v>770</v>
      </c>
      <c r="J3" s="2299" t="s">
        <v>769</v>
      </c>
      <c r="K3" s="2299" t="s">
        <v>538</v>
      </c>
      <c r="L3" s="2300" t="s">
        <v>548</v>
      </c>
      <c r="M3" s="1496" t="s">
        <v>333</v>
      </c>
      <c r="N3" s="2306" t="s">
        <v>545</v>
      </c>
      <c r="O3" s="2307" t="s">
        <v>1036</v>
      </c>
      <c r="P3" s="2306" t="s">
        <v>1056</v>
      </c>
      <c r="Q3" s="1537" t="s">
        <v>760</v>
      </c>
      <c r="R3" s="1537" t="s">
        <v>761</v>
      </c>
      <c r="S3" s="2308" t="s">
        <v>544</v>
      </c>
      <c r="T3" s="2308" t="s">
        <v>1057</v>
      </c>
      <c r="U3" s="2309" t="s">
        <v>1267</v>
      </c>
      <c r="V3" s="1507" t="s">
        <v>1268</v>
      </c>
      <c r="W3" s="2312" t="s">
        <v>1253</v>
      </c>
      <c r="X3" s="2312" t="s">
        <v>1251</v>
      </c>
      <c r="Y3" s="2312" t="s">
        <v>1254</v>
      </c>
      <c r="Z3" s="2312" t="s">
        <v>1252</v>
      </c>
      <c r="AA3" s="1498" t="s">
        <v>551</v>
      </c>
      <c r="AB3" s="2313" t="s">
        <v>1269</v>
      </c>
      <c r="AC3" s="1507" t="s">
        <v>1094</v>
      </c>
      <c r="AD3" s="2309" t="s">
        <v>1270</v>
      </c>
      <c r="AE3" s="2307" t="s">
        <v>1036</v>
      </c>
      <c r="AF3" s="2309" t="s">
        <v>1271</v>
      </c>
      <c r="AG3" s="2322" t="s">
        <v>981</v>
      </c>
      <c r="AH3" s="2322" t="s">
        <v>761</v>
      </c>
      <c r="AI3" s="2322" t="s">
        <v>1242</v>
      </c>
      <c r="AJ3" s="2304"/>
      <c r="AK3" s="2304"/>
    </row>
    <row r="4" spans="1:37" ht="19.95" customHeight="1">
      <c r="A4" s="2372"/>
      <c r="B4" s="2373"/>
      <c r="C4" s="2318"/>
      <c r="D4" s="2318"/>
      <c r="E4" s="2318"/>
      <c r="F4" s="2301"/>
      <c r="G4" s="2301"/>
      <c r="H4" s="2301"/>
      <c r="I4" s="2251"/>
      <c r="J4" s="2251"/>
      <c r="K4" s="2251"/>
      <c r="L4" s="2301"/>
      <c r="M4" s="1568">
        <v>2.5000000000000001E-3</v>
      </c>
      <c r="N4" s="2301"/>
      <c r="O4" s="2251"/>
      <c r="P4" s="2301"/>
      <c r="Q4" s="1497"/>
      <c r="R4" s="1497"/>
      <c r="S4" s="2301"/>
      <c r="T4" s="2301"/>
      <c r="U4" s="2280"/>
      <c r="V4" s="1508"/>
      <c r="W4" s="2251"/>
      <c r="X4" s="2251"/>
      <c r="Y4" s="2251"/>
      <c r="Z4" s="2251"/>
      <c r="AA4" s="1494"/>
      <c r="AB4" s="2280" t="s">
        <v>537</v>
      </c>
      <c r="AC4" s="1570">
        <v>2.5000000000000001E-3</v>
      </c>
      <c r="AD4" s="2280"/>
      <c r="AE4" s="2251"/>
      <c r="AF4" s="2280"/>
      <c r="AG4" s="2323"/>
      <c r="AH4" s="2323"/>
      <c r="AI4" s="2323"/>
      <c r="AJ4" s="2305"/>
      <c r="AK4" s="2305"/>
    </row>
    <row r="5" spans="1:37" ht="14.25" customHeight="1">
      <c r="A5" s="463"/>
      <c r="B5" s="464"/>
      <c r="C5" s="465">
        <v>1</v>
      </c>
      <c r="D5" s="465">
        <f t="shared" ref="D5" si="0">C5+1</f>
        <v>2</v>
      </c>
      <c r="E5" s="465">
        <f>D5+1</f>
        <v>3</v>
      </c>
      <c r="F5" s="465">
        <f t="shared" ref="F5:AK5" si="1">E5+1</f>
        <v>4</v>
      </c>
      <c r="G5" s="465">
        <f t="shared" si="1"/>
        <v>5</v>
      </c>
      <c r="H5" s="465">
        <f t="shared" si="1"/>
        <v>6</v>
      </c>
      <c r="I5" s="465">
        <f t="shared" ref="I5" si="2">H5+1</f>
        <v>7</v>
      </c>
      <c r="J5" s="465">
        <f t="shared" ref="J5" si="3">I5+1</f>
        <v>8</v>
      </c>
      <c r="K5" s="465">
        <f t="shared" ref="K5" si="4">J5+1</f>
        <v>9</v>
      </c>
      <c r="L5" s="465">
        <f t="shared" ref="L5" si="5">K5+1</f>
        <v>10</v>
      </c>
      <c r="M5" s="465">
        <f t="shared" ref="M5" si="6">L5+1</f>
        <v>11</v>
      </c>
      <c r="N5" s="465">
        <f t="shared" si="1"/>
        <v>12</v>
      </c>
      <c r="O5" s="465">
        <f t="shared" si="1"/>
        <v>13</v>
      </c>
      <c r="P5" s="465">
        <f t="shared" si="1"/>
        <v>14</v>
      </c>
      <c r="Q5" s="465">
        <f t="shared" ref="Q5" si="7">P5+1</f>
        <v>15</v>
      </c>
      <c r="R5" s="465">
        <f t="shared" ref="R5" si="8">Q5+1</f>
        <v>16</v>
      </c>
      <c r="S5" s="465">
        <f t="shared" ref="S5" si="9">R5+1</f>
        <v>17</v>
      </c>
      <c r="T5" s="465">
        <f t="shared" ref="T5" si="10">S5+1</f>
        <v>18</v>
      </c>
      <c r="U5" s="465">
        <f t="shared" ref="U5" si="11">T5+1</f>
        <v>19</v>
      </c>
      <c r="V5" s="465">
        <f t="shared" si="1"/>
        <v>20</v>
      </c>
      <c r="W5" s="465">
        <f t="shared" ref="W5" si="12">V5+1</f>
        <v>21</v>
      </c>
      <c r="X5" s="465">
        <f t="shared" ref="X5" si="13">W5+1</f>
        <v>22</v>
      </c>
      <c r="Y5" s="465">
        <f t="shared" ref="Y5" si="14">X5+1</f>
        <v>23</v>
      </c>
      <c r="Z5" s="465">
        <f t="shared" ref="Z5" si="15">Y5+1</f>
        <v>24</v>
      </c>
      <c r="AA5" s="465">
        <f t="shared" ref="AA5" si="16">Z5+1</f>
        <v>25</v>
      </c>
      <c r="AB5" s="465">
        <f t="shared" ref="AB5" si="17">AA5+1</f>
        <v>26</v>
      </c>
      <c r="AC5" s="465">
        <f t="shared" ref="AC5" si="18">AB5+1</f>
        <v>27</v>
      </c>
      <c r="AD5" s="465">
        <f t="shared" si="1"/>
        <v>28</v>
      </c>
      <c r="AE5" s="465">
        <f t="shared" si="1"/>
        <v>29</v>
      </c>
      <c r="AF5" s="465">
        <f t="shared" si="1"/>
        <v>30</v>
      </c>
      <c r="AG5" s="465">
        <f t="shared" ref="AG5" si="19">AF5+1</f>
        <v>31</v>
      </c>
      <c r="AH5" s="465">
        <f t="shared" ref="AH5" si="20">AG5+1</f>
        <v>32</v>
      </c>
      <c r="AI5" s="465">
        <f t="shared" ref="AI5" si="21">AH5+1</f>
        <v>33</v>
      </c>
      <c r="AJ5" s="465">
        <f t="shared" si="1"/>
        <v>34</v>
      </c>
      <c r="AK5" s="465">
        <f t="shared" si="1"/>
        <v>35</v>
      </c>
    </row>
    <row r="6" spans="1:37" ht="27" hidden="1" customHeight="1">
      <c r="A6" s="472"/>
      <c r="B6" s="473"/>
      <c r="C6" s="473"/>
      <c r="D6" s="473"/>
      <c r="E6" s="473"/>
      <c r="F6" s="473"/>
      <c r="G6" s="473"/>
      <c r="H6" s="473"/>
      <c r="I6" s="615"/>
      <c r="J6" s="615"/>
      <c r="K6" s="615"/>
      <c r="L6" s="615"/>
      <c r="M6" s="473"/>
      <c r="N6" s="473"/>
      <c r="O6" s="473"/>
      <c r="P6" s="473"/>
      <c r="Q6" s="615"/>
      <c r="R6" s="615"/>
      <c r="S6" s="473"/>
      <c r="T6" s="473"/>
      <c r="U6" s="473"/>
      <c r="V6" s="473"/>
      <c r="W6" s="615"/>
      <c r="X6" s="615"/>
      <c r="Y6" s="615"/>
      <c r="Z6" s="615"/>
      <c r="AA6" s="615"/>
      <c r="AB6" s="615"/>
      <c r="AC6" s="473"/>
      <c r="AD6" s="473"/>
      <c r="AE6" s="473"/>
      <c r="AF6" s="473"/>
      <c r="AG6" s="615"/>
      <c r="AH6" s="615"/>
      <c r="AI6" s="473"/>
      <c r="AJ6" s="473"/>
      <c r="AK6" s="473"/>
    </row>
    <row r="7" spans="1:37" ht="16.2" customHeight="1">
      <c r="A7" s="1183">
        <v>1</v>
      </c>
      <c r="B7" s="1184" t="s">
        <v>81</v>
      </c>
      <c r="C7" s="1185">
        <f>+'Table 8 Membership 2.1.14'!T3</f>
        <v>0</v>
      </c>
      <c r="D7" s="1186">
        <f>+'Table 5C1A-Madison Prep'!D7</f>
        <v>4765.8584413349836</v>
      </c>
      <c r="E7" s="1187">
        <f>C7*D7</f>
        <v>0</v>
      </c>
      <c r="F7" s="1187">
        <f>+'Table 5C1A-Madison Prep'!F7</f>
        <v>777.48</v>
      </c>
      <c r="G7" s="1187">
        <f>C7*F7</f>
        <v>0</v>
      </c>
      <c r="H7" s="1538">
        <f>E7+G7</f>
        <v>0</v>
      </c>
      <c r="I7" s="1188"/>
      <c r="J7" s="1188"/>
      <c r="K7" s="1189">
        <f>+I7+J7</f>
        <v>0</v>
      </c>
      <c r="L7" s="1538">
        <f>+H7+K7</f>
        <v>0</v>
      </c>
      <c r="M7" s="1372">
        <f t="shared" ref="M7:M70" si="22">-(0.25%*L7)</f>
        <v>0</v>
      </c>
      <c r="N7" s="1538">
        <f>SUM(L7:M7)</f>
        <v>0</v>
      </c>
      <c r="O7" s="1186">
        <v>0</v>
      </c>
      <c r="P7" s="1544">
        <f>SUM(N7:O7)</f>
        <v>0</v>
      </c>
      <c r="Q7" s="1188"/>
      <c r="R7" s="1188">
        <f>+P7-Q7</f>
        <v>0</v>
      </c>
      <c r="S7" s="1544">
        <f>ROUND(R7/12,0)</f>
        <v>0</v>
      </c>
      <c r="T7" s="1544">
        <f>+P7</f>
        <v>0</v>
      </c>
      <c r="U7" s="1373">
        <f>'Table 5C1A-Madison Prep'!U7</f>
        <v>2409</v>
      </c>
      <c r="V7" s="1514">
        <f>C7*U7</f>
        <v>0</v>
      </c>
      <c r="W7" s="1375"/>
      <c r="X7" s="1376">
        <f>+U7*W7</f>
        <v>0</v>
      </c>
      <c r="Y7" s="1375"/>
      <c r="Z7" s="1376">
        <f>+U7*Y7*0.5</f>
        <v>0</v>
      </c>
      <c r="AA7" s="1374">
        <f>+X7+Z7</f>
        <v>0</v>
      </c>
      <c r="AB7" s="1509">
        <f>+V7+AA7</f>
        <v>0</v>
      </c>
      <c r="AC7" s="1378">
        <f>-(0.25%*AB7)</f>
        <v>0</v>
      </c>
      <c r="AD7" s="1509">
        <f>SUM(AB7:AC7)</f>
        <v>0</v>
      </c>
      <c r="AE7" s="1379">
        <v>0</v>
      </c>
      <c r="AF7" s="1509">
        <f>SUM(AD7:AE7)</f>
        <v>0</v>
      </c>
      <c r="AG7" s="1379"/>
      <c r="AH7" s="1379">
        <f>+AF7-AG7</f>
        <v>0</v>
      </c>
      <c r="AI7" s="1509">
        <f>ROUND(AH7/12,0)</f>
        <v>0</v>
      </c>
      <c r="AJ7" s="1530">
        <f>T7+AF7</f>
        <v>0</v>
      </c>
      <c r="AK7" s="1534">
        <f>S7+AI7</f>
        <v>0</v>
      </c>
    </row>
    <row r="8" spans="1:37" ht="16.2" customHeight="1">
      <c r="A8" s="1176">
        <v>2</v>
      </c>
      <c r="B8" s="1177" t="s">
        <v>82</v>
      </c>
      <c r="C8" s="1178">
        <f>+'Table 8 Membership 2.1.14'!T4</f>
        <v>0</v>
      </c>
      <c r="D8" s="1179">
        <f>+'Table 5C1A-Madison Prep'!D8</f>
        <v>6316.6266417386641</v>
      </c>
      <c r="E8" s="1180">
        <f t="shared" ref="E8:E71" si="23">C8*D8</f>
        <v>0</v>
      </c>
      <c r="F8" s="1180">
        <f>+'Table 5C1A-Madison Prep'!F8</f>
        <v>842.32</v>
      </c>
      <c r="G8" s="1180">
        <f t="shared" ref="G8:G71" si="24">C8*F8</f>
        <v>0</v>
      </c>
      <c r="H8" s="1539">
        <f t="shared" ref="H8:H71" si="25">E8+G8</f>
        <v>0</v>
      </c>
      <c r="I8" s="1181"/>
      <c r="J8" s="1181"/>
      <c r="K8" s="1182">
        <f t="shared" ref="K8:K71" si="26">+I8+J8</f>
        <v>0</v>
      </c>
      <c r="L8" s="1539">
        <f t="shared" ref="L8:L71" si="27">+H8+K8</f>
        <v>0</v>
      </c>
      <c r="M8" s="1388">
        <f t="shared" si="22"/>
        <v>0</v>
      </c>
      <c r="N8" s="1539">
        <f t="shared" ref="N8:N71" si="28">SUM(L8:M8)</f>
        <v>0</v>
      </c>
      <c r="O8" s="1179">
        <v>0</v>
      </c>
      <c r="P8" s="1545">
        <f t="shared" ref="P8:P71" si="29">SUM(N8:O8)</f>
        <v>0</v>
      </c>
      <c r="Q8" s="1181"/>
      <c r="R8" s="1181">
        <f t="shared" ref="R8:R71" si="30">+P8-Q8</f>
        <v>0</v>
      </c>
      <c r="S8" s="1545">
        <f t="shared" ref="S8:S71" si="31">ROUND(R8/12,0)</f>
        <v>0</v>
      </c>
      <c r="T8" s="1545">
        <f t="shared" ref="T8:T71" si="32">+P8</f>
        <v>0</v>
      </c>
      <c r="U8" s="1389">
        <f>'Table 5C1A-Madison Prep'!U8</f>
        <v>2829</v>
      </c>
      <c r="V8" s="1515">
        <f t="shared" ref="V8:V71" si="33">C8*U8</f>
        <v>0</v>
      </c>
      <c r="W8" s="1391"/>
      <c r="X8" s="1392">
        <f t="shared" ref="X8:X71" si="34">+U8*W8</f>
        <v>0</v>
      </c>
      <c r="Y8" s="1391"/>
      <c r="Z8" s="1392">
        <f t="shared" ref="Z8:Z71" si="35">+U8*Y8*0.5</f>
        <v>0</v>
      </c>
      <c r="AA8" s="1390">
        <f t="shared" ref="AA8:AA71" si="36">+X8+Z8</f>
        <v>0</v>
      </c>
      <c r="AB8" s="1510">
        <f t="shared" ref="AB8:AB71" si="37">+V8+AA8</f>
        <v>0</v>
      </c>
      <c r="AC8" s="1394">
        <f t="shared" ref="AC8:AC71" si="38">-(0.25%*AB8)</f>
        <v>0</v>
      </c>
      <c r="AD8" s="1510">
        <f t="shared" ref="AD8:AD71" si="39">SUM(AB8:AC8)</f>
        <v>0</v>
      </c>
      <c r="AE8" s="1395">
        <v>0</v>
      </c>
      <c r="AF8" s="1510">
        <f t="shared" ref="AF8:AF71" si="40">SUM(AD8:AE8)</f>
        <v>0</v>
      </c>
      <c r="AG8" s="1395"/>
      <c r="AH8" s="1395">
        <f t="shared" ref="AH8:AH71" si="41">+AF8-AG8</f>
        <v>0</v>
      </c>
      <c r="AI8" s="1510">
        <f t="shared" ref="AI8:AI71" si="42">ROUND(AH8/12,0)</f>
        <v>0</v>
      </c>
      <c r="AJ8" s="1505">
        <f t="shared" ref="AJ8:AJ71" si="43">T8+AF8</f>
        <v>0</v>
      </c>
      <c r="AK8" s="1535">
        <f t="shared" ref="AK8:AK71" si="44">S8+AI8</f>
        <v>0</v>
      </c>
    </row>
    <row r="9" spans="1:37" ht="16.2" customHeight="1">
      <c r="A9" s="1176">
        <v>3</v>
      </c>
      <c r="B9" s="1177" t="s">
        <v>83</v>
      </c>
      <c r="C9" s="1178">
        <f>+'Table 8 Membership 2.1.14'!T5</f>
        <v>0</v>
      </c>
      <c r="D9" s="1179">
        <f>+'Table 5C1A-Madison Prep'!D9</f>
        <v>4155.1862027396819</v>
      </c>
      <c r="E9" s="1180">
        <f t="shared" si="23"/>
        <v>0</v>
      </c>
      <c r="F9" s="1180">
        <f>+'Table 5C1A-Madison Prep'!F9</f>
        <v>596.84</v>
      </c>
      <c r="G9" s="1180">
        <f t="shared" si="24"/>
        <v>0</v>
      </c>
      <c r="H9" s="1539">
        <f t="shared" si="25"/>
        <v>0</v>
      </c>
      <c r="I9" s="1181"/>
      <c r="J9" s="1181"/>
      <c r="K9" s="1182">
        <f t="shared" si="26"/>
        <v>0</v>
      </c>
      <c r="L9" s="1539">
        <f t="shared" si="27"/>
        <v>0</v>
      </c>
      <c r="M9" s="1388">
        <f t="shared" si="22"/>
        <v>0</v>
      </c>
      <c r="N9" s="1539">
        <f t="shared" si="28"/>
        <v>0</v>
      </c>
      <c r="O9" s="1179">
        <v>0</v>
      </c>
      <c r="P9" s="1545">
        <f t="shared" si="29"/>
        <v>0</v>
      </c>
      <c r="Q9" s="1181"/>
      <c r="R9" s="1181">
        <f t="shared" si="30"/>
        <v>0</v>
      </c>
      <c r="S9" s="1545">
        <f t="shared" si="31"/>
        <v>0</v>
      </c>
      <c r="T9" s="1545">
        <f t="shared" si="32"/>
        <v>0</v>
      </c>
      <c r="U9" s="1389">
        <f>'Table 5C1A-Madison Prep'!U9</f>
        <v>5770</v>
      </c>
      <c r="V9" s="1515">
        <f t="shared" si="33"/>
        <v>0</v>
      </c>
      <c r="W9" s="1391"/>
      <c r="X9" s="1392">
        <f t="shared" si="34"/>
        <v>0</v>
      </c>
      <c r="Y9" s="1391"/>
      <c r="Z9" s="1392">
        <f t="shared" si="35"/>
        <v>0</v>
      </c>
      <c r="AA9" s="1390">
        <f t="shared" si="36"/>
        <v>0</v>
      </c>
      <c r="AB9" s="1510">
        <f t="shared" si="37"/>
        <v>0</v>
      </c>
      <c r="AC9" s="1394">
        <f t="shared" si="38"/>
        <v>0</v>
      </c>
      <c r="AD9" s="1510">
        <f t="shared" si="39"/>
        <v>0</v>
      </c>
      <c r="AE9" s="1395">
        <v>0</v>
      </c>
      <c r="AF9" s="1510">
        <f t="shared" si="40"/>
        <v>0</v>
      </c>
      <c r="AG9" s="1395"/>
      <c r="AH9" s="1395">
        <f t="shared" si="41"/>
        <v>0</v>
      </c>
      <c r="AI9" s="1510">
        <f t="shared" si="42"/>
        <v>0</v>
      </c>
      <c r="AJ9" s="1505">
        <f t="shared" si="43"/>
        <v>0</v>
      </c>
      <c r="AK9" s="1535">
        <f t="shared" si="44"/>
        <v>0</v>
      </c>
    </row>
    <row r="10" spans="1:37" ht="16.2" customHeight="1">
      <c r="A10" s="1176">
        <v>4</v>
      </c>
      <c r="B10" s="1177" t="s">
        <v>84</v>
      </c>
      <c r="C10" s="1178">
        <f>+'Table 8 Membership 2.1.14'!T6</f>
        <v>0</v>
      </c>
      <c r="D10" s="1179">
        <f>+'Table 5C1A-Madison Prep'!D10</f>
        <v>6119.0581446878568</v>
      </c>
      <c r="E10" s="1180">
        <f t="shared" si="23"/>
        <v>0</v>
      </c>
      <c r="F10" s="1180">
        <f>+'Table 5C1A-Madison Prep'!F10</f>
        <v>585.76</v>
      </c>
      <c r="G10" s="1180">
        <f t="shared" si="24"/>
        <v>0</v>
      </c>
      <c r="H10" s="1539">
        <f t="shared" si="25"/>
        <v>0</v>
      </c>
      <c r="I10" s="1181"/>
      <c r="J10" s="1181"/>
      <c r="K10" s="1182">
        <f t="shared" si="26"/>
        <v>0</v>
      </c>
      <c r="L10" s="1539">
        <f t="shared" si="27"/>
        <v>0</v>
      </c>
      <c r="M10" s="1388">
        <f t="shared" si="22"/>
        <v>0</v>
      </c>
      <c r="N10" s="1539">
        <f t="shared" si="28"/>
        <v>0</v>
      </c>
      <c r="O10" s="1179">
        <v>0</v>
      </c>
      <c r="P10" s="1545">
        <f t="shared" si="29"/>
        <v>0</v>
      </c>
      <c r="Q10" s="1181"/>
      <c r="R10" s="1181">
        <f t="shared" si="30"/>
        <v>0</v>
      </c>
      <c r="S10" s="1545">
        <f t="shared" si="31"/>
        <v>0</v>
      </c>
      <c r="T10" s="1545">
        <f t="shared" si="32"/>
        <v>0</v>
      </c>
      <c r="U10" s="1389">
        <f>'Table 5C1A-Madison Prep'!U10</f>
        <v>3287</v>
      </c>
      <c r="V10" s="1515">
        <f t="shared" si="33"/>
        <v>0</v>
      </c>
      <c r="W10" s="1391"/>
      <c r="X10" s="1392">
        <f t="shared" si="34"/>
        <v>0</v>
      </c>
      <c r="Y10" s="1391"/>
      <c r="Z10" s="1392">
        <f t="shared" si="35"/>
        <v>0</v>
      </c>
      <c r="AA10" s="1390">
        <f t="shared" si="36"/>
        <v>0</v>
      </c>
      <c r="AB10" s="1510">
        <f t="shared" si="37"/>
        <v>0</v>
      </c>
      <c r="AC10" s="1394">
        <f t="shared" si="38"/>
        <v>0</v>
      </c>
      <c r="AD10" s="1510">
        <f t="shared" si="39"/>
        <v>0</v>
      </c>
      <c r="AE10" s="1395">
        <v>0</v>
      </c>
      <c r="AF10" s="1510">
        <f t="shared" si="40"/>
        <v>0</v>
      </c>
      <c r="AG10" s="1395"/>
      <c r="AH10" s="1395">
        <f t="shared" si="41"/>
        <v>0</v>
      </c>
      <c r="AI10" s="1510">
        <f t="shared" si="42"/>
        <v>0</v>
      </c>
      <c r="AJ10" s="1505">
        <f t="shared" si="43"/>
        <v>0</v>
      </c>
      <c r="AK10" s="1535">
        <f t="shared" si="44"/>
        <v>0</v>
      </c>
    </row>
    <row r="11" spans="1:37" ht="16.2" customHeight="1">
      <c r="A11" s="1168">
        <v>5</v>
      </c>
      <c r="B11" s="1169" t="s">
        <v>85</v>
      </c>
      <c r="C11" s="1170">
        <f>+'Table 8 Membership 2.1.14'!T7</f>
        <v>0</v>
      </c>
      <c r="D11" s="1171">
        <f>+'Table 5C1A-Madison Prep'!D11</f>
        <v>5268.940566009911</v>
      </c>
      <c r="E11" s="1172">
        <f t="shared" si="23"/>
        <v>0</v>
      </c>
      <c r="F11" s="1172">
        <f>+'Table 5C1A-Madison Prep'!F11</f>
        <v>555.91</v>
      </c>
      <c r="G11" s="1172">
        <f t="shared" si="24"/>
        <v>0</v>
      </c>
      <c r="H11" s="1540">
        <f t="shared" si="25"/>
        <v>0</v>
      </c>
      <c r="I11" s="1173"/>
      <c r="J11" s="1173"/>
      <c r="K11" s="1174">
        <f t="shared" si="26"/>
        <v>0</v>
      </c>
      <c r="L11" s="1540">
        <f t="shared" si="27"/>
        <v>0</v>
      </c>
      <c r="M11" s="1399">
        <f t="shared" si="22"/>
        <v>0</v>
      </c>
      <c r="N11" s="1540">
        <f t="shared" si="28"/>
        <v>0</v>
      </c>
      <c r="O11" s="1171">
        <v>0</v>
      </c>
      <c r="P11" s="1546">
        <f t="shared" si="29"/>
        <v>0</v>
      </c>
      <c r="Q11" s="1173"/>
      <c r="R11" s="1173">
        <f t="shared" si="30"/>
        <v>0</v>
      </c>
      <c r="S11" s="1546">
        <f t="shared" si="31"/>
        <v>0</v>
      </c>
      <c r="T11" s="1546">
        <f t="shared" si="32"/>
        <v>0</v>
      </c>
      <c r="U11" s="1382">
        <f>'Table 5C1A-Madison Prep'!U11</f>
        <v>1921</v>
      </c>
      <c r="V11" s="1516">
        <f t="shared" si="33"/>
        <v>0</v>
      </c>
      <c r="W11" s="1400"/>
      <c r="X11" s="1383">
        <f t="shared" si="34"/>
        <v>0</v>
      </c>
      <c r="Y11" s="1400"/>
      <c r="Z11" s="1383">
        <f t="shared" si="35"/>
        <v>0</v>
      </c>
      <c r="AA11" s="1384">
        <f t="shared" si="36"/>
        <v>0</v>
      </c>
      <c r="AB11" s="1511">
        <f t="shared" si="37"/>
        <v>0</v>
      </c>
      <c r="AC11" s="1402">
        <f t="shared" si="38"/>
        <v>0</v>
      </c>
      <c r="AD11" s="1511">
        <f t="shared" si="39"/>
        <v>0</v>
      </c>
      <c r="AE11" s="1385">
        <v>0</v>
      </c>
      <c r="AF11" s="1511">
        <f t="shared" si="40"/>
        <v>0</v>
      </c>
      <c r="AG11" s="1385"/>
      <c r="AH11" s="1385">
        <f t="shared" si="41"/>
        <v>0</v>
      </c>
      <c r="AI11" s="1511">
        <f t="shared" si="42"/>
        <v>0</v>
      </c>
      <c r="AJ11" s="1531">
        <f t="shared" si="43"/>
        <v>0</v>
      </c>
      <c r="AK11" s="1536">
        <f t="shared" si="44"/>
        <v>0</v>
      </c>
    </row>
    <row r="12" spans="1:37" ht="16.2" customHeight="1">
      <c r="A12" s="1183">
        <v>6</v>
      </c>
      <c r="B12" s="1184" t="s">
        <v>86</v>
      </c>
      <c r="C12" s="1185">
        <f>+'Table 8 Membership 2.1.14'!T8</f>
        <v>0</v>
      </c>
      <c r="D12" s="1186">
        <f>+'Table 5C1A-Madison Prep'!D12</f>
        <v>5378.5086124955869</v>
      </c>
      <c r="E12" s="1187">
        <f t="shared" si="23"/>
        <v>0</v>
      </c>
      <c r="F12" s="1187">
        <f>+'Table 5C1A-Madison Prep'!F12</f>
        <v>545.4799999999999</v>
      </c>
      <c r="G12" s="1187">
        <f t="shared" si="24"/>
        <v>0</v>
      </c>
      <c r="H12" s="1538">
        <f t="shared" si="25"/>
        <v>0</v>
      </c>
      <c r="I12" s="1188"/>
      <c r="J12" s="1188"/>
      <c r="K12" s="1189">
        <f t="shared" si="26"/>
        <v>0</v>
      </c>
      <c r="L12" s="1538">
        <f t="shared" si="27"/>
        <v>0</v>
      </c>
      <c r="M12" s="1372">
        <f t="shared" si="22"/>
        <v>0</v>
      </c>
      <c r="N12" s="1538">
        <f t="shared" si="28"/>
        <v>0</v>
      </c>
      <c r="O12" s="1186">
        <v>0</v>
      </c>
      <c r="P12" s="1544">
        <f t="shared" si="29"/>
        <v>0</v>
      </c>
      <c r="Q12" s="1188"/>
      <c r="R12" s="1188">
        <f t="shared" si="30"/>
        <v>0</v>
      </c>
      <c r="S12" s="1544">
        <f t="shared" si="31"/>
        <v>0</v>
      </c>
      <c r="T12" s="1544">
        <f t="shared" si="32"/>
        <v>0</v>
      </c>
      <c r="U12" s="1373">
        <f>'Table 5C1A-Madison Prep'!U12</f>
        <v>3807</v>
      </c>
      <c r="V12" s="1514">
        <f t="shared" si="33"/>
        <v>0</v>
      </c>
      <c r="W12" s="1375"/>
      <c r="X12" s="1376">
        <f t="shared" si="34"/>
        <v>0</v>
      </c>
      <c r="Y12" s="1375"/>
      <c r="Z12" s="1376">
        <f t="shared" si="35"/>
        <v>0</v>
      </c>
      <c r="AA12" s="1374">
        <f t="shared" si="36"/>
        <v>0</v>
      </c>
      <c r="AB12" s="1509">
        <f t="shared" si="37"/>
        <v>0</v>
      </c>
      <c r="AC12" s="1378">
        <f t="shared" si="38"/>
        <v>0</v>
      </c>
      <c r="AD12" s="1509">
        <f t="shared" si="39"/>
        <v>0</v>
      </c>
      <c r="AE12" s="1379">
        <v>0</v>
      </c>
      <c r="AF12" s="1509">
        <f t="shared" si="40"/>
        <v>0</v>
      </c>
      <c r="AG12" s="1379"/>
      <c r="AH12" s="1379">
        <f t="shared" si="41"/>
        <v>0</v>
      </c>
      <c r="AI12" s="1509">
        <f t="shared" si="42"/>
        <v>0</v>
      </c>
      <c r="AJ12" s="1530">
        <f t="shared" si="43"/>
        <v>0</v>
      </c>
      <c r="AK12" s="1534">
        <f t="shared" si="44"/>
        <v>0</v>
      </c>
    </row>
    <row r="13" spans="1:37" ht="16.2" customHeight="1">
      <c r="A13" s="1176">
        <v>7</v>
      </c>
      <c r="B13" s="1177" t="s">
        <v>87</v>
      </c>
      <c r="C13" s="1178">
        <f>+'Table 8 Membership 2.1.14'!T9</f>
        <v>0</v>
      </c>
      <c r="D13" s="1179">
        <f>+'Table 5C1A-Madison Prep'!D13</f>
        <v>2243.0031963470319</v>
      </c>
      <c r="E13" s="1180">
        <f t="shared" si="23"/>
        <v>0</v>
      </c>
      <c r="F13" s="1180">
        <f>+'Table 5C1A-Madison Prep'!F13</f>
        <v>756.91999999999985</v>
      </c>
      <c r="G13" s="1180">
        <f t="shared" si="24"/>
        <v>0</v>
      </c>
      <c r="H13" s="1539">
        <f t="shared" si="25"/>
        <v>0</v>
      </c>
      <c r="I13" s="1181"/>
      <c r="J13" s="1181"/>
      <c r="K13" s="1182">
        <f t="shared" si="26"/>
        <v>0</v>
      </c>
      <c r="L13" s="1539">
        <f t="shared" si="27"/>
        <v>0</v>
      </c>
      <c r="M13" s="1388">
        <f t="shared" si="22"/>
        <v>0</v>
      </c>
      <c r="N13" s="1539">
        <f t="shared" si="28"/>
        <v>0</v>
      </c>
      <c r="O13" s="1179">
        <v>0</v>
      </c>
      <c r="P13" s="1545">
        <f t="shared" si="29"/>
        <v>0</v>
      </c>
      <c r="Q13" s="1181"/>
      <c r="R13" s="1181">
        <f t="shared" si="30"/>
        <v>0</v>
      </c>
      <c r="S13" s="1545">
        <f t="shared" si="31"/>
        <v>0</v>
      </c>
      <c r="T13" s="1545">
        <f t="shared" si="32"/>
        <v>0</v>
      </c>
      <c r="U13" s="1389">
        <f>'Table 5C1A-Madison Prep'!U13</f>
        <v>11888</v>
      </c>
      <c r="V13" s="1515">
        <f t="shared" si="33"/>
        <v>0</v>
      </c>
      <c r="W13" s="1391"/>
      <c r="X13" s="1392">
        <f t="shared" si="34"/>
        <v>0</v>
      </c>
      <c r="Y13" s="1391"/>
      <c r="Z13" s="1392">
        <f t="shared" si="35"/>
        <v>0</v>
      </c>
      <c r="AA13" s="1390">
        <f t="shared" si="36"/>
        <v>0</v>
      </c>
      <c r="AB13" s="1510">
        <f t="shared" si="37"/>
        <v>0</v>
      </c>
      <c r="AC13" s="1394">
        <f t="shared" si="38"/>
        <v>0</v>
      </c>
      <c r="AD13" s="1510">
        <f t="shared" si="39"/>
        <v>0</v>
      </c>
      <c r="AE13" s="1395">
        <v>0</v>
      </c>
      <c r="AF13" s="1510">
        <f t="shared" si="40"/>
        <v>0</v>
      </c>
      <c r="AG13" s="1395"/>
      <c r="AH13" s="1395">
        <f t="shared" si="41"/>
        <v>0</v>
      </c>
      <c r="AI13" s="1510">
        <f t="shared" si="42"/>
        <v>0</v>
      </c>
      <c r="AJ13" s="1505">
        <f t="shared" si="43"/>
        <v>0</v>
      </c>
      <c r="AK13" s="1535">
        <f t="shared" si="44"/>
        <v>0</v>
      </c>
    </row>
    <row r="14" spans="1:37" ht="16.2" customHeight="1">
      <c r="A14" s="1176">
        <v>8</v>
      </c>
      <c r="B14" s="1177" t="s">
        <v>88</v>
      </c>
      <c r="C14" s="1178">
        <f>+'Table 8 Membership 2.1.14'!T10</f>
        <v>0</v>
      </c>
      <c r="D14" s="1179">
        <f>+'Table 5C1A-Madison Prep'!D14</f>
        <v>4669.802459558854</v>
      </c>
      <c r="E14" s="1180">
        <f t="shared" si="23"/>
        <v>0</v>
      </c>
      <c r="F14" s="1180">
        <f>+'Table 5C1A-Madison Prep'!F14</f>
        <v>725.76</v>
      </c>
      <c r="G14" s="1180">
        <f t="shared" si="24"/>
        <v>0</v>
      </c>
      <c r="H14" s="1539">
        <f t="shared" si="25"/>
        <v>0</v>
      </c>
      <c r="I14" s="1181"/>
      <c r="J14" s="1181"/>
      <c r="K14" s="1182">
        <f t="shared" si="26"/>
        <v>0</v>
      </c>
      <c r="L14" s="1539">
        <f t="shared" si="27"/>
        <v>0</v>
      </c>
      <c r="M14" s="1388">
        <f t="shared" si="22"/>
        <v>0</v>
      </c>
      <c r="N14" s="1539">
        <f t="shared" si="28"/>
        <v>0</v>
      </c>
      <c r="O14" s="1179">
        <v>0</v>
      </c>
      <c r="P14" s="1545">
        <f t="shared" si="29"/>
        <v>0</v>
      </c>
      <c r="Q14" s="1181"/>
      <c r="R14" s="1181">
        <f t="shared" si="30"/>
        <v>0</v>
      </c>
      <c r="S14" s="1545">
        <f t="shared" si="31"/>
        <v>0</v>
      </c>
      <c r="T14" s="1545">
        <f t="shared" si="32"/>
        <v>0</v>
      </c>
      <c r="U14" s="1389">
        <f>'Table 5C1A-Madison Prep'!U14</f>
        <v>4024</v>
      </c>
      <c r="V14" s="1515">
        <f t="shared" si="33"/>
        <v>0</v>
      </c>
      <c r="W14" s="1391"/>
      <c r="X14" s="1392">
        <f t="shared" si="34"/>
        <v>0</v>
      </c>
      <c r="Y14" s="1391"/>
      <c r="Z14" s="1392">
        <f t="shared" si="35"/>
        <v>0</v>
      </c>
      <c r="AA14" s="1390">
        <f t="shared" si="36"/>
        <v>0</v>
      </c>
      <c r="AB14" s="1510">
        <f t="shared" si="37"/>
        <v>0</v>
      </c>
      <c r="AC14" s="1394">
        <f t="shared" si="38"/>
        <v>0</v>
      </c>
      <c r="AD14" s="1510">
        <f t="shared" si="39"/>
        <v>0</v>
      </c>
      <c r="AE14" s="1395">
        <v>0</v>
      </c>
      <c r="AF14" s="1510">
        <f t="shared" si="40"/>
        <v>0</v>
      </c>
      <c r="AG14" s="1395"/>
      <c r="AH14" s="1395">
        <f t="shared" si="41"/>
        <v>0</v>
      </c>
      <c r="AI14" s="1510">
        <f t="shared" si="42"/>
        <v>0</v>
      </c>
      <c r="AJ14" s="1505">
        <f t="shared" si="43"/>
        <v>0</v>
      </c>
      <c r="AK14" s="1535">
        <f t="shared" si="44"/>
        <v>0</v>
      </c>
    </row>
    <row r="15" spans="1:37" ht="16.2" customHeight="1">
      <c r="A15" s="1176">
        <v>9</v>
      </c>
      <c r="B15" s="1177" t="s">
        <v>89</v>
      </c>
      <c r="C15" s="1178">
        <f>+'Table 8 Membership 2.1.14'!T11</f>
        <v>0</v>
      </c>
      <c r="D15" s="1179">
        <f>+'Table 5C1A-Madison Prep'!D15</f>
        <v>4632.4615072045008</v>
      </c>
      <c r="E15" s="1180">
        <f t="shared" si="23"/>
        <v>0</v>
      </c>
      <c r="F15" s="1180">
        <f>+'Table 5C1A-Madison Prep'!F15</f>
        <v>744.76</v>
      </c>
      <c r="G15" s="1180">
        <f t="shared" si="24"/>
        <v>0</v>
      </c>
      <c r="H15" s="1539">
        <f t="shared" si="25"/>
        <v>0</v>
      </c>
      <c r="I15" s="1181"/>
      <c r="J15" s="1181"/>
      <c r="K15" s="1182">
        <f t="shared" si="26"/>
        <v>0</v>
      </c>
      <c r="L15" s="1539">
        <f t="shared" si="27"/>
        <v>0</v>
      </c>
      <c r="M15" s="1388">
        <f t="shared" si="22"/>
        <v>0</v>
      </c>
      <c r="N15" s="1539">
        <f t="shared" si="28"/>
        <v>0</v>
      </c>
      <c r="O15" s="1179">
        <v>0</v>
      </c>
      <c r="P15" s="1545">
        <f t="shared" si="29"/>
        <v>0</v>
      </c>
      <c r="Q15" s="1181"/>
      <c r="R15" s="1181">
        <f t="shared" si="30"/>
        <v>0</v>
      </c>
      <c r="S15" s="1545">
        <f t="shared" si="31"/>
        <v>0</v>
      </c>
      <c r="T15" s="1545">
        <f t="shared" si="32"/>
        <v>0</v>
      </c>
      <c r="U15" s="1389">
        <f>'Table 5C1A-Madison Prep'!U15</f>
        <v>4828</v>
      </c>
      <c r="V15" s="1515">
        <f t="shared" si="33"/>
        <v>0</v>
      </c>
      <c r="W15" s="1391"/>
      <c r="X15" s="1392">
        <f t="shared" si="34"/>
        <v>0</v>
      </c>
      <c r="Y15" s="1391"/>
      <c r="Z15" s="1392">
        <f t="shared" si="35"/>
        <v>0</v>
      </c>
      <c r="AA15" s="1390">
        <f t="shared" si="36"/>
        <v>0</v>
      </c>
      <c r="AB15" s="1510">
        <f t="shared" si="37"/>
        <v>0</v>
      </c>
      <c r="AC15" s="1394">
        <f t="shared" si="38"/>
        <v>0</v>
      </c>
      <c r="AD15" s="1510">
        <f t="shared" si="39"/>
        <v>0</v>
      </c>
      <c r="AE15" s="1395">
        <v>0</v>
      </c>
      <c r="AF15" s="1510">
        <f t="shared" si="40"/>
        <v>0</v>
      </c>
      <c r="AG15" s="1395"/>
      <c r="AH15" s="1395">
        <f t="shared" si="41"/>
        <v>0</v>
      </c>
      <c r="AI15" s="1510">
        <f t="shared" si="42"/>
        <v>0</v>
      </c>
      <c r="AJ15" s="1505">
        <f t="shared" si="43"/>
        <v>0</v>
      </c>
      <c r="AK15" s="1535">
        <f t="shared" si="44"/>
        <v>0</v>
      </c>
    </row>
    <row r="16" spans="1:37" ht="16.2" customHeight="1">
      <c r="A16" s="1168">
        <v>10</v>
      </c>
      <c r="B16" s="1169" t="s">
        <v>90</v>
      </c>
      <c r="C16" s="1170">
        <f>+'Table 8 Membership 2.1.14'!T12</f>
        <v>0</v>
      </c>
      <c r="D16" s="1171">
        <f>+'Table 5C1A-Madison Prep'!D16</f>
        <v>4384.374733918472</v>
      </c>
      <c r="E16" s="1172">
        <f t="shared" si="23"/>
        <v>0</v>
      </c>
      <c r="F16" s="1172">
        <f>+'Table 5C1A-Madison Prep'!F16</f>
        <v>608.04000000000008</v>
      </c>
      <c r="G16" s="1172">
        <f t="shared" si="24"/>
        <v>0</v>
      </c>
      <c r="H16" s="1540">
        <f t="shared" si="25"/>
        <v>0</v>
      </c>
      <c r="I16" s="1173"/>
      <c r="J16" s="1173"/>
      <c r="K16" s="1174">
        <f t="shared" si="26"/>
        <v>0</v>
      </c>
      <c r="L16" s="1540">
        <f t="shared" si="27"/>
        <v>0</v>
      </c>
      <c r="M16" s="1399">
        <f t="shared" si="22"/>
        <v>0</v>
      </c>
      <c r="N16" s="1540">
        <f t="shared" si="28"/>
        <v>0</v>
      </c>
      <c r="O16" s="1171">
        <v>0</v>
      </c>
      <c r="P16" s="1546">
        <f t="shared" si="29"/>
        <v>0</v>
      </c>
      <c r="Q16" s="1173"/>
      <c r="R16" s="1173">
        <f t="shared" si="30"/>
        <v>0</v>
      </c>
      <c r="S16" s="1546">
        <f t="shared" si="31"/>
        <v>0</v>
      </c>
      <c r="T16" s="1546">
        <f t="shared" si="32"/>
        <v>0</v>
      </c>
      <c r="U16" s="1382">
        <f>'Table 5C1A-Madison Prep'!U16</f>
        <v>4565</v>
      </c>
      <c r="V16" s="1516">
        <f t="shared" si="33"/>
        <v>0</v>
      </c>
      <c r="W16" s="1400"/>
      <c r="X16" s="1383">
        <f t="shared" si="34"/>
        <v>0</v>
      </c>
      <c r="Y16" s="1400"/>
      <c r="Z16" s="1383">
        <f t="shared" si="35"/>
        <v>0</v>
      </c>
      <c r="AA16" s="1384">
        <f t="shared" si="36"/>
        <v>0</v>
      </c>
      <c r="AB16" s="1511">
        <f t="shared" si="37"/>
        <v>0</v>
      </c>
      <c r="AC16" s="1402">
        <f t="shared" si="38"/>
        <v>0</v>
      </c>
      <c r="AD16" s="1511">
        <f t="shared" si="39"/>
        <v>0</v>
      </c>
      <c r="AE16" s="1385">
        <v>0</v>
      </c>
      <c r="AF16" s="1511">
        <f t="shared" si="40"/>
        <v>0</v>
      </c>
      <c r="AG16" s="1385"/>
      <c r="AH16" s="1385">
        <f t="shared" si="41"/>
        <v>0</v>
      </c>
      <c r="AI16" s="1511">
        <f t="shared" si="42"/>
        <v>0</v>
      </c>
      <c r="AJ16" s="1531">
        <f t="shared" si="43"/>
        <v>0</v>
      </c>
      <c r="AK16" s="1536">
        <f t="shared" si="44"/>
        <v>0</v>
      </c>
    </row>
    <row r="17" spans="1:37" ht="16.2" customHeight="1">
      <c r="A17" s="1183">
        <v>11</v>
      </c>
      <c r="B17" s="1184" t="s">
        <v>91</v>
      </c>
      <c r="C17" s="1185">
        <f>+'Table 8 Membership 2.1.14'!T13</f>
        <v>0</v>
      </c>
      <c r="D17" s="1186">
        <f>+'Table 5C1A-Madison Prep'!D17</f>
        <v>7098.5372236353351</v>
      </c>
      <c r="E17" s="1187">
        <f t="shared" si="23"/>
        <v>0</v>
      </c>
      <c r="F17" s="1187">
        <f>+'Table 5C1A-Madison Prep'!F17</f>
        <v>706.55</v>
      </c>
      <c r="G17" s="1187">
        <f t="shared" si="24"/>
        <v>0</v>
      </c>
      <c r="H17" s="1538">
        <f t="shared" si="25"/>
        <v>0</v>
      </c>
      <c r="I17" s="1188"/>
      <c r="J17" s="1188"/>
      <c r="K17" s="1189">
        <f t="shared" si="26"/>
        <v>0</v>
      </c>
      <c r="L17" s="1538">
        <f t="shared" si="27"/>
        <v>0</v>
      </c>
      <c r="M17" s="1372">
        <f t="shared" si="22"/>
        <v>0</v>
      </c>
      <c r="N17" s="1538">
        <f t="shared" si="28"/>
        <v>0</v>
      </c>
      <c r="O17" s="1186">
        <v>0</v>
      </c>
      <c r="P17" s="1544">
        <f t="shared" si="29"/>
        <v>0</v>
      </c>
      <c r="Q17" s="1188"/>
      <c r="R17" s="1188">
        <f t="shared" si="30"/>
        <v>0</v>
      </c>
      <c r="S17" s="1544">
        <f t="shared" si="31"/>
        <v>0</v>
      </c>
      <c r="T17" s="1544">
        <f t="shared" si="32"/>
        <v>0</v>
      </c>
      <c r="U17" s="1373">
        <f>'Table 5C1A-Madison Prep'!U17</f>
        <v>3587</v>
      </c>
      <c r="V17" s="1514">
        <f t="shared" si="33"/>
        <v>0</v>
      </c>
      <c r="W17" s="1375"/>
      <c r="X17" s="1376">
        <f t="shared" si="34"/>
        <v>0</v>
      </c>
      <c r="Y17" s="1375"/>
      <c r="Z17" s="1376">
        <f t="shared" si="35"/>
        <v>0</v>
      </c>
      <c r="AA17" s="1374">
        <f t="shared" si="36"/>
        <v>0</v>
      </c>
      <c r="AB17" s="1509">
        <f t="shared" si="37"/>
        <v>0</v>
      </c>
      <c r="AC17" s="1378">
        <f t="shared" si="38"/>
        <v>0</v>
      </c>
      <c r="AD17" s="1509">
        <f t="shared" si="39"/>
        <v>0</v>
      </c>
      <c r="AE17" s="1379">
        <v>0</v>
      </c>
      <c r="AF17" s="1509">
        <f t="shared" si="40"/>
        <v>0</v>
      </c>
      <c r="AG17" s="1379"/>
      <c r="AH17" s="1379">
        <f t="shared" si="41"/>
        <v>0</v>
      </c>
      <c r="AI17" s="1509">
        <f t="shared" si="42"/>
        <v>0</v>
      </c>
      <c r="AJ17" s="1530">
        <f t="shared" si="43"/>
        <v>0</v>
      </c>
      <c r="AK17" s="1534">
        <f t="shared" si="44"/>
        <v>0</v>
      </c>
    </row>
    <row r="18" spans="1:37" ht="16.2" customHeight="1">
      <c r="A18" s="1176">
        <v>12</v>
      </c>
      <c r="B18" s="1177" t="s">
        <v>92</v>
      </c>
      <c r="C18" s="1178">
        <f>+'Table 8 Membership 2.1.14'!T14</f>
        <v>0</v>
      </c>
      <c r="D18" s="1179">
        <f>+'Table 5C1A-Madison Prep'!D18</f>
        <v>1666.6040983606558</v>
      </c>
      <c r="E18" s="1180">
        <f t="shared" si="23"/>
        <v>0</v>
      </c>
      <c r="F18" s="1180">
        <f>+'Table 5C1A-Madison Prep'!F18</f>
        <v>1063.31</v>
      </c>
      <c r="G18" s="1180">
        <f t="shared" si="24"/>
        <v>0</v>
      </c>
      <c r="H18" s="1539">
        <f t="shared" si="25"/>
        <v>0</v>
      </c>
      <c r="I18" s="1181"/>
      <c r="J18" s="1181"/>
      <c r="K18" s="1182">
        <f t="shared" si="26"/>
        <v>0</v>
      </c>
      <c r="L18" s="1539">
        <f t="shared" si="27"/>
        <v>0</v>
      </c>
      <c r="M18" s="1388">
        <f t="shared" si="22"/>
        <v>0</v>
      </c>
      <c r="N18" s="1539">
        <f t="shared" si="28"/>
        <v>0</v>
      </c>
      <c r="O18" s="1179">
        <v>0</v>
      </c>
      <c r="P18" s="1545">
        <f t="shared" si="29"/>
        <v>0</v>
      </c>
      <c r="Q18" s="1181"/>
      <c r="R18" s="1181">
        <f t="shared" si="30"/>
        <v>0</v>
      </c>
      <c r="S18" s="1545">
        <f t="shared" si="31"/>
        <v>0</v>
      </c>
      <c r="T18" s="1545">
        <f t="shared" si="32"/>
        <v>0</v>
      </c>
      <c r="U18" s="1389">
        <f>'Table 5C1A-Madison Prep'!U18</f>
        <v>8094</v>
      </c>
      <c r="V18" s="1515">
        <f t="shared" si="33"/>
        <v>0</v>
      </c>
      <c r="W18" s="1391"/>
      <c r="X18" s="1392">
        <f t="shared" si="34"/>
        <v>0</v>
      </c>
      <c r="Y18" s="1391"/>
      <c r="Z18" s="1392">
        <f t="shared" si="35"/>
        <v>0</v>
      </c>
      <c r="AA18" s="1390">
        <f t="shared" si="36"/>
        <v>0</v>
      </c>
      <c r="AB18" s="1510">
        <f t="shared" si="37"/>
        <v>0</v>
      </c>
      <c r="AC18" s="1394">
        <f t="shared" si="38"/>
        <v>0</v>
      </c>
      <c r="AD18" s="1510">
        <f t="shared" si="39"/>
        <v>0</v>
      </c>
      <c r="AE18" s="1395">
        <v>0</v>
      </c>
      <c r="AF18" s="1510">
        <f t="shared" si="40"/>
        <v>0</v>
      </c>
      <c r="AG18" s="1395"/>
      <c r="AH18" s="1395">
        <f t="shared" si="41"/>
        <v>0</v>
      </c>
      <c r="AI18" s="1510">
        <f t="shared" si="42"/>
        <v>0</v>
      </c>
      <c r="AJ18" s="1505">
        <f t="shared" si="43"/>
        <v>0</v>
      </c>
      <c r="AK18" s="1535">
        <f t="shared" si="44"/>
        <v>0</v>
      </c>
    </row>
    <row r="19" spans="1:37" ht="16.2" customHeight="1">
      <c r="A19" s="1176">
        <v>13</v>
      </c>
      <c r="B19" s="1177" t="s">
        <v>93</v>
      </c>
      <c r="C19" s="1178">
        <f>+'Table 8 Membership 2.1.14'!T15</f>
        <v>41</v>
      </c>
      <c r="D19" s="1179">
        <f>+'Table 5C1A-Madison Prep'!D19</f>
        <v>6433.6297758332212</v>
      </c>
      <c r="E19" s="1180">
        <f t="shared" si="23"/>
        <v>263778.82080916205</v>
      </c>
      <c r="F19" s="1180">
        <f>+'Table 5C1A-Madison Prep'!F19</f>
        <v>749.43000000000006</v>
      </c>
      <c r="G19" s="1180">
        <f t="shared" si="24"/>
        <v>30726.63</v>
      </c>
      <c r="H19" s="1539">
        <f t="shared" si="25"/>
        <v>294505.45080916205</v>
      </c>
      <c r="I19" s="1181"/>
      <c r="J19" s="1181"/>
      <c r="K19" s="1182">
        <f t="shared" si="26"/>
        <v>0</v>
      </c>
      <c r="L19" s="1539">
        <f t="shared" si="27"/>
        <v>294505.45080916205</v>
      </c>
      <c r="M19" s="1388">
        <f t="shared" si="22"/>
        <v>-736.2636270229051</v>
      </c>
      <c r="N19" s="1539">
        <f t="shared" si="28"/>
        <v>293769.18718213914</v>
      </c>
      <c r="O19" s="1179">
        <v>0</v>
      </c>
      <c r="P19" s="1545">
        <f t="shared" si="29"/>
        <v>293769.18718213914</v>
      </c>
      <c r="Q19" s="1181"/>
      <c r="R19" s="1181">
        <f t="shared" si="30"/>
        <v>293769.18718213914</v>
      </c>
      <c r="S19" s="1545">
        <f t="shared" si="31"/>
        <v>24481</v>
      </c>
      <c r="T19" s="1545">
        <f t="shared" si="32"/>
        <v>293769.18718213914</v>
      </c>
      <c r="U19" s="1389">
        <f>'Table 5C1A-Madison Prep'!U19</f>
        <v>2842</v>
      </c>
      <c r="V19" s="1515">
        <f t="shared" si="33"/>
        <v>116522</v>
      </c>
      <c r="W19" s="1391"/>
      <c r="X19" s="1392">
        <f t="shared" si="34"/>
        <v>0</v>
      </c>
      <c r="Y19" s="1391"/>
      <c r="Z19" s="1392">
        <f t="shared" si="35"/>
        <v>0</v>
      </c>
      <c r="AA19" s="1390">
        <f t="shared" si="36"/>
        <v>0</v>
      </c>
      <c r="AB19" s="1510">
        <f t="shared" si="37"/>
        <v>116522</v>
      </c>
      <c r="AC19" s="1394">
        <f t="shared" si="38"/>
        <v>-291.30500000000001</v>
      </c>
      <c r="AD19" s="1510">
        <f t="shared" si="39"/>
        <v>116230.69500000001</v>
      </c>
      <c r="AE19" s="1395">
        <v>0</v>
      </c>
      <c r="AF19" s="1510">
        <f t="shared" si="40"/>
        <v>116230.69500000001</v>
      </c>
      <c r="AG19" s="1395"/>
      <c r="AH19" s="1395">
        <f t="shared" si="41"/>
        <v>116230.69500000001</v>
      </c>
      <c r="AI19" s="1510">
        <f t="shared" si="42"/>
        <v>9686</v>
      </c>
      <c r="AJ19" s="1505">
        <f t="shared" si="43"/>
        <v>409999.88218213915</v>
      </c>
      <c r="AK19" s="1535">
        <f t="shared" si="44"/>
        <v>34167</v>
      </c>
    </row>
    <row r="20" spans="1:37" ht="16.2" customHeight="1">
      <c r="A20" s="1176">
        <v>14</v>
      </c>
      <c r="B20" s="1177" t="s">
        <v>94</v>
      </c>
      <c r="C20" s="1178">
        <f>+'Table 8 Membership 2.1.14'!T16</f>
        <v>0</v>
      </c>
      <c r="D20" s="1179">
        <f>+'Table 5C1A-Madison Prep'!D20</f>
        <v>5334.9509412500001</v>
      </c>
      <c r="E20" s="1180">
        <f t="shared" si="23"/>
        <v>0</v>
      </c>
      <c r="F20" s="1180">
        <f>+'Table 5C1A-Madison Prep'!F20</f>
        <v>809.9799999999999</v>
      </c>
      <c r="G20" s="1180">
        <f t="shared" si="24"/>
        <v>0</v>
      </c>
      <c r="H20" s="1539">
        <f t="shared" si="25"/>
        <v>0</v>
      </c>
      <c r="I20" s="1181"/>
      <c r="J20" s="1181"/>
      <c r="K20" s="1182">
        <f t="shared" si="26"/>
        <v>0</v>
      </c>
      <c r="L20" s="1539">
        <f t="shared" si="27"/>
        <v>0</v>
      </c>
      <c r="M20" s="1388">
        <f t="shared" si="22"/>
        <v>0</v>
      </c>
      <c r="N20" s="1539">
        <f t="shared" si="28"/>
        <v>0</v>
      </c>
      <c r="O20" s="1179">
        <v>0</v>
      </c>
      <c r="P20" s="1545">
        <f t="shared" si="29"/>
        <v>0</v>
      </c>
      <c r="Q20" s="1181"/>
      <c r="R20" s="1181">
        <f t="shared" si="30"/>
        <v>0</v>
      </c>
      <c r="S20" s="1545">
        <f t="shared" si="31"/>
        <v>0</v>
      </c>
      <c r="T20" s="1545">
        <f t="shared" si="32"/>
        <v>0</v>
      </c>
      <c r="U20" s="1389">
        <f>'Table 5C1A-Madison Prep'!U20</f>
        <v>4205</v>
      </c>
      <c r="V20" s="1515">
        <f t="shared" si="33"/>
        <v>0</v>
      </c>
      <c r="W20" s="1391"/>
      <c r="X20" s="1392">
        <f t="shared" si="34"/>
        <v>0</v>
      </c>
      <c r="Y20" s="1391"/>
      <c r="Z20" s="1392">
        <f t="shared" si="35"/>
        <v>0</v>
      </c>
      <c r="AA20" s="1390">
        <f t="shared" si="36"/>
        <v>0</v>
      </c>
      <c r="AB20" s="1510">
        <f t="shared" si="37"/>
        <v>0</v>
      </c>
      <c r="AC20" s="1394">
        <f t="shared" si="38"/>
        <v>0</v>
      </c>
      <c r="AD20" s="1510">
        <f t="shared" si="39"/>
        <v>0</v>
      </c>
      <c r="AE20" s="1395">
        <v>0</v>
      </c>
      <c r="AF20" s="1510">
        <f t="shared" si="40"/>
        <v>0</v>
      </c>
      <c r="AG20" s="1395"/>
      <c r="AH20" s="1395">
        <f t="shared" si="41"/>
        <v>0</v>
      </c>
      <c r="AI20" s="1510">
        <f t="shared" si="42"/>
        <v>0</v>
      </c>
      <c r="AJ20" s="1505">
        <f t="shared" si="43"/>
        <v>0</v>
      </c>
      <c r="AK20" s="1535">
        <f t="shared" si="44"/>
        <v>0</v>
      </c>
    </row>
    <row r="21" spans="1:37" ht="16.2" customHeight="1">
      <c r="A21" s="1168">
        <v>15</v>
      </c>
      <c r="B21" s="1169" t="s">
        <v>95</v>
      </c>
      <c r="C21" s="1170">
        <f>+'Table 8 Membership 2.1.14'!T17</f>
        <v>269</v>
      </c>
      <c r="D21" s="1171">
        <f>+'Table 5C1A-Madison Prep'!D21</f>
        <v>5749.8285214059952</v>
      </c>
      <c r="E21" s="1172">
        <f t="shared" si="23"/>
        <v>1546703.8722582127</v>
      </c>
      <c r="F21" s="1172">
        <f>+'Table 5C1A-Madison Prep'!F21</f>
        <v>553.79999999999995</v>
      </c>
      <c r="G21" s="1172">
        <f t="shared" si="24"/>
        <v>148972.19999999998</v>
      </c>
      <c r="H21" s="1540">
        <f t="shared" si="25"/>
        <v>1695676.0722582126</v>
      </c>
      <c r="I21" s="1173"/>
      <c r="J21" s="1173"/>
      <c r="K21" s="1174">
        <f t="shared" si="26"/>
        <v>0</v>
      </c>
      <c r="L21" s="1540">
        <f t="shared" si="27"/>
        <v>1695676.0722582126</v>
      </c>
      <c r="M21" s="1399">
        <f t="shared" si="22"/>
        <v>-4239.1901806455317</v>
      </c>
      <c r="N21" s="1540">
        <f t="shared" si="28"/>
        <v>1691436.882077567</v>
      </c>
      <c r="O21" s="1171">
        <v>0</v>
      </c>
      <c r="P21" s="1546">
        <f t="shared" si="29"/>
        <v>1691436.882077567</v>
      </c>
      <c r="Q21" s="1173"/>
      <c r="R21" s="1173">
        <f t="shared" si="30"/>
        <v>1691436.882077567</v>
      </c>
      <c r="S21" s="1546">
        <f t="shared" si="31"/>
        <v>140953</v>
      </c>
      <c r="T21" s="1546">
        <f t="shared" si="32"/>
        <v>1691436.882077567</v>
      </c>
      <c r="U21" s="1382">
        <f>'Table 5C1A-Madison Prep'!U21</f>
        <v>2535</v>
      </c>
      <c r="V21" s="1516">
        <f t="shared" si="33"/>
        <v>681915</v>
      </c>
      <c r="W21" s="1400"/>
      <c r="X21" s="1383">
        <f t="shared" si="34"/>
        <v>0</v>
      </c>
      <c r="Y21" s="1400"/>
      <c r="Z21" s="1383">
        <f t="shared" si="35"/>
        <v>0</v>
      </c>
      <c r="AA21" s="1384">
        <f t="shared" si="36"/>
        <v>0</v>
      </c>
      <c r="AB21" s="1511">
        <f t="shared" si="37"/>
        <v>681915</v>
      </c>
      <c r="AC21" s="1402">
        <f t="shared" si="38"/>
        <v>-1704.7875000000001</v>
      </c>
      <c r="AD21" s="1511">
        <f t="shared" si="39"/>
        <v>680210.21250000002</v>
      </c>
      <c r="AE21" s="1385">
        <v>0</v>
      </c>
      <c r="AF21" s="1511">
        <f t="shared" si="40"/>
        <v>680210.21250000002</v>
      </c>
      <c r="AG21" s="1385"/>
      <c r="AH21" s="1385">
        <f t="shared" si="41"/>
        <v>680210.21250000002</v>
      </c>
      <c r="AI21" s="1511">
        <f t="shared" si="42"/>
        <v>56684</v>
      </c>
      <c r="AJ21" s="1531">
        <f t="shared" si="43"/>
        <v>2371647.0945775672</v>
      </c>
      <c r="AK21" s="1536">
        <f t="shared" si="44"/>
        <v>197637</v>
      </c>
    </row>
    <row r="22" spans="1:37" ht="16.2" customHeight="1">
      <c r="A22" s="1183">
        <v>16</v>
      </c>
      <c r="B22" s="1184" t="s">
        <v>96</v>
      </c>
      <c r="C22" s="1185">
        <f>+'Table 8 Membership 2.1.14'!T18</f>
        <v>0</v>
      </c>
      <c r="D22" s="1186">
        <f>+'Table 5C1A-Madison Prep'!D22</f>
        <v>1980.2494354342025</v>
      </c>
      <c r="E22" s="1187">
        <f t="shared" si="23"/>
        <v>0</v>
      </c>
      <c r="F22" s="1187">
        <f>+'Table 5C1A-Madison Prep'!F22</f>
        <v>686.73</v>
      </c>
      <c r="G22" s="1187">
        <f t="shared" si="24"/>
        <v>0</v>
      </c>
      <c r="H22" s="1538">
        <f t="shared" si="25"/>
        <v>0</v>
      </c>
      <c r="I22" s="1188"/>
      <c r="J22" s="1188"/>
      <c r="K22" s="1189">
        <f t="shared" si="26"/>
        <v>0</v>
      </c>
      <c r="L22" s="1538">
        <f t="shared" si="27"/>
        <v>0</v>
      </c>
      <c r="M22" s="1372">
        <f t="shared" si="22"/>
        <v>0</v>
      </c>
      <c r="N22" s="1538">
        <f t="shared" si="28"/>
        <v>0</v>
      </c>
      <c r="O22" s="1186">
        <v>0</v>
      </c>
      <c r="P22" s="1544">
        <f t="shared" si="29"/>
        <v>0</v>
      </c>
      <c r="Q22" s="1188"/>
      <c r="R22" s="1188">
        <f t="shared" si="30"/>
        <v>0</v>
      </c>
      <c r="S22" s="1544">
        <f t="shared" si="31"/>
        <v>0</v>
      </c>
      <c r="T22" s="1544">
        <f t="shared" si="32"/>
        <v>0</v>
      </c>
      <c r="U22" s="1373">
        <f>'Table 5C1A-Madison Prep'!U22</f>
        <v>12768</v>
      </c>
      <c r="V22" s="1514">
        <f t="shared" si="33"/>
        <v>0</v>
      </c>
      <c r="W22" s="1375"/>
      <c r="X22" s="1376">
        <f t="shared" si="34"/>
        <v>0</v>
      </c>
      <c r="Y22" s="1375"/>
      <c r="Z22" s="1376">
        <f t="shared" si="35"/>
        <v>0</v>
      </c>
      <c r="AA22" s="1374">
        <f t="shared" si="36"/>
        <v>0</v>
      </c>
      <c r="AB22" s="1509">
        <f t="shared" si="37"/>
        <v>0</v>
      </c>
      <c r="AC22" s="1378">
        <f t="shared" si="38"/>
        <v>0</v>
      </c>
      <c r="AD22" s="1509">
        <f t="shared" si="39"/>
        <v>0</v>
      </c>
      <c r="AE22" s="1379">
        <v>0</v>
      </c>
      <c r="AF22" s="1509">
        <f t="shared" si="40"/>
        <v>0</v>
      </c>
      <c r="AG22" s="1379"/>
      <c r="AH22" s="1379">
        <f t="shared" si="41"/>
        <v>0</v>
      </c>
      <c r="AI22" s="1509">
        <f t="shared" si="42"/>
        <v>0</v>
      </c>
      <c r="AJ22" s="1530">
        <f t="shared" si="43"/>
        <v>0</v>
      </c>
      <c r="AK22" s="1534">
        <f t="shared" si="44"/>
        <v>0</v>
      </c>
    </row>
    <row r="23" spans="1:37" ht="16.2" customHeight="1">
      <c r="A23" s="1176">
        <v>17</v>
      </c>
      <c r="B23" s="1177" t="s">
        <v>97</v>
      </c>
      <c r="C23" s="1178">
        <f>+'Table 8 Membership 2.1.14'!T19</f>
        <v>0</v>
      </c>
      <c r="D23" s="1179">
        <f>+'Table 5C1A-Madison Prep'!D23</f>
        <v>3363.5980368254495</v>
      </c>
      <c r="E23" s="1180">
        <f t="shared" si="23"/>
        <v>0</v>
      </c>
      <c r="F23" s="1180">
        <f>+'Table 5C1A-Madison Prep'!F23</f>
        <v>801.47762416806802</v>
      </c>
      <c r="G23" s="1180">
        <f t="shared" si="24"/>
        <v>0</v>
      </c>
      <c r="H23" s="1539">
        <f t="shared" si="25"/>
        <v>0</v>
      </c>
      <c r="I23" s="1181"/>
      <c r="J23" s="1181"/>
      <c r="K23" s="1182">
        <f t="shared" si="26"/>
        <v>0</v>
      </c>
      <c r="L23" s="1539">
        <f t="shared" si="27"/>
        <v>0</v>
      </c>
      <c r="M23" s="1388">
        <f t="shared" si="22"/>
        <v>0</v>
      </c>
      <c r="N23" s="1539">
        <f t="shared" si="28"/>
        <v>0</v>
      </c>
      <c r="O23" s="1179">
        <v>0</v>
      </c>
      <c r="P23" s="1545">
        <f t="shared" si="29"/>
        <v>0</v>
      </c>
      <c r="Q23" s="1181"/>
      <c r="R23" s="1181">
        <f t="shared" si="30"/>
        <v>0</v>
      </c>
      <c r="S23" s="1545">
        <f t="shared" si="31"/>
        <v>0</v>
      </c>
      <c r="T23" s="1545">
        <f t="shared" si="32"/>
        <v>0</v>
      </c>
      <c r="U23" s="1389">
        <f>'Table 5C1A-Madison Prep'!U23</f>
        <v>7050</v>
      </c>
      <c r="V23" s="1515">
        <f t="shared" si="33"/>
        <v>0</v>
      </c>
      <c r="W23" s="1391"/>
      <c r="X23" s="1392">
        <f t="shared" si="34"/>
        <v>0</v>
      </c>
      <c r="Y23" s="1391"/>
      <c r="Z23" s="1392">
        <f t="shared" si="35"/>
        <v>0</v>
      </c>
      <c r="AA23" s="1390">
        <f t="shared" si="36"/>
        <v>0</v>
      </c>
      <c r="AB23" s="1510">
        <f t="shared" si="37"/>
        <v>0</v>
      </c>
      <c r="AC23" s="1394">
        <f t="shared" si="38"/>
        <v>0</v>
      </c>
      <c r="AD23" s="1510">
        <f t="shared" si="39"/>
        <v>0</v>
      </c>
      <c r="AE23" s="1395">
        <v>0</v>
      </c>
      <c r="AF23" s="1510">
        <f t="shared" si="40"/>
        <v>0</v>
      </c>
      <c r="AG23" s="1395"/>
      <c r="AH23" s="1395">
        <f t="shared" si="41"/>
        <v>0</v>
      </c>
      <c r="AI23" s="1510">
        <f t="shared" si="42"/>
        <v>0</v>
      </c>
      <c r="AJ23" s="1505">
        <f t="shared" si="43"/>
        <v>0</v>
      </c>
      <c r="AK23" s="1535">
        <f t="shared" si="44"/>
        <v>0</v>
      </c>
    </row>
    <row r="24" spans="1:37" ht="16.2" customHeight="1">
      <c r="A24" s="1176">
        <v>18</v>
      </c>
      <c r="B24" s="1177" t="s">
        <v>98</v>
      </c>
      <c r="C24" s="1178">
        <f>+'Table 8 Membership 2.1.14'!T20</f>
        <v>0</v>
      </c>
      <c r="D24" s="1179">
        <f>+'Table 5C1A-Madison Prep'!D24</f>
        <v>6354.5533500475731</v>
      </c>
      <c r="E24" s="1180">
        <f t="shared" si="23"/>
        <v>0</v>
      </c>
      <c r="F24" s="1180">
        <f>+'Table 5C1A-Madison Prep'!F24</f>
        <v>845.94999999999993</v>
      </c>
      <c r="G24" s="1180">
        <f t="shared" si="24"/>
        <v>0</v>
      </c>
      <c r="H24" s="1539">
        <f t="shared" si="25"/>
        <v>0</v>
      </c>
      <c r="I24" s="1181"/>
      <c r="J24" s="1181"/>
      <c r="K24" s="1182">
        <f t="shared" si="26"/>
        <v>0</v>
      </c>
      <c r="L24" s="1539">
        <f t="shared" si="27"/>
        <v>0</v>
      </c>
      <c r="M24" s="1388">
        <f t="shared" si="22"/>
        <v>0</v>
      </c>
      <c r="N24" s="1539">
        <f t="shared" si="28"/>
        <v>0</v>
      </c>
      <c r="O24" s="1179">
        <v>0</v>
      </c>
      <c r="P24" s="1545">
        <f t="shared" si="29"/>
        <v>0</v>
      </c>
      <c r="Q24" s="1181"/>
      <c r="R24" s="1181">
        <f t="shared" si="30"/>
        <v>0</v>
      </c>
      <c r="S24" s="1545">
        <f t="shared" si="31"/>
        <v>0</v>
      </c>
      <c r="T24" s="1545">
        <f t="shared" si="32"/>
        <v>0</v>
      </c>
      <c r="U24" s="1389">
        <f>'Table 5C1A-Madison Prep'!U24</f>
        <v>2526</v>
      </c>
      <c r="V24" s="1515">
        <f t="shared" si="33"/>
        <v>0</v>
      </c>
      <c r="W24" s="1391"/>
      <c r="X24" s="1392">
        <f t="shared" si="34"/>
        <v>0</v>
      </c>
      <c r="Y24" s="1391"/>
      <c r="Z24" s="1392">
        <f t="shared" si="35"/>
        <v>0</v>
      </c>
      <c r="AA24" s="1390">
        <f t="shared" si="36"/>
        <v>0</v>
      </c>
      <c r="AB24" s="1510">
        <f t="shared" si="37"/>
        <v>0</v>
      </c>
      <c r="AC24" s="1394">
        <f t="shared" si="38"/>
        <v>0</v>
      </c>
      <c r="AD24" s="1510">
        <f t="shared" si="39"/>
        <v>0</v>
      </c>
      <c r="AE24" s="1395">
        <v>0</v>
      </c>
      <c r="AF24" s="1510">
        <f t="shared" si="40"/>
        <v>0</v>
      </c>
      <c r="AG24" s="1395"/>
      <c r="AH24" s="1395">
        <f t="shared" si="41"/>
        <v>0</v>
      </c>
      <c r="AI24" s="1510">
        <f t="shared" si="42"/>
        <v>0</v>
      </c>
      <c r="AJ24" s="1505">
        <f t="shared" si="43"/>
        <v>0</v>
      </c>
      <c r="AK24" s="1535">
        <f t="shared" si="44"/>
        <v>0</v>
      </c>
    </row>
    <row r="25" spans="1:37" ht="16.2" customHeight="1">
      <c r="A25" s="1176">
        <v>19</v>
      </c>
      <c r="B25" s="1177" t="s">
        <v>99</v>
      </c>
      <c r="C25" s="1178">
        <f>+'Table 8 Membership 2.1.14'!T21</f>
        <v>0</v>
      </c>
      <c r="D25" s="1179">
        <f>+'Table 5C1A-Madison Prep'!D25</f>
        <v>5314.3921869460446</v>
      </c>
      <c r="E25" s="1180">
        <f t="shared" si="23"/>
        <v>0</v>
      </c>
      <c r="F25" s="1180">
        <f>+'Table 5C1A-Madison Prep'!F25</f>
        <v>905.43</v>
      </c>
      <c r="G25" s="1180">
        <f t="shared" si="24"/>
        <v>0</v>
      </c>
      <c r="H25" s="1539">
        <f t="shared" si="25"/>
        <v>0</v>
      </c>
      <c r="I25" s="1181"/>
      <c r="J25" s="1181"/>
      <c r="K25" s="1182">
        <f t="shared" si="26"/>
        <v>0</v>
      </c>
      <c r="L25" s="1539">
        <f t="shared" si="27"/>
        <v>0</v>
      </c>
      <c r="M25" s="1388">
        <f t="shared" si="22"/>
        <v>0</v>
      </c>
      <c r="N25" s="1539">
        <f t="shared" si="28"/>
        <v>0</v>
      </c>
      <c r="O25" s="1179">
        <v>0</v>
      </c>
      <c r="P25" s="1545">
        <f t="shared" si="29"/>
        <v>0</v>
      </c>
      <c r="Q25" s="1181"/>
      <c r="R25" s="1181">
        <f t="shared" si="30"/>
        <v>0</v>
      </c>
      <c r="S25" s="1545">
        <f t="shared" si="31"/>
        <v>0</v>
      </c>
      <c r="T25" s="1545">
        <f t="shared" si="32"/>
        <v>0</v>
      </c>
      <c r="U25" s="1389">
        <f>'Table 5C1A-Madison Prep'!U25</f>
        <v>2908</v>
      </c>
      <c r="V25" s="1515">
        <f t="shared" si="33"/>
        <v>0</v>
      </c>
      <c r="W25" s="1391"/>
      <c r="X25" s="1392">
        <f t="shared" si="34"/>
        <v>0</v>
      </c>
      <c r="Y25" s="1391"/>
      <c r="Z25" s="1392">
        <f t="shared" si="35"/>
        <v>0</v>
      </c>
      <c r="AA25" s="1390">
        <f t="shared" si="36"/>
        <v>0</v>
      </c>
      <c r="AB25" s="1510">
        <f t="shared" si="37"/>
        <v>0</v>
      </c>
      <c r="AC25" s="1394">
        <f t="shared" si="38"/>
        <v>0</v>
      </c>
      <c r="AD25" s="1510">
        <f t="shared" si="39"/>
        <v>0</v>
      </c>
      <c r="AE25" s="1395">
        <v>0</v>
      </c>
      <c r="AF25" s="1510">
        <f t="shared" si="40"/>
        <v>0</v>
      </c>
      <c r="AG25" s="1395"/>
      <c r="AH25" s="1395">
        <f t="shared" si="41"/>
        <v>0</v>
      </c>
      <c r="AI25" s="1510">
        <f t="shared" si="42"/>
        <v>0</v>
      </c>
      <c r="AJ25" s="1505">
        <f t="shared" si="43"/>
        <v>0</v>
      </c>
      <c r="AK25" s="1535">
        <f t="shared" si="44"/>
        <v>0</v>
      </c>
    </row>
    <row r="26" spans="1:37" ht="16.2" customHeight="1">
      <c r="A26" s="1168">
        <v>20</v>
      </c>
      <c r="B26" s="1169" t="s">
        <v>100</v>
      </c>
      <c r="C26" s="1170">
        <f>+'Table 8 Membership 2.1.14'!T22</f>
        <v>0</v>
      </c>
      <c r="D26" s="1171">
        <f>+'Table 5C1A-Madison Prep'!D26</f>
        <v>5278.5201565562011</v>
      </c>
      <c r="E26" s="1172">
        <f t="shared" si="23"/>
        <v>0</v>
      </c>
      <c r="F26" s="1172">
        <f>+'Table 5C1A-Madison Prep'!F26</f>
        <v>586.16999999999996</v>
      </c>
      <c r="G26" s="1172">
        <f t="shared" si="24"/>
        <v>0</v>
      </c>
      <c r="H26" s="1540">
        <f t="shared" si="25"/>
        <v>0</v>
      </c>
      <c r="I26" s="1173"/>
      <c r="J26" s="1173"/>
      <c r="K26" s="1174">
        <f t="shared" si="26"/>
        <v>0</v>
      </c>
      <c r="L26" s="1540">
        <f t="shared" si="27"/>
        <v>0</v>
      </c>
      <c r="M26" s="1399">
        <f t="shared" si="22"/>
        <v>0</v>
      </c>
      <c r="N26" s="1540">
        <f t="shared" si="28"/>
        <v>0</v>
      </c>
      <c r="O26" s="1171">
        <v>0</v>
      </c>
      <c r="P26" s="1546">
        <f t="shared" si="29"/>
        <v>0</v>
      </c>
      <c r="Q26" s="1173"/>
      <c r="R26" s="1173">
        <f t="shared" si="30"/>
        <v>0</v>
      </c>
      <c r="S26" s="1546">
        <f t="shared" si="31"/>
        <v>0</v>
      </c>
      <c r="T26" s="1546">
        <f t="shared" si="32"/>
        <v>0</v>
      </c>
      <c r="U26" s="1382">
        <f>'Table 5C1A-Madison Prep'!U26</f>
        <v>2432</v>
      </c>
      <c r="V26" s="1516">
        <f t="shared" si="33"/>
        <v>0</v>
      </c>
      <c r="W26" s="1400"/>
      <c r="X26" s="1383">
        <f t="shared" si="34"/>
        <v>0</v>
      </c>
      <c r="Y26" s="1400"/>
      <c r="Z26" s="1383">
        <f t="shared" si="35"/>
        <v>0</v>
      </c>
      <c r="AA26" s="1384">
        <f t="shared" si="36"/>
        <v>0</v>
      </c>
      <c r="AB26" s="1511">
        <f t="shared" si="37"/>
        <v>0</v>
      </c>
      <c r="AC26" s="1402">
        <f t="shared" si="38"/>
        <v>0</v>
      </c>
      <c r="AD26" s="1511">
        <f t="shared" si="39"/>
        <v>0</v>
      </c>
      <c r="AE26" s="1385">
        <v>0</v>
      </c>
      <c r="AF26" s="1511">
        <f t="shared" si="40"/>
        <v>0</v>
      </c>
      <c r="AG26" s="1385"/>
      <c r="AH26" s="1385">
        <f t="shared" si="41"/>
        <v>0</v>
      </c>
      <c r="AI26" s="1511">
        <f t="shared" si="42"/>
        <v>0</v>
      </c>
      <c r="AJ26" s="1531">
        <f t="shared" si="43"/>
        <v>0</v>
      </c>
      <c r="AK26" s="1536">
        <f t="shared" si="44"/>
        <v>0</v>
      </c>
    </row>
    <row r="27" spans="1:37" ht="16.2" customHeight="1">
      <c r="A27" s="1183">
        <v>21</v>
      </c>
      <c r="B27" s="1184" t="s">
        <v>101</v>
      </c>
      <c r="C27" s="1185">
        <f>+'Table 8 Membership 2.1.14'!T23</f>
        <v>2</v>
      </c>
      <c r="D27" s="1186">
        <f>+'Table 5C1A-Madison Prep'!D27</f>
        <v>6082.3042295867763</v>
      </c>
      <c r="E27" s="1187">
        <f t="shared" si="23"/>
        <v>12164.608459173553</v>
      </c>
      <c r="F27" s="1187">
        <f>+'Table 5C1A-Madison Prep'!F27</f>
        <v>610.35</v>
      </c>
      <c r="G27" s="1187">
        <f t="shared" si="24"/>
        <v>1220.7</v>
      </c>
      <c r="H27" s="1538">
        <f t="shared" si="25"/>
        <v>13385.308459173553</v>
      </c>
      <c r="I27" s="1188"/>
      <c r="J27" s="1188"/>
      <c r="K27" s="1189">
        <f t="shared" si="26"/>
        <v>0</v>
      </c>
      <c r="L27" s="1538">
        <f t="shared" si="27"/>
        <v>13385.308459173553</v>
      </c>
      <c r="M27" s="1372">
        <f t="shared" si="22"/>
        <v>-33.463271147933881</v>
      </c>
      <c r="N27" s="1538">
        <f t="shared" si="28"/>
        <v>13351.84518802562</v>
      </c>
      <c r="O27" s="1186">
        <v>0</v>
      </c>
      <c r="P27" s="1544">
        <f t="shared" si="29"/>
        <v>13351.84518802562</v>
      </c>
      <c r="Q27" s="1188"/>
      <c r="R27" s="1188">
        <f t="shared" si="30"/>
        <v>13351.84518802562</v>
      </c>
      <c r="S27" s="1544">
        <f t="shared" si="31"/>
        <v>1113</v>
      </c>
      <c r="T27" s="1544">
        <f t="shared" si="32"/>
        <v>13351.84518802562</v>
      </c>
      <c r="U27" s="1373">
        <f>'Table 5C1A-Madison Prep'!U27</f>
        <v>2460</v>
      </c>
      <c r="V27" s="1514">
        <f t="shared" si="33"/>
        <v>4920</v>
      </c>
      <c r="W27" s="1375"/>
      <c r="X27" s="1376">
        <f t="shared" si="34"/>
        <v>0</v>
      </c>
      <c r="Y27" s="1375"/>
      <c r="Z27" s="1376">
        <f t="shared" si="35"/>
        <v>0</v>
      </c>
      <c r="AA27" s="1374">
        <f t="shared" si="36"/>
        <v>0</v>
      </c>
      <c r="AB27" s="1509">
        <f t="shared" si="37"/>
        <v>4920</v>
      </c>
      <c r="AC27" s="1378">
        <f t="shared" si="38"/>
        <v>-12.3</v>
      </c>
      <c r="AD27" s="1509">
        <f t="shared" si="39"/>
        <v>4907.7</v>
      </c>
      <c r="AE27" s="1379">
        <v>0</v>
      </c>
      <c r="AF27" s="1509">
        <f t="shared" si="40"/>
        <v>4907.7</v>
      </c>
      <c r="AG27" s="1379"/>
      <c r="AH27" s="1379">
        <f t="shared" si="41"/>
        <v>4907.7</v>
      </c>
      <c r="AI27" s="1509">
        <f t="shared" si="42"/>
        <v>409</v>
      </c>
      <c r="AJ27" s="1530">
        <f t="shared" si="43"/>
        <v>18259.545188025619</v>
      </c>
      <c r="AK27" s="1534">
        <f t="shared" si="44"/>
        <v>1522</v>
      </c>
    </row>
    <row r="28" spans="1:37" ht="16.2" customHeight="1">
      <c r="A28" s="1176">
        <v>22</v>
      </c>
      <c r="B28" s="1177" t="s">
        <v>102</v>
      </c>
      <c r="C28" s="1178">
        <f>+'Table 8 Membership 2.1.14'!T24</f>
        <v>0</v>
      </c>
      <c r="D28" s="1179">
        <f>+'Table 5C1A-Madison Prep'!D28</f>
        <v>6416.1099808195995</v>
      </c>
      <c r="E28" s="1180">
        <f t="shared" si="23"/>
        <v>0</v>
      </c>
      <c r="F28" s="1180">
        <f>+'Table 5C1A-Madison Prep'!F28</f>
        <v>496.36</v>
      </c>
      <c r="G28" s="1180">
        <f t="shared" si="24"/>
        <v>0</v>
      </c>
      <c r="H28" s="1539">
        <f t="shared" si="25"/>
        <v>0</v>
      </c>
      <c r="I28" s="1181"/>
      <c r="J28" s="1181"/>
      <c r="K28" s="1182">
        <f t="shared" si="26"/>
        <v>0</v>
      </c>
      <c r="L28" s="1539">
        <f t="shared" si="27"/>
        <v>0</v>
      </c>
      <c r="M28" s="1388">
        <f t="shared" si="22"/>
        <v>0</v>
      </c>
      <c r="N28" s="1539">
        <f t="shared" si="28"/>
        <v>0</v>
      </c>
      <c r="O28" s="1179">
        <v>0</v>
      </c>
      <c r="P28" s="1545">
        <f t="shared" si="29"/>
        <v>0</v>
      </c>
      <c r="Q28" s="1181"/>
      <c r="R28" s="1181">
        <f t="shared" si="30"/>
        <v>0</v>
      </c>
      <c r="S28" s="1545">
        <f t="shared" si="31"/>
        <v>0</v>
      </c>
      <c r="T28" s="1545">
        <f t="shared" si="32"/>
        <v>0</v>
      </c>
      <c r="U28" s="1389">
        <f>'Table 5C1A-Madison Prep'!U28</f>
        <v>1613</v>
      </c>
      <c r="V28" s="1515">
        <f t="shared" si="33"/>
        <v>0</v>
      </c>
      <c r="W28" s="1391"/>
      <c r="X28" s="1392">
        <f t="shared" si="34"/>
        <v>0</v>
      </c>
      <c r="Y28" s="1391"/>
      <c r="Z28" s="1392">
        <f t="shared" si="35"/>
        <v>0</v>
      </c>
      <c r="AA28" s="1390">
        <f t="shared" si="36"/>
        <v>0</v>
      </c>
      <c r="AB28" s="1510">
        <f t="shared" si="37"/>
        <v>0</v>
      </c>
      <c r="AC28" s="1394">
        <f t="shared" si="38"/>
        <v>0</v>
      </c>
      <c r="AD28" s="1510">
        <f t="shared" si="39"/>
        <v>0</v>
      </c>
      <c r="AE28" s="1395">
        <v>0</v>
      </c>
      <c r="AF28" s="1510">
        <f t="shared" si="40"/>
        <v>0</v>
      </c>
      <c r="AG28" s="1395"/>
      <c r="AH28" s="1395">
        <f t="shared" si="41"/>
        <v>0</v>
      </c>
      <c r="AI28" s="1510">
        <f t="shared" si="42"/>
        <v>0</v>
      </c>
      <c r="AJ28" s="1505">
        <f t="shared" si="43"/>
        <v>0</v>
      </c>
      <c r="AK28" s="1535">
        <f t="shared" si="44"/>
        <v>0</v>
      </c>
    </row>
    <row r="29" spans="1:37" ht="16.2" customHeight="1">
      <c r="A29" s="1176">
        <v>23</v>
      </c>
      <c r="B29" s="1177" t="s">
        <v>103</v>
      </c>
      <c r="C29" s="1178">
        <f>+'Table 8 Membership 2.1.14'!T25</f>
        <v>0</v>
      </c>
      <c r="D29" s="1179">
        <f>+'Table 5C1A-Madison Prep'!D29</f>
        <v>5011.0215265979159</v>
      </c>
      <c r="E29" s="1180">
        <f t="shared" si="23"/>
        <v>0</v>
      </c>
      <c r="F29" s="1180">
        <f>+'Table 5C1A-Madison Prep'!F29</f>
        <v>688.58</v>
      </c>
      <c r="G29" s="1180">
        <f t="shared" si="24"/>
        <v>0</v>
      </c>
      <c r="H29" s="1539">
        <f t="shared" si="25"/>
        <v>0</v>
      </c>
      <c r="I29" s="1181"/>
      <c r="J29" s="1181"/>
      <c r="K29" s="1182">
        <f t="shared" si="26"/>
        <v>0</v>
      </c>
      <c r="L29" s="1539">
        <f t="shared" si="27"/>
        <v>0</v>
      </c>
      <c r="M29" s="1388">
        <f t="shared" si="22"/>
        <v>0</v>
      </c>
      <c r="N29" s="1539">
        <f t="shared" si="28"/>
        <v>0</v>
      </c>
      <c r="O29" s="1179">
        <v>0</v>
      </c>
      <c r="P29" s="1545">
        <f t="shared" si="29"/>
        <v>0</v>
      </c>
      <c r="Q29" s="1181"/>
      <c r="R29" s="1181">
        <f t="shared" si="30"/>
        <v>0</v>
      </c>
      <c r="S29" s="1545">
        <f t="shared" si="31"/>
        <v>0</v>
      </c>
      <c r="T29" s="1545">
        <f t="shared" si="32"/>
        <v>0</v>
      </c>
      <c r="U29" s="1389">
        <f>'Table 5C1A-Madison Prep'!U29</f>
        <v>3473</v>
      </c>
      <c r="V29" s="1515">
        <f t="shared" si="33"/>
        <v>0</v>
      </c>
      <c r="W29" s="1391"/>
      <c r="X29" s="1392">
        <f t="shared" si="34"/>
        <v>0</v>
      </c>
      <c r="Y29" s="1391"/>
      <c r="Z29" s="1392">
        <f t="shared" si="35"/>
        <v>0</v>
      </c>
      <c r="AA29" s="1390">
        <f t="shared" si="36"/>
        <v>0</v>
      </c>
      <c r="AB29" s="1510">
        <f t="shared" si="37"/>
        <v>0</v>
      </c>
      <c r="AC29" s="1394">
        <f t="shared" si="38"/>
        <v>0</v>
      </c>
      <c r="AD29" s="1510">
        <f t="shared" si="39"/>
        <v>0</v>
      </c>
      <c r="AE29" s="1395">
        <v>0</v>
      </c>
      <c r="AF29" s="1510">
        <f t="shared" si="40"/>
        <v>0</v>
      </c>
      <c r="AG29" s="1395"/>
      <c r="AH29" s="1395">
        <f t="shared" si="41"/>
        <v>0</v>
      </c>
      <c r="AI29" s="1510">
        <f t="shared" si="42"/>
        <v>0</v>
      </c>
      <c r="AJ29" s="1505">
        <f t="shared" si="43"/>
        <v>0</v>
      </c>
      <c r="AK29" s="1535">
        <f t="shared" si="44"/>
        <v>0</v>
      </c>
    </row>
    <row r="30" spans="1:37" ht="16.2" customHeight="1">
      <c r="A30" s="1176">
        <v>24</v>
      </c>
      <c r="B30" s="1177" t="s">
        <v>104</v>
      </c>
      <c r="C30" s="1178">
        <f>+'Table 8 Membership 2.1.14'!T26</f>
        <v>0</v>
      </c>
      <c r="D30" s="1179">
        <f>+'Table 5C1A-Madison Prep'!D30</f>
        <v>2611.6740361576999</v>
      </c>
      <c r="E30" s="1180">
        <f t="shared" si="23"/>
        <v>0</v>
      </c>
      <c r="F30" s="1180">
        <f>+'Table 5C1A-Madison Prep'!F30</f>
        <v>854.24999999999989</v>
      </c>
      <c r="G30" s="1180">
        <f t="shared" si="24"/>
        <v>0</v>
      </c>
      <c r="H30" s="1539">
        <f t="shared" si="25"/>
        <v>0</v>
      </c>
      <c r="I30" s="1181"/>
      <c r="J30" s="1181"/>
      <c r="K30" s="1182">
        <f t="shared" si="26"/>
        <v>0</v>
      </c>
      <c r="L30" s="1539">
        <f t="shared" si="27"/>
        <v>0</v>
      </c>
      <c r="M30" s="1388">
        <f t="shared" si="22"/>
        <v>0</v>
      </c>
      <c r="N30" s="1539">
        <f t="shared" si="28"/>
        <v>0</v>
      </c>
      <c r="O30" s="1179">
        <v>0</v>
      </c>
      <c r="P30" s="1545">
        <f t="shared" si="29"/>
        <v>0</v>
      </c>
      <c r="Q30" s="1181"/>
      <c r="R30" s="1181">
        <f t="shared" si="30"/>
        <v>0</v>
      </c>
      <c r="S30" s="1545">
        <f t="shared" si="31"/>
        <v>0</v>
      </c>
      <c r="T30" s="1545">
        <f t="shared" si="32"/>
        <v>0</v>
      </c>
      <c r="U30" s="1389">
        <f>'Table 5C1A-Madison Prep'!U30</f>
        <v>10053</v>
      </c>
      <c r="V30" s="1515">
        <f t="shared" si="33"/>
        <v>0</v>
      </c>
      <c r="W30" s="1391"/>
      <c r="X30" s="1392">
        <f t="shared" si="34"/>
        <v>0</v>
      </c>
      <c r="Y30" s="1391"/>
      <c r="Z30" s="1392">
        <f t="shared" si="35"/>
        <v>0</v>
      </c>
      <c r="AA30" s="1390">
        <f t="shared" si="36"/>
        <v>0</v>
      </c>
      <c r="AB30" s="1510">
        <f t="shared" si="37"/>
        <v>0</v>
      </c>
      <c r="AC30" s="1394">
        <f t="shared" si="38"/>
        <v>0</v>
      </c>
      <c r="AD30" s="1510">
        <f t="shared" si="39"/>
        <v>0</v>
      </c>
      <c r="AE30" s="1395">
        <v>0</v>
      </c>
      <c r="AF30" s="1510">
        <f t="shared" si="40"/>
        <v>0</v>
      </c>
      <c r="AG30" s="1395"/>
      <c r="AH30" s="1395">
        <f t="shared" si="41"/>
        <v>0</v>
      </c>
      <c r="AI30" s="1510">
        <f t="shared" si="42"/>
        <v>0</v>
      </c>
      <c r="AJ30" s="1505">
        <f t="shared" si="43"/>
        <v>0</v>
      </c>
      <c r="AK30" s="1535">
        <f t="shared" si="44"/>
        <v>0</v>
      </c>
    </row>
    <row r="31" spans="1:37" ht="16.2" customHeight="1">
      <c r="A31" s="1168">
        <v>25</v>
      </c>
      <c r="B31" s="1169" t="s">
        <v>105</v>
      </c>
      <c r="C31" s="1170">
        <f>+'Table 8 Membership 2.1.14'!T27</f>
        <v>0</v>
      </c>
      <c r="D31" s="1171">
        <f>+'Table 5C1A-Madison Prep'!D31</f>
        <v>4173.0720274945697</v>
      </c>
      <c r="E31" s="1172">
        <f t="shared" si="23"/>
        <v>0</v>
      </c>
      <c r="F31" s="1172">
        <f>+'Table 5C1A-Madison Prep'!F31</f>
        <v>653.73</v>
      </c>
      <c r="G31" s="1172">
        <f t="shared" si="24"/>
        <v>0</v>
      </c>
      <c r="H31" s="1540">
        <f t="shared" si="25"/>
        <v>0</v>
      </c>
      <c r="I31" s="1173"/>
      <c r="J31" s="1173"/>
      <c r="K31" s="1174">
        <f t="shared" si="26"/>
        <v>0</v>
      </c>
      <c r="L31" s="1540">
        <f t="shared" si="27"/>
        <v>0</v>
      </c>
      <c r="M31" s="1399">
        <f t="shared" si="22"/>
        <v>0</v>
      </c>
      <c r="N31" s="1540">
        <f t="shared" si="28"/>
        <v>0</v>
      </c>
      <c r="O31" s="1171">
        <v>0</v>
      </c>
      <c r="P31" s="1546">
        <f t="shared" si="29"/>
        <v>0</v>
      </c>
      <c r="Q31" s="1173"/>
      <c r="R31" s="1173">
        <f t="shared" si="30"/>
        <v>0</v>
      </c>
      <c r="S31" s="1546">
        <f t="shared" si="31"/>
        <v>0</v>
      </c>
      <c r="T31" s="1546">
        <f t="shared" si="32"/>
        <v>0</v>
      </c>
      <c r="U31" s="1382">
        <f>'Table 5C1A-Madison Prep'!U31</f>
        <v>5073</v>
      </c>
      <c r="V31" s="1516">
        <f t="shared" si="33"/>
        <v>0</v>
      </c>
      <c r="W31" s="1400"/>
      <c r="X31" s="1383">
        <f t="shared" si="34"/>
        <v>0</v>
      </c>
      <c r="Y31" s="1400"/>
      <c r="Z31" s="1383">
        <f t="shared" si="35"/>
        <v>0</v>
      </c>
      <c r="AA31" s="1384">
        <f t="shared" si="36"/>
        <v>0</v>
      </c>
      <c r="AB31" s="1511">
        <f t="shared" si="37"/>
        <v>0</v>
      </c>
      <c r="AC31" s="1402">
        <f t="shared" si="38"/>
        <v>0</v>
      </c>
      <c r="AD31" s="1511">
        <f t="shared" si="39"/>
        <v>0</v>
      </c>
      <c r="AE31" s="1385">
        <v>0</v>
      </c>
      <c r="AF31" s="1511">
        <f t="shared" si="40"/>
        <v>0</v>
      </c>
      <c r="AG31" s="1385"/>
      <c r="AH31" s="1385">
        <f t="shared" si="41"/>
        <v>0</v>
      </c>
      <c r="AI31" s="1511">
        <f t="shared" si="42"/>
        <v>0</v>
      </c>
      <c r="AJ31" s="1531">
        <f t="shared" si="43"/>
        <v>0</v>
      </c>
      <c r="AK31" s="1536">
        <f t="shared" si="44"/>
        <v>0</v>
      </c>
    </row>
    <row r="32" spans="1:37" ht="16.2" customHeight="1">
      <c r="A32" s="1183">
        <v>26</v>
      </c>
      <c r="B32" s="1184" t="s">
        <v>106</v>
      </c>
      <c r="C32" s="1185">
        <f>+'Table 8 Membership 2.1.14'!T28</f>
        <v>0</v>
      </c>
      <c r="D32" s="1186">
        <f>+'Table 5C1A-Madison Prep'!D32</f>
        <v>3424.5649970570835</v>
      </c>
      <c r="E32" s="1187">
        <f t="shared" si="23"/>
        <v>0</v>
      </c>
      <c r="F32" s="1187">
        <f>+'Table 5C1A-Madison Prep'!F32</f>
        <v>836.83</v>
      </c>
      <c r="G32" s="1187">
        <f t="shared" si="24"/>
        <v>0</v>
      </c>
      <c r="H32" s="1538">
        <f t="shared" si="25"/>
        <v>0</v>
      </c>
      <c r="I32" s="1188"/>
      <c r="J32" s="1188"/>
      <c r="K32" s="1189">
        <f t="shared" si="26"/>
        <v>0</v>
      </c>
      <c r="L32" s="1538">
        <f t="shared" si="27"/>
        <v>0</v>
      </c>
      <c r="M32" s="1372">
        <f t="shared" si="22"/>
        <v>0</v>
      </c>
      <c r="N32" s="1538">
        <f t="shared" si="28"/>
        <v>0</v>
      </c>
      <c r="O32" s="1186">
        <v>0</v>
      </c>
      <c r="P32" s="1544">
        <f t="shared" si="29"/>
        <v>0</v>
      </c>
      <c r="Q32" s="1188"/>
      <c r="R32" s="1188">
        <f t="shared" si="30"/>
        <v>0</v>
      </c>
      <c r="S32" s="1544">
        <f t="shared" si="31"/>
        <v>0</v>
      </c>
      <c r="T32" s="1544">
        <f t="shared" si="32"/>
        <v>0</v>
      </c>
      <c r="U32" s="1373">
        <f>'Table 5C1A-Madison Prep'!U32</f>
        <v>5260</v>
      </c>
      <c r="V32" s="1514">
        <f t="shared" si="33"/>
        <v>0</v>
      </c>
      <c r="W32" s="1375"/>
      <c r="X32" s="1376">
        <f t="shared" si="34"/>
        <v>0</v>
      </c>
      <c r="Y32" s="1375"/>
      <c r="Z32" s="1376">
        <f t="shared" si="35"/>
        <v>0</v>
      </c>
      <c r="AA32" s="1374">
        <f t="shared" si="36"/>
        <v>0</v>
      </c>
      <c r="AB32" s="1509">
        <f t="shared" si="37"/>
        <v>0</v>
      </c>
      <c r="AC32" s="1378">
        <f t="shared" si="38"/>
        <v>0</v>
      </c>
      <c r="AD32" s="1509">
        <f t="shared" si="39"/>
        <v>0</v>
      </c>
      <c r="AE32" s="1379">
        <v>0</v>
      </c>
      <c r="AF32" s="1509">
        <f t="shared" si="40"/>
        <v>0</v>
      </c>
      <c r="AG32" s="1379"/>
      <c r="AH32" s="1379">
        <f t="shared" si="41"/>
        <v>0</v>
      </c>
      <c r="AI32" s="1509">
        <f t="shared" si="42"/>
        <v>0</v>
      </c>
      <c r="AJ32" s="1530">
        <f t="shared" si="43"/>
        <v>0</v>
      </c>
      <c r="AK32" s="1534">
        <f t="shared" si="44"/>
        <v>0</v>
      </c>
    </row>
    <row r="33" spans="1:37" ht="16.2" customHeight="1">
      <c r="A33" s="1176">
        <v>27</v>
      </c>
      <c r="B33" s="1177" t="s">
        <v>107</v>
      </c>
      <c r="C33" s="1178">
        <f>+'Table 8 Membership 2.1.14'!T29</f>
        <v>0</v>
      </c>
      <c r="D33" s="1179">
        <f>+'Table 5C1A-Madison Prep'!D33</f>
        <v>5804.9013839977006</v>
      </c>
      <c r="E33" s="1180">
        <f t="shared" si="23"/>
        <v>0</v>
      </c>
      <c r="F33" s="1180">
        <f>+'Table 5C1A-Madison Prep'!F33</f>
        <v>693.06</v>
      </c>
      <c r="G33" s="1180">
        <f t="shared" si="24"/>
        <v>0</v>
      </c>
      <c r="H33" s="1539">
        <f t="shared" si="25"/>
        <v>0</v>
      </c>
      <c r="I33" s="1181"/>
      <c r="J33" s="1181"/>
      <c r="K33" s="1182">
        <f t="shared" si="26"/>
        <v>0</v>
      </c>
      <c r="L33" s="1539">
        <f t="shared" si="27"/>
        <v>0</v>
      </c>
      <c r="M33" s="1388">
        <f t="shared" si="22"/>
        <v>0</v>
      </c>
      <c r="N33" s="1539">
        <f t="shared" si="28"/>
        <v>0</v>
      </c>
      <c r="O33" s="1179">
        <v>0</v>
      </c>
      <c r="P33" s="1545">
        <f t="shared" si="29"/>
        <v>0</v>
      </c>
      <c r="Q33" s="1181"/>
      <c r="R33" s="1181">
        <f t="shared" si="30"/>
        <v>0</v>
      </c>
      <c r="S33" s="1545">
        <f t="shared" si="31"/>
        <v>0</v>
      </c>
      <c r="T33" s="1545">
        <f t="shared" si="32"/>
        <v>0</v>
      </c>
      <c r="U33" s="1389">
        <f>'Table 5C1A-Madison Prep'!U33</f>
        <v>3169</v>
      </c>
      <c r="V33" s="1515">
        <f t="shared" si="33"/>
        <v>0</v>
      </c>
      <c r="W33" s="1391"/>
      <c r="X33" s="1392">
        <f t="shared" si="34"/>
        <v>0</v>
      </c>
      <c r="Y33" s="1391"/>
      <c r="Z33" s="1392">
        <f t="shared" si="35"/>
        <v>0</v>
      </c>
      <c r="AA33" s="1390">
        <f t="shared" si="36"/>
        <v>0</v>
      </c>
      <c r="AB33" s="1510">
        <f t="shared" si="37"/>
        <v>0</v>
      </c>
      <c r="AC33" s="1394">
        <f t="shared" si="38"/>
        <v>0</v>
      </c>
      <c r="AD33" s="1510">
        <f t="shared" si="39"/>
        <v>0</v>
      </c>
      <c r="AE33" s="1395">
        <v>0</v>
      </c>
      <c r="AF33" s="1510">
        <f t="shared" si="40"/>
        <v>0</v>
      </c>
      <c r="AG33" s="1395"/>
      <c r="AH33" s="1395">
        <f t="shared" si="41"/>
        <v>0</v>
      </c>
      <c r="AI33" s="1510">
        <f t="shared" si="42"/>
        <v>0</v>
      </c>
      <c r="AJ33" s="1505">
        <f t="shared" si="43"/>
        <v>0</v>
      </c>
      <c r="AK33" s="1535">
        <f t="shared" si="44"/>
        <v>0</v>
      </c>
    </row>
    <row r="34" spans="1:37" ht="16.2" customHeight="1">
      <c r="A34" s="1176">
        <v>28</v>
      </c>
      <c r="B34" s="1177" t="s">
        <v>108</v>
      </c>
      <c r="C34" s="1178">
        <f>+'Table 8 Membership 2.1.14'!T30</f>
        <v>0</v>
      </c>
      <c r="D34" s="1179">
        <f>+'Table 5C1A-Madison Prep'!D34</f>
        <v>3137.4158846568821</v>
      </c>
      <c r="E34" s="1180">
        <f t="shared" si="23"/>
        <v>0</v>
      </c>
      <c r="F34" s="1180">
        <f>+'Table 5C1A-Madison Prep'!F34</f>
        <v>694.4</v>
      </c>
      <c r="G34" s="1180">
        <f t="shared" si="24"/>
        <v>0</v>
      </c>
      <c r="H34" s="1539">
        <f t="shared" si="25"/>
        <v>0</v>
      </c>
      <c r="I34" s="1181"/>
      <c r="J34" s="1181"/>
      <c r="K34" s="1182">
        <f t="shared" si="26"/>
        <v>0</v>
      </c>
      <c r="L34" s="1539">
        <f t="shared" si="27"/>
        <v>0</v>
      </c>
      <c r="M34" s="1388">
        <f t="shared" si="22"/>
        <v>0</v>
      </c>
      <c r="N34" s="1539">
        <f t="shared" si="28"/>
        <v>0</v>
      </c>
      <c r="O34" s="1179">
        <v>0</v>
      </c>
      <c r="P34" s="1545">
        <f t="shared" si="29"/>
        <v>0</v>
      </c>
      <c r="Q34" s="1181"/>
      <c r="R34" s="1181">
        <f t="shared" si="30"/>
        <v>0</v>
      </c>
      <c r="S34" s="1545">
        <f t="shared" si="31"/>
        <v>0</v>
      </c>
      <c r="T34" s="1545">
        <f t="shared" si="32"/>
        <v>0</v>
      </c>
      <c r="U34" s="1389">
        <f>'Table 5C1A-Madison Prep'!U34</f>
        <v>5790</v>
      </c>
      <c r="V34" s="1515">
        <f t="shared" si="33"/>
        <v>0</v>
      </c>
      <c r="W34" s="1391"/>
      <c r="X34" s="1392">
        <f t="shared" si="34"/>
        <v>0</v>
      </c>
      <c r="Y34" s="1391"/>
      <c r="Z34" s="1392">
        <f t="shared" si="35"/>
        <v>0</v>
      </c>
      <c r="AA34" s="1390">
        <f t="shared" si="36"/>
        <v>0</v>
      </c>
      <c r="AB34" s="1510">
        <f t="shared" si="37"/>
        <v>0</v>
      </c>
      <c r="AC34" s="1394">
        <f t="shared" si="38"/>
        <v>0</v>
      </c>
      <c r="AD34" s="1510">
        <f t="shared" si="39"/>
        <v>0</v>
      </c>
      <c r="AE34" s="1395">
        <v>0</v>
      </c>
      <c r="AF34" s="1510">
        <f t="shared" si="40"/>
        <v>0</v>
      </c>
      <c r="AG34" s="1395"/>
      <c r="AH34" s="1395">
        <f t="shared" si="41"/>
        <v>0</v>
      </c>
      <c r="AI34" s="1510">
        <f t="shared" si="42"/>
        <v>0</v>
      </c>
      <c r="AJ34" s="1505">
        <f t="shared" si="43"/>
        <v>0</v>
      </c>
      <c r="AK34" s="1535">
        <f t="shared" si="44"/>
        <v>0</v>
      </c>
    </row>
    <row r="35" spans="1:37" ht="16.2" customHeight="1">
      <c r="A35" s="1176">
        <v>29</v>
      </c>
      <c r="B35" s="1177" t="s">
        <v>109</v>
      </c>
      <c r="C35" s="1178">
        <f>+'Table 8 Membership 2.1.14'!T31</f>
        <v>0</v>
      </c>
      <c r="D35" s="1179">
        <f>+'Table 5C1A-Madison Prep'!D35</f>
        <v>3839.0123210173724</v>
      </c>
      <c r="E35" s="1180">
        <f t="shared" si="23"/>
        <v>0</v>
      </c>
      <c r="F35" s="1180">
        <f>+'Table 5C1A-Madison Prep'!F35</f>
        <v>754.94999999999993</v>
      </c>
      <c r="G35" s="1180">
        <f t="shared" si="24"/>
        <v>0</v>
      </c>
      <c r="H35" s="1539">
        <f t="shared" si="25"/>
        <v>0</v>
      </c>
      <c r="I35" s="1181"/>
      <c r="J35" s="1181"/>
      <c r="K35" s="1182">
        <f t="shared" si="26"/>
        <v>0</v>
      </c>
      <c r="L35" s="1539">
        <f t="shared" si="27"/>
        <v>0</v>
      </c>
      <c r="M35" s="1388">
        <f t="shared" si="22"/>
        <v>0</v>
      </c>
      <c r="N35" s="1539">
        <f t="shared" si="28"/>
        <v>0</v>
      </c>
      <c r="O35" s="1179">
        <v>0</v>
      </c>
      <c r="P35" s="1545">
        <f t="shared" si="29"/>
        <v>0</v>
      </c>
      <c r="Q35" s="1181"/>
      <c r="R35" s="1181">
        <f t="shared" si="30"/>
        <v>0</v>
      </c>
      <c r="S35" s="1545">
        <f t="shared" si="31"/>
        <v>0</v>
      </c>
      <c r="T35" s="1545">
        <f t="shared" si="32"/>
        <v>0</v>
      </c>
      <c r="U35" s="1389">
        <f>'Table 5C1A-Madison Prep'!U35</f>
        <v>5069</v>
      </c>
      <c r="V35" s="1515">
        <f t="shared" si="33"/>
        <v>0</v>
      </c>
      <c r="W35" s="1391"/>
      <c r="X35" s="1392">
        <f t="shared" si="34"/>
        <v>0</v>
      </c>
      <c r="Y35" s="1391"/>
      <c r="Z35" s="1392">
        <f t="shared" si="35"/>
        <v>0</v>
      </c>
      <c r="AA35" s="1390">
        <f t="shared" si="36"/>
        <v>0</v>
      </c>
      <c r="AB35" s="1510">
        <f t="shared" si="37"/>
        <v>0</v>
      </c>
      <c r="AC35" s="1394">
        <f t="shared" si="38"/>
        <v>0</v>
      </c>
      <c r="AD35" s="1510">
        <f t="shared" si="39"/>
        <v>0</v>
      </c>
      <c r="AE35" s="1395">
        <v>0</v>
      </c>
      <c r="AF35" s="1510">
        <f t="shared" si="40"/>
        <v>0</v>
      </c>
      <c r="AG35" s="1395"/>
      <c r="AH35" s="1395">
        <f t="shared" si="41"/>
        <v>0</v>
      </c>
      <c r="AI35" s="1510">
        <f t="shared" si="42"/>
        <v>0</v>
      </c>
      <c r="AJ35" s="1505">
        <f t="shared" si="43"/>
        <v>0</v>
      </c>
      <c r="AK35" s="1535">
        <f t="shared" si="44"/>
        <v>0</v>
      </c>
    </row>
    <row r="36" spans="1:37" ht="16.2" customHeight="1">
      <c r="A36" s="1168">
        <v>30</v>
      </c>
      <c r="B36" s="1169" t="s">
        <v>110</v>
      </c>
      <c r="C36" s="1170">
        <f>+'Table 8 Membership 2.1.14'!T32</f>
        <v>0</v>
      </c>
      <c r="D36" s="1171">
        <f>+'Table 5C1A-Madison Prep'!D36</f>
        <v>5804.5327273996763</v>
      </c>
      <c r="E36" s="1172">
        <f t="shared" si="23"/>
        <v>0</v>
      </c>
      <c r="F36" s="1172">
        <f>+'Table 5C1A-Madison Prep'!F36</f>
        <v>727.17</v>
      </c>
      <c r="G36" s="1172">
        <f t="shared" si="24"/>
        <v>0</v>
      </c>
      <c r="H36" s="1540">
        <f t="shared" si="25"/>
        <v>0</v>
      </c>
      <c r="I36" s="1173"/>
      <c r="J36" s="1173"/>
      <c r="K36" s="1174">
        <f t="shared" si="26"/>
        <v>0</v>
      </c>
      <c r="L36" s="1540">
        <f t="shared" si="27"/>
        <v>0</v>
      </c>
      <c r="M36" s="1399">
        <f t="shared" si="22"/>
        <v>0</v>
      </c>
      <c r="N36" s="1540">
        <f t="shared" si="28"/>
        <v>0</v>
      </c>
      <c r="O36" s="1171">
        <v>0</v>
      </c>
      <c r="P36" s="1546">
        <f t="shared" si="29"/>
        <v>0</v>
      </c>
      <c r="Q36" s="1173"/>
      <c r="R36" s="1173">
        <f t="shared" si="30"/>
        <v>0</v>
      </c>
      <c r="S36" s="1546">
        <f t="shared" si="31"/>
        <v>0</v>
      </c>
      <c r="T36" s="1546">
        <f t="shared" si="32"/>
        <v>0</v>
      </c>
      <c r="U36" s="1382">
        <f>'Table 5C1A-Madison Prep'!U36</f>
        <v>3609</v>
      </c>
      <c r="V36" s="1516">
        <f t="shared" si="33"/>
        <v>0</v>
      </c>
      <c r="W36" s="1400"/>
      <c r="X36" s="1383">
        <f t="shared" si="34"/>
        <v>0</v>
      </c>
      <c r="Y36" s="1400"/>
      <c r="Z36" s="1383">
        <f t="shared" si="35"/>
        <v>0</v>
      </c>
      <c r="AA36" s="1384">
        <f t="shared" si="36"/>
        <v>0</v>
      </c>
      <c r="AB36" s="1511">
        <f t="shared" si="37"/>
        <v>0</v>
      </c>
      <c r="AC36" s="1402">
        <f t="shared" si="38"/>
        <v>0</v>
      </c>
      <c r="AD36" s="1511">
        <f t="shared" si="39"/>
        <v>0</v>
      </c>
      <c r="AE36" s="1385">
        <v>0</v>
      </c>
      <c r="AF36" s="1511">
        <f t="shared" si="40"/>
        <v>0</v>
      </c>
      <c r="AG36" s="1385"/>
      <c r="AH36" s="1385">
        <f t="shared" si="41"/>
        <v>0</v>
      </c>
      <c r="AI36" s="1511">
        <f t="shared" si="42"/>
        <v>0</v>
      </c>
      <c r="AJ36" s="1531">
        <f t="shared" si="43"/>
        <v>0</v>
      </c>
      <c r="AK36" s="1536">
        <f t="shared" si="44"/>
        <v>0</v>
      </c>
    </row>
    <row r="37" spans="1:37" ht="16.2" customHeight="1">
      <c r="A37" s="1183">
        <v>31</v>
      </c>
      <c r="B37" s="1184" t="s">
        <v>111</v>
      </c>
      <c r="C37" s="1185">
        <f>+'Table 8 Membership 2.1.14'!T33</f>
        <v>0</v>
      </c>
      <c r="D37" s="1186">
        <f>+'Table 5C1A-Madison Prep'!D37</f>
        <v>4520.6176716868531</v>
      </c>
      <c r="E37" s="1187">
        <f t="shared" si="23"/>
        <v>0</v>
      </c>
      <c r="F37" s="1187">
        <f>+'Table 5C1A-Madison Prep'!F37</f>
        <v>620.83000000000004</v>
      </c>
      <c r="G37" s="1187">
        <f t="shared" si="24"/>
        <v>0</v>
      </c>
      <c r="H37" s="1538">
        <f t="shared" si="25"/>
        <v>0</v>
      </c>
      <c r="I37" s="1188"/>
      <c r="J37" s="1188"/>
      <c r="K37" s="1189">
        <f t="shared" si="26"/>
        <v>0</v>
      </c>
      <c r="L37" s="1538">
        <f t="shared" si="27"/>
        <v>0</v>
      </c>
      <c r="M37" s="1372">
        <f t="shared" si="22"/>
        <v>0</v>
      </c>
      <c r="N37" s="1538">
        <f t="shared" si="28"/>
        <v>0</v>
      </c>
      <c r="O37" s="1186">
        <v>0</v>
      </c>
      <c r="P37" s="1544">
        <f t="shared" si="29"/>
        <v>0</v>
      </c>
      <c r="Q37" s="1188"/>
      <c r="R37" s="1188">
        <f t="shared" si="30"/>
        <v>0</v>
      </c>
      <c r="S37" s="1544">
        <f t="shared" si="31"/>
        <v>0</v>
      </c>
      <c r="T37" s="1544">
        <f t="shared" si="32"/>
        <v>0</v>
      </c>
      <c r="U37" s="1373">
        <f>'Table 5C1A-Madison Prep'!U37</f>
        <v>5043</v>
      </c>
      <c r="V37" s="1514">
        <f t="shared" si="33"/>
        <v>0</v>
      </c>
      <c r="W37" s="1375"/>
      <c r="X37" s="1376">
        <f t="shared" si="34"/>
        <v>0</v>
      </c>
      <c r="Y37" s="1375"/>
      <c r="Z37" s="1376">
        <f t="shared" si="35"/>
        <v>0</v>
      </c>
      <c r="AA37" s="1374">
        <f t="shared" si="36"/>
        <v>0</v>
      </c>
      <c r="AB37" s="1509">
        <f t="shared" si="37"/>
        <v>0</v>
      </c>
      <c r="AC37" s="1378">
        <f t="shared" si="38"/>
        <v>0</v>
      </c>
      <c r="AD37" s="1509">
        <f t="shared" si="39"/>
        <v>0</v>
      </c>
      <c r="AE37" s="1379">
        <v>0</v>
      </c>
      <c r="AF37" s="1509">
        <f t="shared" si="40"/>
        <v>0</v>
      </c>
      <c r="AG37" s="1379"/>
      <c r="AH37" s="1379">
        <f t="shared" si="41"/>
        <v>0</v>
      </c>
      <c r="AI37" s="1509">
        <f t="shared" si="42"/>
        <v>0</v>
      </c>
      <c r="AJ37" s="1530">
        <f t="shared" si="43"/>
        <v>0</v>
      </c>
      <c r="AK37" s="1534">
        <f t="shared" si="44"/>
        <v>0</v>
      </c>
    </row>
    <row r="38" spans="1:37" ht="16.2" customHeight="1">
      <c r="A38" s="1176">
        <v>32</v>
      </c>
      <c r="B38" s="1177" t="s">
        <v>112</v>
      </c>
      <c r="C38" s="1178">
        <f>+'Table 8 Membership 2.1.14'!T34</f>
        <v>0</v>
      </c>
      <c r="D38" s="1179">
        <f>+'Table 5C1A-Madison Prep'!D38</f>
        <v>5652.819189061127</v>
      </c>
      <c r="E38" s="1180">
        <f t="shared" si="23"/>
        <v>0</v>
      </c>
      <c r="F38" s="1180">
        <f>+'Table 5C1A-Madison Prep'!F38</f>
        <v>559.77</v>
      </c>
      <c r="G38" s="1180">
        <f t="shared" si="24"/>
        <v>0</v>
      </c>
      <c r="H38" s="1539">
        <f t="shared" si="25"/>
        <v>0</v>
      </c>
      <c r="I38" s="1181"/>
      <c r="J38" s="1181"/>
      <c r="K38" s="1182">
        <f t="shared" si="26"/>
        <v>0</v>
      </c>
      <c r="L38" s="1539">
        <f t="shared" si="27"/>
        <v>0</v>
      </c>
      <c r="M38" s="1388">
        <f t="shared" si="22"/>
        <v>0</v>
      </c>
      <c r="N38" s="1539">
        <f t="shared" si="28"/>
        <v>0</v>
      </c>
      <c r="O38" s="1179">
        <v>0</v>
      </c>
      <c r="P38" s="1545">
        <f t="shared" si="29"/>
        <v>0</v>
      </c>
      <c r="Q38" s="1181"/>
      <c r="R38" s="1181">
        <f t="shared" si="30"/>
        <v>0</v>
      </c>
      <c r="S38" s="1545">
        <f t="shared" si="31"/>
        <v>0</v>
      </c>
      <c r="T38" s="1545">
        <f t="shared" si="32"/>
        <v>0</v>
      </c>
      <c r="U38" s="1389">
        <f>'Table 5C1A-Madison Prep'!U38</f>
        <v>2121</v>
      </c>
      <c r="V38" s="1515">
        <f t="shared" si="33"/>
        <v>0</v>
      </c>
      <c r="W38" s="1391"/>
      <c r="X38" s="1392">
        <f t="shared" si="34"/>
        <v>0</v>
      </c>
      <c r="Y38" s="1391"/>
      <c r="Z38" s="1392">
        <f t="shared" si="35"/>
        <v>0</v>
      </c>
      <c r="AA38" s="1390">
        <f t="shared" si="36"/>
        <v>0</v>
      </c>
      <c r="AB38" s="1510">
        <f t="shared" si="37"/>
        <v>0</v>
      </c>
      <c r="AC38" s="1394">
        <f t="shared" si="38"/>
        <v>0</v>
      </c>
      <c r="AD38" s="1510">
        <f t="shared" si="39"/>
        <v>0</v>
      </c>
      <c r="AE38" s="1395">
        <v>0</v>
      </c>
      <c r="AF38" s="1510">
        <f t="shared" si="40"/>
        <v>0</v>
      </c>
      <c r="AG38" s="1395"/>
      <c r="AH38" s="1395">
        <f t="shared" si="41"/>
        <v>0</v>
      </c>
      <c r="AI38" s="1510">
        <f t="shared" si="42"/>
        <v>0</v>
      </c>
      <c r="AJ38" s="1505">
        <f t="shared" si="43"/>
        <v>0</v>
      </c>
      <c r="AK38" s="1535">
        <f t="shared" si="44"/>
        <v>0</v>
      </c>
    </row>
    <row r="39" spans="1:37" ht="16.2" customHeight="1">
      <c r="A39" s="1176">
        <v>33</v>
      </c>
      <c r="B39" s="1177" t="s">
        <v>113</v>
      </c>
      <c r="C39" s="1178">
        <f>+'Table 8 Membership 2.1.14'!T35</f>
        <v>0</v>
      </c>
      <c r="D39" s="1179">
        <f>+'Table 5C1A-Madison Prep'!D39</f>
        <v>5456.2254558085233</v>
      </c>
      <c r="E39" s="1180">
        <f t="shared" si="23"/>
        <v>0</v>
      </c>
      <c r="F39" s="1180">
        <f>+'Table 5C1A-Madison Prep'!F39</f>
        <v>655.31000000000006</v>
      </c>
      <c r="G39" s="1180">
        <f t="shared" si="24"/>
        <v>0</v>
      </c>
      <c r="H39" s="1539">
        <f t="shared" si="25"/>
        <v>0</v>
      </c>
      <c r="I39" s="1181"/>
      <c r="J39" s="1181"/>
      <c r="K39" s="1182">
        <f t="shared" si="26"/>
        <v>0</v>
      </c>
      <c r="L39" s="1539">
        <f t="shared" si="27"/>
        <v>0</v>
      </c>
      <c r="M39" s="1388">
        <f t="shared" si="22"/>
        <v>0</v>
      </c>
      <c r="N39" s="1539">
        <f t="shared" si="28"/>
        <v>0</v>
      </c>
      <c r="O39" s="1179">
        <v>0</v>
      </c>
      <c r="P39" s="1545">
        <f t="shared" si="29"/>
        <v>0</v>
      </c>
      <c r="Q39" s="1181"/>
      <c r="R39" s="1181">
        <f t="shared" si="30"/>
        <v>0</v>
      </c>
      <c r="S39" s="1545">
        <f t="shared" si="31"/>
        <v>0</v>
      </c>
      <c r="T39" s="1545">
        <f t="shared" si="32"/>
        <v>0</v>
      </c>
      <c r="U39" s="1389">
        <f>'Table 5C1A-Madison Prep'!U39</f>
        <v>3616</v>
      </c>
      <c r="V39" s="1515">
        <f t="shared" si="33"/>
        <v>0</v>
      </c>
      <c r="W39" s="1391"/>
      <c r="X39" s="1392">
        <f t="shared" si="34"/>
        <v>0</v>
      </c>
      <c r="Y39" s="1391"/>
      <c r="Z39" s="1392">
        <f t="shared" si="35"/>
        <v>0</v>
      </c>
      <c r="AA39" s="1390">
        <f t="shared" si="36"/>
        <v>0</v>
      </c>
      <c r="AB39" s="1510">
        <f t="shared" si="37"/>
        <v>0</v>
      </c>
      <c r="AC39" s="1394">
        <f t="shared" si="38"/>
        <v>0</v>
      </c>
      <c r="AD39" s="1510">
        <f t="shared" si="39"/>
        <v>0</v>
      </c>
      <c r="AE39" s="1395">
        <v>0</v>
      </c>
      <c r="AF39" s="1510">
        <f t="shared" si="40"/>
        <v>0</v>
      </c>
      <c r="AG39" s="1395"/>
      <c r="AH39" s="1395">
        <f t="shared" si="41"/>
        <v>0</v>
      </c>
      <c r="AI39" s="1510">
        <f t="shared" si="42"/>
        <v>0</v>
      </c>
      <c r="AJ39" s="1505">
        <f t="shared" si="43"/>
        <v>0</v>
      </c>
      <c r="AK39" s="1535">
        <f t="shared" si="44"/>
        <v>0</v>
      </c>
    </row>
    <row r="40" spans="1:37" ht="16.2" customHeight="1">
      <c r="A40" s="1176">
        <v>34</v>
      </c>
      <c r="B40" s="1177" t="s">
        <v>114</v>
      </c>
      <c r="C40" s="1178">
        <f>+'Table 8 Membership 2.1.14'!T36</f>
        <v>0</v>
      </c>
      <c r="D40" s="1179">
        <f>+'Table 5C1A-Madison Prep'!D40</f>
        <v>6292.0976842789005</v>
      </c>
      <c r="E40" s="1180">
        <f t="shared" si="23"/>
        <v>0</v>
      </c>
      <c r="F40" s="1180">
        <f>+'Table 5C1A-Madison Prep'!F40</f>
        <v>644.11000000000013</v>
      </c>
      <c r="G40" s="1180">
        <f t="shared" si="24"/>
        <v>0</v>
      </c>
      <c r="H40" s="1539">
        <f t="shared" si="25"/>
        <v>0</v>
      </c>
      <c r="I40" s="1181"/>
      <c r="J40" s="1181"/>
      <c r="K40" s="1182">
        <f t="shared" si="26"/>
        <v>0</v>
      </c>
      <c r="L40" s="1539">
        <f t="shared" si="27"/>
        <v>0</v>
      </c>
      <c r="M40" s="1388">
        <f t="shared" si="22"/>
        <v>0</v>
      </c>
      <c r="N40" s="1539">
        <f t="shared" si="28"/>
        <v>0</v>
      </c>
      <c r="O40" s="1179">
        <v>0</v>
      </c>
      <c r="P40" s="1545">
        <f t="shared" si="29"/>
        <v>0</v>
      </c>
      <c r="Q40" s="1181"/>
      <c r="R40" s="1181">
        <f t="shared" si="30"/>
        <v>0</v>
      </c>
      <c r="S40" s="1545">
        <f t="shared" si="31"/>
        <v>0</v>
      </c>
      <c r="T40" s="1545">
        <f t="shared" si="32"/>
        <v>0</v>
      </c>
      <c r="U40" s="1389">
        <f>'Table 5C1A-Madison Prep'!U40</f>
        <v>2721</v>
      </c>
      <c r="V40" s="1515">
        <f t="shared" si="33"/>
        <v>0</v>
      </c>
      <c r="W40" s="1391"/>
      <c r="X40" s="1392">
        <f t="shared" si="34"/>
        <v>0</v>
      </c>
      <c r="Y40" s="1391"/>
      <c r="Z40" s="1392">
        <f t="shared" si="35"/>
        <v>0</v>
      </c>
      <c r="AA40" s="1390">
        <f t="shared" si="36"/>
        <v>0</v>
      </c>
      <c r="AB40" s="1510">
        <f t="shared" si="37"/>
        <v>0</v>
      </c>
      <c r="AC40" s="1394">
        <f t="shared" si="38"/>
        <v>0</v>
      </c>
      <c r="AD40" s="1510">
        <f t="shared" si="39"/>
        <v>0</v>
      </c>
      <c r="AE40" s="1395">
        <v>0</v>
      </c>
      <c r="AF40" s="1510">
        <f t="shared" si="40"/>
        <v>0</v>
      </c>
      <c r="AG40" s="1395"/>
      <c r="AH40" s="1395">
        <f t="shared" si="41"/>
        <v>0</v>
      </c>
      <c r="AI40" s="1510">
        <f t="shared" si="42"/>
        <v>0</v>
      </c>
      <c r="AJ40" s="1505">
        <f t="shared" si="43"/>
        <v>0</v>
      </c>
      <c r="AK40" s="1535">
        <f t="shared" si="44"/>
        <v>0</v>
      </c>
    </row>
    <row r="41" spans="1:37" ht="16.2" customHeight="1">
      <c r="A41" s="1168">
        <v>35</v>
      </c>
      <c r="B41" s="1169" t="s">
        <v>115</v>
      </c>
      <c r="C41" s="1170">
        <f>+'Table 8 Membership 2.1.14'!T37</f>
        <v>1</v>
      </c>
      <c r="D41" s="1171">
        <f>+'Table 5C1A-Madison Prep'!D41</f>
        <v>5166.2482060477605</v>
      </c>
      <c r="E41" s="1172">
        <f t="shared" si="23"/>
        <v>5166.2482060477605</v>
      </c>
      <c r="F41" s="1172">
        <f>+'Table 5C1A-Madison Prep'!F41</f>
        <v>537.96</v>
      </c>
      <c r="G41" s="1172">
        <f t="shared" si="24"/>
        <v>537.96</v>
      </c>
      <c r="H41" s="1540">
        <f t="shared" si="25"/>
        <v>5704.2082060477605</v>
      </c>
      <c r="I41" s="1173"/>
      <c r="J41" s="1173"/>
      <c r="K41" s="1174">
        <f t="shared" si="26"/>
        <v>0</v>
      </c>
      <c r="L41" s="1540">
        <f t="shared" si="27"/>
        <v>5704.2082060477605</v>
      </c>
      <c r="M41" s="1399">
        <f t="shared" si="22"/>
        <v>-14.260520515119401</v>
      </c>
      <c r="N41" s="1540">
        <f t="shared" si="28"/>
        <v>5689.9476855326411</v>
      </c>
      <c r="O41" s="1171">
        <v>0</v>
      </c>
      <c r="P41" s="1546">
        <f t="shared" si="29"/>
        <v>5689.9476855326411</v>
      </c>
      <c r="Q41" s="1173"/>
      <c r="R41" s="1173">
        <f t="shared" si="30"/>
        <v>5689.9476855326411</v>
      </c>
      <c r="S41" s="1546">
        <f t="shared" si="31"/>
        <v>474</v>
      </c>
      <c r="T41" s="1546">
        <f t="shared" si="32"/>
        <v>5689.9476855326411</v>
      </c>
      <c r="U41" s="1382">
        <f>'Table 5C1A-Madison Prep'!U41</f>
        <v>3255</v>
      </c>
      <c r="V41" s="1516">
        <f t="shared" si="33"/>
        <v>3255</v>
      </c>
      <c r="W41" s="1400"/>
      <c r="X41" s="1383">
        <f t="shared" si="34"/>
        <v>0</v>
      </c>
      <c r="Y41" s="1400"/>
      <c r="Z41" s="1383">
        <f t="shared" si="35"/>
        <v>0</v>
      </c>
      <c r="AA41" s="1384">
        <f t="shared" si="36"/>
        <v>0</v>
      </c>
      <c r="AB41" s="1511">
        <f t="shared" si="37"/>
        <v>3255</v>
      </c>
      <c r="AC41" s="1402">
        <f t="shared" si="38"/>
        <v>-8.1374999999999993</v>
      </c>
      <c r="AD41" s="1511">
        <f t="shared" si="39"/>
        <v>3246.8625000000002</v>
      </c>
      <c r="AE41" s="1385">
        <v>0</v>
      </c>
      <c r="AF41" s="1511">
        <f t="shared" si="40"/>
        <v>3246.8625000000002</v>
      </c>
      <c r="AG41" s="1385"/>
      <c r="AH41" s="1385">
        <f t="shared" si="41"/>
        <v>3246.8625000000002</v>
      </c>
      <c r="AI41" s="1511">
        <f t="shared" si="42"/>
        <v>271</v>
      </c>
      <c r="AJ41" s="1531">
        <f t="shared" si="43"/>
        <v>8936.8101855326422</v>
      </c>
      <c r="AK41" s="1536">
        <f t="shared" si="44"/>
        <v>745</v>
      </c>
    </row>
    <row r="42" spans="1:37" ht="16.2" customHeight="1">
      <c r="A42" s="1183">
        <v>36</v>
      </c>
      <c r="B42" s="1184" t="s">
        <v>116</v>
      </c>
      <c r="C42" s="1185">
        <f>+'Table 8 Membership 2.1.14'!T38</f>
        <v>0</v>
      </c>
      <c r="D42" s="1186">
        <f>+'Table 5C1A-Madison Prep'!D42</f>
        <v>3602.7009974327857</v>
      </c>
      <c r="E42" s="1187">
        <f t="shared" si="23"/>
        <v>0</v>
      </c>
      <c r="F42" s="1187">
        <f>+'Table 5C1A-Madison Prep'!F42</f>
        <v>746.0335616438357</v>
      </c>
      <c r="G42" s="1187">
        <f t="shared" si="24"/>
        <v>0</v>
      </c>
      <c r="H42" s="1538">
        <f t="shared" si="25"/>
        <v>0</v>
      </c>
      <c r="I42" s="1188"/>
      <c r="J42" s="1188"/>
      <c r="K42" s="1189">
        <f t="shared" si="26"/>
        <v>0</v>
      </c>
      <c r="L42" s="1538">
        <f t="shared" si="27"/>
        <v>0</v>
      </c>
      <c r="M42" s="1372">
        <f t="shared" si="22"/>
        <v>0</v>
      </c>
      <c r="N42" s="1538">
        <f t="shared" si="28"/>
        <v>0</v>
      </c>
      <c r="O42" s="1186">
        <v>0</v>
      </c>
      <c r="P42" s="1544">
        <f t="shared" si="29"/>
        <v>0</v>
      </c>
      <c r="Q42" s="1188"/>
      <c r="R42" s="1188">
        <f t="shared" si="30"/>
        <v>0</v>
      </c>
      <c r="S42" s="1544">
        <f t="shared" si="31"/>
        <v>0</v>
      </c>
      <c r="T42" s="1544">
        <f t="shared" si="32"/>
        <v>0</v>
      </c>
      <c r="U42" s="1373">
        <f>'Table 5C1A-Madison Prep'!U42</f>
        <v>5435</v>
      </c>
      <c r="V42" s="1514">
        <f t="shared" si="33"/>
        <v>0</v>
      </c>
      <c r="W42" s="1375"/>
      <c r="X42" s="1376">
        <f t="shared" si="34"/>
        <v>0</v>
      </c>
      <c r="Y42" s="1375"/>
      <c r="Z42" s="1376">
        <f t="shared" si="35"/>
        <v>0</v>
      </c>
      <c r="AA42" s="1374">
        <f t="shared" si="36"/>
        <v>0</v>
      </c>
      <c r="AB42" s="1509">
        <f t="shared" si="37"/>
        <v>0</v>
      </c>
      <c r="AC42" s="1378">
        <f t="shared" si="38"/>
        <v>0</v>
      </c>
      <c r="AD42" s="1509">
        <f t="shared" si="39"/>
        <v>0</v>
      </c>
      <c r="AE42" s="1379">
        <v>0</v>
      </c>
      <c r="AF42" s="1509">
        <f t="shared" si="40"/>
        <v>0</v>
      </c>
      <c r="AG42" s="1379"/>
      <c r="AH42" s="1379">
        <f t="shared" si="41"/>
        <v>0</v>
      </c>
      <c r="AI42" s="1509">
        <f t="shared" si="42"/>
        <v>0</v>
      </c>
      <c r="AJ42" s="1530">
        <f t="shared" si="43"/>
        <v>0</v>
      </c>
      <c r="AK42" s="1534">
        <f t="shared" si="44"/>
        <v>0</v>
      </c>
    </row>
    <row r="43" spans="1:37" ht="16.2" customHeight="1">
      <c r="A43" s="1176">
        <v>37</v>
      </c>
      <c r="B43" s="1177" t="s">
        <v>117</v>
      </c>
      <c r="C43" s="1178">
        <f>+'Table 8 Membership 2.1.14'!T39</f>
        <v>2</v>
      </c>
      <c r="D43" s="1179">
        <f>+'Table 5C1A-Madison Prep'!D43</f>
        <v>5665.3839260317691</v>
      </c>
      <c r="E43" s="1180">
        <f t="shared" si="23"/>
        <v>11330.767852063538</v>
      </c>
      <c r="F43" s="1180">
        <f>+'Table 5C1A-Madison Prep'!F43</f>
        <v>653.61</v>
      </c>
      <c r="G43" s="1180">
        <f t="shared" si="24"/>
        <v>1307.22</v>
      </c>
      <c r="H43" s="1539">
        <f t="shared" si="25"/>
        <v>12637.987852063538</v>
      </c>
      <c r="I43" s="1181"/>
      <c r="J43" s="1181"/>
      <c r="K43" s="1182">
        <f t="shared" si="26"/>
        <v>0</v>
      </c>
      <c r="L43" s="1539">
        <f t="shared" si="27"/>
        <v>12637.987852063538</v>
      </c>
      <c r="M43" s="1388">
        <f t="shared" si="22"/>
        <v>-31.594969630158843</v>
      </c>
      <c r="N43" s="1539">
        <f t="shared" si="28"/>
        <v>12606.392882433378</v>
      </c>
      <c r="O43" s="1179">
        <v>0</v>
      </c>
      <c r="P43" s="1545">
        <f t="shared" si="29"/>
        <v>12606.392882433378</v>
      </c>
      <c r="Q43" s="1181"/>
      <c r="R43" s="1181">
        <f t="shared" si="30"/>
        <v>12606.392882433378</v>
      </c>
      <c r="S43" s="1545">
        <f t="shared" si="31"/>
        <v>1051</v>
      </c>
      <c r="T43" s="1545">
        <f t="shared" si="32"/>
        <v>12606.392882433378</v>
      </c>
      <c r="U43" s="1389">
        <f>'Table 5C1A-Madison Prep'!U43</f>
        <v>3520</v>
      </c>
      <c r="V43" s="1515">
        <f t="shared" si="33"/>
        <v>7040</v>
      </c>
      <c r="W43" s="1391"/>
      <c r="X43" s="1392">
        <f t="shared" si="34"/>
        <v>0</v>
      </c>
      <c r="Y43" s="1391"/>
      <c r="Z43" s="1392">
        <f t="shared" si="35"/>
        <v>0</v>
      </c>
      <c r="AA43" s="1390">
        <f t="shared" si="36"/>
        <v>0</v>
      </c>
      <c r="AB43" s="1510">
        <f t="shared" si="37"/>
        <v>7040</v>
      </c>
      <c r="AC43" s="1394">
        <f t="shared" si="38"/>
        <v>-17.600000000000001</v>
      </c>
      <c r="AD43" s="1510">
        <f t="shared" si="39"/>
        <v>7022.4</v>
      </c>
      <c r="AE43" s="1395">
        <v>0</v>
      </c>
      <c r="AF43" s="1510">
        <f t="shared" si="40"/>
        <v>7022.4</v>
      </c>
      <c r="AG43" s="1395"/>
      <c r="AH43" s="1395">
        <f t="shared" si="41"/>
        <v>7022.4</v>
      </c>
      <c r="AI43" s="1510">
        <f t="shared" si="42"/>
        <v>585</v>
      </c>
      <c r="AJ43" s="1505">
        <f t="shared" si="43"/>
        <v>19628.792882433379</v>
      </c>
      <c r="AK43" s="1535">
        <f t="shared" si="44"/>
        <v>1636</v>
      </c>
    </row>
    <row r="44" spans="1:37" ht="16.2" customHeight="1">
      <c r="A44" s="1176">
        <v>38</v>
      </c>
      <c r="B44" s="1177" t="s">
        <v>118</v>
      </c>
      <c r="C44" s="1178">
        <f>+'Table 8 Membership 2.1.14'!T40</f>
        <v>0</v>
      </c>
      <c r="D44" s="1179">
        <f>+'Table 5C1A-Madison Prep'!D44</f>
        <v>2088.8017552916881</v>
      </c>
      <c r="E44" s="1180">
        <f t="shared" si="23"/>
        <v>0</v>
      </c>
      <c r="F44" s="1180">
        <f>+'Table 5C1A-Madison Prep'!F44</f>
        <v>829.92000000000007</v>
      </c>
      <c r="G44" s="1180">
        <f t="shared" si="24"/>
        <v>0</v>
      </c>
      <c r="H44" s="1539">
        <f t="shared" si="25"/>
        <v>0</v>
      </c>
      <c r="I44" s="1181"/>
      <c r="J44" s="1181"/>
      <c r="K44" s="1182">
        <f t="shared" si="26"/>
        <v>0</v>
      </c>
      <c r="L44" s="1539">
        <f t="shared" si="27"/>
        <v>0</v>
      </c>
      <c r="M44" s="1388">
        <f t="shared" si="22"/>
        <v>0</v>
      </c>
      <c r="N44" s="1539">
        <f t="shared" si="28"/>
        <v>0</v>
      </c>
      <c r="O44" s="1179">
        <v>0</v>
      </c>
      <c r="P44" s="1545">
        <f t="shared" si="29"/>
        <v>0</v>
      </c>
      <c r="Q44" s="1181"/>
      <c r="R44" s="1181">
        <f t="shared" si="30"/>
        <v>0</v>
      </c>
      <c r="S44" s="1545">
        <f t="shared" si="31"/>
        <v>0</v>
      </c>
      <c r="T44" s="1545">
        <f t="shared" si="32"/>
        <v>0</v>
      </c>
      <c r="U44" s="1389">
        <f>'Table 5C1A-Madison Prep'!U44</f>
        <v>11379</v>
      </c>
      <c r="V44" s="1515">
        <f t="shared" si="33"/>
        <v>0</v>
      </c>
      <c r="W44" s="1391"/>
      <c r="X44" s="1392">
        <f t="shared" si="34"/>
        <v>0</v>
      </c>
      <c r="Y44" s="1391"/>
      <c r="Z44" s="1392">
        <f t="shared" si="35"/>
        <v>0</v>
      </c>
      <c r="AA44" s="1390">
        <f t="shared" si="36"/>
        <v>0</v>
      </c>
      <c r="AB44" s="1510">
        <f t="shared" si="37"/>
        <v>0</v>
      </c>
      <c r="AC44" s="1394">
        <f t="shared" si="38"/>
        <v>0</v>
      </c>
      <c r="AD44" s="1510">
        <f t="shared" si="39"/>
        <v>0</v>
      </c>
      <c r="AE44" s="1395">
        <v>0</v>
      </c>
      <c r="AF44" s="1510">
        <f t="shared" si="40"/>
        <v>0</v>
      </c>
      <c r="AG44" s="1395"/>
      <c r="AH44" s="1395">
        <f t="shared" si="41"/>
        <v>0</v>
      </c>
      <c r="AI44" s="1510">
        <f t="shared" si="42"/>
        <v>0</v>
      </c>
      <c r="AJ44" s="1505">
        <f t="shared" si="43"/>
        <v>0</v>
      </c>
      <c r="AK44" s="1535">
        <f t="shared" si="44"/>
        <v>0</v>
      </c>
    </row>
    <row r="45" spans="1:37" ht="16.2" customHeight="1">
      <c r="A45" s="1176">
        <v>39</v>
      </c>
      <c r="B45" s="1177" t="s">
        <v>119</v>
      </c>
      <c r="C45" s="1178">
        <f>+'Table 8 Membership 2.1.14'!T41</f>
        <v>0</v>
      </c>
      <c r="D45" s="1179">
        <f>+'Table 5C1A-Madison Prep'!D45</f>
        <v>3656.9056809295676</v>
      </c>
      <c r="E45" s="1180">
        <f t="shared" si="23"/>
        <v>0</v>
      </c>
      <c r="F45" s="1180">
        <f>+'Table 5C1A-Madison Prep'!F45</f>
        <v>779.65573042776396</v>
      </c>
      <c r="G45" s="1180">
        <f t="shared" si="24"/>
        <v>0</v>
      </c>
      <c r="H45" s="1539">
        <f t="shared" si="25"/>
        <v>0</v>
      </c>
      <c r="I45" s="1181"/>
      <c r="J45" s="1181"/>
      <c r="K45" s="1182">
        <f t="shared" si="26"/>
        <v>0</v>
      </c>
      <c r="L45" s="1539">
        <f t="shared" si="27"/>
        <v>0</v>
      </c>
      <c r="M45" s="1388">
        <f t="shared" si="22"/>
        <v>0</v>
      </c>
      <c r="N45" s="1539">
        <f t="shared" si="28"/>
        <v>0</v>
      </c>
      <c r="O45" s="1179">
        <v>0</v>
      </c>
      <c r="P45" s="1545">
        <f t="shared" si="29"/>
        <v>0</v>
      </c>
      <c r="Q45" s="1181"/>
      <c r="R45" s="1181">
        <f t="shared" si="30"/>
        <v>0</v>
      </c>
      <c r="S45" s="1545">
        <f t="shared" si="31"/>
        <v>0</v>
      </c>
      <c r="T45" s="1545">
        <f t="shared" si="32"/>
        <v>0</v>
      </c>
      <c r="U45" s="1389">
        <f>'Table 5C1A-Madison Prep'!U45</f>
        <v>4955</v>
      </c>
      <c r="V45" s="1515">
        <f t="shared" si="33"/>
        <v>0</v>
      </c>
      <c r="W45" s="1391"/>
      <c r="X45" s="1392">
        <f t="shared" si="34"/>
        <v>0</v>
      </c>
      <c r="Y45" s="1391"/>
      <c r="Z45" s="1392">
        <f t="shared" si="35"/>
        <v>0</v>
      </c>
      <c r="AA45" s="1390">
        <f t="shared" si="36"/>
        <v>0</v>
      </c>
      <c r="AB45" s="1510">
        <f t="shared" si="37"/>
        <v>0</v>
      </c>
      <c r="AC45" s="1394">
        <f t="shared" si="38"/>
        <v>0</v>
      </c>
      <c r="AD45" s="1510">
        <f t="shared" si="39"/>
        <v>0</v>
      </c>
      <c r="AE45" s="1395">
        <v>0</v>
      </c>
      <c r="AF45" s="1510">
        <f t="shared" si="40"/>
        <v>0</v>
      </c>
      <c r="AG45" s="1395"/>
      <c r="AH45" s="1395">
        <f t="shared" si="41"/>
        <v>0</v>
      </c>
      <c r="AI45" s="1510">
        <f t="shared" si="42"/>
        <v>0</v>
      </c>
      <c r="AJ45" s="1505">
        <f t="shared" si="43"/>
        <v>0</v>
      </c>
      <c r="AK45" s="1535">
        <f t="shared" si="44"/>
        <v>0</v>
      </c>
    </row>
    <row r="46" spans="1:37" ht="16.2" customHeight="1">
      <c r="A46" s="1168">
        <v>40</v>
      </c>
      <c r="B46" s="1169" t="s">
        <v>120</v>
      </c>
      <c r="C46" s="1170">
        <f>+'Table 8 Membership 2.1.14'!T42</f>
        <v>0</v>
      </c>
      <c r="D46" s="1171">
        <f>+'Table 5C1A-Madison Prep'!D46</f>
        <v>5121.8110285698403</v>
      </c>
      <c r="E46" s="1172">
        <f t="shared" si="23"/>
        <v>0</v>
      </c>
      <c r="F46" s="1172">
        <f>+'Table 5C1A-Madison Prep'!F46</f>
        <v>700.2700000000001</v>
      </c>
      <c r="G46" s="1172">
        <f t="shared" si="24"/>
        <v>0</v>
      </c>
      <c r="H46" s="1540">
        <f t="shared" si="25"/>
        <v>0</v>
      </c>
      <c r="I46" s="1173"/>
      <c r="J46" s="1173"/>
      <c r="K46" s="1174">
        <f t="shared" si="26"/>
        <v>0</v>
      </c>
      <c r="L46" s="1540">
        <f t="shared" si="27"/>
        <v>0</v>
      </c>
      <c r="M46" s="1399">
        <f t="shared" si="22"/>
        <v>0</v>
      </c>
      <c r="N46" s="1540">
        <f t="shared" si="28"/>
        <v>0</v>
      </c>
      <c r="O46" s="1171">
        <v>0</v>
      </c>
      <c r="P46" s="1546">
        <f t="shared" si="29"/>
        <v>0</v>
      </c>
      <c r="Q46" s="1173"/>
      <c r="R46" s="1173">
        <f t="shared" si="30"/>
        <v>0</v>
      </c>
      <c r="S46" s="1546">
        <f t="shared" si="31"/>
        <v>0</v>
      </c>
      <c r="T46" s="1546">
        <f t="shared" si="32"/>
        <v>0</v>
      </c>
      <c r="U46" s="1382">
        <f>'Table 5C1A-Madison Prep'!U46</f>
        <v>3069</v>
      </c>
      <c r="V46" s="1516">
        <f t="shared" si="33"/>
        <v>0</v>
      </c>
      <c r="W46" s="1400"/>
      <c r="X46" s="1383">
        <f t="shared" si="34"/>
        <v>0</v>
      </c>
      <c r="Y46" s="1400"/>
      <c r="Z46" s="1383">
        <f t="shared" si="35"/>
        <v>0</v>
      </c>
      <c r="AA46" s="1384">
        <f t="shared" si="36"/>
        <v>0</v>
      </c>
      <c r="AB46" s="1511">
        <f t="shared" si="37"/>
        <v>0</v>
      </c>
      <c r="AC46" s="1402">
        <f t="shared" si="38"/>
        <v>0</v>
      </c>
      <c r="AD46" s="1511">
        <f t="shared" si="39"/>
        <v>0</v>
      </c>
      <c r="AE46" s="1385">
        <v>0</v>
      </c>
      <c r="AF46" s="1511">
        <f t="shared" si="40"/>
        <v>0</v>
      </c>
      <c r="AG46" s="1385"/>
      <c r="AH46" s="1385">
        <f t="shared" si="41"/>
        <v>0</v>
      </c>
      <c r="AI46" s="1511">
        <f t="shared" si="42"/>
        <v>0</v>
      </c>
      <c r="AJ46" s="1531">
        <f t="shared" si="43"/>
        <v>0</v>
      </c>
      <c r="AK46" s="1536">
        <f t="shared" si="44"/>
        <v>0</v>
      </c>
    </row>
    <row r="47" spans="1:37" ht="16.2" customHeight="1">
      <c r="A47" s="1183">
        <v>41</v>
      </c>
      <c r="B47" s="1184" t="s">
        <v>121</v>
      </c>
      <c r="C47" s="1185">
        <f>+'Table 8 Membership 2.1.14'!T43</f>
        <v>0</v>
      </c>
      <c r="D47" s="1186">
        <f>+'Table 5C1A-Madison Prep'!D47</f>
        <v>3291.1948574716475</v>
      </c>
      <c r="E47" s="1187">
        <f t="shared" si="23"/>
        <v>0</v>
      </c>
      <c r="F47" s="1187">
        <f>+'Table 5C1A-Madison Prep'!F47</f>
        <v>886.22</v>
      </c>
      <c r="G47" s="1187">
        <f t="shared" si="24"/>
        <v>0</v>
      </c>
      <c r="H47" s="1538">
        <f t="shared" si="25"/>
        <v>0</v>
      </c>
      <c r="I47" s="1188"/>
      <c r="J47" s="1188"/>
      <c r="K47" s="1189">
        <f t="shared" si="26"/>
        <v>0</v>
      </c>
      <c r="L47" s="1538">
        <f t="shared" si="27"/>
        <v>0</v>
      </c>
      <c r="M47" s="1372">
        <f t="shared" si="22"/>
        <v>0</v>
      </c>
      <c r="N47" s="1538">
        <f t="shared" si="28"/>
        <v>0</v>
      </c>
      <c r="O47" s="1186">
        <v>0</v>
      </c>
      <c r="P47" s="1544">
        <f t="shared" si="29"/>
        <v>0</v>
      </c>
      <c r="Q47" s="1188"/>
      <c r="R47" s="1188">
        <f t="shared" si="30"/>
        <v>0</v>
      </c>
      <c r="S47" s="1544">
        <f t="shared" si="31"/>
        <v>0</v>
      </c>
      <c r="T47" s="1544">
        <f t="shared" si="32"/>
        <v>0</v>
      </c>
      <c r="U47" s="1373">
        <f>'Table 5C1A-Madison Prep'!U47</f>
        <v>8478</v>
      </c>
      <c r="V47" s="1514">
        <f t="shared" si="33"/>
        <v>0</v>
      </c>
      <c r="W47" s="1375"/>
      <c r="X47" s="1376">
        <f t="shared" si="34"/>
        <v>0</v>
      </c>
      <c r="Y47" s="1375"/>
      <c r="Z47" s="1376">
        <f t="shared" si="35"/>
        <v>0</v>
      </c>
      <c r="AA47" s="1374">
        <f t="shared" si="36"/>
        <v>0</v>
      </c>
      <c r="AB47" s="1509">
        <f t="shared" si="37"/>
        <v>0</v>
      </c>
      <c r="AC47" s="1378">
        <f t="shared" si="38"/>
        <v>0</v>
      </c>
      <c r="AD47" s="1509">
        <f t="shared" si="39"/>
        <v>0</v>
      </c>
      <c r="AE47" s="1379">
        <v>0</v>
      </c>
      <c r="AF47" s="1509">
        <f t="shared" si="40"/>
        <v>0</v>
      </c>
      <c r="AG47" s="1379"/>
      <c r="AH47" s="1379">
        <f t="shared" si="41"/>
        <v>0</v>
      </c>
      <c r="AI47" s="1509">
        <f t="shared" si="42"/>
        <v>0</v>
      </c>
      <c r="AJ47" s="1530">
        <f t="shared" si="43"/>
        <v>0</v>
      </c>
      <c r="AK47" s="1534">
        <f t="shared" si="44"/>
        <v>0</v>
      </c>
    </row>
    <row r="48" spans="1:37" ht="16.2" customHeight="1">
      <c r="A48" s="1176">
        <v>42</v>
      </c>
      <c r="B48" s="1177" t="s">
        <v>122</v>
      </c>
      <c r="C48" s="1178">
        <f>+'Table 8 Membership 2.1.14'!T44</f>
        <v>0</v>
      </c>
      <c r="D48" s="1179">
        <f>+'Table 5C1A-Madison Prep'!D48</f>
        <v>5113.6077751368684</v>
      </c>
      <c r="E48" s="1180">
        <f t="shared" si="23"/>
        <v>0</v>
      </c>
      <c r="F48" s="1180">
        <f>+'Table 5C1A-Madison Prep'!F48</f>
        <v>534.28</v>
      </c>
      <c r="G48" s="1180">
        <f t="shared" si="24"/>
        <v>0</v>
      </c>
      <c r="H48" s="1539">
        <f t="shared" si="25"/>
        <v>0</v>
      </c>
      <c r="I48" s="1181"/>
      <c r="J48" s="1181"/>
      <c r="K48" s="1182">
        <f t="shared" si="26"/>
        <v>0</v>
      </c>
      <c r="L48" s="1539">
        <f t="shared" si="27"/>
        <v>0</v>
      </c>
      <c r="M48" s="1388">
        <f t="shared" si="22"/>
        <v>0</v>
      </c>
      <c r="N48" s="1539">
        <f t="shared" si="28"/>
        <v>0</v>
      </c>
      <c r="O48" s="1179">
        <v>0</v>
      </c>
      <c r="P48" s="1545">
        <f t="shared" si="29"/>
        <v>0</v>
      </c>
      <c r="Q48" s="1181"/>
      <c r="R48" s="1181">
        <f t="shared" si="30"/>
        <v>0</v>
      </c>
      <c r="S48" s="1545">
        <f t="shared" si="31"/>
        <v>0</v>
      </c>
      <c r="T48" s="1545">
        <f t="shared" si="32"/>
        <v>0</v>
      </c>
      <c r="U48" s="1389">
        <f>'Table 5C1A-Madison Prep'!U48</f>
        <v>3578</v>
      </c>
      <c r="V48" s="1515">
        <f t="shared" si="33"/>
        <v>0</v>
      </c>
      <c r="W48" s="1391"/>
      <c r="X48" s="1392">
        <f t="shared" si="34"/>
        <v>0</v>
      </c>
      <c r="Y48" s="1391"/>
      <c r="Z48" s="1392">
        <f t="shared" si="35"/>
        <v>0</v>
      </c>
      <c r="AA48" s="1390">
        <f t="shared" si="36"/>
        <v>0</v>
      </c>
      <c r="AB48" s="1510">
        <f t="shared" si="37"/>
        <v>0</v>
      </c>
      <c r="AC48" s="1394">
        <f t="shared" si="38"/>
        <v>0</v>
      </c>
      <c r="AD48" s="1510">
        <f t="shared" si="39"/>
        <v>0</v>
      </c>
      <c r="AE48" s="1395">
        <v>0</v>
      </c>
      <c r="AF48" s="1510">
        <f t="shared" si="40"/>
        <v>0</v>
      </c>
      <c r="AG48" s="1395"/>
      <c r="AH48" s="1395">
        <f t="shared" si="41"/>
        <v>0</v>
      </c>
      <c r="AI48" s="1510">
        <f t="shared" si="42"/>
        <v>0</v>
      </c>
      <c r="AJ48" s="1505">
        <f t="shared" si="43"/>
        <v>0</v>
      </c>
      <c r="AK48" s="1535">
        <f t="shared" si="44"/>
        <v>0</v>
      </c>
    </row>
    <row r="49" spans="1:37" ht="16.2" customHeight="1">
      <c r="A49" s="1176">
        <v>43</v>
      </c>
      <c r="B49" s="1177" t="s">
        <v>123</v>
      </c>
      <c r="C49" s="1178">
        <f>+'Table 8 Membership 2.1.14'!T45</f>
        <v>0</v>
      </c>
      <c r="D49" s="1179">
        <f>+'Table 5C1A-Madison Prep'!D49</f>
        <v>5788.74387205947</v>
      </c>
      <c r="E49" s="1180">
        <f t="shared" si="23"/>
        <v>0</v>
      </c>
      <c r="F49" s="1180">
        <f>+'Table 5C1A-Madison Prep'!F49</f>
        <v>574.6099999999999</v>
      </c>
      <c r="G49" s="1180">
        <f t="shared" si="24"/>
        <v>0</v>
      </c>
      <c r="H49" s="1539">
        <f t="shared" si="25"/>
        <v>0</v>
      </c>
      <c r="I49" s="1181"/>
      <c r="J49" s="1181"/>
      <c r="K49" s="1182">
        <f t="shared" si="26"/>
        <v>0</v>
      </c>
      <c r="L49" s="1539">
        <f t="shared" si="27"/>
        <v>0</v>
      </c>
      <c r="M49" s="1388">
        <f t="shared" si="22"/>
        <v>0</v>
      </c>
      <c r="N49" s="1539">
        <f t="shared" si="28"/>
        <v>0</v>
      </c>
      <c r="O49" s="1179">
        <v>0</v>
      </c>
      <c r="P49" s="1545">
        <f t="shared" si="29"/>
        <v>0</v>
      </c>
      <c r="Q49" s="1181"/>
      <c r="R49" s="1181">
        <f t="shared" si="30"/>
        <v>0</v>
      </c>
      <c r="S49" s="1545">
        <f t="shared" si="31"/>
        <v>0</v>
      </c>
      <c r="T49" s="1545">
        <f t="shared" si="32"/>
        <v>0</v>
      </c>
      <c r="U49" s="1389">
        <f>'Table 5C1A-Madison Prep'!U49</f>
        <v>3205</v>
      </c>
      <c r="V49" s="1515">
        <f t="shared" si="33"/>
        <v>0</v>
      </c>
      <c r="W49" s="1391"/>
      <c r="X49" s="1392">
        <f t="shared" si="34"/>
        <v>0</v>
      </c>
      <c r="Y49" s="1391"/>
      <c r="Z49" s="1392">
        <f t="shared" si="35"/>
        <v>0</v>
      </c>
      <c r="AA49" s="1390">
        <f t="shared" si="36"/>
        <v>0</v>
      </c>
      <c r="AB49" s="1510">
        <f t="shared" si="37"/>
        <v>0</v>
      </c>
      <c r="AC49" s="1394">
        <f t="shared" si="38"/>
        <v>0</v>
      </c>
      <c r="AD49" s="1510">
        <f t="shared" si="39"/>
        <v>0</v>
      </c>
      <c r="AE49" s="1395">
        <v>0</v>
      </c>
      <c r="AF49" s="1510">
        <f t="shared" si="40"/>
        <v>0</v>
      </c>
      <c r="AG49" s="1395"/>
      <c r="AH49" s="1395">
        <f t="shared" si="41"/>
        <v>0</v>
      </c>
      <c r="AI49" s="1510">
        <f t="shared" si="42"/>
        <v>0</v>
      </c>
      <c r="AJ49" s="1505">
        <f t="shared" si="43"/>
        <v>0</v>
      </c>
      <c r="AK49" s="1535">
        <f t="shared" si="44"/>
        <v>0</v>
      </c>
    </row>
    <row r="50" spans="1:37" ht="16.2" customHeight="1">
      <c r="A50" s="1176">
        <v>44</v>
      </c>
      <c r="B50" s="1177" t="s">
        <v>124</v>
      </c>
      <c r="C50" s="1178">
        <f>+'Table 8 Membership 2.1.14'!T46</f>
        <v>0</v>
      </c>
      <c r="D50" s="1179">
        <f>+'Table 5C1A-Madison Prep'!D50</f>
        <v>4897.5958151820359</v>
      </c>
      <c r="E50" s="1180">
        <f t="shared" si="23"/>
        <v>0</v>
      </c>
      <c r="F50" s="1180">
        <f>+'Table 5C1A-Madison Prep'!F50</f>
        <v>663.16000000000008</v>
      </c>
      <c r="G50" s="1180">
        <f t="shared" si="24"/>
        <v>0</v>
      </c>
      <c r="H50" s="1539">
        <f t="shared" si="25"/>
        <v>0</v>
      </c>
      <c r="I50" s="1181"/>
      <c r="J50" s="1181"/>
      <c r="K50" s="1182">
        <f t="shared" si="26"/>
        <v>0</v>
      </c>
      <c r="L50" s="1539">
        <f t="shared" si="27"/>
        <v>0</v>
      </c>
      <c r="M50" s="1388">
        <f t="shared" si="22"/>
        <v>0</v>
      </c>
      <c r="N50" s="1539">
        <f t="shared" si="28"/>
        <v>0</v>
      </c>
      <c r="O50" s="1179">
        <v>0</v>
      </c>
      <c r="P50" s="1545">
        <f t="shared" si="29"/>
        <v>0</v>
      </c>
      <c r="Q50" s="1181"/>
      <c r="R50" s="1181">
        <f t="shared" si="30"/>
        <v>0</v>
      </c>
      <c r="S50" s="1545">
        <f t="shared" si="31"/>
        <v>0</v>
      </c>
      <c r="T50" s="1545">
        <f t="shared" si="32"/>
        <v>0</v>
      </c>
      <c r="U50" s="1389">
        <f>'Table 5C1A-Madison Prep'!U50</f>
        <v>3719</v>
      </c>
      <c r="V50" s="1515">
        <f t="shared" si="33"/>
        <v>0</v>
      </c>
      <c r="W50" s="1391"/>
      <c r="X50" s="1392">
        <f t="shared" si="34"/>
        <v>0</v>
      </c>
      <c r="Y50" s="1391"/>
      <c r="Z50" s="1392">
        <f t="shared" si="35"/>
        <v>0</v>
      </c>
      <c r="AA50" s="1390">
        <f t="shared" si="36"/>
        <v>0</v>
      </c>
      <c r="AB50" s="1510">
        <f t="shared" si="37"/>
        <v>0</v>
      </c>
      <c r="AC50" s="1394">
        <f t="shared" si="38"/>
        <v>0</v>
      </c>
      <c r="AD50" s="1510">
        <f t="shared" si="39"/>
        <v>0</v>
      </c>
      <c r="AE50" s="1395">
        <v>0</v>
      </c>
      <c r="AF50" s="1510">
        <f t="shared" si="40"/>
        <v>0</v>
      </c>
      <c r="AG50" s="1395"/>
      <c r="AH50" s="1395">
        <f t="shared" si="41"/>
        <v>0</v>
      </c>
      <c r="AI50" s="1510">
        <f t="shared" si="42"/>
        <v>0</v>
      </c>
      <c r="AJ50" s="1505">
        <f t="shared" si="43"/>
        <v>0</v>
      </c>
      <c r="AK50" s="1535">
        <f t="shared" si="44"/>
        <v>0</v>
      </c>
    </row>
    <row r="51" spans="1:37" ht="16.2" customHeight="1">
      <c r="A51" s="1168">
        <v>45</v>
      </c>
      <c r="B51" s="1169" t="s">
        <v>125</v>
      </c>
      <c r="C51" s="1170">
        <f>+'Table 8 Membership 2.1.14'!T47</f>
        <v>0</v>
      </c>
      <c r="D51" s="1171">
        <f>+'Table 5C1A-Madison Prep'!D51</f>
        <v>2054.0472499469101</v>
      </c>
      <c r="E51" s="1172">
        <f t="shared" si="23"/>
        <v>0</v>
      </c>
      <c r="F51" s="1172">
        <f>+'Table 5C1A-Madison Prep'!F51</f>
        <v>753.96000000000015</v>
      </c>
      <c r="G51" s="1172">
        <f t="shared" si="24"/>
        <v>0</v>
      </c>
      <c r="H51" s="1540">
        <f t="shared" si="25"/>
        <v>0</v>
      </c>
      <c r="I51" s="1173"/>
      <c r="J51" s="1173"/>
      <c r="K51" s="1174">
        <f t="shared" si="26"/>
        <v>0</v>
      </c>
      <c r="L51" s="1540">
        <f t="shared" si="27"/>
        <v>0</v>
      </c>
      <c r="M51" s="1399">
        <f t="shared" si="22"/>
        <v>0</v>
      </c>
      <c r="N51" s="1540">
        <f t="shared" si="28"/>
        <v>0</v>
      </c>
      <c r="O51" s="1171">
        <v>0</v>
      </c>
      <c r="P51" s="1546">
        <f t="shared" si="29"/>
        <v>0</v>
      </c>
      <c r="Q51" s="1173"/>
      <c r="R51" s="1173">
        <f t="shared" si="30"/>
        <v>0</v>
      </c>
      <c r="S51" s="1546">
        <f t="shared" si="31"/>
        <v>0</v>
      </c>
      <c r="T51" s="1546">
        <f t="shared" si="32"/>
        <v>0</v>
      </c>
      <c r="U51" s="1382">
        <f>'Table 5C1A-Madison Prep'!U51</f>
        <v>12169</v>
      </c>
      <c r="V51" s="1516">
        <f t="shared" si="33"/>
        <v>0</v>
      </c>
      <c r="W51" s="1400"/>
      <c r="X51" s="1383">
        <f t="shared" si="34"/>
        <v>0</v>
      </c>
      <c r="Y51" s="1400"/>
      <c r="Z51" s="1383">
        <f t="shared" si="35"/>
        <v>0</v>
      </c>
      <c r="AA51" s="1384">
        <f t="shared" si="36"/>
        <v>0</v>
      </c>
      <c r="AB51" s="1511">
        <f t="shared" si="37"/>
        <v>0</v>
      </c>
      <c r="AC51" s="1402">
        <f t="shared" si="38"/>
        <v>0</v>
      </c>
      <c r="AD51" s="1511">
        <f t="shared" si="39"/>
        <v>0</v>
      </c>
      <c r="AE51" s="1385">
        <v>0</v>
      </c>
      <c r="AF51" s="1511">
        <f t="shared" si="40"/>
        <v>0</v>
      </c>
      <c r="AG51" s="1385"/>
      <c r="AH51" s="1385">
        <f t="shared" si="41"/>
        <v>0</v>
      </c>
      <c r="AI51" s="1511">
        <f t="shared" si="42"/>
        <v>0</v>
      </c>
      <c r="AJ51" s="1531">
        <f t="shared" si="43"/>
        <v>0</v>
      </c>
      <c r="AK51" s="1536">
        <f t="shared" si="44"/>
        <v>0</v>
      </c>
    </row>
    <row r="52" spans="1:37" ht="16.2" customHeight="1">
      <c r="A52" s="1183">
        <v>46</v>
      </c>
      <c r="B52" s="1184" t="s">
        <v>126</v>
      </c>
      <c r="C52" s="1185">
        <f>+'Table 8 Membership 2.1.14'!T48</f>
        <v>0</v>
      </c>
      <c r="D52" s="1186">
        <f>+'Table 5C1A-Madison Prep'!D52</f>
        <v>6051.2144468088381</v>
      </c>
      <c r="E52" s="1187">
        <f t="shared" si="23"/>
        <v>0</v>
      </c>
      <c r="F52" s="1187">
        <f>+'Table 5C1A-Madison Prep'!F52</f>
        <v>728.06</v>
      </c>
      <c r="G52" s="1187">
        <f t="shared" si="24"/>
        <v>0</v>
      </c>
      <c r="H52" s="1538">
        <f t="shared" si="25"/>
        <v>0</v>
      </c>
      <c r="I52" s="1188"/>
      <c r="J52" s="1188"/>
      <c r="K52" s="1189">
        <f t="shared" si="26"/>
        <v>0</v>
      </c>
      <c r="L52" s="1538">
        <f t="shared" si="27"/>
        <v>0</v>
      </c>
      <c r="M52" s="1372">
        <f t="shared" si="22"/>
        <v>0</v>
      </c>
      <c r="N52" s="1538">
        <f t="shared" si="28"/>
        <v>0</v>
      </c>
      <c r="O52" s="1186">
        <v>0</v>
      </c>
      <c r="P52" s="1544">
        <f t="shared" si="29"/>
        <v>0</v>
      </c>
      <c r="Q52" s="1188"/>
      <c r="R52" s="1188">
        <f t="shared" si="30"/>
        <v>0</v>
      </c>
      <c r="S52" s="1544">
        <f t="shared" si="31"/>
        <v>0</v>
      </c>
      <c r="T52" s="1544">
        <f t="shared" si="32"/>
        <v>0</v>
      </c>
      <c r="U52" s="1373">
        <f>'Table 5C1A-Madison Prep'!U52</f>
        <v>2713</v>
      </c>
      <c r="V52" s="1514">
        <f t="shared" si="33"/>
        <v>0</v>
      </c>
      <c r="W52" s="1375"/>
      <c r="X52" s="1376">
        <f t="shared" si="34"/>
        <v>0</v>
      </c>
      <c r="Y52" s="1375"/>
      <c r="Z52" s="1376">
        <f t="shared" si="35"/>
        <v>0</v>
      </c>
      <c r="AA52" s="1374">
        <f t="shared" si="36"/>
        <v>0</v>
      </c>
      <c r="AB52" s="1509">
        <f t="shared" si="37"/>
        <v>0</v>
      </c>
      <c r="AC52" s="1378">
        <f t="shared" si="38"/>
        <v>0</v>
      </c>
      <c r="AD52" s="1509">
        <f t="shared" si="39"/>
        <v>0</v>
      </c>
      <c r="AE52" s="1379">
        <v>0</v>
      </c>
      <c r="AF52" s="1509">
        <f t="shared" si="40"/>
        <v>0</v>
      </c>
      <c r="AG52" s="1379"/>
      <c r="AH52" s="1379">
        <f t="shared" si="41"/>
        <v>0</v>
      </c>
      <c r="AI52" s="1509">
        <f t="shared" si="42"/>
        <v>0</v>
      </c>
      <c r="AJ52" s="1530">
        <f t="shared" si="43"/>
        <v>0</v>
      </c>
      <c r="AK52" s="1534">
        <f t="shared" si="44"/>
        <v>0</v>
      </c>
    </row>
    <row r="53" spans="1:37" ht="16.2" customHeight="1">
      <c r="A53" s="1176">
        <v>47</v>
      </c>
      <c r="B53" s="1177" t="s">
        <v>127</v>
      </c>
      <c r="C53" s="1178">
        <f>+'Table 8 Membership 2.1.14'!T49</f>
        <v>0</v>
      </c>
      <c r="D53" s="1179">
        <f>+'Table 5C1A-Madison Prep'!D53</f>
        <v>2524.1485257646736</v>
      </c>
      <c r="E53" s="1180">
        <f t="shared" si="23"/>
        <v>0</v>
      </c>
      <c r="F53" s="1180">
        <f>+'Table 5C1A-Madison Prep'!F53</f>
        <v>910.76</v>
      </c>
      <c r="G53" s="1180">
        <f t="shared" si="24"/>
        <v>0</v>
      </c>
      <c r="H53" s="1539">
        <f t="shared" si="25"/>
        <v>0</v>
      </c>
      <c r="I53" s="1181"/>
      <c r="J53" s="1181"/>
      <c r="K53" s="1182">
        <f t="shared" si="26"/>
        <v>0</v>
      </c>
      <c r="L53" s="1539">
        <f t="shared" si="27"/>
        <v>0</v>
      </c>
      <c r="M53" s="1388">
        <f t="shared" si="22"/>
        <v>0</v>
      </c>
      <c r="N53" s="1539">
        <f t="shared" si="28"/>
        <v>0</v>
      </c>
      <c r="O53" s="1179">
        <v>0</v>
      </c>
      <c r="P53" s="1545">
        <f t="shared" si="29"/>
        <v>0</v>
      </c>
      <c r="Q53" s="1181"/>
      <c r="R53" s="1181">
        <f t="shared" si="30"/>
        <v>0</v>
      </c>
      <c r="S53" s="1545">
        <f t="shared" si="31"/>
        <v>0</v>
      </c>
      <c r="T53" s="1545">
        <f t="shared" si="32"/>
        <v>0</v>
      </c>
      <c r="U53" s="1389">
        <f>'Table 5C1A-Madison Prep'!U53</f>
        <v>11701</v>
      </c>
      <c r="V53" s="1515">
        <f t="shared" si="33"/>
        <v>0</v>
      </c>
      <c r="W53" s="1391"/>
      <c r="X53" s="1392">
        <f t="shared" si="34"/>
        <v>0</v>
      </c>
      <c r="Y53" s="1391"/>
      <c r="Z53" s="1392">
        <f t="shared" si="35"/>
        <v>0</v>
      </c>
      <c r="AA53" s="1390">
        <f t="shared" si="36"/>
        <v>0</v>
      </c>
      <c r="AB53" s="1510">
        <f t="shared" si="37"/>
        <v>0</v>
      </c>
      <c r="AC53" s="1394">
        <f t="shared" si="38"/>
        <v>0</v>
      </c>
      <c r="AD53" s="1510">
        <f t="shared" si="39"/>
        <v>0</v>
      </c>
      <c r="AE53" s="1395">
        <v>0</v>
      </c>
      <c r="AF53" s="1510">
        <f t="shared" si="40"/>
        <v>0</v>
      </c>
      <c r="AG53" s="1395"/>
      <c r="AH53" s="1395">
        <f t="shared" si="41"/>
        <v>0</v>
      </c>
      <c r="AI53" s="1510">
        <f t="shared" si="42"/>
        <v>0</v>
      </c>
      <c r="AJ53" s="1505">
        <f t="shared" si="43"/>
        <v>0</v>
      </c>
      <c r="AK53" s="1535">
        <f t="shared" si="44"/>
        <v>0</v>
      </c>
    </row>
    <row r="54" spans="1:37" ht="16.2" customHeight="1">
      <c r="A54" s="1176">
        <v>48</v>
      </c>
      <c r="B54" s="1177" t="s">
        <v>178</v>
      </c>
      <c r="C54" s="1178">
        <f>+'Table 8 Membership 2.1.14'!T50</f>
        <v>0</v>
      </c>
      <c r="D54" s="1179">
        <f>+'Table 5C1A-Madison Prep'!D54</f>
        <v>3983.3582529800719</v>
      </c>
      <c r="E54" s="1180">
        <f t="shared" si="23"/>
        <v>0</v>
      </c>
      <c r="F54" s="1180">
        <f>+'Table 5C1A-Madison Prep'!F54</f>
        <v>871.07</v>
      </c>
      <c r="G54" s="1180">
        <f t="shared" si="24"/>
        <v>0</v>
      </c>
      <c r="H54" s="1539">
        <f t="shared" si="25"/>
        <v>0</v>
      </c>
      <c r="I54" s="1181"/>
      <c r="J54" s="1181"/>
      <c r="K54" s="1182">
        <f t="shared" si="26"/>
        <v>0</v>
      </c>
      <c r="L54" s="1539">
        <f t="shared" si="27"/>
        <v>0</v>
      </c>
      <c r="M54" s="1388">
        <f t="shared" si="22"/>
        <v>0</v>
      </c>
      <c r="N54" s="1539">
        <f t="shared" si="28"/>
        <v>0</v>
      </c>
      <c r="O54" s="1179">
        <v>0</v>
      </c>
      <c r="P54" s="1545">
        <f t="shared" si="29"/>
        <v>0</v>
      </c>
      <c r="Q54" s="1181"/>
      <c r="R54" s="1181">
        <f t="shared" si="30"/>
        <v>0</v>
      </c>
      <c r="S54" s="1545">
        <f t="shared" si="31"/>
        <v>0</v>
      </c>
      <c r="T54" s="1545">
        <f t="shared" si="32"/>
        <v>0</v>
      </c>
      <c r="U54" s="1389">
        <f>'Table 5C1A-Madison Prep'!U54</f>
        <v>7338</v>
      </c>
      <c r="V54" s="1515">
        <f t="shared" si="33"/>
        <v>0</v>
      </c>
      <c r="W54" s="1391"/>
      <c r="X54" s="1392">
        <f t="shared" si="34"/>
        <v>0</v>
      </c>
      <c r="Y54" s="1391"/>
      <c r="Z54" s="1392">
        <f t="shared" si="35"/>
        <v>0</v>
      </c>
      <c r="AA54" s="1390">
        <f t="shared" si="36"/>
        <v>0</v>
      </c>
      <c r="AB54" s="1510">
        <f t="shared" si="37"/>
        <v>0</v>
      </c>
      <c r="AC54" s="1394">
        <f t="shared" si="38"/>
        <v>0</v>
      </c>
      <c r="AD54" s="1510">
        <f t="shared" si="39"/>
        <v>0</v>
      </c>
      <c r="AE54" s="1395">
        <v>0</v>
      </c>
      <c r="AF54" s="1510">
        <f t="shared" si="40"/>
        <v>0</v>
      </c>
      <c r="AG54" s="1395"/>
      <c r="AH54" s="1395">
        <f t="shared" si="41"/>
        <v>0</v>
      </c>
      <c r="AI54" s="1510">
        <f t="shared" si="42"/>
        <v>0</v>
      </c>
      <c r="AJ54" s="1505">
        <f t="shared" si="43"/>
        <v>0</v>
      </c>
      <c r="AK54" s="1535">
        <f t="shared" si="44"/>
        <v>0</v>
      </c>
    </row>
    <row r="55" spans="1:37" ht="16.2" customHeight="1">
      <c r="A55" s="1176">
        <v>49</v>
      </c>
      <c r="B55" s="1177" t="s">
        <v>128</v>
      </c>
      <c r="C55" s="1178">
        <f>+'Table 8 Membership 2.1.14'!T51</f>
        <v>0</v>
      </c>
      <c r="D55" s="1179">
        <f>+'Table 5C1A-Madison Prep'!D55</f>
        <v>4995.8755315659191</v>
      </c>
      <c r="E55" s="1180">
        <f t="shared" si="23"/>
        <v>0</v>
      </c>
      <c r="F55" s="1180">
        <f>+'Table 5C1A-Madison Prep'!F55</f>
        <v>574.43999999999994</v>
      </c>
      <c r="G55" s="1180">
        <f t="shared" si="24"/>
        <v>0</v>
      </c>
      <c r="H55" s="1539">
        <f t="shared" si="25"/>
        <v>0</v>
      </c>
      <c r="I55" s="1181"/>
      <c r="J55" s="1181"/>
      <c r="K55" s="1182">
        <f t="shared" si="26"/>
        <v>0</v>
      </c>
      <c r="L55" s="1539">
        <f t="shared" si="27"/>
        <v>0</v>
      </c>
      <c r="M55" s="1388">
        <f t="shared" si="22"/>
        <v>0</v>
      </c>
      <c r="N55" s="1539">
        <f t="shared" si="28"/>
        <v>0</v>
      </c>
      <c r="O55" s="1179">
        <v>0</v>
      </c>
      <c r="P55" s="1545">
        <f t="shared" si="29"/>
        <v>0</v>
      </c>
      <c r="Q55" s="1181"/>
      <c r="R55" s="1181">
        <f t="shared" si="30"/>
        <v>0</v>
      </c>
      <c r="S55" s="1545">
        <f t="shared" si="31"/>
        <v>0</v>
      </c>
      <c r="T55" s="1545">
        <f t="shared" si="32"/>
        <v>0</v>
      </c>
      <c r="U55" s="1389">
        <f>'Table 5C1A-Madison Prep'!U55</f>
        <v>2353</v>
      </c>
      <c r="V55" s="1515">
        <f t="shared" si="33"/>
        <v>0</v>
      </c>
      <c r="W55" s="1391"/>
      <c r="X55" s="1392">
        <f t="shared" si="34"/>
        <v>0</v>
      </c>
      <c r="Y55" s="1391"/>
      <c r="Z55" s="1392">
        <f t="shared" si="35"/>
        <v>0</v>
      </c>
      <c r="AA55" s="1390">
        <f t="shared" si="36"/>
        <v>0</v>
      </c>
      <c r="AB55" s="1510">
        <f t="shared" si="37"/>
        <v>0</v>
      </c>
      <c r="AC55" s="1394">
        <f t="shared" si="38"/>
        <v>0</v>
      </c>
      <c r="AD55" s="1510">
        <f t="shared" si="39"/>
        <v>0</v>
      </c>
      <c r="AE55" s="1395">
        <v>0</v>
      </c>
      <c r="AF55" s="1510">
        <f t="shared" si="40"/>
        <v>0</v>
      </c>
      <c r="AG55" s="1395"/>
      <c r="AH55" s="1395">
        <f t="shared" si="41"/>
        <v>0</v>
      </c>
      <c r="AI55" s="1510">
        <f t="shared" si="42"/>
        <v>0</v>
      </c>
      <c r="AJ55" s="1505">
        <f t="shared" si="43"/>
        <v>0</v>
      </c>
      <c r="AK55" s="1535">
        <f t="shared" si="44"/>
        <v>0</v>
      </c>
    </row>
    <row r="56" spans="1:37" ht="16.2" customHeight="1">
      <c r="A56" s="1168">
        <v>50</v>
      </c>
      <c r="B56" s="1169" t="s">
        <v>129</v>
      </c>
      <c r="C56" s="1170">
        <f>+'Table 8 Membership 2.1.14'!T52</f>
        <v>0</v>
      </c>
      <c r="D56" s="1171">
        <f>+'Table 5C1A-Madison Prep'!D56</f>
        <v>5177.6892722701677</v>
      </c>
      <c r="E56" s="1172">
        <f t="shared" si="23"/>
        <v>0</v>
      </c>
      <c r="F56" s="1172">
        <f>+'Table 5C1A-Madison Prep'!F56</f>
        <v>634.46</v>
      </c>
      <c r="G56" s="1172">
        <f t="shared" si="24"/>
        <v>0</v>
      </c>
      <c r="H56" s="1540">
        <f t="shared" si="25"/>
        <v>0</v>
      </c>
      <c r="I56" s="1173"/>
      <c r="J56" s="1173"/>
      <c r="K56" s="1174">
        <f t="shared" si="26"/>
        <v>0</v>
      </c>
      <c r="L56" s="1540">
        <f t="shared" si="27"/>
        <v>0</v>
      </c>
      <c r="M56" s="1399">
        <f t="shared" si="22"/>
        <v>0</v>
      </c>
      <c r="N56" s="1540">
        <f t="shared" si="28"/>
        <v>0</v>
      </c>
      <c r="O56" s="1171">
        <v>0</v>
      </c>
      <c r="P56" s="1546">
        <f t="shared" si="29"/>
        <v>0</v>
      </c>
      <c r="Q56" s="1173"/>
      <c r="R56" s="1173">
        <f t="shared" si="30"/>
        <v>0</v>
      </c>
      <c r="S56" s="1546">
        <f t="shared" si="31"/>
        <v>0</v>
      </c>
      <c r="T56" s="1546">
        <f t="shared" si="32"/>
        <v>0</v>
      </c>
      <c r="U56" s="1382">
        <f>'Table 5C1A-Madison Prep'!U56</f>
        <v>3510</v>
      </c>
      <c r="V56" s="1516">
        <f t="shared" si="33"/>
        <v>0</v>
      </c>
      <c r="W56" s="1400"/>
      <c r="X56" s="1383">
        <f t="shared" si="34"/>
        <v>0</v>
      </c>
      <c r="Y56" s="1400"/>
      <c r="Z56" s="1383">
        <f t="shared" si="35"/>
        <v>0</v>
      </c>
      <c r="AA56" s="1384">
        <f t="shared" si="36"/>
        <v>0</v>
      </c>
      <c r="AB56" s="1511">
        <f t="shared" si="37"/>
        <v>0</v>
      </c>
      <c r="AC56" s="1402">
        <f t="shared" si="38"/>
        <v>0</v>
      </c>
      <c r="AD56" s="1511">
        <f t="shared" si="39"/>
        <v>0</v>
      </c>
      <c r="AE56" s="1385">
        <v>0</v>
      </c>
      <c r="AF56" s="1511">
        <f t="shared" si="40"/>
        <v>0</v>
      </c>
      <c r="AG56" s="1385"/>
      <c r="AH56" s="1385">
        <f t="shared" si="41"/>
        <v>0</v>
      </c>
      <c r="AI56" s="1511">
        <f t="shared" si="42"/>
        <v>0</v>
      </c>
      <c r="AJ56" s="1531">
        <f t="shared" si="43"/>
        <v>0</v>
      </c>
      <c r="AK56" s="1536">
        <f t="shared" si="44"/>
        <v>0</v>
      </c>
    </row>
    <row r="57" spans="1:37" ht="16.2" customHeight="1">
      <c r="A57" s="1183">
        <v>51</v>
      </c>
      <c r="B57" s="1184" t="s">
        <v>130</v>
      </c>
      <c r="C57" s="1185">
        <f>+'Table 8 Membership 2.1.14'!T53</f>
        <v>0</v>
      </c>
      <c r="D57" s="1186">
        <f>+'Table 5C1A-Madison Prep'!D57</f>
        <v>4154.1928602178996</v>
      </c>
      <c r="E57" s="1187">
        <f t="shared" si="23"/>
        <v>0</v>
      </c>
      <c r="F57" s="1187">
        <f>+'Table 5C1A-Madison Prep'!F57</f>
        <v>706.66</v>
      </c>
      <c r="G57" s="1187">
        <f t="shared" si="24"/>
        <v>0</v>
      </c>
      <c r="H57" s="1538">
        <f t="shared" si="25"/>
        <v>0</v>
      </c>
      <c r="I57" s="1188"/>
      <c r="J57" s="1188"/>
      <c r="K57" s="1189">
        <f t="shared" si="26"/>
        <v>0</v>
      </c>
      <c r="L57" s="1538">
        <f t="shared" si="27"/>
        <v>0</v>
      </c>
      <c r="M57" s="1372">
        <f t="shared" si="22"/>
        <v>0</v>
      </c>
      <c r="N57" s="1538">
        <f t="shared" si="28"/>
        <v>0</v>
      </c>
      <c r="O57" s="1186">
        <v>0</v>
      </c>
      <c r="P57" s="1544">
        <f t="shared" si="29"/>
        <v>0</v>
      </c>
      <c r="Q57" s="1188"/>
      <c r="R57" s="1188">
        <f t="shared" si="30"/>
        <v>0</v>
      </c>
      <c r="S57" s="1544">
        <f t="shared" si="31"/>
        <v>0</v>
      </c>
      <c r="T57" s="1544">
        <f t="shared" si="32"/>
        <v>0</v>
      </c>
      <c r="U57" s="1373">
        <f>'Table 5C1A-Madison Prep'!U57</f>
        <v>4597</v>
      </c>
      <c r="V57" s="1514">
        <f t="shared" si="33"/>
        <v>0</v>
      </c>
      <c r="W57" s="1375"/>
      <c r="X57" s="1376">
        <f t="shared" si="34"/>
        <v>0</v>
      </c>
      <c r="Y57" s="1375"/>
      <c r="Z57" s="1376">
        <f t="shared" si="35"/>
        <v>0</v>
      </c>
      <c r="AA57" s="1374">
        <f t="shared" si="36"/>
        <v>0</v>
      </c>
      <c r="AB57" s="1509">
        <f t="shared" si="37"/>
        <v>0</v>
      </c>
      <c r="AC57" s="1378">
        <f t="shared" si="38"/>
        <v>0</v>
      </c>
      <c r="AD57" s="1509">
        <f t="shared" si="39"/>
        <v>0</v>
      </c>
      <c r="AE57" s="1379">
        <v>0</v>
      </c>
      <c r="AF57" s="1509">
        <f t="shared" si="40"/>
        <v>0</v>
      </c>
      <c r="AG57" s="1379"/>
      <c r="AH57" s="1379">
        <f t="shared" si="41"/>
        <v>0</v>
      </c>
      <c r="AI57" s="1509">
        <f t="shared" si="42"/>
        <v>0</v>
      </c>
      <c r="AJ57" s="1530">
        <f t="shared" si="43"/>
        <v>0</v>
      </c>
      <c r="AK57" s="1534">
        <f t="shared" si="44"/>
        <v>0</v>
      </c>
    </row>
    <row r="58" spans="1:37" ht="16.2" customHeight="1">
      <c r="A58" s="1176">
        <v>52</v>
      </c>
      <c r="B58" s="1177" t="s">
        <v>131</v>
      </c>
      <c r="C58" s="1178">
        <f>+'Table 8 Membership 2.1.14'!T54</f>
        <v>0</v>
      </c>
      <c r="D58" s="1179">
        <f>+'Table 5C1A-Madison Prep'!D58</f>
        <v>5062.2745845228173</v>
      </c>
      <c r="E58" s="1180">
        <f t="shared" si="23"/>
        <v>0</v>
      </c>
      <c r="F58" s="1180">
        <f>+'Table 5C1A-Madison Prep'!F58</f>
        <v>658.37</v>
      </c>
      <c r="G58" s="1180">
        <f t="shared" si="24"/>
        <v>0</v>
      </c>
      <c r="H58" s="1539">
        <f t="shared" si="25"/>
        <v>0</v>
      </c>
      <c r="I58" s="1181"/>
      <c r="J58" s="1181"/>
      <c r="K58" s="1182">
        <f t="shared" si="26"/>
        <v>0</v>
      </c>
      <c r="L58" s="1539">
        <f t="shared" si="27"/>
        <v>0</v>
      </c>
      <c r="M58" s="1388">
        <f t="shared" si="22"/>
        <v>0</v>
      </c>
      <c r="N58" s="1539">
        <f t="shared" si="28"/>
        <v>0</v>
      </c>
      <c r="O58" s="1179">
        <v>0</v>
      </c>
      <c r="P58" s="1545">
        <f t="shared" si="29"/>
        <v>0</v>
      </c>
      <c r="Q58" s="1181"/>
      <c r="R58" s="1181">
        <f t="shared" si="30"/>
        <v>0</v>
      </c>
      <c r="S58" s="1545">
        <f t="shared" si="31"/>
        <v>0</v>
      </c>
      <c r="T58" s="1545">
        <f t="shared" si="32"/>
        <v>0</v>
      </c>
      <c r="U58" s="1389">
        <f>'Table 5C1A-Madison Prep'!U58</f>
        <v>5212</v>
      </c>
      <c r="V58" s="1515">
        <f t="shared" si="33"/>
        <v>0</v>
      </c>
      <c r="W58" s="1391"/>
      <c r="X58" s="1392">
        <f t="shared" si="34"/>
        <v>0</v>
      </c>
      <c r="Y58" s="1391"/>
      <c r="Z58" s="1392">
        <f t="shared" si="35"/>
        <v>0</v>
      </c>
      <c r="AA58" s="1390">
        <f t="shared" si="36"/>
        <v>0</v>
      </c>
      <c r="AB58" s="1510">
        <f t="shared" si="37"/>
        <v>0</v>
      </c>
      <c r="AC58" s="1394">
        <f t="shared" si="38"/>
        <v>0</v>
      </c>
      <c r="AD58" s="1510">
        <f t="shared" si="39"/>
        <v>0</v>
      </c>
      <c r="AE58" s="1395">
        <v>0</v>
      </c>
      <c r="AF58" s="1510">
        <f t="shared" si="40"/>
        <v>0</v>
      </c>
      <c r="AG58" s="1395"/>
      <c r="AH58" s="1395">
        <f t="shared" si="41"/>
        <v>0</v>
      </c>
      <c r="AI58" s="1510">
        <f t="shared" si="42"/>
        <v>0</v>
      </c>
      <c r="AJ58" s="1505">
        <f t="shared" si="43"/>
        <v>0</v>
      </c>
      <c r="AK58" s="1535">
        <f t="shared" si="44"/>
        <v>0</v>
      </c>
    </row>
    <row r="59" spans="1:37" ht="16.2" customHeight="1">
      <c r="A59" s="1176">
        <v>53</v>
      </c>
      <c r="B59" s="1177" t="s">
        <v>132</v>
      </c>
      <c r="C59" s="1178">
        <f>+'Table 8 Membership 2.1.14'!T55</f>
        <v>0</v>
      </c>
      <c r="D59" s="1179">
        <f>+'Table 5C1A-Madison Prep'!D59</f>
        <v>5060.1508194045482</v>
      </c>
      <c r="E59" s="1180">
        <f t="shared" si="23"/>
        <v>0</v>
      </c>
      <c r="F59" s="1180">
        <f>+'Table 5C1A-Madison Prep'!F59</f>
        <v>689.74</v>
      </c>
      <c r="G59" s="1180">
        <f t="shared" si="24"/>
        <v>0</v>
      </c>
      <c r="H59" s="1539">
        <f t="shared" si="25"/>
        <v>0</v>
      </c>
      <c r="I59" s="1181"/>
      <c r="J59" s="1181"/>
      <c r="K59" s="1182">
        <f t="shared" si="26"/>
        <v>0</v>
      </c>
      <c r="L59" s="1539">
        <f t="shared" si="27"/>
        <v>0</v>
      </c>
      <c r="M59" s="1388">
        <f t="shared" si="22"/>
        <v>0</v>
      </c>
      <c r="N59" s="1539">
        <f t="shared" si="28"/>
        <v>0</v>
      </c>
      <c r="O59" s="1179">
        <v>0</v>
      </c>
      <c r="P59" s="1545">
        <f t="shared" si="29"/>
        <v>0</v>
      </c>
      <c r="Q59" s="1181"/>
      <c r="R59" s="1181">
        <f t="shared" si="30"/>
        <v>0</v>
      </c>
      <c r="S59" s="1545">
        <f t="shared" si="31"/>
        <v>0</v>
      </c>
      <c r="T59" s="1545">
        <f t="shared" si="32"/>
        <v>0</v>
      </c>
      <c r="U59" s="1389">
        <f>'Table 5C1A-Madison Prep'!U59</f>
        <v>2054</v>
      </c>
      <c r="V59" s="1515">
        <f t="shared" si="33"/>
        <v>0</v>
      </c>
      <c r="W59" s="1391"/>
      <c r="X59" s="1392">
        <f t="shared" si="34"/>
        <v>0</v>
      </c>
      <c r="Y59" s="1391"/>
      <c r="Z59" s="1392">
        <f t="shared" si="35"/>
        <v>0</v>
      </c>
      <c r="AA59" s="1390">
        <f t="shared" si="36"/>
        <v>0</v>
      </c>
      <c r="AB59" s="1510">
        <f t="shared" si="37"/>
        <v>0</v>
      </c>
      <c r="AC59" s="1394">
        <f t="shared" si="38"/>
        <v>0</v>
      </c>
      <c r="AD59" s="1510">
        <f t="shared" si="39"/>
        <v>0</v>
      </c>
      <c r="AE59" s="1395">
        <v>0</v>
      </c>
      <c r="AF59" s="1510">
        <f t="shared" si="40"/>
        <v>0</v>
      </c>
      <c r="AG59" s="1395"/>
      <c r="AH59" s="1395">
        <f t="shared" si="41"/>
        <v>0</v>
      </c>
      <c r="AI59" s="1510">
        <f t="shared" si="42"/>
        <v>0</v>
      </c>
      <c r="AJ59" s="1505">
        <f t="shared" si="43"/>
        <v>0</v>
      </c>
      <c r="AK59" s="1535">
        <f t="shared" si="44"/>
        <v>0</v>
      </c>
    </row>
    <row r="60" spans="1:37" ht="16.2" customHeight="1">
      <c r="A60" s="1176">
        <v>54</v>
      </c>
      <c r="B60" s="1177" t="s">
        <v>133</v>
      </c>
      <c r="C60" s="1178">
        <f>+'Table 8 Membership 2.1.14'!T56</f>
        <v>8</v>
      </c>
      <c r="D60" s="1179">
        <f>+'Table 5C1A-Madison Prep'!D60</f>
        <v>5867.0798370516713</v>
      </c>
      <c r="E60" s="1180">
        <f t="shared" si="23"/>
        <v>46936.638696413371</v>
      </c>
      <c r="F60" s="1180">
        <f>+'Table 5C1A-Madison Prep'!F60</f>
        <v>951.45</v>
      </c>
      <c r="G60" s="1180">
        <f t="shared" si="24"/>
        <v>7611.6</v>
      </c>
      <c r="H60" s="1539">
        <f t="shared" si="25"/>
        <v>54548.238696413369</v>
      </c>
      <c r="I60" s="1181"/>
      <c r="J60" s="1181"/>
      <c r="K60" s="1182">
        <f t="shared" si="26"/>
        <v>0</v>
      </c>
      <c r="L60" s="1539">
        <f t="shared" si="27"/>
        <v>54548.238696413369</v>
      </c>
      <c r="M60" s="1388">
        <f t="shared" si="22"/>
        <v>-136.37059674103344</v>
      </c>
      <c r="N60" s="1539">
        <f t="shared" si="28"/>
        <v>54411.868099672334</v>
      </c>
      <c r="O60" s="1179">
        <v>0</v>
      </c>
      <c r="P60" s="1545">
        <f t="shared" si="29"/>
        <v>54411.868099672334</v>
      </c>
      <c r="Q60" s="1181"/>
      <c r="R60" s="1181">
        <f t="shared" si="30"/>
        <v>54411.868099672334</v>
      </c>
      <c r="S60" s="1545">
        <f t="shared" si="31"/>
        <v>4534</v>
      </c>
      <c r="T60" s="1545">
        <f t="shared" si="32"/>
        <v>54411.868099672334</v>
      </c>
      <c r="U60" s="1389">
        <f>'Table 5C1A-Madison Prep'!U60</f>
        <v>4116</v>
      </c>
      <c r="V60" s="1515">
        <f t="shared" si="33"/>
        <v>32928</v>
      </c>
      <c r="W60" s="1391"/>
      <c r="X60" s="1392">
        <f t="shared" si="34"/>
        <v>0</v>
      </c>
      <c r="Y60" s="1391"/>
      <c r="Z60" s="1392">
        <f t="shared" si="35"/>
        <v>0</v>
      </c>
      <c r="AA60" s="1390">
        <f t="shared" si="36"/>
        <v>0</v>
      </c>
      <c r="AB60" s="1510">
        <f t="shared" si="37"/>
        <v>32928</v>
      </c>
      <c r="AC60" s="1394">
        <f t="shared" si="38"/>
        <v>-82.320000000000007</v>
      </c>
      <c r="AD60" s="1510">
        <f t="shared" si="39"/>
        <v>32845.68</v>
      </c>
      <c r="AE60" s="1395">
        <v>0</v>
      </c>
      <c r="AF60" s="1510">
        <f t="shared" si="40"/>
        <v>32845.68</v>
      </c>
      <c r="AG60" s="1395"/>
      <c r="AH60" s="1395">
        <f t="shared" si="41"/>
        <v>32845.68</v>
      </c>
      <c r="AI60" s="1510">
        <f t="shared" si="42"/>
        <v>2737</v>
      </c>
      <c r="AJ60" s="1505">
        <f t="shared" si="43"/>
        <v>87257.548099672335</v>
      </c>
      <c r="AK60" s="1535">
        <f t="shared" si="44"/>
        <v>7271</v>
      </c>
    </row>
    <row r="61" spans="1:37" ht="16.2" customHeight="1">
      <c r="A61" s="1168">
        <v>55</v>
      </c>
      <c r="B61" s="1169" t="s">
        <v>134</v>
      </c>
      <c r="C61" s="1170">
        <f>+'Table 8 Membership 2.1.14'!T57</f>
        <v>0</v>
      </c>
      <c r="D61" s="1171">
        <f>+'Table 5C1A-Madison Prep'!D61</f>
        <v>4266.8225491298481</v>
      </c>
      <c r="E61" s="1172">
        <f t="shared" si="23"/>
        <v>0</v>
      </c>
      <c r="F61" s="1172">
        <f>+'Table 5C1A-Madison Prep'!F61</f>
        <v>795.14</v>
      </c>
      <c r="G61" s="1172">
        <f t="shared" si="24"/>
        <v>0</v>
      </c>
      <c r="H61" s="1540">
        <f t="shared" si="25"/>
        <v>0</v>
      </c>
      <c r="I61" s="1173"/>
      <c r="J61" s="1173"/>
      <c r="K61" s="1174">
        <f t="shared" si="26"/>
        <v>0</v>
      </c>
      <c r="L61" s="1540">
        <f t="shared" si="27"/>
        <v>0</v>
      </c>
      <c r="M61" s="1399">
        <f t="shared" si="22"/>
        <v>0</v>
      </c>
      <c r="N61" s="1540">
        <f t="shared" si="28"/>
        <v>0</v>
      </c>
      <c r="O61" s="1171">
        <v>0</v>
      </c>
      <c r="P61" s="1546">
        <f t="shared" si="29"/>
        <v>0</v>
      </c>
      <c r="Q61" s="1173"/>
      <c r="R61" s="1173">
        <f t="shared" si="30"/>
        <v>0</v>
      </c>
      <c r="S61" s="1546">
        <f t="shared" si="31"/>
        <v>0</v>
      </c>
      <c r="T61" s="1546">
        <f t="shared" si="32"/>
        <v>0</v>
      </c>
      <c r="U61" s="1382">
        <f>'Table 5C1A-Madison Prep'!U61</f>
        <v>3532</v>
      </c>
      <c r="V61" s="1516">
        <f t="shared" si="33"/>
        <v>0</v>
      </c>
      <c r="W61" s="1400"/>
      <c r="X61" s="1383">
        <f t="shared" si="34"/>
        <v>0</v>
      </c>
      <c r="Y61" s="1400"/>
      <c r="Z61" s="1383">
        <f t="shared" si="35"/>
        <v>0</v>
      </c>
      <c r="AA61" s="1384">
        <f t="shared" si="36"/>
        <v>0</v>
      </c>
      <c r="AB61" s="1511">
        <f t="shared" si="37"/>
        <v>0</v>
      </c>
      <c r="AC61" s="1402">
        <f t="shared" si="38"/>
        <v>0</v>
      </c>
      <c r="AD61" s="1511">
        <f t="shared" si="39"/>
        <v>0</v>
      </c>
      <c r="AE61" s="1385">
        <v>0</v>
      </c>
      <c r="AF61" s="1511">
        <f t="shared" si="40"/>
        <v>0</v>
      </c>
      <c r="AG61" s="1385"/>
      <c r="AH61" s="1385">
        <f t="shared" si="41"/>
        <v>0</v>
      </c>
      <c r="AI61" s="1511">
        <f t="shared" si="42"/>
        <v>0</v>
      </c>
      <c r="AJ61" s="1531">
        <f t="shared" si="43"/>
        <v>0</v>
      </c>
      <c r="AK61" s="1536">
        <f t="shared" si="44"/>
        <v>0</v>
      </c>
    </row>
    <row r="62" spans="1:37" ht="16.2" customHeight="1">
      <c r="A62" s="1183">
        <v>56</v>
      </c>
      <c r="B62" s="1184" t="s">
        <v>135</v>
      </c>
      <c r="C62" s="1185">
        <f>+'Table 8 Membership 2.1.14'!T58</f>
        <v>0</v>
      </c>
      <c r="D62" s="1186">
        <f>+'Table 5C1A-Madison Prep'!D62</f>
        <v>5028.4909408288286</v>
      </c>
      <c r="E62" s="1187">
        <f t="shared" si="23"/>
        <v>0</v>
      </c>
      <c r="F62" s="1187">
        <f>+'Table 5C1A-Madison Prep'!F62</f>
        <v>614.66000000000008</v>
      </c>
      <c r="G62" s="1187">
        <f t="shared" si="24"/>
        <v>0</v>
      </c>
      <c r="H62" s="1538">
        <f t="shared" si="25"/>
        <v>0</v>
      </c>
      <c r="I62" s="1188"/>
      <c r="J62" s="1188"/>
      <c r="K62" s="1189">
        <f t="shared" si="26"/>
        <v>0</v>
      </c>
      <c r="L62" s="1538">
        <f t="shared" si="27"/>
        <v>0</v>
      </c>
      <c r="M62" s="1372">
        <f t="shared" si="22"/>
        <v>0</v>
      </c>
      <c r="N62" s="1538">
        <f t="shared" si="28"/>
        <v>0</v>
      </c>
      <c r="O62" s="1186">
        <v>0</v>
      </c>
      <c r="P62" s="1544">
        <f t="shared" si="29"/>
        <v>0</v>
      </c>
      <c r="Q62" s="1188"/>
      <c r="R62" s="1188">
        <f t="shared" si="30"/>
        <v>0</v>
      </c>
      <c r="S62" s="1544">
        <f t="shared" si="31"/>
        <v>0</v>
      </c>
      <c r="T62" s="1544">
        <f t="shared" si="32"/>
        <v>0</v>
      </c>
      <c r="U62" s="1373">
        <f>'Table 5C1A-Madison Prep'!U62</f>
        <v>2865</v>
      </c>
      <c r="V62" s="1514">
        <f t="shared" si="33"/>
        <v>0</v>
      </c>
      <c r="W62" s="1375"/>
      <c r="X62" s="1376">
        <f t="shared" si="34"/>
        <v>0</v>
      </c>
      <c r="Y62" s="1375"/>
      <c r="Z62" s="1376">
        <f t="shared" si="35"/>
        <v>0</v>
      </c>
      <c r="AA62" s="1374">
        <f t="shared" si="36"/>
        <v>0</v>
      </c>
      <c r="AB62" s="1509">
        <f t="shared" si="37"/>
        <v>0</v>
      </c>
      <c r="AC62" s="1378">
        <f t="shared" si="38"/>
        <v>0</v>
      </c>
      <c r="AD62" s="1509">
        <f t="shared" si="39"/>
        <v>0</v>
      </c>
      <c r="AE62" s="1379">
        <v>0</v>
      </c>
      <c r="AF62" s="1509">
        <f t="shared" si="40"/>
        <v>0</v>
      </c>
      <c r="AG62" s="1379"/>
      <c r="AH62" s="1379">
        <f t="shared" si="41"/>
        <v>0</v>
      </c>
      <c r="AI62" s="1509">
        <f t="shared" si="42"/>
        <v>0</v>
      </c>
      <c r="AJ62" s="1530">
        <f t="shared" si="43"/>
        <v>0</v>
      </c>
      <c r="AK62" s="1534">
        <f t="shared" si="44"/>
        <v>0</v>
      </c>
    </row>
    <row r="63" spans="1:37" ht="16.2" customHeight="1">
      <c r="A63" s="1176">
        <v>57</v>
      </c>
      <c r="B63" s="1177" t="s">
        <v>136</v>
      </c>
      <c r="C63" s="1178">
        <f>+'Table 8 Membership 2.1.14'!T59</f>
        <v>0</v>
      </c>
      <c r="D63" s="1179">
        <f>+'Table 5C1A-Madison Prep'!D63</f>
        <v>4625.9922979230687</v>
      </c>
      <c r="E63" s="1180">
        <f t="shared" si="23"/>
        <v>0</v>
      </c>
      <c r="F63" s="1180">
        <f>+'Table 5C1A-Madison Prep'!F63</f>
        <v>764.51</v>
      </c>
      <c r="G63" s="1180">
        <f t="shared" si="24"/>
        <v>0</v>
      </c>
      <c r="H63" s="1539">
        <f t="shared" si="25"/>
        <v>0</v>
      </c>
      <c r="I63" s="1181"/>
      <c r="J63" s="1181"/>
      <c r="K63" s="1182">
        <f t="shared" si="26"/>
        <v>0</v>
      </c>
      <c r="L63" s="1539">
        <f t="shared" si="27"/>
        <v>0</v>
      </c>
      <c r="M63" s="1388">
        <f t="shared" si="22"/>
        <v>0</v>
      </c>
      <c r="N63" s="1539">
        <f t="shared" si="28"/>
        <v>0</v>
      </c>
      <c r="O63" s="1179">
        <v>0</v>
      </c>
      <c r="P63" s="1545">
        <f t="shared" si="29"/>
        <v>0</v>
      </c>
      <c r="Q63" s="1181"/>
      <c r="R63" s="1181">
        <f t="shared" si="30"/>
        <v>0</v>
      </c>
      <c r="S63" s="1545">
        <f t="shared" si="31"/>
        <v>0</v>
      </c>
      <c r="T63" s="1545">
        <f t="shared" si="32"/>
        <v>0</v>
      </c>
      <c r="U63" s="1389">
        <f>'Table 5C1A-Madison Prep'!U63</f>
        <v>3395</v>
      </c>
      <c r="V63" s="1515">
        <f t="shared" si="33"/>
        <v>0</v>
      </c>
      <c r="W63" s="1391"/>
      <c r="X63" s="1392">
        <f t="shared" si="34"/>
        <v>0</v>
      </c>
      <c r="Y63" s="1391"/>
      <c r="Z63" s="1392">
        <f t="shared" si="35"/>
        <v>0</v>
      </c>
      <c r="AA63" s="1390">
        <f t="shared" si="36"/>
        <v>0</v>
      </c>
      <c r="AB63" s="1510">
        <f t="shared" si="37"/>
        <v>0</v>
      </c>
      <c r="AC63" s="1394">
        <f t="shared" si="38"/>
        <v>0</v>
      </c>
      <c r="AD63" s="1510">
        <f t="shared" si="39"/>
        <v>0</v>
      </c>
      <c r="AE63" s="1395">
        <v>0</v>
      </c>
      <c r="AF63" s="1510">
        <f t="shared" si="40"/>
        <v>0</v>
      </c>
      <c r="AG63" s="1395"/>
      <c r="AH63" s="1395">
        <f t="shared" si="41"/>
        <v>0</v>
      </c>
      <c r="AI63" s="1510">
        <f t="shared" si="42"/>
        <v>0</v>
      </c>
      <c r="AJ63" s="1505">
        <f t="shared" si="43"/>
        <v>0</v>
      </c>
      <c r="AK63" s="1535">
        <f t="shared" si="44"/>
        <v>0</v>
      </c>
    </row>
    <row r="64" spans="1:37" ht="16.2" customHeight="1">
      <c r="A64" s="1176">
        <v>58</v>
      </c>
      <c r="B64" s="1177" t="s">
        <v>137</v>
      </c>
      <c r="C64" s="1178">
        <f>+'Table 8 Membership 2.1.14'!T60</f>
        <v>0</v>
      </c>
      <c r="D64" s="1179">
        <f>+'Table 5C1A-Madison Prep'!D64</f>
        <v>5673.1129637882123</v>
      </c>
      <c r="E64" s="1180">
        <f t="shared" si="23"/>
        <v>0</v>
      </c>
      <c r="F64" s="1180">
        <f>+'Table 5C1A-Madison Prep'!F64</f>
        <v>697.04</v>
      </c>
      <c r="G64" s="1180">
        <f t="shared" si="24"/>
        <v>0</v>
      </c>
      <c r="H64" s="1539">
        <f t="shared" si="25"/>
        <v>0</v>
      </c>
      <c r="I64" s="1181"/>
      <c r="J64" s="1181"/>
      <c r="K64" s="1182">
        <f t="shared" si="26"/>
        <v>0</v>
      </c>
      <c r="L64" s="1539">
        <f t="shared" si="27"/>
        <v>0</v>
      </c>
      <c r="M64" s="1388">
        <f t="shared" si="22"/>
        <v>0</v>
      </c>
      <c r="N64" s="1539">
        <f t="shared" si="28"/>
        <v>0</v>
      </c>
      <c r="O64" s="1179">
        <v>0</v>
      </c>
      <c r="P64" s="1545">
        <f t="shared" si="29"/>
        <v>0</v>
      </c>
      <c r="Q64" s="1181"/>
      <c r="R64" s="1181">
        <f t="shared" si="30"/>
        <v>0</v>
      </c>
      <c r="S64" s="1545">
        <f t="shared" si="31"/>
        <v>0</v>
      </c>
      <c r="T64" s="1545">
        <f t="shared" si="32"/>
        <v>0</v>
      </c>
      <c r="U64" s="1389">
        <f>'Table 5C1A-Madison Prep'!U64</f>
        <v>2084</v>
      </c>
      <c r="V64" s="1515">
        <f t="shared" si="33"/>
        <v>0</v>
      </c>
      <c r="W64" s="1391"/>
      <c r="X64" s="1392">
        <f t="shared" si="34"/>
        <v>0</v>
      </c>
      <c r="Y64" s="1391"/>
      <c r="Z64" s="1392">
        <f t="shared" si="35"/>
        <v>0</v>
      </c>
      <c r="AA64" s="1390">
        <f t="shared" si="36"/>
        <v>0</v>
      </c>
      <c r="AB64" s="1510">
        <f t="shared" si="37"/>
        <v>0</v>
      </c>
      <c r="AC64" s="1394">
        <f t="shared" si="38"/>
        <v>0</v>
      </c>
      <c r="AD64" s="1510">
        <f t="shared" si="39"/>
        <v>0</v>
      </c>
      <c r="AE64" s="1395">
        <v>0</v>
      </c>
      <c r="AF64" s="1510">
        <f t="shared" si="40"/>
        <v>0</v>
      </c>
      <c r="AG64" s="1395"/>
      <c r="AH64" s="1395">
        <f t="shared" si="41"/>
        <v>0</v>
      </c>
      <c r="AI64" s="1510">
        <f t="shared" si="42"/>
        <v>0</v>
      </c>
      <c r="AJ64" s="1505">
        <f t="shared" si="43"/>
        <v>0</v>
      </c>
      <c r="AK64" s="1535">
        <f t="shared" si="44"/>
        <v>0</v>
      </c>
    </row>
    <row r="65" spans="1:37" ht="16.2" customHeight="1">
      <c r="A65" s="1176">
        <v>59</v>
      </c>
      <c r="B65" s="1177" t="s">
        <v>138</v>
      </c>
      <c r="C65" s="1178">
        <f>+'Table 8 Membership 2.1.14'!T61</f>
        <v>0</v>
      </c>
      <c r="D65" s="1179">
        <f>+'Table 5C1A-Madison Prep'!D65</f>
        <v>6621.946293521848</v>
      </c>
      <c r="E65" s="1180">
        <f t="shared" si="23"/>
        <v>0</v>
      </c>
      <c r="F65" s="1180">
        <f>+'Table 5C1A-Madison Prep'!F65</f>
        <v>689.52</v>
      </c>
      <c r="G65" s="1180">
        <f t="shared" si="24"/>
        <v>0</v>
      </c>
      <c r="H65" s="1539">
        <f t="shared" si="25"/>
        <v>0</v>
      </c>
      <c r="I65" s="1181"/>
      <c r="J65" s="1181"/>
      <c r="K65" s="1182">
        <f t="shared" si="26"/>
        <v>0</v>
      </c>
      <c r="L65" s="1539">
        <f t="shared" si="27"/>
        <v>0</v>
      </c>
      <c r="M65" s="1388">
        <f t="shared" si="22"/>
        <v>0</v>
      </c>
      <c r="N65" s="1539">
        <f t="shared" si="28"/>
        <v>0</v>
      </c>
      <c r="O65" s="1179">
        <v>0</v>
      </c>
      <c r="P65" s="1545">
        <f t="shared" si="29"/>
        <v>0</v>
      </c>
      <c r="Q65" s="1181"/>
      <c r="R65" s="1181">
        <f t="shared" si="30"/>
        <v>0</v>
      </c>
      <c r="S65" s="1545">
        <f t="shared" si="31"/>
        <v>0</v>
      </c>
      <c r="T65" s="1545">
        <f t="shared" si="32"/>
        <v>0</v>
      </c>
      <c r="U65" s="1389">
        <f>'Table 5C1A-Madison Prep'!U65</f>
        <v>1577</v>
      </c>
      <c r="V65" s="1515">
        <f t="shared" si="33"/>
        <v>0</v>
      </c>
      <c r="W65" s="1391"/>
      <c r="X65" s="1392">
        <f t="shared" si="34"/>
        <v>0</v>
      </c>
      <c r="Y65" s="1391"/>
      <c r="Z65" s="1392">
        <f t="shared" si="35"/>
        <v>0</v>
      </c>
      <c r="AA65" s="1390">
        <f t="shared" si="36"/>
        <v>0</v>
      </c>
      <c r="AB65" s="1510">
        <f t="shared" si="37"/>
        <v>0</v>
      </c>
      <c r="AC65" s="1394">
        <f t="shared" si="38"/>
        <v>0</v>
      </c>
      <c r="AD65" s="1510">
        <f t="shared" si="39"/>
        <v>0</v>
      </c>
      <c r="AE65" s="1395">
        <v>0</v>
      </c>
      <c r="AF65" s="1510">
        <f t="shared" si="40"/>
        <v>0</v>
      </c>
      <c r="AG65" s="1395"/>
      <c r="AH65" s="1395">
        <f t="shared" si="41"/>
        <v>0</v>
      </c>
      <c r="AI65" s="1510">
        <f t="shared" si="42"/>
        <v>0</v>
      </c>
      <c r="AJ65" s="1505">
        <f t="shared" si="43"/>
        <v>0</v>
      </c>
      <c r="AK65" s="1535">
        <f t="shared" si="44"/>
        <v>0</v>
      </c>
    </row>
    <row r="66" spans="1:37" ht="16.2" customHeight="1">
      <c r="A66" s="1168">
        <v>60</v>
      </c>
      <c r="B66" s="1169" t="s">
        <v>139</v>
      </c>
      <c r="C66" s="1170">
        <f>+'Table 8 Membership 2.1.14'!T62</f>
        <v>0</v>
      </c>
      <c r="D66" s="1171">
        <f>+'Table 5C1A-Madison Prep'!D66</f>
        <v>5301.224090063828</v>
      </c>
      <c r="E66" s="1172">
        <f t="shared" si="23"/>
        <v>0</v>
      </c>
      <c r="F66" s="1172">
        <f>+'Table 5C1A-Madison Prep'!F66</f>
        <v>594.04</v>
      </c>
      <c r="G66" s="1172">
        <f t="shared" si="24"/>
        <v>0</v>
      </c>
      <c r="H66" s="1540">
        <f t="shared" si="25"/>
        <v>0</v>
      </c>
      <c r="I66" s="1173"/>
      <c r="J66" s="1173"/>
      <c r="K66" s="1174">
        <f t="shared" si="26"/>
        <v>0</v>
      </c>
      <c r="L66" s="1540">
        <f t="shared" si="27"/>
        <v>0</v>
      </c>
      <c r="M66" s="1399">
        <f t="shared" si="22"/>
        <v>0</v>
      </c>
      <c r="N66" s="1540">
        <f t="shared" si="28"/>
        <v>0</v>
      </c>
      <c r="O66" s="1171">
        <v>0</v>
      </c>
      <c r="P66" s="1546">
        <f t="shared" si="29"/>
        <v>0</v>
      </c>
      <c r="Q66" s="1173"/>
      <c r="R66" s="1173">
        <f t="shared" si="30"/>
        <v>0</v>
      </c>
      <c r="S66" s="1546">
        <f t="shared" si="31"/>
        <v>0</v>
      </c>
      <c r="T66" s="1546">
        <f t="shared" si="32"/>
        <v>0</v>
      </c>
      <c r="U66" s="1382">
        <f>'Table 5C1A-Madison Prep'!U66</f>
        <v>3922</v>
      </c>
      <c r="V66" s="1516">
        <f t="shared" si="33"/>
        <v>0</v>
      </c>
      <c r="W66" s="1400"/>
      <c r="X66" s="1383">
        <f t="shared" si="34"/>
        <v>0</v>
      </c>
      <c r="Y66" s="1400"/>
      <c r="Z66" s="1383">
        <f t="shared" si="35"/>
        <v>0</v>
      </c>
      <c r="AA66" s="1384">
        <f t="shared" si="36"/>
        <v>0</v>
      </c>
      <c r="AB66" s="1511">
        <f t="shared" si="37"/>
        <v>0</v>
      </c>
      <c r="AC66" s="1402">
        <f t="shared" si="38"/>
        <v>0</v>
      </c>
      <c r="AD66" s="1511">
        <f t="shared" si="39"/>
        <v>0</v>
      </c>
      <c r="AE66" s="1385">
        <v>0</v>
      </c>
      <c r="AF66" s="1511">
        <f t="shared" si="40"/>
        <v>0</v>
      </c>
      <c r="AG66" s="1385"/>
      <c r="AH66" s="1385">
        <f t="shared" si="41"/>
        <v>0</v>
      </c>
      <c r="AI66" s="1511">
        <f t="shared" si="42"/>
        <v>0</v>
      </c>
      <c r="AJ66" s="1531">
        <f t="shared" si="43"/>
        <v>0</v>
      </c>
      <c r="AK66" s="1536">
        <f t="shared" si="44"/>
        <v>0</v>
      </c>
    </row>
    <row r="67" spans="1:37" ht="16.2" customHeight="1">
      <c r="A67" s="1183">
        <v>61</v>
      </c>
      <c r="B67" s="1184" t="s">
        <v>140</v>
      </c>
      <c r="C67" s="1185">
        <f>+'Table 8 Membership 2.1.14'!T63</f>
        <v>0</v>
      </c>
      <c r="D67" s="1186">
        <f>+'Table 5C1A-Madison Prep'!D67</f>
        <v>2854.1575356369185</v>
      </c>
      <c r="E67" s="1187">
        <f t="shared" si="23"/>
        <v>0</v>
      </c>
      <c r="F67" s="1187">
        <f>+'Table 5C1A-Madison Prep'!F67</f>
        <v>833.70999999999992</v>
      </c>
      <c r="G67" s="1187">
        <f t="shared" si="24"/>
        <v>0</v>
      </c>
      <c r="H67" s="1538">
        <f t="shared" si="25"/>
        <v>0</v>
      </c>
      <c r="I67" s="1188"/>
      <c r="J67" s="1188"/>
      <c r="K67" s="1189">
        <f t="shared" si="26"/>
        <v>0</v>
      </c>
      <c r="L67" s="1538">
        <f t="shared" si="27"/>
        <v>0</v>
      </c>
      <c r="M67" s="1372">
        <f t="shared" si="22"/>
        <v>0</v>
      </c>
      <c r="N67" s="1538">
        <f t="shared" si="28"/>
        <v>0</v>
      </c>
      <c r="O67" s="1186">
        <v>0</v>
      </c>
      <c r="P67" s="1544">
        <f t="shared" si="29"/>
        <v>0</v>
      </c>
      <c r="Q67" s="1188"/>
      <c r="R67" s="1188">
        <f t="shared" si="30"/>
        <v>0</v>
      </c>
      <c r="S67" s="1544">
        <f t="shared" si="31"/>
        <v>0</v>
      </c>
      <c r="T67" s="1544">
        <f t="shared" si="32"/>
        <v>0</v>
      </c>
      <c r="U67" s="1373">
        <f>'Table 5C1A-Madison Prep'!U67</f>
        <v>6745</v>
      </c>
      <c r="V67" s="1514">
        <f t="shared" si="33"/>
        <v>0</v>
      </c>
      <c r="W67" s="1375"/>
      <c r="X67" s="1376">
        <f t="shared" si="34"/>
        <v>0</v>
      </c>
      <c r="Y67" s="1375"/>
      <c r="Z67" s="1376">
        <f t="shared" si="35"/>
        <v>0</v>
      </c>
      <c r="AA67" s="1374">
        <f t="shared" si="36"/>
        <v>0</v>
      </c>
      <c r="AB67" s="1509">
        <f t="shared" si="37"/>
        <v>0</v>
      </c>
      <c r="AC67" s="1378">
        <f t="shared" si="38"/>
        <v>0</v>
      </c>
      <c r="AD67" s="1509">
        <f t="shared" si="39"/>
        <v>0</v>
      </c>
      <c r="AE67" s="1379">
        <v>0</v>
      </c>
      <c r="AF67" s="1509">
        <f t="shared" si="40"/>
        <v>0</v>
      </c>
      <c r="AG67" s="1379"/>
      <c r="AH67" s="1379">
        <f t="shared" si="41"/>
        <v>0</v>
      </c>
      <c r="AI67" s="1509">
        <f t="shared" si="42"/>
        <v>0</v>
      </c>
      <c r="AJ67" s="1530">
        <f t="shared" si="43"/>
        <v>0</v>
      </c>
      <c r="AK67" s="1534">
        <f t="shared" si="44"/>
        <v>0</v>
      </c>
    </row>
    <row r="68" spans="1:37" ht="16.2" customHeight="1">
      <c r="A68" s="1176">
        <v>62</v>
      </c>
      <c r="B68" s="1177" t="s">
        <v>141</v>
      </c>
      <c r="C68" s="1178">
        <f>+'Table 8 Membership 2.1.14'!T64</f>
        <v>0</v>
      </c>
      <c r="D68" s="1179">
        <f>+'Table 5C1A-Madison Prep'!D68</f>
        <v>5901.074538516008</v>
      </c>
      <c r="E68" s="1180">
        <f t="shared" si="23"/>
        <v>0</v>
      </c>
      <c r="F68" s="1180">
        <f>+'Table 5C1A-Madison Prep'!F68</f>
        <v>516.08000000000004</v>
      </c>
      <c r="G68" s="1180">
        <f t="shared" si="24"/>
        <v>0</v>
      </c>
      <c r="H68" s="1539">
        <f t="shared" si="25"/>
        <v>0</v>
      </c>
      <c r="I68" s="1181"/>
      <c r="J68" s="1181"/>
      <c r="K68" s="1182">
        <f t="shared" si="26"/>
        <v>0</v>
      </c>
      <c r="L68" s="1539">
        <f t="shared" si="27"/>
        <v>0</v>
      </c>
      <c r="M68" s="1388">
        <f t="shared" si="22"/>
        <v>0</v>
      </c>
      <c r="N68" s="1539">
        <f t="shared" si="28"/>
        <v>0</v>
      </c>
      <c r="O68" s="1179">
        <v>0</v>
      </c>
      <c r="P68" s="1545">
        <f t="shared" si="29"/>
        <v>0</v>
      </c>
      <c r="Q68" s="1181"/>
      <c r="R68" s="1181">
        <f t="shared" si="30"/>
        <v>0</v>
      </c>
      <c r="S68" s="1545">
        <f t="shared" si="31"/>
        <v>0</v>
      </c>
      <c r="T68" s="1545">
        <f t="shared" si="32"/>
        <v>0</v>
      </c>
      <c r="U68" s="1389">
        <f>'Table 5C1A-Madison Prep'!U68</f>
        <v>1908</v>
      </c>
      <c r="V68" s="1515">
        <f t="shared" si="33"/>
        <v>0</v>
      </c>
      <c r="W68" s="1391"/>
      <c r="X68" s="1392">
        <f t="shared" si="34"/>
        <v>0</v>
      </c>
      <c r="Y68" s="1391"/>
      <c r="Z68" s="1392">
        <f t="shared" si="35"/>
        <v>0</v>
      </c>
      <c r="AA68" s="1390">
        <f t="shared" si="36"/>
        <v>0</v>
      </c>
      <c r="AB68" s="1510">
        <f t="shared" si="37"/>
        <v>0</v>
      </c>
      <c r="AC68" s="1394">
        <f t="shared" si="38"/>
        <v>0</v>
      </c>
      <c r="AD68" s="1510">
        <f t="shared" si="39"/>
        <v>0</v>
      </c>
      <c r="AE68" s="1395">
        <v>0</v>
      </c>
      <c r="AF68" s="1510">
        <f t="shared" si="40"/>
        <v>0</v>
      </c>
      <c r="AG68" s="1395"/>
      <c r="AH68" s="1395">
        <f t="shared" si="41"/>
        <v>0</v>
      </c>
      <c r="AI68" s="1510">
        <f t="shared" si="42"/>
        <v>0</v>
      </c>
      <c r="AJ68" s="1505">
        <f t="shared" si="43"/>
        <v>0</v>
      </c>
      <c r="AK68" s="1535">
        <f t="shared" si="44"/>
        <v>0</v>
      </c>
    </row>
    <row r="69" spans="1:37" ht="16.2" customHeight="1">
      <c r="A69" s="1176">
        <v>63</v>
      </c>
      <c r="B69" s="1177" t="s">
        <v>142</v>
      </c>
      <c r="C69" s="1178">
        <f>+'Table 8 Membership 2.1.14'!T65</f>
        <v>0</v>
      </c>
      <c r="D69" s="1179">
        <f>+'Table 5C1A-Madison Prep'!D69</f>
        <v>4124.3813481848092</v>
      </c>
      <c r="E69" s="1180">
        <f t="shared" si="23"/>
        <v>0</v>
      </c>
      <c r="F69" s="1180">
        <f>+'Table 5C1A-Madison Prep'!F69</f>
        <v>756.79</v>
      </c>
      <c r="G69" s="1180">
        <f t="shared" si="24"/>
        <v>0</v>
      </c>
      <c r="H69" s="1539">
        <f t="shared" si="25"/>
        <v>0</v>
      </c>
      <c r="I69" s="1181"/>
      <c r="J69" s="1181"/>
      <c r="K69" s="1182">
        <f t="shared" si="26"/>
        <v>0</v>
      </c>
      <c r="L69" s="1539">
        <f t="shared" si="27"/>
        <v>0</v>
      </c>
      <c r="M69" s="1388">
        <f t="shared" si="22"/>
        <v>0</v>
      </c>
      <c r="N69" s="1539">
        <f t="shared" si="28"/>
        <v>0</v>
      </c>
      <c r="O69" s="1179">
        <v>0</v>
      </c>
      <c r="P69" s="1545">
        <f t="shared" si="29"/>
        <v>0</v>
      </c>
      <c r="Q69" s="1181"/>
      <c r="R69" s="1181">
        <f t="shared" si="30"/>
        <v>0</v>
      </c>
      <c r="S69" s="1545">
        <f t="shared" si="31"/>
        <v>0</v>
      </c>
      <c r="T69" s="1545">
        <f t="shared" si="32"/>
        <v>0</v>
      </c>
      <c r="U69" s="1389">
        <f>'Table 5C1A-Madison Prep'!U69</f>
        <v>7290</v>
      </c>
      <c r="V69" s="1515">
        <f t="shared" si="33"/>
        <v>0</v>
      </c>
      <c r="W69" s="1391"/>
      <c r="X69" s="1392">
        <f t="shared" si="34"/>
        <v>0</v>
      </c>
      <c r="Y69" s="1391"/>
      <c r="Z69" s="1392">
        <f t="shared" si="35"/>
        <v>0</v>
      </c>
      <c r="AA69" s="1390">
        <f t="shared" si="36"/>
        <v>0</v>
      </c>
      <c r="AB69" s="1510">
        <f t="shared" si="37"/>
        <v>0</v>
      </c>
      <c r="AC69" s="1394">
        <f t="shared" si="38"/>
        <v>0</v>
      </c>
      <c r="AD69" s="1510">
        <f t="shared" si="39"/>
        <v>0</v>
      </c>
      <c r="AE69" s="1395">
        <v>0</v>
      </c>
      <c r="AF69" s="1510">
        <f t="shared" si="40"/>
        <v>0</v>
      </c>
      <c r="AG69" s="1395"/>
      <c r="AH69" s="1395">
        <f t="shared" si="41"/>
        <v>0</v>
      </c>
      <c r="AI69" s="1510">
        <f t="shared" si="42"/>
        <v>0</v>
      </c>
      <c r="AJ69" s="1505">
        <f t="shared" si="43"/>
        <v>0</v>
      </c>
      <c r="AK69" s="1535">
        <f t="shared" si="44"/>
        <v>0</v>
      </c>
    </row>
    <row r="70" spans="1:37" ht="16.2" customHeight="1">
      <c r="A70" s="1176">
        <v>64</v>
      </c>
      <c r="B70" s="1177" t="s">
        <v>143</v>
      </c>
      <c r="C70" s="1178">
        <f>+'Table 8 Membership 2.1.14'!T66</f>
        <v>0</v>
      </c>
      <c r="D70" s="1179">
        <f>+'Table 5C1A-Madison Prep'!D70</f>
        <v>6277.8307532778254</v>
      </c>
      <c r="E70" s="1180">
        <f t="shared" si="23"/>
        <v>0</v>
      </c>
      <c r="F70" s="1180">
        <f>+'Table 5C1A-Madison Prep'!F70</f>
        <v>592.66</v>
      </c>
      <c r="G70" s="1180">
        <f t="shared" si="24"/>
        <v>0</v>
      </c>
      <c r="H70" s="1539">
        <f t="shared" si="25"/>
        <v>0</v>
      </c>
      <c r="I70" s="1181"/>
      <c r="J70" s="1181"/>
      <c r="K70" s="1182">
        <f t="shared" si="26"/>
        <v>0</v>
      </c>
      <c r="L70" s="1539">
        <f t="shared" si="27"/>
        <v>0</v>
      </c>
      <c r="M70" s="1388">
        <f t="shared" si="22"/>
        <v>0</v>
      </c>
      <c r="N70" s="1539">
        <f t="shared" si="28"/>
        <v>0</v>
      </c>
      <c r="O70" s="1179">
        <v>0</v>
      </c>
      <c r="P70" s="1545">
        <f t="shared" si="29"/>
        <v>0</v>
      </c>
      <c r="Q70" s="1181"/>
      <c r="R70" s="1181">
        <f t="shared" si="30"/>
        <v>0</v>
      </c>
      <c r="S70" s="1545">
        <f t="shared" si="31"/>
        <v>0</v>
      </c>
      <c r="T70" s="1545">
        <f t="shared" si="32"/>
        <v>0</v>
      </c>
      <c r="U70" s="1389">
        <f>'Table 5C1A-Madison Prep'!U70</f>
        <v>2721</v>
      </c>
      <c r="V70" s="1515">
        <f t="shared" si="33"/>
        <v>0</v>
      </c>
      <c r="W70" s="1391"/>
      <c r="X70" s="1392">
        <f t="shared" si="34"/>
        <v>0</v>
      </c>
      <c r="Y70" s="1391"/>
      <c r="Z70" s="1392">
        <f t="shared" si="35"/>
        <v>0</v>
      </c>
      <c r="AA70" s="1390">
        <f t="shared" si="36"/>
        <v>0</v>
      </c>
      <c r="AB70" s="1510">
        <f t="shared" si="37"/>
        <v>0</v>
      </c>
      <c r="AC70" s="1394">
        <f t="shared" si="38"/>
        <v>0</v>
      </c>
      <c r="AD70" s="1510">
        <f t="shared" si="39"/>
        <v>0</v>
      </c>
      <c r="AE70" s="1395">
        <v>0</v>
      </c>
      <c r="AF70" s="1510">
        <f t="shared" si="40"/>
        <v>0</v>
      </c>
      <c r="AG70" s="1395"/>
      <c r="AH70" s="1395">
        <f t="shared" si="41"/>
        <v>0</v>
      </c>
      <c r="AI70" s="1510">
        <f t="shared" si="42"/>
        <v>0</v>
      </c>
      <c r="AJ70" s="1505">
        <f t="shared" si="43"/>
        <v>0</v>
      </c>
      <c r="AK70" s="1535">
        <f t="shared" si="44"/>
        <v>0</v>
      </c>
    </row>
    <row r="71" spans="1:37" ht="16.2" customHeight="1">
      <c r="A71" s="1168">
        <v>65</v>
      </c>
      <c r="B71" s="1169" t="s">
        <v>144</v>
      </c>
      <c r="C71" s="1170">
        <f>+'Table 8 Membership 2.1.14'!T67</f>
        <v>0</v>
      </c>
      <c r="D71" s="1171">
        <f>+'Table 5C1A-Madison Prep'!D71</f>
        <v>4775.1605543943642</v>
      </c>
      <c r="E71" s="1172">
        <f t="shared" si="23"/>
        <v>0</v>
      </c>
      <c r="F71" s="1172">
        <f>+'Table 5C1A-Madison Prep'!F71</f>
        <v>829.12</v>
      </c>
      <c r="G71" s="1172">
        <f t="shared" si="24"/>
        <v>0</v>
      </c>
      <c r="H71" s="1540">
        <f t="shared" si="25"/>
        <v>0</v>
      </c>
      <c r="I71" s="1173"/>
      <c r="J71" s="1173"/>
      <c r="K71" s="1174">
        <f t="shared" si="26"/>
        <v>0</v>
      </c>
      <c r="L71" s="1540">
        <f t="shared" si="27"/>
        <v>0</v>
      </c>
      <c r="M71" s="1399">
        <f t="shared" ref="M71:M74" si="45">-(0.25%*L71)</f>
        <v>0</v>
      </c>
      <c r="N71" s="1540">
        <f t="shared" si="28"/>
        <v>0</v>
      </c>
      <c r="O71" s="1171">
        <v>0</v>
      </c>
      <c r="P71" s="1546">
        <f t="shared" si="29"/>
        <v>0</v>
      </c>
      <c r="Q71" s="1173"/>
      <c r="R71" s="1173">
        <f t="shared" si="30"/>
        <v>0</v>
      </c>
      <c r="S71" s="1546">
        <f t="shared" si="31"/>
        <v>0</v>
      </c>
      <c r="T71" s="1546">
        <f t="shared" si="32"/>
        <v>0</v>
      </c>
      <c r="U71" s="1382">
        <f>'Table 5C1A-Madison Prep'!U71</f>
        <v>5110</v>
      </c>
      <c r="V71" s="1516">
        <f t="shared" si="33"/>
        <v>0</v>
      </c>
      <c r="W71" s="1400"/>
      <c r="X71" s="1383">
        <f t="shared" si="34"/>
        <v>0</v>
      </c>
      <c r="Y71" s="1400"/>
      <c r="Z71" s="1383">
        <f t="shared" si="35"/>
        <v>0</v>
      </c>
      <c r="AA71" s="1384">
        <f t="shared" si="36"/>
        <v>0</v>
      </c>
      <c r="AB71" s="1511">
        <f t="shared" si="37"/>
        <v>0</v>
      </c>
      <c r="AC71" s="1402">
        <f t="shared" si="38"/>
        <v>0</v>
      </c>
      <c r="AD71" s="1511">
        <f t="shared" si="39"/>
        <v>0</v>
      </c>
      <c r="AE71" s="1385">
        <v>0</v>
      </c>
      <c r="AF71" s="1511">
        <f t="shared" si="40"/>
        <v>0</v>
      </c>
      <c r="AG71" s="1385"/>
      <c r="AH71" s="1385">
        <f t="shared" si="41"/>
        <v>0</v>
      </c>
      <c r="AI71" s="1511">
        <f t="shared" si="42"/>
        <v>0</v>
      </c>
      <c r="AJ71" s="1531">
        <f t="shared" si="43"/>
        <v>0</v>
      </c>
      <c r="AK71" s="1536">
        <f t="shared" si="44"/>
        <v>0</v>
      </c>
    </row>
    <row r="72" spans="1:37" ht="16.2" customHeight="1">
      <c r="A72" s="1176">
        <v>66</v>
      </c>
      <c r="B72" s="1177" t="s">
        <v>145</v>
      </c>
      <c r="C72" s="1197">
        <f>+'Table 8 Membership 2.1.14'!T68</f>
        <v>0</v>
      </c>
      <c r="D72" s="1198">
        <f>+'Table 5C1A-Madison Prep'!D72</f>
        <v>6564.0085433910035</v>
      </c>
      <c r="E72" s="1199">
        <f t="shared" ref="E72:E75" si="46">C72*D72</f>
        <v>0</v>
      </c>
      <c r="F72" s="1199">
        <f>+'Table 5C1A-Madison Prep'!F72</f>
        <v>730.06</v>
      </c>
      <c r="G72" s="1199">
        <f t="shared" ref="G72:G75" si="47">C72*F72</f>
        <v>0</v>
      </c>
      <c r="H72" s="1403">
        <f t="shared" ref="H72:H75" si="48">E72+G72</f>
        <v>0</v>
      </c>
      <c r="I72" s="1200"/>
      <c r="J72" s="1200"/>
      <c r="K72" s="1201">
        <f t="shared" ref="K72:K75" si="49">+I72+J72</f>
        <v>0</v>
      </c>
      <c r="L72" s="1403">
        <f t="shared" ref="L72:L75" si="50">+H72+K72</f>
        <v>0</v>
      </c>
      <c r="M72" s="1423">
        <f t="shared" si="45"/>
        <v>0</v>
      </c>
      <c r="N72" s="1403">
        <f t="shared" ref="N72:N75" si="51">SUM(L72:M72)</f>
        <v>0</v>
      </c>
      <c r="O72" s="1198">
        <v>0</v>
      </c>
      <c r="P72" s="1398">
        <f t="shared" ref="P72:P75" si="52">SUM(N72:O72)</f>
        <v>0</v>
      </c>
      <c r="Q72" s="1200"/>
      <c r="R72" s="1200">
        <f t="shared" ref="R72:R75" si="53">+P72-Q72</f>
        <v>0</v>
      </c>
      <c r="S72" s="1398">
        <f t="shared" ref="S72:S75" si="54">ROUND(R72/12,0)</f>
        <v>0</v>
      </c>
      <c r="T72" s="1398">
        <f t="shared" ref="T72:T75" si="55">+P72</f>
        <v>0</v>
      </c>
      <c r="U72" s="1389">
        <f>'Table 5C1A-Madison Prep'!U72</f>
        <v>3369</v>
      </c>
      <c r="V72" s="1515">
        <f t="shared" ref="V72:V75" si="56">C72*U72</f>
        <v>0</v>
      </c>
      <c r="W72" s="1391"/>
      <c r="X72" s="1392">
        <f t="shared" ref="X72:X75" si="57">+U72*W72</f>
        <v>0</v>
      </c>
      <c r="Y72" s="1391"/>
      <c r="Z72" s="1392">
        <f t="shared" ref="Z72:Z75" si="58">+U72*Y72*0.5</f>
        <v>0</v>
      </c>
      <c r="AA72" s="1390">
        <f t="shared" ref="AA72:AA75" si="59">+X72+Z72</f>
        <v>0</v>
      </c>
      <c r="AB72" s="1510">
        <f t="shared" ref="AB72:AB75" si="60">+V72+AA72</f>
        <v>0</v>
      </c>
      <c r="AC72" s="1394">
        <f t="shared" ref="AC72:AC75" si="61">-(0.25%*AB72)</f>
        <v>0</v>
      </c>
      <c r="AD72" s="1510">
        <f t="shared" ref="AD72:AD75" si="62">SUM(AB72:AC72)</f>
        <v>0</v>
      </c>
      <c r="AE72" s="1395">
        <v>0</v>
      </c>
      <c r="AF72" s="1510">
        <f t="shared" ref="AF72:AF75" si="63">SUM(AD72:AE72)</f>
        <v>0</v>
      </c>
      <c r="AG72" s="1395"/>
      <c r="AH72" s="1395">
        <f t="shared" ref="AH72:AH75" si="64">+AF72-AG72</f>
        <v>0</v>
      </c>
      <c r="AI72" s="1510">
        <f t="shared" ref="AI72:AI75" si="65">ROUND(AH72/12,0)</f>
        <v>0</v>
      </c>
      <c r="AJ72" s="1505">
        <f t="shared" ref="AJ72:AJ75" si="66">T72+AF72</f>
        <v>0</v>
      </c>
      <c r="AK72" s="1505">
        <f t="shared" ref="AK72:AK75" si="67">S72+AI72</f>
        <v>0</v>
      </c>
    </row>
    <row r="73" spans="1:37" ht="16.2" customHeight="1">
      <c r="A73" s="1176">
        <v>67</v>
      </c>
      <c r="B73" s="1177" t="s">
        <v>30</v>
      </c>
      <c r="C73" s="1197">
        <f>+'Table 8 Membership 2.1.14'!T69</f>
        <v>0</v>
      </c>
      <c r="D73" s="1198">
        <f>+'Table 5C1A-Madison Prep'!D73</f>
        <v>5029.1467736134118</v>
      </c>
      <c r="E73" s="1199">
        <f t="shared" si="46"/>
        <v>0</v>
      </c>
      <c r="F73" s="1199">
        <f>+'Table 5C1A-Madison Prep'!F73</f>
        <v>715.61</v>
      </c>
      <c r="G73" s="1199">
        <f t="shared" si="47"/>
        <v>0</v>
      </c>
      <c r="H73" s="1403">
        <f t="shared" si="48"/>
        <v>0</v>
      </c>
      <c r="I73" s="1200"/>
      <c r="J73" s="1200"/>
      <c r="K73" s="1201">
        <f t="shared" si="49"/>
        <v>0</v>
      </c>
      <c r="L73" s="1403">
        <f t="shared" si="50"/>
        <v>0</v>
      </c>
      <c r="M73" s="1423">
        <f t="shared" si="45"/>
        <v>0</v>
      </c>
      <c r="N73" s="1403">
        <f t="shared" si="51"/>
        <v>0</v>
      </c>
      <c r="O73" s="1198">
        <v>0</v>
      </c>
      <c r="P73" s="1398">
        <f t="shared" si="52"/>
        <v>0</v>
      </c>
      <c r="Q73" s="1200"/>
      <c r="R73" s="1200">
        <f t="shared" si="53"/>
        <v>0</v>
      </c>
      <c r="S73" s="1398">
        <f t="shared" si="54"/>
        <v>0</v>
      </c>
      <c r="T73" s="1398">
        <f t="shared" si="55"/>
        <v>0</v>
      </c>
      <c r="U73" s="1389">
        <f>'Table 5C1A-Madison Prep'!U73</f>
        <v>5015</v>
      </c>
      <c r="V73" s="1515">
        <f t="shared" si="56"/>
        <v>0</v>
      </c>
      <c r="W73" s="1391"/>
      <c r="X73" s="1392">
        <f t="shared" si="57"/>
        <v>0</v>
      </c>
      <c r="Y73" s="1391"/>
      <c r="Z73" s="1392">
        <f t="shared" si="58"/>
        <v>0</v>
      </c>
      <c r="AA73" s="1390">
        <f t="shared" si="59"/>
        <v>0</v>
      </c>
      <c r="AB73" s="1510">
        <f t="shared" si="60"/>
        <v>0</v>
      </c>
      <c r="AC73" s="1394">
        <f t="shared" si="61"/>
        <v>0</v>
      </c>
      <c r="AD73" s="1510">
        <f t="shared" si="62"/>
        <v>0</v>
      </c>
      <c r="AE73" s="1395">
        <v>0</v>
      </c>
      <c r="AF73" s="1510">
        <f t="shared" si="63"/>
        <v>0</v>
      </c>
      <c r="AG73" s="1395"/>
      <c r="AH73" s="1395">
        <f t="shared" si="64"/>
        <v>0</v>
      </c>
      <c r="AI73" s="1510">
        <f t="shared" si="65"/>
        <v>0</v>
      </c>
      <c r="AJ73" s="1505">
        <f t="shared" si="66"/>
        <v>0</v>
      </c>
      <c r="AK73" s="1505">
        <f t="shared" si="67"/>
        <v>0</v>
      </c>
    </row>
    <row r="74" spans="1:37" ht="16.2" customHeight="1">
      <c r="A74" s="1176">
        <v>68</v>
      </c>
      <c r="B74" s="1177" t="s">
        <v>28</v>
      </c>
      <c r="C74" s="1197">
        <f>+'Table 8 Membership 2.1.14'!T70</f>
        <v>0</v>
      </c>
      <c r="D74" s="1198">
        <f>+'Table 5C1A-Madison Prep'!D74</f>
        <v>6390.1644202560601</v>
      </c>
      <c r="E74" s="1199">
        <f t="shared" si="46"/>
        <v>0</v>
      </c>
      <c r="F74" s="1199">
        <f>+'Table 5C1A-Madison Prep'!F74</f>
        <v>798.7</v>
      </c>
      <c r="G74" s="1199">
        <f t="shared" si="47"/>
        <v>0</v>
      </c>
      <c r="H74" s="1403">
        <f t="shared" si="48"/>
        <v>0</v>
      </c>
      <c r="I74" s="1200"/>
      <c r="J74" s="1200"/>
      <c r="K74" s="1201">
        <f t="shared" si="49"/>
        <v>0</v>
      </c>
      <c r="L74" s="1403">
        <f t="shared" si="50"/>
        <v>0</v>
      </c>
      <c r="M74" s="1423">
        <f t="shared" si="45"/>
        <v>0</v>
      </c>
      <c r="N74" s="1403">
        <f t="shared" si="51"/>
        <v>0</v>
      </c>
      <c r="O74" s="1198">
        <v>0</v>
      </c>
      <c r="P74" s="1398">
        <f t="shared" si="52"/>
        <v>0</v>
      </c>
      <c r="Q74" s="1200"/>
      <c r="R74" s="1200">
        <f t="shared" si="53"/>
        <v>0</v>
      </c>
      <c r="S74" s="1398">
        <f t="shared" si="54"/>
        <v>0</v>
      </c>
      <c r="T74" s="1398">
        <f t="shared" si="55"/>
        <v>0</v>
      </c>
      <c r="U74" s="1389">
        <f>'Table 5C1A-Madison Prep'!U74</f>
        <v>2669</v>
      </c>
      <c r="V74" s="1515">
        <f t="shared" si="56"/>
        <v>0</v>
      </c>
      <c r="W74" s="1391"/>
      <c r="X74" s="1392">
        <f t="shared" si="57"/>
        <v>0</v>
      </c>
      <c r="Y74" s="1391"/>
      <c r="Z74" s="1392">
        <f t="shared" si="58"/>
        <v>0</v>
      </c>
      <c r="AA74" s="1390">
        <f t="shared" si="59"/>
        <v>0</v>
      </c>
      <c r="AB74" s="1510">
        <f t="shared" si="60"/>
        <v>0</v>
      </c>
      <c r="AC74" s="1394">
        <f t="shared" si="61"/>
        <v>0</v>
      </c>
      <c r="AD74" s="1510">
        <f t="shared" si="62"/>
        <v>0</v>
      </c>
      <c r="AE74" s="1395">
        <v>0</v>
      </c>
      <c r="AF74" s="1510">
        <f t="shared" si="63"/>
        <v>0</v>
      </c>
      <c r="AG74" s="1395"/>
      <c r="AH74" s="1395">
        <f t="shared" si="64"/>
        <v>0</v>
      </c>
      <c r="AI74" s="1510">
        <f t="shared" si="65"/>
        <v>0</v>
      </c>
      <c r="AJ74" s="1505">
        <f t="shared" si="66"/>
        <v>0</v>
      </c>
      <c r="AK74" s="1505">
        <f t="shared" si="67"/>
        <v>0</v>
      </c>
    </row>
    <row r="75" spans="1:37" ht="16.2" customHeight="1">
      <c r="A75" s="1190">
        <v>69</v>
      </c>
      <c r="B75" s="1191" t="s">
        <v>183</v>
      </c>
      <c r="C75" s="1192">
        <f>+'Table 8 Membership 2.1.14'!T71</f>
        <v>0</v>
      </c>
      <c r="D75" s="1193">
        <f>+'Table 5C1A-Madison Prep'!D75</f>
        <v>5722.4947921281337</v>
      </c>
      <c r="E75" s="1194">
        <f t="shared" si="46"/>
        <v>0</v>
      </c>
      <c r="F75" s="1194">
        <f>+'Table 5C1A-Madison Prep'!F75</f>
        <v>705.67</v>
      </c>
      <c r="G75" s="1194">
        <f t="shared" si="47"/>
        <v>0</v>
      </c>
      <c r="H75" s="1541">
        <f t="shared" si="48"/>
        <v>0</v>
      </c>
      <c r="I75" s="1195"/>
      <c r="J75" s="1195"/>
      <c r="K75" s="1196">
        <f t="shared" si="49"/>
        <v>0</v>
      </c>
      <c r="L75" s="1541">
        <f t="shared" si="50"/>
        <v>0</v>
      </c>
      <c r="M75" s="1405">
        <f>-(0.25%*L75)</f>
        <v>0</v>
      </c>
      <c r="N75" s="1541">
        <f t="shared" si="51"/>
        <v>0</v>
      </c>
      <c r="O75" s="1193">
        <v>0</v>
      </c>
      <c r="P75" s="1547">
        <f t="shared" si="52"/>
        <v>0</v>
      </c>
      <c r="Q75" s="1195"/>
      <c r="R75" s="1195">
        <f t="shared" si="53"/>
        <v>0</v>
      </c>
      <c r="S75" s="1547">
        <f t="shared" si="54"/>
        <v>0</v>
      </c>
      <c r="T75" s="1547">
        <f t="shared" si="55"/>
        <v>0</v>
      </c>
      <c r="U75" s="653">
        <f>'Table 5C1A-Madison Prep'!U75</f>
        <v>3394</v>
      </c>
      <c r="V75" s="1517">
        <f t="shared" si="56"/>
        <v>0</v>
      </c>
      <c r="W75" s="1407"/>
      <c r="X75" s="1408">
        <f t="shared" si="57"/>
        <v>0</v>
      </c>
      <c r="Y75" s="1407"/>
      <c r="Z75" s="1408">
        <f t="shared" si="58"/>
        <v>0</v>
      </c>
      <c r="AA75" s="1406">
        <f t="shared" si="59"/>
        <v>0</v>
      </c>
      <c r="AB75" s="1512">
        <f t="shared" si="60"/>
        <v>0</v>
      </c>
      <c r="AC75" s="1410">
        <f t="shared" si="61"/>
        <v>0</v>
      </c>
      <c r="AD75" s="1512">
        <f t="shared" si="62"/>
        <v>0</v>
      </c>
      <c r="AE75" s="1416">
        <v>0</v>
      </c>
      <c r="AF75" s="1512">
        <f t="shared" si="63"/>
        <v>0</v>
      </c>
      <c r="AG75" s="1416"/>
      <c r="AH75" s="1416">
        <f t="shared" si="64"/>
        <v>0</v>
      </c>
      <c r="AI75" s="1512">
        <f t="shared" si="65"/>
        <v>0</v>
      </c>
      <c r="AJ75" s="1506">
        <f t="shared" si="66"/>
        <v>0</v>
      </c>
      <c r="AK75" s="1506">
        <f t="shared" si="67"/>
        <v>0</v>
      </c>
    </row>
    <row r="76" spans="1:37" ht="16.2" customHeight="1" thickBot="1">
      <c r="A76" s="2221" t="s">
        <v>1045</v>
      </c>
      <c r="B76" s="2194"/>
      <c r="C76" s="470">
        <f>SUM(C7:C75)</f>
        <v>323</v>
      </c>
      <c r="D76" s="471">
        <f>+'Table 5C1A-Madison Prep'!D76</f>
        <v>4479.9292126977662</v>
      </c>
      <c r="E76" s="480">
        <f>SUM(E7:E75)</f>
        <v>1886080.9562810729</v>
      </c>
      <c r="F76" s="480">
        <f>+'Table 5C1A-Madison Prep'!F76</f>
        <v>704.64781030742063</v>
      </c>
      <c r="G76" s="480">
        <f t="shared" ref="G76:R76" si="68">SUM(G7:G75)</f>
        <v>190376.31</v>
      </c>
      <c r="H76" s="1542">
        <f t="shared" si="68"/>
        <v>2076457.266281073</v>
      </c>
      <c r="I76" s="640">
        <f t="shared" si="68"/>
        <v>0</v>
      </c>
      <c r="J76" s="640">
        <f t="shared" si="68"/>
        <v>0</v>
      </c>
      <c r="K76" s="616">
        <f t="shared" si="68"/>
        <v>0</v>
      </c>
      <c r="L76" s="1560">
        <f t="shared" si="68"/>
        <v>2076457.266281073</v>
      </c>
      <c r="M76" s="481">
        <f t="shared" si="68"/>
        <v>-5191.1431657026815</v>
      </c>
      <c r="N76" s="1542">
        <f t="shared" si="68"/>
        <v>2071266.1231153703</v>
      </c>
      <c r="O76" s="471">
        <f t="shared" si="68"/>
        <v>0</v>
      </c>
      <c r="P76" s="1548">
        <f t="shared" si="68"/>
        <v>2071266.1231153703</v>
      </c>
      <c r="Q76" s="640"/>
      <c r="R76" s="640">
        <f t="shared" si="68"/>
        <v>2071266.1231153703</v>
      </c>
      <c r="S76" s="1548">
        <f>SUM(S7:S75)</f>
        <v>172606</v>
      </c>
      <c r="T76" s="1548">
        <f>SUM(T7:T75)</f>
        <v>2071266.1231153703</v>
      </c>
      <c r="U76" s="658">
        <f>'Table 5C1A-Madison Prep'!U76</f>
        <v>4663</v>
      </c>
      <c r="V76" s="1518">
        <f t="shared" ref="V76:AK76" si="69">SUM(V7:V75)</f>
        <v>846580</v>
      </c>
      <c r="W76" s="646">
        <f t="shared" si="69"/>
        <v>0</v>
      </c>
      <c r="X76" s="647">
        <f t="shared" si="69"/>
        <v>0</v>
      </c>
      <c r="Y76" s="646">
        <f t="shared" si="69"/>
        <v>0</v>
      </c>
      <c r="Z76" s="647">
        <f t="shared" si="69"/>
        <v>0</v>
      </c>
      <c r="AA76" s="633">
        <f t="shared" si="69"/>
        <v>0</v>
      </c>
      <c r="AB76" s="1520">
        <f t="shared" si="69"/>
        <v>846580</v>
      </c>
      <c r="AC76" s="482">
        <f t="shared" si="69"/>
        <v>-2116.4500000000003</v>
      </c>
      <c r="AD76" s="1518">
        <f t="shared" si="69"/>
        <v>844463.55</v>
      </c>
      <c r="AE76" s="660">
        <f t="shared" si="69"/>
        <v>0</v>
      </c>
      <c r="AF76" s="1518">
        <f t="shared" si="69"/>
        <v>844463.55</v>
      </c>
      <c r="AG76" s="647">
        <f t="shared" si="69"/>
        <v>0</v>
      </c>
      <c r="AH76" s="647">
        <f t="shared" si="69"/>
        <v>844463.55</v>
      </c>
      <c r="AI76" s="1518">
        <f t="shared" si="69"/>
        <v>70372</v>
      </c>
      <c r="AJ76" s="1532">
        <f t="shared" si="69"/>
        <v>2915729.6731153699</v>
      </c>
      <c r="AK76" s="1532">
        <f t="shared" si="69"/>
        <v>242978</v>
      </c>
    </row>
    <row r="77" spans="1:37" s="608" customFormat="1" ht="16.2" customHeight="1" thickTop="1">
      <c r="A77" s="2330" t="s">
        <v>1039</v>
      </c>
      <c r="B77" s="2338"/>
      <c r="C77" s="1425"/>
      <c r="D77" s="1198"/>
      <c r="E77" s="1198"/>
      <c r="F77" s="1198"/>
      <c r="G77" s="1198"/>
      <c r="H77" s="1198"/>
      <c r="I77" s="1200"/>
      <c r="J77" s="1200"/>
      <c r="K77" s="1200"/>
      <c r="L77" s="1198"/>
      <c r="M77" s="1200"/>
      <c r="N77" s="1198"/>
      <c r="O77" s="1198"/>
      <c r="P77" s="1398">
        <f>'Table 4 Level 4'!$E109</f>
        <v>0</v>
      </c>
      <c r="Q77" s="1200"/>
      <c r="R77" s="1200">
        <f t="shared" ref="R77" si="70">+P77-Q77</f>
        <v>0</v>
      </c>
      <c r="S77" s="1398">
        <f t="shared" ref="S77" si="71">ROUND(R77/12,0)</f>
        <v>0</v>
      </c>
      <c r="T77" s="1398">
        <f>'Table 4 Level 4'!$E109</f>
        <v>0</v>
      </c>
      <c r="U77" s="1389"/>
      <c r="V77" s="1392"/>
      <c r="W77" s="1391"/>
      <c r="X77" s="1392"/>
      <c r="Y77" s="1391"/>
      <c r="Z77" s="1392"/>
      <c r="AA77" s="1392"/>
      <c r="AB77" s="1395"/>
      <c r="AC77" s="1392"/>
      <c r="AD77" s="1395"/>
      <c r="AE77" s="1395"/>
      <c r="AF77" s="1395"/>
      <c r="AG77" s="1395"/>
      <c r="AH77" s="1395"/>
      <c r="AI77" s="1395"/>
      <c r="AJ77" s="1505">
        <f t="shared" ref="AJ77:AJ81" si="72">T77+AF77</f>
        <v>0</v>
      </c>
      <c r="AK77" s="1505">
        <f t="shared" ref="AK77:AK81" si="73">S77+AI77</f>
        <v>0</v>
      </c>
    </row>
    <row r="78" spans="1:37" s="608" customFormat="1" ht="16.2" customHeight="1">
      <c r="A78" s="2332" t="s">
        <v>1040</v>
      </c>
      <c r="B78" s="2339"/>
      <c r="C78" s="1425"/>
      <c r="D78" s="1198"/>
      <c r="E78" s="1198"/>
      <c r="F78" s="1198"/>
      <c r="G78" s="1198"/>
      <c r="H78" s="1198"/>
      <c r="I78" s="1200"/>
      <c r="J78" s="1200"/>
      <c r="K78" s="1200"/>
      <c r="L78" s="1198"/>
      <c r="M78" s="1200"/>
      <c r="N78" s="1198"/>
      <c r="O78" s="1198"/>
      <c r="P78" s="1200">
        <v>0</v>
      </c>
      <c r="Q78" s="1200"/>
      <c r="R78" s="1200"/>
      <c r="S78" s="1200">
        <v>0</v>
      </c>
      <c r="T78" s="1398">
        <f>'Table 4 Level 4'!$J109</f>
        <v>0</v>
      </c>
      <c r="U78" s="1389"/>
      <c r="V78" s="1392"/>
      <c r="W78" s="1391"/>
      <c r="X78" s="1392"/>
      <c r="Y78" s="1391"/>
      <c r="Z78" s="1392"/>
      <c r="AA78" s="1392"/>
      <c r="AB78" s="1395"/>
      <c r="AC78" s="1392"/>
      <c r="AD78" s="1395"/>
      <c r="AE78" s="1395"/>
      <c r="AF78" s="1395"/>
      <c r="AG78" s="1395"/>
      <c r="AH78" s="1395"/>
      <c r="AI78" s="1395"/>
      <c r="AJ78" s="1505">
        <f t="shared" si="72"/>
        <v>0</v>
      </c>
      <c r="AK78" s="1395"/>
    </row>
    <row r="79" spans="1:37" s="608" customFormat="1" ht="16.2" customHeight="1">
      <c r="A79" s="2332" t="s">
        <v>1041</v>
      </c>
      <c r="B79" s="2339"/>
      <c r="C79" s="1425"/>
      <c r="D79" s="1198"/>
      <c r="E79" s="1198"/>
      <c r="F79" s="1198"/>
      <c r="G79" s="1198"/>
      <c r="H79" s="1198"/>
      <c r="I79" s="1200"/>
      <c r="J79" s="1200"/>
      <c r="K79" s="1200"/>
      <c r="L79" s="1198"/>
      <c r="M79" s="1200"/>
      <c r="N79" s="1198"/>
      <c r="O79" s="1198"/>
      <c r="P79" s="1200">
        <v>0</v>
      </c>
      <c r="Q79" s="1200"/>
      <c r="R79" s="1200"/>
      <c r="S79" s="1200">
        <v>0</v>
      </c>
      <c r="T79" s="1398">
        <f>'Table 4 Level 4'!$K109</f>
        <v>0</v>
      </c>
      <c r="U79" s="1389"/>
      <c r="V79" s="1392"/>
      <c r="W79" s="1391"/>
      <c r="X79" s="1392"/>
      <c r="Y79" s="1391"/>
      <c r="Z79" s="1392"/>
      <c r="AA79" s="1392"/>
      <c r="AB79" s="1395"/>
      <c r="AC79" s="1392"/>
      <c r="AD79" s="1395"/>
      <c r="AE79" s="1395"/>
      <c r="AF79" s="1395"/>
      <c r="AG79" s="1395"/>
      <c r="AH79" s="1395"/>
      <c r="AI79" s="1395"/>
      <c r="AJ79" s="1505">
        <f t="shared" si="72"/>
        <v>0</v>
      </c>
      <c r="AK79" s="1395"/>
    </row>
    <row r="80" spans="1:37" s="608" customFormat="1" ht="16.2" customHeight="1">
      <c r="A80" s="2332" t="s">
        <v>1042</v>
      </c>
      <c r="B80" s="2339"/>
      <c r="C80" s="1425"/>
      <c r="D80" s="1198"/>
      <c r="E80" s="1198"/>
      <c r="F80" s="1198"/>
      <c r="G80" s="1198"/>
      <c r="H80" s="1198"/>
      <c r="I80" s="1200"/>
      <c r="J80" s="1200"/>
      <c r="K80" s="1200"/>
      <c r="L80" s="1198"/>
      <c r="M80" s="1200"/>
      <c r="N80" s="1198"/>
      <c r="O80" s="1198"/>
      <c r="P80" s="1200">
        <v>0</v>
      </c>
      <c r="Q80" s="1200"/>
      <c r="R80" s="1200"/>
      <c r="S80" s="1200">
        <v>0</v>
      </c>
      <c r="T80" s="1398">
        <f>'Table 4 Level 4'!$L109</f>
        <v>0</v>
      </c>
      <c r="U80" s="1389"/>
      <c r="V80" s="1392"/>
      <c r="W80" s="1391"/>
      <c r="X80" s="1392"/>
      <c r="Y80" s="1391"/>
      <c r="Z80" s="1392"/>
      <c r="AA80" s="1392"/>
      <c r="AB80" s="1395"/>
      <c r="AC80" s="1392"/>
      <c r="AD80" s="1395"/>
      <c r="AE80" s="1395"/>
      <c r="AF80" s="1395"/>
      <c r="AG80" s="1395"/>
      <c r="AH80" s="1395"/>
      <c r="AI80" s="1395"/>
      <c r="AJ80" s="1505">
        <f t="shared" si="72"/>
        <v>0</v>
      </c>
      <c r="AK80" s="1395"/>
    </row>
    <row r="81" spans="1:37" s="608" customFormat="1" ht="16.2" customHeight="1">
      <c r="A81" s="2340" t="s">
        <v>1043</v>
      </c>
      <c r="B81" s="2341"/>
      <c r="C81" s="1417"/>
      <c r="D81" s="1193"/>
      <c r="E81" s="1193"/>
      <c r="F81" s="1193"/>
      <c r="G81" s="1193"/>
      <c r="H81" s="1193"/>
      <c r="I81" s="1195"/>
      <c r="J81" s="1195"/>
      <c r="K81" s="1195"/>
      <c r="L81" s="1193"/>
      <c r="M81" s="1195"/>
      <c r="N81" s="1193"/>
      <c r="O81" s="1193"/>
      <c r="P81" s="1547">
        <f>'Table 4 Level 4'!$N109</f>
        <v>2444</v>
      </c>
      <c r="Q81" s="1195"/>
      <c r="R81" s="1195">
        <f t="shared" ref="R81" si="74">+P81-Q81</f>
        <v>2444</v>
      </c>
      <c r="S81" s="1547">
        <f t="shared" ref="S81" si="75">ROUND(R81/12,0)</f>
        <v>204</v>
      </c>
      <c r="T81" s="1547">
        <f>'Table 4 Level 4'!$N109</f>
        <v>2444</v>
      </c>
      <c r="U81" s="1418"/>
      <c r="V81" s="1408"/>
      <c r="W81" s="1407"/>
      <c r="X81" s="1408"/>
      <c r="Y81" s="1407"/>
      <c r="Z81" s="1408"/>
      <c r="AA81" s="1408"/>
      <c r="AB81" s="1416"/>
      <c r="AC81" s="1408"/>
      <c r="AD81" s="1416"/>
      <c r="AE81" s="1416"/>
      <c r="AF81" s="1416"/>
      <c r="AG81" s="1416"/>
      <c r="AH81" s="1416"/>
      <c r="AI81" s="1416"/>
      <c r="AJ81" s="1506">
        <f t="shared" si="72"/>
        <v>2444</v>
      </c>
      <c r="AK81" s="1506">
        <f t="shared" si="73"/>
        <v>204</v>
      </c>
    </row>
    <row r="82" spans="1:37" s="608" customFormat="1" ht="16.2" customHeight="1" thickBot="1">
      <c r="A82" s="2221" t="s">
        <v>1044</v>
      </c>
      <c r="B82" s="2194"/>
      <c r="C82" s="1052">
        <f>SUM(C76:C81)</f>
        <v>323</v>
      </c>
      <c r="D82" s="1046">
        <f t="shared" ref="D82:AK82" si="76">SUM(D76:D81)</f>
        <v>4479.9292126977662</v>
      </c>
      <c r="E82" s="1046">
        <f t="shared" si="76"/>
        <v>1886080.9562810729</v>
      </c>
      <c r="F82" s="1046">
        <f t="shared" si="76"/>
        <v>704.64781030742063</v>
      </c>
      <c r="G82" s="1046">
        <f t="shared" si="76"/>
        <v>190376.31</v>
      </c>
      <c r="H82" s="1046">
        <f t="shared" si="76"/>
        <v>2076457.266281073</v>
      </c>
      <c r="I82" s="1053">
        <f t="shared" si="76"/>
        <v>0</v>
      </c>
      <c r="J82" s="1053">
        <f t="shared" si="76"/>
        <v>0</v>
      </c>
      <c r="K82" s="1053">
        <f t="shared" si="76"/>
        <v>0</v>
      </c>
      <c r="L82" s="1046">
        <f t="shared" si="76"/>
        <v>2076457.266281073</v>
      </c>
      <c r="M82" s="1053">
        <f t="shared" si="76"/>
        <v>-5191.1431657026815</v>
      </c>
      <c r="N82" s="1046">
        <f t="shared" si="76"/>
        <v>2071266.1231153703</v>
      </c>
      <c r="O82" s="1046">
        <f t="shared" si="76"/>
        <v>0</v>
      </c>
      <c r="P82" s="1549">
        <f t="shared" si="76"/>
        <v>2073710.1231153703</v>
      </c>
      <c r="Q82" s="1053">
        <f t="shared" si="76"/>
        <v>0</v>
      </c>
      <c r="R82" s="1053">
        <f t="shared" si="76"/>
        <v>2073710.1231153703</v>
      </c>
      <c r="S82" s="1549">
        <f t="shared" si="76"/>
        <v>172810</v>
      </c>
      <c r="T82" s="1549">
        <f t="shared" si="76"/>
        <v>2073710.1231153703</v>
      </c>
      <c r="U82" s="1058">
        <f t="shared" si="76"/>
        <v>4663</v>
      </c>
      <c r="V82" s="1055">
        <f t="shared" si="76"/>
        <v>846580</v>
      </c>
      <c r="W82" s="1057">
        <f t="shared" si="76"/>
        <v>0</v>
      </c>
      <c r="X82" s="1055">
        <f t="shared" si="76"/>
        <v>0</v>
      </c>
      <c r="Y82" s="1057">
        <f t="shared" si="76"/>
        <v>0</v>
      </c>
      <c r="Z82" s="1055">
        <f t="shared" si="76"/>
        <v>0</v>
      </c>
      <c r="AA82" s="1055">
        <f t="shared" si="76"/>
        <v>0</v>
      </c>
      <c r="AB82" s="1055">
        <f t="shared" si="76"/>
        <v>846580</v>
      </c>
      <c r="AC82" s="1055">
        <f t="shared" si="76"/>
        <v>-2116.4500000000003</v>
      </c>
      <c r="AD82" s="1055">
        <f t="shared" si="76"/>
        <v>844463.55</v>
      </c>
      <c r="AE82" s="1055">
        <f t="shared" si="76"/>
        <v>0</v>
      </c>
      <c r="AF82" s="1055">
        <f t="shared" si="76"/>
        <v>844463.55</v>
      </c>
      <c r="AG82" s="1055">
        <f t="shared" si="76"/>
        <v>0</v>
      </c>
      <c r="AH82" s="1055">
        <f t="shared" si="76"/>
        <v>844463.55</v>
      </c>
      <c r="AI82" s="1055">
        <f t="shared" si="76"/>
        <v>70372</v>
      </c>
      <c r="AJ82" s="1504">
        <f t="shared" si="76"/>
        <v>2918173.6731153699</v>
      </c>
      <c r="AK82" s="1504">
        <f t="shared" si="76"/>
        <v>243182</v>
      </c>
    </row>
    <row r="83" spans="1:37" ht="16.2" customHeight="1" thickTop="1"/>
    <row r="84" spans="1:37" ht="16.2" customHeight="1"/>
    <row r="85" spans="1:37" ht="16.2" customHeight="1"/>
    <row r="86" spans="1:37" ht="16.2" customHeight="1"/>
  </sheetData>
  <mergeCells count="43">
    <mergeCell ref="AC1:AI1"/>
    <mergeCell ref="T3:T4"/>
    <mergeCell ref="M1:T1"/>
    <mergeCell ref="C1:L1"/>
    <mergeCell ref="L3:L4"/>
    <mergeCell ref="AB3:AB4"/>
    <mergeCell ref="W2:AA2"/>
    <mergeCell ref="W3:W4"/>
    <mergeCell ref="X3:X4"/>
    <mergeCell ref="Y3:Y4"/>
    <mergeCell ref="Z3:Z4"/>
    <mergeCell ref="AG3:AG4"/>
    <mergeCell ref="AH3:AH4"/>
    <mergeCell ref="AI3:AI4"/>
    <mergeCell ref="U1:AB1"/>
    <mergeCell ref="A1:B4"/>
    <mergeCell ref="I2:K2"/>
    <mergeCell ref="I3:I4"/>
    <mergeCell ref="J3:J4"/>
    <mergeCell ref="K3:K4"/>
    <mergeCell ref="AJ1:AJ4"/>
    <mergeCell ref="AK1:AK4"/>
    <mergeCell ref="C3:C4"/>
    <mergeCell ref="D3:D4"/>
    <mergeCell ref="E3:E4"/>
    <mergeCell ref="F3:F4"/>
    <mergeCell ref="G3:G4"/>
    <mergeCell ref="AD3:AD4"/>
    <mergeCell ref="AE3:AE4"/>
    <mergeCell ref="AF3:AF4"/>
    <mergeCell ref="H3:H4"/>
    <mergeCell ref="N3:N4"/>
    <mergeCell ref="O3:O4"/>
    <mergeCell ref="P3:P4"/>
    <mergeCell ref="S3:S4"/>
    <mergeCell ref="U3:U4"/>
    <mergeCell ref="A82:B82"/>
    <mergeCell ref="A76:B76"/>
    <mergeCell ref="A77:B77"/>
    <mergeCell ref="A78:B78"/>
    <mergeCell ref="A79:B79"/>
    <mergeCell ref="A80:B80"/>
    <mergeCell ref="A81:B81"/>
  </mergeCells>
  <printOptions horizontalCentered="1"/>
  <pageMargins left="0.32" right="0.32" top="0.75" bottom="0.75" header="0.3" footer="0.3"/>
  <pageSetup paperSize="5" scale="60" firstPageNumber="56" orientation="portrait" r:id="rId1"/>
  <headerFooter>
    <oddHeader>&amp;L&amp;"Arial,Bold"&amp;20&amp;K000000Table 5C1-N: FY2014-15 MFP Budget Letter 
Delta Charter School</oddHeader>
    <oddFooter>&amp;R&amp;P</oddFooter>
  </headerFooter>
  <colBreaks count="3" manualBreakCount="3">
    <brk id="12" max="1048575" man="1"/>
    <brk id="20" max="1048575" man="1"/>
    <brk id="28" max="81"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K86"/>
  <sheetViews>
    <sheetView view="pageBreakPreview" zoomScale="80" zoomScaleNormal="100" zoomScaleSheetLayoutView="80" workbookViewId="0">
      <pane xSplit="2" ySplit="6" topLeftCell="C7" activePane="bottomRight" state="frozen"/>
      <selection sqref="A1:H1"/>
      <selection pane="topRight" sqref="A1:H1"/>
      <selection pane="bottomLeft" sqref="A1:H1"/>
      <selection pane="bottomRight" sqref="A1:H1"/>
    </sheetView>
  </sheetViews>
  <sheetFormatPr defaultColWidth="8.88671875" defaultRowHeight="13.2"/>
  <cols>
    <col min="1" max="1" width="5" style="608" customWidth="1"/>
    <col min="2" max="2" width="37.6640625" style="608" customWidth="1"/>
    <col min="3" max="3" width="12.109375" style="608" customWidth="1"/>
    <col min="4" max="4" width="13.6640625" style="608" customWidth="1"/>
    <col min="5" max="5" width="9.88671875" style="608" customWidth="1"/>
    <col min="6" max="7" width="12.33203125" style="608" customWidth="1"/>
    <col min="8" max="8" width="11.5546875" style="608" customWidth="1"/>
    <col min="9" max="12" width="12" style="608" customWidth="1"/>
    <col min="13" max="13" width="10.88671875" style="608" bestFit="1" customWidth="1"/>
    <col min="14" max="14" width="13.109375" style="608" customWidth="1"/>
    <col min="15" max="15" width="13.44140625" style="608" bestFit="1" customWidth="1"/>
    <col min="16" max="16" width="14.6640625" style="608" customWidth="1"/>
    <col min="17" max="18" width="14" style="608" customWidth="1"/>
    <col min="19" max="19" width="10.6640625" style="608" customWidth="1"/>
    <col min="20" max="20" width="14.88671875" style="608" customWidth="1"/>
    <col min="21" max="22" width="14.5546875" style="608" customWidth="1"/>
    <col min="23" max="27" width="11.6640625" style="608" customWidth="1"/>
    <col min="28" max="28" width="14.44140625" style="608" bestFit="1" customWidth="1"/>
    <col min="29" max="29" width="10.5546875" style="608" customWidth="1"/>
    <col min="30" max="30" width="14.44140625" style="608" bestFit="1" customWidth="1"/>
    <col min="31" max="31" width="11.88671875" style="608" bestFit="1" customWidth="1"/>
    <col min="32" max="32" width="14.44140625" style="608" bestFit="1" customWidth="1"/>
    <col min="33" max="33" width="9.5546875" style="608" bestFit="1" customWidth="1"/>
    <col min="34" max="34" width="9.33203125" style="608" bestFit="1" customWidth="1"/>
    <col min="35" max="35" width="14.44140625" style="608" bestFit="1" customWidth="1"/>
    <col min="36" max="36" width="14.33203125" style="608" customWidth="1"/>
    <col min="37" max="37" width="14.44140625" style="608" bestFit="1" customWidth="1"/>
    <col min="38" max="16384" width="8.88671875" style="608"/>
  </cols>
  <sheetData>
    <row r="1" spans="1:37" ht="21.6" customHeight="1">
      <c r="A1" s="2367" t="s">
        <v>1004</v>
      </c>
      <c r="B1" s="2368"/>
      <c r="C1" s="2319" t="s">
        <v>1089</v>
      </c>
      <c r="D1" s="2320"/>
      <c r="E1" s="2320"/>
      <c r="F1" s="2320"/>
      <c r="G1" s="2320"/>
      <c r="H1" s="2320"/>
      <c r="I1" s="2320"/>
      <c r="J1" s="2320"/>
      <c r="K1" s="2320"/>
      <c r="L1" s="2321"/>
      <c r="M1" s="2349" t="s">
        <v>1089</v>
      </c>
      <c r="N1" s="2350"/>
      <c r="O1" s="2350"/>
      <c r="P1" s="2350"/>
      <c r="Q1" s="2350"/>
      <c r="R1" s="2350"/>
      <c r="S1" s="2350"/>
      <c r="T1" s="2351"/>
      <c r="U1" s="2268" t="s">
        <v>1247</v>
      </c>
      <c r="V1" s="2266"/>
      <c r="W1" s="2266"/>
      <c r="X1" s="2266"/>
      <c r="Y1" s="2266"/>
      <c r="Z1" s="2266"/>
      <c r="AA1" s="2266"/>
      <c r="AB1" s="2267"/>
      <c r="AC1" s="2268" t="s">
        <v>1247</v>
      </c>
      <c r="AD1" s="2266"/>
      <c r="AE1" s="2266"/>
      <c r="AF1" s="2266"/>
      <c r="AG1" s="2266"/>
      <c r="AH1" s="2266"/>
      <c r="AI1" s="2267"/>
      <c r="AJ1" s="2302" t="s">
        <v>1272</v>
      </c>
      <c r="AK1" s="2302" t="s">
        <v>1273</v>
      </c>
    </row>
    <row r="2" spans="1:37" ht="24.6" customHeight="1">
      <c r="A2" s="2369"/>
      <c r="B2" s="2370"/>
      <c r="C2" s="2379" t="s">
        <v>1284</v>
      </c>
      <c r="D2" s="2380"/>
      <c r="E2" s="2380"/>
      <c r="F2" s="2380"/>
      <c r="G2" s="2380"/>
      <c r="H2" s="2381"/>
      <c r="I2" s="2334" t="s">
        <v>531</v>
      </c>
      <c r="J2" s="2335"/>
      <c r="K2" s="2336"/>
      <c r="L2" s="1567"/>
      <c r="M2" s="1565"/>
      <c r="N2" s="1566"/>
      <c r="O2" s="1566"/>
      <c r="P2" s="1566"/>
      <c r="Q2" s="1566"/>
      <c r="R2" s="1566"/>
      <c r="S2" s="1566"/>
      <c r="T2" s="1567"/>
      <c r="U2" s="2377" t="s">
        <v>1284</v>
      </c>
      <c r="V2" s="2378"/>
      <c r="W2" s="2362" t="s">
        <v>531</v>
      </c>
      <c r="X2" s="2363"/>
      <c r="Y2" s="2363"/>
      <c r="Z2" s="2363"/>
      <c r="AA2" s="2364"/>
      <c r="AB2" s="1527"/>
      <c r="AC2" s="1525"/>
      <c r="AD2" s="1526"/>
      <c r="AE2" s="1526"/>
      <c r="AF2" s="1526"/>
      <c r="AG2" s="1526"/>
      <c r="AH2" s="1526"/>
      <c r="AI2" s="1527"/>
      <c r="AJ2" s="2303"/>
      <c r="AK2" s="2303"/>
    </row>
    <row r="3" spans="1:37" ht="148.94999999999999" customHeight="1">
      <c r="A3" s="2371"/>
      <c r="B3" s="2370"/>
      <c r="C3" s="2375" t="s">
        <v>1285</v>
      </c>
      <c r="D3" s="2318" t="s">
        <v>1110</v>
      </c>
      <c r="E3" s="2318" t="s">
        <v>384</v>
      </c>
      <c r="F3" s="2306" t="s">
        <v>546</v>
      </c>
      <c r="G3" s="2306" t="s">
        <v>330</v>
      </c>
      <c r="H3" s="2306" t="s">
        <v>547</v>
      </c>
      <c r="I3" s="2299" t="s">
        <v>770</v>
      </c>
      <c r="J3" s="2299" t="s">
        <v>769</v>
      </c>
      <c r="K3" s="2299" t="s">
        <v>538</v>
      </c>
      <c r="L3" s="2300" t="s">
        <v>548</v>
      </c>
      <c r="M3" s="1496" t="s">
        <v>333</v>
      </c>
      <c r="N3" s="2306" t="s">
        <v>545</v>
      </c>
      <c r="O3" s="2307" t="s">
        <v>1036</v>
      </c>
      <c r="P3" s="2306" t="s">
        <v>1056</v>
      </c>
      <c r="Q3" s="1537" t="s">
        <v>760</v>
      </c>
      <c r="R3" s="1537" t="s">
        <v>761</v>
      </c>
      <c r="S3" s="2308" t="s">
        <v>544</v>
      </c>
      <c r="T3" s="2308" t="s">
        <v>1057</v>
      </c>
      <c r="U3" s="2309" t="s">
        <v>1267</v>
      </c>
      <c r="V3" s="1507" t="s">
        <v>1268</v>
      </c>
      <c r="W3" s="2312" t="s">
        <v>1253</v>
      </c>
      <c r="X3" s="2312" t="s">
        <v>1251</v>
      </c>
      <c r="Y3" s="2312" t="s">
        <v>1254</v>
      </c>
      <c r="Z3" s="2312" t="s">
        <v>1252</v>
      </c>
      <c r="AA3" s="1498" t="s">
        <v>551</v>
      </c>
      <c r="AB3" s="2313" t="s">
        <v>1269</v>
      </c>
      <c r="AC3" s="1507" t="s">
        <v>1094</v>
      </c>
      <c r="AD3" s="2309" t="s">
        <v>1270</v>
      </c>
      <c r="AE3" s="2307" t="s">
        <v>1036</v>
      </c>
      <c r="AF3" s="2309" t="s">
        <v>1271</v>
      </c>
      <c r="AG3" s="2322" t="s">
        <v>981</v>
      </c>
      <c r="AH3" s="2322" t="s">
        <v>761</v>
      </c>
      <c r="AI3" s="2322" t="s">
        <v>1242</v>
      </c>
      <c r="AJ3" s="2304"/>
      <c r="AK3" s="2304"/>
    </row>
    <row r="4" spans="1:37" ht="19.95" customHeight="1">
      <c r="A4" s="2372"/>
      <c r="B4" s="2373"/>
      <c r="C4" s="2376"/>
      <c r="D4" s="2318"/>
      <c r="E4" s="2318"/>
      <c r="F4" s="2301"/>
      <c r="G4" s="2301"/>
      <c r="H4" s="2301"/>
      <c r="I4" s="2251"/>
      <c r="J4" s="2251"/>
      <c r="K4" s="2251"/>
      <c r="L4" s="2301"/>
      <c r="M4" s="1568">
        <v>2.5000000000000001E-3</v>
      </c>
      <c r="N4" s="2301"/>
      <c r="O4" s="2251"/>
      <c r="P4" s="2301"/>
      <c r="Q4" s="1497"/>
      <c r="R4" s="1497"/>
      <c r="S4" s="2301"/>
      <c r="T4" s="2301"/>
      <c r="U4" s="2280"/>
      <c r="V4" s="1508"/>
      <c r="W4" s="2251"/>
      <c r="X4" s="2251"/>
      <c r="Y4" s="2251"/>
      <c r="Z4" s="2251"/>
      <c r="AA4" s="1494"/>
      <c r="AB4" s="2280" t="s">
        <v>537</v>
      </c>
      <c r="AC4" s="1570">
        <v>2.5000000000000001E-3</v>
      </c>
      <c r="AD4" s="2280"/>
      <c r="AE4" s="2251"/>
      <c r="AF4" s="2280"/>
      <c r="AG4" s="2323"/>
      <c r="AH4" s="2323"/>
      <c r="AI4" s="2323"/>
      <c r="AJ4" s="2305"/>
      <c r="AK4" s="2305"/>
    </row>
    <row r="5" spans="1:37" ht="14.25" customHeight="1">
      <c r="A5" s="463"/>
      <c r="B5" s="464"/>
      <c r="C5" s="465">
        <v>1</v>
      </c>
      <c r="D5" s="465">
        <f t="shared" ref="D5" si="0">C5+1</f>
        <v>2</v>
      </c>
      <c r="E5" s="465">
        <f>D5+1</f>
        <v>3</v>
      </c>
      <c r="F5" s="465">
        <f t="shared" ref="F5:AK5" si="1">E5+1</f>
        <v>4</v>
      </c>
      <c r="G5" s="465">
        <f t="shared" si="1"/>
        <v>5</v>
      </c>
      <c r="H5" s="465">
        <f t="shared" si="1"/>
        <v>6</v>
      </c>
      <c r="I5" s="465">
        <f t="shared" si="1"/>
        <v>7</v>
      </c>
      <c r="J5" s="465">
        <f t="shared" si="1"/>
        <v>8</v>
      </c>
      <c r="K5" s="465">
        <f t="shared" si="1"/>
        <v>9</v>
      </c>
      <c r="L5" s="465">
        <f t="shared" si="1"/>
        <v>10</v>
      </c>
      <c r="M5" s="465">
        <f t="shared" si="1"/>
        <v>11</v>
      </c>
      <c r="N5" s="465">
        <f t="shared" si="1"/>
        <v>12</v>
      </c>
      <c r="O5" s="465">
        <f t="shared" si="1"/>
        <v>13</v>
      </c>
      <c r="P5" s="465">
        <f t="shared" si="1"/>
        <v>14</v>
      </c>
      <c r="Q5" s="465">
        <f t="shared" si="1"/>
        <v>15</v>
      </c>
      <c r="R5" s="465">
        <f t="shared" si="1"/>
        <v>16</v>
      </c>
      <c r="S5" s="465">
        <f t="shared" si="1"/>
        <v>17</v>
      </c>
      <c r="T5" s="465">
        <f t="shared" ref="T5" si="2">S5+1</f>
        <v>18</v>
      </c>
      <c r="U5" s="465">
        <f t="shared" ref="U5" si="3">T5+1</f>
        <v>19</v>
      </c>
      <c r="V5" s="465">
        <f t="shared" si="1"/>
        <v>20</v>
      </c>
      <c r="W5" s="465">
        <f t="shared" si="1"/>
        <v>21</v>
      </c>
      <c r="X5" s="465">
        <f t="shared" si="1"/>
        <v>22</v>
      </c>
      <c r="Y5" s="465">
        <f t="shared" si="1"/>
        <v>23</v>
      </c>
      <c r="Z5" s="465">
        <f t="shared" si="1"/>
        <v>24</v>
      </c>
      <c r="AA5" s="465">
        <f t="shared" si="1"/>
        <v>25</v>
      </c>
      <c r="AB5" s="465">
        <f t="shared" si="1"/>
        <v>26</v>
      </c>
      <c r="AC5" s="465">
        <f t="shared" si="1"/>
        <v>27</v>
      </c>
      <c r="AD5" s="465">
        <f t="shared" si="1"/>
        <v>28</v>
      </c>
      <c r="AE5" s="465">
        <f t="shared" si="1"/>
        <v>29</v>
      </c>
      <c r="AF5" s="465">
        <f t="shared" si="1"/>
        <v>30</v>
      </c>
      <c r="AG5" s="465">
        <f t="shared" si="1"/>
        <v>31</v>
      </c>
      <c r="AH5" s="465">
        <f t="shared" si="1"/>
        <v>32</v>
      </c>
      <c r="AI5" s="465">
        <f t="shared" si="1"/>
        <v>33</v>
      </c>
      <c r="AJ5" s="465">
        <f t="shared" si="1"/>
        <v>34</v>
      </c>
      <c r="AK5" s="465">
        <f t="shared" si="1"/>
        <v>35</v>
      </c>
    </row>
    <row r="6" spans="1:37" ht="27" hidden="1" customHeight="1">
      <c r="A6" s="472"/>
      <c r="B6" s="473"/>
      <c r="C6" s="473"/>
      <c r="D6" s="473"/>
      <c r="E6" s="473"/>
      <c r="F6" s="473"/>
      <c r="G6" s="473"/>
      <c r="H6" s="473"/>
      <c r="I6" s="615"/>
      <c r="J6" s="615"/>
      <c r="K6" s="615"/>
      <c r="L6" s="615"/>
      <c r="M6" s="473"/>
      <c r="N6" s="473"/>
      <c r="O6" s="473"/>
      <c r="P6" s="473"/>
      <c r="Q6" s="615"/>
      <c r="R6" s="615"/>
      <c r="S6" s="473"/>
      <c r="T6" s="473"/>
      <c r="U6" s="473"/>
      <c r="V6" s="473"/>
      <c r="W6" s="615"/>
      <c r="X6" s="615"/>
      <c r="Y6" s="615"/>
      <c r="Z6" s="615"/>
      <c r="AA6" s="615"/>
      <c r="AB6" s="615"/>
      <c r="AC6" s="473"/>
      <c r="AD6" s="473"/>
      <c r="AE6" s="473"/>
      <c r="AF6" s="473"/>
      <c r="AG6" s="615"/>
      <c r="AH6" s="615"/>
      <c r="AI6" s="473"/>
      <c r="AJ6" s="473"/>
      <c r="AK6" s="473"/>
    </row>
    <row r="7" spans="1:37" ht="16.2" customHeight="1">
      <c r="A7" s="1183">
        <v>1</v>
      </c>
      <c r="B7" s="1184" t="s">
        <v>81</v>
      </c>
      <c r="C7" s="1185">
        <v>0</v>
      </c>
      <c r="D7" s="1186">
        <f>+'Table 5C1A-Madison Prep'!D7</f>
        <v>4765.8584413349836</v>
      </c>
      <c r="E7" s="1187">
        <f>C7*D7</f>
        <v>0</v>
      </c>
      <c r="F7" s="1187">
        <f>+'Table 5C1A-Madison Prep'!F7</f>
        <v>777.48</v>
      </c>
      <c r="G7" s="1187">
        <f>C7*F7</f>
        <v>0</v>
      </c>
      <c r="H7" s="1538">
        <f>E7+G7</f>
        <v>0</v>
      </c>
      <c r="I7" s="1188"/>
      <c r="J7" s="1188"/>
      <c r="K7" s="1189">
        <f>+I7+J7</f>
        <v>0</v>
      </c>
      <c r="L7" s="1538">
        <f>+H7+K7</f>
        <v>0</v>
      </c>
      <c r="M7" s="1372">
        <f t="shared" ref="M7:M70" si="4">-(0.25%*L7)</f>
        <v>0</v>
      </c>
      <c r="N7" s="1538">
        <f>SUM(L7:M7)</f>
        <v>0</v>
      </c>
      <c r="O7" s="1186">
        <v>0</v>
      </c>
      <c r="P7" s="1544">
        <f>SUM(N7:O7)</f>
        <v>0</v>
      </c>
      <c r="Q7" s="1188"/>
      <c r="R7" s="1188">
        <f>+P7-Q7</f>
        <v>0</v>
      </c>
      <c r="S7" s="1544">
        <f>ROUND(R7/12,0)</f>
        <v>0</v>
      </c>
      <c r="T7" s="1544">
        <f>+P7</f>
        <v>0</v>
      </c>
      <c r="U7" s="1373">
        <f>'Table 5C1A-Madison Prep'!U7</f>
        <v>2409</v>
      </c>
      <c r="V7" s="1514">
        <f>C7*U7</f>
        <v>0</v>
      </c>
      <c r="W7" s="1375"/>
      <c r="X7" s="1376">
        <f>+U7*W7</f>
        <v>0</v>
      </c>
      <c r="Y7" s="1375"/>
      <c r="Z7" s="1376">
        <f>+U7*Y7*0.5</f>
        <v>0</v>
      </c>
      <c r="AA7" s="1374">
        <f>+X7+Z7</f>
        <v>0</v>
      </c>
      <c r="AB7" s="1509">
        <f>+V7+AA7</f>
        <v>0</v>
      </c>
      <c r="AC7" s="1378">
        <f>-(0.25%*AB7)</f>
        <v>0</v>
      </c>
      <c r="AD7" s="1509">
        <f>SUM(AB7:AC7)</f>
        <v>0</v>
      </c>
      <c r="AE7" s="1379">
        <v>0</v>
      </c>
      <c r="AF7" s="1509">
        <f>SUM(AD7:AE7)</f>
        <v>0</v>
      </c>
      <c r="AG7" s="1379"/>
      <c r="AH7" s="1379">
        <f>+AF7-AG7</f>
        <v>0</v>
      </c>
      <c r="AI7" s="1509">
        <f>ROUND(AH7/12,0)</f>
        <v>0</v>
      </c>
      <c r="AJ7" s="1530">
        <f>T7+AF7</f>
        <v>0</v>
      </c>
      <c r="AK7" s="1534">
        <f>S7+AI7</f>
        <v>0</v>
      </c>
    </row>
    <row r="8" spans="1:37" ht="16.2" customHeight="1">
      <c r="A8" s="1176">
        <v>2</v>
      </c>
      <c r="B8" s="1177" t="s">
        <v>82</v>
      </c>
      <c r="C8" s="1178">
        <v>0</v>
      </c>
      <c r="D8" s="1179">
        <f>+'Table 5C1A-Madison Prep'!D8</f>
        <v>6316.6266417386641</v>
      </c>
      <c r="E8" s="1180">
        <f t="shared" ref="E8:E71" si="5">C8*D8</f>
        <v>0</v>
      </c>
      <c r="F8" s="1180">
        <f>+'Table 5C1A-Madison Prep'!F8</f>
        <v>842.32</v>
      </c>
      <c r="G8" s="1180">
        <f t="shared" ref="G8:G71" si="6">C8*F8</f>
        <v>0</v>
      </c>
      <c r="H8" s="1539">
        <f t="shared" ref="H8:H71" si="7">E8+G8</f>
        <v>0</v>
      </c>
      <c r="I8" s="1181"/>
      <c r="J8" s="1181"/>
      <c r="K8" s="1182">
        <f t="shared" ref="K8:K71" si="8">+I8+J8</f>
        <v>0</v>
      </c>
      <c r="L8" s="1539">
        <f t="shared" ref="L8:L71" si="9">+H8+K8</f>
        <v>0</v>
      </c>
      <c r="M8" s="1388">
        <f t="shared" si="4"/>
        <v>0</v>
      </c>
      <c r="N8" s="1539">
        <f t="shared" ref="N8:N71" si="10">SUM(L8:M8)</f>
        <v>0</v>
      </c>
      <c r="O8" s="1179">
        <v>0</v>
      </c>
      <c r="P8" s="1545">
        <f t="shared" ref="P8:P71" si="11">SUM(N8:O8)</f>
        <v>0</v>
      </c>
      <c r="Q8" s="1181"/>
      <c r="R8" s="1181">
        <f t="shared" ref="R8:R71" si="12">+P8-Q8</f>
        <v>0</v>
      </c>
      <c r="S8" s="1545">
        <f t="shared" ref="S8:S71" si="13">ROUND(R8/12,0)</f>
        <v>0</v>
      </c>
      <c r="T8" s="1545">
        <f t="shared" ref="T8:T71" si="14">+P8</f>
        <v>0</v>
      </c>
      <c r="U8" s="1389">
        <f>'Table 5C1A-Madison Prep'!U8</f>
        <v>2829</v>
      </c>
      <c r="V8" s="1515">
        <f t="shared" ref="V8:V71" si="15">C8*U8</f>
        <v>0</v>
      </c>
      <c r="W8" s="1391"/>
      <c r="X8" s="1392">
        <f t="shared" ref="X8:X71" si="16">+U8*W8</f>
        <v>0</v>
      </c>
      <c r="Y8" s="1391"/>
      <c r="Z8" s="1392">
        <f t="shared" ref="Z8:Z71" si="17">+U8*Y8*0.5</f>
        <v>0</v>
      </c>
      <c r="AA8" s="1390">
        <f t="shared" ref="AA8:AA71" si="18">+X8+Z8</f>
        <v>0</v>
      </c>
      <c r="AB8" s="1510">
        <f t="shared" ref="AB8:AB71" si="19">+V8+AA8</f>
        <v>0</v>
      </c>
      <c r="AC8" s="1394">
        <f t="shared" ref="AC8:AC71" si="20">-(0.25%*AB8)</f>
        <v>0</v>
      </c>
      <c r="AD8" s="1510">
        <f t="shared" ref="AD8:AD71" si="21">SUM(AB8:AC8)</f>
        <v>0</v>
      </c>
      <c r="AE8" s="1395">
        <v>0</v>
      </c>
      <c r="AF8" s="1510">
        <f t="shared" ref="AF8:AF71" si="22">SUM(AD8:AE8)</f>
        <v>0</v>
      </c>
      <c r="AG8" s="1395"/>
      <c r="AH8" s="1395">
        <f t="shared" ref="AH8:AH71" si="23">+AF8-AG8</f>
        <v>0</v>
      </c>
      <c r="AI8" s="1510">
        <f t="shared" ref="AI8:AI71" si="24">ROUND(AH8/12,0)</f>
        <v>0</v>
      </c>
      <c r="AJ8" s="1505">
        <f t="shared" ref="AJ8:AJ71" si="25">T8+AF8</f>
        <v>0</v>
      </c>
      <c r="AK8" s="1535">
        <f t="shared" ref="AK8:AK71" si="26">S8+AI8</f>
        <v>0</v>
      </c>
    </row>
    <row r="9" spans="1:37" ht="16.2" customHeight="1">
      <c r="A9" s="1176">
        <v>3</v>
      </c>
      <c r="B9" s="1177" t="s">
        <v>83</v>
      </c>
      <c r="C9" s="1178">
        <v>0</v>
      </c>
      <c r="D9" s="1179">
        <f>+'Table 5C1A-Madison Prep'!D9</f>
        <v>4155.1862027396819</v>
      </c>
      <c r="E9" s="1180">
        <f t="shared" si="5"/>
        <v>0</v>
      </c>
      <c r="F9" s="1180">
        <f>+'Table 5C1A-Madison Prep'!F9</f>
        <v>596.84</v>
      </c>
      <c r="G9" s="1180">
        <f t="shared" si="6"/>
        <v>0</v>
      </c>
      <c r="H9" s="1539">
        <f t="shared" si="7"/>
        <v>0</v>
      </c>
      <c r="I9" s="1181"/>
      <c r="J9" s="1181"/>
      <c r="K9" s="1182">
        <f t="shared" si="8"/>
        <v>0</v>
      </c>
      <c r="L9" s="1539">
        <f t="shared" si="9"/>
        <v>0</v>
      </c>
      <c r="M9" s="1388">
        <f t="shared" si="4"/>
        <v>0</v>
      </c>
      <c r="N9" s="1539">
        <f t="shared" si="10"/>
        <v>0</v>
      </c>
      <c r="O9" s="1179">
        <v>0</v>
      </c>
      <c r="P9" s="1545">
        <f t="shared" si="11"/>
        <v>0</v>
      </c>
      <c r="Q9" s="1181"/>
      <c r="R9" s="1181">
        <f t="shared" si="12"/>
        <v>0</v>
      </c>
      <c r="S9" s="1545">
        <f t="shared" si="13"/>
        <v>0</v>
      </c>
      <c r="T9" s="1545">
        <f t="shared" si="14"/>
        <v>0</v>
      </c>
      <c r="U9" s="1389">
        <f>'Table 5C1A-Madison Prep'!U9</f>
        <v>5770</v>
      </c>
      <c r="V9" s="1515">
        <f t="shared" si="15"/>
        <v>0</v>
      </c>
      <c r="W9" s="1391"/>
      <c r="X9" s="1392">
        <f t="shared" si="16"/>
        <v>0</v>
      </c>
      <c r="Y9" s="1391"/>
      <c r="Z9" s="1392">
        <f t="shared" si="17"/>
        <v>0</v>
      </c>
      <c r="AA9" s="1390">
        <f t="shared" si="18"/>
        <v>0</v>
      </c>
      <c r="AB9" s="1510">
        <f t="shared" si="19"/>
        <v>0</v>
      </c>
      <c r="AC9" s="1394">
        <f t="shared" si="20"/>
        <v>0</v>
      </c>
      <c r="AD9" s="1510">
        <f t="shared" si="21"/>
        <v>0</v>
      </c>
      <c r="AE9" s="1395">
        <v>0</v>
      </c>
      <c r="AF9" s="1510">
        <f t="shared" si="22"/>
        <v>0</v>
      </c>
      <c r="AG9" s="1395"/>
      <c r="AH9" s="1395">
        <f t="shared" si="23"/>
        <v>0</v>
      </c>
      <c r="AI9" s="1510">
        <f t="shared" si="24"/>
        <v>0</v>
      </c>
      <c r="AJ9" s="1505">
        <f t="shared" si="25"/>
        <v>0</v>
      </c>
      <c r="AK9" s="1535">
        <f t="shared" si="26"/>
        <v>0</v>
      </c>
    </row>
    <row r="10" spans="1:37" ht="16.2" customHeight="1">
      <c r="A10" s="1176">
        <v>4</v>
      </c>
      <c r="B10" s="1177" t="s">
        <v>84</v>
      </c>
      <c r="C10" s="1178">
        <v>0</v>
      </c>
      <c r="D10" s="1179">
        <f>+'Table 5C1A-Madison Prep'!D10</f>
        <v>6119.0581446878568</v>
      </c>
      <c r="E10" s="1180">
        <f t="shared" si="5"/>
        <v>0</v>
      </c>
      <c r="F10" s="1180">
        <f>+'Table 5C1A-Madison Prep'!F10</f>
        <v>585.76</v>
      </c>
      <c r="G10" s="1180">
        <f t="shared" si="6"/>
        <v>0</v>
      </c>
      <c r="H10" s="1539">
        <f t="shared" si="7"/>
        <v>0</v>
      </c>
      <c r="I10" s="1181"/>
      <c r="J10" s="1181"/>
      <c r="K10" s="1182">
        <f t="shared" si="8"/>
        <v>0</v>
      </c>
      <c r="L10" s="1539">
        <f t="shared" si="9"/>
        <v>0</v>
      </c>
      <c r="M10" s="1388">
        <f t="shared" si="4"/>
        <v>0</v>
      </c>
      <c r="N10" s="1539">
        <f t="shared" si="10"/>
        <v>0</v>
      </c>
      <c r="O10" s="1179">
        <v>0</v>
      </c>
      <c r="P10" s="1545">
        <f t="shared" si="11"/>
        <v>0</v>
      </c>
      <c r="Q10" s="1181"/>
      <c r="R10" s="1181">
        <f t="shared" si="12"/>
        <v>0</v>
      </c>
      <c r="S10" s="1545">
        <f t="shared" si="13"/>
        <v>0</v>
      </c>
      <c r="T10" s="1545">
        <f t="shared" si="14"/>
        <v>0</v>
      </c>
      <c r="U10" s="1389">
        <f>'Table 5C1A-Madison Prep'!U10</f>
        <v>3287</v>
      </c>
      <c r="V10" s="1515">
        <f t="shared" si="15"/>
        <v>0</v>
      </c>
      <c r="W10" s="1391"/>
      <c r="X10" s="1392">
        <f t="shared" si="16"/>
        <v>0</v>
      </c>
      <c r="Y10" s="1391"/>
      <c r="Z10" s="1392">
        <f t="shared" si="17"/>
        <v>0</v>
      </c>
      <c r="AA10" s="1390">
        <f t="shared" si="18"/>
        <v>0</v>
      </c>
      <c r="AB10" s="1510">
        <f t="shared" si="19"/>
        <v>0</v>
      </c>
      <c r="AC10" s="1394">
        <f t="shared" si="20"/>
        <v>0</v>
      </c>
      <c r="AD10" s="1510">
        <f t="shared" si="21"/>
        <v>0</v>
      </c>
      <c r="AE10" s="1395">
        <v>0</v>
      </c>
      <c r="AF10" s="1510">
        <f t="shared" si="22"/>
        <v>0</v>
      </c>
      <c r="AG10" s="1395"/>
      <c r="AH10" s="1395">
        <f t="shared" si="23"/>
        <v>0</v>
      </c>
      <c r="AI10" s="1510">
        <f t="shared" si="24"/>
        <v>0</v>
      </c>
      <c r="AJ10" s="1505">
        <f t="shared" si="25"/>
        <v>0</v>
      </c>
      <c r="AK10" s="1535">
        <f t="shared" si="26"/>
        <v>0</v>
      </c>
    </row>
    <row r="11" spans="1:37" ht="16.2" customHeight="1">
      <c r="A11" s="1168">
        <v>5</v>
      </c>
      <c r="B11" s="1169" t="s">
        <v>85</v>
      </c>
      <c r="C11" s="1170">
        <v>0</v>
      </c>
      <c r="D11" s="1171">
        <f>+'Table 5C1A-Madison Prep'!D11</f>
        <v>5268.940566009911</v>
      </c>
      <c r="E11" s="1172">
        <f t="shared" si="5"/>
        <v>0</v>
      </c>
      <c r="F11" s="1172">
        <f>+'Table 5C1A-Madison Prep'!F11</f>
        <v>555.91</v>
      </c>
      <c r="G11" s="1172">
        <f t="shared" si="6"/>
        <v>0</v>
      </c>
      <c r="H11" s="1540">
        <f t="shared" si="7"/>
        <v>0</v>
      </c>
      <c r="I11" s="1173"/>
      <c r="J11" s="1173"/>
      <c r="K11" s="1174">
        <f t="shared" si="8"/>
        <v>0</v>
      </c>
      <c r="L11" s="1540">
        <f t="shared" si="9"/>
        <v>0</v>
      </c>
      <c r="M11" s="1399">
        <f t="shared" si="4"/>
        <v>0</v>
      </c>
      <c r="N11" s="1540">
        <f t="shared" si="10"/>
        <v>0</v>
      </c>
      <c r="O11" s="1171">
        <v>0</v>
      </c>
      <c r="P11" s="1546">
        <f t="shared" si="11"/>
        <v>0</v>
      </c>
      <c r="Q11" s="1173"/>
      <c r="R11" s="1173">
        <f t="shared" si="12"/>
        <v>0</v>
      </c>
      <c r="S11" s="1546">
        <f t="shared" si="13"/>
        <v>0</v>
      </c>
      <c r="T11" s="1546">
        <f t="shared" si="14"/>
        <v>0</v>
      </c>
      <c r="U11" s="1382">
        <f>'Table 5C1A-Madison Prep'!U11</f>
        <v>1921</v>
      </c>
      <c r="V11" s="1516">
        <f t="shared" si="15"/>
        <v>0</v>
      </c>
      <c r="W11" s="1400"/>
      <c r="X11" s="1383">
        <f t="shared" si="16"/>
        <v>0</v>
      </c>
      <c r="Y11" s="1400"/>
      <c r="Z11" s="1383">
        <f t="shared" si="17"/>
        <v>0</v>
      </c>
      <c r="AA11" s="1384">
        <f t="shared" si="18"/>
        <v>0</v>
      </c>
      <c r="AB11" s="1511">
        <f t="shared" si="19"/>
        <v>0</v>
      </c>
      <c r="AC11" s="1402">
        <f t="shared" si="20"/>
        <v>0</v>
      </c>
      <c r="AD11" s="1511">
        <f t="shared" si="21"/>
        <v>0</v>
      </c>
      <c r="AE11" s="1385">
        <v>0</v>
      </c>
      <c r="AF11" s="1511">
        <f t="shared" si="22"/>
        <v>0</v>
      </c>
      <c r="AG11" s="1385"/>
      <c r="AH11" s="1385">
        <f t="shared" si="23"/>
        <v>0</v>
      </c>
      <c r="AI11" s="1511">
        <f t="shared" si="24"/>
        <v>0</v>
      </c>
      <c r="AJ11" s="1531">
        <f t="shared" si="25"/>
        <v>0</v>
      </c>
      <c r="AK11" s="1536">
        <f t="shared" si="26"/>
        <v>0</v>
      </c>
    </row>
    <row r="12" spans="1:37" ht="16.2" customHeight="1">
      <c r="A12" s="1183">
        <v>6</v>
      </c>
      <c r="B12" s="1184" t="s">
        <v>86</v>
      </c>
      <c r="C12" s="1185">
        <v>0</v>
      </c>
      <c r="D12" s="1186">
        <f>+'Table 5C1A-Madison Prep'!D12</f>
        <v>5378.5086124955869</v>
      </c>
      <c r="E12" s="1187">
        <f t="shared" si="5"/>
        <v>0</v>
      </c>
      <c r="F12" s="1187">
        <f>+'Table 5C1A-Madison Prep'!F12</f>
        <v>545.4799999999999</v>
      </c>
      <c r="G12" s="1187">
        <f t="shared" si="6"/>
        <v>0</v>
      </c>
      <c r="H12" s="1538">
        <f t="shared" si="7"/>
        <v>0</v>
      </c>
      <c r="I12" s="1188"/>
      <c r="J12" s="1188"/>
      <c r="K12" s="1189">
        <f t="shared" si="8"/>
        <v>0</v>
      </c>
      <c r="L12" s="1538">
        <f t="shared" si="9"/>
        <v>0</v>
      </c>
      <c r="M12" s="1372">
        <f t="shared" si="4"/>
        <v>0</v>
      </c>
      <c r="N12" s="1538">
        <f t="shared" si="10"/>
        <v>0</v>
      </c>
      <c r="O12" s="1186">
        <v>0</v>
      </c>
      <c r="P12" s="1544">
        <f t="shared" si="11"/>
        <v>0</v>
      </c>
      <c r="Q12" s="1188"/>
      <c r="R12" s="1188">
        <f t="shared" si="12"/>
        <v>0</v>
      </c>
      <c r="S12" s="1544">
        <f t="shared" si="13"/>
        <v>0</v>
      </c>
      <c r="T12" s="1544">
        <f t="shared" si="14"/>
        <v>0</v>
      </c>
      <c r="U12" s="1373">
        <f>'Table 5C1A-Madison Prep'!U12</f>
        <v>3807</v>
      </c>
      <c r="V12" s="1514">
        <f t="shared" si="15"/>
        <v>0</v>
      </c>
      <c r="W12" s="1375"/>
      <c r="X12" s="1376">
        <f t="shared" si="16"/>
        <v>0</v>
      </c>
      <c r="Y12" s="1375"/>
      <c r="Z12" s="1376">
        <f t="shared" si="17"/>
        <v>0</v>
      </c>
      <c r="AA12" s="1374">
        <f t="shared" si="18"/>
        <v>0</v>
      </c>
      <c r="AB12" s="1509">
        <f t="shared" si="19"/>
        <v>0</v>
      </c>
      <c r="AC12" s="1378">
        <f t="shared" si="20"/>
        <v>0</v>
      </c>
      <c r="AD12" s="1509">
        <f t="shared" si="21"/>
        <v>0</v>
      </c>
      <c r="AE12" s="1379">
        <v>0</v>
      </c>
      <c r="AF12" s="1509">
        <f t="shared" si="22"/>
        <v>0</v>
      </c>
      <c r="AG12" s="1379"/>
      <c r="AH12" s="1379">
        <f t="shared" si="23"/>
        <v>0</v>
      </c>
      <c r="AI12" s="1509">
        <f t="shared" si="24"/>
        <v>0</v>
      </c>
      <c r="AJ12" s="1530">
        <f t="shared" si="25"/>
        <v>0</v>
      </c>
      <c r="AK12" s="1534">
        <f t="shared" si="26"/>
        <v>0</v>
      </c>
    </row>
    <row r="13" spans="1:37" ht="16.2" customHeight="1">
      <c r="A13" s="1176">
        <v>7</v>
      </c>
      <c r="B13" s="1177" t="s">
        <v>87</v>
      </c>
      <c r="C13" s="1178">
        <v>0</v>
      </c>
      <c r="D13" s="1179">
        <f>+'Table 5C1A-Madison Prep'!D13</f>
        <v>2243.0031963470319</v>
      </c>
      <c r="E13" s="1180">
        <f t="shared" si="5"/>
        <v>0</v>
      </c>
      <c r="F13" s="1180">
        <f>+'Table 5C1A-Madison Prep'!F13</f>
        <v>756.91999999999985</v>
      </c>
      <c r="G13" s="1180">
        <f t="shared" si="6"/>
        <v>0</v>
      </c>
      <c r="H13" s="1539">
        <f t="shared" si="7"/>
        <v>0</v>
      </c>
      <c r="I13" s="1181"/>
      <c r="J13" s="1181"/>
      <c r="K13" s="1182">
        <f t="shared" si="8"/>
        <v>0</v>
      </c>
      <c r="L13" s="1539">
        <f t="shared" si="9"/>
        <v>0</v>
      </c>
      <c r="M13" s="1388">
        <f t="shared" si="4"/>
        <v>0</v>
      </c>
      <c r="N13" s="1539">
        <f t="shared" si="10"/>
        <v>0</v>
      </c>
      <c r="O13" s="1179">
        <v>0</v>
      </c>
      <c r="P13" s="1545">
        <f t="shared" si="11"/>
        <v>0</v>
      </c>
      <c r="Q13" s="1181"/>
      <c r="R13" s="1181">
        <f t="shared" si="12"/>
        <v>0</v>
      </c>
      <c r="S13" s="1545">
        <f t="shared" si="13"/>
        <v>0</v>
      </c>
      <c r="T13" s="1545">
        <f t="shared" si="14"/>
        <v>0</v>
      </c>
      <c r="U13" s="1389">
        <f>'Table 5C1A-Madison Prep'!U13</f>
        <v>11888</v>
      </c>
      <c r="V13" s="1515">
        <f t="shared" si="15"/>
        <v>0</v>
      </c>
      <c r="W13" s="1391"/>
      <c r="X13" s="1392">
        <f t="shared" si="16"/>
        <v>0</v>
      </c>
      <c r="Y13" s="1391"/>
      <c r="Z13" s="1392">
        <f t="shared" si="17"/>
        <v>0</v>
      </c>
      <c r="AA13" s="1390">
        <f t="shared" si="18"/>
        <v>0</v>
      </c>
      <c r="AB13" s="1510">
        <f t="shared" si="19"/>
        <v>0</v>
      </c>
      <c r="AC13" s="1394">
        <f t="shared" si="20"/>
        <v>0</v>
      </c>
      <c r="AD13" s="1510">
        <f t="shared" si="21"/>
        <v>0</v>
      </c>
      <c r="AE13" s="1395">
        <v>0</v>
      </c>
      <c r="AF13" s="1510">
        <f t="shared" si="22"/>
        <v>0</v>
      </c>
      <c r="AG13" s="1395"/>
      <c r="AH13" s="1395">
        <f t="shared" si="23"/>
        <v>0</v>
      </c>
      <c r="AI13" s="1510">
        <f t="shared" si="24"/>
        <v>0</v>
      </c>
      <c r="AJ13" s="1505">
        <f t="shared" si="25"/>
        <v>0</v>
      </c>
      <c r="AK13" s="1535">
        <f t="shared" si="26"/>
        <v>0</v>
      </c>
    </row>
    <row r="14" spans="1:37" ht="16.2" customHeight="1">
      <c r="A14" s="1176">
        <v>8</v>
      </c>
      <c r="B14" s="1177" t="s">
        <v>88</v>
      </c>
      <c r="C14" s="1178">
        <v>0</v>
      </c>
      <c r="D14" s="1179">
        <f>+'Table 5C1A-Madison Prep'!D14</f>
        <v>4669.802459558854</v>
      </c>
      <c r="E14" s="1180">
        <f t="shared" si="5"/>
        <v>0</v>
      </c>
      <c r="F14" s="1180">
        <f>+'Table 5C1A-Madison Prep'!F14</f>
        <v>725.76</v>
      </c>
      <c r="G14" s="1180">
        <f t="shared" si="6"/>
        <v>0</v>
      </c>
      <c r="H14" s="1539">
        <f t="shared" si="7"/>
        <v>0</v>
      </c>
      <c r="I14" s="1181"/>
      <c r="J14" s="1181"/>
      <c r="K14" s="1182">
        <f t="shared" si="8"/>
        <v>0</v>
      </c>
      <c r="L14" s="1539">
        <f t="shared" si="9"/>
        <v>0</v>
      </c>
      <c r="M14" s="1388">
        <f t="shared" si="4"/>
        <v>0</v>
      </c>
      <c r="N14" s="1539">
        <f t="shared" si="10"/>
        <v>0</v>
      </c>
      <c r="O14" s="1179">
        <v>0</v>
      </c>
      <c r="P14" s="1545">
        <f t="shared" si="11"/>
        <v>0</v>
      </c>
      <c r="Q14" s="1181"/>
      <c r="R14" s="1181">
        <f t="shared" si="12"/>
        <v>0</v>
      </c>
      <c r="S14" s="1545">
        <f t="shared" si="13"/>
        <v>0</v>
      </c>
      <c r="T14" s="1545">
        <f t="shared" si="14"/>
        <v>0</v>
      </c>
      <c r="U14" s="1389">
        <f>'Table 5C1A-Madison Prep'!U14</f>
        <v>4024</v>
      </c>
      <c r="V14" s="1515">
        <f t="shared" si="15"/>
        <v>0</v>
      </c>
      <c r="W14" s="1391"/>
      <c r="X14" s="1392">
        <f t="shared" si="16"/>
        <v>0</v>
      </c>
      <c r="Y14" s="1391"/>
      <c r="Z14" s="1392">
        <f t="shared" si="17"/>
        <v>0</v>
      </c>
      <c r="AA14" s="1390">
        <f t="shared" si="18"/>
        <v>0</v>
      </c>
      <c r="AB14" s="1510">
        <f t="shared" si="19"/>
        <v>0</v>
      </c>
      <c r="AC14" s="1394">
        <f t="shared" si="20"/>
        <v>0</v>
      </c>
      <c r="AD14" s="1510">
        <f t="shared" si="21"/>
        <v>0</v>
      </c>
      <c r="AE14" s="1395">
        <v>0</v>
      </c>
      <c r="AF14" s="1510">
        <f t="shared" si="22"/>
        <v>0</v>
      </c>
      <c r="AG14" s="1395"/>
      <c r="AH14" s="1395">
        <f t="shared" si="23"/>
        <v>0</v>
      </c>
      <c r="AI14" s="1510">
        <f t="shared" si="24"/>
        <v>0</v>
      </c>
      <c r="AJ14" s="1505">
        <f t="shared" si="25"/>
        <v>0</v>
      </c>
      <c r="AK14" s="1535">
        <f t="shared" si="26"/>
        <v>0</v>
      </c>
    </row>
    <row r="15" spans="1:37" ht="16.2" customHeight="1">
      <c r="A15" s="1176">
        <v>9</v>
      </c>
      <c r="B15" s="1177" t="s">
        <v>89</v>
      </c>
      <c r="C15" s="1178">
        <v>0</v>
      </c>
      <c r="D15" s="1179">
        <f>+'Table 5C1A-Madison Prep'!D15</f>
        <v>4632.4615072045008</v>
      </c>
      <c r="E15" s="1180">
        <f t="shared" si="5"/>
        <v>0</v>
      </c>
      <c r="F15" s="1180">
        <f>+'Table 5C1A-Madison Prep'!F15</f>
        <v>744.76</v>
      </c>
      <c r="G15" s="1180">
        <f t="shared" si="6"/>
        <v>0</v>
      </c>
      <c r="H15" s="1539">
        <f t="shared" si="7"/>
        <v>0</v>
      </c>
      <c r="I15" s="1181"/>
      <c r="J15" s="1181"/>
      <c r="K15" s="1182">
        <f t="shared" si="8"/>
        <v>0</v>
      </c>
      <c r="L15" s="1539">
        <f t="shared" si="9"/>
        <v>0</v>
      </c>
      <c r="M15" s="1388">
        <f t="shared" si="4"/>
        <v>0</v>
      </c>
      <c r="N15" s="1539">
        <f t="shared" si="10"/>
        <v>0</v>
      </c>
      <c r="O15" s="1179">
        <v>0</v>
      </c>
      <c r="P15" s="1545">
        <f t="shared" si="11"/>
        <v>0</v>
      </c>
      <c r="Q15" s="1181"/>
      <c r="R15" s="1181">
        <f t="shared" si="12"/>
        <v>0</v>
      </c>
      <c r="S15" s="1545">
        <f t="shared" si="13"/>
        <v>0</v>
      </c>
      <c r="T15" s="1545">
        <f t="shared" si="14"/>
        <v>0</v>
      </c>
      <c r="U15" s="1389">
        <f>'Table 5C1A-Madison Prep'!U15</f>
        <v>4828</v>
      </c>
      <c r="V15" s="1515">
        <f t="shared" si="15"/>
        <v>0</v>
      </c>
      <c r="W15" s="1391"/>
      <c r="X15" s="1392">
        <f t="shared" si="16"/>
        <v>0</v>
      </c>
      <c r="Y15" s="1391"/>
      <c r="Z15" s="1392">
        <f t="shared" si="17"/>
        <v>0</v>
      </c>
      <c r="AA15" s="1390">
        <f t="shared" si="18"/>
        <v>0</v>
      </c>
      <c r="AB15" s="1510">
        <f t="shared" si="19"/>
        <v>0</v>
      </c>
      <c r="AC15" s="1394">
        <f t="shared" si="20"/>
        <v>0</v>
      </c>
      <c r="AD15" s="1510">
        <f t="shared" si="21"/>
        <v>0</v>
      </c>
      <c r="AE15" s="1395">
        <v>0</v>
      </c>
      <c r="AF15" s="1510">
        <f t="shared" si="22"/>
        <v>0</v>
      </c>
      <c r="AG15" s="1395"/>
      <c r="AH15" s="1395">
        <f t="shared" si="23"/>
        <v>0</v>
      </c>
      <c r="AI15" s="1510">
        <f t="shared" si="24"/>
        <v>0</v>
      </c>
      <c r="AJ15" s="1505">
        <f t="shared" si="25"/>
        <v>0</v>
      </c>
      <c r="AK15" s="1535">
        <f t="shared" si="26"/>
        <v>0</v>
      </c>
    </row>
    <row r="16" spans="1:37" ht="16.2" customHeight="1">
      <c r="A16" s="1168">
        <v>10</v>
      </c>
      <c r="B16" s="1169" t="s">
        <v>90</v>
      </c>
      <c r="C16" s="1170">
        <v>0</v>
      </c>
      <c r="D16" s="1171">
        <f>+'Table 5C1A-Madison Prep'!D16</f>
        <v>4384.374733918472</v>
      </c>
      <c r="E16" s="1172">
        <f t="shared" si="5"/>
        <v>0</v>
      </c>
      <c r="F16" s="1172">
        <f>+'Table 5C1A-Madison Prep'!F16</f>
        <v>608.04000000000008</v>
      </c>
      <c r="G16" s="1172">
        <f t="shared" si="6"/>
        <v>0</v>
      </c>
      <c r="H16" s="1540">
        <f t="shared" si="7"/>
        <v>0</v>
      </c>
      <c r="I16" s="1173"/>
      <c r="J16" s="1173"/>
      <c r="K16" s="1174">
        <f t="shared" si="8"/>
        <v>0</v>
      </c>
      <c r="L16" s="1540">
        <f t="shared" si="9"/>
        <v>0</v>
      </c>
      <c r="M16" s="1399">
        <f t="shared" si="4"/>
        <v>0</v>
      </c>
      <c r="N16" s="1540">
        <f t="shared" si="10"/>
        <v>0</v>
      </c>
      <c r="O16" s="1171">
        <v>0</v>
      </c>
      <c r="P16" s="1546">
        <f t="shared" si="11"/>
        <v>0</v>
      </c>
      <c r="Q16" s="1173"/>
      <c r="R16" s="1173">
        <f t="shared" si="12"/>
        <v>0</v>
      </c>
      <c r="S16" s="1546">
        <f t="shared" si="13"/>
        <v>0</v>
      </c>
      <c r="T16" s="1546">
        <f t="shared" si="14"/>
        <v>0</v>
      </c>
      <c r="U16" s="1382">
        <f>'Table 5C1A-Madison Prep'!U16</f>
        <v>4565</v>
      </c>
      <c r="V16" s="1516">
        <f t="shared" si="15"/>
        <v>0</v>
      </c>
      <c r="W16" s="1400"/>
      <c r="X16" s="1383">
        <f t="shared" si="16"/>
        <v>0</v>
      </c>
      <c r="Y16" s="1400"/>
      <c r="Z16" s="1383">
        <f t="shared" si="17"/>
        <v>0</v>
      </c>
      <c r="AA16" s="1384">
        <f t="shared" si="18"/>
        <v>0</v>
      </c>
      <c r="AB16" s="1511">
        <f t="shared" si="19"/>
        <v>0</v>
      </c>
      <c r="AC16" s="1402">
        <f t="shared" si="20"/>
        <v>0</v>
      </c>
      <c r="AD16" s="1511">
        <f t="shared" si="21"/>
        <v>0</v>
      </c>
      <c r="AE16" s="1385">
        <v>0</v>
      </c>
      <c r="AF16" s="1511">
        <f t="shared" si="22"/>
        <v>0</v>
      </c>
      <c r="AG16" s="1385"/>
      <c r="AH16" s="1385">
        <f t="shared" si="23"/>
        <v>0</v>
      </c>
      <c r="AI16" s="1511">
        <f t="shared" si="24"/>
        <v>0</v>
      </c>
      <c r="AJ16" s="1531">
        <f t="shared" si="25"/>
        <v>0</v>
      </c>
      <c r="AK16" s="1536">
        <f t="shared" si="26"/>
        <v>0</v>
      </c>
    </row>
    <row r="17" spans="1:37" ht="16.2" customHeight="1">
      <c r="A17" s="1183">
        <v>11</v>
      </c>
      <c r="B17" s="1184" t="s">
        <v>91</v>
      </c>
      <c r="C17" s="1185">
        <v>0</v>
      </c>
      <c r="D17" s="1186">
        <f>+'Table 5C1A-Madison Prep'!D17</f>
        <v>7098.5372236353351</v>
      </c>
      <c r="E17" s="1187">
        <f t="shared" si="5"/>
        <v>0</v>
      </c>
      <c r="F17" s="1187">
        <f>+'Table 5C1A-Madison Prep'!F17</f>
        <v>706.55</v>
      </c>
      <c r="G17" s="1187">
        <f t="shared" si="6"/>
        <v>0</v>
      </c>
      <c r="H17" s="1538">
        <f t="shared" si="7"/>
        <v>0</v>
      </c>
      <c r="I17" s="1188"/>
      <c r="J17" s="1188"/>
      <c r="K17" s="1189">
        <f t="shared" si="8"/>
        <v>0</v>
      </c>
      <c r="L17" s="1538">
        <f t="shared" si="9"/>
        <v>0</v>
      </c>
      <c r="M17" s="1372">
        <f t="shared" si="4"/>
        <v>0</v>
      </c>
      <c r="N17" s="1538">
        <f t="shared" si="10"/>
        <v>0</v>
      </c>
      <c r="O17" s="1186">
        <v>0</v>
      </c>
      <c r="P17" s="1544">
        <f t="shared" si="11"/>
        <v>0</v>
      </c>
      <c r="Q17" s="1188"/>
      <c r="R17" s="1188">
        <f t="shared" si="12"/>
        <v>0</v>
      </c>
      <c r="S17" s="1544">
        <f t="shared" si="13"/>
        <v>0</v>
      </c>
      <c r="T17" s="1544">
        <f t="shared" si="14"/>
        <v>0</v>
      </c>
      <c r="U17" s="1373">
        <f>'Table 5C1A-Madison Prep'!U17</f>
        <v>3587</v>
      </c>
      <c r="V17" s="1514">
        <f t="shared" si="15"/>
        <v>0</v>
      </c>
      <c r="W17" s="1375"/>
      <c r="X17" s="1376">
        <f t="shared" si="16"/>
        <v>0</v>
      </c>
      <c r="Y17" s="1375"/>
      <c r="Z17" s="1376">
        <f t="shared" si="17"/>
        <v>0</v>
      </c>
      <c r="AA17" s="1374">
        <f t="shared" si="18"/>
        <v>0</v>
      </c>
      <c r="AB17" s="1509">
        <f t="shared" si="19"/>
        <v>0</v>
      </c>
      <c r="AC17" s="1378">
        <f t="shared" si="20"/>
        <v>0</v>
      </c>
      <c r="AD17" s="1509">
        <f t="shared" si="21"/>
        <v>0</v>
      </c>
      <c r="AE17" s="1379">
        <v>0</v>
      </c>
      <c r="AF17" s="1509">
        <f t="shared" si="22"/>
        <v>0</v>
      </c>
      <c r="AG17" s="1379"/>
      <c r="AH17" s="1379">
        <f t="shared" si="23"/>
        <v>0</v>
      </c>
      <c r="AI17" s="1509">
        <f t="shared" si="24"/>
        <v>0</v>
      </c>
      <c r="AJ17" s="1530">
        <f t="shared" si="25"/>
        <v>0</v>
      </c>
      <c r="AK17" s="1534">
        <f t="shared" si="26"/>
        <v>0</v>
      </c>
    </row>
    <row r="18" spans="1:37" ht="16.2" customHeight="1">
      <c r="A18" s="1176">
        <v>12</v>
      </c>
      <c r="B18" s="1177" t="s">
        <v>92</v>
      </c>
      <c r="C18" s="1178">
        <v>0</v>
      </c>
      <c r="D18" s="1179">
        <f>+'Table 5C1A-Madison Prep'!D18</f>
        <v>1666.6040983606558</v>
      </c>
      <c r="E18" s="1180">
        <f t="shared" si="5"/>
        <v>0</v>
      </c>
      <c r="F18" s="1180">
        <f>+'Table 5C1A-Madison Prep'!F18</f>
        <v>1063.31</v>
      </c>
      <c r="G18" s="1180">
        <f t="shared" si="6"/>
        <v>0</v>
      </c>
      <c r="H18" s="1539">
        <f t="shared" si="7"/>
        <v>0</v>
      </c>
      <c r="I18" s="1181"/>
      <c r="J18" s="1181"/>
      <c r="K18" s="1182">
        <f t="shared" si="8"/>
        <v>0</v>
      </c>
      <c r="L18" s="1539">
        <f t="shared" si="9"/>
        <v>0</v>
      </c>
      <c r="M18" s="1388">
        <f t="shared" si="4"/>
        <v>0</v>
      </c>
      <c r="N18" s="1539">
        <f t="shared" si="10"/>
        <v>0</v>
      </c>
      <c r="O18" s="1179">
        <v>0</v>
      </c>
      <c r="P18" s="1545">
        <f t="shared" si="11"/>
        <v>0</v>
      </c>
      <c r="Q18" s="1181"/>
      <c r="R18" s="1181">
        <f t="shared" si="12"/>
        <v>0</v>
      </c>
      <c r="S18" s="1545">
        <f t="shared" si="13"/>
        <v>0</v>
      </c>
      <c r="T18" s="1545">
        <f t="shared" si="14"/>
        <v>0</v>
      </c>
      <c r="U18" s="1389">
        <f>'Table 5C1A-Madison Prep'!U18</f>
        <v>8094</v>
      </c>
      <c r="V18" s="1515">
        <f t="shared" si="15"/>
        <v>0</v>
      </c>
      <c r="W18" s="1391"/>
      <c r="X18" s="1392">
        <f t="shared" si="16"/>
        <v>0</v>
      </c>
      <c r="Y18" s="1391"/>
      <c r="Z18" s="1392">
        <f t="shared" si="17"/>
        <v>0</v>
      </c>
      <c r="AA18" s="1390">
        <f t="shared" si="18"/>
        <v>0</v>
      </c>
      <c r="AB18" s="1510">
        <f t="shared" si="19"/>
        <v>0</v>
      </c>
      <c r="AC18" s="1394">
        <f t="shared" si="20"/>
        <v>0</v>
      </c>
      <c r="AD18" s="1510">
        <f t="shared" si="21"/>
        <v>0</v>
      </c>
      <c r="AE18" s="1395">
        <v>0</v>
      </c>
      <c r="AF18" s="1510">
        <f t="shared" si="22"/>
        <v>0</v>
      </c>
      <c r="AG18" s="1395"/>
      <c r="AH18" s="1395">
        <f t="shared" si="23"/>
        <v>0</v>
      </c>
      <c r="AI18" s="1510">
        <f t="shared" si="24"/>
        <v>0</v>
      </c>
      <c r="AJ18" s="1505">
        <f t="shared" si="25"/>
        <v>0</v>
      </c>
      <c r="AK18" s="1535">
        <f t="shared" si="26"/>
        <v>0</v>
      </c>
    </row>
    <row r="19" spans="1:37" ht="16.2" customHeight="1">
      <c r="A19" s="1176">
        <v>13</v>
      </c>
      <c r="B19" s="1177" t="s">
        <v>93</v>
      </c>
      <c r="C19" s="1178">
        <v>0</v>
      </c>
      <c r="D19" s="1179">
        <f>+'Table 5C1A-Madison Prep'!D19</f>
        <v>6433.6297758332212</v>
      </c>
      <c r="E19" s="1180">
        <f t="shared" si="5"/>
        <v>0</v>
      </c>
      <c r="F19" s="1180">
        <f>+'Table 5C1A-Madison Prep'!F19</f>
        <v>749.43000000000006</v>
      </c>
      <c r="G19" s="1180">
        <f t="shared" si="6"/>
        <v>0</v>
      </c>
      <c r="H19" s="1539">
        <f t="shared" si="7"/>
        <v>0</v>
      </c>
      <c r="I19" s="1181"/>
      <c r="J19" s="1181"/>
      <c r="K19" s="1182">
        <f t="shared" si="8"/>
        <v>0</v>
      </c>
      <c r="L19" s="1539">
        <f t="shared" si="9"/>
        <v>0</v>
      </c>
      <c r="M19" s="1388">
        <f t="shared" si="4"/>
        <v>0</v>
      </c>
      <c r="N19" s="1539">
        <f t="shared" si="10"/>
        <v>0</v>
      </c>
      <c r="O19" s="1179">
        <v>0</v>
      </c>
      <c r="P19" s="1545">
        <f t="shared" si="11"/>
        <v>0</v>
      </c>
      <c r="Q19" s="1181"/>
      <c r="R19" s="1181">
        <f t="shared" si="12"/>
        <v>0</v>
      </c>
      <c r="S19" s="1545">
        <f t="shared" si="13"/>
        <v>0</v>
      </c>
      <c r="T19" s="1545">
        <f t="shared" si="14"/>
        <v>0</v>
      </c>
      <c r="U19" s="1389">
        <f>'Table 5C1A-Madison Prep'!U19</f>
        <v>2842</v>
      </c>
      <c r="V19" s="1515">
        <f t="shared" si="15"/>
        <v>0</v>
      </c>
      <c r="W19" s="1391"/>
      <c r="X19" s="1392">
        <f t="shared" si="16"/>
        <v>0</v>
      </c>
      <c r="Y19" s="1391"/>
      <c r="Z19" s="1392">
        <f t="shared" si="17"/>
        <v>0</v>
      </c>
      <c r="AA19" s="1390">
        <f t="shared" si="18"/>
        <v>0</v>
      </c>
      <c r="AB19" s="1510">
        <f t="shared" si="19"/>
        <v>0</v>
      </c>
      <c r="AC19" s="1394">
        <f t="shared" si="20"/>
        <v>0</v>
      </c>
      <c r="AD19" s="1510">
        <f t="shared" si="21"/>
        <v>0</v>
      </c>
      <c r="AE19" s="1395">
        <v>0</v>
      </c>
      <c r="AF19" s="1510">
        <f t="shared" si="22"/>
        <v>0</v>
      </c>
      <c r="AG19" s="1395"/>
      <c r="AH19" s="1395">
        <f t="shared" si="23"/>
        <v>0</v>
      </c>
      <c r="AI19" s="1510">
        <f t="shared" si="24"/>
        <v>0</v>
      </c>
      <c r="AJ19" s="1505">
        <f t="shared" si="25"/>
        <v>0</v>
      </c>
      <c r="AK19" s="1535">
        <f t="shared" si="26"/>
        <v>0</v>
      </c>
    </row>
    <row r="20" spans="1:37" ht="16.2" customHeight="1">
      <c r="A20" s="1176">
        <v>14</v>
      </c>
      <c r="B20" s="1177" t="s">
        <v>94</v>
      </c>
      <c r="C20" s="1178">
        <v>0</v>
      </c>
      <c r="D20" s="1179">
        <f>+'Table 5C1A-Madison Prep'!D20</f>
        <v>5334.9509412500001</v>
      </c>
      <c r="E20" s="1180">
        <f t="shared" si="5"/>
        <v>0</v>
      </c>
      <c r="F20" s="1180">
        <f>+'Table 5C1A-Madison Prep'!F20</f>
        <v>809.9799999999999</v>
      </c>
      <c r="G20" s="1180">
        <f t="shared" si="6"/>
        <v>0</v>
      </c>
      <c r="H20" s="1539">
        <f t="shared" si="7"/>
        <v>0</v>
      </c>
      <c r="I20" s="1181"/>
      <c r="J20" s="1181"/>
      <c r="K20" s="1182">
        <f t="shared" si="8"/>
        <v>0</v>
      </c>
      <c r="L20" s="1539">
        <f t="shared" si="9"/>
        <v>0</v>
      </c>
      <c r="M20" s="1388">
        <f t="shared" si="4"/>
        <v>0</v>
      </c>
      <c r="N20" s="1539">
        <f t="shared" si="10"/>
        <v>0</v>
      </c>
      <c r="O20" s="1179">
        <v>0</v>
      </c>
      <c r="P20" s="1545">
        <f t="shared" si="11"/>
        <v>0</v>
      </c>
      <c r="Q20" s="1181"/>
      <c r="R20" s="1181">
        <f t="shared" si="12"/>
        <v>0</v>
      </c>
      <c r="S20" s="1545">
        <f t="shared" si="13"/>
        <v>0</v>
      </c>
      <c r="T20" s="1545">
        <f t="shared" si="14"/>
        <v>0</v>
      </c>
      <c r="U20" s="1389">
        <f>'Table 5C1A-Madison Prep'!U20</f>
        <v>4205</v>
      </c>
      <c r="V20" s="1515">
        <f t="shared" si="15"/>
        <v>0</v>
      </c>
      <c r="W20" s="1391"/>
      <c r="X20" s="1392">
        <f t="shared" si="16"/>
        <v>0</v>
      </c>
      <c r="Y20" s="1391"/>
      <c r="Z20" s="1392">
        <f t="shared" si="17"/>
        <v>0</v>
      </c>
      <c r="AA20" s="1390">
        <f t="shared" si="18"/>
        <v>0</v>
      </c>
      <c r="AB20" s="1510">
        <f t="shared" si="19"/>
        <v>0</v>
      </c>
      <c r="AC20" s="1394">
        <f t="shared" si="20"/>
        <v>0</v>
      </c>
      <c r="AD20" s="1510">
        <f t="shared" si="21"/>
        <v>0</v>
      </c>
      <c r="AE20" s="1395">
        <v>0</v>
      </c>
      <c r="AF20" s="1510">
        <f t="shared" si="22"/>
        <v>0</v>
      </c>
      <c r="AG20" s="1395"/>
      <c r="AH20" s="1395">
        <f t="shared" si="23"/>
        <v>0</v>
      </c>
      <c r="AI20" s="1510">
        <f t="shared" si="24"/>
        <v>0</v>
      </c>
      <c r="AJ20" s="1505">
        <f t="shared" si="25"/>
        <v>0</v>
      </c>
      <c r="AK20" s="1535">
        <f t="shared" si="26"/>
        <v>0</v>
      </c>
    </row>
    <row r="21" spans="1:37" ht="16.2" customHeight="1">
      <c r="A21" s="1168">
        <v>15</v>
      </c>
      <c r="B21" s="1169" t="s">
        <v>95</v>
      </c>
      <c r="C21" s="1170">
        <v>0</v>
      </c>
      <c r="D21" s="1171">
        <f>+'Table 5C1A-Madison Prep'!D21</f>
        <v>5749.8285214059952</v>
      </c>
      <c r="E21" s="1172">
        <f t="shared" si="5"/>
        <v>0</v>
      </c>
      <c r="F21" s="1172">
        <f>+'Table 5C1A-Madison Prep'!F21</f>
        <v>553.79999999999995</v>
      </c>
      <c r="G21" s="1172">
        <f t="shared" si="6"/>
        <v>0</v>
      </c>
      <c r="H21" s="1540">
        <f t="shared" si="7"/>
        <v>0</v>
      </c>
      <c r="I21" s="1173"/>
      <c r="J21" s="1173"/>
      <c r="K21" s="1174">
        <f t="shared" si="8"/>
        <v>0</v>
      </c>
      <c r="L21" s="1540">
        <f t="shared" si="9"/>
        <v>0</v>
      </c>
      <c r="M21" s="1399">
        <f t="shared" si="4"/>
        <v>0</v>
      </c>
      <c r="N21" s="1540">
        <f t="shared" si="10"/>
        <v>0</v>
      </c>
      <c r="O21" s="1171">
        <v>0</v>
      </c>
      <c r="P21" s="1546">
        <f t="shared" si="11"/>
        <v>0</v>
      </c>
      <c r="Q21" s="1173"/>
      <c r="R21" s="1173">
        <f t="shared" si="12"/>
        <v>0</v>
      </c>
      <c r="S21" s="1546">
        <f t="shared" si="13"/>
        <v>0</v>
      </c>
      <c r="T21" s="1546">
        <f t="shared" si="14"/>
        <v>0</v>
      </c>
      <c r="U21" s="1382">
        <f>'Table 5C1A-Madison Prep'!U21</f>
        <v>2535</v>
      </c>
      <c r="V21" s="1516">
        <f t="shared" si="15"/>
        <v>0</v>
      </c>
      <c r="W21" s="1400"/>
      <c r="X21" s="1383">
        <f t="shared" si="16"/>
        <v>0</v>
      </c>
      <c r="Y21" s="1400"/>
      <c r="Z21" s="1383">
        <f t="shared" si="17"/>
        <v>0</v>
      </c>
      <c r="AA21" s="1384">
        <f t="shared" si="18"/>
        <v>0</v>
      </c>
      <c r="AB21" s="1511">
        <f t="shared" si="19"/>
        <v>0</v>
      </c>
      <c r="AC21" s="1402">
        <f t="shared" si="20"/>
        <v>0</v>
      </c>
      <c r="AD21" s="1511">
        <f t="shared" si="21"/>
        <v>0</v>
      </c>
      <c r="AE21" s="1385">
        <v>0</v>
      </c>
      <c r="AF21" s="1511">
        <f t="shared" si="22"/>
        <v>0</v>
      </c>
      <c r="AG21" s="1385"/>
      <c r="AH21" s="1385">
        <f t="shared" si="23"/>
        <v>0</v>
      </c>
      <c r="AI21" s="1511">
        <f t="shared" si="24"/>
        <v>0</v>
      </c>
      <c r="AJ21" s="1531">
        <f t="shared" si="25"/>
        <v>0</v>
      </c>
      <c r="AK21" s="1536">
        <f t="shared" si="26"/>
        <v>0</v>
      </c>
    </row>
    <row r="22" spans="1:37" ht="16.2" customHeight="1">
      <c r="A22" s="1183">
        <v>16</v>
      </c>
      <c r="B22" s="1184" t="s">
        <v>96</v>
      </c>
      <c r="C22" s="1185">
        <v>0</v>
      </c>
      <c r="D22" s="1186">
        <f>+'Table 5C1A-Madison Prep'!D22</f>
        <v>1980.2494354342025</v>
      </c>
      <c r="E22" s="1187">
        <f t="shared" si="5"/>
        <v>0</v>
      </c>
      <c r="F22" s="1187">
        <f>+'Table 5C1A-Madison Prep'!F22</f>
        <v>686.73</v>
      </c>
      <c r="G22" s="1187">
        <f t="shared" si="6"/>
        <v>0</v>
      </c>
      <c r="H22" s="1538">
        <f t="shared" si="7"/>
        <v>0</v>
      </c>
      <c r="I22" s="1188"/>
      <c r="J22" s="1188"/>
      <c r="K22" s="1189">
        <f t="shared" si="8"/>
        <v>0</v>
      </c>
      <c r="L22" s="1538">
        <f t="shared" si="9"/>
        <v>0</v>
      </c>
      <c r="M22" s="1372">
        <f t="shared" si="4"/>
        <v>0</v>
      </c>
      <c r="N22" s="1538">
        <f t="shared" si="10"/>
        <v>0</v>
      </c>
      <c r="O22" s="1186">
        <v>0</v>
      </c>
      <c r="P22" s="1544">
        <f t="shared" si="11"/>
        <v>0</v>
      </c>
      <c r="Q22" s="1188"/>
      <c r="R22" s="1188">
        <f t="shared" si="12"/>
        <v>0</v>
      </c>
      <c r="S22" s="1544">
        <f t="shared" si="13"/>
        <v>0</v>
      </c>
      <c r="T22" s="1544">
        <f t="shared" si="14"/>
        <v>0</v>
      </c>
      <c r="U22" s="1373">
        <f>'Table 5C1A-Madison Prep'!U22</f>
        <v>12768</v>
      </c>
      <c r="V22" s="1514">
        <f t="shared" si="15"/>
        <v>0</v>
      </c>
      <c r="W22" s="1375"/>
      <c r="X22" s="1376">
        <f t="shared" si="16"/>
        <v>0</v>
      </c>
      <c r="Y22" s="1375"/>
      <c r="Z22" s="1376">
        <f t="shared" si="17"/>
        <v>0</v>
      </c>
      <c r="AA22" s="1374">
        <f t="shared" si="18"/>
        <v>0</v>
      </c>
      <c r="AB22" s="1509">
        <f t="shared" si="19"/>
        <v>0</v>
      </c>
      <c r="AC22" s="1378">
        <f t="shared" si="20"/>
        <v>0</v>
      </c>
      <c r="AD22" s="1509">
        <f t="shared" si="21"/>
        <v>0</v>
      </c>
      <c r="AE22" s="1379">
        <v>0</v>
      </c>
      <c r="AF22" s="1509">
        <f t="shared" si="22"/>
        <v>0</v>
      </c>
      <c r="AG22" s="1379"/>
      <c r="AH22" s="1379">
        <f t="shared" si="23"/>
        <v>0</v>
      </c>
      <c r="AI22" s="1509">
        <f t="shared" si="24"/>
        <v>0</v>
      </c>
      <c r="AJ22" s="1530">
        <f t="shared" si="25"/>
        <v>0</v>
      </c>
      <c r="AK22" s="1534">
        <f t="shared" si="26"/>
        <v>0</v>
      </c>
    </row>
    <row r="23" spans="1:37" ht="16.2" customHeight="1">
      <c r="A23" s="1176">
        <v>17</v>
      </c>
      <c r="B23" s="1177" t="s">
        <v>97</v>
      </c>
      <c r="C23" s="1178">
        <v>36</v>
      </c>
      <c r="D23" s="1179">
        <f>+'Table 5C1A-Madison Prep'!D23</f>
        <v>3363.5980368254495</v>
      </c>
      <c r="E23" s="1180">
        <f t="shared" si="5"/>
        <v>121089.52932571618</v>
      </c>
      <c r="F23" s="1180">
        <f>+'Table 5C1A-Madison Prep'!F23</f>
        <v>801.47762416806802</v>
      </c>
      <c r="G23" s="1180">
        <f t="shared" si="6"/>
        <v>28853.19447005045</v>
      </c>
      <c r="H23" s="1539">
        <f t="shared" si="7"/>
        <v>149942.72379576662</v>
      </c>
      <c r="I23" s="1181"/>
      <c r="J23" s="1181"/>
      <c r="K23" s="1182">
        <f t="shared" si="8"/>
        <v>0</v>
      </c>
      <c r="L23" s="1539">
        <f t="shared" si="9"/>
        <v>149942.72379576662</v>
      </c>
      <c r="M23" s="1388">
        <f t="shared" si="4"/>
        <v>-374.85680948941655</v>
      </c>
      <c r="N23" s="1539">
        <f t="shared" si="10"/>
        <v>149567.86698627719</v>
      </c>
      <c r="O23" s="1179">
        <v>0</v>
      </c>
      <c r="P23" s="1545">
        <f t="shared" si="11"/>
        <v>149567.86698627719</v>
      </c>
      <c r="Q23" s="1181"/>
      <c r="R23" s="1181">
        <f t="shared" si="12"/>
        <v>149567.86698627719</v>
      </c>
      <c r="S23" s="1545">
        <f t="shared" si="13"/>
        <v>12464</v>
      </c>
      <c r="T23" s="1545">
        <f t="shared" si="14"/>
        <v>149567.86698627719</v>
      </c>
      <c r="U23" s="1389">
        <f>'Table 5C1A-Madison Prep'!U23</f>
        <v>7050</v>
      </c>
      <c r="V23" s="1515">
        <f t="shared" si="15"/>
        <v>253800</v>
      </c>
      <c r="W23" s="1391"/>
      <c r="X23" s="1392">
        <f t="shared" si="16"/>
        <v>0</v>
      </c>
      <c r="Y23" s="1391"/>
      <c r="Z23" s="1392">
        <f t="shared" si="17"/>
        <v>0</v>
      </c>
      <c r="AA23" s="1390">
        <f t="shared" si="18"/>
        <v>0</v>
      </c>
      <c r="AB23" s="1510">
        <f t="shared" si="19"/>
        <v>253800</v>
      </c>
      <c r="AC23" s="1394">
        <f t="shared" si="20"/>
        <v>-634.5</v>
      </c>
      <c r="AD23" s="1510">
        <f t="shared" si="21"/>
        <v>253165.5</v>
      </c>
      <c r="AE23" s="1395">
        <v>0</v>
      </c>
      <c r="AF23" s="1510">
        <f t="shared" si="22"/>
        <v>253165.5</v>
      </c>
      <c r="AG23" s="1395"/>
      <c r="AH23" s="1395">
        <f t="shared" si="23"/>
        <v>253165.5</v>
      </c>
      <c r="AI23" s="1510">
        <f t="shared" si="24"/>
        <v>21097</v>
      </c>
      <c r="AJ23" s="1505">
        <f t="shared" si="25"/>
        <v>402733.36698627716</v>
      </c>
      <c r="AK23" s="1535">
        <f t="shared" si="26"/>
        <v>33561</v>
      </c>
    </row>
    <row r="24" spans="1:37" ht="16.2" customHeight="1">
      <c r="A24" s="1176">
        <v>18</v>
      </c>
      <c r="B24" s="1177" t="s">
        <v>98</v>
      </c>
      <c r="C24" s="1178">
        <v>0</v>
      </c>
      <c r="D24" s="1179">
        <f>+'Table 5C1A-Madison Prep'!D24</f>
        <v>6354.5533500475731</v>
      </c>
      <c r="E24" s="1180">
        <f t="shared" si="5"/>
        <v>0</v>
      </c>
      <c r="F24" s="1180">
        <f>+'Table 5C1A-Madison Prep'!F24</f>
        <v>845.94999999999993</v>
      </c>
      <c r="G24" s="1180">
        <f t="shared" si="6"/>
        <v>0</v>
      </c>
      <c r="H24" s="1539">
        <f t="shared" si="7"/>
        <v>0</v>
      </c>
      <c r="I24" s="1181"/>
      <c r="J24" s="1181"/>
      <c r="K24" s="1182">
        <f t="shared" si="8"/>
        <v>0</v>
      </c>
      <c r="L24" s="1539">
        <f t="shared" si="9"/>
        <v>0</v>
      </c>
      <c r="M24" s="1388">
        <f t="shared" si="4"/>
        <v>0</v>
      </c>
      <c r="N24" s="1539">
        <f t="shared" si="10"/>
        <v>0</v>
      </c>
      <c r="O24" s="1179">
        <v>0</v>
      </c>
      <c r="P24" s="1545">
        <f t="shared" si="11"/>
        <v>0</v>
      </c>
      <c r="Q24" s="1181"/>
      <c r="R24" s="1181">
        <f t="shared" si="12"/>
        <v>0</v>
      </c>
      <c r="S24" s="1545">
        <f t="shared" si="13"/>
        <v>0</v>
      </c>
      <c r="T24" s="1545">
        <f t="shared" si="14"/>
        <v>0</v>
      </c>
      <c r="U24" s="1389">
        <f>'Table 5C1A-Madison Prep'!U24</f>
        <v>2526</v>
      </c>
      <c r="V24" s="1515">
        <f t="shared" si="15"/>
        <v>0</v>
      </c>
      <c r="W24" s="1391"/>
      <c r="X24" s="1392">
        <f t="shared" si="16"/>
        <v>0</v>
      </c>
      <c r="Y24" s="1391"/>
      <c r="Z24" s="1392">
        <f t="shared" si="17"/>
        <v>0</v>
      </c>
      <c r="AA24" s="1390">
        <f t="shared" si="18"/>
        <v>0</v>
      </c>
      <c r="AB24" s="1510">
        <f t="shared" si="19"/>
        <v>0</v>
      </c>
      <c r="AC24" s="1394">
        <f t="shared" si="20"/>
        <v>0</v>
      </c>
      <c r="AD24" s="1510">
        <f t="shared" si="21"/>
        <v>0</v>
      </c>
      <c r="AE24" s="1395">
        <v>0</v>
      </c>
      <c r="AF24" s="1510">
        <f t="shared" si="22"/>
        <v>0</v>
      </c>
      <c r="AG24" s="1395"/>
      <c r="AH24" s="1395">
        <f t="shared" si="23"/>
        <v>0</v>
      </c>
      <c r="AI24" s="1510">
        <f t="shared" si="24"/>
        <v>0</v>
      </c>
      <c r="AJ24" s="1505">
        <f t="shared" si="25"/>
        <v>0</v>
      </c>
      <c r="AK24" s="1535">
        <f t="shared" si="26"/>
        <v>0</v>
      </c>
    </row>
    <row r="25" spans="1:37" ht="16.2" customHeight="1">
      <c r="A25" s="1176">
        <v>19</v>
      </c>
      <c r="B25" s="1177" t="s">
        <v>99</v>
      </c>
      <c r="C25" s="1178">
        <v>12</v>
      </c>
      <c r="D25" s="1179">
        <f>+'Table 5C1A-Madison Prep'!D25</f>
        <v>5314.3921869460446</v>
      </c>
      <c r="E25" s="1180">
        <f t="shared" si="5"/>
        <v>63772.706243352535</v>
      </c>
      <c r="F25" s="1180">
        <f>+'Table 5C1A-Madison Prep'!F25</f>
        <v>905.43</v>
      </c>
      <c r="G25" s="1180">
        <f t="shared" si="6"/>
        <v>10865.16</v>
      </c>
      <c r="H25" s="1539">
        <f t="shared" si="7"/>
        <v>74637.866243352531</v>
      </c>
      <c r="I25" s="1181"/>
      <c r="J25" s="1181"/>
      <c r="K25" s="1182">
        <f t="shared" si="8"/>
        <v>0</v>
      </c>
      <c r="L25" s="1539">
        <f t="shared" si="9"/>
        <v>74637.866243352531</v>
      </c>
      <c r="M25" s="1388">
        <f t="shared" si="4"/>
        <v>-186.59466560838132</v>
      </c>
      <c r="N25" s="1539">
        <f t="shared" si="10"/>
        <v>74451.271577744148</v>
      </c>
      <c r="O25" s="1179">
        <v>0</v>
      </c>
      <c r="P25" s="1545">
        <f t="shared" si="11"/>
        <v>74451.271577744148</v>
      </c>
      <c r="Q25" s="1181"/>
      <c r="R25" s="1181">
        <f t="shared" si="12"/>
        <v>74451.271577744148</v>
      </c>
      <c r="S25" s="1545">
        <f t="shared" si="13"/>
        <v>6204</v>
      </c>
      <c r="T25" s="1545">
        <f t="shared" si="14"/>
        <v>74451.271577744148</v>
      </c>
      <c r="U25" s="1389">
        <f>'Table 5C1A-Madison Prep'!U25</f>
        <v>2908</v>
      </c>
      <c r="V25" s="1515">
        <f t="shared" si="15"/>
        <v>34896</v>
      </c>
      <c r="W25" s="1391"/>
      <c r="X25" s="1392">
        <f t="shared" si="16"/>
        <v>0</v>
      </c>
      <c r="Y25" s="1391"/>
      <c r="Z25" s="1392">
        <f t="shared" si="17"/>
        <v>0</v>
      </c>
      <c r="AA25" s="1390">
        <f t="shared" si="18"/>
        <v>0</v>
      </c>
      <c r="AB25" s="1510">
        <f t="shared" si="19"/>
        <v>34896</v>
      </c>
      <c r="AC25" s="1394">
        <f t="shared" si="20"/>
        <v>-87.24</v>
      </c>
      <c r="AD25" s="1510">
        <f t="shared" si="21"/>
        <v>34808.76</v>
      </c>
      <c r="AE25" s="1395">
        <v>0</v>
      </c>
      <c r="AF25" s="1510">
        <f t="shared" si="22"/>
        <v>34808.76</v>
      </c>
      <c r="AG25" s="1395"/>
      <c r="AH25" s="1395">
        <f t="shared" si="23"/>
        <v>34808.76</v>
      </c>
      <c r="AI25" s="1510">
        <f t="shared" si="24"/>
        <v>2901</v>
      </c>
      <c r="AJ25" s="1505">
        <f t="shared" si="25"/>
        <v>109260.03157774414</v>
      </c>
      <c r="AK25" s="1535">
        <f t="shared" si="26"/>
        <v>9105</v>
      </c>
    </row>
    <row r="26" spans="1:37" ht="16.2" customHeight="1">
      <c r="A26" s="1168">
        <v>20</v>
      </c>
      <c r="B26" s="1169" t="s">
        <v>100</v>
      </c>
      <c r="C26" s="1170">
        <v>0</v>
      </c>
      <c r="D26" s="1171">
        <f>+'Table 5C1A-Madison Prep'!D26</f>
        <v>5278.5201565562011</v>
      </c>
      <c r="E26" s="1172">
        <f t="shared" si="5"/>
        <v>0</v>
      </c>
      <c r="F26" s="1172">
        <f>+'Table 5C1A-Madison Prep'!F26</f>
        <v>586.16999999999996</v>
      </c>
      <c r="G26" s="1172">
        <f t="shared" si="6"/>
        <v>0</v>
      </c>
      <c r="H26" s="1540">
        <f t="shared" si="7"/>
        <v>0</v>
      </c>
      <c r="I26" s="1173"/>
      <c r="J26" s="1173"/>
      <c r="K26" s="1174">
        <f t="shared" si="8"/>
        <v>0</v>
      </c>
      <c r="L26" s="1540">
        <f t="shared" si="9"/>
        <v>0</v>
      </c>
      <c r="M26" s="1399">
        <f t="shared" si="4"/>
        <v>0</v>
      </c>
      <c r="N26" s="1540">
        <f t="shared" si="10"/>
        <v>0</v>
      </c>
      <c r="O26" s="1171">
        <v>0</v>
      </c>
      <c r="P26" s="1546">
        <f t="shared" si="11"/>
        <v>0</v>
      </c>
      <c r="Q26" s="1173"/>
      <c r="R26" s="1173">
        <f t="shared" si="12"/>
        <v>0</v>
      </c>
      <c r="S26" s="1546">
        <f t="shared" si="13"/>
        <v>0</v>
      </c>
      <c r="T26" s="1546">
        <f t="shared" si="14"/>
        <v>0</v>
      </c>
      <c r="U26" s="1382">
        <f>'Table 5C1A-Madison Prep'!U26</f>
        <v>2432</v>
      </c>
      <c r="V26" s="1516">
        <f t="shared" si="15"/>
        <v>0</v>
      </c>
      <c r="W26" s="1400"/>
      <c r="X26" s="1383">
        <f t="shared" si="16"/>
        <v>0</v>
      </c>
      <c r="Y26" s="1400"/>
      <c r="Z26" s="1383">
        <f t="shared" si="17"/>
        <v>0</v>
      </c>
      <c r="AA26" s="1384">
        <f t="shared" si="18"/>
        <v>0</v>
      </c>
      <c r="AB26" s="1511">
        <f t="shared" si="19"/>
        <v>0</v>
      </c>
      <c r="AC26" s="1402">
        <f t="shared" si="20"/>
        <v>0</v>
      </c>
      <c r="AD26" s="1511">
        <f t="shared" si="21"/>
        <v>0</v>
      </c>
      <c r="AE26" s="1385">
        <v>0</v>
      </c>
      <c r="AF26" s="1511">
        <f t="shared" si="22"/>
        <v>0</v>
      </c>
      <c r="AG26" s="1385"/>
      <c r="AH26" s="1385">
        <f t="shared" si="23"/>
        <v>0</v>
      </c>
      <c r="AI26" s="1511">
        <f t="shared" si="24"/>
        <v>0</v>
      </c>
      <c r="AJ26" s="1531">
        <f t="shared" si="25"/>
        <v>0</v>
      </c>
      <c r="AK26" s="1536">
        <f t="shared" si="26"/>
        <v>0</v>
      </c>
    </row>
    <row r="27" spans="1:37" ht="16.2" customHeight="1">
      <c r="A27" s="1183">
        <v>21</v>
      </c>
      <c r="B27" s="1184" t="s">
        <v>101</v>
      </c>
      <c r="C27" s="1185">
        <v>0</v>
      </c>
      <c r="D27" s="1186">
        <f>+'Table 5C1A-Madison Prep'!D27</f>
        <v>6082.3042295867763</v>
      </c>
      <c r="E27" s="1187">
        <f t="shared" si="5"/>
        <v>0</v>
      </c>
      <c r="F27" s="1187">
        <f>+'Table 5C1A-Madison Prep'!F27</f>
        <v>610.35</v>
      </c>
      <c r="G27" s="1187">
        <f t="shared" si="6"/>
        <v>0</v>
      </c>
      <c r="H27" s="1538">
        <f t="shared" si="7"/>
        <v>0</v>
      </c>
      <c r="I27" s="1188"/>
      <c r="J27" s="1188"/>
      <c r="K27" s="1189">
        <f t="shared" si="8"/>
        <v>0</v>
      </c>
      <c r="L27" s="1538">
        <f t="shared" si="9"/>
        <v>0</v>
      </c>
      <c r="M27" s="1372">
        <f t="shared" si="4"/>
        <v>0</v>
      </c>
      <c r="N27" s="1538">
        <f t="shared" si="10"/>
        <v>0</v>
      </c>
      <c r="O27" s="1186">
        <v>0</v>
      </c>
      <c r="P27" s="1544">
        <f t="shared" si="11"/>
        <v>0</v>
      </c>
      <c r="Q27" s="1188"/>
      <c r="R27" s="1188">
        <f t="shared" si="12"/>
        <v>0</v>
      </c>
      <c r="S27" s="1544">
        <f t="shared" si="13"/>
        <v>0</v>
      </c>
      <c r="T27" s="1544">
        <f t="shared" si="14"/>
        <v>0</v>
      </c>
      <c r="U27" s="1373">
        <f>'Table 5C1A-Madison Prep'!U27</f>
        <v>2460</v>
      </c>
      <c r="V27" s="1514">
        <f t="shared" si="15"/>
        <v>0</v>
      </c>
      <c r="W27" s="1375"/>
      <c r="X27" s="1376">
        <f t="shared" si="16"/>
        <v>0</v>
      </c>
      <c r="Y27" s="1375"/>
      <c r="Z27" s="1376">
        <f t="shared" si="17"/>
        <v>0</v>
      </c>
      <c r="AA27" s="1374">
        <f t="shared" si="18"/>
        <v>0</v>
      </c>
      <c r="AB27" s="1509">
        <f t="shared" si="19"/>
        <v>0</v>
      </c>
      <c r="AC27" s="1378">
        <f t="shared" si="20"/>
        <v>0</v>
      </c>
      <c r="AD27" s="1509">
        <f t="shared" si="21"/>
        <v>0</v>
      </c>
      <c r="AE27" s="1379">
        <v>0</v>
      </c>
      <c r="AF27" s="1509">
        <f t="shared" si="22"/>
        <v>0</v>
      </c>
      <c r="AG27" s="1379"/>
      <c r="AH27" s="1379">
        <f t="shared" si="23"/>
        <v>0</v>
      </c>
      <c r="AI27" s="1509">
        <f t="shared" si="24"/>
        <v>0</v>
      </c>
      <c r="AJ27" s="1530">
        <f t="shared" si="25"/>
        <v>0</v>
      </c>
      <c r="AK27" s="1534">
        <f t="shared" si="26"/>
        <v>0</v>
      </c>
    </row>
    <row r="28" spans="1:37" ht="16.2" customHeight="1">
      <c r="A28" s="1176">
        <v>22</v>
      </c>
      <c r="B28" s="1177" t="s">
        <v>102</v>
      </c>
      <c r="C28" s="1178">
        <v>0</v>
      </c>
      <c r="D28" s="1179">
        <f>+'Table 5C1A-Madison Prep'!D28</f>
        <v>6416.1099808195995</v>
      </c>
      <c r="E28" s="1180">
        <f t="shared" si="5"/>
        <v>0</v>
      </c>
      <c r="F28" s="1180">
        <f>+'Table 5C1A-Madison Prep'!F28</f>
        <v>496.36</v>
      </c>
      <c r="G28" s="1180">
        <f t="shared" si="6"/>
        <v>0</v>
      </c>
      <c r="H28" s="1539">
        <f t="shared" si="7"/>
        <v>0</v>
      </c>
      <c r="I28" s="1181"/>
      <c r="J28" s="1181"/>
      <c r="K28" s="1182">
        <f t="shared" si="8"/>
        <v>0</v>
      </c>
      <c r="L28" s="1539">
        <f t="shared" si="9"/>
        <v>0</v>
      </c>
      <c r="M28" s="1388">
        <f t="shared" si="4"/>
        <v>0</v>
      </c>
      <c r="N28" s="1539">
        <f t="shared" si="10"/>
        <v>0</v>
      </c>
      <c r="O28" s="1179">
        <v>0</v>
      </c>
      <c r="P28" s="1545">
        <f t="shared" si="11"/>
        <v>0</v>
      </c>
      <c r="Q28" s="1181"/>
      <c r="R28" s="1181">
        <f t="shared" si="12"/>
        <v>0</v>
      </c>
      <c r="S28" s="1545">
        <f t="shared" si="13"/>
        <v>0</v>
      </c>
      <c r="T28" s="1545">
        <f t="shared" si="14"/>
        <v>0</v>
      </c>
      <c r="U28" s="1389">
        <f>'Table 5C1A-Madison Prep'!U28</f>
        <v>1613</v>
      </c>
      <c r="V28" s="1515">
        <f t="shared" si="15"/>
        <v>0</v>
      </c>
      <c r="W28" s="1391"/>
      <c r="X28" s="1392">
        <f t="shared" si="16"/>
        <v>0</v>
      </c>
      <c r="Y28" s="1391"/>
      <c r="Z28" s="1392">
        <f t="shared" si="17"/>
        <v>0</v>
      </c>
      <c r="AA28" s="1390">
        <f t="shared" si="18"/>
        <v>0</v>
      </c>
      <c r="AB28" s="1510">
        <f t="shared" si="19"/>
        <v>0</v>
      </c>
      <c r="AC28" s="1394">
        <f t="shared" si="20"/>
        <v>0</v>
      </c>
      <c r="AD28" s="1510">
        <f t="shared" si="21"/>
        <v>0</v>
      </c>
      <c r="AE28" s="1395">
        <v>0</v>
      </c>
      <c r="AF28" s="1510">
        <f t="shared" si="22"/>
        <v>0</v>
      </c>
      <c r="AG28" s="1395"/>
      <c r="AH28" s="1395">
        <f t="shared" si="23"/>
        <v>0</v>
      </c>
      <c r="AI28" s="1510">
        <f t="shared" si="24"/>
        <v>0</v>
      </c>
      <c r="AJ28" s="1505">
        <f t="shared" si="25"/>
        <v>0</v>
      </c>
      <c r="AK28" s="1535">
        <f t="shared" si="26"/>
        <v>0</v>
      </c>
    </row>
    <row r="29" spans="1:37" ht="16.2" customHeight="1">
      <c r="A29" s="1176">
        <v>23</v>
      </c>
      <c r="B29" s="1177" t="s">
        <v>103</v>
      </c>
      <c r="C29" s="1178">
        <v>0</v>
      </c>
      <c r="D29" s="1179">
        <f>+'Table 5C1A-Madison Prep'!D29</f>
        <v>5011.0215265979159</v>
      </c>
      <c r="E29" s="1180">
        <f t="shared" si="5"/>
        <v>0</v>
      </c>
      <c r="F29" s="1180">
        <f>+'Table 5C1A-Madison Prep'!F29</f>
        <v>688.58</v>
      </c>
      <c r="G29" s="1180">
        <f t="shared" si="6"/>
        <v>0</v>
      </c>
      <c r="H29" s="1539">
        <f t="shared" si="7"/>
        <v>0</v>
      </c>
      <c r="I29" s="1181"/>
      <c r="J29" s="1181"/>
      <c r="K29" s="1182">
        <f t="shared" si="8"/>
        <v>0</v>
      </c>
      <c r="L29" s="1539">
        <f t="shared" si="9"/>
        <v>0</v>
      </c>
      <c r="M29" s="1388">
        <f t="shared" si="4"/>
        <v>0</v>
      </c>
      <c r="N29" s="1539">
        <f t="shared" si="10"/>
        <v>0</v>
      </c>
      <c r="O29" s="1179">
        <v>0</v>
      </c>
      <c r="P29" s="1545">
        <f t="shared" si="11"/>
        <v>0</v>
      </c>
      <c r="Q29" s="1181"/>
      <c r="R29" s="1181">
        <f t="shared" si="12"/>
        <v>0</v>
      </c>
      <c r="S29" s="1545">
        <f t="shared" si="13"/>
        <v>0</v>
      </c>
      <c r="T29" s="1545">
        <f t="shared" si="14"/>
        <v>0</v>
      </c>
      <c r="U29" s="1389">
        <f>'Table 5C1A-Madison Prep'!U29</f>
        <v>3473</v>
      </c>
      <c r="V29" s="1515">
        <f t="shared" si="15"/>
        <v>0</v>
      </c>
      <c r="W29" s="1391"/>
      <c r="X29" s="1392">
        <f t="shared" si="16"/>
        <v>0</v>
      </c>
      <c r="Y29" s="1391"/>
      <c r="Z29" s="1392">
        <f t="shared" si="17"/>
        <v>0</v>
      </c>
      <c r="AA29" s="1390">
        <f t="shared" si="18"/>
        <v>0</v>
      </c>
      <c r="AB29" s="1510">
        <f t="shared" si="19"/>
        <v>0</v>
      </c>
      <c r="AC29" s="1394">
        <f t="shared" si="20"/>
        <v>0</v>
      </c>
      <c r="AD29" s="1510">
        <f t="shared" si="21"/>
        <v>0</v>
      </c>
      <c r="AE29" s="1395">
        <v>0</v>
      </c>
      <c r="AF29" s="1510">
        <f t="shared" si="22"/>
        <v>0</v>
      </c>
      <c r="AG29" s="1395"/>
      <c r="AH29" s="1395">
        <f t="shared" si="23"/>
        <v>0</v>
      </c>
      <c r="AI29" s="1510">
        <f t="shared" si="24"/>
        <v>0</v>
      </c>
      <c r="AJ29" s="1505">
        <f t="shared" si="25"/>
        <v>0</v>
      </c>
      <c r="AK29" s="1535">
        <f t="shared" si="26"/>
        <v>0</v>
      </c>
    </row>
    <row r="30" spans="1:37" ht="16.2" customHeight="1">
      <c r="A30" s="1176">
        <v>24</v>
      </c>
      <c r="B30" s="1177" t="s">
        <v>104</v>
      </c>
      <c r="C30" s="1178">
        <v>0</v>
      </c>
      <c r="D30" s="1179">
        <f>+'Table 5C1A-Madison Prep'!D30</f>
        <v>2611.6740361576999</v>
      </c>
      <c r="E30" s="1180">
        <f t="shared" si="5"/>
        <v>0</v>
      </c>
      <c r="F30" s="1180">
        <f>+'Table 5C1A-Madison Prep'!F30</f>
        <v>854.24999999999989</v>
      </c>
      <c r="G30" s="1180">
        <f t="shared" si="6"/>
        <v>0</v>
      </c>
      <c r="H30" s="1539">
        <f t="shared" si="7"/>
        <v>0</v>
      </c>
      <c r="I30" s="1181"/>
      <c r="J30" s="1181"/>
      <c r="K30" s="1182">
        <f t="shared" si="8"/>
        <v>0</v>
      </c>
      <c r="L30" s="1539">
        <f t="shared" si="9"/>
        <v>0</v>
      </c>
      <c r="M30" s="1388">
        <f t="shared" si="4"/>
        <v>0</v>
      </c>
      <c r="N30" s="1539">
        <f t="shared" si="10"/>
        <v>0</v>
      </c>
      <c r="O30" s="1179">
        <v>0</v>
      </c>
      <c r="P30" s="1545">
        <f t="shared" si="11"/>
        <v>0</v>
      </c>
      <c r="Q30" s="1181"/>
      <c r="R30" s="1181">
        <f t="shared" si="12"/>
        <v>0</v>
      </c>
      <c r="S30" s="1545">
        <f t="shared" si="13"/>
        <v>0</v>
      </c>
      <c r="T30" s="1545">
        <f t="shared" si="14"/>
        <v>0</v>
      </c>
      <c r="U30" s="1389">
        <f>'Table 5C1A-Madison Prep'!U30</f>
        <v>10053</v>
      </c>
      <c r="V30" s="1515">
        <f t="shared" si="15"/>
        <v>0</v>
      </c>
      <c r="W30" s="1391"/>
      <c r="X30" s="1392">
        <f t="shared" si="16"/>
        <v>0</v>
      </c>
      <c r="Y30" s="1391"/>
      <c r="Z30" s="1392">
        <f t="shared" si="17"/>
        <v>0</v>
      </c>
      <c r="AA30" s="1390">
        <f t="shared" si="18"/>
        <v>0</v>
      </c>
      <c r="AB30" s="1510">
        <f t="shared" si="19"/>
        <v>0</v>
      </c>
      <c r="AC30" s="1394">
        <f t="shared" si="20"/>
        <v>0</v>
      </c>
      <c r="AD30" s="1510">
        <f t="shared" si="21"/>
        <v>0</v>
      </c>
      <c r="AE30" s="1395">
        <v>0</v>
      </c>
      <c r="AF30" s="1510">
        <f t="shared" si="22"/>
        <v>0</v>
      </c>
      <c r="AG30" s="1395"/>
      <c r="AH30" s="1395">
        <f t="shared" si="23"/>
        <v>0</v>
      </c>
      <c r="AI30" s="1510">
        <f t="shared" si="24"/>
        <v>0</v>
      </c>
      <c r="AJ30" s="1505">
        <f t="shared" si="25"/>
        <v>0</v>
      </c>
      <c r="AK30" s="1535">
        <f t="shared" si="26"/>
        <v>0</v>
      </c>
    </row>
    <row r="31" spans="1:37" ht="16.2" customHeight="1">
      <c r="A31" s="1168">
        <v>25</v>
      </c>
      <c r="B31" s="1169" t="s">
        <v>105</v>
      </c>
      <c r="C31" s="1170">
        <v>0</v>
      </c>
      <c r="D31" s="1171">
        <f>+'Table 5C1A-Madison Prep'!D31</f>
        <v>4173.0720274945697</v>
      </c>
      <c r="E31" s="1172">
        <f t="shared" si="5"/>
        <v>0</v>
      </c>
      <c r="F31" s="1172">
        <f>+'Table 5C1A-Madison Prep'!F31</f>
        <v>653.73</v>
      </c>
      <c r="G31" s="1172">
        <f t="shared" si="6"/>
        <v>0</v>
      </c>
      <c r="H31" s="1540">
        <f t="shared" si="7"/>
        <v>0</v>
      </c>
      <c r="I31" s="1173"/>
      <c r="J31" s="1173"/>
      <c r="K31" s="1174">
        <f t="shared" si="8"/>
        <v>0</v>
      </c>
      <c r="L31" s="1540">
        <f t="shared" si="9"/>
        <v>0</v>
      </c>
      <c r="M31" s="1399">
        <f t="shared" si="4"/>
        <v>0</v>
      </c>
      <c r="N31" s="1540">
        <f t="shared" si="10"/>
        <v>0</v>
      </c>
      <c r="O31" s="1171">
        <v>0</v>
      </c>
      <c r="P31" s="1546">
        <f t="shared" si="11"/>
        <v>0</v>
      </c>
      <c r="Q31" s="1173"/>
      <c r="R31" s="1173">
        <f t="shared" si="12"/>
        <v>0</v>
      </c>
      <c r="S31" s="1546">
        <f t="shared" si="13"/>
        <v>0</v>
      </c>
      <c r="T31" s="1546">
        <f t="shared" si="14"/>
        <v>0</v>
      </c>
      <c r="U31" s="1382">
        <f>'Table 5C1A-Madison Prep'!U31</f>
        <v>5073</v>
      </c>
      <c r="V31" s="1516">
        <f t="shared" si="15"/>
        <v>0</v>
      </c>
      <c r="W31" s="1400"/>
      <c r="X31" s="1383">
        <f t="shared" si="16"/>
        <v>0</v>
      </c>
      <c r="Y31" s="1400"/>
      <c r="Z31" s="1383">
        <f t="shared" si="17"/>
        <v>0</v>
      </c>
      <c r="AA31" s="1384">
        <f t="shared" si="18"/>
        <v>0</v>
      </c>
      <c r="AB31" s="1511">
        <f t="shared" si="19"/>
        <v>0</v>
      </c>
      <c r="AC31" s="1402">
        <f t="shared" si="20"/>
        <v>0</v>
      </c>
      <c r="AD31" s="1511">
        <f t="shared" si="21"/>
        <v>0</v>
      </c>
      <c r="AE31" s="1385">
        <v>0</v>
      </c>
      <c r="AF31" s="1511">
        <f t="shared" si="22"/>
        <v>0</v>
      </c>
      <c r="AG31" s="1385"/>
      <c r="AH31" s="1385">
        <f t="shared" si="23"/>
        <v>0</v>
      </c>
      <c r="AI31" s="1511">
        <f t="shared" si="24"/>
        <v>0</v>
      </c>
      <c r="AJ31" s="1531">
        <f t="shared" si="25"/>
        <v>0</v>
      </c>
      <c r="AK31" s="1536">
        <f t="shared" si="26"/>
        <v>0</v>
      </c>
    </row>
    <row r="32" spans="1:37" ht="16.2" customHeight="1">
      <c r="A32" s="1183">
        <v>26</v>
      </c>
      <c r="B32" s="1184" t="s">
        <v>106</v>
      </c>
      <c r="C32" s="1185">
        <v>0</v>
      </c>
      <c r="D32" s="1186">
        <f>+'Table 5C1A-Madison Prep'!D32</f>
        <v>3424.5649970570835</v>
      </c>
      <c r="E32" s="1187">
        <f t="shared" si="5"/>
        <v>0</v>
      </c>
      <c r="F32" s="1187">
        <f>+'Table 5C1A-Madison Prep'!F32</f>
        <v>836.83</v>
      </c>
      <c r="G32" s="1187">
        <f t="shared" si="6"/>
        <v>0</v>
      </c>
      <c r="H32" s="1538">
        <f t="shared" si="7"/>
        <v>0</v>
      </c>
      <c r="I32" s="1188"/>
      <c r="J32" s="1188"/>
      <c r="K32" s="1189">
        <f t="shared" si="8"/>
        <v>0</v>
      </c>
      <c r="L32" s="1538">
        <f t="shared" si="9"/>
        <v>0</v>
      </c>
      <c r="M32" s="1372">
        <f t="shared" si="4"/>
        <v>0</v>
      </c>
      <c r="N32" s="1538">
        <f t="shared" si="10"/>
        <v>0</v>
      </c>
      <c r="O32" s="1186">
        <v>0</v>
      </c>
      <c r="P32" s="1544">
        <f t="shared" si="11"/>
        <v>0</v>
      </c>
      <c r="Q32" s="1188"/>
      <c r="R32" s="1188">
        <f t="shared" si="12"/>
        <v>0</v>
      </c>
      <c r="S32" s="1544">
        <f t="shared" si="13"/>
        <v>0</v>
      </c>
      <c r="T32" s="1544">
        <f t="shared" si="14"/>
        <v>0</v>
      </c>
      <c r="U32" s="1373">
        <f>'Table 5C1A-Madison Prep'!U32</f>
        <v>5260</v>
      </c>
      <c r="V32" s="1514">
        <f t="shared" si="15"/>
        <v>0</v>
      </c>
      <c r="W32" s="1375"/>
      <c r="X32" s="1376">
        <f t="shared" si="16"/>
        <v>0</v>
      </c>
      <c r="Y32" s="1375"/>
      <c r="Z32" s="1376">
        <f t="shared" si="17"/>
        <v>0</v>
      </c>
      <c r="AA32" s="1374">
        <f t="shared" si="18"/>
        <v>0</v>
      </c>
      <c r="AB32" s="1509">
        <f t="shared" si="19"/>
        <v>0</v>
      </c>
      <c r="AC32" s="1378">
        <f t="shared" si="20"/>
        <v>0</v>
      </c>
      <c r="AD32" s="1509">
        <f t="shared" si="21"/>
        <v>0</v>
      </c>
      <c r="AE32" s="1379">
        <v>0</v>
      </c>
      <c r="AF32" s="1509">
        <f t="shared" si="22"/>
        <v>0</v>
      </c>
      <c r="AG32" s="1379"/>
      <c r="AH32" s="1379">
        <f t="shared" si="23"/>
        <v>0</v>
      </c>
      <c r="AI32" s="1509">
        <f t="shared" si="24"/>
        <v>0</v>
      </c>
      <c r="AJ32" s="1530">
        <f t="shared" si="25"/>
        <v>0</v>
      </c>
      <c r="AK32" s="1534">
        <f t="shared" si="26"/>
        <v>0</v>
      </c>
    </row>
    <row r="33" spans="1:37" ht="16.2" customHeight="1">
      <c r="A33" s="1176">
        <v>27</v>
      </c>
      <c r="B33" s="1177" t="s">
        <v>107</v>
      </c>
      <c r="C33" s="1178">
        <v>0</v>
      </c>
      <c r="D33" s="1179">
        <f>+'Table 5C1A-Madison Prep'!D33</f>
        <v>5804.9013839977006</v>
      </c>
      <c r="E33" s="1180">
        <f t="shared" si="5"/>
        <v>0</v>
      </c>
      <c r="F33" s="1180">
        <f>+'Table 5C1A-Madison Prep'!F33</f>
        <v>693.06</v>
      </c>
      <c r="G33" s="1180">
        <f t="shared" si="6"/>
        <v>0</v>
      </c>
      <c r="H33" s="1539">
        <f t="shared" si="7"/>
        <v>0</v>
      </c>
      <c r="I33" s="1181"/>
      <c r="J33" s="1181"/>
      <c r="K33" s="1182">
        <f t="shared" si="8"/>
        <v>0</v>
      </c>
      <c r="L33" s="1539">
        <f t="shared" si="9"/>
        <v>0</v>
      </c>
      <c r="M33" s="1388">
        <f t="shared" si="4"/>
        <v>0</v>
      </c>
      <c r="N33" s="1539">
        <f t="shared" si="10"/>
        <v>0</v>
      </c>
      <c r="O33" s="1179">
        <v>0</v>
      </c>
      <c r="P33" s="1545">
        <f t="shared" si="11"/>
        <v>0</v>
      </c>
      <c r="Q33" s="1181"/>
      <c r="R33" s="1181">
        <f t="shared" si="12"/>
        <v>0</v>
      </c>
      <c r="S33" s="1545">
        <f t="shared" si="13"/>
        <v>0</v>
      </c>
      <c r="T33" s="1545">
        <f t="shared" si="14"/>
        <v>0</v>
      </c>
      <c r="U33" s="1389">
        <f>'Table 5C1A-Madison Prep'!U33</f>
        <v>3169</v>
      </c>
      <c r="V33" s="1515">
        <f t="shared" si="15"/>
        <v>0</v>
      </c>
      <c r="W33" s="1391"/>
      <c r="X33" s="1392">
        <f t="shared" si="16"/>
        <v>0</v>
      </c>
      <c r="Y33" s="1391"/>
      <c r="Z33" s="1392">
        <f t="shared" si="17"/>
        <v>0</v>
      </c>
      <c r="AA33" s="1390">
        <f t="shared" si="18"/>
        <v>0</v>
      </c>
      <c r="AB33" s="1510">
        <f t="shared" si="19"/>
        <v>0</v>
      </c>
      <c r="AC33" s="1394">
        <f t="shared" si="20"/>
        <v>0</v>
      </c>
      <c r="AD33" s="1510">
        <f t="shared" si="21"/>
        <v>0</v>
      </c>
      <c r="AE33" s="1395">
        <v>0</v>
      </c>
      <c r="AF33" s="1510">
        <f t="shared" si="22"/>
        <v>0</v>
      </c>
      <c r="AG33" s="1395"/>
      <c r="AH33" s="1395">
        <f t="shared" si="23"/>
        <v>0</v>
      </c>
      <c r="AI33" s="1510">
        <f t="shared" si="24"/>
        <v>0</v>
      </c>
      <c r="AJ33" s="1505">
        <f t="shared" si="25"/>
        <v>0</v>
      </c>
      <c r="AK33" s="1535">
        <f t="shared" si="26"/>
        <v>0</v>
      </c>
    </row>
    <row r="34" spans="1:37" ht="16.2" customHeight="1">
      <c r="A34" s="1176">
        <v>28</v>
      </c>
      <c r="B34" s="1177" t="s">
        <v>108</v>
      </c>
      <c r="C34" s="1178">
        <v>0</v>
      </c>
      <c r="D34" s="1179">
        <f>+'Table 5C1A-Madison Prep'!D34</f>
        <v>3137.4158846568821</v>
      </c>
      <c r="E34" s="1180">
        <f t="shared" si="5"/>
        <v>0</v>
      </c>
      <c r="F34" s="1180">
        <f>+'Table 5C1A-Madison Prep'!F34</f>
        <v>694.4</v>
      </c>
      <c r="G34" s="1180">
        <f t="shared" si="6"/>
        <v>0</v>
      </c>
      <c r="H34" s="1539">
        <f t="shared" si="7"/>
        <v>0</v>
      </c>
      <c r="I34" s="1181"/>
      <c r="J34" s="1181"/>
      <c r="K34" s="1182">
        <f t="shared" si="8"/>
        <v>0</v>
      </c>
      <c r="L34" s="1539">
        <f t="shared" si="9"/>
        <v>0</v>
      </c>
      <c r="M34" s="1388">
        <f t="shared" si="4"/>
        <v>0</v>
      </c>
      <c r="N34" s="1539">
        <f t="shared" si="10"/>
        <v>0</v>
      </c>
      <c r="O34" s="1179">
        <v>0</v>
      </c>
      <c r="P34" s="1545">
        <f t="shared" si="11"/>
        <v>0</v>
      </c>
      <c r="Q34" s="1181"/>
      <c r="R34" s="1181">
        <f t="shared" si="12"/>
        <v>0</v>
      </c>
      <c r="S34" s="1545">
        <f t="shared" si="13"/>
        <v>0</v>
      </c>
      <c r="T34" s="1545">
        <f t="shared" si="14"/>
        <v>0</v>
      </c>
      <c r="U34" s="1389">
        <f>'Table 5C1A-Madison Prep'!U34</f>
        <v>5790</v>
      </c>
      <c r="V34" s="1515">
        <f t="shared" si="15"/>
        <v>0</v>
      </c>
      <c r="W34" s="1391"/>
      <c r="X34" s="1392">
        <f t="shared" si="16"/>
        <v>0</v>
      </c>
      <c r="Y34" s="1391"/>
      <c r="Z34" s="1392">
        <f t="shared" si="17"/>
        <v>0</v>
      </c>
      <c r="AA34" s="1390">
        <f t="shared" si="18"/>
        <v>0</v>
      </c>
      <c r="AB34" s="1510">
        <f t="shared" si="19"/>
        <v>0</v>
      </c>
      <c r="AC34" s="1394">
        <f t="shared" si="20"/>
        <v>0</v>
      </c>
      <c r="AD34" s="1510">
        <f t="shared" si="21"/>
        <v>0</v>
      </c>
      <c r="AE34" s="1395">
        <v>0</v>
      </c>
      <c r="AF34" s="1510">
        <f t="shared" si="22"/>
        <v>0</v>
      </c>
      <c r="AG34" s="1395"/>
      <c r="AH34" s="1395">
        <f t="shared" si="23"/>
        <v>0</v>
      </c>
      <c r="AI34" s="1510">
        <f t="shared" si="24"/>
        <v>0</v>
      </c>
      <c r="AJ34" s="1505">
        <f t="shared" si="25"/>
        <v>0</v>
      </c>
      <c r="AK34" s="1535">
        <f t="shared" si="26"/>
        <v>0</v>
      </c>
    </row>
    <row r="35" spans="1:37" ht="16.2" customHeight="1">
      <c r="A35" s="1176">
        <v>29</v>
      </c>
      <c r="B35" s="1177" t="s">
        <v>109</v>
      </c>
      <c r="C35" s="1178">
        <v>0</v>
      </c>
      <c r="D35" s="1179">
        <f>+'Table 5C1A-Madison Prep'!D35</f>
        <v>3839.0123210173724</v>
      </c>
      <c r="E35" s="1180">
        <f t="shared" si="5"/>
        <v>0</v>
      </c>
      <c r="F35" s="1180">
        <f>+'Table 5C1A-Madison Prep'!F35</f>
        <v>754.94999999999993</v>
      </c>
      <c r="G35" s="1180">
        <f t="shared" si="6"/>
        <v>0</v>
      </c>
      <c r="H35" s="1539">
        <f t="shared" si="7"/>
        <v>0</v>
      </c>
      <c r="I35" s="1181"/>
      <c r="J35" s="1181"/>
      <c r="K35" s="1182">
        <f t="shared" si="8"/>
        <v>0</v>
      </c>
      <c r="L35" s="1539">
        <f t="shared" si="9"/>
        <v>0</v>
      </c>
      <c r="M35" s="1388">
        <f t="shared" si="4"/>
        <v>0</v>
      </c>
      <c r="N35" s="1539">
        <f t="shared" si="10"/>
        <v>0</v>
      </c>
      <c r="O35" s="1179">
        <v>0</v>
      </c>
      <c r="P35" s="1545">
        <f t="shared" si="11"/>
        <v>0</v>
      </c>
      <c r="Q35" s="1181"/>
      <c r="R35" s="1181">
        <f t="shared" si="12"/>
        <v>0</v>
      </c>
      <c r="S35" s="1545">
        <f t="shared" si="13"/>
        <v>0</v>
      </c>
      <c r="T35" s="1545">
        <f t="shared" si="14"/>
        <v>0</v>
      </c>
      <c r="U35" s="1389">
        <f>'Table 5C1A-Madison Prep'!U35</f>
        <v>5069</v>
      </c>
      <c r="V35" s="1515">
        <f t="shared" si="15"/>
        <v>0</v>
      </c>
      <c r="W35" s="1391"/>
      <c r="X35" s="1392">
        <f t="shared" si="16"/>
        <v>0</v>
      </c>
      <c r="Y35" s="1391"/>
      <c r="Z35" s="1392">
        <f t="shared" si="17"/>
        <v>0</v>
      </c>
      <c r="AA35" s="1390">
        <f t="shared" si="18"/>
        <v>0</v>
      </c>
      <c r="AB35" s="1510">
        <f t="shared" si="19"/>
        <v>0</v>
      </c>
      <c r="AC35" s="1394">
        <f t="shared" si="20"/>
        <v>0</v>
      </c>
      <c r="AD35" s="1510">
        <f t="shared" si="21"/>
        <v>0</v>
      </c>
      <c r="AE35" s="1395">
        <v>0</v>
      </c>
      <c r="AF35" s="1510">
        <f t="shared" si="22"/>
        <v>0</v>
      </c>
      <c r="AG35" s="1395"/>
      <c r="AH35" s="1395">
        <f t="shared" si="23"/>
        <v>0</v>
      </c>
      <c r="AI35" s="1510">
        <f t="shared" si="24"/>
        <v>0</v>
      </c>
      <c r="AJ35" s="1505">
        <f t="shared" si="25"/>
        <v>0</v>
      </c>
      <c r="AK35" s="1535">
        <f t="shared" si="26"/>
        <v>0</v>
      </c>
    </row>
    <row r="36" spans="1:37" ht="16.2" customHeight="1">
      <c r="A36" s="1168">
        <v>30</v>
      </c>
      <c r="B36" s="1169" t="s">
        <v>110</v>
      </c>
      <c r="C36" s="1170">
        <v>0</v>
      </c>
      <c r="D36" s="1171">
        <f>+'Table 5C1A-Madison Prep'!D36</f>
        <v>5804.5327273996763</v>
      </c>
      <c r="E36" s="1172">
        <f t="shared" si="5"/>
        <v>0</v>
      </c>
      <c r="F36" s="1172">
        <f>+'Table 5C1A-Madison Prep'!F36</f>
        <v>727.17</v>
      </c>
      <c r="G36" s="1172">
        <f t="shared" si="6"/>
        <v>0</v>
      </c>
      <c r="H36" s="1540">
        <f t="shared" si="7"/>
        <v>0</v>
      </c>
      <c r="I36" s="1173"/>
      <c r="J36" s="1173"/>
      <c r="K36" s="1174">
        <f t="shared" si="8"/>
        <v>0</v>
      </c>
      <c r="L36" s="1540">
        <f t="shared" si="9"/>
        <v>0</v>
      </c>
      <c r="M36" s="1399">
        <f t="shared" si="4"/>
        <v>0</v>
      </c>
      <c r="N36" s="1540">
        <f t="shared" si="10"/>
        <v>0</v>
      </c>
      <c r="O36" s="1171">
        <v>0</v>
      </c>
      <c r="P36" s="1546">
        <f t="shared" si="11"/>
        <v>0</v>
      </c>
      <c r="Q36" s="1173"/>
      <c r="R36" s="1173">
        <f t="shared" si="12"/>
        <v>0</v>
      </c>
      <c r="S36" s="1546">
        <f t="shared" si="13"/>
        <v>0</v>
      </c>
      <c r="T36" s="1546">
        <f t="shared" si="14"/>
        <v>0</v>
      </c>
      <c r="U36" s="1382">
        <f>'Table 5C1A-Madison Prep'!U36</f>
        <v>3609</v>
      </c>
      <c r="V36" s="1516">
        <f t="shared" si="15"/>
        <v>0</v>
      </c>
      <c r="W36" s="1400"/>
      <c r="X36" s="1383">
        <f t="shared" si="16"/>
        <v>0</v>
      </c>
      <c r="Y36" s="1400"/>
      <c r="Z36" s="1383">
        <f t="shared" si="17"/>
        <v>0</v>
      </c>
      <c r="AA36" s="1384">
        <f t="shared" si="18"/>
        <v>0</v>
      </c>
      <c r="AB36" s="1511">
        <f t="shared" si="19"/>
        <v>0</v>
      </c>
      <c r="AC36" s="1402">
        <f t="shared" si="20"/>
        <v>0</v>
      </c>
      <c r="AD36" s="1511">
        <f t="shared" si="21"/>
        <v>0</v>
      </c>
      <c r="AE36" s="1385">
        <v>0</v>
      </c>
      <c r="AF36" s="1511">
        <f t="shared" si="22"/>
        <v>0</v>
      </c>
      <c r="AG36" s="1385"/>
      <c r="AH36" s="1385">
        <f t="shared" si="23"/>
        <v>0</v>
      </c>
      <c r="AI36" s="1511">
        <f t="shared" si="24"/>
        <v>0</v>
      </c>
      <c r="AJ36" s="1531">
        <f t="shared" si="25"/>
        <v>0</v>
      </c>
      <c r="AK36" s="1536">
        <f t="shared" si="26"/>
        <v>0</v>
      </c>
    </row>
    <row r="37" spans="1:37" ht="16.2" customHeight="1">
      <c r="A37" s="1183">
        <v>31</v>
      </c>
      <c r="B37" s="1184" t="s">
        <v>111</v>
      </c>
      <c r="C37" s="1185">
        <v>0</v>
      </c>
      <c r="D37" s="1186">
        <f>+'Table 5C1A-Madison Prep'!D37</f>
        <v>4520.6176716868531</v>
      </c>
      <c r="E37" s="1187">
        <f t="shared" si="5"/>
        <v>0</v>
      </c>
      <c r="F37" s="1187">
        <f>+'Table 5C1A-Madison Prep'!F37</f>
        <v>620.83000000000004</v>
      </c>
      <c r="G37" s="1187">
        <f t="shared" si="6"/>
        <v>0</v>
      </c>
      <c r="H37" s="1538">
        <f t="shared" si="7"/>
        <v>0</v>
      </c>
      <c r="I37" s="1188"/>
      <c r="J37" s="1188"/>
      <c r="K37" s="1189">
        <f t="shared" si="8"/>
        <v>0</v>
      </c>
      <c r="L37" s="1538">
        <f t="shared" si="9"/>
        <v>0</v>
      </c>
      <c r="M37" s="1372">
        <f t="shared" si="4"/>
        <v>0</v>
      </c>
      <c r="N37" s="1538">
        <f t="shared" si="10"/>
        <v>0</v>
      </c>
      <c r="O37" s="1186">
        <v>0</v>
      </c>
      <c r="P37" s="1544">
        <f t="shared" si="11"/>
        <v>0</v>
      </c>
      <c r="Q37" s="1188"/>
      <c r="R37" s="1188">
        <f t="shared" si="12"/>
        <v>0</v>
      </c>
      <c r="S37" s="1544">
        <f t="shared" si="13"/>
        <v>0</v>
      </c>
      <c r="T37" s="1544">
        <f t="shared" si="14"/>
        <v>0</v>
      </c>
      <c r="U37" s="1373">
        <f>'Table 5C1A-Madison Prep'!U37</f>
        <v>5043</v>
      </c>
      <c r="V37" s="1514">
        <f t="shared" si="15"/>
        <v>0</v>
      </c>
      <c r="W37" s="1375"/>
      <c r="X37" s="1376">
        <f t="shared" si="16"/>
        <v>0</v>
      </c>
      <c r="Y37" s="1375"/>
      <c r="Z37" s="1376">
        <f t="shared" si="17"/>
        <v>0</v>
      </c>
      <c r="AA37" s="1374">
        <f t="shared" si="18"/>
        <v>0</v>
      </c>
      <c r="AB37" s="1509">
        <f t="shared" si="19"/>
        <v>0</v>
      </c>
      <c r="AC37" s="1378">
        <f t="shared" si="20"/>
        <v>0</v>
      </c>
      <c r="AD37" s="1509">
        <f t="shared" si="21"/>
        <v>0</v>
      </c>
      <c r="AE37" s="1379">
        <v>0</v>
      </c>
      <c r="AF37" s="1509">
        <f t="shared" si="22"/>
        <v>0</v>
      </c>
      <c r="AG37" s="1379"/>
      <c r="AH37" s="1379">
        <f t="shared" si="23"/>
        <v>0</v>
      </c>
      <c r="AI37" s="1509">
        <f t="shared" si="24"/>
        <v>0</v>
      </c>
      <c r="AJ37" s="1530">
        <f t="shared" si="25"/>
        <v>0</v>
      </c>
      <c r="AK37" s="1534">
        <f t="shared" si="26"/>
        <v>0</v>
      </c>
    </row>
    <row r="38" spans="1:37" ht="16.2" customHeight="1">
      <c r="A38" s="1176">
        <v>32</v>
      </c>
      <c r="B38" s="1177" t="s">
        <v>112</v>
      </c>
      <c r="C38" s="1178">
        <v>0</v>
      </c>
      <c r="D38" s="1179">
        <f>+'Table 5C1A-Madison Prep'!D38</f>
        <v>5652.819189061127</v>
      </c>
      <c r="E38" s="1180">
        <f t="shared" si="5"/>
        <v>0</v>
      </c>
      <c r="F38" s="1180">
        <f>+'Table 5C1A-Madison Prep'!F38</f>
        <v>559.77</v>
      </c>
      <c r="G38" s="1180">
        <f t="shared" si="6"/>
        <v>0</v>
      </c>
      <c r="H38" s="1539">
        <f t="shared" si="7"/>
        <v>0</v>
      </c>
      <c r="I38" s="1181"/>
      <c r="J38" s="1181"/>
      <c r="K38" s="1182">
        <f t="shared" si="8"/>
        <v>0</v>
      </c>
      <c r="L38" s="1539">
        <f t="shared" si="9"/>
        <v>0</v>
      </c>
      <c r="M38" s="1388">
        <f t="shared" si="4"/>
        <v>0</v>
      </c>
      <c r="N38" s="1539">
        <f t="shared" si="10"/>
        <v>0</v>
      </c>
      <c r="O38" s="1179">
        <v>0</v>
      </c>
      <c r="P38" s="1545">
        <f t="shared" si="11"/>
        <v>0</v>
      </c>
      <c r="Q38" s="1181"/>
      <c r="R38" s="1181">
        <f t="shared" si="12"/>
        <v>0</v>
      </c>
      <c r="S38" s="1545">
        <f t="shared" si="13"/>
        <v>0</v>
      </c>
      <c r="T38" s="1545">
        <f t="shared" si="14"/>
        <v>0</v>
      </c>
      <c r="U38" s="1389">
        <f>'Table 5C1A-Madison Prep'!U38</f>
        <v>2121</v>
      </c>
      <c r="V38" s="1515">
        <f t="shared" si="15"/>
        <v>0</v>
      </c>
      <c r="W38" s="1391"/>
      <c r="X38" s="1392">
        <f t="shared" si="16"/>
        <v>0</v>
      </c>
      <c r="Y38" s="1391"/>
      <c r="Z38" s="1392">
        <f t="shared" si="17"/>
        <v>0</v>
      </c>
      <c r="AA38" s="1390">
        <f t="shared" si="18"/>
        <v>0</v>
      </c>
      <c r="AB38" s="1510">
        <f t="shared" si="19"/>
        <v>0</v>
      </c>
      <c r="AC38" s="1394">
        <f t="shared" si="20"/>
        <v>0</v>
      </c>
      <c r="AD38" s="1510">
        <f t="shared" si="21"/>
        <v>0</v>
      </c>
      <c r="AE38" s="1395">
        <v>0</v>
      </c>
      <c r="AF38" s="1510">
        <f t="shared" si="22"/>
        <v>0</v>
      </c>
      <c r="AG38" s="1395"/>
      <c r="AH38" s="1395">
        <f t="shared" si="23"/>
        <v>0</v>
      </c>
      <c r="AI38" s="1510">
        <f t="shared" si="24"/>
        <v>0</v>
      </c>
      <c r="AJ38" s="1505">
        <f t="shared" si="25"/>
        <v>0</v>
      </c>
      <c r="AK38" s="1535">
        <f t="shared" si="26"/>
        <v>0</v>
      </c>
    </row>
    <row r="39" spans="1:37" ht="16.2" customHeight="1">
      <c r="A39" s="1176">
        <v>33</v>
      </c>
      <c r="B39" s="1177" t="s">
        <v>113</v>
      </c>
      <c r="C39" s="1178">
        <v>0</v>
      </c>
      <c r="D39" s="1179">
        <f>+'Table 5C1A-Madison Prep'!D39</f>
        <v>5456.2254558085233</v>
      </c>
      <c r="E39" s="1180">
        <f t="shared" si="5"/>
        <v>0</v>
      </c>
      <c r="F39" s="1180">
        <f>+'Table 5C1A-Madison Prep'!F39</f>
        <v>655.31000000000006</v>
      </c>
      <c r="G39" s="1180">
        <f t="shared" si="6"/>
        <v>0</v>
      </c>
      <c r="H39" s="1539">
        <f t="shared" si="7"/>
        <v>0</v>
      </c>
      <c r="I39" s="1181"/>
      <c r="J39" s="1181"/>
      <c r="K39" s="1182">
        <f t="shared" si="8"/>
        <v>0</v>
      </c>
      <c r="L39" s="1539">
        <f t="shared" si="9"/>
        <v>0</v>
      </c>
      <c r="M39" s="1388">
        <f t="shared" si="4"/>
        <v>0</v>
      </c>
      <c r="N39" s="1539">
        <f t="shared" si="10"/>
        <v>0</v>
      </c>
      <c r="O39" s="1179">
        <v>0</v>
      </c>
      <c r="P39" s="1545">
        <f t="shared" si="11"/>
        <v>0</v>
      </c>
      <c r="Q39" s="1181"/>
      <c r="R39" s="1181">
        <f t="shared" si="12"/>
        <v>0</v>
      </c>
      <c r="S39" s="1545">
        <f t="shared" si="13"/>
        <v>0</v>
      </c>
      <c r="T39" s="1545">
        <f t="shared" si="14"/>
        <v>0</v>
      </c>
      <c r="U39" s="1389">
        <f>'Table 5C1A-Madison Prep'!U39</f>
        <v>3616</v>
      </c>
      <c r="V39" s="1515">
        <f t="shared" si="15"/>
        <v>0</v>
      </c>
      <c r="W39" s="1391"/>
      <c r="X39" s="1392">
        <f t="shared" si="16"/>
        <v>0</v>
      </c>
      <c r="Y39" s="1391"/>
      <c r="Z39" s="1392">
        <f t="shared" si="17"/>
        <v>0</v>
      </c>
      <c r="AA39" s="1390">
        <f t="shared" si="18"/>
        <v>0</v>
      </c>
      <c r="AB39" s="1510">
        <f t="shared" si="19"/>
        <v>0</v>
      </c>
      <c r="AC39" s="1394">
        <f t="shared" si="20"/>
        <v>0</v>
      </c>
      <c r="AD39" s="1510">
        <f t="shared" si="21"/>
        <v>0</v>
      </c>
      <c r="AE39" s="1395">
        <v>0</v>
      </c>
      <c r="AF39" s="1510">
        <f t="shared" si="22"/>
        <v>0</v>
      </c>
      <c r="AG39" s="1395"/>
      <c r="AH39" s="1395">
        <f t="shared" si="23"/>
        <v>0</v>
      </c>
      <c r="AI39" s="1510">
        <f t="shared" si="24"/>
        <v>0</v>
      </c>
      <c r="AJ39" s="1505">
        <f t="shared" si="25"/>
        <v>0</v>
      </c>
      <c r="AK39" s="1535">
        <f t="shared" si="26"/>
        <v>0</v>
      </c>
    </row>
    <row r="40" spans="1:37" ht="16.2" customHeight="1">
      <c r="A40" s="1176">
        <v>34</v>
      </c>
      <c r="B40" s="1177" t="s">
        <v>114</v>
      </c>
      <c r="C40" s="1178">
        <v>0</v>
      </c>
      <c r="D40" s="1179">
        <f>+'Table 5C1A-Madison Prep'!D40</f>
        <v>6292.0976842789005</v>
      </c>
      <c r="E40" s="1180">
        <f t="shared" si="5"/>
        <v>0</v>
      </c>
      <c r="F40" s="1180">
        <f>+'Table 5C1A-Madison Prep'!F40</f>
        <v>644.11000000000013</v>
      </c>
      <c r="G40" s="1180">
        <f t="shared" si="6"/>
        <v>0</v>
      </c>
      <c r="H40" s="1539">
        <f t="shared" si="7"/>
        <v>0</v>
      </c>
      <c r="I40" s="1181"/>
      <c r="J40" s="1181"/>
      <c r="K40" s="1182">
        <f t="shared" si="8"/>
        <v>0</v>
      </c>
      <c r="L40" s="1539">
        <f t="shared" si="9"/>
        <v>0</v>
      </c>
      <c r="M40" s="1388">
        <f t="shared" si="4"/>
        <v>0</v>
      </c>
      <c r="N40" s="1539">
        <f t="shared" si="10"/>
        <v>0</v>
      </c>
      <c r="O40" s="1179">
        <v>0</v>
      </c>
      <c r="P40" s="1545">
        <f t="shared" si="11"/>
        <v>0</v>
      </c>
      <c r="Q40" s="1181"/>
      <c r="R40" s="1181">
        <f t="shared" si="12"/>
        <v>0</v>
      </c>
      <c r="S40" s="1545">
        <f t="shared" si="13"/>
        <v>0</v>
      </c>
      <c r="T40" s="1545">
        <f t="shared" si="14"/>
        <v>0</v>
      </c>
      <c r="U40" s="1389">
        <f>'Table 5C1A-Madison Prep'!U40</f>
        <v>2721</v>
      </c>
      <c r="V40" s="1515">
        <f t="shared" si="15"/>
        <v>0</v>
      </c>
      <c r="W40" s="1391"/>
      <c r="X40" s="1392">
        <f t="shared" si="16"/>
        <v>0</v>
      </c>
      <c r="Y40" s="1391"/>
      <c r="Z40" s="1392">
        <f t="shared" si="17"/>
        <v>0</v>
      </c>
      <c r="AA40" s="1390">
        <f t="shared" si="18"/>
        <v>0</v>
      </c>
      <c r="AB40" s="1510">
        <f t="shared" si="19"/>
        <v>0</v>
      </c>
      <c r="AC40" s="1394">
        <f t="shared" si="20"/>
        <v>0</v>
      </c>
      <c r="AD40" s="1510">
        <f t="shared" si="21"/>
        <v>0</v>
      </c>
      <c r="AE40" s="1395">
        <v>0</v>
      </c>
      <c r="AF40" s="1510">
        <f t="shared" si="22"/>
        <v>0</v>
      </c>
      <c r="AG40" s="1395"/>
      <c r="AH40" s="1395">
        <f t="shared" si="23"/>
        <v>0</v>
      </c>
      <c r="AI40" s="1510">
        <f t="shared" si="24"/>
        <v>0</v>
      </c>
      <c r="AJ40" s="1505">
        <f t="shared" si="25"/>
        <v>0</v>
      </c>
      <c r="AK40" s="1535">
        <f t="shared" si="26"/>
        <v>0</v>
      </c>
    </row>
    <row r="41" spans="1:37" ht="16.2" customHeight="1">
      <c r="A41" s="1168">
        <v>35</v>
      </c>
      <c r="B41" s="1169" t="s">
        <v>115</v>
      </c>
      <c r="C41" s="1170">
        <v>0</v>
      </c>
      <c r="D41" s="1171">
        <f>+'Table 5C1A-Madison Prep'!D41</f>
        <v>5166.2482060477605</v>
      </c>
      <c r="E41" s="1172">
        <f t="shared" si="5"/>
        <v>0</v>
      </c>
      <c r="F41" s="1172">
        <f>+'Table 5C1A-Madison Prep'!F41</f>
        <v>537.96</v>
      </c>
      <c r="G41" s="1172">
        <f t="shared" si="6"/>
        <v>0</v>
      </c>
      <c r="H41" s="1540">
        <f t="shared" si="7"/>
        <v>0</v>
      </c>
      <c r="I41" s="1173"/>
      <c r="J41" s="1173"/>
      <c r="K41" s="1174">
        <f t="shared" si="8"/>
        <v>0</v>
      </c>
      <c r="L41" s="1540">
        <f t="shared" si="9"/>
        <v>0</v>
      </c>
      <c r="M41" s="1399">
        <f t="shared" si="4"/>
        <v>0</v>
      </c>
      <c r="N41" s="1540">
        <f t="shared" si="10"/>
        <v>0</v>
      </c>
      <c r="O41" s="1171">
        <v>0</v>
      </c>
      <c r="P41" s="1546">
        <f t="shared" si="11"/>
        <v>0</v>
      </c>
      <c r="Q41" s="1173"/>
      <c r="R41" s="1173">
        <f t="shared" si="12"/>
        <v>0</v>
      </c>
      <c r="S41" s="1546">
        <f t="shared" si="13"/>
        <v>0</v>
      </c>
      <c r="T41" s="1546">
        <f t="shared" si="14"/>
        <v>0</v>
      </c>
      <c r="U41" s="1382">
        <f>'Table 5C1A-Madison Prep'!U41</f>
        <v>3255</v>
      </c>
      <c r="V41" s="1516">
        <f t="shared" si="15"/>
        <v>0</v>
      </c>
      <c r="W41" s="1400"/>
      <c r="X41" s="1383">
        <f t="shared" si="16"/>
        <v>0</v>
      </c>
      <c r="Y41" s="1400"/>
      <c r="Z41" s="1383">
        <f t="shared" si="17"/>
        <v>0</v>
      </c>
      <c r="AA41" s="1384">
        <f t="shared" si="18"/>
        <v>0</v>
      </c>
      <c r="AB41" s="1511">
        <f t="shared" si="19"/>
        <v>0</v>
      </c>
      <c r="AC41" s="1402">
        <f t="shared" si="20"/>
        <v>0</v>
      </c>
      <c r="AD41" s="1511">
        <f t="shared" si="21"/>
        <v>0</v>
      </c>
      <c r="AE41" s="1385">
        <v>0</v>
      </c>
      <c r="AF41" s="1511">
        <f t="shared" si="22"/>
        <v>0</v>
      </c>
      <c r="AG41" s="1385"/>
      <c r="AH41" s="1385">
        <f t="shared" si="23"/>
        <v>0</v>
      </c>
      <c r="AI41" s="1511">
        <f t="shared" si="24"/>
        <v>0</v>
      </c>
      <c r="AJ41" s="1531">
        <f t="shared" si="25"/>
        <v>0</v>
      </c>
      <c r="AK41" s="1536">
        <f t="shared" si="26"/>
        <v>0</v>
      </c>
    </row>
    <row r="42" spans="1:37" ht="16.2" customHeight="1">
      <c r="A42" s="1183">
        <v>36</v>
      </c>
      <c r="B42" s="1184" t="s">
        <v>116</v>
      </c>
      <c r="C42" s="1185">
        <v>0</v>
      </c>
      <c r="D42" s="1186">
        <f>+'Table 5C1A-Madison Prep'!D42</f>
        <v>3602.7009974327857</v>
      </c>
      <c r="E42" s="1187">
        <f t="shared" si="5"/>
        <v>0</v>
      </c>
      <c r="F42" s="1187">
        <f>+'Table 5C1A-Madison Prep'!F42</f>
        <v>746.0335616438357</v>
      </c>
      <c r="G42" s="1187">
        <f t="shared" si="6"/>
        <v>0</v>
      </c>
      <c r="H42" s="1538">
        <f t="shared" si="7"/>
        <v>0</v>
      </c>
      <c r="I42" s="1188"/>
      <c r="J42" s="1188"/>
      <c r="K42" s="1189">
        <f t="shared" si="8"/>
        <v>0</v>
      </c>
      <c r="L42" s="1538">
        <f t="shared" si="9"/>
        <v>0</v>
      </c>
      <c r="M42" s="1372">
        <f t="shared" si="4"/>
        <v>0</v>
      </c>
      <c r="N42" s="1538">
        <f t="shared" si="10"/>
        <v>0</v>
      </c>
      <c r="O42" s="1186">
        <v>0</v>
      </c>
      <c r="P42" s="1544">
        <f t="shared" si="11"/>
        <v>0</v>
      </c>
      <c r="Q42" s="1188"/>
      <c r="R42" s="1188">
        <f t="shared" si="12"/>
        <v>0</v>
      </c>
      <c r="S42" s="1544">
        <f t="shared" si="13"/>
        <v>0</v>
      </c>
      <c r="T42" s="1544">
        <f t="shared" si="14"/>
        <v>0</v>
      </c>
      <c r="U42" s="1373">
        <f>'Table 5C1A-Madison Prep'!U42</f>
        <v>5435</v>
      </c>
      <c r="V42" s="1514">
        <f t="shared" si="15"/>
        <v>0</v>
      </c>
      <c r="W42" s="1375"/>
      <c r="X42" s="1376">
        <f t="shared" si="16"/>
        <v>0</v>
      </c>
      <c r="Y42" s="1375"/>
      <c r="Z42" s="1376">
        <f t="shared" si="17"/>
        <v>0</v>
      </c>
      <c r="AA42" s="1374">
        <f t="shared" si="18"/>
        <v>0</v>
      </c>
      <c r="AB42" s="1509">
        <f t="shared" si="19"/>
        <v>0</v>
      </c>
      <c r="AC42" s="1378">
        <f t="shared" si="20"/>
        <v>0</v>
      </c>
      <c r="AD42" s="1509">
        <f t="shared" si="21"/>
        <v>0</v>
      </c>
      <c r="AE42" s="1379">
        <v>0</v>
      </c>
      <c r="AF42" s="1509">
        <f t="shared" si="22"/>
        <v>0</v>
      </c>
      <c r="AG42" s="1379"/>
      <c r="AH42" s="1379">
        <f t="shared" si="23"/>
        <v>0</v>
      </c>
      <c r="AI42" s="1509">
        <f t="shared" si="24"/>
        <v>0</v>
      </c>
      <c r="AJ42" s="1530">
        <f t="shared" si="25"/>
        <v>0</v>
      </c>
      <c r="AK42" s="1534">
        <f t="shared" si="26"/>
        <v>0</v>
      </c>
    </row>
    <row r="43" spans="1:37" ht="16.2" customHeight="1">
      <c r="A43" s="1176">
        <v>37</v>
      </c>
      <c r="B43" s="1177" t="s">
        <v>117</v>
      </c>
      <c r="C43" s="1178">
        <v>0</v>
      </c>
      <c r="D43" s="1179">
        <f>+'Table 5C1A-Madison Prep'!D43</f>
        <v>5665.3839260317691</v>
      </c>
      <c r="E43" s="1180">
        <f t="shared" si="5"/>
        <v>0</v>
      </c>
      <c r="F43" s="1180">
        <f>+'Table 5C1A-Madison Prep'!F43</f>
        <v>653.61</v>
      </c>
      <c r="G43" s="1180">
        <f t="shared" si="6"/>
        <v>0</v>
      </c>
      <c r="H43" s="1539">
        <f t="shared" si="7"/>
        <v>0</v>
      </c>
      <c r="I43" s="1181"/>
      <c r="J43" s="1181"/>
      <c r="K43" s="1182">
        <f t="shared" si="8"/>
        <v>0</v>
      </c>
      <c r="L43" s="1539">
        <f t="shared" si="9"/>
        <v>0</v>
      </c>
      <c r="M43" s="1388">
        <f t="shared" si="4"/>
        <v>0</v>
      </c>
      <c r="N43" s="1539">
        <f t="shared" si="10"/>
        <v>0</v>
      </c>
      <c r="O43" s="1179">
        <v>0</v>
      </c>
      <c r="P43" s="1545">
        <f t="shared" si="11"/>
        <v>0</v>
      </c>
      <c r="Q43" s="1181"/>
      <c r="R43" s="1181">
        <f t="shared" si="12"/>
        <v>0</v>
      </c>
      <c r="S43" s="1545">
        <f t="shared" si="13"/>
        <v>0</v>
      </c>
      <c r="T43" s="1545">
        <f t="shared" si="14"/>
        <v>0</v>
      </c>
      <c r="U43" s="1389">
        <f>'Table 5C1A-Madison Prep'!U43</f>
        <v>3520</v>
      </c>
      <c r="V43" s="1515">
        <f t="shared" si="15"/>
        <v>0</v>
      </c>
      <c r="W43" s="1391"/>
      <c r="X43" s="1392">
        <f t="shared" si="16"/>
        <v>0</v>
      </c>
      <c r="Y43" s="1391"/>
      <c r="Z43" s="1392">
        <f t="shared" si="17"/>
        <v>0</v>
      </c>
      <c r="AA43" s="1390">
        <f t="shared" si="18"/>
        <v>0</v>
      </c>
      <c r="AB43" s="1510">
        <f t="shared" si="19"/>
        <v>0</v>
      </c>
      <c r="AC43" s="1394">
        <f t="shared" si="20"/>
        <v>0</v>
      </c>
      <c r="AD43" s="1510">
        <f t="shared" si="21"/>
        <v>0</v>
      </c>
      <c r="AE43" s="1395">
        <v>0</v>
      </c>
      <c r="AF43" s="1510">
        <f t="shared" si="22"/>
        <v>0</v>
      </c>
      <c r="AG43" s="1395"/>
      <c r="AH43" s="1395">
        <f t="shared" si="23"/>
        <v>0</v>
      </c>
      <c r="AI43" s="1510">
        <f t="shared" si="24"/>
        <v>0</v>
      </c>
      <c r="AJ43" s="1505">
        <f t="shared" si="25"/>
        <v>0</v>
      </c>
      <c r="AK43" s="1535">
        <f t="shared" si="26"/>
        <v>0</v>
      </c>
    </row>
    <row r="44" spans="1:37" ht="16.2" customHeight="1">
      <c r="A44" s="1176">
        <v>38</v>
      </c>
      <c r="B44" s="1177" t="s">
        <v>118</v>
      </c>
      <c r="C44" s="1178">
        <v>0</v>
      </c>
      <c r="D44" s="1179">
        <f>+'Table 5C1A-Madison Prep'!D44</f>
        <v>2088.8017552916881</v>
      </c>
      <c r="E44" s="1180">
        <f t="shared" si="5"/>
        <v>0</v>
      </c>
      <c r="F44" s="1180">
        <f>+'Table 5C1A-Madison Prep'!F44</f>
        <v>829.92000000000007</v>
      </c>
      <c r="G44" s="1180">
        <f t="shared" si="6"/>
        <v>0</v>
      </c>
      <c r="H44" s="1539">
        <f t="shared" si="7"/>
        <v>0</v>
      </c>
      <c r="I44" s="1181"/>
      <c r="J44" s="1181"/>
      <c r="K44" s="1182">
        <f t="shared" si="8"/>
        <v>0</v>
      </c>
      <c r="L44" s="1539">
        <f t="shared" si="9"/>
        <v>0</v>
      </c>
      <c r="M44" s="1388">
        <f t="shared" si="4"/>
        <v>0</v>
      </c>
      <c r="N44" s="1539">
        <f t="shared" si="10"/>
        <v>0</v>
      </c>
      <c r="O44" s="1179">
        <v>0</v>
      </c>
      <c r="P44" s="1545">
        <f t="shared" si="11"/>
        <v>0</v>
      </c>
      <c r="Q44" s="1181"/>
      <c r="R44" s="1181">
        <f t="shared" si="12"/>
        <v>0</v>
      </c>
      <c r="S44" s="1545">
        <f t="shared" si="13"/>
        <v>0</v>
      </c>
      <c r="T44" s="1545">
        <f t="shared" si="14"/>
        <v>0</v>
      </c>
      <c r="U44" s="1389">
        <f>'Table 5C1A-Madison Prep'!U44</f>
        <v>11379</v>
      </c>
      <c r="V44" s="1515">
        <f t="shared" si="15"/>
        <v>0</v>
      </c>
      <c r="W44" s="1391"/>
      <c r="X44" s="1392">
        <f t="shared" si="16"/>
        <v>0</v>
      </c>
      <c r="Y44" s="1391"/>
      <c r="Z44" s="1392">
        <f t="shared" si="17"/>
        <v>0</v>
      </c>
      <c r="AA44" s="1390">
        <f t="shared" si="18"/>
        <v>0</v>
      </c>
      <c r="AB44" s="1510">
        <f t="shared" si="19"/>
        <v>0</v>
      </c>
      <c r="AC44" s="1394">
        <f t="shared" si="20"/>
        <v>0</v>
      </c>
      <c r="AD44" s="1510">
        <f t="shared" si="21"/>
        <v>0</v>
      </c>
      <c r="AE44" s="1395">
        <v>0</v>
      </c>
      <c r="AF44" s="1510">
        <f t="shared" si="22"/>
        <v>0</v>
      </c>
      <c r="AG44" s="1395"/>
      <c r="AH44" s="1395">
        <f t="shared" si="23"/>
        <v>0</v>
      </c>
      <c r="AI44" s="1510">
        <f t="shared" si="24"/>
        <v>0</v>
      </c>
      <c r="AJ44" s="1505">
        <f t="shared" si="25"/>
        <v>0</v>
      </c>
      <c r="AK44" s="1535">
        <f t="shared" si="26"/>
        <v>0</v>
      </c>
    </row>
    <row r="45" spans="1:37" ht="16.2" customHeight="1">
      <c r="A45" s="1176">
        <v>39</v>
      </c>
      <c r="B45" s="1177" t="s">
        <v>119</v>
      </c>
      <c r="C45" s="1178">
        <v>0</v>
      </c>
      <c r="D45" s="1179">
        <f>+'Table 5C1A-Madison Prep'!D45</f>
        <v>3656.9056809295676</v>
      </c>
      <c r="E45" s="1180">
        <f t="shared" si="5"/>
        <v>0</v>
      </c>
      <c r="F45" s="1180">
        <f>+'Table 5C1A-Madison Prep'!F45</f>
        <v>779.65573042776396</v>
      </c>
      <c r="G45" s="1180">
        <f t="shared" si="6"/>
        <v>0</v>
      </c>
      <c r="H45" s="1539">
        <f t="shared" si="7"/>
        <v>0</v>
      </c>
      <c r="I45" s="1181"/>
      <c r="J45" s="1181"/>
      <c r="K45" s="1182">
        <f t="shared" si="8"/>
        <v>0</v>
      </c>
      <c r="L45" s="1539">
        <f t="shared" si="9"/>
        <v>0</v>
      </c>
      <c r="M45" s="1388">
        <f t="shared" si="4"/>
        <v>0</v>
      </c>
      <c r="N45" s="1539">
        <f t="shared" si="10"/>
        <v>0</v>
      </c>
      <c r="O45" s="1179">
        <v>0</v>
      </c>
      <c r="P45" s="1545">
        <f t="shared" si="11"/>
        <v>0</v>
      </c>
      <c r="Q45" s="1181"/>
      <c r="R45" s="1181">
        <f t="shared" si="12"/>
        <v>0</v>
      </c>
      <c r="S45" s="1545">
        <f t="shared" si="13"/>
        <v>0</v>
      </c>
      <c r="T45" s="1545">
        <f t="shared" si="14"/>
        <v>0</v>
      </c>
      <c r="U45" s="1389">
        <f>'Table 5C1A-Madison Prep'!U45</f>
        <v>4955</v>
      </c>
      <c r="V45" s="1515">
        <f t="shared" si="15"/>
        <v>0</v>
      </c>
      <c r="W45" s="1391"/>
      <c r="X45" s="1392">
        <f t="shared" si="16"/>
        <v>0</v>
      </c>
      <c r="Y45" s="1391"/>
      <c r="Z45" s="1392">
        <f t="shared" si="17"/>
        <v>0</v>
      </c>
      <c r="AA45" s="1390">
        <f t="shared" si="18"/>
        <v>0</v>
      </c>
      <c r="AB45" s="1510">
        <f t="shared" si="19"/>
        <v>0</v>
      </c>
      <c r="AC45" s="1394">
        <f t="shared" si="20"/>
        <v>0</v>
      </c>
      <c r="AD45" s="1510">
        <f t="shared" si="21"/>
        <v>0</v>
      </c>
      <c r="AE45" s="1395">
        <v>0</v>
      </c>
      <c r="AF45" s="1510">
        <f t="shared" si="22"/>
        <v>0</v>
      </c>
      <c r="AG45" s="1395"/>
      <c r="AH45" s="1395">
        <f t="shared" si="23"/>
        <v>0</v>
      </c>
      <c r="AI45" s="1510">
        <f t="shared" si="24"/>
        <v>0</v>
      </c>
      <c r="AJ45" s="1505">
        <f t="shared" si="25"/>
        <v>0</v>
      </c>
      <c r="AK45" s="1535">
        <f t="shared" si="26"/>
        <v>0</v>
      </c>
    </row>
    <row r="46" spans="1:37" ht="16.2" customHeight="1">
      <c r="A46" s="1168">
        <v>40</v>
      </c>
      <c r="B46" s="1169" t="s">
        <v>120</v>
      </c>
      <c r="C46" s="1170">
        <v>0</v>
      </c>
      <c r="D46" s="1171">
        <f>+'Table 5C1A-Madison Prep'!D46</f>
        <v>5121.8110285698403</v>
      </c>
      <c r="E46" s="1172">
        <f t="shared" si="5"/>
        <v>0</v>
      </c>
      <c r="F46" s="1172">
        <f>+'Table 5C1A-Madison Prep'!F46</f>
        <v>700.2700000000001</v>
      </c>
      <c r="G46" s="1172">
        <f t="shared" si="6"/>
        <v>0</v>
      </c>
      <c r="H46" s="1540">
        <f t="shared" si="7"/>
        <v>0</v>
      </c>
      <c r="I46" s="1173"/>
      <c r="J46" s="1173"/>
      <c r="K46" s="1174">
        <f t="shared" si="8"/>
        <v>0</v>
      </c>
      <c r="L46" s="1540">
        <f t="shared" si="9"/>
        <v>0</v>
      </c>
      <c r="M46" s="1399">
        <f t="shared" si="4"/>
        <v>0</v>
      </c>
      <c r="N46" s="1540">
        <f t="shared" si="10"/>
        <v>0</v>
      </c>
      <c r="O46" s="1171">
        <v>0</v>
      </c>
      <c r="P46" s="1546">
        <f t="shared" si="11"/>
        <v>0</v>
      </c>
      <c r="Q46" s="1173"/>
      <c r="R46" s="1173">
        <f t="shared" si="12"/>
        <v>0</v>
      </c>
      <c r="S46" s="1546">
        <f t="shared" si="13"/>
        <v>0</v>
      </c>
      <c r="T46" s="1546">
        <f t="shared" si="14"/>
        <v>0</v>
      </c>
      <c r="U46" s="1382">
        <f>'Table 5C1A-Madison Prep'!U46</f>
        <v>3069</v>
      </c>
      <c r="V46" s="1516">
        <f t="shared" si="15"/>
        <v>0</v>
      </c>
      <c r="W46" s="1400"/>
      <c r="X46" s="1383">
        <f t="shared" si="16"/>
        <v>0</v>
      </c>
      <c r="Y46" s="1400"/>
      <c r="Z46" s="1383">
        <f t="shared" si="17"/>
        <v>0</v>
      </c>
      <c r="AA46" s="1384">
        <f t="shared" si="18"/>
        <v>0</v>
      </c>
      <c r="AB46" s="1511">
        <f t="shared" si="19"/>
        <v>0</v>
      </c>
      <c r="AC46" s="1402">
        <f t="shared" si="20"/>
        <v>0</v>
      </c>
      <c r="AD46" s="1511">
        <f t="shared" si="21"/>
        <v>0</v>
      </c>
      <c r="AE46" s="1385">
        <v>0</v>
      </c>
      <c r="AF46" s="1511">
        <f t="shared" si="22"/>
        <v>0</v>
      </c>
      <c r="AG46" s="1385"/>
      <c r="AH46" s="1385">
        <f t="shared" si="23"/>
        <v>0</v>
      </c>
      <c r="AI46" s="1511">
        <f t="shared" si="24"/>
        <v>0</v>
      </c>
      <c r="AJ46" s="1531">
        <f t="shared" si="25"/>
        <v>0</v>
      </c>
      <c r="AK46" s="1536">
        <f t="shared" si="26"/>
        <v>0</v>
      </c>
    </row>
    <row r="47" spans="1:37" ht="16.2" customHeight="1">
      <c r="A47" s="1183">
        <v>41</v>
      </c>
      <c r="B47" s="1184" t="s">
        <v>121</v>
      </c>
      <c r="C47" s="1185">
        <v>0</v>
      </c>
      <c r="D47" s="1186">
        <f>+'Table 5C1A-Madison Prep'!D47</f>
        <v>3291.1948574716475</v>
      </c>
      <c r="E47" s="1187">
        <f t="shared" si="5"/>
        <v>0</v>
      </c>
      <c r="F47" s="1187">
        <f>+'Table 5C1A-Madison Prep'!F47</f>
        <v>886.22</v>
      </c>
      <c r="G47" s="1187">
        <f t="shared" si="6"/>
        <v>0</v>
      </c>
      <c r="H47" s="1538">
        <f t="shared" si="7"/>
        <v>0</v>
      </c>
      <c r="I47" s="1188"/>
      <c r="J47" s="1188"/>
      <c r="K47" s="1189">
        <f t="shared" si="8"/>
        <v>0</v>
      </c>
      <c r="L47" s="1538">
        <f t="shared" si="9"/>
        <v>0</v>
      </c>
      <c r="M47" s="1372">
        <f t="shared" si="4"/>
        <v>0</v>
      </c>
      <c r="N47" s="1538">
        <f t="shared" si="10"/>
        <v>0</v>
      </c>
      <c r="O47" s="1186">
        <v>0</v>
      </c>
      <c r="P47" s="1544">
        <f t="shared" si="11"/>
        <v>0</v>
      </c>
      <c r="Q47" s="1188"/>
      <c r="R47" s="1188">
        <f t="shared" si="12"/>
        <v>0</v>
      </c>
      <c r="S47" s="1544">
        <f t="shared" si="13"/>
        <v>0</v>
      </c>
      <c r="T47" s="1544">
        <f t="shared" si="14"/>
        <v>0</v>
      </c>
      <c r="U47" s="1373">
        <f>'Table 5C1A-Madison Prep'!U47</f>
        <v>8478</v>
      </c>
      <c r="V47" s="1514">
        <f t="shared" si="15"/>
        <v>0</v>
      </c>
      <c r="W47" s="1375"/>
      <c r="X47" s="1376">
        <f t="shared" si="16"/>
        <v>0</v>
      </c>
      <c r="Y47" s="1375"/>
      <c r="Z47" s="1376">
        <f t="shared" si="17"/>
        <v>0</v>
      </c>
      <c r="AA47" s="1374">
        <f t="shared" si="18"/>
        <v>0</v>
      </c>
      <c r="AB47" s="1509">
        <f t="shared" si="19"/>
        <v>0</v>
      </c>
      <c r="AC47" s="1378">
        <f t="shared" si="20"/>
        <v>0</v>
      </c>
      <c r="AD47" s="1509">
        <f t="shared" si="21"/>
        <v>0</v>
      </c>
      <c r="AE47" s="1379">
        <v>0</v>
      </c>
      <c r="AF47" s="1509">
        <f t="shared" si="22"/>
        <v>0</v>
      </c>
      <c r="AG47" s="1379"/>
      <c r="AH47" s="1379">
        <f t="shared" si="23"/>
        <v>0</v>
      </c>
      <c r="AI47" s="1509">
        <f t="shared" si="24"/>
        <v>0</v>
      </c>
      <c r="AJ47" s="1530">
        <f t="shared" si="25"/>
        <v>0</v>
      </c>
      <c r="AK47" s="1534">
        <f t="shared" si="26"/>
        <v>0</v>
      </c>
    </row>
    <row r="48" spans="1:37" ht="16.2" customHeight="1">
      <c r="A48" s="1176">
        <v>42</v>
      </c>
      <c r="B48" s="1177" t="s">
        <v>122</v>
      </c>
      <c r="C48" s="1178">
        <v>0</v>
      </c>
      <c r="D48" s="1179">
        <f>+'Table 5C1A-Madison Prep'!D48</f>
        <v>5113.6077751368684</v>
      </c>
      <c r="E48" s="1180">
        <f t="shared" si="5"/>
        <v>0</v>
      </c>
      <c r="F48" s="1180">
        <f>+'Table 5C1A-Madison Prep'!F48</f>
        <v>534.28</v>
      </c>
      <c r="G48" s="1180">
        <f t="shared" si="6"/>
        <v>0</v>
      </c>
      <c r="H48" s="1539">
        <f t="shared" si="7"/>
        <v>0</v>
      </c>
      <c r="I48" s="1181"/>
      <c r="J48" s="1181"/>
      <c r="K48" s="1182">
        <f t="shared" si="8"/>
        <v>0</v>
      </c>
      <c r="L48" s="1539">
        <f t="shared" si="9"/>
        <v>0</v>
      </c>
      <c r="M48" s="1388">
        <f t="shared" si="4"/>
        <v>0</v>
      </c>
      <c r="N48" s="1539">
        <f t="shared" si="10"/>
        <v>0</v>
      </c>
      <c r="O48" s="1179">
        <v>0</v>
      </c>
      <c r="P48" s="1545">
        <f t="shared" si="11"/>
        <v>0</v>
      </c>
      <c r="Q48" s="1181"/>
      <c r="R48" s="1181">
        <f t="shared" si="12"/>
        <v>0</v>
      </c>
      <c r="S48" s="1545">
        <f t="shared" si="13"/>
        <v>0</v>
      </c>
      <c r="T48" s="1545">
        <f t="shared" si="14"/>
        <v>0</v>
      </c>
      <c r="U48" s="1389">
        <f>'Table 5C1A-Madison Prep'!U48</f>
        <v>3578</v>
      </c>
      <c r="V48" s="1515">
        <f t="shared" si="15"/>
        <v>0</v>
      </c>
      <c r="W48" s="1391"/>
      <c r="X48" s="1392">
        <f t="shared" si="16"/>
        <v>0</v>
      </c>
      <c r="Y48" s="1391"/>
      <c r="Z48" s="1392">
        <f t="shared" si="17"/>
        <v>0</v>
      </c>
      <c r="AA48" s="1390">
        <f t="shared" si="18"/>
        <v>0</v>
      </c>
      <c r="AB48" s="1510">
        <f t="shared" si="19"/>
        <v>0</v>
      </c>
      <c r="AC48" s="1394">
        <f t="shared" si="20"/>
        <v>0</v>
      </c>
      <c r="AD48" s="1510">
        <f t="shared" si="21"/>
        <v>0</v>
      </c>
      <c r="AE48" s="1395">
        <v>0</v>
      </c>
      <c r="AF48" s="1510">
        <f t="shared" si="22"/>
        <v>0</v>
      </c>
      <c r="AG48" s="1395"/>
      <c r="AH48" s="1395">
        <f t="shared" si="23"/>
        <v>0</v>
      </c>
      <c r="AI48" s="1510">
        <f t="shared" si="24"/>
        <v>0</v>
      </c>
      <c r="AJ48" s="1505">
        <f t="shared" si="25"/>
        <v>0</v>
      </c>
      <c r="AK48" s="1535">
        <f t="shared" si="26"/>
        <v>0</v>
      </c>
    </row>
    <row r="49" spans="1:37" ht="16.2" customHeight="1">
      <c r="A49" s="1176">
        <v>43</v>
      </c>
      <c r="B49" s="1177" t="s">
        <v>123</v>
      </c>
      <c r="C49" s="1178">
        <v>0</v>
      </c>
      <c r="D49" s="1179">
        <f>+'Table 5C1A-Madison Prep'!D49</f>
        <v>5788.74387205947</v>
      </c>
      <c r="E49" s="1180">
        <f t="shared" si="5"/>
        <v>0</v>
      </c>
      <c r="F49" s="1180">
        <f>+'Table 5C1A-Madison Prep'!F49</f>
        <v>574.6099999999999</v>
      </c>
      <c r="G49" s="1180">
        <f t="shared" si="6"/>
        <v>0</v>
      </c>
      <c r="H49" s="1539">
        <f t="shared" si="7"/>
        <v>0</v>
      </c>
      <c r="I49" s="1181"/>
      <c r="J49" s="1181"/>
      <c r="K49" s="1182">
        <f t="shared" si="8"/>
        <v>0</v>
      </c>
      <c r="L49" s="1539">
        <f t="shared" si="9"/>
        <v>0</v>
      </c>
      <c r="M49" s="1388">
        <f t="shared" si="4"/>
        <v>0</v>
      </c>
      <c r="N49" s="1539">
        <f t="shared" si="10"/>
        <v>0</v>
      </c>
      <c r="O49" s="1179">
        <v>0</v>
      </c>
      <c r="P49" s="1545">
        <f t="shared" si="11"/>
        <v>0</v>
      </c>
      <c r="Q49" s="1181"/>
      <c r="R49" s="1181">
        <f t="shared" si="12"/>
        <v>0</v>
      </c>
      <c r="S49" s="1545">
        <f t="shared" si="13"/>
        <v>0</v>
      </c>
      <c r="T49" s="1545">
        <f t="shared" si="14"/>
        <v>0</v>
      </c>
      <c r="U49" s="1389">
        <f>'Table 5C1A-Madison Prep'!U49</f>
        <v>3205</v>
      </c>
      <c r="V49" s="1515">
        <f t="shared" si="15"/>
        <v>0</v>
      </c>
      <c r="W49" s="1391"/>
      <c r="X49" s="1392">
        <f t="shared" si="16"/>
        <v>0</v>
      </c>
      <c r="Y49" s="1391"/>
      <c r="Z49" s="1392">
        <f t="shared" si="17"/>
        <v>0</v>
      </c>
      <c r="AA49" s="1390">
        <f t="shared" si="18"/>
        <v>0</v>
      </c>
      <c r="AB49" s="1510">
        <f t="shared" si="19"/>
        <v>0</v>
      </c>
      <c r="AC49" s="1394">
        <f t="shared" si="20"/>
        <v>0</v>
      </c>
      <c r="AD49" s="1510">
        <f t="shared" si="21"/>
        <v>0</v>
      </c>
      <c r="AE49" s="1395">
        <v>0</v>
      </c>
      <c r="AF49" s="1510">
        <f t="shared" si="22"/>
        <v>0</v>
      </c>
      <c r="AG49" s="1395"/>
      <c r="AH49" s="1395">
        <f t="shared" si="23"/>
        <v>0</v>
      </c>
      <c r="AI49" s="1510">
        <f t="shared" si="24"/>
        <v>0</v>
      </c>
      <c r="AJ49" s="1505">
        <f t="shared" si="25"/>
        <v>0</v>
      </c>
      <c r="AK49" s="1535">
        <f t="shared" si="26"/>
        <v>0</v>
      </c>
    </row>
    <row r="50" spans="1:37" ht="16.2" customHeight="1">
      <c r="A50" s="1176">
        <v>44</v>
      </c>
      <c r="B50" s="1177" t="s">
        <v>124</v>
      </c>
      <c r="C50" s="1178">
        <v>0</v>
      </c>
      <c r="D50" s="1179">
        <f>+'Table 5C1A-Madison Prep'!D50</f>
        <v>4897.5958151820359</v>
      </c>
      <c r="E50" s="1180">
        <f t="shared" si="5"/>
        <v>0</v>
      </c>
      <c r="F50" s="1180">
        <f>+'Table 5C1A-Madison Prep'!F50</f>
        <v>663.16000000000008</v>
      </c>
      <c r="G50" s="1180">
        <f t="shared" si="6"/>
        <v>0</v>
      </c>
      <c r="H50" s="1539">
        <f t="shared" si="7"/>
        <v>0</v>
      </c>
      <c r="I50" s="1181"/>
      <c r="J50" s="1181"/>
      <c r="K50" s="1182">
        <f t="shared" si="8"/>
        <v>0</v>
      </c>
      <c r="L50" s="1539">
        <f t="shared" si="9"/>
        <v>0</v>
      </c>
      <c r="M50" s="1388">
        <f t="shared" si="4"/>
        <v>0</v>
      </c>
      <c r="N50" s="1539">
        <f t="shared" si="10"/>
        <v>0</v>
      </c>
      <c r="O50" s="1179">
        <v>0</v>
      </c>
      <c r="P50" s="1545">
        <f t="shared" si="11"/>
        <v>0</v>
      </c>
      <c r="Q50" s="1181"/>
      <c r="R50" s="1181">
        <f t="shared" si="12"/>
        <v>0</v>
      </c>
      <c r="S50" s="1545">
        <f t="shared" si="13"/>
        <v>0</v>
      </c>
      <c r="T50" s="1545">
        <f t="shared" si="14"/>
        <v>0</v>
      </c>
      <c r="U50" s="1389">
        <f>'Table 5C1A-Madison Prep'!U50</f>
        <v>3719</v>
      </c>
      <c r="V50" s="1515">
        <f t="shared" si="15"/>
        <v>0</v>
      </c>
      <c r="W50" s="1391"/>
      <c r="X50" s="1392">
        <f t="shared" si="16"/>
        <v>0</v>
      </c>
      <c r="Y50" s="1391"/>
      <c r="Z50" s="1392">
        <f t="shared" si="17"/>
        <v>0</v>
      </c>
      <c r="AA50" s="1390">
        <f t="shared" si="18"/>
        <v>0</v>
      </c>
      <c r="AB50" s="1510">
        <f t="shared" si="19"/>
        <v>0</v>
      </c>
      <c r="AC50" s="1394">
        <f t="shared" si="20"/>
        <v>0</v>
      </c>
      <c r="AD50" s="1510">
        <f t="shared" si="21"/>
        <v>0</v>
      </c>
      <c r="AE50" s="1395">
        <v>0</v>
      </c>
      <c r="AF50" s="1510">
        <f t="shared" si="22"/>
        <v>0</v>
      </c>
      <c r="AG50" s="1395"/>
      <c r="AH50" s="1395">
        <f t="shared" si="23"/>
        <v>0</v>
      </c>
      <c r="AI50" s="1510">
        <f t="shared" si="24"/>
        <v>0</v>
      </c>
      <c r="AJ50" s="1505">
        <f t="shared" si="25"/>
        <v>0</v>
      </c>
      <c r="AK50" s="1535">
        <f t="shared" si="26"/>
        <v>0</v>
      </c>
    </row>
    <row r="51" spans="1:37" ht="16.2" customHeight="1">
      <c r="A51" s="1168">
        <v>45</v>
      </c>
      <c r="B51" s="1169" t="s">
        <v>125</v>
      </c>
      <c r="C51" s="1170">
        <v>0</v>
      </c>
      <c r="D51" s="1171">
        <f>+'Table 5C1A-Madison Prep'!D51</f>
        <v>2054.0472499469101</v>
      </c>
      <c r="E51" s="1172">
        <f t="shared" si="5"/>
        <v>0</v>
      </c>
      <c r="F51" s="1172">
        <f>+'Table 5C1A-Madison Prep'!F51</f>
        <v>753.96000000000015</v>
      </c>
      <c r="G51" s="1172">
        <f t="shared" si="6"/>
        <v>0</v>
      </c>
      <c r="H51" s="1540">
        <f t="shared" si="7"/>
        <v>0</v>
      </c>
      <c r="I51" s="1173"/>
      <c r="J51" s="1173"/>
      <c r="K51" s="1174">
        <f t="shared" si="8"/>
        <v>0</v>
      </c>
      <c r="L51" s="1540">
        <f t="shared" si="9"/>
        <v>0</v>
      </c>
      <c r="M51" s="1399">
        <f t="shared" si="4"/>
        <v>0</v>
      </c>
      <c r="N51" s="1540">
        <f t="shared" si="10"/>
        <v>0</v>
      </c>
      <c r="O51" s="1171">
        <v>0</v>
      </c>
      <c r="P51" s="1546">
        <f t="shared" si="11"/>
        <v>0</v>
      </c>
      <c r="Q51" s="1173"/>
      <c r="R51" s="1173">
        <f t="shared" si="12"/>
        <v>0</v>
      </c>
      <c r="S51" s="1546">
        <f t="shared" si="13"/>
        <v>0</v>
      </c>
      <c r="T51" s="1546">
        <f t="shared" si="14"/>
        <v>0</v>
      </c>
      <c r="U51" s="1382">
        <f>'Table 5C1A-Madison Prep'!U51</f>
        <v>12169</v>
      </c>
      <c r="V51" s="1516">
        <f t="shared" si="15"/>
        <v>0</v>
      </c>
      <c r="W51" s="1400"/>
      <c r="X51" s="1383">
        <f t="shared" si="16"/>
        <v>0</v>
      </c>
      <c r="Y51" s="1400"/>
      <c r="Z51" s="1383">
        <f t="shared" si="17"/>
        <v>0</v>
      </c>
      <c r="AA51" s="1384">
        <f t="shared" si="18"/>
        <v>0</v>
      </c>
      <c r="AB51" s="1511">
        <f t="shared" si="19"/>
        <v>0</v>
      </c>
      <c r="AC51" s="1402">
        <f t="shared" si="20"/>
        <v>0</v>
      </c>
      <c r="AD51" s="1511">
        <f t="shared" si="21"/>
        <v>0</v>
      </c>
      <c r="AE51" s="1385">
        <v>0</v>
      </c>
      <c r="AF51" s="1511">
        <f t="shared" si="22"/>
        <v>0</v>
      </c>
      <c r="AG51" s="1385"/>
      <c r="AH51" s="1385">
        <f t="shared" si="23"/>
        <v>0</v>
      </c>
      <c r="AI51" s="1511">
        <f t="shared" si="24"/>
        <v>0</v>
      </c>
      <c r="AJ51" s="1531">
        <f t="shared" si="25"/>
        <v>0</v>
      </c>
      <c r="AK51" s="1536">
        <f t="shared" si="26"/>
        <v>0</v>
      </c>
    </row>
    <row r="52" spans="1:37" ht="16.2" customHeight="1">
      <c r="A52" s="1183">
        <v>46</v>
      </c>
      <c r="B52" s="1184" t="s">
        <v>126</v>
      </c>
      <c r="C52" s="1185">
        <v>0</v>
      </c>
      <c r="D52" s="1186">
        <f>+'Table 5C1A-Madison Prep'!D52</f>
        <v>6051.2144468088381</v>
      </c>
      <c r="E52" s="1187">
        <f t="shared" si="5"/>
        <v>0</v>
      </c>
      <c r="F52" s="1187">
        <f>+'Table 5C1A-Madison Prep'!F52</f>
        <v>728.06</v>
      </c>
      <c r="G52" s="1187">
        <f t="shared" si="6"/>
        <v>0</v>
      </c>
      <c r="H52" s="1538">
        <f t="shared" si="7"/>
        <v>0</v>
      </c>
      <c r="I52" s="1188"/>
      <c r="J52" s="1188"/>
      <c r="K52" s="1189">
        <f t="shared" si="8"/>
        <v>0</v>
      </c>
      <c r="L52" s="1538">
        <f t="shared" si="9"/>
        <v>0</v>
      </c>
      <c r="M52" s="1372">
        <f t="shared" si="4"/>
        <v>0</v>
      </c>
      <c r="N52" s="1538">
        <f t="shared" si="10"/>
        <v>0</v>
      </c>
      <c r="O52" s="1186">
        <v>0</v>
      </c>
      <c r="P52" s="1544">
        <f t="shared" si="11"/>
        <v>0</v>
      </c>
      <c r="Q52" s="1188"/>
      <c r="R52" s="1188">
        <f t="shared" si="12"/>
        <v>0</v>
      </c>
      <c r="S52" s="1544">
        <f t="shared" si="13"/>
        <v>0</v>
      </c>
      <c r="T52" s="1544">
        <f t="shared" si="14"/>
        <v>0</v>
      </c>
      <c r="U52" s="1373">
        <f>'Table 5C1A-Madison Prep'!U52</f>
        <v>2713</v>
      </c>
      <c r="V52" s="1514">
        <f t="shared" si="15"/>
        <v>0</v>
      </c>
      <c r="W52" s="1375"/>
      <c r="X52" s="1376">
        <f t="shared" si="16"/>
        <v>0</v>
      </c>
      <c r="Y52" s="1375"/>
      <c r="Z52" s="1376">
        <f t="shared" si="17"/>
        <v>0</v>
      </c>
      <c r="AA52" s="1374">
        <f t="shared" si="18"/>
        <v>0</v>
      </c>
      <c r="AB52" s="1509">
        <f t="shared" si="19"/>
        <v>0</v>
      </c>
      <c r="AC52" s="1378">
        <f t="shared" si="20"/>
        <v>0</v>
      </c>
      <c r="AD52" s="1509">
        <f t="shared" si="21"/>
        <v>0</v>
      </c>
      <c r="AE52" s="1379">
        <v>0</v>
      </c>
      <c r="AF52" s="1509">
        <f t="shared" si="22"/>
        <v>0</v>
      </c>
      <c r="AG52" s="1379"/>
      <c r="AH52" s="1379">
        <f t="shared" si="23"/>
        <v>0</v>
      </c>
      <c r="AI52" s="1509">
        <f t="shared" si="24"/>
        <v>0</v>
      </c>
      <c r="AJ52" s="1530">
        <f t="shared" si="25"/>
        <v>0</v>
      </c>
      <c r="AK52" s="1534">
        <f t="shared" si="26"/>
        <v>0</v>
      </c>
    </row>
    <row r="53" spans="1:37" ht="16.2" customHeight="1">
      <c r="A53" s="1176">
        <v>47</v>
      </c>
      <c r="B53" s="1177" t="s">
        <v>127</v>
      </c>
      <c r="C53" s="1178">
        <v>0</v>
      </c>
      <c r="D53" s="1179">
        <f>+'Table 5C1A-Madison Prep'!D53</f>
        <v>2524.1485257646736</v>
      </c>
      <c r="E53" s="1180">
        <f t="shared" si="5"/>
        <v>0</v>
      </c>
      <c r="F53" s="1180">
        <f>+'Table 5C1A-Madison Prep'!F53</f>
        <v>910.76</v>
      </c>
      <c r="G53" s="1180">
        <f t="shared" si="6"/>
        <v>0</v>
      </c>
      <c r="H53" s="1539">
        <f t="shared" si="7"/>
        <v>0</v>
      </c>
      <c r="I53" s="1181"/>
      <c r="J53" s="1181"/>
      <c r="K53" s="1182">
        <f t="shared" si="8"/>
        <v>0</v>
      </c>
      <c r="L53" s="1539">
        <f t="shared" si="9"/>
        <v>0</v>
      </c>
      <c r="M53" s="1388">
        <f t="shared" si="4"/>
        <v>0</v>
      </c>
      <c r="N53" s="1539">
        <f t="shared" si="10"/>
        <v>0</v>
      </c>
      <c r="O53" s="1179">
        <v>0</v>
      </c>
      <c r="P53" s="1545">
        <f t="shared" si="11"/>
        <v>0</v>
      </c>
      <c r="Q53" s="1181"/>
      <c r="R53" s="1181">
        <f t="shared" si="12"/>
        <v>0</v>
      </c>
      <c r="S53" s="1545">
        <f t="shared" si="13"/>
        <v>0</v>
      </c>
      <c r="T53" s="1545">
        <f t="shared" si="14"/>
        <v>0</v>
      </c>
      <c r="U53" s="1389">
        <f>'Table 5C1A-Madison Prep'!U53</f>
        <v>11701</v>
      </c>
      <c r="V53" s="1515">
        <f t="shared" si="15"/>
        <v>0</v>
      </c>
      <c r="W53" s="1391"/>
      <c r="X53" s="1392">
        <f t="shared" si="16"/>
        <v>0</v>
      </c>
      <c r="Y53" s="1391"/>
      <c r="Z53" s="1392">
        <f t="shared" si="17"/>
        <v>0</v>
      </c>
      <c r="AA53" s="1390">
        <f t="shared" si="18"/>
        <v>0</v>
      </c>
      <c r="AB53" s="1510">
        <f t="shared" si="19"/>
        <v>0</v>
      </c>
      <c r="AC53" s="1394">
        <f t="shared" si="20"/>
        <v>0</v>
      </c>
      <c r="AD53" s="1510">
        <f t="shared" si="21"/>
        <v>0</v>
      </c>
      <c r="AE53" s="1395">
        <v>0</v>
      </c>
      <c r="AF53" s="1510">
        <f t="shared" si="22"/>
        <v>0</v>
      </c>
      <c r="AG53" s="1395"/>
      <c r="AH53" s="1395">
        <f t="shared" si="23"/>
        <v>0</v>
      </c>
      <c r="AI53" s="1510">
        <f t="shared" si="24"/>
        <v>0</v>
      </c>
      <c r="AJ53" s="1505">
        <f t="shared" si="25"/>
        <v>0</v>
      </c>
      <c r="AK53" s="1535">
        <f t="shared" si="26"/>
        <v>0</v>
      </c>
    </row>
    <row r="54" spans="1:37" ht="16.2" customHeight="1">
      <c r="A54" s="1176">
        <v>48</v>
      </c>
      <c r="B54" s="1177" t="s">
        <v>178</v>
      </c>
      <c r="C54" s="1178">
        <v>0</v>
      </c>
      <c r="D54" s="1179">
        <f>+'Table 5C1A-Madison Prep'!D54</f>
        <v>3983.3582529800719</v>
      </c>
      <c r="E54" s="1180">
        <f t="shared" si="5"/>
        <v>0</v>
      </c>
      <c r="F54" s="1180">
        <f>+'Table 5C1A-Madison Prep'!F54</f>
        <v>871.07</v>
      </c>
      <c r="G54" s="1180">
        <f t="shared" si="6"/>
        <v>0</v>
      </c>
      <c r="H54" s="1539">
        <f t="shared" si="7"/>
        <v>0</v>
      </c>
      <c r="I54" s="1181"/>
      <c r="J54" s="1181"/>
      <c r="K54" s="1182">
        <f t="shared" si="8"/>
        <v>0</v>
      </c>
      <c r="L54" s="1539">
        <f t="shared" si="9"/>
        <v>0</v>
      </c>
      <c r="M54" s="1388">
        <f t="shared" si="4"/>
        <v>0</v>
      </c>
      <c r="N54" s="1539">
        <f t="shared" si="10"/>
        <v>0</v>
      </c>
      <c r="O54" s="1179">
        <v>0</v>
      </c>
      <c r="P54" s="1545">
        <f t="shared" si="11"/>
        <v>0</v>
      </c>
      <c r="Q54" s="1181"/>
      <c r="R54" s="1181">
        <f t="shared" si="12"/>
        <v>0</v>
      </c>
      <c r="S54" s="1545">
        <f t="shared" si="13"/>
        <v>0</v>
      </c>
      <c r="T54" s="1545">
        <f t="shared" si="14"/>
        <v>0</v>
      </c>
      <c r="U54" s="1389">
        <f>'Table 5C1A-Madison Prep'!U54</f>
        <v>7338</v>
      </c>
      <c r="V54" s="1515">
        <f t="shared" si="15"/>
        <v>0</v>
      </c>
      <c r="W54" s="1391"/>
      <c r="X54" s="1392">
        <f t="shared" si="16"/>
        <v>0</v>
      </c>
      <c r="Y54" s="1391"/>
      <c r="Z54" s="1392">
        <f t="shared" si="17"/>
        <v>0</v>
      </c>
      <c r="AA54" s="1390">
        <f t="shared" si="18"/>
        <v>0</v>
      </c>
      <c r="AB54" s="1510">
        <f t="shared" si="19"/>
        <v>0</v>
      </c>
      <c r="AC54" s="1394">
        <f t="shared" si="20"/>
        <v>0</v>
      </c>
      <c r="AD54" s="1510">
        <f t="shared" si="21"/>
        <v>0</v>
      </c>
      <c r="AE54" s="1395">
        <v>0</v>
      </c>
      <c r="AF54" s="1510">
        <f t="shared" si="22"/>
        <v>0</v>
      </c>
      <c r="AG54" s="1395"/>
      <c r="AH54" s="1395">
        <f t="shared" si="23"/>
        <v>0</v>
      </c>
      <c r="AI54" s="1510">
        <f t="shared" si="24"/>
        <v>0</v>
      </c>
      <c r="AJ54" s="1505">
        <f t="shared" si="25"/>
        <v>0</v>
      </c>
      <c r="AK54" s="1535">
        <f t="shared" si="26"/>
        <v>0</v>
      </c>
    </row>
    <row r="55" spans="1:37" ht="16.2" customHeight="1">
      <c r="A55" s="1176">
        <v>49</v>
      </c>
      <c r="B55" s="1177" t="s">
        <v>128</v>
      </c>
      <c r="C55" s="1178">
        <v>0</v>
      </c>
      <c r="D55" s="1179">
        <f>+'Table 5C1A-Madison Prep'!D55</f>
        <v>4995.8755315659191</v>
      </c>
      <c r="E55" s="1180">
        <f t="shared" si="5"/>
        <v>0</v>
      </c>
      <c r="F55" s="1180">
        <f>+'Table 5C1A-Madison Prep'!F55</f>
        <v>574.43999999999994</v>
      </c>
      <c r="G55" s="1180">
        <f t="shared" si="6"/>
        <v>0</v>
      </c>
      <c r="H55" s="1539">
        <f t="shared" si="7"/>
        <v>0</v>
      </c>
      <c r="I55" s="1181"/>
      <c r="J55" s="1181"/>
      <c r="K55" s="1182">
        <f t="shared" si="8"/>
        <v>0</v>
      </c>
      <c r="L55" s="1539">
        <f t="shared" si="9"/>
        <v>0</v>
      </c>
      <c r="M55" s="1388">
        <f t="shared" si="4"/>
        <v>0</v>
      </c>
      <c r="N55" s="1539">
        <f t="shared" si="10"/>
        <v>0</v>
      </c>
      <c r="O55" s="1179">
        <v>0</v>
      </c>
      <c r="P55" s="1545">
        <f t="shared" si="11"/>
        <v>0</v>
      </c>
      <c r="Q55" s="1181"/>
      <c r="R55" s="1181">
        <f t="shared" si="12"/>
        <v>0</v>
      </c>
      <c r="S55" s="1545">
        <f t="shared" si="13"/>
        <v>0</v>
      </c>
      <c r="T55" s="1545">
        <f t="shared" si="14"/>
        <v>0</v>
      </c>
      <c r="U55" s="1389">
        <f>'Table 5C1A-Madison Prep'!U55</f>
        <v>2353</v>
      </c>
      <c r="V55" s="1515">
        <f t="shared" si="15"/>
        <v>0</v>
      </c>
      <c r="W55" s="1391"/>
      <c r="X55" s="1392">
        <f t="shared" si="16"/>
        <v>0</v>
      </c>
      <c r="Y55" s="1391"/>
      <c r="Z55" s="1392">
        <f t="shared" si="17"/>
        <v>0</v>
      </c>
      <c r="AA55" s="1390">
        <f t="shared" si="18"/>
        <v>0</v>
      </c>
      <c r="AB55" s="1510">
        <f t="shared" si="19"/>
        <v>0</v>
      </c>
      <c r="AC55" s="1394">
        <f t="shared" si="20"/>
        <v>0</v>
      </c>
      <c r="AD55" s="1510">
        <f t="shared" si="21"/>
        <v>0</v>
      </c>
      <c r="AE55" s="1395">
        <v>0</v>
      </c>
      <c r="AF55" s="1510">
        <f t="shared" si="22"/>
        <v>0</v>
      </c>
      <c r="AG55" s="1395"/>
      <c r="AH55" s="1395">
        <f t="shared" si="23"/>
        <v>0</v>
      </c>
      <c r="AI55" s="1510">
        <f t="shared" si="24"/>
        <v>0</v>
      </c>
      <c r="AJ55" s="1505">
        <f t="shared" si="25"/>
        <v>0</v>
      </c>
      <c r="AK55" s="1535">
        <f t="shared" si="26"/>
        <v>0</v>
      </c>
    </row>
    <row r="56" spans="1:37" ht="16.2" customHeight="1">
      <c r="A56" s="1168">
        <v>50</v>
      </c>
      <c r="B56" s="1169" t="s">
        <v>129</v>
      </c>
      <c r="C56" s="1170">
        <v>0</v>
      </c>
      <c r="D56" s="1171">
        <f>+'Table 5C1A-Madison Prep'!D56</f>
        <v>5177.6892722701677</v>
      </c>
      <c r="E56" s="1172">
        <f t="shared" si="5"/>
        <v>0</v>
      </c>
      <c r="F56" s="1172">
        <f>+'Table 5C1A-Madison Prep'!F56</f>
        <v>634.46</v>
      </c>
      <c r="G56" s="1172">
        <f t="shared" si="6"/>
        <v>0</v>
      </c>
      <c r="H56" s="1540">
        <f t="shared" si="7"/>
        <v>0</v>
      </c>
      <c r="I56" s="1173"/>
      <c r="J56" s="1173"/>
      <c r="K56" s="1174">
        <f t="shared" si="8"/>
        <v>0</v>
      </c>
      <c r="L56" s="1540">
        <f t="shared" si="9"/>
        <v>0</v>
      </c>
      <c r="M56" s="1399">
        <f t="shared" si="4"/>
        <v>0</v>
      </c>
      <c r="N56" s="1540">
        <f t="shared" si="10"/>
        <v>0</v>
      </c>
      <c r="O56" s="1171">
        <v>0</v>
      </c>
      <c r="P56" s="1546">
        <f t="shared" si="11"/>
        <v>0</v>
      </c>
      <c r="Q56" s="1173"/>
      <c r="R56" s="1173">
        <f t="shared" si="12"/>
        <v>0</v>
      </c>
      <c r="S56" s="1546">
        <f t="shared" si="13"/>
        <v>0</v>
      </c>
      <c r="T56" s="1546">
        <f t="shared" si="14"/>
        <v>0</v>
      </c>
      <c r="U56" s="1382">
        <f>'Table 5C1A-Madison Prep'!U56</f>
        <v>3510</v>
      </c>
      <c r="V56" s="1516">
        <f t="shared" si="15"/>
        <v>0</v>
      </c>
      <c r="W56" s="1400"/>
      <c r="X56" s="1383">
        <f t="shared" si="16"/>
        <v>0</v>
      </c>
      <c r="Y56" s="1400"/>
      <c r="Z56" s="1383">
        <f t="shared" si="17"/>
        <v>0</v>
      </c>
      <c r="AA56" s="1384">
        <f t="shared" si="18"/>
        <v>0</v>
      </c>
      <c r="AB56" s="1511">
        <f t="shared" si="19"/>
        <v>0</v>
      </c>
      <c r="AC56" s="1402">
        <f t="shared" si="20"/>
        <v>0</v>
      </c>
      <c r="AD56" s="1511">
        <f t="shared" si="21"/>
        <v>0</v>
      </c>
      <c r="AE56" s="1385">
        <v>0</v>
      </c>
      <c r="AF56" s="1511">
        <f t="shared" si="22"/>
        <v>0</v>
      </c>
      <c r="AG56" s="1385"/>
      <c r="AH56" s="1385">
        <f t="shared" si="23"/>
        <v>0</v>
      </c>
      <c r="AI56" s="1511">
        <f t="shared" si="24"/>
        <v>0</v>
      </c>
      <c r="AJ56" s="1531">
        <f t="shared" si="25"/>
        <v>0</v>
      </c>
      <c r="AK56" s="1536">
        <f t="shared" si="26"/>
        <v>0</v>
      </c>
    </row>
    <row r="57" spans="1:37" ht="16.2" customHeight="1">
      <c r="A57" s="1183">
        <v>51</v>
      </c>
      <c r="B57" s="1184" t="s">
        <v>130</v>
      </c>
      <c r="C57" s="1185">
        <v>0</v>
      </c>
      <c r="D57" s="1186">
        <f>+'Table 5C1A-Madison Prep'!D57</f>
        <v>4154.1928602178996</v>
      </c>
      <c r="E57" s="1187">
        <f t="shared" si="5"/>
        <v>0</v>
      </c>
      <c r="F57" s="1187">
        <f>+'Table 5C1A-Madison Prep'!F57</f>
        <v>706.66</v>
      </c>
      <c r="G57" s="1187">
        <f t="shared" si="6"/>
        <v>0</v>
      </c>
      <c r="H57" s="1538">
        <f t="shared" si="7"/>
        <v>0</v>
      </c>
      <c r="I57" s="1188"/>
      <c r="J57" s="1188"/>
      <c r="K57" s="1189">
        <f t="shared" si="8"/>
        <v>0</v>
      </c>
      <c r="L57" s="1538">
        <f t="shared" si="9"/>
        <v>0</v>
      </c>
      <c r="M57" s="1372">
        <f t="shared" si="4"/>
        <v>0</v>
      </c>
      <c r="N57" s="1538">
        <f t="shared" si="10"/>
        <v>0</v>
      </c>
      <c r="O57" s="1186">
        <v>0</v>
      </c>
      <c r="P57" s="1544">
        <f t="shared" si="11"/>
        <v>0</v>
      </c>
      <c r="Q57" s="1188"/>
      <c r="R57" s="1188">
        <f t="shared" si="12"/>
        <v>0</v>
      </c>
      <c r="S57" s="1544">
        <f t="shared" si="13"/>
        <v>0</v>
      </c>
      <c r="T57" s="1544">
        <f t="shared" si="14"/>
        <v>0</v>
      </c>
      <c r="U57" s="1373">
        <f>'Table 5C1A-Madison Prep'!U57</f>
        <v>4597</v>
      </c>
      <c r="V57" s="1514">
        <f t="shared" si="15"/>
        <v>0</v>
      </c>
      <c r="W57" s="1375"/>
      <c r="X57" s="1376">
        <f t="shared" si="16"/>
        <v>0</v>
      </c>
      <c r="Y57" s="1375"/>
      <c r="Z57" s="1376">
        <f t="shared" si="17"/>
        <v>0</v>
      </c>
      <c r="AA57" s="1374">
        <f t="shared" si="18"/>
        <v>0</v>
      </c>
      <c r="AB57" s="1509">
        <f t="shared" si="19"/>
        <v>0</v>
      </c>
      <c r="AC57" s="1378">
        <f t="shared" si="20"/>
        <v>0</v>
      </c>
      <c r="AD57" s="1509">
        <f t="shared" si="21"/>
        <v>0</v>
      </c>
      <c r="AE57" s="1379">
        <v>0</v>
      </c>
      <c r="AF57" s="1509">
        <f t="shared" si="22"/>
        <v>0</v>
      </c>
      <c r="AG57" s="1379"/>
      <c r="AH57" s="1379">
        <f t="shared" si="23"/>
        <v>0</v>
      </c>
      <c r="AI57" s="1509">
        <f t="shared" si="24"/>
        <v>0</v>
      </c>
      <c r="AJ57" s="1530">
        <f t="shared" si="25"/>
        <v>0</v>
      </c>
      <c r="AK57" s="1534">
        <f t="shared" si="26"/>
        <v>0</v>
      </c>
    </row>
    <row r="58" spans="1:37" ht="16.2" customHeight="1">
      <c r="A58" s="1176">
        <v>52</v>
      </c>
      <c r="B58" s="1177" t="s">
        <v>131</v>
      </c>
      <c r="C58" s="1178">
        <v>0</v>
      </c>
      <c r="D58" s="1179">
        <f>+'Table 5C1A-Madison Prep'!D58</f>
        <v>5062.2745845228173</v>
      </c>
      <c r="E58" s="1180">
        <f t="shared" si="5"/>
        <v>0</v>
      </c>
      <c r="F58" s="1180">
        <f>+'Table 5C1A-Madison Prep'!F58</f>
        <v>658.37</v>
      </c>
      <c r="G58" s="1180">
        <f t="shared" si="6"/>
        <v>0</v>
      </c>
      <c r="H58" s="1539">
        <f t="shared" si="7"/>
        <v>0</v>
      </c>
      <c r="I58" s="1181"/>
      <c r="J58" s="1181"/>
      <c r="K58" s="1182">
        <f t="shared" si="8"/>
        <v>0</v>
      </c>
      <c r="L58" s="1539">
        <f t="shared" si="9"/>
        <v>0</v>
      </c>
      <c r="M58" s="1388">
        <f t="shared" si="4"/>
        <v>0</v>
      </c>
      <c r="N58" s="1539">
        <f t="shared" si="10"/>
        <v>0</v>
      </c>
      <c r="O58" s="1179">
        <v>0</v>
      </c>
      <c r="P58" s="1545">
        <f t="shared" si="11"/>
        <v>0</v>
      </c>
      <c r="Q58" s="1181"/>
      <c r="R58" s="1181">
        <f t="shared" si="12"/>
        <v>0</v>
      </c>
      <c r="S58" s="1545">
        <f t="shared" si="13"/>
        <v>0</v>
      </c>
      <c r="T58" s="1545">
        <f t="shared" si="14"/>
        <v>0</v>
      </c>
      <c r="U58" s="1389">
        <f>'Table 5C1A-Madison Prep'!U58</f>
        <v>5212</v>
      </c>
      <c r="V58" s="1515">
        <f t="shared" si="15"/>
        <v>0</v>
      </c>
      <c r="W58" s="1391"/>
      <c r="X58" s="1392">
        <f t="shared" si="16"/>
        <v>0</v>
      </c>
      <c r="Y58" s="1391"/>
      <c r="Z58" s="1392">
        <f t="shared" si="17"/>
        <v>0</v>
      </c>
      <c r="AA58" s="1390">
        <f t="shared" si="18"/>
        <v>0</v>
      </c>
      <c r="AB58" s="1510">
        <f t="shared" si="19"/>
        <v>0</v>
      </c>
      <c r="AC58" s="1394">
        <f t="shared" si="20"/>
        <v>0</v>
      </c>
      <c r="AD58" s="1510">
        <f t="shared" si="21"/>
        <v>0</v>
      </c>
      <c r="AE58" s="1395">
        <v>0</v>
      </c>
      <c r="AF58" s="1510">
        <f t="shared" si="22"/>
        <v>0</v>
      </c>
      <c r="AG58" s="1395"/>
      <c r="AH58" s="1395">
        <f t="shared" si="23"/>
        <v>0</v>
      </c>
      <c r="AI58" s="1510">
        <f t="shared" si="24"/>
        <v>0</v>
      </c>
      <c r="AJ58" s="1505">
        <f t="shared" si="25"/>
        <v>0</v>
      </c>
      <c r="AK58" s="1535">
        <f t="shared" si="26"/>
        <v>0</v>
      </c>
    </row>
    <row r="59" spans="1:37" ht="16.2" customHeight="1">
      <c r="A59" s="1176">
        <v>53</v>
      </c>
      <c r="B59" s="1177" t="s">
        <v>132</v>
      </c>
      <c r="C59" s="1178">
        <v>0</v>
      </c>
      <c r="D59" s="1179">
        <f>+'Table 5C1A-Madison Prep'!D59</f>
        <v>5060.1508194045482</v>
      </c>
      <c r="E59" s="1180">
        <f t="shared" si="5"/>
        <v>0</v>
      </c>
      <c r="F59" s="1180">
        <f>+'Table 5C1A-Madison Prep'!F59</f>
        <v>689.74</v>
      </c>
      <c r="G59" s="1180">
        <f t="shared" si="6"/>
        <v>0</v>
      </c>
      <c r="H59" s="1539">
        <f t="shared" si="7"/>
        <v>0</v>
      </c>
      <c r="I59" s="1181"/>
      <c r="J59" s="1181"/>
      <c r="K59" s="1182">
        <f t="shared" si="8"/>
        <v>0</v>
      </c>
      <c r="L59" s="1539">
        <f t="shared" si="9"/>
        <v>0</v>
      </c>
      <c r="M59" s="1388">
        <f t="shared" si="4"/>
        <v>0</v>
      </c>
      <c r="N59" s="1539">
        <f t="shared" si="10"/>
        <v>0</v>
      </c>
      <c r="O59" s="1179">
        <v>0</v>
      </c>
      <c r="P59" s="1545">
        <f t="shared" si="11"/>
        <v>0</v>
      </c>
      <c r="Q59" s="1181"/>
      <c r="R59" s="1181">
        <f t="shared" si="12"/>
        <v>0</v>
      </c>
      <c r="S59" s="1545">
        <f t="shared" si="13"/>
        <v>0</v>
      </c>
      <c r="T59" s="1545">
        <f t="shared" si="14"/>
        <v>0</v>
      </c>
      <c r="U59" s="1389">
        <f>'Table 5C1A-Madison Prep'!U59</f>
        <v>2054</v>
      </c>
      <c r="V59" s="1515">
        <f t="shared" si="15"/>
        <v>0</v>
      </c>
      <c r="W59" s="1391"/>
      <c r="X59" s="1392">
        <f t="shared" si="16"/>
        <v>0</v>
      </c>
      <c r="Y59" s="1391"/>
      <c r="Z59" s="1392">
        <f t="shared" si="17"/>
        <v>0</v>
      </c>
      <c r="AA59" s="1390">
        <f t="shared" si="18"/>
        <v>0</v>
      </c>
      <c r="AB59" s="1510">
        <f t="shared" si="19"/>
        <v>0</v>
      </c>
      <c r="AC59" s="1394">
        <f t="shared" si="20"/>
        <v>0</v>
      </c>
      <c r="AD59" s="1510">
        <f t="shared" si="21"/>
        <v>0</v>
      </c>
      <c r="AE59" s="1395">
        <v>0</v>
      </c>
      <c r="AF59" s="1510">
        <f t="shared" si="22"/>
        <v>0</v>
      </c>
      <c r="AG59" s="1395"/>
      <c r="AH59" s="1395">
        <f t="shared" si="23"/>
        <v>0</v>
      </c>
      <c r="AI59" s="1510">
        <f t="shared" si="24"/>
        <v>0</v>
      </c>
      <c r="AJ59" s="1505">
        <f t="shared" si="25"/>
        <v>0</v>
      </c>
      <c r="AK59" s="1535">
        <f t="shared" si="26"/>
        <v>0</v>
      </c>
    </row>
    <row r="60" spans="1:37" ht="16.2" customHeight="1">
      <c r="A60" s="1176">
        <v>54</v>
      </c>
      <c r="B60" s="1177" t="s">
        <v>133</v>
      </c>
      <c r="C60" s="1178">
        <v>0</v>
      </c>
      <c r="D60" s="1179">
        <f>+'Table 5C1A-Madison Prep'!D60</f>
        <v>5867.0798370516713</v>
      </c>
      <c r="E60" s="1180">
        <f t="shared" si="5"/>
        <v>0</v>
      </c>
      <c r="F60" s="1180">
        <f>+'Table 5C1A-Madison Prep'!F60</f>
        <v>951.45</v>
      </c>
      <c r="G60" s="1180">
        <f t="shared" si="6"/>
        <v>0</v>
      </c>
      <c r="H60" s="1539">
        <f t="shared" si="7"/>
        <v>0</v>
      </c>
      <c r="I60" s="1181"/>
      <c r="J60" s="1181"/>
      <c r="K60" s="1182">
        <f t="shared" si="8"/>
        <v>0</v>
      </c>
      <c r="L60" s="1539">
        <f t="shared" si="9"/>
        <v>0</v>
      </c>
      <c r="M60" s="1388">
        <f t="shared" si="4"/>
        <v>0</v>
      </c>
      <c r="N60" s="1539">
        <f t="shared" si="10"/>
        <v>0</v>
      </c>
      <c r="O60" s="1179">
        <v>0</v>
      </c>
      <c r="P60" s="1545">
        <f t="shared" si="11"/>
        <v>0</v>
      </c>
      <c r="Q60" s="1181"/>
      <c r="R60" s="1181">
        <f t="shared" si="12"/>
        <v>0</v>
      </c>
      <c r="S60" s="1545">
        <f t="shared" si="13"/>
        <v>0</v>
      </c>
      <c r="T60" s="1545">
        <f t="shared" si="14"/>
        <v>0</v>
      </c>
      <c r="U60" s="1389">
        <f>'Table 5C1A-Madison Prep'!U60</f>
        <v>4116</v>
      </c>
      <c r="V60" s="1515">
        <f t="shared" si="15"/>
        <v>0</v>
      </c>
      <c r="W60" s="1391"/>
      <c r="X60" s="1392">
        <f t="shared" si="16"/>
        <v>0</v>
      </c>
      <c r="Y60" s="1391"/>
      <c r="Z60" s="1392">
        <f t="shared" si="17"/>
        <v>0</v>
      </c>
      <c r="AA60" s="1390">
        <f t="shared" si="18"/>
        <v>0</v>
      </c>
      <c r="AB60" s="1510">
        <f t="shared" si="19"/>
        <v>0</v>
      </c>
      <c r="AC60" s="1394">
        <f t="shared" si="20"/>
        <v>0</v>
      </c>
      <c r="AD60" s="1510">
        <f t="shared" si="21"/>
        <v>0</v>
      </c>
      <c r="AE60" s="1395">
        <v>0</v>
      </c>
      <c r="AF60" s="1510">
        <f t="shared" si="22"/>
        <v>0</v>
      </c>
      <c r="AG60" s="1395"/>
      <c r="AH60" s="1395">
        <f t="shared" si="23"/>
        <v>0</v>
      </c>
      <c r="AI60" s="1510">
        <f t="shared" si="24"/>
        <v>0</v>
      </c>
      <c r="AJ60" s="1505">
        <f t="shared" si="25"/>
        <v>0</v>
      </c>
      <c r="AK60" s="1535">
        <f t="shared" si="26"/>
        <v>0</v>
      </c>
    </row>
    <row r="61" spans="1:37" ht="16.2" customHeight="1">
      <c r="A61" s="1168">
        <v>55</v>
      </c>
      <c r="B61" s="1169" t="s">
        <v>134</v>
      </c>
      <c r="C61" s="1170">
        <v>0</v>
      </c>
      <c r="D61" s="1171">
        <f>+'Table 5C1A-Madison Prep'!D61</f>
        <v>4266.8225491298481</v>
      </c>
      <c r="E61" s="1172">
        <f t="shared" si="5"/>
        <v>0</v>
      </c>
      <c r="F61" s="1172">
        <f>+'Table 5C1A-Madison Prep'!F61</f>
        <v>795.14</v>
      </c>
      <c r="G61" s="1172">
        <f t="shared" si="6"/>
        <v>0</v>
      </c>
      <c r="H61" s="1540">
        <f t="shared" si="7"/>
        <v>0</v>
      </c>
      <c r="I61" s="1173"/>
      <c r="J61" s="1173"/>
      <c r="K61" s="1174">
        <f t="shared" si="8"/>
        <v>0</v>
      </c>
      <c r="L61" s="1540">
        <f t="shared" si="9"/>
        <v>0</v>
      </c>
      <c r="M61" s="1399">
        <f t="shared" si="4"/>
        <v>0</v>
      </c>
      <c r="N61" s="1540">
        <f t="shared" si="10"/>
        <v>0</v>
      </c>
      <c r="O61" s="1171">
        <v>0</v>
      </c>
      <c r="P61" s="1546">
        <f t="shared" si="11"/>
        <v>0</v>
      </c>
      <c r="Q61" s="1173"/>
      <c r="R61" s="1173">
        <f t="shared" si="12"/>
        <v>0</v>
      </c>
      <c r="S61" s="1546">
        <f t="shared" si="13"/>
        <v>0</v>
      </c>
      <c r="T61" s="1546">
        <f t="shared" si="14"/>
        <v>0</v>
      </c>
      <c r="U61" s="1382">
        <f>'Table 5C1A-Madison Prep'!U61</f>
        <v>3532</v>
      </c>
      <c r="V61" s="1516">
        <f t="shared" si="15"/>
        <v>0</v>
      </c>
      <c r="W61" s="1400"/>
      <c r="X61" s="1383">
        <f t="shared" si="16"/>
        <v>0</v>
      </c>
      <c r="Y61" s="1400"/>
      <c r="Z61" s="1383">
        <f t="shared" si="17"/>
        <v>0</v>
      </c>
      <c r="AA61" s="1384">
        <f t="shared" si="18"/>
        <v>0</v>
      </c>
      <c r="AB61" s="1511">
        <f t="shared" si="19"/>
        <v>0</v>
      </c>
      <c r="AC61" s="1402">
        <f t="shared" si="20"/>
        <v>0</v>
      </c>
      <c r="AD61" s="1511">
        <f t="shared" si="21"/>
        <v>0</v>
      </c>
      <c r="AE61" s="1385">
        <v>0</v>
      </c>
      <c r="AF61" s="1511">
        <f t="shared" si="22"/>
        <v>0</v>
      </c>
      <c r="AG61" s="1385"/>
      <c r="AH61" s="1385">
        <f t="shared" si="23"/>
        <v>0</v>
      </c>
      <c r="AI61" s="1511">
        <f t="shared" si="24"/>
        <v>0</v>
      </c>
      <c r="AJ61" s="1531">
        <f t="shared" si="25"/>
        <v>0</v>
      </c>
      <c r="AK61" s="1536">
        <f t="shared" si="26"/>
        <v>0</v>
      </c>
    </row>
    <row r="62" spans="1:37" ht="16.2" customHeight="1">
      <c r="A62" s="1183">
        <v>56</v>
      </c>
      <c r="B62" s="1184" t="s">
        <v>135</v>
      </c>
      <c r="C62" s="1185">
        <v>0</v>
      </c>
      <c r="D62" s="1186">
        <f>+'Table 5C1A-Madison Prep'!D62</f>
        <v>5028.4909408288286</v>
      </c>
      <c r="E62" s="1187">
        <f t="shared" si="5"/>
        <v>0</v>
      </c>
      <c r="F62" s="1187">
        <f>+'Table 5C1A-Madison Prep'!F62</f>
        <v>614.66000000000008</v>
      </c>
      <c r="G62" s="1187">
        <f t="shared" si="6"/>
        <v>0</v>
      </c>
      <c r="H62" s="1538">
        <f t="shared" si="7"/>
        <v>0</v>
      </c>
      <c r="I62" s="1188"/>
      <c r="J62" s="1188"/>
      <c r="K62" s="1189">
        <f t="shared" si="8"/>
        <v>0</v>
      </c>
      <c r="L62" s="1538">
        <f t="shared" si="9"/>
        <v>0</v>
      </c>
      <c r="M62" s="1372">
        <f t="shared" si="4"/>
        <v>0</v>
      </c>
      <c r="N62" s="1538">
        <f t="shared" si="10"/>
        <v>0</v>
      </c>
      <c r="O62" s="1186">
        <v>0</v>
      </c>
      <c r="P62" s="1544">
        <f t="shared" si="11"/>
        <v>0</v>
      </c>
      <c r="Q62" s="1188"/>
      <c r="R62" s="1188">
        <f t="shared" si="12"/>
        <v>0</v>
      </c>
      <c r="S62" s="1544">
        <f t="shared" si="13"/>
        <v>0</v>
      </c>
      <c r="T62" s="1544">
        <f t="shared" si="14"/>
        <v>0</v>
      </c>
      <c r="U62" s="1373">
        <f>'Table 5C1A-Madison Prep'!U62</f>
        <v>2865</v>
      </c>
      <c r="V62" s="1514">
        <f t="shared" si="15"/>
        <v>0</v>
      </c>
      <c r="W62" s="1375"/>
      <c r="X62" s="1376">
        <f t="shared" si="16"/>
        <v>0</v>
      </c>
      <c r="Y62" s="1375"/>
      <c r="Z62" s="1376">
        <f t="shared" si="17"/>
        <v>0</v>
      </c>
      <c r="AA62" s="1374">
        <f t="shared" si="18"/>
        <v>0</v>
      </c>
      <c r="AB62" s="1509">
        <f t="shared" si="19"/>
        <v>0</v>
      </c>
      <c r="AC62" s="1378">
        <f t="shared" si="20"/>
        <v>0</v>
      </c>
      <c r="AD62" s="1509">
        <f t="shared" si="21"/>
        <v>0</v>
      </c>
      <c r="AE62" s="1379">
        <v>0</v>
      </c>
      <c r="AF62" s="1509">
        <f t="shared" si="22"/>
        <v>0</v>
      </c>
      <c r="AG62" s="1379"/>
      <c r="AH62" s="1379">
        <f t="shared" si="23"/>
        <v>0</v>
      </c>
      <c r="AI62" s="1509">
        <f t="shared" si="24"/>
        <v>0</v>
      </c>
      <c r="AJ62" s="1530">
        <f t="shared" si="25"/>
        <v>0</v>
      </c>
      <c r="AK62" s="1534">
        <f t="shared" si="26"/>
        <v>0</v>
      </c>
    </row>
    <row r="63" spans="1:37" ht="16.2" customHeight="1">
      <c r="A63" s="1176">
        <v>57</v>
      </c>
      <c r="B63" s="1177" t="s">
        <v>136</v>
      </c>
      <c r="C63" s="1178">
        <v>0</v>
      </c>
      <c r="D63" s="1179">
        <f>+'Table 5C1A-Madison Prep'!D63</f>
        <v>4625.9922979230687</v>
      </c>
      <c r="E63" s="1180">
        <f t="shared" si="5"/>
        <v>0</v>
      </c>
      <c r="F63" s="1180">
        <f>+'Table 5C1A-Madison Prep'!F63</f>
        <v>764.51</v>
      </c>
      <c r="G63" s="1180">
        <f t="shared" si="6"/>
        <v>0</v>
      </c>
      <c r="H63" s="1539">
        <f t="shared" si="7"/>
        <v>0</v>
      </c>
      <c r="I63" s="1181"/>
      <c r="J63" s="1181"/>
      <c r="K63" s="1182">
        <f t="shared" si="8"/>
        <v>0</v>
      </c>
      <c r="L63" s="1539">
        <f t="shared" si="9"/>
        <v>0</v>
      </c>
      <c r="M63" s="1388">
        <f t="shared" si="4"/>
        <v>0</v>
      </c>
      <c r="N63" s="1539">
        <f t="shared" si="10"/>
        <v>0</v>
      </c>
      <c r="O63" s="1179">
        <v>0</v>
      </c>
      <c r="P63" s="1545">
        <f t="shared" si="11"/>
        <v>0</v>
      </c>
      <c r="Q63" s="1181"/>
      <c r="R63" s="1181">
        <f t="shared" si="12"/>
        <v>0</v>
      </c>
      <c r="S63" s="1545">
        <f t="shared" si="13"/>
        <v>0</v>
      </c>
      <c r="T63" s="1545">
        <f t="shared" si="14"/>
        <v>0</v>
      </c>
      <c r="U63" s="1389">
        <f>'Table 5C1A-Madison Prep'!U63</f>
        <v>3395</v>
      </c>
      <c r="V63" s="1515">
        <f t="shared" si="15"/>
        <v>0</v>
      </c>
      <c r="W63" s="1391"/>
      <c r="X63" s="1392">
        <f t="shared" si="16"/>
        <v>0</v>
      </c>
      <c r="Y63" s="1391"/>
      <c r="Z63" s="1392">
        <f t="shared" si="17"/>
        <v>0</v>
      </c>
      <c r="AA63" s="1390">
        <f t="shared" si="18"/>
        <v>0</v>
      </c>
      <c r="AB63" s="1510">
        <f t="shared" si="19"/>
        <v>0</v>
      </c>
      <c r="AC63" s="1394">
        <f t="shared" si="20"/>
        <v>0</v>
      </c>
      <c r="AD63" s="1510">
        <f t="shared" si="21"/>
        <v>0</v>
      </c>
      <c r="AE63" s="1395">
        <v>0</v>
      </c>
      <c r="AF63" s="1510">
        <f t="shared" si="22"/>
        <v>0</v>
      </c>
      <c r="AG63" s="1395"/>
      <c r="AH63" s="1395">
        <f t="shared" si="23"/>
        <v>0</v>
      </c>
      <c r="AI63" s="1510">
        <f t="shared" si="24"/>
        <v>0</v>
      </c>
      <c r="AJ63" s="1505">
        <f t="shared" si="25"/>
        <v>0</v>
      </c>
      <c r="AK63" s="1535">
        <f t="shared" si="26"/>
        <v>0</v>
      </c>
    </row>
    <row r="64" spans="1:37" ht="16.2" customHeight="1">
      <c r="A64" s="1176">
        <v>58</v>
      </c>
      <c r="B64" s="1177" t="s">
        <v>137</v>
      </c>
      <c r="C64" s="1178">
        <v>0</v>
      </c>
      <c r="D64" s="1179">
        <f>+'Table 5C1A-Madison Prep'!D64</f>
        <v>5673.1129637882123</v>
      </c>
      <c r="E64" s="1180">
        <f t="shared" si="5"/>
        <v>0</v>
      </c>
      <c r="F64" s="1180">
        <f>+'Table 5C1A-Madison Prep'!F64</f>
        <v>697.04</v>
      </c>
      <c r="G64" s="1180">
        <f t="shared" si="6"/>
        <v>0</v>
      </c>
      <c r="H64" s="1539">
        <f t="shared" si="7"/>
        <v>0</v>
      </c>
      <c r="I64" s="1181"/>
      <c r="J64" s="1181"/>
      <c r="K64" s="1182">
        <f t="shared" si="8"/>
        <v>0</v>
      </c>
      <c r="L64" s="1539">
        <f t="shared" si="9"/>
        <v>0</v>
      </c>
      <c r="M64" s="1388">
        <f t="shared" si="4"/>
        <v>0</v>
      </c>
      <c r="N64" s="1539">
        <f t="shared" si="10"/>
        <v>0</v>
      </c>
      <c r="O64" s="1179">
        <v>0</v>
      </c>
      <c r="P64" s="1545">
        <f t="shared" si="11"/>
        <v>0</v>
      </c>
      <c r="Q64" s="1181"/>
      <c r="R64" s="1181">
        <f t="shared" si="12"/>
        <v>0</v>
      </c>
      <c r="S64" s="1545">
        <f t="shared" si="13"/>
        <v>0</v>
      </c>
      <c r="T64" s="1545">
        <f t="shared" si="14"/>
        <v>0</v>
      </c>
      <c r="U64" s="1389">
        <f>'Table 5C1A-Madison Prep'!U64</f>
        <v>2084</v>
      </c>
      <c r="V64" s="1515">
        <f t="shared" si="15"/>
        <v>0</v>
      </c>
      <c r="W64" s="1391"/>
      <c r="X64" s="1392">
        <f t="shared" si="16"/>
        <v>0</v>
      </c>
      <c r="Y64" s="1391"/>
      <c r="Z64" s="1392">
        <f t="shared" si="17"/>
        <v>0</v>
      </c>
      <c r="AA64" s="1390">
        <f t="shared" si="18"/>
        <v>0</v>
      </c>
      <c r="AB64" s="1510">
        <f t="shared" si="19"/>
        <v>0</v>
      </c>
      <c r="AC64" s="1394">
        <f t="shared" si="20"/>
        <v>0</v>
      </c>
      <c r="AD64" s="1510">
        <f t="shared" si="21"/>
        <v>0</v>
      </c>
      <c r="AE64" s="1395">
        <v>0</v>
      </c>
      <c r="AF64" s="1510">
        <f t="shared" si="22"/>
        <v>0</v>
      </c>
      <c r="AG64" s="1395"/>
      <c r="AH64" s="1395">
        <f t="shared" si="23"/>
        <v>0</v>
      </c>
      <c r="AI64" s="1510">
        <f t="shared" si="24"/>
        <v>0</v>
      </c>
      <c r="AJ64" s="1505">
        <f t="shared" si="25"/>
        <v>0</v>
      </c>
      <c r="AK64" s="1535">
        <f t="shared" si="26"/>
        <v>0</v>
      </c>
    </row>
    <row r="65" spans="1:37" ht="16.2" customHeight="1">
      <c r="A65" s="1176">
        <v>59</v>
      </c>
      <c r="B65" s="1177" t="s">
        <v>138</v>
      </c>
      <c r="C65" s="1178">
        <v>0</v>
      </c>
      <c r="D65" s="1179">
        <f>+'Table 5C1A-Madison Prep'!D65</f>
        <v>6621.946293521848</v>
      </c>
      <c r="E65" s="1180">
        <f t="shared" si="5"/>
        <v>0</v>
      </c>
      <c r="F65" s="1180">
        <f>+'Table 5C1A-Madison Prep'!F65</f>
        <v>689.52</v>
      </c>
      <c r="G65" s="1180">
        <f t="shared" si="6"/>
        <v>0</v>
      </c>
      <c r="H65" s="1539">
        <f t="shared" si="7"/>
        <v>0</v>
      </c>
      <c r="I65" s="1181"/>
      <c r="J65" s="1181"/>
      <c r="K65" s="1182">
        <f t="shared" si="8"/>
        <v>0</v>
      </c>
      <c r="L65" s="1539">
        <f t="shared" si="9"/>
        <v>0</v>
      </c>
      <c r="M65" s="1388">
        <f t="shared" si="4"/>
        <v>0</v>
      </c>
      <c r="N65" s="1539">
        <f t="shared" si="10"/>
        <v>0</v>
      </c>
      <c r="O65" s="1179">
        <v>0</v>
      </c>
      <c r="P65" s="1545">
        <f t="shared" si="11"/>
        <v>0</v>
      </c>
      <c r="Q65" s="1181"/>
      <c r="R65" s="1181">
        <f t="shared" si="12"/>
        <v>0</v>
      </c>
      <c r="S65" s="1545">
        <f t="shared" si="13"/>
        <v>0</v>
      </c>
      <c r="T65" s="1545">
        <f t="shared" si="14"/>
        <v>0</v>
      </c>
      <c r="U65" s="1389">
        <f>'Table 5C1A-Madison Prep'!U65</f>
        <v>1577</v>
      </c>
      <c r="V65" s="1515">
        <f t="shared" si="15"/>
        <v>0</v>
      </c>
      <c r="W65" s="1391"/>
      <c r="X65" s="1392">
        <f t="shared" si="16"/>
        <v>0</v>
      </c>
      <c r="Y65" s="1391"/>
      <c r="Z65" s="1392">
        <f t="shared" si="17"/>
        <v>0</v>
      </c>
      <c r="AA65" s="1390">
        <f t="shared" si="18"/>
        <v>0</v>
      </c>
      <c r="AB65" s="1510">
        <f t="shared" si="19"/>
        <v>0</v>
      </c>
      <c r="AC65" s="1394">
        <f t="shared" si="20"/>
        <v>0</v>
      </c>
      <c r="AD65" s="1510">
        <f t="shared" si="21"/>
        <v>0</v>
      </c>
      <c r="AE65" s="1395">
        <v>0</v>
      </c>
      <c r="AF65" s="1510">
        <f t="shared" si="22"/>
        <v>0</v>
      </c>
      <c r="AG65" s="1395"/>
      <c r="AH65" s="1395">
        <f t="shared" si="23"/>
        <v>0</v>
      </c>
      <c r="AI65" s="1510">
        <f t="shared" si="24"/>
        <v>0</v>
      </c>
      <c r="AJ65" s="1505">
        <f t="shared" si="25"/>
        <v>0</v>
      </c>
      <c r="AK65" s="1535">
        <f t="shared" si="26"/>
        <v>0</v>
      </c>
    </row>
    <row r="66" spans="1:37" ht="16.2" customHeight="1">
      <c r="A66" s="1168">
        <v>60</v>
      </c>
      <c r="B66" s="1169" t="s">
        <v>139</v>
      </c>
      <c r="C66" s="1170">
        <v>0</v>
      </c>
      <c r="D66" s="1171">
        <f>+'Table 5C1A-Madison Prep'!D66</f>
        <v>5301.224090063828</v>
      </c>
      <c r="E66" s="1172">
        <f t="shared" si="5"/>
        <v>0</v>
      </c>
      <c r="F66" s="1172">
        <f>+'Table 5C1A-Madison Prep'!F66</f>
        <v>594.04</v>
      </c>
      <c r="G66" s="1172">
        <f t="shared" si="6"/>
        <v>0</v>
      </c>
      <c r="H66" s="1540">
        <f t="shared" si="7"/>
        <v>0</v>
      </c>
      <c r="I66" s="1173"/>
      <c r="J66" s="1173"/>
      <c r="K66" s="1174">
        <f t="shared" si="8"/>
        <v>0</v>
      </c>
      <c r="L66" s="1540">
        <f t="shared" si="9"/>
        <v>0</v>
      </c>
      <c r="M66" s="1399">
        <f t="shared" si="4"/>
        <v>0</v>
      </c>
      <c r="N66" s="1540">
        <f t="shared" si="10"/>
        <v>0</v>
      </c>
      <c r="O66" s="1171">
        <v>0</v>
      </c>
      <c r="P66" s="1546">
        <f t="shared" si="11"/>
        <v>0</v>
      </c>
      <c r="Q66" s="1173"/>
      <c r="R66" s="1173">
        <f t="shared" si="12"/>
        <v>0</v>
      </c>
      <c r="S66" s="1546">
        <f t="shared" si="13"/>
        <v>0</v>
      </c>
      <c r="T66" s="1546">
        <f t="shared" si="14"/>
        <v>0</v>
      </c>
      <c r="U66" s="1382">
        <f>'Table 5C1A-Madison Prep'!U66</f>
        <v>3922</v>
      </c>
      <c r="V66" s="1516">
        <f t="shared" si="15"/>
        <v>0</v>
      </c>
      <c r="W66" s="1400"/>
      <c r="X66" s="1383">
        <f t="shared" si="16"/>
        <v>0</v>
      </c>
      <c r="Y66" s="1400"/>
      <c r="Z66" s="1383">
        <f t="shared" si="17"/>
        <v>0</v>
      </c>
      <c r="AA66" s="1384">
        <f t="shared" si="18"/>
        <v>0</v>
      </c>
      <c r="AB66" s="1511">
        <f t="shared" si="19"/>
        <v>0</v>
      </c>
      <c r="AC66" s="1402">
        <f t="shared" si="20"/>
        <v>0</v>
      </c>
      <c r="AD66" s="1511">
        <f t="shared" si="21"/>
        <v>0</v>
      </c>
      <c r="AE66" s="1385">
        <v>0</v>
      </c>
      <c r="AF66" s="1511">
        <f t="shared" si="22"/>
        <v>0</v>
      </c>
      <c r="AG66" s="1385"/>
      <c r="AH66" s="1385">
        <f t="shared" si="23"/>
        <v>0</v>
      </c>
      <c r="AI66" s="1511">
        <f t="shared" si="24"/>
        <v>0</v>
      </c>
      <c r="AJ66" s="1531">
        <f t="shared" si="25"/>
        <v>0</v>
      </c>
      <c r="AK66" s="1536">
        <f t="shared" si="26"/>
        <v>0</v>
      </c>
    </row>
    <row r="67" spans="1:37" ht="16.2" customHeight="1">
      <c r="A67" s="1183">
        <v>61</v>
      </c>
      <c r="B67" s="1184" t="s">
        <v>140</v>
      </c>
      <c r="C67" s="1185">
        <v>0</v>
      </c>
      <c r="D67" s="1186">
        <f>+'Table 5C1A-Madison Prep'!D67</f>
        <v>2854.1575356369185</v>
      </c>
      <c r="E67" s="1187">
        <f t="shared" si="5"/>
        <v>0</v>
      </c>
      <c r="F67" s="1187">
        <f>+'Table 5C1A-Madison Prep'!F67</f>
        <v>833.70999999999992</v>
      </c>
      <c r="G67" s="1187">
        <f t="shared" si="6"/>
        <v>0</v>
      </c>
      <c r="H67" s="1538">
        <f t="shared" si="7"/>
        <v>0</v>
      </c>
      <c r="I67" s="1188"/>
      <c r="J67" s="1188"/>
      <c r="K67" s="1189">
        <f t="shared" si="8"/>
        <v>0</v>
      </c>
      <c r="L67" s="1538">
        <f t="shared" si="9"/>
        <v>0</v>
      </c>
      <c r="M67" s="1372">
        <f t="shared" si="4"/>
        <v>0</v>
      </c>
      <c r="N67" s="1538">
        <f t="shared" si="10"/>
        <v>0</v>
      </c>
      <c r="O67" s="1186">
        <v>0</v>
      </c>
      <c r="P67" s="1544">
        <f t="shared" si="11"/>
        <v>0</v>
      </c>
      <c r="Q67" s="1188"/>
      <c r="R67" s="1188">
        <f t="shared" si="12"/>
        <v>0</v>
      </c>
      <c r="S67" s="1544">
        <f t="shared" si="13"/>
        <v>0</v>
      </c>
      <c r="T67" s="1544">
        <f t="shared" si="14"/>
        <v>0</v>
      </c>
      <c r="U67" s="1373">
        <f>'Table 5C1A-Madison Prep'!U67</f>
        <v>6745</v>
      </c>
      <c r="V67" s="1514">
        <f t="shared" si="15"/>
        <v>0</v>
      </c>
      <c r="W67" s="1375"/>
      <c r="X67" s="1376">
        <f t="shared" si="16"/>
        <v>0</v>
      </c>
      <c r="Y67" s="1375"/>
      <c r="Z67" s="1376">
        <f t="shared" si="17"/>
        <v>0</v>
      </c>
      <c r="AA67" s="1374">
        <f t="shared" si="18"/>
        <v>0</v>
      </c>
      <c r="AB67" s="1509">
        <f t="shared" si="19"/>
        <v>0</v>
      </c>
      <c r="AC67" s="1378">
        <f t="shared" si="20"/>
        <v>0</v>
      </c>
      <c r="AD67" s="1509">
        <f t="shared" si="21"/>
        <v>0</v>
      </c>
      <c r="AE67" s="1379">
        <v>0</v>
      </c>
      <c r="AF67" s="1509">
        <f t="shared" si="22"/>
        <v>0</v>
      </c>
      <c r="AG67" s="1379"/>
      <c r="AH67" s="1379">
        <f t="shared" si="23"/>
        <v>0</v>
      </c>
      <c r="AI67" s="1509">
        <f t="shared" si="24"/>
        <v>0</v>
      </c>
      <c r="AJ67" s="1530">
        <f t="shared" si="25"/>
        <v>0</v>
      </c>
      <c r="AK67" s="1534">
        <f t="shared" si="26"/>
        <v>0</v>
      </c>
    </row>
    <row r="68" spans="1:37" ht="16.2" customHeight="1">
      <c r="A68" s="1176">
        <v>62</v>
      </c>
      <c r="B68" s="1177" t="s">
        <v>141</v>
      </c>
      <c r="C68" s="1178">
        <v>0</v>
      </c>
      <c r="D68" s="1179">
        <f>+'Table 5C1A-Madison Prep'!D68</f>
        <v>5901.074538516008</v>
      </c>
      <c r="E68" s="1180">
        <f t="shared" si="5"/>
        <v>0</v>
      </c>
      <c r="F68" s="1180">
        <f>+'Table 5C1A-Madison Prep'!F68</f>
        <v>516.08000000000004</v>
      </c>
      <c r="G68" s="1180">
        <f t="shared" si="6"/>
        <v>0</v>
      </c>
      <c r="H68" s="1539">
        <f t="shared" si="7"/>
        <v>0</v>
      </c>
      <c r="I68" s="1181"/>
      <c r="J68" s="1181"/>
      <c r="K68" s="1182">
        <f t="shared" si="8"/>
        <v>0</v>
      </c>
      <c r="L68" s="1539">
        <f t="shared" si="9"/>
        <v>0</v>
      </c>
      <c r="M68" s="1388">
        <f t="shared" si="4"/>
        <v>0</v>
      </c>
      <c r="N68" s="1539">
        <f t="shared" si="10"/>
        <v>0</v>
      </c>
      <c r="O68" s="1179">
        <v>0</v>
      </c>
      <c r="P68" s="1545">
        <f t="shared" si="11"/>
        <v>0</v>
      </c>
      <c r="Q68" s="1181"/>
      <c r="R68" s="1181">
        <f t="shared" si="12"/>
        <v>0</v>
      </c>
      <c r="S68" s="1545">
        <f t="shared" si="13"/>
        <v>0</v>
      </c>
      <c r="T68" s="1545">
        <f t="shared" si="14"/>
        <v>0</v>
      </c>
      <c r="U68" s="1389">
        <f>'Table 5C1A-Madison Prep'!U68</f>
        <v>1908</v>
      </c>
      <c r="V68" s="1515">
        <f t="shared" si="15"/>
        <v>0</v>
      </c>
      <c r="W68" s="1391"/>
      <c r="X68" s="1392">
        <f t="shared" si="16"/>
        <v>0</v>
      </c>
      <c r="Y68" s="1391"/>
      <c r="Z68" s="1392">
        <f t="shared" si="17"/>
        <v>0</v>
      </c>
      <c r="AA68" s="1390">
        <f t="shared" si="18"/>
        <v>0</v>
      </c>
      <c r="AB68" s="1510">
        <f t="shared" si="19"/>
        <v>0</v>
      </c>
      <c r="AC68" s="1394">
        <f t="shared" si="20"/>
        <v>0</v>
      </c>
      <c r="AD68" s="1510">
        <f t="shared" si="21"/>
        <v>0</v>
      </c>
      <c r="AE68" s="1395">
        <v>0</v>
      </c>
      <c r="AF68" s="1510">
        <f t="shared" si="22"/>
        <v>0</v>
      </c>
      <c r="AG68" s="1395"/>
      <c r="AH68" s="1395">
        <f t="shared" si="23"/>
        <v>0</v>
      </c>
      <c r="AI68" s="1510">
        <f t="shared" si="24"/>
        <v>0</v>
      </c>
      <c r="AJ68" s="1505">
        <f t="shared" si="25"/>
        <v>0</v>
      </c>
      <c r="AK68" s="1535">
        <f t="shared" si="26"/>
        <v>0</v>
      </c>
    </row>
    <row r="69" spans="1:37" ht="16.2" customHeight="1">
      <c r="A69" s="1176">
        <v>63</v>
      </c>
      <c r="B69" s="1177" t="s">
        <v>142</v>
      </c>
      <c r="C69" s="1178">
        <v>0</v>
      </c>
      <c r="D69" s="1179">
        <f>+'Table 5C1A-Madison Prep'!D69</f>
        <v>4124.3813481848092</v>
      </c>
      <c r="E69" s="1180">
        <f t="shared" si="5"/>
        <v>0</v>
      </c>
      <c r="F69" s="1180">
        <f>+'Table 5C1A-Madison Prep'!F69</f>
        <v>756.79</v>
      </c>
      <c r="G69" s="1180">
        <f t="shared" si="6"/>
        <v>0</v>
      </c>
      <c r="H69" s="1539">
        <f t="shared" si="7"/>
        <v>0</v>
      </c>
      <c r="I69" s="1181"/>
      <c r="J69" s="1181"/>
      <c r="K69" s="1182">
        <f t="shared" si="8"/>
        <v>0</v>
      </c>
      <c r="L69" s="1539">
        <f t="shared" si="9"/>
        <v>0</v>
      </c>
      <c r="M69" s="1388">
        <f t="shared" si="4"/>
        <v>0</v>
      </c>
      <c r="N69" s="1539">
        <f t="shared" si="10"/>
        <v>0</v>
      </c>
      <c r="O69" s="1179">
        <v>0</v>
      </c>
      <c r="P69" s="1545">
        <f t="shared" si="11"/>
        <v>0</v>
      </c>
      <c r="Q69" s="1181"/>
      <c r="R69" s="1181">
        <f t="shared" si="12"/>
        <v>0</v>
      </c>
      <c r="S69" s="1545">
        <f t="shared" si="13"/>
        <v>0</v>
      </c>
      <c r="T69" s="1545">
        <f t="shared" si="14"/>
        <v>0</v>
      </c>
      <c r="U69" s="1389">
        <f>'Table 5C1A-Madison Prep'!U69</f>
        <v>7290</v>
      </c>
      <c r="V69" s="1515">
        <f t="shared" si="15"/>
        <v>0</v>
      </c>
      <c r="W69" s="1391"/>
      <c r="X69" s="1392">
        <f t="shared" si="16"/>
        <v>0</v>
      </c>
      <c r="Y69" s="1391"/>
      <c r="Z69" s="1392">
        <f t="shared" si="17"/>
        <v>0</v>
      </c>
      <c r="AA69" s="1390">
        <f t="shared" si="18"/>
        <v>0</v>
      </c>
      <c r="AB69" s="1510">
        <f t="shared" si="19"/>
        <v>0</v>
      </c>
      <c r="AC69" s="1394">
        <f t="shared" si="20"/>
        <v>0</v>
      </c>
      <c r="AD69" s="1510">
        <f t="shared" si="21"/>
        <v>0</v>
      </c>
      <c r="AE69" s="1395">
        <v>0</v>
      </c>
      <c r="AF69" s="1510">
        <f t="shared" si="22"/>
        <v>0</v>
      </c>
      <c r="AG69" s="1395"/>
      <c r="AH69" s="1395">
        <f t="shared" si="23"/>
        <v>0</v>
      </c>
      <c r="AI69" s="1510">
        <f t="shared" si="24"/>
        <v>0</v>
      </c>
      <c r="AJ69" s="1505">
        <f t="shared" si="25"/>
        <v>0</v>
      </c>
      <c r="AK69" s="1535">
        <f t="shared" si="26"/>
        <v>0</v>
      </c>
    </row>
    <row r="70" spans="1:37" ht="16.2" customHeight="1">
      <c r="A70" s="1176">
        <v>64</v>
      </c>
      <c r="B70" s="1177" t="s">
        <v>143</v>
      </c>
      <c r="C70" s="1178">
        <v>0</v>
      </c>
      <c r="D70" s="1179">
        <f>+'Table 5C1A-Madison Prep'!D70</f>
        <v>6277.8307532778254</v>
      </c>
      <c r="E70" s="1180">
        <f t="shared" si="5"/>
        <v>0</v>
      </c>
      <c r="F70" s="1180">
        <f>+'Table 5C1A-Madison Prep'!F70</f>
        <v>592.66</v>
      </c>
      <c r="G70" s="1180">
        <f t="shared" si="6"/>
        <v>0</v>
      </c>
      <c r="H70" s="1539">
        <f t="shared" si="7"/>
        <v>0</v>
      </c>
      <c r="I70" s="1181"/>
      <c r="J70" s="1181"/>
      <c r="K70" s="1182">
        <f t="shared" si="8"/>
        <v>0</v>
      </c>
      <c r="L70" s="1539">
        <f t="shared" si="9"/>
        <v>0</v>
      </c>
      <c r="M70" s="1388">
        <f t="shared" si="4"/>
        <v>0</v>
      </c>
      <c r="N70" s="1539">
        <f t="shared" si="10"/>
        <v>0</v>
      </c>
      <c r="O70" s="1179">
        <v>0</v>
      </c>
      <c r="P70" s="1545">
        <f t="shared" si="11"/>
        <v>0</v>
      </c>
      <c r="Q70" s="1181"/>
      <c r="R70" s="1181">
        <f t="shared" si="12"/>
        <v>0</v>
      </c>
      <c r="S70" s="1545">
        <f t="shared" si="13"/>
        <v>0</v>
      </c>
      <c r="T70" s="1545">
        <f t="shared" si="14"/>
        <v>0</v>
      </c>
      <c r="U70" s="1389">
        <f>'Table 5C1A-Madison Prep'!U70</f>
        <v>2721</v>
      </c>
      <c r="V70" s="1515">
        <f t="shared" si="15"/>
        <v>0</v>
      </c>
      <c r="W70" s="1391"/>
      <c r="X70" s="1392">
        <f t="shared" si="16"/>
        <v>0</v>
      </c>
      <c r="Y70" s="1391"/>
      <c r="Z70" s="1392">
        <f t="shared" si="17"/>
        <v>0</v>
      </c>
      <c r="AA70" s="1390">
        <f t="shared" si="18"/>
        <v>0</v>
      </c>
      <c r="AB70" s="1510">
        <f t="shared" si="19"/>
        <v>0</v>
      </c>
      <c r="AC70" s="1394">
        <f t="shared" si="20"/>
        <v>0</v>
      </c>
      <c r="AD70" s="1510">
        <f t="shared" si="21"/>
        <v>0</v>
      </c>
      <c r="AE70" s="1395">
        <v>0</v>
      </c>
      <c r="AF70" s="1510">
        <f t="shared" si="22"/>
        <v>0</v>
      </c>
      <c r="AG70" s="1395"/>
      <c r="AH70" s="1395">
        <f t="shared" si="23"/>
        <v>0</v>
      </c>
      <c r="AI70" s="1510">
        <f t="shared" si="24"/>
        <v>0</v>
      </c>
      <c r="AJ70" s="1505">
        <f t="shared" si="25"/>
        <v>0</v>
      </c>
      <c r="AK70" s="1535">
        <f t="shared" si="26"/>
        <v>0</v>
      </c>
    </row>
    <row r="71" spans="1:37" ht="16.2" customHeight="1">
      <c r="A71" s="1168">
        <v>65</v>
      </c>
      <c r="B71" s="1169" t="s">
        <v>144</v>
      </c>
      <c r="C71" s="1170">
        <v>0</v>
      </c>
      <c r="D71" s="1171">
        <f>+'Table 5C1A-Madison Prep'!D71</f>
        <v>4775.1605543943642</v>
      </c>
      <c r="E71" s="1172">
        <f t="shared" si="5"/>
        <v>0</v>
      </c>
      <c r="F71" s="1172">
        <f>+'Table 5C1A-Madison Prep'!F71</f>
        <v>829.12</v>
      </c>
      <c r="G71" s="1172">
        <f t="shared" si="6"/>
        <v>0</v>
      </c>
      <c r="H71" s="1540">
        <f t="shared" si="7"/>
        <v>0</v>
      </c>
      <c r="I71" s="1173"/>
      <c r="J71" s="1173"/>
      <c r="K71" s="1174">
        <f t="shared" si="8"/>
        <v>0</v>
      </c>
      <c r="L71" s="1540">
        <f t="shared" si="9"/>
        <v>0</v>
      </c>
      <c r="M71" s="1399">
        <f t="shared" ref="M71:M74" si="27">-(0.25%*L71)</f>
        <v>0</v>
      </c>
      <c r="N71" s="1540">
        <f t="shared" si="10"/>
        <v>0</v>
      </c>
      <c r="O71" s="1171">
        <v>0</v>
      </c>
      <c r="P71" s="1546">
        <f t="shared" si="11"/>
        <v>0</v>
      </c>
      <c r="Q71" s="1173"/>
      <c r="R71" s="1173">
        <f t="shared" si="12"/>
        <v>0</v>
      </c>
      <c r="S71" s="1546">
        <f t="shared" si="13"/>
        <v>0</v>
      </c>
      <c r="T71" s="1546">
        <f t="shared" si="14"/>
        <v>0</v>
      </c>
      <c r="U71" s="1382">
        <f>'Table 5C1A-Madison Prep'!U71</f>
        <v>5110</v>
      </c>
      <c r="V71" s="1516">
        <f t="shared" si="15"/>
        <v>0</v>
      </c>
      <c r="W71" s="1400"/>
      <c r="X71" s="1383">
        <f t="shared" si="16"/>
        <v>0</v>
      </c>
      <c r="Y71" s="1400"/>
      <c r="Z71" s="1383">
        <f t="shared" si="17"/>
        <v>0</v>
      </c>
      <c r="AA71" s="1384">
        <f t="shared" si="18"/>
        <v>0</v>
      </c>
      <c r="AB71" s="1511">
        <f t="shared" si="19"/>
        <v>0</v>
      </c>
      <c r="AC71" s="1402">
        <f t="shared" si="20"/>
        <v>0</v>
      </c>
      <c r="AD71" s="1511">
        <f t="shared" si="21"/>
        <v>0</v>
      </c>
      <c r="AE71" s="1385">
        <v>0</v>
      </c>
      <c r="AF71" s="1511">
        <f t="shared" si="22"/>
        <v>0</v>
      </c>
      <c r="AG71" s="1385"/>
      <c r="AH71" s="1385">
        <f t="shared" si="23"/>
        <v>0</v>
      </c>
      <c r="AI71" s="1511">
        <f t="shared" si="24"/>
        <v>0</v>
      </c>
      <c r="AJ71" s="1531">
        <f t="shared" si="25"/>
        <v>0</v>
      </c>
      <c r="AK71" s="1536">
        <f t="shared" si="26"/>
        <v>0</v>
      </c>
    </row>
    <row r="72" spans="1:37" ht="16.2" customHeight="1">
      <c r="A72" s="1176">
        <v>66</v>
      </c>
      <c r="B72" s="1177" t="s">
        <v>145</v>
      </c>
      <c r="C72" s="1197">
        <v>0</v>
      </c>
      <c r="D72" s="1198">
        <f>+'Table 5C1A-Madison Prep'!D72</f>
        <v>6564.0085433910035</v>
      </c>
      <c r="E72" s="1199">
        <f t="shared" ref="E72:E75" si="28">C72*D72</f>
        <v>0</v>
      </c>
      <c r="F72" s="1199">
        <f>+'Table 5C1A-Madison Prep'!F72</f>
        <v>730.06</v>
      </c>
      <c r="G72" s="1199">
        <f t="shared" ref="G72:G75" si="29">C72*F72</f>
        <v>0</v>
      </c>
      <c r="H72" s="1403">
        <f t="shared" ref="H72:H75" si="30">E72+G72</f>
        <v>0</v>
      </c>
      <c r="I72" s="1200"/>
      <c r="J72" s="1200"/>
      <c r="K72" s="1201">
        <f t="shared" ref="K72:K75" si="31">+I72+J72</f>
        <v>0</v>
      </c>
      <c r="L72" s="1403">
        <f t="shared" ref="L72:L75" si="32">+H72+K72</f>
        <v>0</v>
      </c>
      <c r="M72" s="1423">
        <f t="shared" si="27"/>
        <v>0</v>
      </c>
      <c r="N72" s="1403">
        <f t="shared" ref="N72:N75" si="33">SUM(L72:M72)</f>
        <v>0</v>
      </c>
      <c r="O72" s="1198">
        <v>0</v>
      </c>
      <c r="P72" s="1398">
        <f t="shared" ref="P72:P75" si="34">SUM(N72:O72)</f>
        <v>0</v>
      </c>
      <c r="Q72" s="1200"/>
      <c r="R72" s="1200">
        <f t="shared" ref="R72:R75" si="35">+P72-Q72</f>
        <v>0</v>
      </c>
      <c r="S72" s="1398">
        <f t="shared" ref="S72:S75" si="36">ROUND(R72/12,0)</f>
        <v>0</v>
      </c>
      <c r="T72" s="1398">
        <f t="shared" ref="T72:T75" si="37">+P72</f>
        <v>0</v>
      </c>
      <c r="U72" s="1389">
        <f>'Table 5C1A-Madison Prep'!U72</f>
        <v>3369</v>
      </c>
      <c r="V72" s="1515">
        <f t="shared" ref="V72:V75" si="38">C72*U72</f>
        <v>0</v>
      </c>
      <c r="W72" s="1391"/>
      <c r="X72" s="1392">
        <f t="shared" ref="X72:X75" si="39">+U72*W72</f>
        <v>0</v>
      </c>
      <c r="Y72" s="1391"/>
      <c r="Z72" s="1392">
        <f t="shared" ref="Z72:Z75" si="40">+U72*Y72*0.5</f>
        <v>0</v>
      </c>
      <c r="AA72" s="1390">
        <f t="shared" ref="AA72:AA75" si="41">+X72+Z72</f>
        <v>0</v>
      </c>
      <c r="AB72" s="1510">
        <f t="shared" ref="AB72:AB75" si="42">+V72+AA72</f>
        <v>0</v>
      </c>
      <c r="AC72" s="1394">
        <f t="shared" ref="AC72:AC75" si="43">-(0.25%*AB72)</f>
        <v>0</v>
      </c>
      <c r="AD72" s="1510">
        <f t="shared" ref="AD72:AD75" si="44">SUM(AB72:AC72)</f>
        <v>0</v>
      </c>
      <c r="AE72" s="1395">
        <v>0</v>
      </c>
      <c r="AF72" s="1510">
        <f t="shared" ref="AF72:AF75" si="45">SUM(AD72:AE72)</f>
        <v>0</v>
      </c>
      <c r="AG72" s="1395"/>
      <c r="AH72" s="1395">
        <f t="shared" ref="AH72:AH75" si="46">+AF72-AG72</f>
        <v>0</v>
      </c>
      <c r="AI72" s="1510">
        <f t="shared" ref="AI72:AI75" si="47">ROUND(AH72/12,0)</f>
        <v>0</v>
      </c>
      <c r="AJ72" s="1505">
        <f t="shared" ref="AJ72:AJ75" si="48">T72+AF72</f>
        <v>0</v>
      </c>
      <c r="AK72" s="1505">
        <f t="shared" ref="AK72:AK75" si="49">S72+AI72</f>
        <v>0</v>
      </c>
    </row>
    <row r="73" spans="1:37" ht="16.2" customHeight="1">
      <c r="A73" s="1176">
        <v>67</v>
      </c>
      <c r="B73" s="1177" t="s">
        <v>30</v>
      </c>
      <c r="C73" s="1197">
        <v>0</v>
      </c>
      <c r="D73" s="1198">
        <f>+'Table 5C1A-Madison Prep'!D73</f>
        <v>5029.1467736134118</v>
      </c>
      <c r="E73" s="1199">
        <f t="shared" si="28"/>
        <v>0</v>
      </c>
      <c r="F73" s="1199">
        <f>+'Table 5C1A-Madison Prep'!F73</f>
        <v>715.61</v>
      </c>
      <c r="G73" s="1199">
        <f t="shared" si="29"/>
        <v>0</v>
      </c>
      <c r="H73" s="1403">
        <f t="shared" si="30"/>
        <v>0</v>
      </c>
      <c r="I73" s="1200"/>
      <c r="J73" s="1200"/>
      <c r="K73" s="1201">
        <f t="shared" si="31"/>
        <v>0</v>
      </c>
      <c r="L73" s="1403">
        <f t="shared" si="32"/>
        <v>0</v>
      </c>
      <c r="M73" s="1423">
        <f t="shared" si="27"/>
        <v>0</v>
      </c>
      <c r="N73" s="1403">
        <f t="shared" si="33"/>
        <v>0</v>
      </c>
      <c r="O73" s="1198">
        <v>0</v>
      </c>
      <c r="P73" s="1398">
        <f t="shared" si="34"/>
        <v>0</v>
      </c>
      <c r="Q73" s="1200"/>
      <c r="R73" s="1200">
        <f t="shared" si="35"/>
        <v>0</v>
      </c>
      <c r="S73" s="1398">
        <f t="shared" si="36"/>
        <v>0</v>
      </c>
      <c r="T73" s="1398">
        <f t="shared" si="37"/>
        <v>0</v>
      </c>
      <c r="U73" s="1389">
        <f>'Table 5C1A-Madison Prep'!U73</f>
        <v>5015</v>
      </c>
      <c r="V73" s="1515">
        <f t="shared" si="38"/>
        <v>0</v>
      </c>
      <c r="W73" s="1391"/>
      <c r="X73" s="1392">
        <f t="shared" si="39"/>
        <v>0</v>
      </c>
      <c r="Y73" s="1391"/>
      <c r="Z73" s="1392">
        <f t="shared" si="40"/>
        <v>0</v>
      </c>
      <c r="AA73" s="1390">
        <f t="shared" si="41"/>
        <v>0</v>
      </c>
      <c r="AB73" s="1510">
        <f t="shared" si="42"/>
        <v>0</v>
      </c>
      <c r="AC73" s="1394">
        <f t="shared" si="43"/>
        <v>0</v>
      </c>
      <c r="AD73" s="1510">
        <f t="shared" si="44"/>
        <v>0</v>
      </c>
      <c r="AE73" s="1395">
        <v>0</v>
      </c>
      <c r="AF73" s="1510">
        <f t="shared" si="45"/>
        <v>0</v>
      </c>
      <c r="AG73" s="1395"/>
      <c r="AH73" s="1395">
        <f t="shared" si="46"/>
        <v>0</v>
      </c>
      <c r="AI73" s="1510">
        <f t="shared" si="47"/>
        <v>0</v>
      </c>
      <c r="AJ73" s="1505">
        <f t="shared" si="48"/>
        <v>0</v>
      </c>
      <c r="AK73" s="1505">
        <f t="shared" si="49"/>
        <v>0</v>
      </c>
    </row>
    <row r="74" spans="1:37" ht="16.2" customHeight="1">
      <c r="A74" s="1176">
        <v>68</v>
      </c>
      <c r="B74" s="1177" t="s">
        <v>28</v>
      </c>
      <c r="C74" s="1197">
        <v>192</v>
      </c>
      <c r="D74" s="1198">
        <f>+'Table 5C1A-Madison Prep'!D74</f>
        <v>6390.1644202560601</v>
      </c>
      <c r="E74" s="1199">
        <f t="shared" si="28"/>
        <v>1226911.5686891635</v>
      </c>
      <c r="F74" s="1199">
        <f>+'Table 5C1A-Madison Prep'!F74</f>
        <v>798.7</v>
      </c>
      <c r="G74" s="1199">
        <f t="shared" si="29"/>
        <v>153350.40000000002</v>
      </c>
      <c r="H74" s="1403">
        <f t="shared" si="30"/>
        <v>1380261.9686891637</v>
      </c>
      <c r="I74" s="1200"/>
      <c r="J74" s="1200"/>
      <c r="K74" s="1201">
        <f t="shared" si="31"/>
        <v>0</v>
      </c>
      <c r="L74" s="1403">
        <f t="shared" si="32"/>
        <v>1380261.9686891637</v>
      </c>
      <c r="M74" s="1423">
        <f t="shared" si="27"/>
        <v>-3450.6549217229094</v>
      </c>
      <c r="N74" s="1403">
        <f t="shared" si="33"/>
        <v>1376811.3137674408</v>
      </c>
      <c r="O74" s="1198">
        <v>0</v>
      </c>
      <c r="P74" s="1398">
        <f t="shared" si="34"/>
        <v>1376811.3137674408</v>
      </c>
      <c r="Q74" s="1200"/>
      <c r="R74" s="1200">
        <f t="shared" si="35"/>
        <v>1376811.3137674408</v>
      </c>
      <c r="S74" s="1398">
        <f t="shared" si="36"/>
        <v>114734</v>
      </c>
      <c r="T74" s="1398">
        <f t="shared" si="37"/>
        <v>1376811.3137674408</v>
      </c>
      <c r="U74" s="1389">
        <f>'Table 5C1A-Madison Prep'!U74</f>
        <v>2669</v>
      </c>
      <c r="V74" s="1515">
        <f t="shared" si="38"/>
        <v>512448</v>
      </c>
      <c r="W74" s="1391"/>
      <c r="X74" s="1392">
        <f t="shared" si="39"/>
        <v>0</v>
      </c>
      <c r="Y74" s="1391"/>
      <c r="Z74" s="1392">
        <f t="shared" si="40"/>
        <v>0</v>
      </c>
      <c r="AA74" s="1390">
        <f t="shared" si="41"/>
        <v>0</v>
      </c>
      <c r="AB74" s="1510">
        <f t="shared" si="42"/>
        <v>512448</v>
      </c>
      <c r="AC74" s="1394">
        <f t="shared" si="43"/>
        <v>-1281.1200000000001</v>
      </c>
      <c r="AD74" s="1510">
        <f t="shared" si="44"/>
        <v>511166.88</v>
      </c>
      <c r="AE74" s="1395">
        <v>0</v>
      </c>
      <c r="AF74" s="1510">
        <f t="shared" si="45"/>
        <v>511166.88</v>
      </c>
      <c r="AG74" s="1395"/>
      <c r="AH74" s="1395">
        <f t="shared" si="46"/>
        <v>511166.88</v>
      </c>
      <c r="AI74" s="1510">
        <f t="shared" si="47"/>
        <v>42597</v>
      </c>
      <c r="AJ74" s="1505">
        <f t="shared" si="48"/>
        <v>1887978.193767441</v>
      </c>
      <c r="AK74" s="1505">
        <f t="shared" si="49"/>
        <v>157331</v>
      </c>
    </row>
    <row r="75" spans="1:37" ht="16.2" customHeight="1">
      <c r="A75" s="1190">
        <v>69</v>
      </c>
      <c r="B75" s="1191" t="s">
        <v>183</v>
      </c>
      <c r="C75" s="1192">
        <v>0</v>
      </c>
      <c r="D75" s="1193">
        <f>+'Table 5C1A-Madison Prep'!D75</f>
        <v>5722.4947921281337</v>
      </c>
      <c r="E75" s="1194">
        <f t="shared" si="28"/>
        <v>0</v>
      </c>
      <c r="F75" s="1194">
        <f>+'Table 5C1A-Madison Prep'!F75</f>
        <v>705.67</v>
      </c>
      <c r="G75" s="1194">
        <f t="shared" si="29"/>
        <v>0</v>
      </c>
      <c r="H75" s="1541">
        <f t="shared" si="30"/>
        <v>0</v>
      </c>
      <c r="I75" s="1195"/>
      <c r="J75" s="1195"/>
      <c r="K75" s="1196">
        <f t="shared" si="31"/>
        <v>0</v>
      </c>
      <c r="L75" s="1541">
        <f t="shared" si="32"/>
        <v>0</v>
      </c>
      <c r="M75" s="1405">
        <f>-(0.25%*L75)</f>
        <v>0</v>
      </c>
      <c r="N75" s="1541">
        <f t="shared" si="33"/>
        <v>0</v>
      </c>
      <c r="O75" s="1193">
        <v>0</v>
      </c>
      <c r="P75" s="1547">
        <f t="shared" si="34"/>
        <v>0</v>
      </c>
      <c r="Q75" s="1195"/>
      <c r="R75" s="1195">
        <f t="shared" si="35"/>
        <v>0</v>
      </c>
      <c r="S75" s="1547">
        <f t="shared" si="36"/>
        <v>0</v>
      </c>
      <c r="T75" s="1547">
        <f t="shared" si="37"/>
        <v>0</v>
      </c>
      <c r="U75" s="653">
        <f>'Table 5C1A-Madison Prep'!U75</f>
        <v>3394</v>
      </c>
      <c r="V75" s="1517">
        <f t="shared" si="38"/>
        <v>0</v>
      </c>
      <c r="W75" s="1407"/>
      <c r="X75" s="1408">
        <f t="shared" si="39"/>
        <v>0</v>
      </c>
      <c r="Y75" s="1407"/>
      <c r="Z75" s="1408">
        <f t="shared" si="40"/>
        <v>0</v>
      </c>
      <c r="AA75" s="1406">
        <f t="shared" si="41"/>
        <v>0</v>
      </c>
      <c r="AB75" s="1512">
        <f t="shared" si="42"/>
        <v>0</v>
      </c>
      <c r="AC75" s="1410">
        <f t="shared" si="43"/>
        <v>0</v>
      </c>
      <c r="AD75" s="1512">
        <f t="shared" si="44"/>
        <v>0</v>
      </c>
      <c r="AE75" s="1416">
        <v>0</v>
      </c>
      <c r="AF75" s="1512">
        <f t="shared" si="45"/>
        <v>0</v>
      </c>
      <c r="AG75" s="1416"/>
      <c r="AH75" s="1416">
        <f t="shared" si="46"/>
        <v>0</v>
      </c>
      <c r="AI75" s="1512">
        <f t="shared" si="47"/>
        <v>0</v>
      </c>
      <c r="AJ75" s="1506">
        <f t="shared" si="48"/>
        <v>0</v>
      </c>
      <c r="AK75" s="1506">
        <f t="shared" si="49"/>
        <v>0</v>
      </c>
    </row>
    <row r="76" spans="1:37" ht="16.2" customHeight="1" thickBot="1">
      <c r="A76" s="2221" t="s">
        <v>1045</v>
      </c>
      <c r="B76" s="2194"/>
      <c r="C76" s="470">
        <f>SUM(C7:C75)</f>
        <v>240</v>
      </c>
      <c r="D76" s="471">
        <f>+'Table 5C1A-Madison Prep'!D76</f>
        <v>4479.9292126977662</v>
      </c>
      <c r="E76" s="480">
        <f>SUM(E7:E75)</f>
        <v>1411773.8042582322</v>
      </c>
      <c r="F76" s="480">
        <f>+'Table 5C1A-Madison Prep'!F76</f>
        <v>704.64781030742063</v>
      </c>
      <c r="G76" s="480">
        <f t="shared" ref="G76:R76" si="50">SUM(G7:G75)</f>
        <v>193068.75447005048</v>
      </c>
      <c r="H76" s="1542">
        <f t="shared" si="50"/>
        <v>1604842.5587282828</v>
      </c>
      <c r="I76" s="640">
        <f t="shared" si="50"/>
        <v>0</v>
      </c>
      <c r="J76" s="640">
        <f t="shared" si="50"/>
        <v>0</v>
      </c>
      <c r="K76" s="616">
        <f t="shared" si="50"/>
        <v>0</v>
      </c>
      <c r="L76" s="1560">
        <f t="shared" si="50"/>
        <v>1604842.5587282828</v>
      </c>
      <c r="M76" s="481">
        <f t="shared" si="50"/>
        <v>-4012.1063968207072</v>
      </c>
      <c r="N76" s="1542">
        <f t="shared" si="50"/>
        <v>1600830.4523314622</v>
      </c>
      <c r="O76" s="471">
        <f t="shared" si="50"/>
        <v>0</v>
      </c>
      <c r="P76" s="1548">
        <f t="shared" si="50"/>
        <v>1600830.4523314622</v>
      </c>
      <c r="Q76" s="640"/>
      <c r="R76" s="640">
        <f t="shared" si="50"/>
        <v>1600830.4523314622</v>
      </c>
      <c r="S76" s="1548">
        <f>SUM(S7:S75)</f>
        <v>133402</v>
      </c>
      <c r="T76" s="1548">
        <f>SUM(T7:T75)</f>
        <v>1600830.4523314622</v>
      </c>
      <c r="U76" s="658">
        <f>'Table 5C1A-Madison Prep'!U76</f>
        <v>4663</v>
      </c>
      <c r="V76" s="1518">
        <f t="shared" ref="V76:AK76" si="51">SUM(V7:V75)</f>
        <v>801144</v>
      </c>
      <c r="W76" s="646">
        <f t="shared" si="51"/>
        <v>0</v>
      </c>
      <c r="X76" s="647">
        <f t="shared" si="51"/>
        <v>0</v>
      </c>
      <c r="Y76" s="646">
        <f t="shared" si="51"/>
        <v>0</v>
      </c>
      <c r="Z76" s="647">
        <f t="shared" si="51"/>
        <v>0</v>
      </c>
      <c r="AA76" s="633">
        <f t="shared" si="51"/>
        <v>0</v>
      </c>
      <c r="AB76" s="1520">
        <f t="shared" si="51"/>
        <v>801144</v>
      </c>
      <c r="AC76" s="482">
        <f t="shared" si="51"/>
        <v>-2002.8600000000001</v>
      </c>
      <c r="AD76" s="1518">
        <f t="shared" si="51"/>
        <v>799141.14</v>
      </c>
      <c r="AE76" s="660">
        <f t="shared" si="51"/>
        <v>0</v>
      </c>
      <c r="AF76" s="1518">
        <f t="shared" si="51"/>
        <v>799141.14</v>
      </c>
      <c r="AG76" s="647">
        <f t="shared" si="51"/>
        <v>0</v>
      </c>
      <c r="AH76" s="647">
        <f t="shared" si="51"/>
        <v>799141.14</v>
      </c>
      <c r="AI76" s="1518">
        <f t="shared" si="51"/>
        <v>66595</v>
      </c>
      <c r="AJ76" s="1532">
        <f t="shared" si="51"/>
        <v>2399971.5923314625</v>
      </c>
      <c r="AK76" s="1532">
        <f t="shared" si="51"/>
        <v>199997</v>
      </c>
    </row>
    <row r="77" spans="1:37" ht="16.2" customHeight="1" thickTop="1">
      <c r="A77" s="2330" t="s">
        <v>1039</v>
      </c>
      <c r="B77" s="2338"/>
      <c r="C77" s="1425"/>
      <c r="D77" s="1198"/>
      <c r="E77" s="1198"/>
      <c r="F77" s="1198"/>
      <c r="G77" s="1198"/>
      <c r="H77" s="1198"/>
      <c r="I77" s="1200"/>
      <c r="J77" s="1200"/>
      <c r="K77" s="1200"/>
      <c r="L77" s="1198"/>
      <c r="M77" s="1200"/>
      <c r="N77" s="1198"/>
      <c r="O77" s="1198"/>
      <c r="P77" s="1398">
        <f>'Table 4 Level 4'!$E112</f>
        <v>0</v>
      </c>
      <c r="Q77" s="1200"/>
      <c r="R77" s="1200">
        <f t="shared" ref="R77" si="52">+P77-Q77</f>
        <v>0</v>
      </c>
      <c r="S77" s="1398">
        <f t="shared" ref="S77" si="53">ROUND(R77/12,0)</f>
        <v>0</v>
      </c>
      <c r="T77" s="1398">
        <f>'Table 4 Level 4'!$E112</f>
        <v>0</v>
      </c>
      <c r="U77" s="1389"/>
      <c r="V77" s="1392"/>
      <c r="W77" s="1391"/>
      <c r="X77" s="1392"/>
      <c r="Y77" s="1391"/>
      <c r="Z77" s="1392"/>
      <c r="AA77" s="1392"/>
      <c r="AB77" s="1395"/>
      <c r="AC77" s="1392"/>
      <c r="AD77" s="1395"/>
      <c r="AE77" s="1395"/>
      <c r="AF77" s="1395"/>
      <c r="AG77" s="1395"/>
      <c r="AH77" s="1395"/>
      <c r="AI77" s="1395"/>
      <c r="AJ77" s="1505">
        <f t="shared" ref="AJ77:AJ81" si="54">T77+AF77</f>
        <v>0</v>
      </c>
      <c r="AK77" s="1505">
        <f t="shared" ref="AK77:AK81" si="55">S77+AI77</f>
        <v>0</v>
      </c>
    </row>
    <row r="78" spans="1:37" ht="16.2" customHeight="1">
      <c r="A78" s="2332" t="s">
        <v>1040</v>
      </c>
      <c r="B78" s="2339"/>
      <c r="C78" s="1425"/>
      <c r="D78" s="1198"/>
      <c r="E78" s="1198"/>
      <c r="F78" s="1198"/>
      <c r="G78" s="1198"/>
      <c r="H78" s="1198"/>
      <c r="I78" s="1200"/>
      <c r="J78" s="1200"/>
      <c r="K78" s="1200"/>
      <c r="L78" s="1198"/>
      <c r="M78" s="1200"/>
      <c r="N78" s="1198"/>
      <c r="O78" s="1198"/>
      <c r="P78" s="1200">
        <v>0</v>
      </c>
      <c r="Q78" s="1200"/>
      <c r="R78" s="1200"/>
      <c r="S78" s="1200">
        <v>0</v>
      </c>
      <c r="T78" s="1398">
        <f>'Table 4 Level 4'!$J112</f>
        <v>0</v>
      </c>
      <c r="U78" s="1389"/>
      <c r="V78" s="1392"/>
      <c r="W78" s="1391"/>
      <c r="X78" s="1392"/>
      <c r="Y78" s="1391"/>
      <c r="Z78" s="1392"/>
      <c r="AA78" s="1392"/>
      <c r="AB78" s="1395"/>
      <c r="AC78" s="1392"/>
      <c r="AD78" s="1395"/>
      <c r="AE78" s="1395"/>
      <c r="AF78" s="1395"/>
      <c r="AG78" s="1395"/>
      <c r="AH78" s="1395"/>
      <c r="AI78" s="1395"/>
      <c r="AJ78" s="1505">
        <f t="shared" si="54"/>
        <v>0</v>
      </c>
      <c r="AK78" s="1395"/>
    </row>
    <row r="79" spans="1:37" ht="16.2" customHeight="1">
      <c r="A79" s="2332" t="s">
        <v>1041</v>
      </c>
      <c r="B79" s="2339"/>
      <c r="C79" s="1425"/>
      <c r="D79" s="1198"/>
      <c r="E79" s="1198"/>
      <c r="F79" s="1198"/>
      <c r="G79" s="1198"/>
      <c r="H79" s="1198"/>
      <c r="I79" s="1200"/>
      <c r="J79" s="1200"/>
      <c r="K79" s="1200"/>
      <c r="L79" s="1198"/>
      <c r="M79" s="1200"/>
      <c r="N79" s="1198"/>
      <c r="O79" s="1198"/>
      <c r="P79" s="1200">
        <v>0</v>
      </c>
      <c r="Q79" s="1200"/>
      <c r="R79" s="1200"/>
      <c r="S79" s="1200">
        <v>0</v>
      </c>
      <c r="T79" s="1398">
        <f>'Table 4 Level 4'!$K112</f>
        <v>0</v>
      </c>
      <c r="U79" s="1389"/>
      <c r="V79" s="1392"/>
      <c r="W79" s="1391"/>
      <c r="X79" s="1392"/>
      <c r="Y79" s="1391"/>
      <c r="Z79" s="1392"/>
      <c r="AA79" s="1392"/>
      <c r="AB79" s="1395"/>
      <c r="AC79" s="1392"/>
      <c r="AD79" s="1395"/>
      <c r="AE79" s="1395"/>
      <c r="AF79" s="1395"/>
      <c r="AG79" s="1395"/>
      <c r="AH79" s="1395"/>
      <c r="AI79" s="1395"/>
      <c r="AJ79" s="1505">
        <f t="shared" si="54"/>
        <v>0</v>
      </c>
      <c r="AK79" s="1395"/>
    </row>
    <row r="80" spans="1:37" ht="16.2" customHeight="1">
      <c r="A80" s="2332" t="s">
        <v>1042</v>
      </c>
      <c r="B80" s="2339"/>
      <c r="C80" s="1425"/>
      <c r="D80" s="1198"/>
      <c r="E80" s="1198"/>
      <c r="F80" s="1198"/>
      <c r="G80" s="1198"/>
      <c r="H80" s="1198"/>
      <c r="I80" s="1200"/>
      <c r="J80" s="1200"/>
      <c r="K80" s="1200"/>
      <c r="L80" s="1198"/>
      <c r="M80" s="1200"/>
      <c r="N80" s="1198"/>
      <c r="O80" s="1198"/>
      <c r="P80" s="1200">
        <v>0</v>
      </c>
      <c r="Q80" s="1200"/>
      <c r="R80" s="1200"/>
      <c r="S80" s="1200">
        <v>0</v>
      </c>
      <c r="T80" s="1398">
        <f>'Table 4 Level 4'!$L112</f>
        <v>0</v>
      </c>
      <c r="U80" s="1389"/>
      <c r="V80" s="1392"/>
      <c r="W80" s="1391"/>
      <c r="X80" s="1392"/>
      <c r="Y80" s="1391"/>
      <c r="Z80" s="1392"/>
      <c r="AA80" s="1392"/>
      <c r="AB80" s="1395"/>
      <c r="AC80" s="1392"/>
      <c r="AD80" s="1395"/>
      <c r="AE80" s="1395"/>
      <c r="AF80" s="1395"/>
      <c r="AG80" s="1395"/>
      <c r="AH80" s="1395"/>
      <c r="AI80" s="1395"/>
      <c r="AJ80" s="1505">
        <f t="shared" si="54"/>
        <v>0</v>
      </c>
      <c r="AK80" s="1395"/>
    </row>
    <row r="81" spans="1:37" ht="16.2" customHeight="1">
      <c r="A81" s="2340" t="s">
        <v>1043</v>
      </c>
      <c r="B81" s="2341"/>
      <c r="C81" s="1417"/>
      <c r="D81" s="1193"/>
      <c r="E81" s="1193"/>
      <c r="F81" s="1193"/>
      <c r="G81" s="1193"/>
      <c r="H81" s="1193"/>
      <c r="I81" s="1195"/>
      <c r="J81" s="1195"/>
      <c r="K81" s="1195"/>
      <c r="L81" s="1193"/>
      <c r="M81" s="1195"/>
      <c r="N81" s="1193"/>
      <c r="O81" s="1193"/>
      <c r="P81" s="1547">
        <f>'Table 4 Level 4'!$N112</f>
        <v>0</v>
      </c>
      <c r="Q81" s="1195"/>
      <c r="R81" s="1195">
        <f t="shared" ref="R81" si="56">+P81-Q81</f>
        <v>0</v>
      </c>
      <c r="S81" s="1547">
        <f t="shared" ref="S81" si="57">ROUND(R81/12,0)</f>
        <v>0</v>
      </c>
      <c r="T81" s="1547">
        <f>'Table 4 Level 4'!$N112</f>
        <v>0</v>
      </c>
      <c r="U81" s="1418"/>
      <c r="V81" s="1408"/>
      <c r="W81" s="1407"/>
      <c r="X81" s="1408"/>
      <c r="Y81" s="1407"/>
      <c r="Z81" s="1408"/>
      <c r="AA81" s="1408"/>
      <c r="AB81" s="1416"/>
      <c r="AC81" s="1408"/>
      <c r="AD81" s="1416"/>
      <c r="AE81" s="1416"/>
      <c r="AF81" s="1416"/>
      <c r="AG81" s="1416"/>
      <c r="AH81" s="1416"/>
      <c r="AI81" s="1416"/>
      <c r="AJ81" s="1506">
        <f t="shared" si="54"/>
        <v>0</v>
      </c>
      <c r="AK81" s="1506">
        <f t="shared" si="55"/>
        <v>0</v>
      </c>
    </row>
    <row r="82" spans="1:37" ht="16.2" customHeight="1" thickBot="1">
      <c r="A82" s="2221" t="s">
        <v>1044</v>
      </c>
      <c r="B82" s="2194"/>
      <c r="C82" s="1052">
        <f>SUM(C76:C81)</f>
        <v>240</v>
      </c>
      <c r="D82" s="1046">
        <f t="shared" ref="D82:AK82" si="58">SUM(D76:D81)</f>
        <v>4479.9292126977662</v>
      </c>
      <c r="E82" s="1046">
        <f t="shared" si="58"/>
        <v>1411773.8042582322</v>
      </c>
      <c r="F82" s="1046">
        <f t="shared" si="58"/>
        <v>704.64781030742063</v>
      </c>
      <c r="G82" s="1046">
        <f t="shared" si="58"/>
        <v>193068.75447005048</v>
      </c>
      <c r="H82" s="1046">
        <f t="shared" si="58"/>
        <v>1604842.5587282828</v>
      </c>
      <c r="I82" s="1053">
        <f t="shared" si="58"/>
        <v>0</v>
      </c>
      <c r="J82" s="1053">
        <f t="shared" si="58"/>
        <v>0</v>
      </c>
      <c r="K82" s="1053">
        <f t="shared" si="58"/>
        <v>0</v>
      </c>
      <c r="L82" s="1046">
        <f t="shared" si="58"/>
        <v>1604842.5587282828</v>
      </c>
      <c r="M82" s="1053">
        <f t="shared" si="58"/>
        <v>-4012.1063968207072</v>
      </c>
      <c r="N82" s="1046">
        <f t="shared" si="58"/>
        <v>1600830.4523314622</v>
      </c>
      <c r="O82" s="1046">
        <f t="shared" si="58"/>
        <v>0</v>
      </c>
      <c r="P82" s="1549">
        <f t="shared" si="58"/>
        <v>1600830.4523314622</v>
      </c>
      <c r="Q82" s="1053">
        <f t="shared" si="58"/>
        <v>0</v>
      </c>
      <c r="R82" s="1053">
        <f t="shared" si="58"/>
        <v>1600830.4523314622</v>
      </c>
      <c r="S82" s="1549">
        <f t="shared" si="58"/>
        <v>133402</v>
      </c>
      <c r="T82" s="1549">
        <f t="shared" si="58"/>
        <v>1600830.4523314622</v>
      </c>
      <c r="U82" s="1058">
        <f t="shared" si="58"/>
        <v>4663</v>
      </c>
      <c r="V82" s="1055">
        <f t="shared" si="58"/>
        <v>801144</v>
      </c>
      <c r="W82" s="1057">
        <f t="shared" si="58"/>
        <v>0</v>
      </c>
      <c r="X82" s="1055">
        <f t="shared" si="58"/>
        <v>0</v>
      </c>
      <c r="Y82" s="1057">
        <f t="shared" si="58"/>
        <v>0</v>
      </c>
      <c r="Z82" s="1055">
        <f t="shared" si="58"/>
        <v>0</v>
      </c>
      <c r="AA82" s="1055">
        <f t="shared" si="58"/>
        <v>0</v>
      </c>
      <c r="AB82" s="1055">
        <f t="shared" si="58"/>
        <v>801144</v>
      </c>
      <c r="AC82" s="1055">
        <f t="shared" si="58"/>
        <v>-2002.8600000000001</v>
      </c>
      <c r="AD82" s="1055">
        <f t="shared" si="58"/>
        <v>799141.14</v>
      </c>
      <c r="AE82" s="1055">
        <f t="shared" si="58"/>
        <v>0</v>
      </c>
      <c r="AF82" s="1055">
        <f t="shared" si="58"/>
        <v>799141.14</v>
      </c>
      <c r="AG82" s="1055">
        <f t="shared" si="58"/>
        <v>0</v>
      </c>
      <c r="AH82" s="1055">
        <f t="shared" si="58"/>
        <v>799141.14</v>
      </c>
      <c r="AI82" s="1055">
        <f t="shared" si="58"/>
        <v>66595</v>
      </c>
      <c r="AJ82" s="1504">
        <f t="shared" si="58"/>
        <v>2399971.5923314625</v>
      </c>
      <c r="AK82" s="1504">
        <f t="shared" si="58"/>
        <v>199997</v>
      </c>
    </row>
    <row r="83" spans="1:37" ht="16.2" customHeight="1" thickTop="1"/>
    <row r="84" spans="1:37" ht="16.2" customHeight="1"/>
    <row r="85" spans="1:37" ht="16.2" customHeight="1"/>
    <row r="86" spans="1:37" ht="16.2" customHeight="1"/>
  </sheetData>
  <mergeCells count="45">
    <mergeCell ref="C2:H2"/>
    <mergeCell ref="A1:B4"/>
    <mergeCell ref="C1:L1"/>
    <mergeCell ref="AJ1:AJ4"/>
    <mergeCell ref="T3:T4"/>
    <mergeCell ref="M1:T1"/>
    <mergeCell ref="S3:S4"/>
    <mergeCell ref="AE3:AE4"/>
    <mergeCell ref="AF3:AF4"/>
    <mergeCell ref="W3:W4"/>
    <mergeCell ref="X3:X4"/>
    <mergeCell ref="Y3:Y4"/>
    <mergeCell ref="Z3:Z4"/>
    <mergeCell ref="AB3:AB4"/>
    <mergeCell ref="AD3:AD4"/>
    <mergeCell ref="AG3:AG4"/>
    <mergeCell ref="AH3:AH4"/>
    <mergeCell ref="AK1:AK4"/>
    <mergeCell ref="AI3:AI4"/>
    <mergeCell ref="I2:K2"/>
    <mergeCell ref="W2:AA2"/>
    <mergeCell ref="U1:AB1"/>
    <mergeCell ref="AC1:AI1"/>
    <mergeCell ref="U2:V2"/>
    <mergeCell ref="C3:C4"/>
    <mergeCell ref="D3:D4"/>
    <mergeCell ref="E3:E4"/>
    <mergeCell ref="U3:U4"/>
    <mergeCell ref="F3:F4"/>
    <mergeCell ref="G3:G4"/>
    <mergeCell ref="H3:H4"/>
    <mergeCell ref="I3:I4"/>
    <mergeCell ref="J3:J4"/>
    <mergeCell ref="N3:N4"/>
    <mergeCell ref="O3:O4"/>
    <mergeCell ref="P3:P4"/>
    <mergeCell ref="K3:K4"/>
    <mergeCell ref="L3:L4"/>
    <mergeCell ref="A82:B82"/>
    <mergeCell ref="A76:B76"/>
    <mergeCell ref="A77:B77"/>
    <mergeCell ref="A78:B78"/>
    <mergeCell ref="A79:B79"/>
    <mergeCell ref="A80:B80"/>
    <mergeCell ref="A81:B81"/>
  </mergeCells>
  <printOptions horizontalCentered="1"/>
  <pageMargins left="0.32" right="0.32" top="0.75" bottom="0.75" header="0.3" footer="0.3"/>
  <pageSetup paperSize="5" scale="60" firstPageNumber="56" orientation="portrait" r:id="rId1"/>
  <headerFooter>
    <oddHeader>&amp;L&amp;"Arial,Bold"&amp;20&amp;K000000Table 5C1-O: FY2014-15 MFP Budget Letter 
Impact Charter School</oddHeader>
    <oddFooter>&amp;R&amp;P</oddFooter>
  </headerFooter>
  <colBreaks count="3" manualBreakCount="3">
    <brk id="12" max="1048575" man="1"/>
    <brk id="20" max="1048575" man="1"/>
    <brk id="28" max="81"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6"/>
  <sheetViews>
    <sheetView view="pageBreakPreview" zoomScale="80" zoomScaleNormal="100" zoomScaleSheetLayoutView="80" workbookViewId="0">
      <pane xSplit="2" ySplit="6" topLeftCell="C7" activePane="bottomRight" state="frozen"/>
      <selection sqref="A1:H1"/>
      <selection pane="topRight" sqref="A1:H1"/>
      <selection pane="bottomLeft" sqref="A1:H1"/>
      <selection pane="bottomRight" sqref="A1:H1"/>
    </sheetView>
  </sheetViews>
  <sheetFormatPr defaultColWidth="8.88671875" defaultRowHeight="13.2"/>
  <cols>
    <col min="1" max="1" width="5" style="608" customWidth="1"/>
    <col min="2" max="2" width="37.6640625" style="608" customWidth="1"/>
    <col min="3" max="3" width="12.109375" style="608" customWidth="1"/>
    <col min="4" max="4" width="13.6640625" style="608" customWidth="1"/>
    <col min="5" max="5" width="9.88671875" style="608" customWidth="1"/>
    <col min="6" max="7" width="12.33203125" style="608" customWidth="1"/>
    <col min="8" max="8" width="11.5546875" style="608" customWidth="1"/>
    <col min="9" max="12" width="12" style="608" customWidth="1"/>
    <col min="13" max="13" width="10.88671875" style="608" bestFit="1" customWidth="1"/>
    <col min="14" max="14" width="13.109375" style="608" customWidth="1"/>
    <col min="15" max="15" width="13.44140625" style="608" bestFit="1" customWidth="1"/>
    <col min="16" max="16" width="14.6640625" style="608" customWidth="1"/>
    <col min="17" max="18" width="14" style="608" customWidth="1"/>
    <col min="19" max="19" width="10.6640625" style="608" customWidth="1"/>
    <col min="20" max="20" width="14.88671875" style="608" customWidth="1"/>
    <col min="21" max="22" width="14.5546875" style="608" customWidth="1"/>
    <col min="23" max="27" width="11.6640625" style="608" customWidth="1"/>
    <col min="28" max="28" width="14.44140625" style="608" bestFit="1" customWidth="1"/>
    <col min="29" max="29" width="10.5546875" style="608" customWidth="1"/>
    <col min="30" max="30" width="14.44140625" style="608" bestFit="1" customWidth="1"/>
    <col min="31" max="31" width="11.88671875" style="608" bestFit="1" customWidth="1"/>
    <col min="32" max="32" width="14.44140625" style="608" bestFit="1" customWidth="1"/>
    <col min="33" max="33" width="9.5546875" style="608" bestFit="1" customWidth="1"/>
    <col min="34" max="34" width="9.33203125" style="608" bestFit="1" customWidth="1"/>
    <col min="35" max="35" width="14.44140625" style="608" bestFit="1" customWidth="1"/>
    <col min="36" max="36" width="14.33203125" style="608" customWidth="1"/>
    <col min="37" max="37" width="14.44140625" style="608" bestFit="1" customWidth="1"/>
    <col min="38" max="16384" width="8.88671875" style="608"/>
  </cols>
  <sheetData>
    <row r="1" spans="1:37" ht="21.6" customHeight="1">
      <c r="A1" s="2367" t="s">
        <v>1003</v>
      </c>
      <c r="B1" s="2368"/>
      <c r="C1" s="2319" t="s">
        <v>1089</v>
      </c>
      <c r="D1" s="2320"/>
      <c r="E1" s="2320"/>
      <c r="F1" s="2320"/>
      <c r="G1" s="2320"/>
      <c r="H1" s="2320"/>
      <c r="I1" s="2320"/>
      <c r="J1" s="2320"/>
      <c r="K1" s="2320"/>
      <c r="L1" s="2321"/>
      <c r="M1" s="2349" t="s">
        <v>1089</v>
      </c>
      <c r="N1" s="2350"/>
      <c r="O1" s="2350"/>
      <c r="P1" s="2350"/>
      <c r="Q1" s="2350"/>
      <c r="R1" s="2350"/>
      <c r="S1" s="2350"/>
      <c r="T1" s="2351"/>
      <c r="U1" s="2268" t="s">
        <v>1247</v>
      </c>
      <c r="V1" s="2266"/>
      <c r="W1" s="2266"/>
      <c r="X1" s="2266"/>
      <c r="Y1" s="2266"/>
      <c r="Z1" s="2266"/>
      <c r="AA1" s="2266"/>
      <c r="AB1" s="2267"/>
      <c r="AC1" s="2268" t="s">
        <v>1247</v>
      </c>
      <c r="AD1" s="2266"/>
      <c r="AE1" s="2266"/>
      <c r="AF1" s="2266"/>
      <c r="AG1" s="2266"/>
      <c r="AH1" s="2266"/>
      <c r="AI1" s="2267"/>
      <c r="AJ1" s="2302" t="s">
        <v>1272</v>
      </c>
      <c r="AK1" s="2302" t="s">
        <v>1273</v>
      </c>
    </row>
    <row r="2" spans="1:37" ht="24.6" customHeight="1">
      <c r="A2" s="2369"/>
      <c r="B2" s="2370"/>
      <c r="C2" s="2379" t="s">
        <v>1284</v>
      </c>
      <c r="D2" s="2380"/>
      <c r="E2" s="2380"/>
      <c r="F2" s="2380"/>
      <c r="G2" s="2380"/>
      <c r="H2" s="2381"/>
      <c r="I2" s="2334" t="s">
        <v>531</v>
      </c>
      <c r="J2" s="2335"/>
      <c r="K2" s="2336"/>
      <c r="L2" s="1567"/>
      <c r="M2" s="1565"/>
      <c r="N2" s="1566"/>
      <c r="O2" s="1566"/>
      <c r="P2" s="1566"/>
      <c r="Q2" s="1566"/>
      <c r="R2" s="1566"/>
      <c r="S2" s="1566"/>
      <c r="T2" s="1567"/>
      <c r="U2" s="2377" t="s">
        <v>1284</v>
      </c>
      <c r="V2" s="2378"/>
      <c r="W2" s="2362" t="s">
        <v>531</v>
      </c>
      <c r="X2" s="2363"/>
      <c r="Y2" s="2363"/>
      <c r="Z2" s="2363"/>
      <c r="AA2" s="2364"/>
      <c r="AB2" s="1527"/>
      <c r="AC2" s="1525"/>
      <c r="AD2" s="1526"/>
      <c r="AE2" s="1526"/>
      <c r="AF2" s="1526"/>
      <c r="AG2" s="1526"/>
      <c r="AH2" s="1526"/>
      <c r="AI2" s="1527"/>
      <c r="AJ2" s="2303"/>
      <c r="AK2" s="2303"/>
    </row>
    <row r="3" spans="1:37" ht="148.94999999999999" customHeight="1">
      <c r="A3" s="2371"/>
      <c r="B3" s="2370"/>
      <c r="C3" s="2382" t="s">
        <v>1286</v>
      </c>
      <c r="D3" s="2318" t="s">
        <v>1110</v>
      </c>
      <c r="E3" s="2318" t="s">
        <v>384</v>
      </c>
      <c r="F3" s="2306" t="s">
        <v>546</v>
      </c>
      <c r="G3" s="2306" t="s">
        <v>330</v>
      </c>
      <c r="H3" s="2306" t="s">
        <v>547</v>
      </c>
      <c r="I3" s="2299" t="s">
        <v>770</v>
      </c>
      <c r="J3" s="2299" t="s">
        <v>769</v>
      </c>
      <c r="K3" s="2299" t="s">
        <v>538</v>
      </c>
      <c r="L3" s="2300" t="s">
        <v>548</v>
      </c>
      <c r="M3" s="1496" t="s">
        <v>333</v>
      </c>
      <c r="N3" s="2306" t="s">
        <v>545</v>
      </c>
      <c r="O3" s="2307" t="s">
        <v>1036</v>
      </c>
      <c r="P3" s="2306" t="s">
        <v>1056</v>
      </c>
      <c r="Q3" s="1537" t="s">
        <v>760</v>
      </c>
      <c r="R3" s="1537" t="s">
        <v>761</v>
      </c>
      <c r="S3" s="2308" t="s">
        <v>544</v>
      </c>
      <c r="T3" s="2308" t="s">
        <v>1057</v>
      </c>
      <c r="U3" s="2309" t="s">
        <v>1267</v>
      </c>
      <c r="V3" s="1507" t="s">
        <v>1268</v>
      </c>
      <c r="W3" s="2312" t="s">
        <v>1253</v>
      </c>
      <c r="X3" s="2312" t="s">
        <v>1251</v>
      </c>
      <c r="Y3" s="2312" t="s">
        <v>1254</v>
      </c>
      <c r="Z3" s="2312" t="s">
        <v>1252</v>
      </c>
      <c r="AA3" s="1498" t="s">
        <v>551</v>
      </c>
      <c r="AB3" s="2313" t="s">
        <v>1269</v>
      </c>
      <c r="AC3" s="1507" t="s">
        <v>1094</v>
      </c>
      <c r="AD3" s="2309" t="s">
        <v>1270</v>
      </c>
      <c r="AE3" s="2307" t="s">
        <v>1036</v>
      </c>
      <c r="AF3" s="2309" t="s">
        <v>1271</v>
      </c>
      <c r="AG3" s="2322" t="s">
        <v>981</v>
      </c>
      <c r="AH3" s="2322" t="s">
        <v>761</v>
      </c>
      <c r="AI3" s="2322" t="s">
        <v>1242</v>
      </c>
      <c r="AJ3" s="2304"/>
      <c r="AK3" s="2304"/>
    </row>
    <row r="4" spans="1:37" ht="19.95" customHeight="1">
      <c r="A4" s="2372"/>
      <c r="B4" s="2373"/>
      <c r="C4" s="2376"/>
      <c r="D4" s="2318"/>
      <c r="E4" s="2318"/>
      <c r="F4" s="2301"/>
      <c r="G4" s="2301"/>
      <c r="H4" s="2301"/>
      <c r="I4" s="2251"/>
      <c r="J4" s="2251"/>
      <c r="K4" s="2251"/>
      <c r="L4" s="2301"/>
      <c r="M4" s="1568">
        <v>2.5000000000000001E-3</v>
      </c>
      <c r="N4" s="2301"/>
      <c r="O4" s="2251"/>
      <c r="P4" s="2301"/>
      <c r="Q4" s="1497"/>
      <c r="R4" s="1497"/>
      <c r="S4" s="2301"/>
      <c r="T4" s="2301"/>
      <c r="U4" s="2280"/>
      <c r="V4" s="1508"/>
      <c r="W4" s="2251"/>
      <c r="X4" s="2251"/>
      <c r="Y4" s="2251"/>
      <c r="Z4" s="2251"/>
      <c r="AA4" s="1494"/>
      <c r="AB4" s="2280" t="s">
        <v>537</v>
      </c>
      <c r="AC4" s="1570">
        <v>2.5000000000000001E-3</v>
      </c>
      <c r="AD4" s="2280"/>
      <c r="AE4" s="2251"/>
      <c r="AF4" s="2280"/>
      <c r="AG4" s="2323"/>
      <c r="AH4" s="2323"/>
      <c r="AI4" s="2323"/>
      <c r="AJ4" s="2305"/>
      <c r="AK4" s="2305"/>
    </row>
    <row r="5" spans="1:37" ht="14.25" customHeight="1">
      <c r="A5" s="463"/>
      <c r="B5" s="464"/>
      <c r="C5" s="465">
        <v>1</v>
      </c>
      <c r="D5" s="465">
        <f t="shared" ref="D5" si="0">C5+1</f>
        <v>2</v>
      </c>
      <c r="E5" s="465">
        <f>D5+1</f>
        <v>3</v>
      </c>
      <c r="F5" s="465">
        <f t="shared" ref="F5:AK5" si="1">E5+1</f>
        <v>4</v>
      </c>
      <c r="G5" s="465">
        <f t="shared" si="1"/>
        <v>5</v>
      </c>
      <c r="H5" s="465">
        <f t="shared" si="1"/>
        <v>6</v>
      </c>
      <c r="I5" s="465">
        <f t="shared" si="1"/>
        <v>7</v>
      </c>
      <c r="J5" s="465">
        <f t="shared" si="1"/>
        <v>8</v>
      </c>
      <c r="K5" s="465">
        <f t="shared" si="1"/>
        <v>9</v>
      </c>
      <c r="L5" s="465">
        <f t="shared" si="1"/>
        <v>10</v>
      </c>
      <c r="M5" s="465">
        <f t="shared" si="1"/>
        <v>11</v>
      </c>
      <c r="N5" s="465">
        <f t="shared" si="1"/>
        <v>12</v>
      </c>
      <c r="O5" s="465">
        <f t="shared" si="1"/>
        <v>13</v>
      </c>
      <c r="P5" s="465">
        <f t="shared" si="1"/>
        <v>14</v>
      </c>
      <c r="Q5" s="465">
        <f t="shared" si="1"/>
        <v>15</v>
      </c>
      <c r="R5" s="465">
        <f t="shared" si="1"/>
        <v>16</v>
      </c>
      <c r="S5" s="465">
        <f t="shared" si="1"/>
        <v>17</v>
      </c>
      <c r="T5" s="465">
        <f t="shared" ref="T5" si="2">S5+1</f>
        <v>18</v>
      </c>
      <c r="U5" s="465">
        <f t="shared" ref="U5" si="3">T5+1</f>
        <v>19</v>
      </c>
      <c r="V5" s="465">
        <f t="shared" si="1"/>
        <v>20</v>
      </c>
      <c r="W5" s="465">
        <f t="shared" si="1"/>
        <v>21</v>
      </c>
      <c r="X5" s="465">
        <f t="shared" si="1"/>
        <v>22</v>
      </c>
      <c r="Y5" s="465">
        <f t="shared" si="1"/>
        <v>23</v>
      </c>
      <c r="Z5" s="465">
        <f t="shared" si="1"/>
        <v>24</v>
      </c>
      <c r="AA5" s="465">
        <f t="shared" si="1"/>
        <v>25</v>
      </c>
      <c r="AB5" s="465">
        <f t="shared" si="1"/>
        <v>26</v>
      </c>
      <c r="AC5" s="465">
        <f t="shared" si="1"/>
        <v>27</v>
      </c>
      <c r="AD5" s="465">
        <f t="shared" si="1"/>
        <v>28</v>
      </c>
      <c r="AE5" s="465">
        <f t="shared" si="1"/>
        <v>29</v>
      </c>
      <c r="AF5" s="465">
        <f t="shared" si="1"/>
        <v>30</v>
      </c>
      <c r="AG5" s="465">
        <f t="shared" si="1"/>
        <v>31</v>
      </c>
      <c r="AH5" s="465">
        <f t="shared" si="1"/>
        <v>32</v>
      </c>
      <c r="AI5" s="465">
        <f t="shared" si="1"/>
        <v>33</v>
      </c>
      <c r="AJ5" s="465">
        <f t="shared" si="1"/>
        <v>34</v>
      </c>
      <c r="AK5" s="465">
        <f t="shared" si="1"/>
        <v>35</v>
      </c>
    </row>
    <row r="6" spans="1:37" ht="27" hidden="1" customHeight="1">
      <c r="A6" s="472"/>
      <c r="B6" s="473"/>
      <c r="C6" s="473"/>
      <c r="D6" s="473"/>
      <c r="E6" s="473"/>
      <c r="F6" s="473"/>
      <c r="G6" s="473"/>
      <c r="H6" s="473"/>
      <c r="I6" s="615"/>
      <c r="J6" s="615"/>
      <c r="K6" s="615"/>
      <c r="L6" s="615"/>
      <c r="M6" s="473"/>
      <c r="N6" s="473"/>
      <c r="O6" s="473"/>
      <c r="P6" s="473"/>
      <c r="Q6" s="615"/>
      <c r="R6" s="615"/>
      <c r="S6" s="473"/>
      <c r="T6" s="473"/>
      <c r="U6" s="473"/>
      <c r="V6" s="473"/>
      <c r="W6" s="615"/>
      <c r="X6" s="615"/>
      <c r="Y6" s="615"/>
      <c r="Z6" s="615"/>
      <c r="AA6" s="615"/>
      <c r="AB6" s="615"/>
      <c r="AC6" s="473"/>
      <c r="AD6" s="473"/>
      <c r="AE6" s="473"/>
      <c r="AF6" s="473"/>
      <c r="AG6" s="615"/>
      <c r="AH6" s="615"/>
      <c r="AI6" s="473"/>
      <c r="AJ6" s="473"/>
      <c r="AK6" s="473"/>
    </row>
    <row r="7" spans="1:37" ht="16.2" customHeight="1">
      <c r="A7" s="1183">
        <v>1</v>
      </c>
      <c r="B7" s="1184" t="s">
        <v>81</v>
      </c>
      <c r="C7" s="1185">
        <v>0</v>
      </c>
      <c r="D7" s="1186">
        <f>+'Table 5C1A-Madison Prep'!D7</f>
        <v>4765.8584413349836</v>
      </c>
      <c r="E7" s="1187">
        <f>C7*D7</f>
        <v>0</v>
      </c>
      <c r="F7" s="1187">
        <f>+'Table 5C1A-Madison Prep'!F7</f>
        <v>777.48</v>
      </c>
      <c r="G7" s="1187">
        <f>C7*F7</f>
        <v>0</v>
      </c>
      <c r="H7" s="1538">
        <f>E7+G7</f>
        <v>0</v>
      </c>
      <c r="I7" s="1188"/>
      <c r="J7" s="1188"/>
      <c r="K7" s="1189">
        <f>+I7+J7</f>
        <v>0</v>
      </c>
      <c r="L7" s="1538">
        <f>+H7+K7</f>
        <v>0</v>
      </c>
      <c r="M7" s="1372">
        <f t="shared" ref="M7:M70" si="4">-(0.25%*L7)</f>
        <v>0</v>
      </c>
      <c r="N7" s="1538">
        <f>SUM(L7:M7)</f>
        <v>0</v>
      </c>
      <c r="O7" s="1186">
        <v>0</v>
      </c>
      <c r="P7" s="1544">
        <f>SUM(N7:O7)</f>
        <v>0</v>
      </c>
      <c r="Q7" s="1188"/>
      <c r="R7" s="1188">
        <f>+P7-Q7</f>
        <v>0</v>
      </c>
      <c r="S7" s="1544">
        <f>ROUND(R7/12,0)</f>
        <v>0</v>
      </c>
      <c r="T7" s="1544">
        <f>+P7</f>
        <v>0</v>
      </c>
      <c r="U7" s="1373">
        <f>'Table 5C1A-Madison Prep'!U7</f>
        <v>2409</v>
      </c>
      <c r="V7" s="1514">
        <f>C7*U7</f>
        <v>0</v>
      </c>
      <c r="W7" s="1375"/>
      <c r="X7" s="1376">
        <f>+U7*W7</f>
        <v>0</v>
      </c>
      <c r="Y7" s="1375"/>
      <c r="Z7" s="1376">
        <f>+U7*Y7*0.5</f>
        <v>0</v>
      </c>
      <c r="AA7" s="1374">
        <f>+X7+Z7</f>
        <v>0</v>
      </c>
      <c r="AB7" s="1509">
        <f>+V7+AA7</f>
        <v>0</v>
      </c>
      <c r="AC7" s="1378">
        <f>-(0.25%*AB7)</f>
        <v>0</v>
      </c>
      <c r="AD7" s="1509">
        <f>SUM(AB7:AC7)</f>
        <v>0</v>
      </c>
      <c r="AE7" s="1379">
        <v>0</v>
      </c>
      <c r="AF7" s="1509">
        <f>SUM(AD7:AE7)</f>
        <v>0</v>
      </c>
      <c r="AG7" s="1379"/>
      <c r="AH7" s="1379">
        <f>+AF7-AG7</f>
        <v>0</v>
      </c>
      <c r="AI7" s="1509">
        <f>ROUND(AH7/12,0)</f>
        <v>0</v>
      </c>
      <c r="AJ7" s="1530">
        <f>T7+AF7</f>
        <v>0</v>
      </c>
      <c r="AK7" s="1534">
        <f>S7+AI7</f>
        <v>0</v>
      </c>
    </row>
    <row r="8" spans="1:37" ht="16.2" customHeight="1">
      <c r="A8" s="1176">
        <v>2</v>
      </c>
      <c r="B8" s="1177" t="s">
        <v>82</v>
      </c>
      <c r="C8" s="1178">
        <v>0</v>
      </c>
      <c r="D8" s="1179">
        <f>+'Table 5C1A-Madison Prep'!D8</f>
        <v>6316.6266417386641</v>
      </c>
      <c r="E8" s="1180">
        <f t="shared" ref="E8:E71" si="5">C8*D8</f>
        <v>0</v>
      </c>
      <c r="F8" s="1180">
        <f>+'Table 5C1A-Madison Prep'!F8</f>
        <v>842.32</v>
      </c>
      <c r="G8" s="1180">
        <f t="shared" ref="G8:G71" si="6">C8*F8</f>
        <v>0</v>
      </c>
      <c r="H8" s="1539">
        <f t="shared" ref="H8:H71" si="7">E8+G8</f>
        <v>0</v>
      </c>
      <c r="I8" s="1181"/>
      <c r="J8" s="1181"/>
      <c r="K8" s="1182">
        <f t="shared" ref="K8:K71" si="8">+I8+J8</f>
        <v>0</v>
      </c>
      <c r="L8" s="1539">
        <f t="shared" ref="L8:L71" si="9">+H8+K8</f>
        <v>0</v>
      </c>
      <c r="M8" s="1388">
        <f t="shared" si="4"/>
        <v>0</v>
      </c>
      <c r="N8" s="1539">
        <f t="shared" ref="N8:N71" si="10">SUM(L8:M8)</f>
        <v>0</v>
      </c>
      <c r="O8" s="1179">
        <v>0</v>
      </c>
      <c r="P8" s="1545">
        <f t="shared" ref="P8:P71" si="11">SUM(N8:O8)</f>
        <v>0</v>
      </c>
      <c r="Q8" s="1181"/>
      <c r="R8" s="1181">
        <f t="shared" ref="R8:R71" si="12">+P8-Q8</f>
        <v>0</v>
      </c>
      <c r="S8" s="1545">
        <f t="shared" ref="S8:S71" si="13">ROUND(R8/12,0)</f>
        <v>0</v>
      </c>
      <c r="T8" s="1545">
        <f t="shared" ref="T8:T71" si="14">+P8</f>
        <v>0</v>
      </c>
      <c r="U8" s="1389">
        <f>'Table 5C1A-Madison Prep'!U8</f>
        <v>2829</v>
      </c>
      <c r="V8" s="1515">
        <f t="shared" ref="V8:V71" si="15">C8*U8</f>
        <v>0</v>
      </c>
      <c r="W8" s="1391"/>
      <c r="X8" s="1392">
        <f t="shared" ref="X8:X71" si="16">+U8*W8</f>
        <v>0</v>
      </c>
      <c r="Y8" s="1391"/>
      <c r="Z8" s="1392">
        <f t="shared" ref="Z8:Z71" si="17">+U8*Y8*0.5</f>
        <v>0</v>
      </c>
      <c r="AA8" s="1390">
        <f t="shared" ref="AA8:AA71" si="18">+X8+Z8</f>
        <v>0</v>
      </c>
      <c r="AB8" s="1510">
        <f t="shared" ref="AB8:AB71" si="19">+V8+AA8</f>
        <v>0</v>
      </c>
      <c r="AC8" s="1394">
        <f t="shared" ref="AC8:AC71" si="20">-(0.25%*AB8)</f>
        <v>0</v>
      </c>
      <c r="AD8" s="1510">
        <f t="shared" ref="AD8:AD71" si="21">SUM(AB8:AC8)</f>
        <v>0</v>
      </c>
      <c r="AE8" s="1395">
        <v>0</v>
      </c>
      <c r="AF8" s="1510">
        <f t="shared" ref="AF8:AF71" si="22">SUM(AD8:AE8)</f>
        <v>0</v>
      </c>
      <c r="AG8" s="1395"/>
      <c r="AH8" s="1395">
        <f t="shared" ref="AH8:AH71" si="23">+AF8-AG8</f>
        <v>0</v>
      </c>
      <c r="AI8" s="1510">
        <f t="shared" ref="AI8:AI71" si="24">ROUND(AH8/12,0)</f>
        <v>0</v>
      </c>
      <c r="AJ8" s="1505">
        <f t="shared" ref="AJ8:AJ71" si="25">T8+AF8</f>
        <v>0</v>
      </c>
      <c r="AK8" s="1535">
        <f t="shared" ref="AK8:AK71" si="26">S8+AI8</f>
        <v>0</v>
      </c>
    </row>
    <row r="9" spans="1:37" ht="16.2" customHeight="1">
      <c r="A9" s="1176">
        <v>3</v>
      </c>
      <c r="B9" s="1177" t="s">
        <v>83</v>
      </c>
      <c r="C9" s="1178">
        <v>0</v>
      </c>
      <c r="D9" s="1179">
        <f>+'Table 5C1A-Madison Prep'!D9</f>
        <v>4155.1862027396819</v>
      </c>
      <c r="E9" s="1180">
        <f t="shared" si="5"/>
        <v>0</v>
      </c>
      <c r="F9" s="1180">
        <f>+'Table 5C1A-Madison Prep'!F9</f>
        <v>596.84</v>
      </c>
      <c r="G9" s="1180">
        <f t="shared" si="6"/>
        <v>0</v>
      </c>
      <c r="H9" s="1539">
        <f t="shared" si="7"/>
        <v>0</v>
      </c>
      <c r="I9" s="1181"/>
      <c r="J9" s="1181"/>
      <c r="K9" s="1182">
        <f t="shared" si="8"/>
        <v>0</v>
      </c>
      <c r="L9" s="1539">
        <f t="shared" si="9"/>
        <v>0</v>
      </c>
      <c r="M9" s="1388">
        <f t="shared" si="4"/>
        <v>0</v>
      </c>
      <c r="N9" s="1539">
        <f t="shared" si="10"/>
        <v>0</v>
      </c>
      <c r="O9" s="1179">
        <v>0</v>
      </c>
      <c r="P9" s="1545">
        <f t="shared" si="11"/>
        <v>0</v>
      </c>
      <c r="Q9" s="1181"/>
      <c r="R9" s="1181">
        <f t="shared" si="12"/>
        <v>0</v>
      </c>
      <c r="S9" s="1545">
        <f t="shared" si="13"/>
        <v>0</v>
      </c>
      <c r="T9" s="1545">
        <f t="shared" si="14"/>
        <v>0</v>
      </c>
      <c r="U9" s="1389">
        <f>'Table 5C1A-Madison Prep'!U9</f>
        <v>5770</v>
      </c>
      <c r="V9" s="1515">
        <f t="shared" si="15"/>
        <v>0</v>
      </c>
      <c r="W9" s="1391"/>
      <c r="X9" s="1392">
        <f t="shared" si="16"/>
        <v>0</v>
      </c>
      <c r="Y9" s="1391"/>
      <c r="Z9" s="1392">
        <f t="shared" si="17"/>
        <v>0</v>
      </c>
      <c r="AA9" s="1390">
        <f t="shared" si="18"/>
        <v>0</v>
      </c>
      <c r="AB9" s="1510">
        <f t="shared" si="19"/>
        <v>0</v>
      </c>
      <c r="AC9" s="1394">
        <f t="shared" si="20"/>
        <v>0</v>
      </c>
      <c r="AD9" s="1510">
        <f t="shared" si="21"/>
        <v>0</v>
      </c>
      <c r="AE9" s="1395">
        <v>0</v>
      </c>
      <c r="AF9" s="1510">
        <f t="shared" si="22"/>
        <v>0</v>
      </c>
      <c r="AG9" s="1395"/>
      <c r="AH9" s="1395">
        <f t="shared" si="23"/>
        <v>0</v>
      </c>
      <c r="AI9" s="1510">
        <f t="shared" si="24"/>
        <v>0</v>
      </c>
      <c r="AJ9" s="1505">
        <f t="shared" si="25"/>
        <v>0</v>
      </c>
      <c r="AK9" s="1535">
        <f t="shared" si="26"/>
        <v>0</v>
      </c>
    </row>
    <row r="10" spans="1:37" ht="16.2" customHeight="1">
      <c r="A10" s="1176">
        <v>4</v>
      </c>
      <c r="B10" s="1177" t="s">
        <v>84</v>
      </c>
      <c r="C10" s="1178">
        <v>0</v>
      </c>
      <c r="D10" s="1179">
        <f>+'Table 5C1A-Madison Prep'!D10</f>
        <v>6119.0581446878568</v>
      </c>
      <c r="E10" s="1180">
        <f t="shared" si="5"/>
        <v>0</v>
      </c>
      <c r="F10" s="1180">
        <f>+'Table 5C1A-Madison Prep'!F10</f>
        <v>585.76</v>
      </c>
      <c r="G10" s="1180">
        <f t="shared" si="6"/>
        <v>0</v>
      </c>
      <c r="H10" s="1539">
        <f t="shared" si="7"/>
        <v>0</v>
      </c>
      <c r="I10" s="1181"/>
      <c r="J10" s="1181"/>
      <c r="K10" s="1182">
        <f t="shared" si="8"/>
        <v>0</v>
      </c>
      <c r="L10" s="1539">
        <f t="shared" si="9"/>
        <v>0</v>
      </c>
      <c r="M10" s="1388">
        <f t="shared" si="4"/>
        <v>0</v>
      </c>
      <c r="N10" s="1539">
        <f t="shared" si="10"/>
        <v>0</v>
      </c>
      <c r="O10" s="1179">
        <v>0</v>
      </c>
      <c r="P10" s="1545">
        <f t="shared" si="11"/>
        <v>0</v>
      </c>
      <c r="Q10" s="1181"/>
      <c r="R10" s="1181">
        <f t="shared" si="12"/>
        <v>0</v>
      </c>
      <c r="S10" s="1545">
        <f t="shared" si="13"/>
        <v>0</v>
      </c>
      <c r="T10" s="1545">
        <f t="shared" si="14"/>
        <v>0</v>
      </c>
      <c r="U10" s="1389">
        <f>'Table 5C1A-Madison Prep'!U10</f>
        <v>3287</v>
      </c>
      <c r="V10" s="1515">
        <f t="shared" si="15"/>
        <v>0</v>
      </c>
      <c r="W10" s="1391"/>
      <c r="X10" s="1392">
        <f t="shared" si="16"/>
        <v>0</v>
      </c>
      <c r="Y10" s="1391"/>
      <c r="Z10" s="1392">
        <f t="shared" si="17"/>
        <v>0</v>
      </c>
      <c r="AA10" s="1390">
        <f t="shared" si="18"/>
        <v>0</v>
      </c>
      <c r="AB10" s="1510">
        <f t="shared" si="19"/>
        <v>0</v>
      </c>
      <c r="AC10" s="1394">
        <f t="shared" si="20"/>
        <v>0</v>
      </c>
      <c r="AD10" s="1510">
        <f t="shared" si="21"/>
        <v>0</v>
      </c>
      <c r="AE10" s="1395">
        <v>0</v>
      </c>
      <c r="AF10" s="1510">
        <f t="shared" si="22"/>
        <v>0</v>
      </c>
      <c r="AG10" s="1395"/>
      <c r="AH10" s="1395">
        <f t="shared" si="23"/>
        <v>0</v>
      </c>
      <c r="AI10" s="1510">
        <f t="shared" si="24"/>
        <v>0</v>
      </c>
      <c r="AJ10" s="1505">
        <f t="shared" si="25"/>
        <v>0</v>
      </c>
      <c r="AK10" s="1535">
        <f t="shared" si="26"/>
        <v>0</v>
      </c>
    </row>
    <row r="11" spans="1:37" ht="16.2" customHeight="1">
      <c r="A11" s="1168">
        <v>5</v>
      </c>
      <c r="B11" s="1169" t="s">
        <v>85</v>
      </c>
      <c r="C11" s="1170">
        <v>0</v>
      </c>
      <c r="D11" s="1171">
        <f>+'Table 5C1A-Madison Prep'!D11</f>
        <v>5268.940566009911</v>
      </c>
      <c r="E11" s="1172">
        <f t="shared" si="5"/>
        <v>0</v>
      </c>
      <c r="F11" s="1172">
        <f>+'Table 5C1A-Madison Prep'!F11</f>
        <v>555.91</v>
      </c>
      <c r="G11" s="1172">
        <f t="shared" si="6"/>
        <v>0</v>
      </c>
      <c r="H11" s="1540">
        <f t="shared" si="7"/>
        <v>0</v>
      </c>
      <c r="I11" s="1173"/>
      <c r="J11" s="1173"/>
      <c r="K11" s="1174">
        <f t="shared" si="8"/>
        <v>0</v>
      </c>
      <c r="L11" s="1540">
        <f t="shared" si="9"/>
        <v>0</v>
      </c>
      <c r="M11" s="1399">
        <f t="shared" si="4"/>
        <v>0</v>
      </c>
      <c r="N11" s="1540">
        <f t="shared" si="10"/>
        <v>0</v>
      </c>
      <c r="O11" s="1171">
        <v>0</v>
      </c>
      <c r="P11" s="1546">
        <f t="shared" si="11"/>
        <v>0</v>
      </c>
      <c r="Q11" s="1173"/>
      <c r="R11" s="1173">
        <f t="shared" si="12"/>
        <v>0</v>
      </c>
      <c r="S11" s="1546">
        <f t="shared" si="13"/>
        <v>0</v>
      </c>
      <c r="T11" s="1546">
        <f t="shared" si="14"/>
        <v>0</v>
      </c>
      <c r="U11" s="1382">
        <f>'Table 5C1A-Madison Prep'!U11</f>
        <v>1921</v>
      </c>
      <c r="V11" s="1516">
        <f t="shared" si="15"/>
        <v>0</v>
      </c>
      <c r="W11" s="1400"/>
      <c r="X11" s="1383">
        <f t="shared" si="16"/>
        <v>0</v>
      </c>
      <c r="Y11" s="1400"/>
      <c r="Z11" s="1383">
        <f t="shared" si="17"/>
        <v>0</v>
      </c>
      <c r="AA11" s="1384">
        <f t="shared" si="18"/>
        <v>0</v>
      </c>
      <c r="AB11" s="1511">
        <f t="shared" si="19"/>
        <v>0</v>
      </c>
      <c r="AC11" s="1402">
        <f t="shared" si="20"/>
        <v>0</v>
      </c>
      <c r="AD11" s="1511">
        <f t="shared" si="21"/>
        <v>0</v>
      </c>
      <c r="AE11" s="1385">
        <v>0</v>
      </c>
      <c r="AF11" s="1511">
        <f t="shared" si="22"/>
        <v>0</v>
      </c>
      <c r="AG11" s="1385"/>
      <c r="AH11" s="1385">
        <f t="shared" si="23"/>
        <v>0</v>
      </c>
      <c r="AI11" s="1511">
        <f t="shared" si="24"/>
        <v>0</v>
      </c>
      <c r="AJ11" s="1531">
        <f t="shared" si="25"/>
        <v>0</v>
      </c>
      <c r="AK11" s="1536">
        <f t="shared" si="26"/>
        <v>0</v>
      </c>
    </row>
    <row r="12" spans="1:37" ht="16.2" customHeight="1">
      <c r="A12" s="1183">
        <v>6</v>
      </c>
      <c r="B12" s="1184" t="s">
        <v>86</v>
      </c>
      <c r="C12" s="1185">
        <v>0</v>
      </c>
      <c r="D12" s="1186">
        <f>+'Table 5C1A-Madison Prep'!D12</f>
        <v>5378.5086124955869</v>
      </c>
      <c r="E12" s="1187">
        <f t="shared" si="5"/>
        <v>0</v>
      </c>
      <c r="F12" s="1187">
        <f>+'Table 5C1A-Madison Prep'!F12</f>
        <v>545.4799999999999</v>
      </c>
      <c r="G12" s="1187">
        <f t="shared" si="6"/>
        <v>0</v>
      </c>
      <c r="H12" s="1538">
        <f t="shared" si="7"/>
        <v>0</v>
      </c>
      <c r="I12" s="1188"/>
      <c r="J12" s="1188"/>
      <c r="K12" s="1189">
        <f t="shared" si="8"/>
        <v>0</v>
      </c>
      <c r="L12" s="1538">
        <f t="shared" si="9"/>
        <v>0</v>
      </c>
      <c r="M12" s="1372">
        <f t="shared" si="4"/>
        <v>0</v>
      </c>
      <c r="N12" s="1538">
        <f t="shared" si="10"/>
        <v>0</v>
      </c>
      <c r="O12" s="1186">
        <v>0</v>
      </c>
      <c r="P12" s="1544">
        <f t="shared" si="11"/>
        <v>0</v>
      </c>
      <c r="Q12" s="1188"/>
      <c r="R12" s="1188">
        <f t="shared" si="12"/>
        <v>0</v>
      </c>
      <c r="S12" s="1544">
        <f t="shared" si="13"/>
        <v>0</v>
      </c>
      <c r="T12" s="1544">
        <f t="shared" si="14"/>
        <v>0</v>
      </c>
      <c r="U12" s="1373">
        <f>'Table 5C1A-Madison Prep'!U12</f>
        <v>3807</v>
      </c>
      <c r="V12" s="1514">
        <f t="shared" si="15"/>
        <v>0</v>
      </c>
      <c r="W12" s="1375"/>
      <c r="X12" s="1376">
        <f t="shared" si="16"/>
        <v>0</v>
      </c>
      <c r="Y12" s="1375"/>
      <c r="Z12" s="1376">
        <f t="shared" si="17"/>
        <v>0</v>
      </c>
      <c r="AA12" s="1374">
        <f t="shared" si="18"/>
        <v>0</v>
      </c>
      <c r="AB12" s="1509">
        <f t="shared" si="19"/>
        <v>0</v>
      </c>
      <c r="AC12" s="1378">
        <f t="shared" si="20"/>
        <v>0</v>
      </c>
      <c r="AD12" s="1509">
        <f t="shared" si="21"/>
        <v>0</v>
      </c>
      <c r="AE12" s="1379">
        <v>0</v>
      </c>
      <c r="AF12" s="1509">
        <f t="shared" si="22"/>
        <v>0</v>
      </c>
      <c r="AG12" s="1379"/>
      <c r="AH12" s="1379">
        <f t="shared" si="23"/>
        <v>0</v>
      </c>
      <c r="AI12" s="1509">
        <f t="shared" si="24"/>
        <v>0</v>
      </c>
      <c r="AJ12" s="1530">
        <f t="shared" si="25"/>
        <v>0</v>
      </c>
      <c r="AK12" s="1534">
        <f t="shared" si="26"/>
        <v>0</v>
      </c>
    </row>
    <row r="13" spans="1:37" ht="16.2" customHeight="1">
      <c r="A13" s="1176">
        <v>7</v>
      </c>
      <c r="B13" s="1177" t="s">
        <v>87</v>
      </c>
      <c r="C13" s="1178">
        <v>0</v>
      </c>
      <c r="D13" s="1179">
        <f>+'Table 5C1A-Madison Prep'!D13</f>
        <v>2243.0031963470319</v>
      </c>
      <c r="E13" s="1180">
        <f t="shared" si="5"/>
        <v>0</v>
      </c>
      <c r="F13" s="1180">
        <f>+'Table 5C1A-Madison Prep'!F13</f>
        <v>756.91999999999985</v>
      </c>
      <c r="G13" s="1180">
        <f t="shared" si="6"/>
        <v>0</v>
      </c>
      <c r="H13" s="1539">
        <f t="shared" si="7"/>
        <v>0</v>
      </c>
      <c r="I13" s="1181"/>
      <c r="J13" s="1181"/>
      <c r="K13" s="1182">
        <f t="shared" si="8"/>
        <v>0</v>
      </c>
      <c r="L13" s="1539">
        <f t="shared" si="9"/>
        <v>0</v>
      </c>
      <c r="M13" s="1388">
        <f t="shared" si="4"/>
        <v>0</v>
      </c>
      <c r="N13" s="1539">
        <f t="shared" si="10"/>
        <v>0</v>
      </c>
      <c r="O13" s="1179">
        <v>0</v>
      </c>
      <c r="P13" s="1545">
        <f t="shared" si="11"/>
        <v>0</v>
      </c>
      <c r="Q13" s="1181"/>
      <c r="R13" s="1181">
        <f t="shared" si="12"/>
        <v>0</v>
      </c>
      <c r="S13" s="1545">
        <f t="shared" si="13"/>
        <v>0</v>
      </c>
      <c r="T13" s="1545">
        <f t="shared" si="14"/>
        <v>0</v>
      </c>
      <c r="U13" s="1389">
        <f>'Table 5C1A-Madison Prep'!U13</f>
        <v>11888</v>
      </c>
      <c r="V13" s="1515">
        <f t="shared" si="15"/>
        <v>0</v>
      </c>
      <c r="W13" s="1391"/>
      <c r="X13" s="1392">
        <f t="shared" si="16"/>
        <v>0</v>
      </c>
      <c r="Y13" s="1391"/>
      <c r="Z13" s="1392">
        <f t="shared" si="17"/>
        <v>0</v>
      </c>
      <c r="AA13" s="1390">
        <f t="shared" si="18"/>
        <v>0</v>
      </c>
      <c r="AB13" s="1510">
        <f t="shared" si="19"/>
        <v>0</v>
      </c>
      <c r="AC13" s="1394">
        <f t="shared" si="20"/>
        <v>0</v>
      </c>
      <c r="AD13" s="1510">
        <f t="shared" si="21"/>
        <v>0</v>
      </c>
      <c r="AE13" s="1395">
        <v>0</v>
      </c>
      <c r="AF13" s="1510">
        <f t="shared" si="22"/>
        <v>0</v>
      </c>
      <c r="AG13" s="1395"/>
      <c r="AH13" s="1395">
        <f t="shared" si="23"/>
        <v>0</v>
      </c>
      <c r="AI13" s="1510">
        <f t="shared" si="24"/>
        <v>0</v>
      </c>
      <c r="AJ13" s="1505">
        <f t="shared" si="25"/>
        <v>0</v>
      </c>
      <c r="AK13" s="1535">
        <f t="shared" si="26"/>
        <v>0</v>
      </c>
    </row>
    <row r="14" spans="1:37" ht="16.2" customHeight="1">
      <c r="A14" s="1176">
        <v>8</v>
      </c>
      <c r="B14" s="1177" t="s">
        <v>88</v>
      </c>
      <c r="C14" s="1178">
        <v>0</v>
      </c>
      <c r="D14" s="1179">
        <f>+'Table 5C1A-Madison Prep'!D14</f>
        <v>4669.802459558854</v>
      </c>
      <c r="E14" s="1180">
        <f t="shared" si="5"/>
        <v>0</v>
      </c>
      <c r="F14" s="1180">
        <f>+'Table 5C1A-Madison Prep'!F14</f>
        <v>725.76</v>
      </c>
      <c r="G14" s="1180">
        <f t="shared" si="6"/>
        <v>0</v>
      </c>
      <c r="H14" s="1539">
        <f t="shared" si="7"/>
        <v>0</v>
      </c>
      <c r="I14" s="1181"/>
      <c r="J14" s="1181"/>
      <c r="K14" s="1182">
        <f t="shared" si="8"/>
        <v>0</v>
      </c>
      <c r="L14" s="1539">
        <f t="shared" si="9"/>
        <v>0</v>
      </c>
      <c r="M14" s="1388">
        <f t="shared" si="4"/>
        <v>0</v>
      </c>
      <c r="N14" s="1539">
        <f t="shared" si="10"/>
        <v>0</v>
      </c>
      <c r="O14" s="1179">
        <v>0</v>
      </c>
      <c r="P14" s="1545">
        <f t="shared" si="11"/>
        <v>0</v>
      </c>
      <c r="Q14" s="1181"/>
      <c r="R14" s="1181">
        <f t="shared" si="12"/>
        <v>0</v>
      </c>
      <c r="S14" s="1545">
        <f t="shared" si="13"/>
        <v>0</v>
      </c>
      <c r="T14" s="1545">
        <f t="shared" si="14"/>
        <v>0</v>
      </c>
      <c r="U14" s="1389">
        <f>'Table 5C1A-Madison Prep'!U14</f>
        <v>4024</v>
      </c>
      <c r="V14" s="1515">
        <f t="shared" si="15"/>
        <v>0</v>
      </c>
      <c r="W14" s="1391"/>
      <c r="X14" s="1392">
        <f t="shared" si="16"/>
        <v>0</v>
      </c>
      <c r="Y14" s="1391"/>
      <c r="Z14" s="1392">
        <f t="shared" si="17"/>
        <v>0</v>
      </c>
      <c r="AA14" s="1390">
        <f t="shared" si="18"/>
        <v>0</v>
      </c>
      <c r="AB14" s="1510">
        <f t="shared" si="19"/>
        <v>0</v>
      </c>
      <c r="AC14" s="1394">
        <f t="shared" si="20"/>
        <v>0</v>
      </c>
      <c r="AD14" s="1510">
        <f t="shared" si="21"/>
        <v>0</v>
      </c>
      <c r="AE14" s="1395">
        <v>0</v>
      </c>
      <c r="AF14" s="1510">
        <f t="shared" si="22"/>
        <v>0</v>
      </c>
      <c r="AG14" s="1395"/>
      <c r="AH14" s="1395">
        <f t="shared" si="23"/>
        <v>0</v>
      </c>
      <c r="AI14" s="1510">
        <f t="shared" si="24"/>
        <v>0</v>
      </c>
      <c r="AJ14" s="1505">
        <f t="shared" si="25"/>
        <v>0</v>
      </c>
      <c r="AK14" s="1535">
        <f t="shared" si="26"/>
        <v>0</v>
      </c>
    </row>
    <row r="15" spans="1:37" ht="16.2" customHeight="1">
      <c r="A15" s="1176">
        <v>9</v>
      </c>
      <c r="B15" s="1177" t="s">
        <v>89</v>
      </c>
      <c r="C15" s="1178">
        <v>0</v>
      </c>
      <c r="D15" s="1179">
        <f>+'Table 5C1A-Madison Prep'!D15</f>
        <v>4632.4615072045008</v>
      </c>
      <c r="E15" s="1180">
        <f t="shared" si="5"/>
        <v>0</v>
      </c>
      <c r="F15" s="1180">
        <f>+'Table 5C1A-Madison Prep'!F15</f>
        <v>744.76</v>
      </c>
      <c r="G15" s="1180">
        <f t="shared" si="6"/>
        <v>0</v>
      </c>
      <c r="H15" s="1539">
        <f t="shared" si="7"/>
        <v>0</v>
      </c>
      <c r="I15" s="1181"/>
      <c r="J15" s="1181"/>
      <c r="K15" s="1182">
        <f t="shared" si="8"/>
        <v>0</v>
      </c>
      <c r="L15" s="1539">
        <f t="shared" si="9"/>
        <v>0</v>
      </c>
      <c r="M15" s="1388">
        <f t="shared" si="4"/>
        <v>0</v>
      </c>
      <c r="N15" s="1539">
        <f t="shared" si="10"/>
        <v>0</v>
      </c>
      <c r="O15" s="1179">
        <v>0</v>
      </c>
      <c r="P15" s="1545">
        <f t="shared" si="11"/>
        <v>0</v>
      </c>
      <c r="Q15" s="1181"/>
      <c r="R15" s="1181">
        <f t="shared" si="12"/>
        <v>0</v>
      </c>
      <c r="S15" s="1545">
        <f t="shared" si="13"/>
        <v>0</v>
      </c>
      <c r="T15" s="1545">
        <f t="shared" si="14"/>
        <v>0</v>
      </c>
      <c r="U15" s="1389">
        <f>'Table 5C1A-Madison Prep'!U15</f>
        <v>4828</v>
      </c>
      <c r="V15" s="1515">
        <f t="shared" si="15"/>
        <v>0</v>
      </c>
      <c r="W15" s="1391"/>
      <c r="X15" s="1392">
        <f t="shared" si="16"/>
        <v>0</v>
      </c>
      <c r="Y15" s="1391"/>
      <c r="Z15" s="1392">
        <f t="shared" si="17"/>
        <v>0</v>
      </c>
      <c r="AA15" s="1390">
        <f t="shared" si="18"/>
        <v>0</v>
      </c>
      <c r="AB15" s="1510">
        <f t="shared" si="19"/>
        <v>0</v>
      </c>
      <c r="AC15" s="1394">
        <f t="shared" si="20"/>
        <v>0</v>
      </c>
      <c r="AD15" s="1510">
        <f t="shared" si="21"/>
        <v>0</v>
      </c>
      <c r="AE15" s="1395">
        <v>0</v>
      </c>
      <c r="AF15" s="1510">
        <f t="shared" si="22"/>
        <v>0</v>
      </c>
      <c r="AG15" s="1395"/>
      <c r="AH15" s="1395">
        <f t="shared" si="23"/>
        <v>0</v>
      </c>
      <c r="AI15" s="1510">
        <f t="shared" si="24"/>
        <v>0</v>
      </c>
      <c r="AJ15" s="1505">
        <f t="shared" si="25"/>
        <v>0</v>
      </c>
      <c r="AK15" s="1535">
        <f t="shared" si="26"/>
        <v>0</v>
      </c>
    </row>
    <row r="16" spans="1:37" ht="16.2" customHeight="1">
      <c r="A16" s="1168">
        <v>10</v>
      </c>
      <c r="B16" s="1169" t="s">
        <v>90</v>
      </c>
      <c r="C16" s="1170">
        <v>0</v>
      </c>
      <c r="D16" s="1171">
        <f>+'Table 5C1A-Madison Prep'!D16</f>
        <v>4384.374733918472</v>
      </c>
      <c r="E16" s="1172">
        <f t="shared" si="5"/>
        <v>0</v>
      </c>
      <c r="F16" s="1172">
        <f>+'Table 5C1A-Madison Prep'!F16</f>
        <v>608.04000000000008</v>
      </c>
      <c r="G16" s="1172">
        <f t="shared" si="6"/>
        <v>0</v>
      </c>
      <c r="H16" s="1540">
        <f t="shared" si="7"/>
        <v>0</v>
      </c>
      <c r="I16" s="1173"/>
      <c r="J16" s="1173"/>
      <c r="K16" s="1174">
        <f t="shared" si="8"/>
        <v>0</v>
      </c>
      <c r="L16" s="1540">
        <f t="shared" si="9"/>
        <v>0</v>
      </c>
      <c r="M16" s="1399">
        <f t="shared" si="4"/>
        <v>0</v>
      </c>
      <c r="N16" s="1540">
        <f t="shared" si="10"/>
        <v>0</v>
      </c>
      <c r="O16" s="1171">
        <v>0</v>
      </c>
      <c r="P16" s="1546">
        <f t="shared" si="11"/>
        <v>0</v>
      </c>
      <c r="Q16" s="1173"/>
      <c r="R16" s="1173">
        <f t="shared" si="12"/>
        <v>0</v>
      </c>
      <c r="S16" s="1546">
        <f t="shared" si="13"/>
        <v>0</v>
      </c>
      <c r="T16" s="1546">
        <f t="shared" si="14"/>
        <v>0</v>
      </c>
      <c r="U16" s="1382">
        <f>'Table 5C1A-Madison Prep'!U16</f>
        <v>4565</v>
      </c>
      <c r="V16" s="1516">
        <f t="shared" si="15"/>
        <v>0</v>
      </c>
      <c r="W16" s="1400"/>
      <c r="X16" s="1383">
        <f t="shared" si="16"/>
        <v>0</v>
      </c>
      <c r="Y16" s="1400"/>
      <c r="Z16" s="1383">
        <f t="shared" si="17"/>
        <v>0</v>
      </c>
      <c r="AA16" s="1384">
        <f t="shared" si="18"/>
        <v>0</v>
      </c>
      <c r="AB16" s="1511">
        <f t="shared" si="19"/>
        <v>0</v>
      </c>
      <c r="AC16" s="1402">
        <f t="shared" si="20"/>
        <v>0</v>
      </c>
      <c r="AD16" s="1511">
        <f t="shared" si="21"/>
        <v>0</v>
      </c>
      <c r="AE16" s="1385">
        <v>0</v>
      </c>
      <c r="AF16" s="1511">
        <f t="shared" si="22"/>
        <v>0</v>
      </c>
      <c r="AG16" s="1385"/>
      <c r="AH16" s="1385">
        <f t="shared" si="23"/>
        <v>0</v>
      </c>
      <c r="AI16" s="1511">
        <f t="shared" si="24"/>
        <v>0</v>
      </c>
      <c r="AJ16" s="1531">
        <f t="shared" si="25"/>
        <v>0</v>
      </c>
      <c r="AK16" s="1536">
        <f t="shared" si="26"/>
        <v>0</v>
      </c>
    </row>
    <row r="17" spans="1:37" ht="16.2" customHeight="1">
      <c r="A17" s="1183">
        <v>11</v>
      </c>
      <c r="B17" s="1184" t="s">
        <v>91</v>
      </c>
      <c r="C17" s="1185">
        <v>0</v>
      </c>
      <c r="D17" s="1186">
        <f>+'Table 5C1A-Madison Prep'!D17</f>
        <v>7098.5372236353351</v>
      </c>
      <c r="E17" s="1187">
        <f t="shared" si="5"/>
        <v>0</v>
      </c>
      <c r="F17" s="1187">
        <f>+'Table 5C1A-Madison Prep'!F17</f>
        <v>706.55</v>
      </c>
      <c r="G17" s="1187">
        <f t="shared" si="6"/>
        <v>0</v>
      </c>
      <c r="H17" s="1538">
        <f t="shared" si="7"/>
        <v>0</v>
      </c>
      <c r="I17" s="1188"/>
      <c r="J17" s="1188"/>
      <c r="K17" s="1189">
        <f t="shared" si="8"/>
        <v>0</v>
      </c>
      <c r="L17" s="1538">
        <f t="shared" si="9"/>
        <v>0</v>
      </c>
      <c r="M17" s="1372">
        <f t="shared" si="4"/>
        <v>0</v>
      </c>
      <c r="N17" s="1538">
        <f t="shared" si="10"/>
        <v>0</v>
      </c>
      <c r="O17" s="1186">
        <v>0</v>
      </c>
      <c r="P17" s="1544">
        <f t="shared" si="11"/>
        <v>0</v>
      </c>
      <c r="Q17" s="1188"/>
      <c r="R17" s="1188">
        <f t="shared" si="12"/>
        <v>0</v>
      </c>
      <c r="S17" s="1544">
        <f t="shared" si="13"/>
        <v>0</v>
      </c>
      <c r="T17" s="1544">
        <f t="shared" si="14"/>
        <v>0</v>
      </c>
      <c r="U17" s="1373">
        <f>'Table 5C1A-Madison Prep'!U17</f>
        <v>3587</v>
      </c>
      <c r="V17" s="1514">
        <f t="shared" si="15"/>
        <v>0</v>
      </c>
      <c r="W17" s="1375"/>
      <c r="X17" s="1376">
        <f t="shared" si="16"/>
        <v>0</v>
      </c>
      <c r="Y17" s="1375"/>
      <c r="Z17" s="1376">
        <f t="shared" si="17"/>
        <v>0</v>
      </c>
      <c r="AA17" s="1374">
        <f t="shared" si="18"/>
        <v>0</v>
      </c>
      <c r="AB17" s="1509">
        <f t="shared" si="19"/>
        <v>0</v>
      </c>
      <c r="AC17" s="1378">
        <f t="shared" si="20"/>
        <v>0</v>
      </c>
      <c r="AD17" s="1509">
        <f t="shared" si="21"/>
        <v>0</v>
      </c>
      <c r="AE17" s="1379">
        <v>0</v>
      </c>
      <c r="AF17" s="1509">
        <f t="shared" si="22"/>
        <v>0</v>
      </c>
      <c r="AG17" s="1379"/>
      <c r="AH17" s="1379">
        <f t="shared" si="23"/>
        <v>0</v>
      </c>
      <c r="AI17" s="1509">
        <f t="shared" si="24"/>
        <v>0</v>
      </c>
      <c r="AJ17" s="1530">
        <f t="shared" si="25"/>
        <v>0</v>
      </c>
      <c r="AK17" s="1534">
        <f t="shared" si="26"/>
        <v>0</v>
      </c>
    </row>
    <row r="18" spans="1:37" ht="16.2" customHeight="1">
      <c r="A18" s="1176">
        <v>12</v>
      </c>
      <c r="B18" s="1177" t="s">
        <v>92</v>
      </c>
      <c r="C18" s="1178">
        <v>0</v>
      </c>
      <c r="D18" s="1179">
        <f>+'Table 5C1A-Madison Prep'!D18</f>
        <v>1666.6040983606558</v>
      </c>
      <c r="E18" s="1180">
        <f t="shared" si="5"/>
        <v>0</v>
      </c>
      <c r="F18" s="1180">
        <f>+'Table 5C1A-Madison Prep'!F18</f>
        <v>1063.31</v>
      </c>
      <c r="G18" s="1180">
        <f t="shared" si="6"/>
        <v>0</v>
      </c>
      <c r="H18" s="1539">
        <f t="shared" si="7"/>
        <v>0</v>
      </c>
      <c r="I18" s="1181"/>
      <c r="J18" s="1181"/>
      <c r="K18" s="1182">
        <f t="shared" si="8"/>
        <v>0</v>
      </c>
      <c r="L18" s="1539">
        <f t="shared" si="9"/>
        <v>0</v>
      </c>
      <c r="M18" s="1388">
        <f t="shared" si="4"/>
        <v>0</v>
      </c>
      <c r="N18" s="1539">
        <f t="shared" si="10"/>
        <v>0</v>
      </c>
      <c r="O18" s="1179">
        <v>0</v>
      </c>
      <c r="P18" s="1545">
        <f t="shared" si="11"/>
        <v>0</v>
      </c>
      <c r="Q18" s="1181"/>
      <c r="R18" s="1181">
        <f t="shared" si="12"/>
        <v>0</v>
      </c>
      <c r="S18" s="1545">
        <f t="shared" si="13"/>
        <v>0</v>
      </c>
      <c r="T18" s="1545">
        <f t="shared" si="14"/>
        <v>0</v>
      </c>
      <c r="U18" s="1389">
        <f>'Table 5C1A-Madison Prep'!U18</f>
        <v>8094</v>
      </c>
      <c r="V18" s="1515">
        <f t="shared" si="15"/>
        <v>0</v>
      </c>
      <c r="W18" s="1391"/>
      <c r="X18" s="1392">
        <f t="shared" si="16"/>
        <v>0</v>
      </c>
      <c r="Y18" s="1391"/>
      <c r="Z18" s="1392">
        <f t="shared" si="17"/>
        <v>0</v>
      </c>
      <c r="AA18" s="1390">
        <f t="shared" si="18"/>
        <v>0</v>
      </c>
      <c r="AB18" s="1510">
        <f t="shared" si="19"/>
        <v>0</v>
      </c>
      <c r="AC18" s="1394">
        <f t="shared" si="20"/>
        <v>0</v>
      </c>
      <c r="AD18" s="1510">
        <f t="shared" si="21"/>
        <v>0</v>
      </c>
      <c r="AE18" s="1395">
        <v>0</v>
      </c>
      <c r="AF18" s="1510">
        <f t="shared" si="22"/>
        <v>0</v>
      </c>
      <c r="AG18" s="1395"/>
      <c r="AH18" s="1395">
        <f t="shared" si="23"/>
        <v>0</v>
      </c>
      <c r="AI18" s="1510">
        <f t="shared" si="24"/>
        <v>0</v>
      </c>
      <c r="AJ18" s="1505">
        <f t="shared" si="25"/>
        <v>0</v>
      </c>
      <c r="AK18" s="1535">
        <f t="shared" si="26"/>
        <v>0</v>
      </c>
    </row>
    <row r="19" spans="1:37" ht="16.2" customHeight="1">
      <c r="A19" s="1176">
        <v>13</v>
      </c>
      <c r="B19" s="1177" t="s">
        <v>93</v>
      </c>
      <c r="C19" s="1178">
        <v>0</v>
      </c>
      <c r="D19" s="1179">
        <f>+'Table 5C1A-Madison Prep'!D19</f>
        <v>6433.6297758332212</v>
      </c>
      <c r="E19" s="1180">
        <f t="shared" si="5"/>
        <v>0</v>
      </c>
      <c r="F19" s="1180">
        <f>+'Table 5C1A-Madison Prep'!F19</f>
        <v>749.43000000000006</v>
      </c>
      <c r="G19" s="1180">
        <f t="shared" si="6"/>
        <v>0</v>
      </c>
      <c r="H19" s="1539">
        <f t="shared" si="7"/>
        <v>0</v>
      </c>
      <c r="I19" s="1181"/>
      <c r="J19" s="1181"/>
      <c r="K19" s="1182">
        <f t="shared" si="8"/>
        <v>0</v>
      </c>
      <c r="L19" s="1539">
        <f t="shared" si="9"/>
        <v>0</v>
      </c>
      <c r="M19" s="1388">
        <f t="shared" si="4"/>
        <v>0</v>
      </c>
      <c r="N19" s="1539">
        <f t="shared" si="10"/>
        <v>0</v>
      </c>
      <c r="O19" s="1179">
        <v>0</v>
      </c>
      <c r="P19" s="1545">
        <f t="shared" si="11"/>
        <v>0</v>
      </c>
      <c r="Q19" s="1181"/>
      <c r="R19" s="1181">
        <f t="shared" si="12"/>
        <v>0</v>
      </c>
      <c r="S19" s="1545">
        <f t="shared" si="13"/>
        <v>0</v>
      </c>
      <c r="T19" s="1545">
        <f t="shared" si="14"/>
        <v>0</v>
      </c>
      <c r="U19" s="1389">
        <f>'Table 5C1A-Madison Prep'!U19</f>
        <v>2842</v>
      </c>
      <c r="V19" s="1515">
        <f t="shared" si="15"/>
        <v>0</v>
      </c>
      <c r="W19" s="1391"/>
      <c r="X19" s="1392">
        <f t="shared" si="16"/>
        <v>0</v>
      </c>
      <c r="Y19" s="1391"/>
      <c r="Z19" s="1392">
        <f t="shared" si="17"/>
        <v>0</v>
      </c>
      <c r="AA19" s="1390">
        <f t="shared" si="18"/>
        <v>0</v>
      </c>
      <c r="AB19" s="1510">
        <f t="shared" si="19"/>
        <v>0</v>
      </c>
      <c r="AC19" s="1394">
        <f t="shared" si="20"/>
        <v>0</v>
      </c>
      <c r="AD19" s="1510">
        <f t="shared" si="21"/>
        <v>0</v>
      </c>
      <c r="AE19" s="1395">
        <v>0</v>
      </c>
      <c r="AF19" s="1510">
        <f t="shared" si="22"/>
        <v>0</v>
      </c>
      <c r="AG19" s="1395"/>
      <c r="AH19" s="1395">
        <f t="shared" si="23"/>
        <v>0</v>
      </c>
      <c r="AI19" s="1510">
        <f t="shared" si="24"/>
        <v>0</v>
      </c>
      <c r="AJ19" s="1505">
        <f t="shared" si="25"/>
        <v>0</v>
      </c>
      <c r="AK19" s="1535">
        <f t="shared" si="26"/>
        <v>0</v>
      </c>
    </row>
    <row r="20" spans="1:37" ht="16.2" customHeight="1">
      <c r="A20" s="1176">
        <v>14</v>
      </c>
      <c r="B20" s="1177" t="s">
        <v>94</v>
      </c>
      <c r="C20" s="1178">
        <v>0</v>
      </c>
      <c r="D20" s="1179">
        <f>+'Table 5C1A-Madison Prep'!D20</f>
        <v>5334.9509412500001</v>
      </c>
      <c r="E20" s="1180">
        <f t="shared" si="5"/>
        <v>0</v>
      </c>
      <c r="F20" s="1180">
        <f>+'Table 5C1A-Madison Prep'!F20</f>
        <v>809.9799999999999</v>
      </c>
      <c r="G20" s="1180">
        <f t="shared" si="6"/>
        <v>0</v>
      </c>
      <c r="H20" s="1539">
        <f t="shared" si="7"/>
        <v>0</v>
      </c>
      <c r="I20" s="1181"/>
      <c r="J20" s="1181"/>
      <c r="K20" s="1182">
        <f t="shared" si="8"/>
        <v>0</v>
      </c>
      <c r="L20" s="1539">
        <f t="shared" si="9"/>
        <v>0</v>
      </c>
      <c r="M20" s="1388">
        <f t="shared" si="4"/>
        <v>0</v>
      </c>
      <c r="N20" s="1539">
        <f t="shared" si="10"/>
        <v>0</v>
      </c>
      <c r="O20" s="1179">
        <v>0</v>
      </c>
      <c r="P20" s="1545">
        <f t="shared" si="11"/>
        <v>0</v>
      </c>
      <c r="Q20" s="1181"/>
      <c r="R20" s="1181">
        <f t="shared" si="12"/>
        <v>0</v>
      </c>
      <c r="S20" s="1545">
        <f t="shared" si="13"/>
        <v>0</v>
      </c>
      <c r="T20" s="1545">
        <f t="shared" si="14"/>
        <v>0</v>
      </c>
      <c r="U20" s="1389">
        <f>'Table 5C1A-Madison Prep'!U20</f>
        <v>4205</v>
      </c>
      <c r="V20" s="1515">
        <f t="shared" si="15"/>
        <v>0</v>
      </c>
      <c r="W20" s="1391"/>
      <c r="X20" s="1392">
        <f t="shared" si="16"/>
        <v>0</v>
      </c>
      <c r="Y20" s="1391"/>
      <c r="Z20" s="1392">
        <f t="shared" si="17"/>
        <v>0</v>
      </c>
      <c r="AA20" s="1390">
        <f t="shared" si="18"/>
        <v>0</v>
      </c>
      <c r="AB20" s="1510">
        <f t="shared" si="19"/>
        <v>0</v>
      </c>
      <c r="AC20" s="1394">
        <f t="shared" si="20"/>
        <v>0</v>
      </c>
      <c r="AD20" s="1510">
        <f t="shared" si="21"/>
        <v>0</v>
      </c>
      <c r="AE20" s="1395">
        <v>0</v>
      </c>
      <c r="AF20" s="1510">
        <f t="shared" si="22"/>
        <v>0</v>
      </c>
      <c r="AG20" s="1395"/>
      <c r="AH20" s="1395">
        <f t="shared" si="23"/>
        <v>0</v>
      </c>
      <c r="AI20" s="1510">
        <f t="shared" si="24"/>
        <v>0</v>
      </c>
      <c r="AJ20" s="1505">
        <f t="shared" si="25"/>
        <v>0</v>
      </c>
      <c r="AK20" s="1535">
        <f t="shared" si="26"/>
        <v>0</v>
      </c>
    </row>
    <row r="21" spans="1:37" ht="16.2" customHeight="1">
      <c r="A21" s="1168">
        <v>15</v>
      </c>
      <c r="B21" s="1169" t="s">
        <v>95</v>
      </c>
      <c r="C21" s="1170">
        <v>0</v>
      </c>
      <c r="D21" s="1171">
        <f>+'Table 5C1A-Madison Prep'!D21</f>
        <v>5749.8285214059952</v>
      </c>
      <c r="E21" s="1172">
        <f t="shared" si="5"/>
        <v>0</v>
      </c>
      <c r="F21" s="1172">
        <f>+'Table 5C1A-Madison Prep'!F21</f>
        <v>553.79999999999995</v>
      </c>
      <c r="G21" s="1172">
        <f t="shared" si="6"/>
        <v>0</v>
      </c>
      <c r="H21" s="1540">
        <f t="shared" si="7"/>
        <v>0</v>
      </c>
      <c r="I21" s="1173"/>
      <c r="J21" s="1173"/>
      <c r="K21" s="1174">
        <f t="shared" si="8"/>
        <v>0</v>
      </c>
      <c r="L21" s="1540">
        <f t="shared" si="9"/>
        <v>0</v>
      </c>
      <c r="M21" s="1399">
        <f t="shared" si="4"/>
        <v>0</v>
      </c>
      <c r="N21" s="1540">
        <f t="shared" si="10"/>
        <v>0</v>
      </c>
      <c r="O21" s="1171">
        <v>0</v>
      </c>
      <c r="P21" s="1546">
        <f t="shared" si="11"/>
        <v>0</v>
      </c>
      <c r="Q21" s="1173"/>
      <c r="R21" s="1173">
        <f t="shared" si="12"/>
        <v>0</v>
      </c>
      <c r="S21" s="1546">
        <f t="shared" si="13"/>
        <v>0</v>
      </c>
      <c r="T21" s="1546">
        <f t="shared" si="14"/>
        <v>0</v>
      </c>
      <c r="U21" s="1382">
        <f>'Table 5C1A-Madison Prep'!U21</f>
        <v>2535</v>
      </c>
      <c r="V21" s="1516">
        <f t="shared" si="15"/>
        <v>0</v>
      </c>
      <c r="W21" s="1400"/>
      <c r="X21" s="1383">
        <f t="shared" si="16"/>
        <v>0</v>
      </c>
      <c r="Y21" s="1400"/>
      <c r="Z21" s="1383">
        <f t="shared" si="17"/>
        <v>0</v>
      </c>
      <c r="AA21" s="1384">
        <f t="shared" si="18"/>
        <v>0</v>
      </c>
      <c r="AB21" s="1511">
        <f t="shared" si="19"/>
        <v>0</v>
      </c>
      <c r="AC21" s="1402">
        <f t="shared" si="20"/>
        <v>0</v>
      </c>
      <c r="AD21" s="1511">
        <f t="shared" si="21"/>
        <v>0</v>
      </c>
      <c r="AE21" s="1385">
        <v>0</v>
      </c>
      <c r="AF21" s="1511">
        <f t="shared" si="22"/>
        <v>0</v>
      </c>
      <c r="AG21" s="1385"/>
      <c r="AH21" s="1385">
        <f t="shared" si="23"/>
        <v>0</v>
      </c>
      <c r="AI21" s="1511">
        <f t="shared" si="24"/>
        <v>0</v>
      </c>
      <c r="AJ21" s="1531">
        <f t="shared" si="25"/>
        <v>0</v>
      </c>
      <c r="AK21" s="1536">
        <f t="shared" si="26"/>
        <v>0</v>
      </c>
    </row>
    <row r="22" spans="1:37" ht="16.2" customHeight="1">
      <c r="A22" s="1183">
        <v>16</v>
      </c>
      <c r="B22" s="1184" t="s">
        <v>96</v>
      </c>
      <c r="C22" s="1185">
        <v>0</v>
      </c>
      <c r="D22" s="1186">
        <f>+'Table 5C1A-Madison Prep'!D22</f>
        <v>1980.2494354342025</v>
      </c>
      <c r="E22" s="1187">
        <f t="shared" si="5"/>
        <v>0</v>
      </c>
      <c r="F22" s="1187">
        <f>+'Table 5C1A-Madison Prep'!F22</f>
        <v>686.73</v>
      </c>
      <c r="G22" s="1187">
        <f t="shared" si="6"/>
        <v>0</v>
      </c>
      <c r="H22" s="1538">
        <f t="shared" si="7"/>
        <v>0</v>
      </c>
      <c r="I22" s="1188"/>
      <c r="J22" s="1188"/>
      <c r="K22" s="1189">
        <f t="shared" si="8"/>
        <v>0</v>
      </c>
      <c r="L22" s="1538">
        <f t="shared" si="9"/>
        <v>0</v>
      </c>
      <c r="M22" s="1372">
        <f t="shared" si="4"/>
        <v>0</v>
      </c>
      <c r="N22" s="1538">
        <f t="shared" si="10"/>
        <v>0</v>
      </c>
      <c r="O22" s="1186">
        <v>0</v>
      </c>
      <c r="P22" s="1544">
        <f t="shared" si="11"/>
        <v>0</v>
      </c>
      <c r="Q22" s="1188"/>
      <c r="R22" s="1188">
        <f t="shared" si="12"/>
        <v>0</v>
      </c>
      <c r="S22" s="1544">
        <f t="shared" si="13"/>
        <v>0</v>
      </c>
      <c r="T22" s="1544">
        <f t="shared" si="14"/>
        <v>0</v>
      </c>
      <c r="U22" s="1373">
        <f>'Table 5C1A-Madison Prep'!U22</f>
        <v>12768</v>
      </c>
      <c r="V22" s="1514">
        <f t="shared" si="15"/>
        <v>0</v>
      </c>
      <c r="W22" s="1375"/>
      <c r="X22" s="1376">
        <f t="shared" si="16"/>
        <v>0</v>
      </c>
      <c r="Y22" s="1375"/>
      <c r="Z22" s="1376">
        <f t="shared" si="17"/>
        <v>0</v>
      </c>
      <c r="AA22" s="1374">
        <f t="shared" si="18"/>
        <v>0</v>
      </c>
      <c r="AB22" s="1509">
        <f t="shared" si="19"/>
        <v>0</v>
      </c>
      <c r="AC22" s="1378">
        <f t="shared" si="20"/>
        <v>0</v>
      </c>
      <c r="AD22" s="1509">
        <f t="shared" si="21"/>
        <v>0</v>
      </c>
      <c r="AE22" s="1379">
        <v>0</v>
      </c>
      <c r="AF22" s="1509">
        <f t="shared" si="22"/>
        <v>0</v>
      </c>
      <c r="AG22" s="1379"/>
      <c r="AH22" s="1379">
        <f t="shared" si="23"/>
        <v>0</v>
      </c>
      <c r="AI22" s="1509">
        <f t="shared" si="24"/>
        <v>0</v>
      </c>
      <c r="AJ22" s="1530">
        <f t="shared" si="25"/>
        <v>0</v>
      </c>
      <c r="AK22" s="1534">
        <f t="shared" si="26"/>
        <v>0</v>
      </c>
    </row>
    <row r="23" spans="1:37" ht="16.2" customHeight="1">
      <c r="A23" s="1176">
        <v>17</v>
      </c>
      <c r="B23" s="1177" t="s">
        <v>97</v>
      </c>
      <c r="C23" s="1178">
        <v>0</v>
      </c>
      <c r="D23" s="1179">
        <f>+'Table 5C1A-Madison Prep'!D23</f>
        <v>3363.5980368254495</v>
      </c>
      <c r="E23" s="1180">
        <f t="shared" si="5"/>
        <v>0</v>
      </c>
      <c r="F23" s="1180">
        <f>+'Table 5C1A-Madison Prep'!F23</f>
        <v>801.47762416806802</v>
      </c>
      <c r="G23" s="1180">
        <f t="shared" si="6"/>
        <v>0</v>
      </c>
      <c r="H23" s="1539">
        <f t="shared" si="7"/>
        <v>0</v>
      </c>
      <c r="I23" s="1181"/>
      <c r="J23" s="1181"/>
      <c r="K23" s="1182">
        <f t="shared" si="8"/>
        <v>0</v>
      </c>
      <c r="L23" s="1539">
        <f t="shared" si="9"/>
        <v>0</v>
      </c>
      <c r="M23" s="1388">
        <f t="shared" si="4"/>
        <v>0</v>
      </c>
      <c r="N23" s="1539">
        <f t="shared" si="10"/>
        <v>0</v>
      </c>
      <c r="O23" s="1179">
        <v>0</v>
      </c>
      <c r="P23" s="1545">
        <f t="shared" si="11"/>
        <v>0</v>
      </c>
      <c r="Q23" s="1181"/>
      <c r="R23" s="1181">
        <f t="shared" si="12"/>
        <v>0</v>
      </c>
      <c r="S23" s="1545">
        <f t="shared" si="13"/>
        <v>0</v>
      </c>
      <c r="T23" s="1545">
        <f t="shared" si="14"/>
        <v>0</v>
      </c>
      <c r="U23" s="1389">
        <f>'Table 5C1A-Madison Prep'!U23</f>
        <v>7050</v>
      </c>
      <c r="V23" s="1515">
        <f t="shared" si="15"/>
        <v>0</v>
      </c>
      <c r="W23" s="1391"/>
      <c r="X23" s="1392">
        <f t="shared" si="16"/>
        <v>0</v>
      </c>
      <c r="Y23" s="1391"/>
      <c r="Z23" s="1392">
        <f t="shared" si="17"/>
        <v>0</v>
      </c>
      <c r="AA23" s="1390">
        <f t="shared" si="18"/>
        <v>0</v>
      </c>
      <c r="AB23" s="1510">
        <f t="shared" si="19"/>
        <v>0</v>
      </c>
      <c r="AC23" s="1394">
        <f t="shared" si="20"/>
        <v>0</v>
      </c>
      <c r="AD23" s="1510">
        <f t="shared" si="21"/>
        <v>0</v>
      </c>
      <c r="AE23" s="1395">
        <v>0</v>
      </c>
      <c r="AF23" s="1510">
        <f t="shared" si="22"/>
        <v>0</v>
      </c>
      <c r="AG23" s="1395"/>
      <c r="AH23" s="1395">
        <f t="shared" si="23"/>
        <v>0</v>
      </c>
      <c r="AI23" s="1510">
        <f t="shared" si="24"/>
        <v>0</v>
      </c>
      <c r="AJ23" s="1505">
        <f t="shared" si="25"/>
        <v>0</v>
      </c>
      <c r="AK23" s="1535">
        <f t="shared" si="26"/>
        <v>0</v>
      </c>
    </row>
    <row r="24" spans="1:37" ht="16.2" customHeight="1">
      <c r="A24" s="1176">
        <v>18</v>
      </c>
      <c r="B24" s="1177" t="s">
        <v>98</v>
      </c>
      <c r="C24" s="1178">
        <v>0</v>
      </c>
      <c r="D24" s="1179">
        <f>+'Table 5C1A-Madison Prep'!D24</f>
        <v>6354.5533500475731</v>
      </c>
      <c r="E24" s="1180">
        <f t="shared" si="5"/>
        <v>0</v>
      </c>
      <c r="F24" s="1180">
        <f>+'Table 5C1A-Madison Prep'!F24</f>
        <v>845.94999999999993</v>
      </c>
      <c r="G24" s="1180">
        <f t="shared" si="6"/>
        <v>0</v>
      </c>
      <c r="H24" s="1539">
        <f t="shared" si="7"/>
        <v>0</v>
      </c>
      <c r="I24" s="1181"/>
      <c r="J24" s="1181"/>
      <c r="K24" s="1182">
        <f t="shared" si="8"/>
        <v>0</v>
      </c>
      <c r="L24" s="1539">
        <f t="shared" si="9"/>
        <v>0</v>
      </c>
      <c r="M24" s="1388">
        <f t="shared" si="4"/>
        <v>0</v>
      </c>
      <c r="N24" s="1539">
        <f t="shared" si="10"/>
        <v>0</v>
      </c>
      <c r="O24" s="1179">
        <v>0</v>
      </c>
      <c r="P24" s="1545">
        <f t="shared" si="11"/>
        <v>0</v>
      </c>
      <c r="Q24" s="1181"/>
      <c r="R24" s="1181">
        <f t="shared" si="12"/>
        <v>0</v>
      </c>
      <c r="S24" s="1545">
        <f t="shared" si="13"/>
        <v>0</v>
      </c>
      <c r="T24" s="1545">
        <f t="shared" si="14"/>
        <v>0</v>
      </c>
      <c r="U24" s="1389">
        <f>'Table 5C1A-Madison Prep'!U24</f>
        <v>2526</v>
      </c>
      <c r="V24" s="1515">
        <f t="shared" si="15"/>
        <v>0</v>
      </c>
      <c r="W24" s="1391"/>
      <c r="X24" s="1392">
        <f t="shared" si="16"/>
        <v>0</v>
      </c>
      <c r="Y24" s="1391"/>
      <c r="Z24" s="1392">
        <f t="shared" si="17"/>
        <v>0</v>
      </c>
      <c r="AA24" s="1390">
        <f t="shared" si="18"/>
        <v>0</v>
      </c>
      <c r="AB24" s="1510">
        <f t="shared" si="19"/>
        <v>0</v>
      </c>
      <c r="AC24" s="1394">
        <f t="shared" si="20"/>
        <v>0</v>
      </c>
      <c r="AD24" s="1510">
        <f t="shared" si="21"/>
        <v>0</v>
      </c>
      <c r="AE24" s="1395">
        <v>0</v>
      </c>
      <c r="AF24" s="1510">
        <f t="shared" si="22"/>
        <v>0</v>
      </c>
      <c r="AG24" s="1395"/>
      <c r="AH24" s="1395">
        <f t="shared" si="23"/>
        <v>0</v>
      </c>
      <c r="AI24" s="1510">
        <f t="shared" si="24"/>
        <v>0</v>
      </c>
      <c r="AJ24" s="1505">
        <f t="shared" si="25"/>
        <v>0</v>
      </c>
      <c r="AK24" s="1535">
        <f t="shared" si="26"/>
        <v>0</v>
      </c>
    </row>
    <row r="25" spans="1:37" ht="16.2" customHeight="1">
      <c r="A25" s="1176">
        <v>19</v>
      </c>
      <c r="B25" s="1177" t="s">
        <v>99</v>
      </c>
      <c r="C25" s="1178">
        <v>0</v>
      </c>
      <c r="D25" s="1179">
        <f>+'Table 5C1A-Madison Prep'!D25</f>
        <v>5314.3921869460446</v>
      </c>
      <c r="E25" s="1180">
        <f t="shared" si="5"/>
        <v>0</v>
      </c>
      <c r="F25" s="1180">
        <f>+'Table 5C1A-Madison Prep'!F25</f>
        <v>905.43</v>
      </c>
      <c r="G25" s="1180">
        <f t="shared" si="6"/>
        <v>0</v>
      </c>
      <c r="H25" s="1539">
        <f t="shared" si="7"/>
        <v>0</v>
      </c>
      <c r="I25" s="1181"/>
      <c r="J25" s="1181"/>
      <c r="K25" s="1182">
        <f t="shared" si="8"/>
        <v>0</v>
      </c>
      <c r="L25" s="1539">
        <f t="shared" si="9"/>
        <v>0</v>
      </c>
      <c r="M25" s="1388">
        <f t="shared" si="4"/>
        <v>0</v>
      </c>
      <c r="N25" s="1539">
        <f t="shared" si="10"/>
        <v>0</v>
      </c>
      <c r="O25" s="1179">
        <v>0</v>
      </c>
      <c r="P25" s="1545">
        <f t="shared" si="11"/>
        <v>0</v>
      </c>
      <c r="Q25" s="1181"/>
      <c r="R25" s="1181">
        <f t="shared" si="12"/>
        <v>0</v>
      </c>
      <c r="S25" s="1545">
        <f t="shared" si="13"/>
        <v>0</v>
      </c>
      <c r="T25" s="1545">
        <f t="shared" si="14"/>
        <v>0</v>
      </c>
      <c r="U25" s="1389">
        <f>'Table 5C1A-Madison Prep'!U25</f>
        <v>2908</v>
      </c>
      <c r="V25" s="1515">
        <f t="shared" si="15"/>
        <v>0</v>
      </c>
      <c r="W25" s="1391"/>
      <c r="X25" s="1392">
        <f t="shared" si="16"/>
        <v>0</v>
      </c>
      <c r="Y25" s="1391"/>
      <c r="Z25" s="1392">
        <f t="shared" si="17"/>
        <v>0</v>
      </c>
      <c r="AA25" s="1390">
        <f t="shared" si="18"/>
        <v>0</v>
      </c>
      <c r="AB25" s="1510">
        <f t="shared" si="19"/>
        <v>0</v>
      </c>
      <c r="AC25" s="1394">
        <f t="shared" si="20"/>
        <v>0</v>
      </c>
      <c r="AD25" s="1510">
        <f t="shared" si="21"/>
        <v>0</v>
      </c>
      <c r="AE25" s="1395">
        <v>0</v>
      </c>
      <c r="AF25" s="1510">
        <f t="shared" si="22"/>
        <v>0</v>
      </c>
      <c r="AG25" s="1395"/>
      <c r="AH25" s="1395">
        <f t="shared" si="23"/>
        <v>0</v>
      </c>
      <c r="AI25" s="1510">
        <f t="shared" si="24"/>
        <v>0</v>
      </c>
      <c r="AJ25" s="1505">
        <f t="shared" si="25"/>
        <v>0</v>
      </c>
      <c r="AK25" s="1535">
        <f t="shared" si="26"/>
        <v>0</v>
      </c>
    </row>
    <row r="26" spans="1:37" ht="16.2" customHeight="1">
      <c r="A26" s="1168">
        <v>20</v>
      </c>
      <c r="B26" s="1169" t="s">
        <v>100</v>
      </c>
      <c r="C26" s="1170">
        <v>0</v>
      </c>
      <c r="D26" s="1171">
        <f>+'Table 5C1A-Madison Prep'!D26</f>
        <v>5278.5201565562011</v>
      </c>
      <c r="E26" s="1172">
        <f t="shared" si="5"/>
        <v>0</v>
      </c>
      <c r="F26" s="1172">
        <f>+'Table 5C1A-Madison Prep'!F26</f>
        <v>586.16999999999996</v>
      </c>
      <c r="G26" s="1172">
        <f t="shared" si="6"/>
        <v>0</v>
      </c>
      <c r="H26" s="1540">
        <f t="shared" si="7"/>
        <v>0</v>
      </c>
      <c r="I26" s="1173"/>
      <c r="J26" s="1173"/>
      <c r="K26" s="1174">
        <f t="shared" si="8"/>
        <v>0</v>
      </c>
      <c r="L26" s="1540">
        <f t="shared" si="9"/>
        <v>0</v>
      </c>
      <c r="M26" s="1399">
        <f t="shared" si="4"/>
        <v>0</v>
      </c>
      <c r="N26" s="1540">
        <f t="shared" si="10"/>
        <v>0</v>
      </c>
      <c r="O26" s="1171">
        <v>0</v>
      </c>
      <c r="P26" s="1546">
        <f t="shared" si="11"/>
        <v>0</v>
      </c>
      <c r="Q26" s="1173"/>
      <c r="R26" s="1173">
        <f t="shared" si="12"/>
        <v>0</v>
      </c>
      <c r="S26" s="1546">
        <f t="shared" si="13"/>
        <v>0</v>
      </c>
      <c r="T26" s="1546">
        <f t="shared" si="14"/>
        <v>0</v>
      </c>
      <c r="U26" s="1382">
        <f>'Table 5C1A-Madison Prep'!U26</f>
        <v>2432</v>
      </c>
      <c r="V26" s="1516">
        <f t="shared" si="15"/>
        <v>0</v>
      </c>
      <c r="W26" s="1400"/>
      <c r="X26" s="1383">
        <f t="shared" si="16"/>
        <v>0</v>
      </c>
      <c r="Y26" s="1400"/>
      <c r="Z26" s="1383">
        <f t="shared" si="17"/>
        <v>0</v>
      </c>
      <c r="AA26" s="1384">
        <f t="shared" si="18"/>
        <v>0</v>
      </c>
      <c r="AB26" s="1511">
        <f t="shared" si="19"/>
        <v>0</v>
      </c>
      <c r="AC26" s="1402">
        <f t="shared" si="20"/>
        <v>0</v>
      </c>
      <c r="AD26" s="1511">
        <f t="shared" si="21"/>
        <v>0</v>
      </c>
      <c r="AE26" s="1385">
        <v>0</v>
      </c>
      <c r="AF26" s="1511">
        <f t="shared" si="22"/>
        <v>0</v>
      </c>
      <c r="AG26" s="1385"/>
      <c r="AH26" s="1385">
        <f t="shared" si="23"/>
        <v>0</v>
      </c>
      <c r="AI26" s="1511">
        <f t="shared" si="24"/>
        <v>0</v>
      </c>
      <c r="AJ26" s="1531">
        <f t="shared" si="25"/>
        <v>0</v>
      </c>
      <c r="AK26" s="1536">
        <f t="shared" si="26"/>
        <v>0</v>
      </c>
    </row>
    <row r="27" spans="1:37" ht="16.2" customHeight="1">
      <c r="A27" s="1183">
        <v>21</v>
      </c>
      <c r="B27" s="1184" t="s">
        <v>101</v>
      </c>
      <c r="C27" s="1185">
        <v>0</v>
      </c>
      <c r="D27" s="1186">
        <f>+'Table 5C1A-Madison Prep'!D27</f>
        <v>6082.3042295867763</v>
      </c>
      <c r="E27" s="1187">
        <f t="shared" si="5"/>
        <v>0</v>
      </c>
      <c r="F27" s="1187">
        <f>+'Table 5C1A-Madison Prep'!F27</f>
        <v>610.35</v>
      </c>
      <c r="G27" s="1187">
        <f t="shared" si="6"/>
        <v>0</v>
      </c>
      <c r="H27" s="1538">
        <f t="shared" si="7"/>
        <v>0</v>
      </c>
      <c r="I27" s="1188"/>
      <c r="J27" s="1188"/>
      <c r="K27" s="1189">
        <f t="shared" si="8"/>
        <v>0</v>
      </c>
      <c r="L27" s="1538">
        <f t="shared" si="9"/>
        <v>0</v>
      </c>
      <c r="M27" s="1372">
        <f t="shared" si="4"/>
        <v>0</v>
      </c>
      <c r="N27" s="1538">
        <f t="shared" si="10"/>
        <v>0</v>
      </c>
      <c r="O27" s="1186">
        <v>0</v>
      </c>
      <c r="P27" s="1544">
        <f t="shared" si="11"/>
        <v>0</v>
      </c>
      <c r="Q27" s="1188"/>
      <c r="R27" s="1188">
        <f t="shared" si="12"/>
        <v>0</v>
      </c>
      <c r="S27" s="1544">
        <f t="shared" si="13"/>
        <v>0</v>
      </c>
      <c r="T27" s="1544">
        <f t="shared" si="14"/>
        <v>0</v>
      </c>
      <c r="U27" s="1373">
        <f>'Table 5C1A-Madison Prep'!U27</f>
        <v>2460</v>
      </c>
      <c r="V27" s="1514">
        <f t="shared" si="15"/>
        <v>0</v>
      </c>
      <c r="W27" s="1375"/>
      <c r="X27" s="1376">
        <f t="shared" si="16"/>
        <v>0</v>
      </c>
      <c r="Y27" s="1375"/>
      <c r="Z27" s="1376">
        <f t="shared" si="17"/>
        <v>0</v>
      </c>
      <c r="AA27" s="1374">
        <f t="shared" si="18"/>
        <v>0</v>
      </c>
      <c r="AB27" s="1509">
        <f t="shared" si="19"/>
        <v>0</v>
      </c>
      <c r="AC27" s="1378">
        <f t="shared" si="20"/>
        <v>0</v>
      </c>
      <c r="AD27" s="1509">
        <f t="shared" si="21"/>
        <v>0</v>
      </c>
      <c r="AE27" s="1379">
        <v>0</v>
      </c>
      <c r="AF27" s="1509">
        <f t="shared" si="22"/>
        <v>0</v>
      </c>
      <c r="AG27" s="1379"/>
      <c r="AH27" s="1379">
        <f t="shared" si="23"/>
        <v>0</v>
      </c>
      <c r="AI27" s="1509">
        <f t="shared" si="24"/>
        <v>0</v>
      </c>
      <c r="AJ27" s="1530">
        <f t="shared" si="25"/>
        <v>0</v>
      </c>
      <c r="AK27" s="1534">
        <f t="shared" si="26"/>
        <v>0</v>
      </c>
    </row>
    <row r="28" spans="1:37" ht="16.2" customHeight="1">
      <c r="A28" s="1176">
        <v>22</v>
      </c>
      <c r="B28" s="1177" t="s">
        <v>102</v>
      </c>
      <c r="C28" s="1178">
        <v>0</v>
      </c>
      <c r="D28" s="1179">
        <f>+'Table 5C1A-Madison Prep'!D28</f>
        <v>6416.1099808195995</v>
      </c>
      <c r="E28" s="1180">
        <f t="shared" si="5"/>
        <v>0</v>
      </c>
      <c r="F28" s="1180">
        <f>+'Table 5C1A-Madison Prep'!F28</f>
        <v>496.36</v>
      </c>
      <c r="G28" s="1180">
        <f t="shared" si="6"/>
        <v>0</v>
      </c>
      <c r="H28" s="1539">
        <f t="shared" si="7"/>
        <v>0</v>
      </c>
      <c r="I28" s="1181"/>
      <c r="J28" s="1181"/>
      <c r="K28" s="1182">
        <f t="shared" si="8"/>
        <v>0</v>
      </c>
      <c r="L28" s="1539">
        <f t="shared" si="9"/>
        <v>0</v>
      </c>
      <c r="M28" s="1388">
        <f t="shared" si="4"/>
        <v>0</v>
      </c>
      <c r="N28" s="1539">
        <f t="shared" si="10"/>
        <v>0</v>
      </c>
      <c r="O28" s="1179">
        <v>0</v>
      </c>
      <c r="P28" s="1545">
        <f t="shared" si="11"/>
        <v>0</v>
      </c>
      <c r="Q28" s="1181"/>
      <c r="R28" s="1181">
        <f t="shared" si="12"/>
        <v>0</v>
      </c>
      <c r="S28" s="1545">
        <f t="shared" si="13"/>
        <v>0</v>
      </c>
      <c r="T28" s="1545">
        <f t="shared" si="14"/>
        <v>0</v>
      </c>
      <c r="U28" s="1389">
        <f>'Table 5C1A-Madison Prep'!U28</f>
        <v>1613</v>
      </c>
      <c r="V28" s="1515">
        <f t="shared" si="15"/>
        <v>0</v>
      </c>
      <c r="W28" s="1391"/>
      <c r="X28" s="1392">
        <f t="shared" si="16"/>
        <v>0</v>
      </c>
      <c r="Y28" s="1391"/>
      <c r="Z28" s="1392">
        <f t="shared" si="17"/>
        <v>0</v>
      </c>
      <c r="AA28" s="1390">
        <f t="shared" si="18"/>
        <v>0</v>
      </c>
      <c r="AB28" s="1510">
        <f t="shared" si="19"/>
        <v>0</v>
      </c>
      <c r="AC28" s="1394">
        <f t="shared" si="20"/>
        <v>0</v>
      </c>
      <c r="AD28" s="1510">
        <f t="shared" si="21"/>
        <v>0</v>
      </c>
      <c r="AE28" s="1395">
        <v>0</v>
      </c>
      <c r="AF28" s="1510">
        <f t="shared" si="22"/>
        <v>0</v>
      </c>
      <c r="AG28" s="1395"/>
      <c r="AH28" s="1395">
        <f t="shared" si="23"/>
        <v>0</v>
      </c>
      <c r="AI28" s="1510">
        <f t="shared" si="24"/>
        <v>0</v>
      </c>
      <c r="AJ28" s="1505">
        <f t="shared" si="25"/>
        <v>0</v>
      </c>
      <c r="AK28" s="1535">
        <f t="shared" si="26"/>
        <v>0</v>
      </c>
    </row>
    <row r="29" spans="1:37" ht="16.2" customHeight="1">
      <c r="A29" s="1176">
        <v>23</v>
      </c>
      <c r="B29" s="1177" t="s">
        <v>103</v>
      </c>
      <c r="C29" s="1178">
        <v>0</v>
      </c>
      <c r="D29" s="1179">
        <f>+'Table 5C1A-Madison Prep'!D29</f>
        <v>5011.0215265979159</v>
      </c>
      <c r="E29" s="1180">
        <f t="shared" si="5"/>
        <v>0</v>
      </c>
      <c r="F29" s="1180">
        <f>+'Table 5C1A-Madison Prep'!F29</f>
        <v>688.58</v>
      </c>
      <c r="G29" s="1180">
        <f t="shared" si="6"/>
        <v>0</v>
      </c>
      <c r="H29" s="1539">
        <f t="shared" si="7"/>
        <v>0</v>
      </c>
      <c r="I29" s="1181"/>
      <c r="J29" s="1181"/>
      <c r="K29" s="1182">
        <f t="shared" si="8"/>
        <v>0</v>
      </c>
      <c r="L29" s="1539">
        <f t="shared" si="9"/>
        <v>0</v>
      </c>
      <c r="M29" s="1388">
        <f t="shared" si="4"/>
        <v>0</v>
      </c>
      <c r="N29" s="1539">
        <f t="shared" si="10"/>
        <v>0</v>
      </c>
      <c r="O29" s="1179">
        <v>0</v>
      </c>
      <c r="P29" s="1545">
        <f t="shared" si="11"/>
        <v>0</v>
      </c>
      <c r="Q29" s="1181"/>
      <c r="R29" s="1181">
        <f t="shared" si="12"/>
        <v>0</v>
      </c>
      <c r="S29" s="1545">
        <f t="shared" si="13"/>
        <v>0</v>
      </c>
      <c r="T29" s="1545">
        <f t="shared" si="14"/>
        <v>0</v>
      </c>
      <c r="U29" s="1389">
        <f>'Table 5C1A-Madison Prep'!U29</f>
        <v>3473</v>
      </c>
      <c r="V29" s="1515">
        <f t="shared" si="15"/>
        <v>0</v>
      </c>
      <c r="W29" s="1391"/>
      <c r="X29" s="1392">
        <f t="shared" si="16"/>
        <v>0</v>
      </c>
      <c r="Y29" s="1391"/>
      <c r="Z29" s="1392">
        <f t="shared" si="17"/>
        <v>0</v>
      </c>
      <c r="AA29" s="1390">
        <f t="shared" si="18"/>
        <v>0</v>
      </c>
      <c r="AB29" s="1510">
        <f t="shared" si="19"/>
        <v>0</v>
      </c>
      <c r="AC29" s="1394">
        <f t="shared" si="20"/>
        <v>0</v>
      </c>
      <c r="AD29" s="1510">
        <f t="shared" si="21"/>
        <v>0</v>
      </c>
      <c r="AE29" s="1395">
        <v>0</v>
      </c>
      <c r="AF29" s="1510">
        <f t="shared" si="22"/>
        <v>0</v>
      </c>
      <c r="AG29" s="1395"/>
      <c r="AH29" s="1395">
        <f t="shared" si="23"/>
        <v>0</v>
      </c>
      <c r="AI29" s="1510">
        <f t="shared" si="24"/>
        <v>0</v>
      </c>
      <c r="AJ29" s="1505">
        <f t="shared" si="25"/>
        <v>0</v>
      </c>
      <c r="AK29" s="1535">
        <f t="shared" si="26"/>
        <v>0</v>
      </c>
    </row>
    <row r="30" spans="1:37" ht="16.2" customHeight="1">
      <c r="A30" s="1176">
        <v>24</v>
      </c>
      <c r="B30" s="1177" t="s">
        <v>104</v>
      </c>
      <c r="C30" s="1178">
        <v>0</v>
      </c>
      <c r="D30" s="1179">
        <f>+'Table 5C1A-Madison Prep'!D30</f>
        <v>2611.6740361576999</v>
      </c>
      <c r="E30" s="1180">
        <f t="shared" si="5"/>
        <v>0</v>
      </c>
      <c r="F30" s="1180">
        <f>+'Table 5C1A-Madison Prep'!F30</f>
        <v>854.24999999999989</v>
      </c>
      <c r="G30" s="1180">
        <f t="shared" si="6"/>
        <v>0</v>
      </c>
      <c r="H30" s="1539">
        <f t="shared" si="7"/>
        <v>0</v>
      </c>
      <c r="I30" s="1181"/>
      <c r="J30" s="1181"/>
      <c r="K30" s="1182">
        <f t="shared" si="8"/>
        <v>0</v>
      </c>
      <c r="L30" s="1539">
        <f t="shared" si="9"/>
        <v>0</v>
      </c>
      <c r="M30" s="1388">
        <f t="shared" si="4"/>
        <v>0</v>
      </c>
      <c r="N30" s="1539">
        <f t="shared" si="10"/>
        <v>0</v>
      </c>
      <c r="O30" s="1179">
        <v>0</v>
      </c>
      <c r="P30" s="1545">
        <f t="shared" si="11"/>
        <v>0</v>
      </c>
      <c r="Q30" s="1181"/>
      <c r="R30" s="1181">
        <f t="shared" si="12"/>
        <v>0</v>
      </c>
      <c r="S30" s="1545">
        <f t="shared" si="13"/>
        <v>0</v>
      </c>
      <c r="T30" s="1545">
        <f t="shared" si="14"/>
        <v>0</v>
      </c>
      <c r="U30" s="1389">
        <f>'Table 5C1A-Madison Prep'!U30</f>
        <v>10053</v>
      </c>
      <c r="V30" s="1515">
        <f t="shared" si="15"/>
        <v>0</v>
      </c>
      <c r="W30" s="1391"/>
      <c r="X30" s="1392">
        <f t="shared" si="16"/>
        <v>0</v>
      </c>
      <c r="Y30" s="1391"/>
      <c r="Z30" s="1392">
        <f t="shared" si="17"/>
        <v>0</v>
      </c>
      <c r="AA30" s="1390">
        <f t="shared" si="18"/>
        <v>0</v>
      </c>
      <c r="AB30" s="1510">
        <f t="shared" si="19"/>
        <v>0</v>
      </c>
      <c r="AC30" s="1394">
        <f t="shared" si="20"/>
        <v>0</v>
      </c>
      <c r="AD30" s="1510">
        <f t="shared" si="21"/>
        <v>0</v>
      </c>
      <c r="AE30" s="1395">
        <v>0</v>
      </c>
      <c r="AF30" s="1510">
        <f t="shared" si="22"/>
        <v>0</v>
      </c>
      <c r="AG30" s="1395"/>
      <c r="AH30" s="1395">
        <f t="shared" si="23"/>
        <v>0</v>
      </c>
      <c r="AI30" s="1510">
        <f t="shared" si="24"/>
        <v>0</v>
      </c>
      <c r="AJ30" s="1505">
        <f t="shared" si="25"/>
        <v>0</v>
      </c>
      <c r="AK30" s="1535">
        <f t="shared" si="26"/>
        <v>0</v>
      </c>
    </row>
    <row r="31" spans="1:37" ht="16.2" customHeight="1">
      <c r="A31" s="1168">
        <v>25</v>
      </c>
      <c r="B31" s="1169" t="s">
        <v>105</v>
      </c>
      <c r="C31" s="1170">
        <v>0</v>
      </c>
      <c r="D31" s="1171">
        <f>+'Table 5C1A-Madison Prep'!D31</f>
        <v>4173.0720274945697</v>
      </c>
      <c r="E31" s="1172">
        <f t="shared" si="5"/>
        <v>0</v>
      </c>
      <c r="F31" s="1172">
        <f>+'Table 5C1A-Madison Prep'!F31</f>
        <v>653.73</v>
      </c>
      <c r="G31" s="1172">
        <f t="shared" si="6"/>
        <v>0</v>
      </c>
      <c r="H31" s="1540">
        <f t="shared" si="7"/>
        <v>0</v>
      </c>
      <c r="I31" s="1173"/>
      <c r="J31" s="1173"/>
      <c r="K31" s="1174">
        <f t="shared" si="8"/>
        <v>0</v>
      </c>
      <c r="L31" s="1540">
        <f t="shared" si="9"/>
        <v>0</v>
      </c>
      <c r="M31" s="1399">
        <f t="shared" si="4"/>
        <v>0</v>
      </c>
      <c r="N31" s="1540">
        <f t="shared" si="10"/>
        <v>0</v>
      </c>
      <c r="O31" s="1171">
        <v>0</v>
      </c>
      <c r="P31" s="1546">
        <f t="shared" si="11"/>
        <v>0</v>
      </c>
      <c r="Q31" s="1173"/>
      <c r="R31" s="1173">
        <f t="shared" si="12"/>
        <v>0</v>
      </c>
      <c r="S31" s="1546">
        <f t="shared" si="13"/>
        <v>0</v>
      </c>
      <c r="T31" s="1546">
        <f t="shared" si="14"/>
        <v>0</v>
      </c>
      <c r="U31" s="1382">
        <f>'Table 5C1A-Madison Prep'!U31</f>
        <v>5073</v>
      </c>
      <c r="V31" s="1516">
        <f t="shared" si="15"/>
        <v>0</v>
      </c>
      <c r="W31" s="1400"/>
      <c r="X31" s="1383">
        <f t="shared" si="16"/>
        <v>0</v>
      </c>
      <c r="Y31" s="1400"/>
      <c r="Z31" s="1383">
        <f t="shared" si="17"/>
        <v>0</v>
      </c>
      <c r="AA31" s="1384">
        <f t="shared" si="18"/>
        <v>0</v>
      </c>
      <c r="AB31" s="1511">
        <f t="shared" si="19"/>
        <v>0</v>
      </c>
      <c r="AC31" s="1402">
        <f t="shared" si="20"/>
        <v>0</v>
      </c>
      <c r="AD31" s="1511">
        <f t="shared" si="21"/>
        <v>0</v>
      </c>
      <c r="AE31" s="1385">
        <v>0</v>
      </c>
      <c r="AF31" s="1511">
        <f t="shared" si="22"/>
        <v>0</v>
      </c>
      <c r="AG31" s="1385"/>
      <c r="AH31" s="1385">
        <f t="shared" si="23"/>
        <v>0</v>
      </c>
      <c r="AI31" s="1511">
        <f t="shared" si="24"/>
        <v>0</v>
      </c>
      <c r="AJ31" s="1531">
        <f t="shared" si="25"/>
        <v>0</v>
      </c>
      <c r="AK31" s="1536">
        <f t="shared" si="26"/>
        <v>0</v>
      </c>
    </row>
    <row r="32" spans="1:37" ht="16.2" customHeight="1">
      <c r="A32" s="1183">
        <v>26</v>
      </c>
      <c r="B32" s="1184" t="s">
        <v>106</v>
      </c>
      <c r="C32" s="1185">
        <v>0</v>
      </c>
      <c r="D32" s="1186">
        <f>+'Table 5C1A-Madison Prep'!D32</f>
        <v>3424.5649970570835</v>
      </c>
      <c r="E32" s="1187">
        <f t="shared" si="5"/>
        <v>0</v>
      </c>
      <c r="F32" s="1187">
        <f>+'Table 5C1A-Madison Prep'!F32</f>
        <v>836.83</v>
      </c>
      <c r="G32" s="1187">
        <f t="shared" si="6"/>
        <v>0</v>
      </c>
      <c r="H32" s="1538">
        <f t="shared" si="7"/>
        <v>0</v>
      </c>
      <c r="I32" s="1188"/>
      <c r="J32" s="1188"/>
      <c r="K32" s="1189">
        <f t="shared" si="8"/>
        <v>0</v>
      </c>
      <c r="L32" s="1538">
        <f t="shared" si="9"/>
        <v>0</v>
      </c>
      <c r="M32" s="1372">
        <f t="shared" si="4"/>
        <v>0</v>
      </c>
      <c r="N32" s="1538">
        <f t="shared" si="10"/>
        <v>0</v>
      </c>
      <c r="O32" s="1186">
        <v>0</v>
      </c>
      <c r="P32" s="1544">
        <f t="shared" si="11"/>
        <v>0</v>
      </c>
      <c r="Q32" s="1188"/>
      <c r="R32" s="1188">
        <f t="shared" si="12"/>
        <v>0</v>
      </c>
      <c r="S32" s="1544">
        <f t="shared" si="13"/>
        <v>0</v>
      </c>
      <c r="T32" s="1544">
        <f t="shared" si="14"/>
        <v>0</v>
      </c>
      <c r="U32" s="1373">
        <f>'Table 5C1A-Madison Prep'!U32</f>
        <v>5260</v>
      </c>
      <c r="V32" s="1514">
        <f t="shared" si="15"/>
        <v>0</v>
      </c>
      <c r="W32" s="1375"/>
      <c r="X32" s="1376">
        <f t="shared" si="16"/>
        <v>0</v>
      </c>
      <c r="Y32" s="1375"/>
      <c r="Z32" s="1376">
        <f t="shared" si="17"/>
        <v>0</v>
      </c>
      <c r="AA32" s="1374">
        <f t="shared" si="18"/>
        <v>0</v>
      </c>
      <c r="AB32" s="1509">
        <f t="shared" si="19"/>
        <v>0</v>
      </c>
      <c r="AC32" s="1378">
        <f t="shared" si="20"/>
        <v>0</v>
      </c>
      <c r="AD32" s="1509">
        <f t="shared" si="21"/>
        <v>0</v>
      </c>
      <c r="AE32" s="1379">
        <v>0</v>
      </c>
      <c r="AF32" s="1509">
        <f t="shared" si="22"/>
        <v>0</v>
      </c>
      <c r="AG32" s="1379"/>
      <c r="AH32" s="1379">
        <f t="shared" si="23"/>
        <v>0</v>
      </c>
      <c r="AI32" s="1509">
        <f t="shared" si="24"/>
        <v>0</v>
      </c>
      <c r="AJ32" s="1530">
        <f t="shared" si="25"/>
        <v>0</v>
      </c>
      <c r="AK32" s="1534">
        <f t="shared" si="26"/>
        <v>0</v>
      </c>
    </row>
    <row r="33" spans="1:37" ht="16.2" customHeight="1">
      <c r="A33" s="1176">
        <v>27</v>
      </c>
      <c r="B33" s="1177" t="s">
        <v>107</v>
      </c>
      <c r="C33" s="1178">
        <v>0</v>
      </c>
      <c r="D33" s="1179">
        <f>+'Table 5C1A-Madison Prep'!D33</f>
        <v>5804.9013839977006</v>
      </c>
      <c r="E33" s="1180">
        <f t="shared" si="5"/>
        <v>0</v>
      </c>
      <c r="F33" s="1180">
        <f>+'Table 5C1A-Madison Prep'!F33</f>
        <v>693.06</v>
      </c>
      <c r="G33" s="1180">
        <f t="shared" si="6"/>
        <v>0</v>
      </c>
      <c r="H33" s="1539">
        <f t="shared" si="7"/>
        <v>0</v>
      </c>
      <c r="I33" s="1181"/>
      <c r="J33" s="1181"/>
      <c r="K33" s="1182">
        <f t="shared" si="8"/>
        <v>0</v>
      </c>
      <c r="L33" s="1539">
        <f t="shared" si="9"/>
        <v>0</v>
      </c>
      <c r="M33" s="1388">
        <f t="shared" si="4"/>
        <v>0</v>
      </c>
      <c r="N33" s="1539">
        <f t="shared" si="10"/>
        <v>0</v>
      </c>
      <c r="O33" s="1179">
        <v>0</v>
      </c>
      <c r="P33" s="1545">
        <f t="shared" si="11"/>
        <v>0</v>
      </c>
      <c r="Q33" s="1181"/>
      <c r="R33" s="1181">
        <f t="shared" si="12"/>
        <v>0</v>
      </c>
      <c r="S33" s="1545">
        <f t="shared" si="13"/>
        <v>0</v>
      </c>
      <c r="T33" s="1545">
        <f t="shared" si="14"/>
        <v>0</v>
      </c>
      <c r="U33" s="1389">
        <f>'Table 5C1A-Madison Prep'!U33</f>
        <v>3169</v>
      </c>
      <c r="V33" s="1515">
        <f t="shared" si="15"/>
        <v>0</v>
      </c>
      <c r="W33" s="1391"/>
      <c r="X33" s="1392">
        <f t="shared" si="16"/>
        <v>0</v>
      </c>
      <c r="Y33" s="1391"/>
      <c r="Z33" s="1392">
        <f t="shared" si="17"/>
        <v>0</v>
      </c>
      <c r="AA33" s="1390">
        <f t="shared" si="18"/>
        <v>0</v>
      </c>
      <c r="AB33" s="1510">
        <f t="shared" si="19"/>
        <v>0</v>
      </c>
      <c r="AC33" s="1394">
        <f t="shared" si="20"/>
        <v>0</v>
      </c>
      <c r="AD33" s="1510">
        <f t="shared" si="21"/>
        <v>0</v>
      </c>
      <c r="AE33" s="1395">
        <v>0</v>
      </c>
      <c r="AF33" s="1510">
        <f t="shared" si="22"/>
        <v>0</v>
      </c>
      <c r="AG33" s="1395"/>
      <c r="AH33" s="1395">
        <f t="shared" si="23"/>
        <v>0</v>
      </c>
      <c r="AI33" s="1510">
        <f t="shared" si="24"/>
        <v>0</v>
      </c>
      <c r="AJ33" s="1505">
        <f t="shared" si="25"/>
        <v>0</v>
      </c>
      <c r="AK33" s="1535">
        <f t="shared" si="26"/>
        <v>0</v>
      </c>
    </row>
    <row r="34" spans="1:37" ht="16.2" customHeight="1">
      <c r="A34" s="1176">
        <v>28</v>
      </c>
      <c r="B34" s="1177" t="s">
        <v>108</v>
      </c>
      <c r="C34" s="1178">
        <v>0</v>
      </c>
      <c r="D34" s="1179">
        <f>+'Table 5C1A-Madison Prep'!D34</f>
        <v>3137.4158846568821</v>
      </c>
      <c r="E34" s="1180">
        <f t="shared" si="5"/>
        <v>0</v>
      </c>
      <c r="F34" s="1180">
        <f>+'Table 5C1A-Madison Prep'!F34</f>
        <v>694.4</v>
      </c>
      <c r="G34" s="1180">
        <f t="shared" si="6"/>
        <v>0</v>
      </c>
      <c r="H34" s="1539">
        <f t="shared" si="7"/>
        <v>0</v>
      </c>
      <c r="I34" s="1181"/>
      <c r="J34" s="1181"/>
      <c r="K34" s="1182">
        <f t="shared" si="8"/>
        <v>0</v>
      </c>
      <c r="L34" s="1539">
        <f t="shared" si="9"/>
        <v>0</v>
      </c>
      <c r="M34" s="1388">
        <f t="shared" si="4"/>
        <v>0</v>
      </c>
      <c r="N34" s="1539">
        <f t="shared" si="10"/>
        <v>0</v>
      </c>
      <c r="O34" s="1179">
        <v>0</v>
      </c>
      <c r="P34" s="1545">
        <f t="shared" si="11"/>
        <v>0</v>
      </c>
      <c r="Q34" s="1181"/>
      <c r="R34" s="1181">
        <f t="shared" si="12"/>
        <v>0</v>
      </c>
      <c r="S34" s="1545">
        <f t="shared" si="13"/>
        <v>0</v>
      </c>
      <c r="T34" s="1545">
        <f t="shared" si="14"/>
        <v>0</v>
      </c>
      <c r="U34" s="1389">
        <f>'Table 5C1A-Madison Prep'!U34</f>
        <v>5790</v>
      </c>
      <c r="V34" s="1515">
        <f t="shared" si="15"/>
        <v>0</v>
      </c>
      <c r="W34" s="1391"/>
      <c r="X34" s="1392">
        <f t="shared" si="16"/>
        <v>0</v>
      </c>
      <c r="Y34" s="1391"/>
      <c r="Z34" s="1392">
        <f t="shared" si="17"/>
        <v>0</v>
      </c>
      <c r="AA34" s="1390">
        <f t="shared" si="18"/>
        <v>0</v>
      </c>
      <c r="AB34" s="1510">
        <f t="shared" si="19"/>
        <v>0</v>
      </c>
      <c r="AC34" s="1394">
        <f t="shared" si="20"/>
        <v>0</v>
      </c>
      <c r="AD34" s="1510">
        <f t="shared" si="21"/>
        <v>0</v>
      </c>
      <c r="AE34" s="1395">
        <v>0</v>
      </c>
      <c r="AF34" s="1510">
        <f t="shared" si="22"/>
        <v>0</v>
      </c>
      <c r="AG34" s="1395"/>
      <c r="AH34" s="1395">
        <f t="shared" si="23"/>
        <v>0</v>
      </c>
      <c r="AI34" s="1510">
        <f t="shared" si="24"/>
        <v>0</v>
      </c>
      <c r="AJ34" s="1505">
        <f t="shared" si="25"/>
        <v>0</v>
      </c>
      <c r="AK34" s="1535">
        <f t="shared" si="26"/>
        <v>0</v>
      </c>
    </row>
    <row r="35" spans="1:37" ht="16.2" customHeight="1">
      <c r="A35" s="1176">
        <v>29</v>
      </c>
      <c r="B35" s="1177" t="s">
        <v>109</v>
      </c>
      <c r="C35" s="1178">
        <v>0</v>
      </c>
      <c r="D35" s="1179">
        <f>+'Table 5C1A-Madison Prep'!D35</f>
        <v>3839.0123210173724</v>
      </c>
      <c r="E35" s="1180">
        <f t="shared" si="5"/>
        <v>0</v>
      </c>
      <c r="F35" s="1180">
        <f>+'Table 5C1A-Madison Prep'!F35</f>
        <v>754.94999999999993</v>
      </c>
      <c r="G35" s="1180">
        <f t="shared" si="6"/>
        <v>0</v>
      </c>
      <c r="H35" s="1539">
        <f t="shared" si="7"/>
        <v>0</v>
      </c>
      <c r="I35" s="1181"/>
      <c r="J35" s="1181"/>
      <c r="K35" s="1182">
        <f t="shared" si="8"/>
        <v>0</v>
      </c>
      <c r="L35" s="1539">
        <f t="shared" si="9"/>
        <v>0</v>
      </c>
      <c r="M35" s="1388">
        <f t="shared" si="4"/>
        <v>0</v>
      </c>
      <c r="N35" s="1539">
        <f t="shared" si="10"/>
        <v>0</v>
      </c>
      <c r="O35" s="1179">
        <v>0</v>
      </c>
      <c r="P35" s="1545">
        <f t="shared" si="11"/>
        <v>0</v>
      </c>
      <c r="Q35" s="1181"/>
      <c r="R35" s="1181">
        <f t="shared" si="12"/>
        <v>0</v>
      </c>
      <c r="S35" s="1545">
        <f t="shared" si="13"/>
        <v>0</v>
      </c>
      <c r="T35" s="1545">
        <f t="shared" si="14"/>
        <v>0</v>
      </c>
      <c r="U35" s="1389">
        <f>'Table 5C1A-Madison Prep'!U35</f>
        <v>5069</v>
      </c>
      <c r="V35" s="1515">
        <f t="shared" si="15"/>
        <v>0</v>
      </c>
      <c r="W35" s="1391"/>
      <c r="X35" s="1392">
        <f t="shared" si="16"/>
        <v>0</v>
      </c>
      <c r="Y35" s="1391"/>
      <c r="Z35" s="1392">
        <f t="shared" si="17"/>
        <v>0</v>
      </c>
      <c r="AA35" s="1390">
        <f t="shared" si="18"/>
        <v>0</v>
      </c>
      <c r="AB35" s="1510">
        <f t="shared" si="19"/>
        <v>0</v>
      </c>
      <c r="AC35" s="1394">
        <f t="shared" si="20"/>
        <v>0</v>
      </c>
      <c r="AD35" s="1510">
        <f t="shared" si="21"/>
        <v>0</v>
      </c>
      <c r="AE35" s="1395">
        <v>0</v>
      </c>
      <c r="AF35" s="1510">
        <f t="shared" si="22"/>
        <v>0</v>
      </c>
      <c r="AG35" s="1395"/>
      <c r="AH35" s="1395">
        <f t="shared" si="23"/>
        <v>0</v>
      </c>
      <c r="AI35" s="1510">
        <f t="shared" si="24"/>
        <v>0</v>
      </c>
      <c r="AJ35" s="1505">
        <f t="shared" si="25"/>
        <v>0</v>
      </c>
      <c r="AK35" s="1535">
        <f t="shared" si="26"/>
        <v>0</v>
      </c>
    </row>
    <row r="36" spans="1:37" ht="16.2" customHeight="1">
      <c r="A36" s="1168">
        <v>30</v>
      </c>
      <c r="B36" s="1169" t="s">
        <v>110</v>
      </c>
      <c r="C36" s="1170">
        <v>0</v>
      </c>
      <c r="D36" s="1171">
        <f>+'Table 5C1A-Madison Prep'!D36</f>
        <v>5804.5327273996763</v>
      </c>
      <c r="E36" s="1172">
        <f t="shared" si="5"/>
        <v>0</v>
      </c>
      <c r="F36" s="1172">
        <f>+'Table 5C1A-Madison Prep'!F36</f>
        <v>727.17</v>
      </c>
      <c r="G36" s="1172">
        <f t="shared" si="6"/>
        <v>0</v>
      </c>
      <c r="H36" s="1540">
        <f t="shared" si="7"/>
        <v>0</v>
      </c>
      <c r="I36" s="1173"/>
      <c r="J36" s="1173"/>
      <c r="K36" s="1174">
        <f t="shared" si="8"/>
        <v>0</v>
      </c>
      <c r="L36" s="1540">
        <f t="shared" si="9"/>
        <v>0</v>
      </c>
      <c r="M36" s="1399">
        <f t="shared" si="4"/>
        <v>0</v>
      </c>
      <c r="N36" s="1540">
        <f t="shared" si="10"/>
        <v>0</v>
      </c>
      <c r="O36" s="1171">
        <v>0</v>
      </c>
      <c r="P36" s="1546">
        <f t="shared" si="11"/>
        <v>0</v>
      </c>
      <c r="Q36" s="1173"/>
      <c r="R36" s="1173">
        <f t="shared" si="12"/>
        <v>0</v>
      </c>
      <c r="S36" s="1546">
        <f t="shared" si="13"/>
        <v>0</v>
      </c>
      <c r="T36" s="1546">
        <f t="shared" si="14"/>
        <v>0</v>
      </c>
      <c r="U36" s="1382">
        <f>'Table 5C1A-Madison Prep'!U36</f>
        <v>3609</v>
      </c>
      <c r="V36" s="1516">
        <f t="shared" si="15"/>
        <v>0</v>
      </c>
      <c r="W36" s="1400"/>
      <c r="X36" s="1383">
        <f t="shared" si="16"/>
        <v>0</v>
      </c>
      <c r="Y36" s="1400"/>
      <c r="Z36" s="1383">
        <f t="shared" si="17"/>
        <v>0</v>
      </c>
      <c r="AA36" s="1384">
        <f t="shared" si="18"/>
        <v>0</v>
      </c>
      <c r="AB36" s="1511">
        <f t="shared" si="19"/>
        <v>0</v>
      </c>
      <c r="AC36" s="1402">
        <f t="shared" si="20"/>
        <v>0</v>
      </c>
      <c r="AD36" s="1511">
        <f t="shared" si="21"/>
        <v>0</v>
      </c>
      <c r="AE36" s="1385">
        <v>0</v>
      </c>
      <c r="AF36" s="1511">
        <f t="shared" si="22"/>
        <v>0</v>
      </c>
      <c r="AG36" s="1385"/>
      <c r="AH36" s="1385">
        <f t="shared" si="23"/>
        <v>0</v>
      </c>
      <c r="AI36" s="1511">
        <f t="shared" si="24"/>
        <v>0</v>
      </c>
      <c r="AJ36" s="1531">
        <f t="shared" si="25"/>
        <v>0</v>
      </c>
      <c r="AK36" s="1536">
        <f t="shared" si="26"/>
        <v>0</v>
      </c>
    </row>
    <row r="37" spans="1:37" ht="16.2" customHeight="1">
      <c r="A37" s="1183">
        <v>31</v>
      </c>
      <c r="B37" s="1184" t="s">
        <v>111</v>
      </c>
      <c r="C37" s="1185">
        <v>0</v>
      </c>
      <c r="D37" s="1186">
        <f>+'Table 5C1A-Madison Prep'!D37</f>
        <v>4520.6176716868531</v>
      </c>
      <c r="E37" s="1187">
        <f t="shared" si="5"/>
        <v>0</v>
      </c>
      <c r="F37" s="1187">
        <f>+'Table 5C1A-Madison Prep'!F37</f>
        <v>620.83000000000004</v>
      </c>
      <c r="G37" s="1187">
        <f t="shared" si="6"/>
        <v>0</v>
      </c>
      <c r="H37" s="1538">
        <f t="shared" si="7"/>
        <v>0</v>
      </c>
      <c r="I37" s="1188"/>
      <c r="J37" s="1188"/>
      <c r="K37" s="1189">
        <f t="shared" si="8"/>
        <v>0</v>
      </c>
      <c r="L37" s="1538">
        <f t="shared" si="9"/>
        <v>0</v>
      </c>
      <c r="M37" s="1372">
        <f t="shared" si="4"/>
        <v>0</v>
      </c>
      <c r="N37" s="1538">
        <f t="shared" si="10"/>
        <v>0</v>
      </c>
      <c r="O37" s="1186">
        <v>0</v>
      </c>
      <c r="P37" s="1544">
        <f t="shared" si="11"/>
        <v>0</v>
      </c>
      <c r="Q37" s="1188"/>
      <c r="R37" s="1188">
        <f t="shared" si="12"/>
        <v>0</v>
      </c>
      <c r="S37" s="1544">
        <f t="shared" si="13"/>
        <v>0</v>
      </c>
      <c r="T37" s="1544">
        <f t="shared" si="14"/>
        <v>0</v>
      </c>
      <c r="U37" s="1373">
        <f>'Table 5C1A-Madison Prep'!U37</f>
        <v>5043</v>
      </c>
      <c r="V37" s="1514">
        <f t="shared" si="15"/>
        <v>0</v>
      </c>
      <c r="W37" s="1375"/>
      <c r="X37" s="1376">
        <f t="shared" si="16"/>
        <v>0</v>
      </c>
      <c r="Y37" s="1375"/>
      <c r="Z37" s="1376">
        <f t="shared" si="17"/>
        <v>0</v>
      </c>
      <c r="AA37" s="1374">
        <f t="shared" si="18"/>
        <v>0</v>
      </c>
      <c r="AB37" s="1509">
        <f t="shared" si="19"/>
        <v>0</v>
      </c>
      <c r="AC37" s="1378">
        <f t="shared" si="20"/>
        <v>0</v>
      </c>
      <c r="AD37" s="1509">
        <f t="shared" si="21"/>
        <v>0</v>
      </c>
      <c r="AE37" s="1379">
        <v>0</v>
      </c>
      <c r="AF37" s="1509">
        <f t="shared" si="22"/>
        <v>0</v>
      </c>
      <c r="AG37" s="1379"/>
      <c r="AH37" s="1379">
        <f t="shared" si="23"/>
        <v>0</v>
      </c>
      <c r="AI37" s="1509">
        <f t="shared" si="24"/>
        <v>0</v>
      </c>
      <c r="AJ37" s="1530">
        <f t="shared" si="25"/>
        <v>0</v>
      </c>
      <c r="AK37" s="1534">
        <f t="shared" si="26"/>
        <v>0</v>
      </c>
    </row>
    <row r="38" spans="1:37" ht="16.2" customHeight="1">
      <c r="A38" s="1176">
        <v>32</v>
      </c>
      <c r="B38" s="1177" t="s">
        <v>112</v>
      </c>
      <c r="C38" s="1178">
        <v>0</v>
      </c>
      <c r="D38" s="1179">
        <f>+'Table 5C1A-Madison Prep'!D38</f>
        <v>5652.819189061127</v>
      </c>
      <c r="E38" s="1180">
        <f t="shared" si="5"/>
        <v>0</v>
      </c>
      <c r="F38" s="1180">
        <f>+'Table 5C1A-Madison Prep'!F38</f>
        <v>559.77</v>
      </c>
      <c r="G38" s="1180">
        <f t="shared" si="6"/>
        <v>0</v>
      </c>
      <c r="H38" s="1539">
        <f t="shared" si="7"/>
        <v>0</v>
      </c>
      <c r="I38" s="1181"/>
      <c r="J38" s="1181"/>
      <c r="K38" s="1182">
        <f t="shared" si="8"/>
        <v>0</v>
      </c>
      <c r="L38" s="1539">
        <f t="shared" si="9"/>
        <v>0</v>
      </c>
      <c r="M38" s="1388">
        <f t="shared" si="4"/>
        <v>0</v>
      </c>
      <c r="N38" s="1539">
        <f t="shared" si="10"/>
        <v>0</v>
      </c>
      <c r="O38" s="1179">
        <v>0</v>
      </c>
      <c r="P38" s="1545">
        <f t="shared" si="11"/>
        <v>0</v>
      </c>
      <c r="Q38" s="1181"/>
      <c r="R38" s="1181">
        <f t="shared" si="12"/>
        <v>0</v>
      </c>
      <c r="S38" s="1545">
        <f t="shared" si="13"/>
        <v>0</v>
      </c>
      <c r="T38" s="1545">
        <f t="shared" si="14"/>
        <v>0</v>
      </c>
      <c r="U38" s="1389">
        <f>'Table 5C1A-Madison Prep'!U38</f>
        <v>2121</v>
      </c>
      <c r="V38" s="1515">
        <f t="shared" si="15"/>
        <v>0</v>
      </c>
      <c r="W38" s="1391"/>
      <c r="X38" s="1392">
        <f t="shared" si="16"/>
        <v>0</v>
      </c>
      <c r="Y38" s="1391"/>
      <c r="Z38" s="1392">
        <f t="shared" si="17"/>
        <v>0</v>
      </c>
      <c r="AA38" s="1390">
        <f t="shared" si="18"/>
        <v>0</v>
      </c>
      <c r="AB38" s="1510">
        <f t="shared" si="19"/>
        <v>0</v>
      </c>
      <c r="AC38" s="1394">
        <f t="shared" si="20"/>
        <v>0</v>
      </c>
      <c r="AD38" s="1510">
        <f t="shared" si="21"/>
        <v>0</v>
      </c>
      <c r="AE38" s="1395">
        <v>0</v>
      </c>
      <c r="AF38" s="1510">
        <f t="shared" si="22"/>
        <v>0</v>
      </c>
      <c r="AG38" s="1395"/>
      <c r="AH38" s="1395">
        <f t="shared" si="23"/>
        <v>0</v>
      </c>
      <c r="AI38" s="1510">
        <f t="shared" si="24"/>
        <v>0</v>
      </c>
      <c r="AJ38" s="1505">
        <f t="shared" si="25"/>
        <v>0</v>
      </c>
      <c r="AK38" s="1535">
        <f t="shared" si="26"/>
        <v>0</v>
      </c>
    </row>
    <row r="39" spans="1:37" ht="16.2" customHeight="1">
      <c r="A39" s="1176">
        <v>33</v>
      </c>
      <c r="B39" s="1177" t="s">
        <v>113</v>
      </c>
      <c r="C39" s="1178">
        <v>0</v>
      </c>
      <c r="D39" s="1179">
        <f>+'Table 5C1A-Madison Prep'!D39</f>
        <v>5456.2254558085233</v>
      </c>
      <c r="E39" s="1180">
        <f t="shared" si="5"/>
        <v>0</v>
      </c>
      <c r="F39" s="1180">
        <f>+'Table 5C1A-Madison Prep'!F39</f>
        <v>655.31000000000006</v>
      </c>
      <c r="G39" s="1180">
        <f t="shared" si="6"/>
        <v>0</v>
      </c>
      <c r="H39" s="1539">
        <f t="shared" si="7"/>
        <v>0</v>
      </c>
      <c r="I39" s="1181"/>
      <c r="J39" s="1181"/>
      <c r="K39" s="1182">
        <f t="shared" si="8"/>
        <v>0</v>
      </c>
      <c r="L39" s="1539">
        <f t="shared" si="9"/>
        <v>0</v>
      </c>
      <c r="M39" s="1388">
        <f t="shared" si="4"/>
        <v>0</v>
      </c>
      <c r="N39" s="1539">
        <f t="shared" si="10"/>
        <v>0</v>
      </c>
      <c r="O39" s="1179">
        <v>0</v>
      </c>
      <c r="P39" s="1545">
        <f t="shared" si="11"/>
        <v>0</v>
      </c>
      <c r="Q39" s="1181"/>
      <c r="R39" s="1181">
        <f t="shared" si="12"/>
        <v>0</v>
      </c>
      <c r="S39" s="1545">
        <f t="shared" si="13"/>
        <v>0</v>
      </c>
      <c r="T39" s="1545">
        <f t="shared" si="14"/>
        <v>0</v>
      </c>
      <c r="U39" s="1389">
        <f>'Table 5C1A-Madison Prep'!U39</f>
        <v>3616</v>
      </c>
      <c r="V39" s="1515">
        <f t="shared" si="15"/>
        <v>0</v>
      </c>
      <c r="W39" s="1391"/>
      <c r="X39" s="1392">
        <f t="shared" si="16"/>
        <v>0</v>
      </c>
      <c r="Y39" s="1391"/>
      <c r="Z39" s="1392">
        <f t="shared" si="17"/>
        <v>0</v>
      </c>
      <c r="AA39" s="1390">
        <f t="shared" si="18"/>
        <v>0</v>
      </c>
      <c r="AB39" s="1510">
        <f t="shared" si="19"/>
        <v>0</v>
      </c>
      <c r="AC39" s="1394">
        <f t="shared" si="20"/>
        <v>0</v>
      </c>
      <c r="AD39" s="1510">
        <f t="shared" si="21"/>
        <v>0</v>
      </c>
      <c r="AE39" s="1395">
        <v>0</v>
      </c>
      <c r="AF39" s="1510">
        <f t="shared" si="22"/>
        <v>0</v>
      </c>
      <c r="AG39" s="1395"/>
      <c r="AH39" s="1395">
        <f t="shared" si="23"/>
        <v>0</v>
      </c>
      <c r="AI39" s="1510">
        <f t="shared" si="24"/>
        <v>0</v>
      </c>
      <c r="AJ39" s="1505">
        <f t="shared" si="25"/>
        <v>0</v>
      </c>
      <c r="AK39" s="1535">
        <f t="shared" si="26"/>
        <v>0</v>
      </c>
    </row>
    <row r="40" spans="1:37" ht="16.2" customHeight="1">
      <c r="A40" s="1176">
        <v>34</v>
      </c>
      <c r="B40" s="1177" t="s">
        <v>114</v>
      </c>
      <c r="C40" s="1178">
        <v>20</v>
      </c>
      <c r="D40" s="1179">
        <f>+'Table 5C1A-Madison Prep'!D40</f>
        <v>6292.0976842789005</v>
      </c>
      <c r="E40" s="1180">
        <f t="shared" si="5"/>
        <v>125841.95368557802</v>
      </c>
      <c r="F40" s="1180">
        <f>+'Table 5C1A-Madison Prep'!F40</f>
        <v>644.11000000000013</v>
      </c>
      <c r="G40" s="1180">
        <f t="shared" si="6"/>
        <v>12882.200000000003</v>
      </c>
      <c r="H40" s="1539">
        <f t="shared" si="7"/>
        <v>138724.15368557803</v>
      </c>
      <c r="I40" s="1181"/>
      <c r="J40" s="1181"/>
      <c r="K40" s="1182">
        <f t="shared" si="8"/>
        <v>0</v>
      </c>
      <c r="L40" s="1539">
        <f t="shared" si="9"/>
        <v>138724.15368557803</v>
      </c>
      <c r="M40" s="1388">
        <f t="shared" si="4"/>
        <v>-346.8103842139451</v>
      </c>
      <c r="N40" s="1539">
        <f t="shared" si="10"/>
        <v>138377.34330136408</v>
      </c>
      <c r="O40" s="1179">
        <v>0</v>
      </c>
      <c r="P40" s="1545">
        <f t="shared" si="11"/>
        <v>138377.34330136408</v>
      </c>
      <c r="Q40" s="1181"/>
      <c r="R40" s="1181">
        <f t="shared" si="12"/>
        <v>138377.34330136408</v>
      </c>
      <c r="S40" s="1545">
        <f t="shared" si="13"/>
        <v>11531</v>
      </c>
      <c r="T40" s="1545">
        <f t="shared" si="14"/>
        <v>138377.34330136408</v>
      </c>
      <c r="U40" s="1389">
        <f>'Table 5C1A-Madison Prep'!U40</f>
        <v>2721</v>
      </c>
      <c r="V40" s="1515">
        <f t="shared" si="15"/>
        <v>54420</v>
      </c>
      <c r="W40" s="1391"/>
      <c r="X40" s="1392">
        <f t="shared" si="16"/>
        <v>0</v>
      </c>
      <c r="Y40" s="1391"/>
      <c r="Z40" s="1392">
        <f t="shared" si="17"/>
        <v>0</v>
      </c>
      <c r="AA40" s="1390">
        <f t="shared" si="18"/>
        <v>0</v>
      </c>
      <c r="AB40" s="1510">
        <f t="shared" si="19"/>
        <v>54420</v>
      </c>
      <c r="AC40" s="1394">
        <f t="shared" si="20"/>
        <v>-136.05000000000001</v>
      </c>
      <c r="AD40" s="1510">
        <f t="shared" si="21"/>
        <v>54283.95</v>
      </c>
      <c r="AE40" s="1395">
        <v>0</v>
      </c>
      <c r="AF40" s="1510">
        <f t="shared" si="22"/>
        <v>54283.95</v>
      </c>
      <c r="AG40" s="1395"/>
      <c r="AH40" s="1395">
        <f t="shared" si="23"/>
        <v>54283.95</v>
      </c>
      <c r="AI40" s="1510">
        <f t="shared" si="24"/>
        <v>4524</v>
      </c>
      <c r="AJ40" s="1505">
        <f t="shared" si="25"/>
        <v>192661.29330136406</v>
      </c>
      <c r="AK40" s="1535">
        <f t="shared" si="26"/>
        <v>16055</v>
      </c>
    </row>
    <row r="41" spans="1:37" ht="16.2" customHeight="1">
      <c r="A41" s="1168">
        <v>35</v>
      </c>
      <c r="B41" s="1169" t="s">
        <v>115</v>
      </c>
      <c r="C41" s="1170">
        <v>0</v>
      </c>
      <c r="D41" s="1171">
        <f>+'Table 5C1A-Madison Prep'!D41</f>
        <v>5166.2482060477605</v>
      </c>
      <c r="E41" s="1172">
        <f t="shared" si="5"/>
        <v>0</v>
      </c>
      <c r="F41" s="1172">
        <f>+'Table 5C1A-Madison Prep'!F41</f>
        <v>537.96</v>
      </c>
      <c r="G41" s="1172">
        <f t="shared" si="6"/>
        <v>0</v>
      </c>
      <c r="H41" s="1540">
        <f t="shared" si="7"/>
        <v>0</v>
      </c>
      <c r="I41" s="1173"/>
      <c r="J41" s="1173"/>
      <c r="K41" s="1174">
        <f t="shared" si="8"/>
        <v>0</v>
      </c>
      <c r="L41" s="1540">
        <f t="shared" si="9"/>
        <v>0</v>
      </c>
      <c r="M41" s="1399">
        <f t="shared" si="4"/>
        <v>0</v>
      </c>
      <c r="N41" s="1540">
        <f t="shared" si="10"/>
        <v>0</v>
      </c>
      <c r="O41" s="1171">
        <v>0</v>
      </c>
      <c r="P41" s="1546">
        <f t="shared" si="11"/>
        <v>0</v>
      </c>
      <c r="Q41" s="1173"/>
      <c r="R41" s="1173">
        <f t="shared" si="12"/>
        <v>0</v>
      </c>
      <c r="S41" s="1546">
        <f t="shared" si="13"/>
        <v>0</v>
      </c>
      <c r="T41" s="1546">
        <f t="shared" si="14"/>
        <v>0</v>
      </c>
      <c r="U41" s="1382">
        <f>'Table 5C1A-Madison Prep'!U41</f>
        <v>3255</v>
      </c>
      <c r="V41" s="1516">
        <f t="shared" si="15"/>
        <v>0</v>
      </c>
      <c r="W41" s="1400"/>
      <c r="X41" s="1383">
        <f t="shared" si="16"/>
        <v>0</v>
      </c>
      <c r="Y41" s="1400"/>
      <c r="Z41" s="1383">
        <f t="shared" si="17"/>
        <v>0</v>
      </c>
      <c r="AA41" s="1384">
        <f t="shared" si="18"/>
        <v>0</v>
      </c>
      <c r="AB41" s="1511">
        <f t="shared" si="19"/>
        <v>0</v>
      </c>
      <c r="AC41" s="1402">
        <f t="shared" si="20"/>
        <v>0</v>
      </c>
      <c r="AD41" s="1511">
        <f t="shared" si="21"/>
        <v>0</v>
      </c>
      <c r="AE41" s="1385">
        <v>0</v>
      </c>
      <c r="AF41" s="1511">
        <f t="shared" si="22"/>
        <v>0</v>
      </c>
      <c r="AG41" s="1385"/>
      <c r="AH41" s="1385">
        <f t="shared" si="23"/>
        <v>0</v>
      </c>
      <c r="AI41" s="1511">
        <f t="shared" si="24"/>
        <v>0</v>
      </c>
      <c r="AJ41" s="1531">
        <f t="shared" si="25"/>
        <v>0</v>
      </c>
      <c r="AK41" s="1536">
        <f t="shared" si="26"/>
        <v>0</v>
      </c>
    </row>
    <row r="42" spans="1:37" ht="16.2" customHeight="1">
      <c r="A42" s="1183">
        <v>36</v>
      </c>
      <c r="B42" s="1184" t="s">
        <v>116</v>
      </c>
      <c r="C42" s="1185">
        <v>0</v>
      </c>
      <c r="D42" s="1186">
        <f>+'Table 5C1A-Madison Prep'!D42</f>
        <v>3602.7009974327857</v>
      </c>
      <c r="E42" s="1187">
        <f t="shared" si="5"/>
        <v>0</v>
      </c>
      <c r="F42" s="1187">
        <f>+'Table 5C1A-Madison Prep'!F42</f>
        <v>746.0335616438357</v>
      </c>
      <c r="G42" s="1187">
        <f t="shared" si="6"/>
        <v>0</v>
      </c>
      <c r="H42" s="1538">
        <f t="shared" si="7"/>
        <v>0</v>
      </c>
      <c r="I42" s="1188"/>
      <c r="J42" s="1188"/>
      <c r="K42" s="1189">
        <f t="shared" si="8"/>
        <v>0</v>
      </c>
      <c r="L42" s="1538">
        <f t="shared" si="9"/>
        <v>0</v>
      </c>
      <c r="M42" s="1372">
        <f t="shared" si="4"/>
        <v>0</v>
      </c>
      <c r="N42" s="1538">
        <f t="shared" si="10"/>
        <v>0</v>
      </c>
      <c r="O42" s="1186">
        <v>0</v>
      </c>
      <c r="P42" s="1544">
        <f t="shared" si="11"/>
        <v>0</v>
      </c>
      <c r="Q42" s="1188"/>
      <c r="R42" s="1188">
        <f t="shared" si="12"/>
        <v>0</v>
      </c>
      <c r="S42" s="1544">
        <f t="shared" si="13"/>
        <v>0</v>
      </c>
      <c r="T42" s="1544">
        <f t="shared" si="14"/>
        <v>0</v>
      </c>
      <c r="U42" s="1373">
        <f>'Table 5C1A-Madison Prep'!U42</f>
        <v>5435</v>
      </c>
      <c r="V42" s="1514">
        <f t="shared" si="15"/>
        <v>0</v>
      </c>
      <c r="W42" s="1375"/>
      <c r="X42" s="1376">
        <f t="shared" si="16"/>
        <v>0</v>
      </c>
      <c r="Y42" s="1375"/>
      <c r="Z42" s="1376">
        <f t="shared" si="17"/>
        <v>0</v>
      </c>
      <c r="AA42" s="1374">
        <f t="shared" si="18"/>
        <v>0</v>
      </c>
      <c r="AB42" s="1509">
        <f t="shared" si="19"/>
        <v>0</v>
      </c>
      <c r="AC42" s="1378">
        <f t="shared" si="20"/>
        <v>0</v>
      </c>
      <c r="AD42" s="1509">
        <f t="shared" si="21"/>
        <v>0</v>
      </c>
      <c r="AE42" s="1379">
        <v>0</v>
      </c>
      <c r="AF42" s="1509">
        <f t="shared" si="22"/>
        <v>0</v>
      </c>
      <c r="AG42" s="1379"/>
      <c r="AH42" s="1379">
        <f t="shared" si="23"/>
        <v>0</v>
      </c>
      <c r="AI42" s="1509">
        <f t="shared" si="24"/>
        <v>0</v>
      </c>
      <c r="AJ42" s="1530">
        <f t="shared" si="25"/>
        <v>0</v>
      </c>
      <c r="AK42" s="1534">
        <f t="shared" si="26"/>
        <v>0</v>
      </c>
    </row>
    <row r="43" spans="1:37" ht="16.2" customHeight="1">
      <c r="A43" s="1176">
        <v>37</v>
      </c>
      <c r="B43" s="1177" t="s">
        <v>117</v>
      </c>
      <c r="C43" s="1178">
        <v>20</v>
      </c>
      <c r="D43" s="1179">
        <f>+'Table 5C1A-Madison Prep'!D43</f>
        <v>5665.3839260317691</v>
      </c>
      <c r="E43" s="1180">
        <f t="shared" si="5"/>
        <v>113307.67852063538</v>
      </c>
      <c r="F43" s="1180">
        <f>+'Table 5C1A-Madison Prep'!F43</f>
        <v>653.61</v>
      </c>
      <c r="G43" s="1180">
        <f t="shared" si="6"/>
        <v>13072.2</v>
      </c>
      <c r="H43" s="1539">
        <f t="shared" si="7"/>
        <v>126379.87852063538</v>
      </c>
      <c r="I43" s="1181"/>
      <c r="J43" s="1181"/>
      <c r="K43" s="1182">
        <f t="shared" si="8"/>
        <v>0</v>
      </c>
      <c r="L43" s="1539">
        <f t="shared" si="9"/>
        <v>126379.87852063538</v>
      </c>
      <c r="M43" s="1388">
        <f t="shared" si="4"/>
        <v>-315.94969630158846</v>
      </c>
      <c r="N43" s="1539">
        <f t="shared" si="10"/>
        <v>126063.92882433379</v>
      </c>
      <c r="O43" s="1179">
        <v>0</v>
      </c>
      <c r="P43" s="1545">
        <f t="shared" si="11"/>
        <v>126063.92882433379</v>
      </c>
      <c r="Q43" s="1181"/>
      <c r="R43" s="1181">
        <f t="shared" si="12"/>
        <v>126063.92882433379</v>
      </c>
      <c r="S43" s="1545">
        <f t="shared" si="13"/>
        <v>10505</v>
      </c>
      <c r="T43" s="1545">
        <f t="shared" si="14"/>
        <v>126063.92882433379</v>
      </c>
      <c r="U43" s="1389">
        <f>'Table 5C1A-Madison Prep'!U43</f>
        <v>3520</v>
      </c>
      <c r="V43" s="1515">
        <f t="shared" si="15"/>
        <v>70400</v>
      </c>
      <c r="W43" s="1391"/>
      <c r="X43" s="1392">
        <f t="shared" si="16"/>
        <v>0</v>
      </c>
      <c r="Y43" s="1391"/>
      <c r="Z43" s="1392">
        <f t="shared" si="17"/>
        <v>0</v>
      </c>
      <c r="AA43" s="1390">
        <f t="shared" si="18"/>
        <v>0</v>
      </c>
      <c r="AB43" s="1510">
        <f t="shared" si="19"/>
        <v>70400</v>
      </c>
      <c r="AC43" s="1394">
        <f t="shared" si="20"/>
        <v>-176</v>
      </c>
      <c r="AD43" s="1510">
        <f t="shared" si="21"/>
        <v>70224</v>
      </c>
      <c r="AE43" s="1395">
        <v>0</v>
      </c>
      <c r="AF43" s="1510">
        <f t="shared" si="22"/>
        <v>70224</v>
      </c>
      <c r="AG43" s="1395"/>
      <c r="AH43" s="1395">
        <f t="shared" si="23"/>
        <v>70224</v>
      </c>
      <c r="AI43" s="1510">
        <f t="shared" si="24"/>
        <v>5852</v>
      </c>
      <c r="AJ43" s="1505">
        <f t="shared" si="25"/>
        <v>196287.92882433379</v>
      </c>
      <c r="AK43" s="1535">
        <f t="shared" si="26"/>
        <v>16357</v>
      </c>
    </row>
    <row r="44" spans="1:37" ht="16.2" customHeight="1">
      <c r="A44" s="1176">
        <v>38</v>
      </c>
      <c r="B44" s="1177" t="s">
        <v>118</v>
      </c>
      <c r="C44" s="1178">
        <v>0</v>
      </c>
      <c r="D44" s="1179">
        <f>+'Table 5C1A-Madison Prep'!D44</f>
        <v>2088.8017552916881</v>
      </c>
      <c r="E44" s="1180">
        <f t="shared" si="5"/>
        <v>0</v>
      </c>
      <c r="F44" s="1180">
        <f>+'Table 5C1A-Madison Prep'!F44</f>
        <v>829.92000000000007</v>
      </c>
      <c r="G44" s="1180">
        <f t="shared" si="6"/>
        <v>0</v>
      </c>
      <c r="H44" s="1539">
        <f t="shared" si="7"/>
        <v>0</v>
      </c>
      <c r="I44" s="1181"/>
      <c r="J44" s="1181"/>
      <c r="K44" s="1182">
        <f t="shared" si="8"/>
        <v>0</v>
      </c>
      <c r="L44" s="1539">
        <f t="shared" si="9"/>
        <v>0</v>
      </c>
      <c r="M44" s="1388">
        <f t="shared" si="4"/>
        <v>0</v>
      </c>
      <c r="N44" s="1539">
        <f t="shared" si="10"/>
        <v>0</v>
      </c>
      <c r="O44" s="1179">
        <v>0</v>
      </c>
      <c r="P44" s="1545">
        <f t="shared" si="11"/>
        <v>0</v>
      </c>
      <c r="Q44" s="1181"/>
      <c r="R44" s="1181">
        <f t="shared" si="12"/>
        <v>0</v>
      </c>
      <c r="S44" s="1545">
        <f t="shared" si="13"/>
        <v>0</v>
      </c>
      <c r="T44" s="1545">
        <f t="shared" si="14"/>
        <v>0</v>
      </c>
      <c r="U44" s="1389">
        <f>'Table 5C1A-Madison Prep'!U44</f>
        <v>11379</v>
      </c>
      <c r="V44" s="1515">
        <f t="shared" si="15"/>
        <v>0</v>
      </c>
      <c r="W44" s="1391"/>
      <c r="X44" s="1392">
        <f t="shared" si="16"/>
        <v>0</v>
      </c>
      <c r="Y44" s="1391"/>
      <c r="Z44" s="1392">
        <f t="shared" si="17"/>
        <v>0</v>
      </c>
      <c r="AA44" s="1390">
        <f t="shared" si="18"/>
        <v>0</v>
      </c>
      <c r="AB44" s="1510">
        <f t="shared" si="19"/>
        <v>0</v>
      </c>
      <c r="AC44" s="1394">
        <f t="shared" si="20"/>
        <v>0</v>
      </c>
      <c r="AD44" s="1510">
        <f t="shared" si="21"/>
        <v>0</v>
      </c>
      <c r="AE44" s="1395">
        <v>0</v>
      </c>
      <c r="AF44" s="1510">
        <f t="shared" si="22"/>
        <v>0</v>
      </c>
      <c r="AG44" s="1395"/>
      <c r="AH44" s="1395">
        <f t="shared" si="23"/>
        <v>0</v>
      </c>
      <c r="AI44" s="1510">
        <f t="shared" si="24"/>
        <v>0</v>
      </c>
      <c r="AJ44" s="1505">
        <f t="shared" si="25"/>
        <v>0</v>
      </c>
      <c r="AK44" s="1535">
        <f t="shared" si="26"/>
        <v>0</v>
      </c>
    </row>
    <row r="45" spans="1:37" ht="16.2" customHeight="1">
      <c r="A45" s="1176">
        <v>39</v>
      </c>
      <c r="B45" s="1177" t="s">
        <v>119</v>
      </c>
      <c r="C45" s="1178">
        <v>0</v>
      </c>
      <c r="D45" s="1179">
        <f>+'Table 5C1A-Madison Prep'!D45</f>
        <v>3656.9056809295676</v>
      </c>
      <c r="E45" s="1180">
        <f t="shared" si="5"/>
        <v>0</v>
      </c>
      <c r="F45" s="1180">
        <f>+'Table 5C1A-Madison Prep'!F45</f>
        <v>779.65573042776396</v>
      </c>
      <c r="G45" s="1180">
        <f t="shared" si="6"/>
        <v>0</v>
      </c>
      <c r="H45" s="1539">
        <f t="shared" si="7"/>
        <v>0</v>
      </c>
      <c r="I45" s="1181"/>
      <c r="J45" s="1181"/>
      <c r="K45" s="1182">
        <f t="shared" si="8"/>
        <v>0</v>
      </c>
      <c r="L45" s="1539">
        <f t="shared" si="9"/>
        <v>0</v>
      </c>
      <c r="M45" s="1388">
        <f t="shared" si="4"/>
        <v>0</v>
      </c>
      <c r="N45" s="1539">
        <f t="shared" si="10"/>
        <v>0</v>
      </c>
      <c r="O45" s="1179">
        <v>0</v>
      </c>
      <c r="P45" s="1545">
        <f t="shared" si="11"/>
        <v>0</v>
      </c>
      <c r="Q45" s="1181"/>
      <c r="R45" s="1181">
        <f t="shared" si="12"/>
        <v>0</v>
      </c>
      <c r="S45" s="1545">
        <f t="shared" si="13"/>
        <v>0</v>
      </c>
      <c r="T45" s="1545">
        <f t="shared" si="14"/>
        <v>0</v>
      </c>
      <c r="U45" s="1389">
        <f>'Table 5C1A-Madison Prep'!U45</f>
        <v>4955</v>
      </c>
      <c r="V45" s="1515">
        <f t="shared" si="15"/>
        <v>0</v>
      </c>
      <c r="W45" s="1391"/>
      <c r="X45" s="1392">
        <f t="shared" si="16"/>
        <v>0</v>
      </c>
      <c r="Y45" s="1391"/>
      <c r="Z45" s="1392">
        <f t="shared" si="17"/>
        <v>0</v>
      </c>
      <c r="AA45" s="1390">
        <f t="shared" si="18"/>
        <v>0</v>
      </c>
      <c r="AB45" s="1510">
        <f t="shared" si="19"/>
        <v>0</v>
      </c>
      <c r="AC45" s="1394">
        <f t="shared" si="20"/>
        <v>0</v>
      </c>
      <c r="AD45" s="1510">
        <f t="shared" si="21"/>
        <v>0</v>
      </c>
      <c r="AE45" s="1395">
        <v>0</v>
      </c>
      <c r="AF45" s="1510">
        <f t="shared" si="22"/>
        <v>0</v>
      </c>
      <c r="AG45" s="1395"/>
      <c r="AH45" s="1395">
        <f t="shared" si="23"/>
        <v>0</v>
      </c>
      <c r="AI45" s="1510">
        <f t="shared" si="24"/>
        <v>0</v>
      </c>
      <c r="AJ45" s="1505">
        <f t="shared" si="25"/>
        <v>0</v>
      </c>
      <c r="AK45" s="1535">
        <f t="shared" si="26"/>
        <v>0</v>
      </c>
    </row>
    <row r="46" spans="1:37" ht="16.2" customHeight="1">
      <c r="A46" s="1168">
        <v>40</v>
      </c>
      <c r="B46" s="1169" t="s">
        <v>120</v>
      </c>
      <c r="C46" s="1170">
        <v>0</v>
      </c>
      <c r="D46" s="1171">
        <f>+'Table 5C1A-Madison Prep'!D46</f>
        <v>5121.8110285698403</v>
      </c>
      <c r="E46" s="1172">
        <f t="shared" si="5"/>
        <v>0</v>
      </c>
      <c r="F46" s="1172">
        <f>+'Table 5C1A-Madison Prep'!F46</f>
        <v>700.2700000000001</v>
      </c>
      <c r="G46" s="1172">
        <f t="shared" si="6"/>
        <v>0</v>
      </c>
      <c r="H46" s="1540">
        <f t="shared" si="7"/>
        <v>0</v>
      </c>
      <c r="I46" s="1173"/>
      <c r="J46" s="1173"/>
      <c r="K46" s="1174">
        <f t="shared" si="8"/>
        <v>0</v>
      </c>
      <c r="L46" s="1540">
        <f t="shared" si="9"/>
        <v>0</v>
      </c>
      <c r="M46" s="1399">
        <f t="shared" si="4"/>
        <v>0</v>
      </c>
      <c r="N46" s="1540">
        <f t="shared" si="10"/>
        <v>0</v>
      </c>
      <c r="O46" s="1171">
        <v>0</v>
      </c>
      <c r="P46" s="1546">
        <f t="shared" si="11"/>
        <v>0</v>
      </c>
      <c r="Q46" s="1173"/>
      <c r="R46" s="1173">
        <f t="shared" si="12"/>
        <v>0</v>
      </c>
      <c r="S46" s="1546">
        <f t="shared" si="13"/>
        <v>0</v>
      </c>
      <c r="T46" s="1546">
        <f t="shared" si="14"/>
        <v>0</v>
      </c>
      <c r="U46" s="1382">
        <f>'Table 5C1A-Madison Prep'!U46</f>
        <v>3069</v>
      </c>
      <c r="V46" s="1516">
        <f t="shared" si="15"/>
        <v>0</v>
      </c>
      <c r="W46" s="1400"/>
      <c r="X46" s="1383">
        <f t="shared" si="16"/>
        <v>0</v>
      </c>
      <c r="Y46" s="1400"/>
      <c r="Z46" s="1383">
        <f t="shared" si="17"/>
        <v>0</v>
      </c>
      <c r="AA46" s="1384">
        <f t="shared" si="18"/>
        <v>0</v>
      </c>
      <c r="AB46" s="1511">
        <f t="shared" si="19"/>
        <v>0</v>
      </c>
      <c r="AC46" s="1402">
        <f t="shared" si="20"/>
        <v>0</v>
      </c>
      <c r="AD46" s="1511">
        <f t="shared" si="21"/>
        <v>0</v>
      </c>
      <c r="AE46" s="1385">
        <v>0</v>
      </c>
      <c r="AF46" s="1511">
        <f t="shared" si="22"/>
        <v>0</v>
      </c>
      <c r="AG46" s="1385"/>
      <c r="AH46" s="1385">
        <f t="shared" si="23"/>
        <v>0</v>
      </c>
      <c r="AI46" s="1511">
        <f t="shared" si="24"/>
        <v>0</v>
      </c>
      <c r="AJ46" s="1531">
        <f t="shared" si="25"/>
        <v>0</v>
      </c>
      <c r="AK46" s="1536">
        <f t="shared" si="26"/>
        <v>0</v>
      </c>
    </row>
    <row r="47" spans="1:37" ht="16.2" customHeight="1">
      <c r="A47" s="1183">
        <v>41</v>
      </c>
      <c r="B47" s="1184" t="s">
        <v>121</v>
      </c>
      <c r="C47" s="1185">
        <v>0</v>
      </c>
      <c r="D47" s="1186">
        <f>+'Table 5C1A-Madison Prep'!D47</f>
        <v>3291.1948574716475</v>
      </c>
      <c r="E47" s="1187">
        <f t="shared" si="5"/>
        <v>0</v>
      </c>
      <c r="F47" s="1187">
        <f>+'Table 5C1A-Madison Prep'!F47</f>
        <v>886.22</v>
      </c>
      <c r="G47" s="1187">
        <f t="shared" si="6"/>
        <v>0</v>
      </c>
      <c r="H47" s="1538">
        <f t="shared" si="7"/>
        <v>0</v>
      </c>
      <c r="I47" s="1188"/>
      <c r="J47" s="1188"/>
      <c r="K47" s="1189">
        <f t="shared" si="8"/>
        <v>0</v>
      </c>
      <c r="L47" s="1538">
        <f t="shared" si="9"/>
        <v>0</v>
      </c>
      <c r="M47" s="1372">
        <f t="shared" si="4"/>
        <v>0</v>
      </c>
      <c r="N47" s="1538">
        <f t="shared" si="10"/>
        <v>0</v>
      </c>
      <c r="O47" s="1186">
        <v>0</v>
      </c>
      <c r="P47" s="1544">
        <f t="shared" si="11"/>
        <v>0</v>
      </c>
      <c r="Q47" s="1188"/>
      <c r="R47" s="1188">
        <f t="shared" si="12"/>
        <v>0</v>
      </c>
      <c r="S47" s="1544">
        <f t="shared" si="13"/>
        <v>0</v>
      </c>
      <c r="T47" s="1544">
        <f t="shared" si="14"/>
        <v>0</v>
      </c>
      <c r="U47" s="1373">
        <f>'Table 5C1A-Madison Prep'!U47</f>
        <v>8478</v>
      </c>
      <c r="V47" s="1514">
        <f t="shared" si="15"/>
        <v>0</v>
      </c>
      <c r="W47" s="1375"/>
      <c r="X47" s="1376">
        <f t="shared" si="16"/>
        <v>0</v>
      </c>
      <c r="Y47" s="1375"/>
      <c r="Z47" s="1376">
        <f t="shared" si="17"/>
        <v>0</v>
      </c>
      <c r="AA47" s="1374">
        <f t="shared" si="18"/>
        <v>0</v>
      </c>
      <c r="AB47" s="1509">
        <f t="shared" si="19"/>
        <v>0</v>
      </c>
      <c r="AC47" s="1378">
        <f t="shared" si="20"/>
        <v>0</v>
      </c>
      <c r="AD47" s="1509">
        <f t="shared" si="21"/>
        <v>0</v>
      </c>
      <c r="AE47" s="1379">
        <v>0</v>
      </c>
      <c r="AF47" s="1509">
        <f t="shared" si="22"/>
        <v>0</v>
      </c>
      <c r="AG47" s="1379"/>
      <c r="AH47" s="1379">
        <f t="shared" si="23"/>
        <v>0</v>
      </c>
      <c r="AI47" s="1509">
        <f t="shared" si="24"/>
        <v>0</v>
      </c>
      <c r="AJ47" s="1530">
        <f t="shared" si="25"/>
        <v>0</v>
      </c>
      <c r="AK47" s="1534">
        <f t="shared" si="26"/>
        <v>0</v>
      </c>
    </row>
    <row r="48" spans="1:37" ht="16.2" customHeight="1">
      <c r="A48" s="1176">
        <v>42</v>
      </c>
      <c r="B48" s="1177" t="s">
        <v>122</v>
      </c>
      <c r="C48" s="1178">
        <v>10</v>
      </c>
      <c r="D48" s="1179">
        <f>+'Table 5C1A-Madison Prep'!D48</f>
        <v>5113.6077751368684</v>
      </c>
      <c r="E48" s="1180">
        <f t="shared" si="5"/>
        <v>51136.077751368684</v>
      </c>
      <c r="F48" s="1180">
        <f>+'Table 5C1A-Madison Prep'!F48</f>
        <v>534.28</v>
      </c>
      <c r="G48" s="1180">
        <f t="shared" si="6"/>
        <v>5342.7999999999993</v>
      </c>
      <c r="H48" s="1539">
        <f t="shared" si="7"/>
        <v>56478.87775136868</v>
      </c>
      <c r="I48" s="1181"/>
      <c r="J48" s="1181"/>
      <c r="K48" s="1182">
        <f t="shared" si="8"/>
        <v>0</v>
      </c>
      <c r="L48" s="1539">
        <f t="shared" si="9"/>
        <v>56478.87775136868</v>
      </c>
      <c r="M48" s="1388">
        <f t="shared" si="4"/>
        <v>-141.1971943784217</v>
      </c>
      <c r="N48" s="1539">
        <f t="shared" si="10"/>
        <v>56337.680556990257</v>
      </c>
      <c r="O48" s="1179">
        <v>0</v>
      </c>
      <c r="P48" s="1545">
        <f t="shared" si="11"/>
        <v>56337.680556990257</v>
      </c>
      <c r="Q48" s="1181"/>
      <c r="R48" s="1181">
        <f t="shared" si="12"/>
        <v>56337.680556990257</v>
      </c>
      <c r="S48" s="1545">
        <f t="shared" si="13"/>
        <v>4695</v>
      </c>
      <c r="T48" s="1545">
        <f t="shared" si="14"/>
        <v>56337.680556990257</v>
      </c>
      <c r="U48" s="1389">
        <f>'Table 5C1A-Madison Prep'!U48</f>
        <v>3578</v>
      </c>
      <c r="V48" s="1515">
        <f t="shared" si="15"/>
        <v>35780</v>
      </c>
      <c r="W48" s="1391"/>
      <c r="X48" s="1392">
        <f t="shared" si="16"/>
        <v>0</v>
      </c>
      <c r="Y48" s="1391"/>
      <c r="Z48" s="1392">
        <f t="shared" si="17"/>
        <v>0</v>
      </c>
      <c r="AA48" s="1390">
        <f t="shared" si="18"/>
        <v>0</v>
      </c>
      <c r="AB48" s="1510">
        <f t="shared" si="19"/>
        <v>35780</v>
      </c>
      <c r="AC48" s="1394">
        <f t="shared" si="20"/>
        <v>-89.45</v>
      </c>
      <c r="AD48" s="1510">
        <f t="shared" si="21"/>
        <v>35690.550000000003</v>
      </c>
      <c r="AE48" s="1395">
        <v>0</v>
      </c>
      <c r="AF48" s="1510">
        <f t="shared" si="22"/>
        <v>35690.550000000003</v>
      </c>
      <c r="AG48" s="1395"/>
      <c r="AH48" s="1395">
        <f t="shared" si="23"/>
        <v>35690.550000000003</v>
      </c>
      <c r="AI48" s="1510">
        <f t="shared" si="24"/>
        <v>2974</v>
      </c>
      <c r="AJ48" s="1505">
        <f t="shared" si="25"/>
        <v>92028.230556990253</v>
      </c>
      <c r="AK48" s="1535">
        <f t="shared" si="26"/>
        <v>7669</v>
      </c>
    </row>
    <row r="49" spans="1:37" ht="16.2" customHeight="1">
      <c r="A49" s="1176">
        <v>43</v>
      </c>
      <c r="B49" s="1177" t="s">
        <v>123</v>
      </c>
      <c r="C49" s="1178">
        <v>0</v>
      </c>
      <c r="D49" s="1179">
        <f>+'Table 5C1A-Madison Prep'!D49</f>
        <v>5788.74387205947</v>
      </c>
      <c r="E49" s="1180">
        <f t="shared" si="5"/>
        <v>0</v>
      </c>
      <c r="F49" s="1180">
        <f>+'Table 5C1A-Madison Prep'!F49</f>
        <v>574.6099999999999</v>
      </c>
      <c r="G49" s="1180">
        <f t="shared" si="6"/>
        <v>0</v>
      </c>
      <c r="H49" s="1539">
        <f t="shared" si="7"/>
        <v>0</v>
      </c>
      <c r="I49" s="1181"/>
      <c r="J49" s="1181"/>
      <c r="K49" s="1182">
        <f t="shared" si="8"/>
        <v>0</v>
      </c>
      <c r="L49" s="1539">
        <f t="shared" si="9"/>
        <v>0</v>
      </c>
      <c r="M49" s="1388">
        <f t="shared" si="4"/>
        <v>0</v>
      </c>
      <c r="N49" s="1539">
        <f t="shared" si="10"/>
        <v>0</v>
      </c>
      <c r="O49" s="1179">
        <v>0</v>
      </c>
      <c r="P49" s="1545">
        <f t="shared" si="11"/>
        <v>0</v>
      </c>
      <c r="Q49" s="1181"/>
      <c r="R49" s="1181">
        <f t="shared" si="12"/>
        <v>0</v>
      </c>
      <c r="S49" s="1545">
        <f t="shared" si="13"/>
        <v>0</v>
      </c>
      <c r="T49" s="1545">
        <f t="shared" si="14"/>
        <v>0</v>
      </c>
      <c r="U49" s="1389">
        <f>'Table 5C1A-Madison Prep'!U49</f>
        <v>3205</v>
      </c>
      <c r="V49" s="1515">
        <f t="shared" si="15"/>
        <v>0</v>
      </c>
      <c r="W49" s="1391"/>
      <c r="X49" s="1392">
        <f t="shared" si="16"/>
        <v>0</v>
      </c>
      <c r="Y49" s="1391"/>
      <c r="Z49" s="1392">
        <f t="shared" si="17"/>
        <v>0</v>
      </c>
      <c r="AA49" s="1390">
        <f t="shared" si="18"/>
        <v>0</v>
      </c>
      <c r="AB49" s="1510">
        <f t="shared" si="19"/>
        <v>0</v>
      </c>
      <c r="AC49" s="1394">
        <f t="shared" si="20"/>
        <v>0</v>
      </c>
      <c r="AD49" s="1510">
        <f t="shared" si="21"/>
        <v>0</v>
      </c>
      <c r="AE49" s="1395">
        <v>0</v>
      </c>
      <c r="AF49" s="1510">
        <f t="shared" si="22"/>
        <v>0</v>
      </c>
      <c r="AG49" s="1395"/>
      <c r="AH49" s="1395">
        <f t="shared" si="23"/>
        <v>0</v>
      </c>
      <c r="AI49" s="1510">
        <f t="shared" si="24"/>
        <v>0</v>
      </c>
      <c r="AJ49" s="1505">
        <f t="shared" si="25"/>
        <v>0</v>
      </c>
      <c r="AK49" s="1535">
        <f t="shared" si="26"/>
        <v>0</v>
      </c>
    </row>
    <row r="50" spans="1:37" ht="16.2" customHeight="1">
      <c r="A50" s="1176">
        <v>44</v>
      </c>
      <c r="B50" s="1177" t="s">
        <v>124</v>
      </c>
      <c r="C50" s="1178">
        <v>0</v>
      </c>
      <c r="D50" s="1179">
        <f>+'Table 5C1A-Madison Prep'!D50</f>
        <v>4897.5958151820359</v>
      </c>
      <c r="E50" s="1180">
        <f t="shared" si="5"/>
        <v>0</v>
      </c>
      <c r="F50" s="1180">
        <f>+'Table 5C1A-Madison Prep'!F50</f>
        <v>663.16000000000008</v>
      </c>
      <c r="G50" s="1180">
        <f t="shared" si="6"/>
        <v>0</v>
      </c>
      <c r="H50" s="1539">
        <f t="shared" si="7"/>
        <v>0</v>
      </c>
      <c r="I50" s="1181"/>
      <c r="J50" s="1181"/>
      <c r="K50" s="1182">
        <f t="shared" si="8"/>
        <v>0</v>
      </c>
      <c r="L50" s="1539">
        <f t="shared" si="9"/>
        <v>0</v>
      </c>
      <c r="M50" s="1388">
        <f t="shared" si="4"/>
        <v>0</v>
      </c>
      <c r="N50" s="1539">
        <f t="shared" si="10"/>
        <v>0</v>
      </c>
      <c r="O50" s="1179">
        <v>0</v>
      </c>
      <c r="P50" s="1545">
        <f t="shared" si="11"/>
        <v>0</v>
      </c>
      <c r="Q50" s="1181"/>
      <c r="R50" s="1181">
        <f t="shared" si="12"/>
        <v>0</v>
      </c>
      <c r="S50" s="1545">
        <f t="shared" si="13"/>
        <v>0</v>
      </c>
      <c r="T50" s="1545">
        <f t="shared" si="14"/>
        <v>0</v>
      </c>
      <c r="U50" s="1389">
        <f>'Table 5C1A-Madison Prep'!U50</f>
        <v>3719</v>
      </c>
      <c r="V50" s="1515">
        <f t="shared" si="15"/>
        <v>0</v>
      </c>
      <c r="W50" s="1391"/>
      <c r="X50" s="1392">
        <f t="shared" si="16"/>
        <v>0</v>
      </c>
      <c r="Y50" s="1391"/>
      <c r="Z50" s="1392">
        <f t="shared" si="17"/>
        <v>0</v>
      </c>
      <c r="AA50" s="1390">
        <f t="shared" si="18"/>
        <v>0</v>
      </c>
      <c r="AB50" s="1510">
        <f t="shared" si="19"/>
        <v>0</v>
      </c>
      <c r="AC50" s="1394">
        <f t="shared" si="20"/>
        <v>0</v>
      </c>
      <c r="AD50" s="1510">
        <f t="shared" si="21"/>
        <v>0</v>
      </c>
      <c r="AE50" s="1395">
        <v>0</v>
      </c>
      <c r="AF50" s="1510">
        <f t="shared" si="22"/>
        <v>0</v>
      </c>
      <c r="AG50" s="1395"/>
      <c r="AH50" s="1395">
        <f t="shared" si="23"/>
        <v>0</v>
      </c>
      <c r="AI50" s="1510">
        <f t="shared" si="24"/>
        <v>0</v>
      </c>
      <c r="AJ50" s="1505">
        <f t="shared" si="25"/>
        <v>0</v>
      </c>
      <c r="AK50" s="1535">
        <f t="shared" si="26"/>
        <v>0</v>
      </c>
    </row>
    <row r="51" spans="1:37" ht="16.2" customHeight="1">
      <c r="A51" s="1168">
        <v>45</v>
      </c>
      <c r="B51" s="1169" t="s">
        <v>125</v>
      </c>
      <c r="C51" s="1170">
        <v>0</v>
      </c>
      <c r="D51" s="1171">
        <f>+'Table 5C1A-Madison Prep'!D51</f>
        <v>2054.0472499469101</v>
      </c>
      <c r="E51" s="1172">
        <f t="shared" si="5"/>
        <v>0</v>
      </c>
      <c r="F51" s="1172">
        <f>+'Table 5C1A-Madison Prep'!F51</f>
        <v>753.96000000000015</v>
      </c>
      <c r="G51" s="1172">
        <f t="shared" si="6"/>
        <v>0</v>
      </c>
      <c r="H51" s="1540">
        <f t="shared" si="7"/>
        <v>0</v>
      </c>
      <c r="I51" s="1173"/>
      <c r="J51" s="1173"/>
      <c r="K51" s="1174">
        <f t="shared" si="8"/>
        <v>0</v>
      </c>
      <c r="L51" s="1540">
        <f t="shared" si="9"/>
        <v>0</v>
      </c>
      <c r="M51" s="1399">
        <f t="shared" si="4"/>
        <v>0</v>
      </c>
      <c r="N51" s="1540">
        <f t="shared" si="10"/>
        <v>0</v>
      </c>
      <c r="O51" s="1171">
        <v>0</v>
      </c>
      <c r="P51" s="1546">
        <f t="shared" si="11"/>
        <v>0</v>
      </c>
      <c r="Q51" s="1173"/>
      <c r="R51" s="1173">
        <f t="shared" si="12"/>
        <v>0</v>
      </c>
      <c r="S51" s="1546">
        <f t="shared" si="13"/>
        <v>0</v>
      </c>
      <c r="T51" s="1546">
        <f t="shared" si="14"/>
        <v>0</v>
      </c>
      <c r="U51" s="1382">
        <f>'Table 5C1A-Madison Prep'!U51</f>
        <v>12169</v>
      </c>
      <c r="V51" s="1516">
        <f t="shared" si="15"/>
        <v>0</v>
      </c>
      <c r="W51" s="1400"/>
      <c r="X51" s="1383">
        <f t="shared" si="16"/>
        <v>0</v>
      </c>
      <c r="Y51" s="1400"/>
      <c r="Z51" s="1383">
        <f t="shared" si="17"/>
        <v>0</v>
      </c>
      <c r="AA51" s="1384">
        <f t="shared" si="18"/>
        <v>0</v>
      </c>
      <c r="AB51" s="1511">
        <f t="shared" si="19"/>
        <v>0</v>
      </c>
      <c r="AC51" s="1402">
        <f t="shared" si="20"/>
        <v>0</v>
      </c>
      <c r="AD51" s="1511">
        <f t="shared" si="21"/>
        <v>0</v>
      </c>
      <c r="AE51" s="1385">
        <v>0</v>
      </c>
      <c r="AF51" s="1511">
        <f t="shared" si="22"/>
        <v>0</v>
      </c>
      <c r="AG51" s="1385"/>
      <c r="AH51" s="1385">
        <f t="shared" si="23"/>
        <v>0</v>
      </c>
      <c r="AI51" s="1511">
        <f t="shared" si="24"/>
        <v>0</v>
      </c>
      <c r="AJ51" s="1531">
        <f t="shared" si="25"/>
        <v>0</v>
      </c>
      <c r="AK51" s="1536">
        <f t="shared" si="26"/>
        <v>0</v>
      </c>
    </row>
    <row r="52" spans="1:37" ht="16.2" customHeight="1">
      <c r="A52" s="1183">
        <v>46</v>
      </c>
      <c r="B52" s="1184" t="s">
        <v>126</v>
      </c>
      <c r="C52" s="1185">
        <v>0</v>
      </c>
      <c r="D52" s="1186">
        <f>+'Table 5C1A-Madison Prep'!D52</f>
        <v>6051.2144468088381</v>
      </c>
      <c r="E52" s="1187">
        <f t="shared" si="5"/>
        <v>0</v>
      </c>
      <c r="F52" s="1187">
        <f>+'Table 5C1A-Madison Prep'!F52</f>
        <v>728.06</v>
      </c>
      <c r="G52" s="1187">
        <f t="shared" si="6"/>
        <v>0</v>
      </c>
      <c r="H52" s="1538">
        <f t="shared" si="7"/>
        <v>0</v>
      </c>
      <c r="I52" s="1188"/>
      <c r="J52" s="1188"/>
      <c r="K52" s="1189">
        <f t="shared" si="8"/>
        <v>0</v>
      </c>
      <c r="L52" s="1538">
        <f t="shared" si="9"/>
        <v>0</v>
      </c>
      <c r="M52" s="1372">
        <f t="shared" si="4"/>
        <v>0</v>
      </c>
      <c r="N52" s="1538">
        <f t="shared" si="10"/>
        <v>0</v>
      </c>
      <c r="O52" s="1186">
        <v>0</v>
      </c>
      <c r="P52" s="1544">
        <f t="shared" si="11"/>
        <v>0</v>
      </c>
      <c r="Q52" s="1188"/>
      <c r="R52" s="1188">
        <f t="shared" si="12"/>
        <v>0</v>
      </c>
      <c r="S52" s="1544">
        <f t="shared" si="13"/>
        <v>0</v>
      </c>
      <c r="T52" s="1544">
        <f t="shared" si="14"/>
        <v>0</v>
      </c>
      <c r="U52" s="1373">
        <f>'Table 5C1A-Madison Prep'!U52</f>
        <v>2713</v>
      </c>
      <c r="V52" s="1514">
        <f t="shared" si="15"/>
        <v>0</v>
      </c>
      <c r="W52" s="1375"/>
      <c r="X52" s="1376">
        <f t="shared" si="16"/>
        <v>0</v>
      </c>
      <c r="Y52" s="1375"/>
      <c r="Z52" s="1376">
        <f t="shared" si="17"/>
        <v>0</v>
      </c>
      <c r="AA52" s="1374">
        <f t="shared" si="18"/>
        <v>0</v>
      </c>
      <c r="AB52" s="1509">
        <f t="shared" si="19"/>
        <v>0</v>
      </c>
      <c r="AC52" s="1378">
        <f t="shared" si="20"/>
        <v>0</v>
      </c>
      <c r="AD52" s="1509">
        <f t="shared" si="21"/>
        <v>0</v>
      </c>
      <c r="AE52" s="1379">
        <v>0</v>
      </c>
      <c r="AF52" s="1509">
        <f t="shared" si="22"/>
        <v>0</v>
      </c>
      <c r="AG52" s="1379"/>
      <c r="AH52" s="1379">
        <f t="shared" si="23"/>
        <v>0</v>
      </c>
      <c r="AI52" s="1509">
        <f t="shared" si="24"/>
        <v>0</v>
      </c>
      <c r="AJ52" s="1530">
        <f t="shared" si="25"/>
        <v>0</v>
      </c>
      <c r="AK52" s="1534">
        <f t="shared" si="26"/>
        <v>0</v>
      </c>
    </row>
    <row r="53" spans="1:37" ht="16.2" customHeight="1">
      <c r="A53" s="1176">
        <v>47</v>
      </c>
      <c r="B53" s="1177" t="s">
        <v>127</v>
      </c>
      <c r="C53" s="1178">
        <v>0</v>
      </c>
      <c r="D53" s="1179">
        <f>+'Table 5C1A-Madison Prep'!D53</f>
        <v>2524.1485257646736</v>
      </c>
      <c r="E53" s="1180">
        <f t="shared" si="5"/>
        <v>0</v>
      </c>
      <c r="F53" s="1180">
        <f>+'Table 5C1A-Madison Prep'!F53</f>
        <v>910.76</v>
      </c>
      <c r="G53" s="1180">
        <f t="shared" si="6"/>
        <v>0</v>
      </c>
      <c r="H53" s="1539">
        <f t="shared" si="7"/>
        <v>0</v>
      </c>
      <c r="I53" s="1181"/>
      <c r="J53" s="1181"/>
      <c r="K53" s="1182">
        <f t="shared" si="8"/>
        <v>0</v>
      </c>
      <c r="L53" s="1539">
        <f t="shared" si="9"/>
        <v>0</v>
      </c>
      <c r="M53" s="1388">
        <f t="shared" si="4"/>
        <v>0</v>
      </c>
      <c r="N53" s="1539">
        <f t="shared" si="10"/>
        <v>0</v>
      </c>
      <c r="O53" s="1179">
        <v>0</v>
      </c>
      <c r="P53" s="1545">
        <f t="shared" si="11"/>
        <v>0</v>
      </c>
      <c r="Q53" s="1181"/>
      <c r="R53" s="1181">
        <f t="shared" si="12"/>
        <v>0</v>
      </c>
      <c r="S53" s="1545">
        <f t="shared" si="13"/>
        <v>0</v>
      </c>
      <c r="T53" s="1545">
        <f t="shared" si="14"/>
        <v>0</v>
      </c>
      <c r="U53" s="1389">
        <f>'Table 5C1A-Madison Prep'!U53</f>
        <v>11701</v>
      </c>
      <c r="V53" s="1515">
        <f t="shared" si="15"/>
        <v>0</v>
      </c>
      <c r="W53" s="1391"/>
      <c r="X53" s="1392">
        <f t="shared" si="16"/>
        <v>0</v>
      </c>
      <c r="Y53" s="1391"/>
      <c r="Z53" s="1392">
        <f t="shared" si="17"/>
        <v>0</v>
      </c>
      <c r="AA53" s="1390">
        <f t="shared" si="18"/>
        <v>0</v>
      </c>
      <c r="AB53" s="1510">
        <f t="shared" si="19"/>
        <v>0</v>
      </c>
      <c r="AC53" s="1394">
        <f t="shared" si="20"/>
        <v>0</v>
      </c>
      <c r="AD53" s="1510">
        <f t="shared" si="21"/>
        <v>0</v>
      </c>
      <c r="AE53" s="1395">
        <v>0</v>
      </c>
      <c r="AF53" s="1510">
        <f t="shared" si="22"/>
        <v>0</v>
      </c>
      <c r="AG53" s="1395"/>
      <c r="AH53" s="1395">
        <f t="shared" si="23"/>
        <v>0</v>
      </c>
      <c r="AI53" s="1510">
        <f t="shared" si="24"/>
        <v>0</v>
      </c>
      <c r="AJ53" s="1505">
        <f t="shared" si="25"/>
        <v>0</v>
      </c>
      <c r="AK53" s="1535">
        <f t="shared" si="26"/>
        <v>0</v>
      </c>
    </row>
    <row r="54" spans="1:37" ht="16.2" customHeight="1">
      <c r="A54" s="1176">
        <v>48</v>
      </c>
      <c r="B54" s="1177" t="s">
        <v>178</v>
      </c>
      <c r="C54" s="1178">
        <v>0</v>
      </c>
      <c r="D54" s="1179">
        <f>+'Table 5C1A-Madison Prep'!D54</f>
        <v>3983.3582529800719</v>
      </c>
      <c r="E54" s="1180">
        <f t="shared" si="5"/>
        <v>0</v>
      </c>
      <c r="F54" s="1180">
        <f>+'Table 5C1A-Madison Prep'!F54</f>
        <v>871.07</v>
      </c>
      <c r="G54" s="1180">
        <f t="shared" si="6"/>
        <v>0</v>
      </c>
      <c r="H54" s="1539">
        <f t="shared" si="7"/>
        <v>0</v>
      </c>
      <c r="I54" s="1181"/>
      <c r="J54" s="1181"/>
      <c r="K54" s="1182">
        <f t="shared" si="8"/>
        <v>0</v>
      </c>
      <c r="L54" s="1539">
        <f t="shared" si="9"/>
        <v>0</v>
      </c>
      <c r="M54" s="1388">
        <f t="shared" si="4"/>
        <v>0</v>
      </c>
      <c r="N54" s="1539">
        <f t="shared" si="10"/>
        <v>0</v>
      </c>
      <c r="O54" s="1179">
        <v>0</v>
      </c>
      <c r="P54" s="1545">
        <f t="shared" si="11"/>
        <v>0</v>
      </c>
      <c r="Q54" s="1181"/>
      <c r="R54" s="1181">
        <f t="shared" si="12"/>
        <v>0</v>
      </c>
      <c r="S54" s="1545">
        <f t="shared" si="13"/>
        <v>0</v>
      </c>
      <c r="T54" s="1545">
        <f t="shared" si="14"/>
        <v>0</v>
      </c>
      <c r="U54" s="1389">
        <f>'Table 5C1A-Madison Prep'!U54</f>
        <v>7338</v>
      </c>
      <c r="V54" s="1515">
        <f t="shared" si="15"/>
        <v>0</v>
      </c>
      <c r="W54" s="1391"/>
      <c r="X54" s="1392">
        <f t="shared" si="16"/>
        <v>0</v>
      </c>
      <c r="Y54" s="1391"/>
      <c r="Z54" s="1392">
        <f t="shared" si="17"/>
        <v>0</v>
      </c>
      <c r="AA54" s="1390">
        <f t="shared" si="18"/>
        <v>0</v>
      </c>
      <c r="AB54" s="1510">
        <f t="shared" si="19"/>
        <v>0</v>
      </c>
      <c r="AC54" s="1394">
        <f t="shared" si="20"/>
        <v>0</v>
      </c>
      <c r="AD54" s="1510">
        <f t="shared" si="21"/>
        <v>0</v>
      </c>
      <c r="AE54" s="1395">
        <v>0</v>
      </c>
      <c r="AF54" s="1510">
        <f t="shared" si="22"/>
        <v>0</v>
      </c>
      <c r="AG54" s="1395"/>
      <c r="AH54" s="1395">
        <f t="shared" si="23"/>
        <v>0</v>
      </c>
      <c r="AI54" s="1510">
        <f t="shared" si="24"/>
        <v>0</v>
      </c>
      <c r="AJ54" s="1505">
        <f t="shared" si="25"/>
        <v>0</v>
      </c>
      <c r="AK54" s="1535">
        <f t="shared" si="26"/>
        <v>0</v>
      </c>
    </row>
    <row r="55" spans="1:37" ht="16.2" customHeight="1">
      <c r="A55" s="1176">
        <v>49</v>
      </c>
      <c r="B55" s="1177" t="s">
        <v>128</v>
      </c>
      <c r="C55" s="1178">
        <v>0</v>
      </c>
      <c r="D55" s="1179">
        <f>+'Table 5C1A-Madison Prep'!D55</f>
        <v>4995.8755315659191</v>
      </c>
      <c r="E55" s="1180">
        <f t="shared" si="5"/>
        <v>0</v>
      </c>
      <c r="F55" s="1180">
        <f>+'Table 5C1A-Madison Prep'!F55</f>
        <v>574.43999999999994</v>
      </c>
      <c r="G55" s="1180">
        <f t="shared" si="6"/>
        <v>0</v>
      </c>
      <c r="H55" s="1539">
        <f t="shared" si="7"/>
        <v>0</v>
      </c>
      <c r="I55" s="1181"/>
      <c r="J55" s="1181"/>
      <c r="K55" s="1182">
        <f t="shared" si="8"/>
        <v>0</v>
      </c>
      <c r="L55" s="1539">
        <f t="shared" si="9"/>
        <v>0</v>
      </c>
      <c r="M55" s="1388">
        <f t="shared" si="4"/>
        <v>0</v>
      </c>
      <c r="N55" s="1539">
        <f t="shared" si="10"/>
        <v>0</v>
      </c>
      <c r="O55" s="1179">
        <v>0</v>
      </c>
      <c r="P55" s="1545">
        <f t="shared" si="11"/>
        <v>0</v>
      </c>
      <c r="Q55" s="1181"/>
      <c r="R55" s="1181">
        <f t="shared" si="12"/>
        <v>0</v>
      </c>
      <c r="S55" s="1545">
        <f t="shared" si="13"/>
        <v>0</v>
      </c>
      <c r="T55" s="1545">
        <f t="shared" si="14"/>
        <v>0</v>
      </c>
      <c r="U55" s="1389">
        <f>'Table 5C1A-Madison Prep'!U55</f>
        <v>2353</v>
      </c>
      <c r="V55" s="1515">
        <f t="shared" si="15"/>
        <v>0</v>
      </c>
      <c r="W55" s="1391"/>
      <c r="X55" s="1392">
        <f t="shared" si="16"/>
        <v>0</v>
      </c>
      <c r="Y55" s="1391"/>
      <c r="Z55" s="1392">
        <f t="shared" si="17"/>
        <v>0</v>
      </c>
      <c r="AA55" s="1390">
        <f t="shared" si="18"/>
        <v>0</v>
      </c>
      <c r="AB55" s="1510">
        <f t="shared" si="19"/>
        <v>0</v>
      </c>
      <c r="AC55" s="1394">
        <f t="shared" si="20"/>
        <v>0</v>
      </c>
      <c r="AD55" s="1510">
        <f t="shared" si="21"/>
        <v>0</v>
      </c>
      <c r="AE55" s="1395">
        <v>0</v>
      </c>
      <c r="AF55" s="1510">
        <f t="shared" si="22"/>
        <v>0</v>
      </c>
      <c r="AG55" s="1395"/>
      <c r="AH55" s="1395">
        <f t="shared" si="23"/>
        <v>0</v>
      </c>
      <c r="AI55" s="1510">
        <f t="shared" si="24"/>
        <v>0</v>
      </c>
      <c r="AJ55" s="1505">
        <f t="shared" si="25"/>
        <v>0</v>
      </c>
      <c r="AK55" s="1535">
        <f t="shared" si="26"/>
        <v>0</v>
      </c>
    </row>
    <row r="56" spans="1:37" ht="16.2" customHeight="1">
      <c r="A56" s="1168">
        <v>50</v>
      </c>
      <c r="B56" s="1169" t="s">
        <v>129</v>
      </c>
      <c r="C56" s="1170">
        <v>0</v>
      </c>
      <c r="D56" s="1171">
        <f>+'Table 5C1A-Madison Prep'!D56</f>
        <v>5177.6892722701677</v>
      </c>
      <c r="E56" s="1172">
        <f t="shared" si="5"/>
        <v>0</v>
      </c>
      <c r="F56" s="1172">
        <f>+'Table 5C1A-Madison Prep'!F56</f>
        <v>634.46</v>
      </c>
      <c r="G56" s="1172">
        <f t="shared" si="6"/>
        <v>0</v>
      </c>
      <c r="H56" s="1540">
        <f t="shared" si="7"/>
        <v>0</v>
      </c>
      <c r="I56" s="1173"/>
      <c r="J56" s="1173"/>
      <c r="K56" s="1174">
        <f t="shared" si="8"/>
        <v>0</v>
      </c>
      <c r="L56" s="1540">
        <f t="shared" si="9"/>
        <v>0</v>
      </c>
      <c r="M56" s="1399">
        <f t="shared" si="4"/>
        <v>0</v>
      </c>
      <c r="N56" s="1540">
        <f t="shared" si="10"/>
        <v>0</v>
      </c>
      <c r="O56" s="1171">
        <v>0</v>
      </c>
      <c r="P56" s="1546">
        <f t="shared" si="11"/>
        <v>0</v>
      </c>
      <c r="Q56" s="1173"/>
      <c r="R56" s="1173">
        <f t="shared" si="12"/>
        <v>0</v>
      </c>
      <c r="S56" s="1546">
        <f t="shared" si="13"/>
        <v>0</v>
      </c>
      <c r="T56" s="1546">
        <f t="shared" si="14"/>
        <v>0</v>
      </c>
      <c r="U56" s="1382">
        <f>'Table 5C1A-Madison Prep'!U56</f>
        <v>3510</v>
      </c>
      <c r="V56" s="1516">
        <f t="shared" si="15"/>
        <v>0</v>
      </c>
      <c r="W56" s="1400"/>
      <c r="X56" s="1383">
        <f t="shared" si="16"/>
        <v>0</v>
      </c>
      <c r="Y56" s="1400"/>
      <c r="Z56" s="1383">
        <f t="shared" si="17"/>
        <v>0</v>
      </c>
      <c r="AA56" s="1384">
        <f t="shared" si="18"/>
        <v>0</v>
      </c>
      <c r="AB56" s="1511">
        <f t="shared" si="19"/>
        <v>0</v>
      </c>
      <c r="AC56" s="1402">
        <f t="shared" si="20"/>
        <v>0</v>
      </c>
      <c r="AD56" s="1511">
        <f t="shared" si="21"/>
        <v>0</v>
      </c>
      <c r="AE56" s="1385">
        <v>0</v>
      </c>
      <c r="AF56" s="1511">
        <f t="shared" si="22"/>
        <v>0</v>
      </c>
      <c r="AG56" s="1385"/>
      <c r="AH56" s="1385">
        <f t="shared" si="23"/>
        <v>0</v>
      </c>
      <c r="AI56" s="1511">
        <f t="shared" si="24"/>
        <v>0</v>
      </c>
      <c r="AJ56" s="1531">
        <f t="shared" si="25"/>
        <v>0</v>
      </c>
      <c r="AK56" s="1536">
        <f t="shared" si="26"/>
        <v>0</v>
      </c>
    </row>
    <row r="57" spans="1:37" ht="16.2" customHeight="1">
      <c r="A57" s="1183">
        <v>51</v>
      </c>
      <c r="B57" s="1184" t="s">
        <v>130</v>
      </c>
      <c r="C57" s="1185">
        <v>0</v>
      </c>
      <c r="D57" s="1186">
        <f>+'Table 5C1A-Madison Prep'!D57</f>
        <v>4154.1928602178996</v>
      </c>
      <c r="E57" s="1187">
        <f t="shared" si="5"/>
        <v>0</v>
      </c>
      <c r="F57" s="1187">
        <f>+'Table 5C1A-Madison Prep'!F57</f>
        <v>706.66</v>
      </c>
      <c r="G57" s="1187">
        <f t="shared" si="6"/>
        <v>0</v>
      </c>
      <c r="H57" s="1538">
        <f t="shared" si="7"/>
        <v>0</v>
      </c>
      <c r="I57" s="1188"/>
      <c r="J57" s="1188"/>
      <c r="K57" s="1189">
        <f t="shared" si="8"/>
        <v>0</v>
      </c>
      <c r="L57" s="1538">
        <f t="shared" si="9"/>
        <v>0</v>
      </c>
      <c r="M57" s="1372">
        <f t="shared" si="4"/>
        <v>0</v>
      </c>
      <c r="N57" s="1538">
        <f t="shared" si="10"/>
        <v>0</v>
      </c>
      <c r="O57" s="1186">
        <v>0</v>
      </c>
      <c r="P57" s="1544">
        <f t="shared" si="11"/>
        <v>0</v>
      </c>
      <c r="Q57" s="1188"/>
      <c r="R57" s="1188">
        <f t="shared" si="12"/>
        <v>0</v>
      </c>
      <c r="S57" s="1544">
        <f t="shared" si="13"/>
        <v>0</v>
      </c>
      <c r="T57" s="1544">
        <f t="shared" si="14"/>
        <v>0</v>
      </c>
      <c r="U57" s="1373">
        <f>'Table 5C1A-Madison Prep'!U57</f>
        <v>4597</v>
      </c>
      <c r="V57" s="1514">
        <f t="shared" si="15"/>
        <v>0</v>
      </c>
      <c r="W57" s="1375"/>
      <c r="X57" s="1376">
        <f t="shared" si="16"/>
        <v>0</v>
      </c>
      <c r="Y57" s="1375"/>
      <c r="Z57" s="1376">
        <f t="shared" si="17"/>
        <v>0</v>
      </c>
      <c r="AA57" s="1374">
        <f t="shared" si="18"/>
        <v>0</v>
      </c>
      <c r="AB57" s="1509">
        <f t="shared" si="19"/>
        <v>0</v>
      </c>
      <c r="AC57" s="1378">
        <f t="shared" si="20"/>
        <v>0</v>
      </c>
      <c r="AD57" s="1509">
        <f t="shared" si="21"/>
        <v>0</v>
      </c>
      <c r="AE57" s="1379">
        <v>0</v>
      </c>
      <c r="AF57" s="1509">
        <f t="shared" si="22"/>
        <v>0</v>
      </c>
      <c r="AG57" s="1379"/>
      <c r="AH57" s="1379">
        <f t="shared" si="23"/>
        <v>0</v>
      </c>
      <c r="AI57" s="1509">
        <f t="shared" si="24"/>
        <v>0</v>
      </c>
      <c r="AJ57" s="1530">
        <f t="shared" si="25"/>
        <v>0</v>
      </c>
      <c r="AK57" s="1534">
        <f t="shared" si="26"/>
        <v>0</v>
      </c>
    </row>
    <row r="58" spans="1:37" ht="16.2" customHeight="1">
      <c r="A58" s="1176">
        <v>52</v>
      </c>
      <c r="B58" s="1177" t="s">
        <v>131</v>
      </c>
      <c r="C58" s="1178">
        <v>0</v>
      </c>
      <c r="D58" s="1179">
        <f>+'Table 5C1A-Madison Prep'!D58</f>
        <v>5062.2745845228173</v>
      </c>
      <c r="E58" s="1180">
        <f t="shared" si="5"/>
        <v>0</v>
      </c>
      <c r="F58" s="1180">
        <f>+'Table 5C1A-Madison Prep'!F58</f>
        <v>658.37</v>
      </c>
      <c r="G58" s="1180">
        <f t="shared" si="6"/>
        <v>0</v>
      </c>
      <c r="H58" s="1539">
        <f t="shared" si="7"/>
        <v>0</v>
      </c>
      <c r="I58" s="1181"/>
      <c r="J58" s="1181"/>
      <c r="K58" s="1182">
        <f t="shared" si="8"/>
        <v>0</v>
      </c>
      <c r="L58" s="1539">
        <f t="shared" si="9"/>
        <v>0</v>
      </c>
      <c r="M58" s="1388">
        <f t="shared" si="4"/>
        <v>0</v>
      </c>
      <c r="N58" s="1539">
        <f t="shared" si="10"/>
        <v>0</v>
      </c>
      <c r="O58" s="1179">
        <v>0</v>
      </c>
      <c r="P58" s="1545">
        <f t="shared" si="11"/>
        <v>0</v>
      </c>
      <c r="Q58" s="1181"/>
      <c r="R58" s="1181">
        <f t="shared" si="12"/>
        <v>0</v>
      </c>
      <c r="S58" s="1545">
        <f t="shared" si="13"/>
        <v>0</v>
      </c>
      <c r="T58" s="1545">
        <f t="shared" si="14"/>
        <v>0</v>
      </c>
      <c r="U58" s="1389">
        <f>'Table 5C1A-Madison Prep'!U58</f>
        <v>5212</v>
      </c>
      <c r="V58" s="1515">
        <f t="shared" si="15"/>
        <v>0</v>
      </c>
      <c r="W58" s="1391"/>
      <c r="X58" s="1392">
        <f t="shared" si="16"/>
        <v>0</v>
      </c>
      <c r="Y58" s="1391"/>
      <c r="Z58" s="1392">
        <f t="shared" si="17"/>
        <v>0</v>
      </c>
      <c r="AA58" s="1390">
        <f t="shared" si="18"/>
        <v>0</v>
      </c>
      <c r="AB58" s="1510">
        <f t="shared" si="19"/>
        <v>0</v>
      </c>
      <c r="AC58" s="1394">
        <f t="shared" si="20"/>
        <v>0</v>
      </c>
      <c r="AD58" s="1510">
        <f t="shared" si="21"/>
        <v>0</v>
      </c>
      <c r="AE58" s="1395">
        <v>0</v>
      </c>
      <c r="AF58" s="1510">
        <f t="shared" si="22"/>
        <v>0</v>
      </c>
      <c r="AG58" s="1395"/>
      <c r="AH58" s="1395">
        <f t="shared" si="23"/>
        <v>0</v>
      </c>
      <c r="AI58" s="1510">
        <f t="shared" si="24"/>
        <v>0</v>
      </c>
      <c r="AJ58" s="1505">
        <f t="shared" si="25"/>
        <v>0</v>
      </c>
      <c r="AK58" s="1535">
        <f t="shared" si="26"/>
        <v>0</v>
      </c>
    </row>
    <row r="59" spans="1:37" ht="16.2" customHeight="1">
      <c r="A59" s="1176">
        <v>53</v>
      </c>
      <c r="B59" s="1177" t="s">
        <v>132</v>
      </c>
      <c r="C59" s="1178">
        <v>0</v>
      </c>
      <c r="D59" s="1179">
        <f>+'Table 5C1A-Madison Prep'!D59</f>
        <v>5060.1508194045482</v>
      </c>
      <c r="E59" s="1180">
        <f t="shared" si="5"/>
        <v>0</v>
      </c>
      <c r="F59" s="1180">
        <f>+'Table 5C1A-Madison Prep'!F59</f>
        <v>689.74</v>
      </c>
      <c r="G59" s="1180">
        <f t="shared" si="6"/>
        <v>0</v>
      </c>
      <c r="H59" s="1539">
        <f t="shared" si="7"/>
        <v>0</v>
      </c>
      <c r="I59" s="1181"/>
      <c r="J59" s="1181"/>
      <c r="K59" s="1182">
        <f t="shared" si="8"/>
        <v>0</v>
      </c>
      <c r="L59" s="1539">
        <f t="shared" si="9"/>
        <v>0</v>
      </c>
      <c r="M59" s="1388">
        <f t="shared" si="4"/>
        <v>0</v>
      </c>
      <c r="N59" s="1539">
        <f t="shared" si="10"/>
        <v>0</v>
      </c>
      <c r="O59" s="1179">
        <v>0</v>
      </c>
      <c r="P59" s="1545">
        <f t="shared" si="11"/>
        <v>0</v>
      </c>
      <c r="Q59" s="1181"/>
      <c r="R59" s="1181">
        <f t="shared" si="12"/>
        <v>0</v>
      </c>
      <c r="S59" s="1545">
        <f t="shared" si="13"/>
        <v>0</v>
      </c>
      <c r="T59" s="1545">
        <f t="shared" si="14"/>
        <v>0</v>
      </c>
      <c r="U59" s="1389">
        <f>'Table 5C1A-Madison Prep'!U59</f>
        <v>2054</v>
      </c>
      <c r="V59" s="1515">
        <f t="shared" si="15"/>
        <v>0</v>
      </c>
      <c r="W59" s="1391"/>
      <c r="X59" s="1392">
        <f t="shared" si="16"/>
        <v>0</v>
      </c>
      <c r="Y59" s="1391"/>
      <c r="Z59" s="1392">
        <f t="shared" si="17"/>
        <v>0</v>
      </c>
      <c r="AA59" s="1390">
        <f t="shared" si="18"/>
        <v>0</v>
      </c>
      <c r="AB59" s="1510">
        <f t="shared" si="19"/>
        <v>0</v>
      </c>
      <c r="AC59" s="1394">
        <f t="shared" si="20"/>
        <v>0</v>
      </c>
      <c r="AD59" s="1510">
        <f t="shared" si="21"/>
        <v>0</v>
      </c>
      <c r="AE59" s="1395">
        <v>0</v>
      </c>
      <c r="AF59" s="1510">
        <f t="shared" si="22"/>
        <v>0</v>
      </c>
      <c r="AG59" s="1395"/>
      <c r="AH59" s="1395">
        <f t="shared" si="23"/>
        <v>0</v>
      </c>
      <c r="AI59" s="1510">
        <f t="shared" si="24"/>
        <v>0</v>
      </c>
      <c r="AJ59" s="1505">
        <f t="shared" si="25"/>
        <v>0</v>
      </c>
      <c r="AK59" s="1535">
        <f t="shared" si="26"/>
        <v>0</v>
      </c>
    </row>
    <row r="60" spans="1:37" ht="16.2" customHeight="1">
      <c r="A60" s="1176">
        <v>54</v>
      </c>
      <c r="B60" s="1177" t="s">
        <v>133</v>
      </c>
      <c r="C60" s="1178">
        <v>0</v>
      </c>
      <c r="D60" s="1179">
        <f>+'Table 5C1A-Madison Prep'!D60</f>
        <v>5867.0798370516713</v>
      </c>
      <c r="E60" s="1180">
        <f t="shared" si="5"/>
        <v>0</v>
      </c>
      <c r="F60" s="1180">
        <f>+'Table 5C1A-Madison Prep'!F60</f>
        <v>951.45</v>
      </c>
      <c r="G60" s="1180">
        <f t="shared" si="6"/>
        <v>0</v>
      </c>
      <c r="H60" s="1539">
        <f t="shared" si="7"/>
        <v>0</v>
      </c>
      <c r="I60" s="1181"/>
      <c r="J60" s="1181"/>
      <c r="K60" s="1182">
        <f t="shared" si="8"/>
        <v>0</v>
      </c>
      <c r="L60" s="1539">
        <f t="shared" si="9"/>
        <v>0</v>
      </c>
      <c r="M60" s="1388">
        <f t="shared" si="4"/>
        <v>0</v>
      </c>
      <c r="N60" s="1539">
        <f t="shared" si="10"/>
        <v>0</v>
      </c>
      <c r="O60" s="1179">
        <v>0</v>
      </c>
      <c r="P60" s="1545">
        <f t="shared" si="11"/>
        <v>0</v>
      </c>
      <c r="Q60" s="1181"/>
      <c r="R60" s="1181">
        <f t="shared" si="12"/>
        <v>0</v>
      </c>
      <c r="S60" s="1545">
        <f t="shared" si="13"/>
        <v>0</v>
      </c>
      <c r="T60" s="1545">
        <f t="shared" si="14"/>
        <v>0</v>
      </c>
      <c r="U60" s="1389">
        <f>'Table 5C1A-Madison Prep'!U60</f>
        <v>4116</v>
      </c>
      <c r="V60" s="1515">
        <f t="shared" si="15"/>
        <v>0</v>
      </c>
      <c r="W60" s="1391"/>
      <c r="X60" s="1392">
        <f t="shared" si="16"/>
        <v>0</v>
      </c>
      <c r="Y60" s="1391"/>
      <c r="Z60" s="1392">
        <f t="shared" si="17"/>
        <v>0</v>
      </c>
      <c r="AA60" s="1390">
        <f t="shared" si="18"/>
        <v>0</v>
      </c>
      <c r="AB60" s="1510">
        <f t="shared" si="19"/>
        <v>0</v>
      </c>
      <c r="AC60" s="1394">
        <f t="shared" si="20"/>
        <v>0</v>
      </c>
      <c r="AD60" s="1510">
        <f t="shared" si="21"/>
        <v>0</v>
      </c>
      <c r="AE60" s="1395">
        <v>0</v>
      </c>
      <c r="AF60" s="1510">
        <f t="shared" si="22"/>
        <v>0</v>
      </c>
      <c r="AG60" s="1395"/>
      <c r="AH60" s="1395">
        <f t="shared" si="23"/>
        <v>0</v>
      </c>
      <c r="AI60" s="1510">
        <f t="shared" si="24"/>
        <v>0</v>
      </c>
      <c r="AJ60" s="1505">
        <f t="shared" si="25"/>
        <v>0</v>
      </c>
      <c r="AK60" s="1535">
        <f t="shared" si="26"/>
        <v>0</v>
      </c>
    </row>
    <row r="61" spans="1:37" ht="16.2" customHeight="1">
      <c r="A61" s="1168">
        <v>55</v>
      </c>
      <c r="B61" s="1169" t="s">
        <v>134</v>
      </c>
      <c r="C61" s="1170">
        <v>0</v>
      </c>
      <c r="D61" s="1171">
        <f>+'Table 5C1A-Madison Prep'!D61</f>
        <v>4266.8225491298481</v>
      </c>
      <c r="E61" s="1172">
        <f t="shared" si="5"/>
        <v>0</v>
      </c>
      <c r="F61" s="1172">
        <f>+'Table 5C1A-Madison Prep'!F61</f>
        <v>795.14</v>
      </c>
      <c r="G61" s="1172">
        <f t="shared" si="6"/>
        <v>0</v>
      </c>
      <c r="H61" s="1540">
        <f t="shared" si="7"/>
        <v>0</v>
      </c>
      <c r="I61" s="1173"/>
      <c r="J61" s="1173"/>
      <c r="K61" s="1174">
        <f t="shared" si="8"/>
        <v>0</v>
      </c>
      <c r="L61" s="1540">
        <f t="shared" si="9"/>
        <v>0</v>
      </c>
      <c r="M61" s="1399">
        <f t="shared" si="4"/>
        <v>0</v>
      </c>
      <c r="N61" s="1540">
        <f t="shared" si="10"/>
        <v>0</v>
      </c>
      <c r="O61" s="1171">
        <v>0</v>
      </c>
      <c r="P61" s="1546">
        <f t="shared" si="11"/>
        <v>0</v>
      </c>
      <c r="Q61" s="1173"/>
      <c r="R61" s="1173">
        <f t="shared" si="12"/>
        <v>0</v>
      </c>
      <c r="S61" s="1546">
        <f t="shared" si="13"/>
        <v>0</v>
      </c>
      <c r="T61" s="1546">
        <f t="shared" si="14"/>
        <v>0</v>
      </c>
      <c r="U61" s="1382">
        <f>'Table 5C1A-Madison Prep'!U61</f>
        <v>3532</v>
      </c>
      <c r="V61" s="1516">
        <f t="shared" si="15"/>
        <v>0</v>
      </c>
      <c r="W61" s="1400"/>
      <c r="X61" s="1383">
        <f t="shared" si="16"/>
        <v>0</v>
      </c>
      <c r="Y61" s="1400"/>
      <c r="Z61" s="1383">
        <f t="shared" si="17"/>
        <v>0</v>
      </c>
      <c r="AA61" s="1384">
        <f t="shared" si="18"/>
        <v>0</v>
      </c>
      <c r="AB61" s="1511">
        <f t="shared" si="19"/>
        <v>0</v>
      </c>
      <c r="AC61" s="1402">
        <f t="shared" si="20"/>
        <v>0</v>
      </c>
      <c r="AD61" s="1511">
        <f t="shared" si="21"/>
        <v>0</v>
      </c>
      <c r="AE61" s="1385">
        <v>0</v>
      </c>
      <c r="AF61" s="1511">
        <f t="shared" si="22"/>
        <v>0</v>
      </c>
      <c r="AG61" s="1385"/>
      <c r="AH61" s="1385">
        <f t="shared" si="23"/>
        <v>0</v>
      </c>
      <c r="AI61" s="1511">
        <f t="shared" si="24"/>
        <v>0</v>
      </c>
      <c r="AJ61" s="1531">
        <f t="shared" si="25"/>
        <v>0</v>
      </c>
      <c r="AK61" s="1536">
        <f t="shared" si="26"/>
        <v>0</v>
      </c>
    </row>
    <row r="62" spans="1:37" ht="16.2" customHeight="1">
      <c r="A62" s="1183">
        <v>56</v>
      </c>
      <c r="B62" s="1184" t="s">
        <v>135</v>
      </c>
      <c r="C62" s="1185">
        <v>0</v>
      </c>
      <c r="D62" s="1186">
        <f>+'Table 5C1A-Madison Prep'!D62</f>
        <v>5028.4909408288286</v>
      </c>
      <c r="E62" s="1187">
        <f t="shared" si="5"/>
        <v>0</v>
      </c>
      <c r="F62" s="1187">
        <f>+'Table 5C1A-Madison Prep'!F62</f>
        <v>614.66000000000008</v>
      </c>
      <c r="G62" s="1187">
        <f t="shared" si="6"/>
        <v>0</v>
      </c>
      <c r="H62" s="1538">
        <f t="shared" si="7"/>
        <v>0</v>
      </c>
      <c r="I62" s="1188"/>
      <c r="J62" s="1188"/>
      <c r="K62" s="1189">
        <f t="shared" si="8"/>
        <v>0</v>
      </c>
      <c r="L62" s="1538">
        <f t="shared" si="9"/>
        <v>0</v>
      </c>
      <c r="M62" s="1372">
        <f t="shared" si="4"/>
        <v>0</v>
      </c>
      <c r="N62" s="1538">
        <f t="shared" si="10"/>
        <v>0</v>
      </c>
      <c r="O62" s="1186">
        <v>0</v>
      </c>
      <c r="P62" s="1544">
        <f t="shared" si="11"/>
        <v>0</v>
      </c>
      <c r="Q62" s="1188"/>
      <c r="R62" s="1188">
        <f t="shared" si="12"/>
        <v>0</v>
      </c>
      <c r="S62" s="1544">
        <f t="shared" si="13"/>
        <v>0</v>
      </c>
      <c r="T62" s="1544">
        <f t="shared" si="14"/>
        <v>0</v>
      </c>
      <c r="U62" s="1373">
        <f>'Table 5C1A-Madison Prep'!U62</f>
        <v>2865</v>
      </c>
      <c r="V62" s="1514">
        <f t="shared" si="15"/>
        <v>0</v>
      </c>
      <c r="W62" s="1375"/>
      <c r="X62" s="1376">
        <f t="shared" si="16"/>
        <v>0</v>
      </c>
      <c r="Y62" s="1375"/>
      <c r="Z62" s="1376">
        <f t="shared" si="17"/>
        <v>0</v>
      </c>
      <c r="AA62" s="1374">
        <f t="shared" si="18"/>
        <v>0</v>
      </c>
      <c r="AB62" s="1509">
        <f t="shared" si="19"/>
        <v>0</v>
      </c>
      <c r="AC62" s="1378">
        <f t="shared" si="20"/>
        <v>0</v>
      </c>
      <c r="AD62" s="1509">
        <f t="shared" si="21"/>
        <v>0</v>
      </c>
      <c r="AE62" s="1379">
        <v>0</v>
      </c>
      <c r="AF62" s="1509">
        <f t="shared" si="22"/>
        <v>0</v>
      </c>
      <c r="AG62" s="1379"/>
      <c r="AH62" s="1379">
        <f t="shared" si="23"/>
        <v>0</v>
      </c>
      <c r="AI62" s="1509">
        <f t="shared" si="24"/>
        <v>0</v>
      </c>
      <c r="AJ62" s="1530">
        <f t="shared" si="25"/>
        <v>0</v>
      </c>
      <c r="AK62" s="1534">
        <f t="shared" si="26"/>
        <v>0</v>
      </c>
    </row>
    <row r="63" spans="1:37" ht="16.2" customHeight="1">
      <c r="A63" s="1176">
        <v>57</v>
      </c>
      <c r="B63" s="1177" t="s">
        <v>136</v>
      </c>
      <c r="C63" s="1178">
        <v>0</v>
      </c>
      <c r="D63" s="1179">
        <f>+'Table 5C1A-Madison Prep'!D63</f>
        <v>4625.9922979230687</v>
      </c>
      <c r="E63" s="1180">
        <f t="shared" si="5"/>
        <v>0</v>
      </c>
      <c r="F63" s="1180">
        <f>+'Table 5C1A-Madison Prep'!F63</f>
        <v>764.51</v>
      </c>
      <c r="G63" s="1180">
        <f t="shared" si="6"/>
        <v>0</v>
      </c>
      <c r="H63" s="1539">
        <f t="shared" si="7"/>
        <v>0</v>
      </c>
      <c r="I63" s="1181"/>
      <c r="J63" s="1181"/>
      <c r="K63" s="1182">
        <f t="shared" si="8"/>
        <v>0</v>
      </c>
      <c r="L63" s="1539">
        <f t="shared" si="9"/>
        <v>0</v>
      </c>
      <c r="M63" s="1388">
        <f t="shared" si="4"/>
        <v>0</v>
      </c>
      <c r="N63" s="1539">
        <f t="shared" si="10"/>
        <v>0</v>
      </c>
      <c r="O63" s="1179">
        <v>0</v>
      </c>
      <c r="P63" s="1545">
        <f t="shared" si="11"/>
        <v>0</v>
      </c>
      <c r="Q63" s="1181"/>
      <c r="R63" s="1181">
        <f t="shared" si="12"/>
        <v>0</v>
      </c>
      <c r="S63" s="1545">
        <f t="shared" si="13"/>
        <v>0</v>
      </c>
      <c r="T63" s="1545">
        <f t="shared" si="14"/>
        <v>0</v>
      </c>
      <c r="U63" s="1389">
        <f>'Table 5C1A-Madison Prep'!U63</f>
        <v>3395</v>
      </c>
      <c r="V63" s="1515">
        <f t="shared" si="15"/>
        <v>0</v>
      </c>
      <c r="W63" s="1391"/>
      <c r="X63" s="1392">
        <f t="shared" si="16"/>
        <v>0</v>
      </c>
      <c r="Y63" s="1391"/>
      <c r="Z63" s="1392">
        <f t="shared" si="17"/>
        <v>0</v>
      </c>
      <c r="AA63" s="1390">
        <f t="shared" si="18"/>
        <v>0</v>
      </c>
      <c r="AB63" s="1510">
        <f t="shared" si="19"/>
        <v>0</v>
      </c>
      <c r="AC63" s="1394">
        <f t="shared" si="20"/>
        <v>0</v>
      </c>
      <c r="AD63" s="1510">
        <f t="shared" si="21"/>
        <v>0</v>
      </c>
      <c r="AE63" s="1395">
        <v>0</v>
      </c>
      <c r="AF63" s="1510">
        <f t="shared" si="22"/>
        <v>0</v>
      </c>
      <c r="AG63" s="1395"/>
      <c r="AH63" s="1395">
        <f t="shared" si="23"/>
        <v>0</v>
      </c>
      <c r="AI63" s="1510">
        <f t="shared" si="24"/>
        <v>0</v>
      </c>
      <c r="AJ63" s="1505">
        <f t="shared" si="25"/>
        <v>0</v>
      </c>
      <c r="AK63" s="1535">
        <f t="shared" si="26"/>
        <v>0</v>
      </c>
    </row>
    <row r="64" spans="1:37" ht="16.2" customHeight="1">
      <c r="A64" s="1176">
        <v>58</v>
      </c>
      <c r="B64" s="1177" t="s">
        <v>137</v>
      </c>
      <c r="C64" s="1178">
        <v>0</v>
      </c>
      <c r="D64" s="1179">
        <f>+'Table 5C1A-Madison Prep'!D64</f>
        <v>5673.1129637882123</v>
      </c>
      <c r="E64" s="1180">
        <f t="shared" si="5"/>
        <v>0</v>
      </c>
      <c r="F64" s="1180">
        <f>+'Table 5C1A-Madison Prep'!F64</f>
        <v>697.04</v>
      </c>
      <c r="G64" s="1180">
        <f t="shared" si="6"/>
        <v>0</v>
      </c>
      <c r="H64" s="1539">
        <f t="shared" si="7"/>
        <v>0</v>
      </c>
      <c r="I64" s="1181"/>
      <c r="J64" s="1181"/>
      <c r="K64" s="1182">
        <f t="shared" si="8"/>
        <v>0</v>
      </c>
      <c r="L64" s="1539">
        <f t="shared" si="9"/>
        <v>0</v>
      </c>
      <c r="M64" s="1388">
        <f t="shared" si="4"/>
        <v>0</v>
      </c>
      <c r="N64" s="1539">
        <f t="shared" si="10"/>
        <v>0</v>
      </c>
      <c r="O64" s="1179">
        <v>0</v>
      </c>
      <c r="P64" s="1545">
        <f t="shared" si="11"/>
        <v>0</v>
      </c>
      <c r="Q64" s="1181"/>
      <c r="R64" s="1181">
        <f t="shared" si="12"/>
        <v>0</v>
      </c>
      <c r="S64" s="1545">
        <f t="shared" si="13"/>
        <v>0</v>
      </c>
      <c r="T64" s="1545">
        <f t="shared" si="14"/>
        <v>0</v>
      </c>
      <c r="U64" s="1389">
        <f>'Table 5C1A-Madison Prep'!U64</f>
        <v>2084</v>
      </c>
      <c r="V64" s="1515">
        <f t="shared" si="15"/>
        <v>0</v>
      </c>
      <c r="W64" s="1391"/>
      <c r="X64" s="1392">
        <f t="shared" si="16"/>
        <v>0</v>
      </c>
      <c r="Y64" s="1391"/>
      <c r="Z64" s="1392">
        <f t="shared" si="17"/>
        <v>0</v>
      </c>
      <c r="AA64" s="1390">
        <f t="shared" si="18"/>
        <v>0</v>
      </c>
      <c r="AB64" s="1510">
        <f t="shared" si="19"/>
        <v>0</v>
      </c>
      <c r="AC64" s="1394">
        <f t="shared" si="20"/>
        <v>0</v>
      </c>
      <c r="AD64" s="1510">
        <f t="shared" si="21"/>
        <v>0</v>
      </c>
      <c r="AE64" s="1395">
        <v>0</v>
      </c>
      <c r="AF64" s="1510">
        <f t="shared" si="22"/>
        <v>0</v>
      </c>
      <c r="AG64" s="1395"/>
      <c r="AH64" s="1395">
        <f t="shared" si="23"/>
        <v>0</v>
      </c>
      <c r="AI64" s="1510">
        <f t="shared" si="24"/>
        <v>0</v>
      </c>
      <c r="AJ64" s="1505">
        <f t="shared" si="25"/>
        <v>0</v>
      </c>
      <c r="AK64" s="1535">
        <f t="shared" si="26"/>
        <v>0</v>
      </c>
    </row>
    <row r="65" spans="1:37" ht="16.2" customHeight="1">
      <c r="A65" s="1176">
        <v>59</v>
      </c>
      <c r="B65" s="1177" t="s">
        <v>138</v>
      </c>
      <c r="C65" s="1178">
        <v>0</v>
      </c>
      <c r="D65" s="1179">
        <f>+'Table 5C1A-Madison Prep'!D65</f>
        <v>6621.946293521848</v>
      </c>
      <c r="E65" s="1180">
        <f t="shared" si="5"/>
        <v>0</v>
      </c>
      <c r="F65" s="1180">
        <f>+'Table 5C1A-Madison Prep'!F65</f>
        <v>689.52</v>
      </c>
      <c r="G65" s="1180">
        <f t="shared" si="6"/>
        <v>0</v>
      </c>
      <c r="H65" s="1539">
        <f t="shared" si="7"/>
        <v>0</v>
      </c>
      <c r="I65" s="1181"/>
      <c r="J65" s="1181"/>
      <c r="K65" s="1182">
        <f t="shared" si="8"/>
        <v>0</v>
      </c>
      <c r="L65" s="1539">
        <f t="shared" si="9"/>
        <v>0</v>
      </c>
      <c r="M65" s="1388">
        <f t="shared" si="4"/>
        <v>0</v>
      </c>
      <c r="N65" s="1539">
        <f t="shared" si="10"/>
        <v>0</v>
      </c>
      <c r="O65" s="1179">
        <v>0</v>
      </c>
      <c r="P65" s="1545">
        <f t="shared" si="11"/>
        <v>0</v>
      </c>
      <c r="Q65" s="1181"/>
      <c r="R65" s="1181">
        <f t="shared" si="12"/>
        <v>0</v>
      </c>
      <c r="S65" s="1545">
        <f t="shared" si="13"/>
        <v>0</v>
      </c>
      <c r="T65" s="1545">
        <f t="shared" si="14"/>
        <v>0</v>
      </c>
      <c r="U65" s="1389">
        <f>'Table 5C1A-Madison Prep'!U65</f>
        <v>1577</v>
      </c>
      <c r="V65" s="1515">
        <f t="shared" si="15"/>
        <v>0</v>
      </c>
      <c r="W65" s="1391"/>
      <c r="X65" s="1392">
        <f t="shared" si="16"/>
        <v>0</v>
      </c>
      <c r="Y65" s="1391"/>
      <c r="Z65" s="1392">
        <f t="shared" si="17"/>
        <v>0</v>
      </c>
      <c r="AA65" s="1390">
        <f t="shared" si="18"/>
        <v>0</v>
      </c>
      <c r="AB65" s="1510">
        <f t="shared" si="19"/>
        <v>0</v>
      </c>
      <c r="AC65" s="1394">
        <f t="shared" si="20"/>
        <v>0</v>
      </c>
      <c r="AD65" s="1510">
        <f t="shared" si="21"/>
        <v>0</v>
      </c>
      <c r="AE65" s="1395">
        <v>0</v>
      </c>
      <c r="AF65" s="1510">
        <f t="shared" si="22"/>
        <v>0</v>
      </c>
      <c r="AG65" s="1395"/>
      <c r="AH65" s="1395">
        <f t="shared" si="23"/>
        <v>0</v>
      </c>
      <c r="AI65" s="1510">
        <f t="shared" si="24"/>
        <v>0</v>
      </c>
      <c r="AJ65" s="1505">
        <f t="shared" si="25"/>
        <v>0</v>
      </c>
      <c r="AK65" s="1535">
        <f t="shared" si="26"/>
        <v>0</v>
      </c>
    </row>
    <row r="66" spans="1:37" ht="16.2" customHeight="1">
      <c r="A66" s="1168">
        <v>60</v>
      </c>
      <c r="B66" s="1169" t="s">
        <v>139</v>
      </c>
      <c r="C66" s="1170">
        <v>0</v>
      </c>
      <c r="D66" s="1171">
        <f>+'Table 5C1A-Madison Prep'!D66</f>
        <v>5301.224090063828</v>
      </c>
      <c r="E66" s="1172">
        <f t="shared" si="5"/>
        <v>0</v>
      </c>
      <c r="F66" s="1172">
        <f>+'Table 5C1A-Madison Prep'!F66</f>
        <v>594.04</v>
      </c>
      <c r="G66" s="1172">
        <f t="shared" si="6"/>
        <v>0</v>
      </c>
      <c r="H66" s="1540">
        <f t="shared" si="7"/>
        <v>0</v>
      </c>
      <c r="I66" s="1173"/>
      <c r="J66" s="1173"/>
      <c r="K66" s="1174">
        <f t="shared" si="8"/>
        <v>0</v>
      </c>
      <c r="L66" s="1540">
        <f t="shared" si="9"/>
        <v>0</v>
      </c>
      <c r="M66" s="1399">
        <f t="shared" si="4"/>
        <v>0</v>
      </c>
      <c r="N66" s="1540">
        <f t="shared" si="10"/>
        <v>0</v>
      </c>
      <c r="O66" s="1171">
        <v>0</v>
      </c>
      <c r="P66" s="1546">
        <f t="shared" si="11"/>
        <v>0</v>
      </c>
      <c r="Q66" s="1173"/>
      <c r="R66" s="1173">
        <f t="shared" si="12"/>
        <v>0</v>
      </c>
      <c r="S66" s="1546">
        <f t="shared" si="13"/>
        <v>0</v>
      </c>
      <c r="T66" s="1546">
        <f t="shared" si="14"/>
        <v>0</v>
      </c>
      <c r="U66" s="1382">
        <f>'Table 5C1A-Madison Prep'!U66</f>
        <v>3922</v>
      </c>
      <c r="V66" s="1516">
        <f t="shared" si="15"/>
        <v>0</v>
      </c>
      <c r="W66" s="1400"/>
      <c r="X66" s="1383">
        <f t="shared" si="16"/>
        <v>0</v>
      </c>
      <c r="Y66" s="1400"/>
      <c r="Z66" s="1383">
        <f t="shared" si="17"/>
        <v>0</v>
      </c>
      <c r="AA66" s="1384">
        <f t="shared" si="18"/>
        <v>0</v>
      </c>
      <c r="AB66" s="1511">
        <f t="shared" si="19"/>
        <v>0</v>
      </c>
      <c r="AC66" s="1402">
        <f t="shared" si="20"/>
        <v>0</v>
      </c>
      <c r="AD66" s="1511">
        <f t="shared" si="21"/>
        <v>0</v>
      </c>
      <c r="AE66" s="1385">
        <v>0</v>
      </c>
      <c r="AF66" s="1511">
        <f t="shared" si="22"/>
        <v>0</v>
      </c>
      <c r="AG66" s="1385"/>
      <c r="AH66" s="1385">
        <f t="shared" si="23"/>
        <v>0</v>
      </c>
      <c r="AI66" s="1511">
        <f t="shared" si="24"/>
        <v>0</v>
      </c>
      <c r="AJ66" s="1531">
        <f t="shared" si="25"/>
        <v>0</v>
      </c>
      <c r="AK66" s="1536">
        <f t="shared" si="26"/>
        <v>0</v>
      </c>
    </row>
    <row r="67" spans="1:37" ht="16.2" customHeight="1">
      <c r="A67" s="1183">
        <v>61</v>
      </c>
      <c r="B67" s="1184" t="s">
        <v>140</v>
      </c>
      <c r="C67" s="1185">
        <v>0</v>
      </c>
      <c r="D67" s="1186">
        <f>+'Table 5C1A-Madison Prep'!D67</f>
        <v>2854.1575356369185</v>
      </c>
      <c r="E67" s="1187">
        <f t="shared" si="5"/>
        <v>0</v>
      </c>
      <c r="F67" s="1187">
        <f>+'Table 5C1A-Madison Prep'!F67</f>
        <v>833.70999999999992</v>
      </c>
      <c r="G67" s="1187">
        <f t="shared" si="6"/>
        <v>0</v>
      </c>
      <c r="H67" s="1538">
        <f t="shared" si="7"/>
        <v>0</v>
      </c>
      <c r="I67" s="1188"/>
      <c r="J67" s="1188"/>
      <c r="K67" s="1189">
        <f t="shared" si="8"/>
        <v>0</v>
      </c>
      <c r="L67" s="1538">
        <f t="shared" si="9"/>
        <v>0</v>
      </c>
      <c r="M67" s="1372">
        <f t="shared" si="4"/>
        <v>0</v>
      </c>
      <c r="N67" s="1538">
        <f t="shared" si="10"/>
        <v>0</v>
      </c>
      <c r="O67" s="1186">
        <v>0</v>
      </c>
      <c r="P67" s="1544">
        <f t="shared" si="11"/>
        <v>0</v>
      </c>
      <c r="Q67" s="1188"/>
      <c r="R67" s="1188">
        <f t="shared" si="12"/>
        <v>0</v>
      </c>
      <c r="S67" s="1544">
        <f t="shared" si="13"/>
        <v>0</v>
      </c>
      <c r="T67" s="1544">
        <f t="shared" si="14"/>
        <v>0</v>
      </c>
      <c r="U67" s="1373">
        <f>'Table 5C1A-Madison Prep'!U67</f>
        <v>6745</v>
      </c>
      <c r="V67" s="1514">
        <f t="shared" si="15"/>
        <v>0</v>
      </c>
      <c r="W67" s="1375"/>
      <c r="X67" s="1376">
        <f t="shared" si="16"/>
        <v>0</v>
      </c>
      <c r="Y67" s="1375"/>
      <c r="Z67" s="1376">
        <f t="shared" si="17"/>
        <v>0</v>
      </c>
      <c r="AA67" s="1374">
        <f t="shared" si="18"/>
        <v>0</v>
      </c>
      <c r="AB67" s="1509">
        <f t="shared" si="19"/>
        <v>0</v>
      </c>
      <c r="AC67" s="1378">
        <f t="shared" si="20"/>
        <v>0</v>
      </c>
      <c r="AD67" s="1509">
        <f t="shared" si="21"/>
        <v>0</v>
      </c>
      <c r="AE67" s="1379">
        <v>0</v>
      </c>
      <c r="AF67" s="1509">
        <f t="shared" si="22"/>
        <v>0</v>
      </c>
      <c r="AG67" s="1379"/>
      <c r="AH67" s="1379">
        <f t="shared" si="23"/>
        <v>0</v>
      </c>
      <c r="AI67" s="1509">
        <f t="shared" si="24"/>
        <v>0</v>
      </c>
      <c r="AJ67" s="1530">
        <f t="shared" si="25"/>
        <v>0</v>
      </c>
      <c r="AK67" s="1534">
        <f t="shared" si="26"/>
        <v>0</v>
      </c>
    </row>
    <row r="68" spans="1:37" ht="16.2" customHeight="1">
      <c r="A68" s="1176">
        <v>62</v>
      </c>
      <c r="B68" s="1177" t="s">
        <v>141</v>
      </c>
      <c r="C68" s="1178">
        <v>0</v>
      </c>
      <c r="D68" s="1179">
        <f>+'Table 5C1A-Madison Prep'!D68</f>
        <v>5901.074538516008</v>
      </c>
      <c r="E68" s="1180">
        <f t="shared" si="5"/>
        <v>0</v>
      </c>
      <c r="F68" s="1180">
        <f>+'Table 5C1A-Madison Prep'!F68</f>
        <v>516.08000000000004</v>
      </c>
      <c r="G68" s="1180">
        <f t="shared" si="6"/>
        <v>0</v>
      </c>
      <c r="H68" s="1539">
        <f t="shared" si="7"/>
        <v>0</v>
      </c>
      <c r="I68" s="1181"/>
      <c r="J68" s="1181"/>
      <c r="K68" s="1182">
        <f t="shared" si="8"/>
        <v>0</v>
      </c>
      <c r="L68" s="1539">
        <f t="shared" si="9"/>
        <v>0</v>
      </c>
      <c r="M68" s="1388">
        <f t="shared" si="4"/>
        <v>0</v>
      </c>
      <c r="N68" s="1539">
        <f t="shared" si="10"/>
        <v>0</v>
      </c>
      <c r="O68" s="1179">
        <v>0</v>
      </c>
      <c r="P68" s="1545">
        <f t="shared" si="11"/>
        <v>0</v>
      </c>
      <c r="Q68" s="1181"/>
      <c r="R68" s="1181">
        <f t="shared" si="12"/>
        <v>0</v>
      </c>
      <c r="S68" s="1545">
        <f t="shared" si="13"/>
        <v>0</v>
      </c>
      <c r="T68" s="1545">
        <f t="shared" si="14"/>
        <v>0</v>
      </c>
      <c r="U68" s="1389">
        <f>'Table 5C1A-Madison Prep'!U68</f>
        <v>1908</v>
      </c>
      <c r="V68" s="1515">
        <f t="shared" si="15"/>
        <v>0</v>
      </c>
      <c r="W68" s="1391"/>
      <c r="X68" s="1392">
        <f t="shared" si="16"/>
        <v>0</v>
      </c>
      <c r="Y68" s="1391"/>
      <c r="Z68" s="1392">
        <f t="shared" si="17"/>
        <v>0</v>
      </c>
      <c r="AA68" s="1390">
        <f t="shared" si="18"/>
        <v>0</v>
      </c>
      <c r="AB68" s="1510">
        <f t="shared" si="19"/>
        <v>0</v>
      </c>
      <c r="AC68" s="1394">
        <f t="shared" si="20"/>
        <v>0</v>
      </c>
      <c r="AD68" s="1510">
        <f t="shared" si="21"/>
        <v>0</v>
      </c>
      <c r="AE68" s="1395">
        <v>0</v>
      </c>
      <c r="AF68" s="1510">
        <f t="shared" si="22"/>
        <v>0</v>
      </c>
      <c r="AG68" s="1395"/>
      <c r="AH68" s="1395">
        <f t="shared" si="23"/>
        <v>0</v>
      </c>
      <c r="AI68" s="1510">
        <f t="shared" si="24"/>
        <v>0</v>
      </c>
      <c r="AJ68" s="1505">
        <f t="shared" si="25"/>
        <v>0</v>
      </c>
      <c r="AK68" s="1535">
        <f t="shared" si="26"/>
        <v>0</v>
      </c>
    </row>
    <row r="69" spans="1:37" ht="16.2" customHeight="1">
      <c r="A69" s="1176">
        <v>63</v>
      </c>
      <c r="B69" s="1177" t="s">
        <v>142</v>
      </c>
      <c r="C69" s="1178">
        <v>0</v>
      </c>
      <c r="D69" s="1179">
        <f>+'Table 5C1A-Madison Prep'!D69</f>
        <v>4124.3813481848092</v>
      </c>
      <c r="E69" s="1180">
        <f t="shared" si="5"/>
        <v>0</v>
      </c>
      <c r="F69" s="1180">
        <f>+'Table 5C1A-Madison Prep'!F69</f>
        <v>756.79</v>
      </c>
      <c r="G69" s="1180">
        <f t="shared" si="6"/>
        <v>0</v>
      </c>
      <c r="H69" s="1539">
        <f t="shared" si="7"/>
        <v>0</v>
      </c>
      <c r="I69" s="1181"/>
      <c r="J69" s="1181"/>
      <c r="K69" s="1182">
        <f t="shared" si="8"/>
        <v>0</v>
      </c>
      <c r="L69" s="1539">
        <f t="shared" si="9"/>
        <v>0</v>
      </c>
      <c r="M69" s="1388">
        <f t="shared" si="4"/>
        <v>0</v>
      </c>
      <c r="N69" s="1539">
        <f t="shared" si="10"/>
        <v>0</v>
      </c>
      <c r="O69" s="1179">
        <v>0</v>
      </c>
      <c r="P69" s="1545">
        <f t="shared" si="11"/>
        <v>0</v>
      </c>
      <c r="Q69" s="1181"/>
      <c r="R69" s="1181">
        <f t="shared" si="12"/>
        <v>0</v>
      </c>
      <c r="S69" s="1545">
        <f t="shared" si="13"/>
        <v>0</v>
      </c>
      <c r="T69" s="1545">
        <f t="shared" si="14"/>
        <v>0</v>
      </c>
      <c r="U69" s="1389">
        <f>'Table 5C1A-Madison Prep'!U69</f>
        <v>7290</v>
      </c>
      <c r="V69" s="1515">
        <f t="shared" si="15"/>
        <v>0</v>
      </c>
      <c r="W69" s="1391"/>
      <c r="X69" s="1392">
        <f t="shared" si="16"/>
        <v>0</v>
      </c>
      <c r="Y69" s="1391"/>
      <c r="Z69" s="1392">
        <f t="shared" si="17"/>
        <v>0</v>
      </c>
      <c r="AA69" s="1390">
        <f t="shared" si="18"/>
        <v>0</v>
      </c>
      <c r="AB69" s="1510">
        <f t="shared" si="19"/>
        <v>0</v>
      </c>
      <c r="AC69" s="1394">
        <f t="shared" si="20"/>
        <v>0</v>
      </c>
      <c r="AD69" s="1510">
        <f t="shared" si="21"/>
        <v>0</v>
      </c>
      <c r="AE69" s="1395">
        <v>0</v>
      </c>
      <c r="AF69" s="1510">
        <f t="shared" si="22"/>
        <v>0</v>
      </c>
      <c r="AG69" s="1395"/>
      <c r="AH69" s="1395">
        <f t="shared" si="23"/>
        <v>0</v>
      </c>
      <c r="AI69" s="1510">
        <f t="shared" si="24"/>
        <v>0</v>
      </c>
      <c r="AJ69" s="1505">
        <f t="shared" si="25"/>
        <v>0</v>
      </c>
      <c r="AK69" s="1535">
        <f t="shared" si="26"/>
        <v>0</v>
      </c>
    </row>
    <row r="70" spans="1:37" ht="16.2" customHeight="1">
      <c r="A70" s="1176">
        <v>64</v>
      </c>
      <c r="B70" s="1177" t="s">
        <v>143</v>
      </c>
      <c r="C70" s="1178">
        <v>0</v>
      </c>
      <c r="D70" s="1179">
        <f>+'Table 5C1A-Madison Prep'!D70</f>
        <v>6277.8307532778254</v>
      </c>
      <c r="E70" s="1180">
        <f t="shared" si="5"/>
        <v>0</v>
      </c>
      <c r="F70" s="1180">
        <f>+'Table 5C1A-Madison Prep'!F70</f>
        <v>592.66</v>
      </c>
      <c r="G70" s="1180">
        <f t="shared" si="6"/>
        <v>0</v>
      </c>
      <c r="H70" s="1539">
        <f t="shared" si="7"/>
        <v>0</v>
      </c>
      <c r="I70" s="1181"/>
      <c r="J70" s="1181"/>
      <c r="K70" s="1182">
        <f t="shared" si="8"/>
        <v>0</v>
      </c>
      <c r="L70" s="1539">
        <f t="shared" si="9"/>
        <v>0</v>
      </c>
      <c r="M70" s="1388">
        <f t="shared" si="4"/>
        <v>0</v>
      </c>
      <c r="N70" s="1539">
        <f t="shared" si="10"/>
        <v>0</v>
      </c>
      <c r="O70" s="1179">
        <v>0</v>
      </c>
      <c r="P70" s="1545">
        <f t="shared" si="11"/>
        <v>0</v>
      </c>
      <c r="Q70" s="1181"/>
      <c r="R70" s="1181">
        <f t="shared" si="12"/>
        <v>0</v>
      </c>
      <c r="S70" s="1545">
        <f t="shared" si="13"/>
        <v>0</v>
      </c>
      <c r="T70" s="1545">
        <f t="shared" si="14"/>
        <v>0</v>
      </c>
      <c r="U70" s="1389">
        <f>'Table 5C1A-Madison Prep'!U70</f>
        <v>2721</v>
      </c>
      <c r="V70" s="1515">
        <f t="shared" si="15"/>
        <v>0</v>
      </c>
      <c r="W70" s="1391"/>
      <c r="X70" s="1392">
        <f t="shared" si="16"/>
        <v>0</v>
      </c>
      <c r="Y70" s="1391"/>
      <c r="Z70" s="1392">
        <f t="shared" si="17"/>
        <v>0</v>
      </c>
      <c r="AA70" s="1390">
        <f t="shared" si="18"/>
        <v>0</v>
      </c>
      <c r="AB70" s="1510">
        <f t="shared" si="19"/>
        <v>0</v>
      </c>
      <c r="AC70" s="1394">
        <f t="shared" si="20"/>
        <v>0</v>
      </c>
      <c r="AD70" s="1510">
        <f t="shared" si="21"/>
        <v>0</v>
      </c>
      <c r="AE70" s="1395">
        <v>0</v>
      </c>
      <c r="AF70" s="1510">
        <f t="shared" si="22"/>
        <v>0</v>
      </c>
      <c r="AG70" s="1395"/>
      <c r="AH70" s="1395">
        <f t="shared" si="23"/>
        <v>0</v>
      </c>
      <c r="AI70" s="1510">
        <f t="shared" si="24"/>
        <v>0</v>
      </c>
      <c r="AJ70" s="1505">
        <f t="shared" si="25"/>
        <v>0</v>
      </c>
      <c r="AK70" s="1535">
        <f t="shared" si="26"/>
        <v>0</v>
      </c>
    </row>
    <row r="71" spans="1:37" ht="16.2" customHeight="1">
      <c r="A71" s="1168">
        <v>65</v>
      </c>
      <c r="B71" s="1169" t="s">
        <v>144</v>
      </c>
      <c r="C71" s="1170">
        <v>150</v>
      </c>
      <c r="D71" s="1171">
        <f>+'Table 5C1A-Madison Prep'!D71</f>
        <v>4775.1605543943642</v>
      </c>
      <c r="E71" s="1172">
        <f t="shared" si="5"/>
        <v>716274.08315915463</v>
      </c>
      <c r="F71" s="1172">
        <f>+'Table 5C1A-Madison Prep'!F71</f>
        <v>829.12</v>
      </c>
      <c r="G71" s="1172">
        <f t="shared" si="6"/>
        <v>124368</v>
      </c>
      <c r="H71" s="1540">
        <f t="shared" si="7"/>
        <v>840642.08315915463</v>
      </c>
      <c r="I71" s="1173"/>
      <c r="J71" s="1173"/>
      <c r="K71" s="1174">
        <f t="shared" si="8"/>
        <v>0</v>
      </c>
      <c r="L71" s="1540">
        <f t="shared" si="9"/>
        <v>840642.08315915463</v>
      </c>
      <c r="M71" s="1399">
        <f t="shared" ref="M71:M74" si="27">-(0.25%*L71)</f>
        <v>-2101.6052078978864</v>
      </c>
      <c r="N71" s="1540">
        <f t="shared" si="10"/>
        <v>838540.47795125679</v>
      </c>
      <c r="O71" s="1171">
        <v>0</v>
      </c>
      <c r="P71" s="1546">
        <f t="shared" si="11"/>
        <v>838540.47795125679</v>
      </c>
      <c r="Q71" s="1173"/>
      <c r="R71" s="1173">
        <f t="shared" si="12"/>
        <v>838540.47795125679</v>
      </c>
      <c r="S71" s="1546">
        <f t="shared" si="13"/>
        <v>69878</v>
      </c>
      <c r="T71" s="1546">
        <f t="shared" si="14"/>
        <v>838540.47795125679</v>
      </c>
      <c r="U71" s="1382">
        <f>'Table 5C1A-Madison Prep'!U71</f>
        <v>5110</v>
      </c>
      <c r="V71" s="1516">
        <f t="shared" si="15"/>
        <v>766500</v>
      </c>
      <c r="W71" s="1400"/>
      <c r="X71" s="1383">
        <f t="shared" si="16"/>
        <v>0</v>
      </c>
      <c r="Y71" s="1400"/>
      <c r="Z71" s="1383">
        <f t="shared" si="17"/>
        <v>0</v>
      </c>
      <c r="AA71" s="1384">
        <f t="shared" si="18"/>
        <v>0</v>
      </c>
      <c r="AB71" s="1511">
        <f t="shared" si="19"/>
        <v>766500</v>
      </c>
      <c r="AC71" s="1402">
        <f t="shared" si="20"/>
        <v>-1916.25</v>
      </c>
      <c r="AD71" s="1511">
        <f t="shared" si="21"/>
        <v>764583.75</v>
      </c>
      <c r="AE71" s="1385">
        <v>0</v>
      </c>
      <c r="AF71" s="1511">
        <f t="shared" si="22"/>
        <v>764583.75</v>
      </c>
      <c r="AG71" s="1385"/>
      <c r="AH71" s="1385">
        <f t="shared" si="23"/>
        <v>764583.75</v>
      </c>
      <c r="AI71" s="1511">
        <f t="shared" si="24"/>
        <v>63715</v>
      </c>
      <c r="AJ71" s="1531">
        <f t="shared" si="25"/>
        <v>1603124.2279512568</v>
      </c>
      <c r="AK71" s="1536">
        <f t="shared" si="26"/>
        <v>133593</v>
      </c>
    </row>
    <row r="72" spans="1:37" ht="16.2" customHeight="1">
      <c r="A72" s="1176">
        <v>66</v>
      </c>
      <c r="B72" s="1177" t="s">
        <v>145</v>
      </c>
      <c r="C72" s="1197">
        <v>0</v>
      </c>
      <c r="D72" s="1198">
        <f>+'Table 5C1A-Madison Prep'!D72</f>
        <v>6564.0085433910035</v>
      </c>
      <c r="E72" s="1199">
        <f t="shared" ref="E72:E75" si="28">C72*D72</f>
        <v>0</v>
      </c>
      <c r="F72" s="1199">
        <f>+'Table 5C1A-Madison Prep'!F72</f>
        <v>730.06</v>
      </c>
      <c r="G72" s="1199">
        <f t="shared" ref="G72:G75" si="29">C72*F72</f>
        <v>0</v>
      </c>
      <c r="H72" s="1403">
        <f t="shared" ref="H72:H75" si="30">E72+G72</f>
        <v>0</v>
      </c>
      <c r="I72" s="1200"/>
      <c r="J72" s="1200"/>
      <c r="K72" s="1201">
        <f t="shared" ref="K72:K75" si="31">+I72+J72</f>
        <v>0</v>
      </c>
      <c r="L72" s="1403">
        <f t="shared" ref="L72:L75" si="32">+H72+K72</f>
        <v>0</v>
      </c>
      <c r="M72" s="1423">
        <f t="shared" si="27"/>
        <v>0</v>
      </c>
      <c r="N72" s="1403">
        <f t="shared" ref="N72:N75" si="33">SUM(L72:M72)</f>
        <v>0</v>
      </c>
      <c r="O72" s="1198">
        <v>0</v>
      </c>
      <c r="P72" s="1398">
        <f t="shared" ref="P72:P75" si="34">SUM(N72:O72)</f>
        <v>0</v>
      </c>
      <c r="Q72" s="1200"/>
      <c r="R72" s="1200">
        <f t="shared" ref="R72:R75" si="35">+P72-Q72</f>
        <v>0</v>
      </c>
      <c r="S72" s="1398">
        <f t="shared" ref="S72:S75" si="36">ROUND(R72/12,0)</f>
        <v>0</v>
      </c>
      <c r="T72" s="1398">
        <f t="shared" ref="T72:T75" si="37">+P72</f>
        <v>0</v>
      </c>
      <c r="U72" s="1389">
        <f>'Table 5C1A-Madison Prep'!U72</f>
        <v>3369</v>
      </c>
      <c r="V72" s="1515">
        <f t="shared" ref="V72:V75" si="38">C72*U72</f>
        <v>0</v>
      </c>
      <c r="W72" s="1391"/>
      <c r="X72" s="1392">
        <f t="shared" ref="X72:X75" si="39">+U72*W72</f>
        <v>0</v>
      </c>
      <c r="Y72" s="1391"/>
      <c r="Z72" s="1392">
        <f t="shared" ref="Z72:Z75" si="40">+U72*Y72*0.5</f>
        <v>0</v>
      </c>
      <c r="AA72" s="1390">
        <f t="shared" ref="AA72:AA75" si="41">+X72+Z72</f>
        <v>0</v>
      </c>
      <c r="AB72" s="1510">
        <f t="shared" ref="AB72:AB75" si="42">+V72+AA72</f>
        <v>0</v>
      </c>
      <c r="AC72" s="1394">
        <f t="shared" ref="AC72:AC75" si="43">-(0.25%*AB72)</f>
        <v>0</v>
      </c>
      <c r="AD72" s="1510">
        <f t="shared" ref="AD72:AD75" si="44">SUM(AB72:AC72)</f>
        <v>0</v>
      </c>
      <c r="AE72" s="1395">
        <v>0</v>
      </c>
      <c r="AF72" s="1510">
        <f t="shared" ref="AF72:AF75" si="45">SUM(AD72:AE72)</f>
        <v>0</v>
      </c>
      <c r="AG72" s="1395"/>
      <c r="AH72" s="1395">
        <f t="shared" ref="AH72:AH75" si="46">+AF72-AG72</f>
        <v>0</v>
      </c>
      <c r="AI72" s="1510">
        <f t="shared" ref="AI72:AI75" si="47">ROUND(AH72/12,0)</f>
        <v>0</v>
      </c>
      <c r="AJ72" s="1505">
        <f t="shared" ref="AJ72:AJ75" si="48">T72+AF72</f>
        <v>0</v>
      </c>
      <c r="AK72" s="1505">
        <f t="shared" ref="AK72:AK75" si="49">S72+AI72</f>
        <v>0</v>
      </c>
    </row>
    <row r="73" spans="1:37" ht="16.2" customHeight="1">
      <c r="A73" s="1176">
        <v>67</v>
      </c>
      <c r="B73" s="1177" t="s">
        <v>30</v>
      </c>
      <c r="C73" s="1197">
        <v>0</v>
      </c>
      <c r="D73" s="1198">
        <f>+'Table 5C1A-Madison Prep'!D73</f>
        <v>5029.1467736134118</v>
      </c>
      <c r="E73" s="1199">
        <f t="shared" si="28"/>
        <v>0</v>
      </c>
      <c r="F73" s="1199">
        <f>+'Table 5C1A-Madison Prep'!F73</f>
        <v>715.61</v>
      </c>
      <c r="G73" s="1199">
        <f t="shared" si="29"/>
        <v>0</v>
      </c>
      <c r="H73" s="1403">
        <f t="shared" si="30"/>
        <v>0</v>
      </c>
      <c r="I73" s="1200"/>
      <c r="J73" s="1200"/>
      <c r="K73" s="1201">
        <f t="shared" si="31"/>
        <v>0</v>
      </c>
      <c r="L73" s="1403">
        <f t="shared" si="32"/>
        <v>0</v>
      </c>
      <c r="M73" s="1423">
        <f t="shared" si="27"/>
        <v>0</v>
      </c>
      <c r="N73" s="1403">
        <f t="shared" si="33"/>
        <v>0</v>
      </c>
      <c r="O73" s="1198">
        <v>0</v>
      </c>
      <c r="P73" s="1398">
        <f t="shared" si="34"/>
        <v>0</v>
      </c>
      <c r="Q73" s="1200"/>
      <c r="R73" s="1200">
        <f t="shared" si="35"/>
        <v>0</v>
      </c>
      <c r="S73" s="1398">
        <f t="shared" si="36"/>
        <v>0</v>
      </c>
      <c r="T73" s="1398">
        <f t="shared" si="37"/>
        <v>0</v>
      </c>
      <c r="U73" s="1389">
        <f>'Table 5C1A-Madison Prep'!U73</f>
        <v>5015</v>
      </c>
      <c r="V73" s="1515">
        <f t="shared" si="38"/>
        <v>0</v>
      </c>
      <c r="W73" s="1391"/>
      <c r="X73" s="1392">
        <f t="shared" si="39"/>
        <v>0</v>
      </c>
      <c r="Y73" s="1391"/>
      <c r="Z73" s="1392">
        <f t="shared" si="40"/>
        <v>0</v>
      </c>
      <c r="AA73" s="1390">
        <f t="shared" si="41"/>
        <v>0</v>
      </c>
      <c r="AB73" s="1510">
        <f t="shared" si="42"/>
        <v>0</v>
      </c>
      <c r="AC73" s="1394">
        <f t="shared" si="43"/>
        <v>0</v>
      </c>
      <c r="AD73" s="1510">
        <f t="shared" si="44"/>
        <v>0</v>
      </c>
      <c r="AE73" s="1395">
        <v>0</v>
      </c>
      <c r="AF73" s="1510">
        <f t="shared" si="45"/>
        <v>0</v>
      </c>
      <c r="AG73" s="1395"/>
      <c r="AH73" s="1395">
        <f t="shared" si="46"/>
        <v>0</v>
      </c>
      <c r="AI73" s="1510">
        <f t="shared" si="47"/>
        <v>0</v>
      </c>
      <c r="AJ73" s="1505">
        <f t="shared" si="48"/>
        <v>0</v>
      </c>
      <c r="AK73" s="1505">
        <f t="shared" si="49"/>
        <v>0</v>
      </c>
    </row>
    <row r="74" spans="1:37" ht="16.2" customHeight="1">
      <c r="A74" s="1176">
        <v>68</v>
      </c>
      <c r="B74" s="1177" t="s">
        <v>28</v>
      </c>
      <c r="C74" s="1197">
        <v>0</v>
      </c>
      <c r="D74" s="1198">
        <f>+'Table 5C1A-Madison Prep'!D74</f>
        <v>6390.1644202560601</v>
      </c>
      <c r="E74" s="1199">
        <f t="shared" si="28"/>
        <v>0</v>
      </c>
      <c r="F74" s="1199">
        <f>+'Table 5C1A-Madison Prep'!F74</f>
        <v>798.7</v>
      </c>
      <c r="G74" s="1199">
        <f t="shared" si="29"/>
        <v>0</v>
      </c>
      <c r="H74" s="1403">
        <f t="shared" si="30"/>
        <v>0</v>
      </c>
      <c r="I74" s="1200"/>
      <c r="J74" s="1200"/>
      <c r="K74" s="1201">
        <f t="shared" si="31"/>
        <v>0</v>
      </c>
      <c r="L74" s="1403">
        <f t="shared" si="32"/>
        <v>0</v>
      </c>
      <c r="M74" s="1423">
        <f t="shared" si="27"/>
        <v>0</v>
      </c>
      <c r="N74" s="1403">
        <f t="shared" si="33"/>
        <v>0</v>
      </c>
      <c r="O74" s="1198">
        <v>0</v>
      </c>
      <c r="P74" s="1398">
        <f t="shared" si="34"/>
        <v>0</v>
      </c>
      <c r="Q74" s="1200"/>
      <c r="R74" s="1200">
        <f t="shared" si="35"/>
        <v>0</v>
      </c>
      <c r="S74" s="1398">
        <f t="shared" si="36"/>
        <v>0</v>
      </c>
      <c r="T74" s="1398">
        <f t="shared" si="37"/>
        <v>0</v>
      </c>
      <c r="U74" s="1389">
        <f>'Table 5C1A-Madison Prep'!U74</f>
        <v>2669</v>
      </c>
      <c r="V74" s="1515">
        <f t="shared" si="38"/>
        <v>0</v>
      </c>
      <c r="W74" s="1391"/>
      <c r="X74" s="1392">
        <f t="shared" si="39"/>
        <v>0</v>
      </c>
      <c r="Y74" s="1391"/>
      <c r="Z74" s="1392">
        <f t="shared" si="40"/>
        <v>0</v>
      </c>
      <c r="AA74" s="1390">
        <f t="shared" si="41"/>
        <v>0</v>
      </c>
      <c r="AB74" s="1510">
        <f t="shared" si="42"/>
        <v>0</v>
      </c>
      <c r="AC74" s="1394">
        <f t="shared" si="43"/>
        <v>0</v>
      </c>
      <c r="AD74" s="1510">
        <f t="shared" si="44"/>
        <v>0</v>
      </c>
      <c r="AE74" s="1395">
        <v>0</v>
      </c>
      <c r="AF74" s="1510">
        <f t="shared" si="45"/>
        <v>0</v>
      </c>
      <c r="AG74" s="1395"/>
      <c r="AH74" s="1395">
        <f t="shared" si="46"/>
        <v>0</v>
      </c>
      <c r="AI74" s="1510">
        <f t="shared" si="47"/>
        <v>0</v>
      </c>
      <c r="AJ74" s="1505">
        <f t="shared" si="48"/>
        <v>0</v>
      </c>
      <c r="AK74" s="1505">
        <f t="shared" si="49"/>
        <v>0</v>
      </c>
    </row>
    <row r="75" spans="1:37" ht="16.2" customHeight="1">
      <c r="A75" s="1190">
        <v>69</v>
      </c>
      <c r="B75" s="1191" t="s">
        <v>183</v>
      </c>
      <c r="C75" s="1192">
        <v>0</v>
      </c>
      <c r="D75" s="1193">
        <f>+'Table 5C1A-Madison Prep'!D75</f>
        <v>5722.4947921281337</v>
      </c>
      <c r="E75" s="1194">
        <f t="shared" si="28"/>
        <v>0</v>
      </c>
      <c r="F75" s="1194">
        <f>+'Table 5C1A-Madison Prep'!F75</f>
        <v>705.67</v>
      </c>
      <c r="G75" s="1194">
        <f t="shared" si="29"/>
        <v>0</v>
      </c>
      <c r="H75" s="1541">
        <f t="shared" si="30"/>
        <v>0</v>
      </c>
      <c r="I75" s="1195"/>
      <c r="J75" s="1195"/>
      <c r="K75" s="1196">
        <f t="shared" si="31"/>
        <v>0</v>
      </c>
      <c r="L75" s="1541">
        <f t="shared" si="32"/>
        <v>0</v>
      </c>
      <c r="M75" s="1405">
        <f>-(0.25%*L75)</f>
        <v>0</v>
      </c>
      <c r="N75" s="1541">
        <f t="shared" si="33"/>
        <v>0</v>
      </c>
      <c r="O75" s="1193">
        <v>0</v>
      </c>
      <c r="P75" s="1547">
        <f t="shared" si="34"/>
        <v>0</v>
      </c>
      <c r="Q75" s="1195"/>
      <c r="R75" s="1195">
        <f t="shared" si="35"/>
        <v>0</v>
      </c>
      <c r="S75" s="1547">
        <f t="shared" si="36"/>
        <v>0</v>
      </c>
      <c r="T75" s="1547">
        <f t="shared" si="37"/>
        <v>0</v>
      </c>
      <c r="U75" s="653">
        <f>'Table 5C1A-Madison Prep'!U75</f>
        <v>3394</v>
      </c>
      <c r="V75" s="1517">
        <f t="shared" si="38"/>
        <v>0</v>
      </c>
      <c r="W75" s="1407"/>
      <c r="X75" s="1408">
        <f t="shared" si="39"/>
        <v>0</v>
      </c>
      <c r="Y75" s="1407"/>
      <c r="Z75" s="1408">
        <f t="shared" si="40"/>
        <v>0</v>
      </c>
      <c r="AA75" s="1406">
        <f t="shared" si="41"/>
        <v>0</v>
      </c>
      <c r="AB75" s="1512">
        <f t="shared" si="42"/>
        <v>0</v>
      </c>
      <c r="AC75" s="1410">
        <f t="shared" si="43"/>
        <v>0</v>
      </c>
      <c r="AD75" s="1512">
        <f t="shared" si="44"/>
        <v>0</v>
      </c>
      <c r="AE75" s="1416">
        <v>0</v>
      </c>
      <c r="AF75" s="1512">
        <f t="shared" si="45"/>
        <v>0</v>
      </c>
      <c r="AG75" s="1416"/>
      <c r="AH75" s="1416">
        <f t="shared" si="46"/>
        <v>0</v>
      </c>
      <c r="AI75" s="1512">
        <f t="shared" si="47"/>
        <v>0</v>
      </c>
      <c r="AJ75" s="1506">
        <f t="shared" si="48"/>
        <v>0</v>
      </c>
      <c r="AK75" s="1506">
        <f t="shared" si="49"/>
        <v>0</v>
      </c>
    </row>
    <row r="76" spans="1:37" ht="16.2" customHeight="1" thickBot="1">
      <c r="A76" s="2221" t="s">
        <v>1045</v>
      </c>
      <c r="B76" s="2194"/>
      <c r="C76" s="470">
        <f>SUM(C7:C75)</f>
        <v>200</v>
      </c>
      <c r="D76" s="471">
        <f>+'Table 5C1A-Madison Prep'!D76</f>
        <v>4479.9292126977662</v>
      </c>
      <c r="E76" s="480">
        <f>SUM(E7:E75)</f>
        <v>1006559.7931167367</v>
      </c>
      <c r="F76" s="480">
        <f>+'Table 5C1A-Madison Prep'!F76</f>
        <v>704.64781030742063</v>
      </c>
      <c r="G76" s="480">
        <f t="shared" ref="G76:R76" si="50">SUM(G7:G75)</f>
        <v>155665.20000000001</v>
      </c>
      <c r="H76" s="1542">
        <f t="shared" si="50"/>
        <v>1162224.9931167366</v>
      </c>
      <c r="I76" s="640">
        <f t="shared" si="50"/>
        <v>0</v>
      </c>
      <c r="J76" s="640">
        <f t="shared" si="50"/>
        <v>0</v>
      </c>
      <c r="K76" s="616">
        <f t="shared" si="50"/>
        <v>0</v>
      </c>
      <c r="L76" s="1560">
        <f t="shared" si="50"/>
        <v>1162224.9931167366</v>
      </c>
      <c r="M76" s="481">
        <f t="shared" si="50"/>
        <v>-2905.5624827918418</v>
      </c>
      <c r="N76" s="1542">
        <f t="shared" si="50"/>
        <v>1159319.4306339449</v>
      </c>
      <c r="O76" s="471">
        <f t="shared" si="50"/>
        <v>0</v>
      </c>
      <c r="P76" s="1548">
        <f t="shared" si="50"/>
        <v>1159319.4306339449</v>
      </c>
      <c r="Q76" s="640"/>
      <c r="R76" s="640">
        <f t="shared" si="50"/>
        <v>1159319.4306339449</v>
      </c>
      <c r="S76" s="1548">
        <f>SUM(S7:S75)</f>
        <v>96609</v>
      </c>
      <c r="T76" s="1548">
        <f>SUM(T7:T75)</f>
        <v>1159319.4306339449</v>
      </c>
      <c r="U76" s="658">
        <f>'Table 5C1A-Madison Prep'!U76</f>
        <v>4663</v>
      </c>
      <c r="V76" s="1518">
        <f t="shared" ref="V76:AK76" si="51">SUM(V7:V75)</f>
        <v>927100</v>
      </c>
      <c r="W76" s="646">
        <f t="shared" si="51"/>
        <v>0</v>
      </c>
      <c r="X76" s="647">
        <f t="shared" si="51"/>
        <v>0</v>
      </c>
      <c r="Y76" s="646">
        <f t="shared" si="51"/>
        <v>0</v>
      </c>
      <c r="Z76" s="647">
        <f t="shared" si="51"/>
        <v>0</v>
      </c>
      <c r="AA76" s="633">
        <f t="shared" si="51"/>
        <v>0</v>
      </c>
      <c r="AB76" s="1520">
        <f t="shared" si="51"/>
        <v>927100</v>
      </c>
      <c r="AC76" s="482">
        <f t="shared" si="51"/>
        <v>-2317.75</v>
      </c>
      <c r="AD76" s="1518">
        <f t="shared" si="51"/>
        <v>924782.25</v>
      </c>
      <c r="AE76" s="660">
        <f t="shared" si="51"/>
        <v>0</v>
      </c>
      <c r="AF76" s="1518">
        <f t="shared" si="51"/>
        <v>924782.25</v>
      </c>
      <c r="AG76" s="647">
        <f t="shared" si="51"/>
        <v>0</v>
      </c>
      <c r="AH76" s="647">
        <f t="shared" si="51"/>
        <v>924782.25</v>
      </c>
      <c r="AI76" s="1518">
        <f t="shared" si="51"/>
        <v>77065</v>
      </c>
      <c r="AJ76" s="1532">
        <f t="shared" si="51"/>
        <v>2084101.6806339449</v>
      </c>
      <c r="AK76" s="1532">
        <f t="shared" si="51"/>
        <v>173674</v>
      </c>
    </row>
    <row r="77" spans="1:37" ht="16.2" customHeight="1" thickTop="1">
      <c r="A77" s="2330" t="s">
        <v>1039</v>
      </c>
      <c r="B77" s="2338"/>
      <c r="C77" s="1425"/>
      <c r="D77" s="1198"/>
      <c r="E77" s="1198"/>
      <c r="F77" s="1198"/>
      <c r="G77" s="1198"/>
      <c r="H77" s="1198"/>
      <c r="I77" s="1200"/>
      <c r="J77" s="1200"/>
      <c r="K77" s="1200"/>
      <c r="L77" s="1198"/>
      <c r="M77" s="1200"/>
      <c r="N77" s="1198"/>
      <c r="O77" s="1198"/>
      <c r="P77" s="1398">
        <f>'Table 4 Level 4'!$E113</f>
        <v>0</v>
      </c>
      <c r="Q77" s="1200"/>
      <c r="R77" s="1200">
        <f t="shared" ref="R77" si="52">+P77-Q77</f>
        <v>0</v>
      </c>
      <c r="S77" s="1398">
        <f t="shared" ref="S77" si="53">ROUND(R77/12,0)</f>
        <v>0</v>
      </c>
      <c r="T77" s="1398">
        <f>'Table 4 Level 4'!$E113</f>
        <v>0</v>
      </c>
      <c r="U77" s="1389"/>
      <c r="V77" s="1392"/>
      <c r="W77" s="1391"/>
      <c r="X77" s="1392"/>
      <c r="Y77" s="1391"/>
      <c r="Z77" s="1392"/>
      <c r="AA77" s="1392"/>
      <c r="AB77" s="1395"/>
      <c r="AC77" s="1392"/>
      <c r="AD77" s="1395"/>
      <c r="AE77" s="1395"/>
      <c r="AF77" s="1395"/>
      <c r="AG77" s="1395"/>
      <c r="AH77" s="1395"/>
      <c r="AI77" s="1395"/>
      <c r="AJ77" s="1505">
        <f t="shared" ref="AJ77:AJ81" si="54">T77+AF77</f>
        <v>0</v>
      </c>
      <c r="AK77" s="1505">
        <f t="shared" ref="AK77:AK81" si="55">S77+AI77</f>
        <v>0</v>
      </c>
    </row>
    <row r="78" spans="1:37" ht="16.2" customHeight="1">
      <c r="A78" s="2332" t="s">
        <v>1040</v>
      </c>
      <c r="B78" s="2339"/>
      <c r="C78" s="1425"/>
      <c r="D78" s="1198"/>
      <c r="E78" s="1198"/>
      <c r="F78" s="1198"/>
      <c r="G78" s="1198"/>
      <c r="H78" s="1198"/>
      <c r="I78" s="1200"/>
      <c r="J78" s="1200"/>
      <c r="K78" s="1200"/>
      <c r="L78" s="1198"/>
      <c r="M78" s="1200"/>
      <c r="N78" s="1198"/>
      <c r="O78" s="1198"/>
      <c r="P78" s="1200">
        <v>0</v>
      </c>
      <c r="Q78" s="1200"/>
      <c r="R78" s="1200"/>
      <c r="S78" s="1200">
        <v>0</v>
      </c>
      <c r="T78" s="1398">
        <f>'Table 4 Level 4'!$J113</f>
        <v>0</v>
      </c>
      <c r="U78" s="1389"/>
      <c r="V78" s="1392"/>
      <c r="W78" s="1391"/>
      <c r="X78" s="1392"/>
      <c r="Y78" s="1391"/>
      <c r="Z78" s="1392"/>
      <c r="AA78" s="1392"/>
      <c r="AB78" s="1395"/>
      <c r="AC78" s="1392"/>
      <c r="AD78" s="1395"/>
      <c r="AE78" s="1395"/>
      <c r="AF78" s="1395"/>
      <c r="AG78" s="1395"/>
      <c r="AH78" s="1395"/>
      <c r="AI78" s="1395"/>
      <c r="AJ78" s="1505">
        <f t="shared" si="54"/>
        <v>0</v>
      </c>
      <c r="AK78" s="1395"/>
    </row>
    <row r="79" spans="1:37" ht="16.2" customHeight="1">
      <c r="A79" s="2332" t="s">
        <v>1041</v>
      </c>
      <c r="B79" s="2339"/>
      <c r="C79" s="1425"/>
      <c r="D79" s="1198"/>
      <c r="E79" s="1198"/>
      <c r="F79" s="1198"/>
      <c r="G79" s="1198"/>
      <c r="H79" s="1198"/>
      <c r="I79" s="1200"/>
      <c r="J79" s="1200"/>
      <c r="K79" s="1200"/>
      <c r="L79" s="1198"/>
      <c r="M79" s="1200"/>
      <c r="N79" s="1198"/>
      <c r="O79" s="1198"/>
      <c r="P79" s="1200">
        <v>0</v>
      </c>
      <c r="Q79" s="1200"/>
      <c r="R79" s="1200"/>
      <c r="S79" s="1200">
        <v>0</v>
      </c>
      <c r="T79" s="1398">
        <f>'Table 4 Level 4'!$K113</f>
        <v>0</v>
      </c>
      <c r="U79" s="1389"/>
      <c r="V79" s="1392"/>
      <c r="W79" s="1391"/>
      <c r="X79" s="1392"/>
      <c r="Y79" s="1391"/>
      <c r="Z79" s="1392"/>
      <c r="AA79" s="1392"/>
      <c r="AB79" s="1395"/>
      <c r="AC79" s="1392"/>
      <c r="AD79" s="1395"/>
      <c r="AE79" s="1395"/>
      <c r="AF79" s="1395"/>
      <c r="AG79" s="1395"/>
      <c r="AH79" s="1395"/>
      <c r="AI79" s="1395"/>
      <c r="AJ79" s="1505">
        <f t="shared" si="54"/>
        <v>0</v>
      </c>
      <c r="AK79" s="1395"/>
    </row>
    <row r="80" spans="1:37" ht="16.2" customHeight="1">
      <c r="A80" s="2332" t="s">
        <v>1042</v>
      </c>
      <c r="B80" s="2339"/>
      <c r="C80" s="1425"/>
      <c r="D80" s="1198"/>
      <c r="E80" s="1198"/>
      <c r="F80" s="1198"/>
      <c r="G80" s="1198"/>
      <c r="H80" s="1198"/>
      <c r="I80" s="1200"/>
      <c r="J80" s="1200"/>
      <c r="K80" s="1200"/>
      <c r="L80" s="1198"/>
      <c r="M80" s="1200"/>
      <c r="N80" s="1198"/>
      <c r="O80" s="1198"/>
      <c r="P80" s="1200">
        <v>0</v>
      </c>
      <c r="Q80" s="1200"/>
      <c r="R80" s="1200"/>
      <c r="S80" s="1200">
        <v>0</v>
      </c>
      <c r="T80" s="1398">
        <f>'Table 4 Level 4'!$L113</f>
        <v>0</v>
      </c>
      <c r="U80" s="1389"/>
      <c r="V80" s="1392"/>
      <c r="W80" s="1391"/>
      <c r="X80" s="1392"/>
      <c r="Y80" s="1391"/>
      <c r="Z80" s="1392"/>
      <c r="AA80" s="1392"/>
      <c r="AB80" s="1395"/>
      <c r="AC80" s="1392"/>
      <c r="AD80" s="1395"/>
      <c r="AE80" s="1395"/>
      <c r="AF80" s="1395"/>
      <c r="AG80" s="1395"/>
      <c r="AH80" s="1395"/>
      <c r="AI80" s="1395"/>
      <c r="AJ80" s="1505">
        <f t="shared" si="54"/>
        <v>0</v>
      </c>
      <c r="AK80" s="1395"/>
    </row>
    <row r="81" spans="1:37" ht="16.2" customHeight="1">
      <c r="A81" s="2340" t="s">
        <v>1043</v>
      </c>
      <c r="B81" s="2341"/>
      <c r="C81" s="1417"/>
      <c r="D81" s="1193"/>
      <c r="E81" s="1193"/>
      <c r="F81" s="1193"/>
      <c r="G81" s="1193"/>
      <c r="H81" s="1193"/>
      <c r="I81" s="1195"/>
      <c r="J81" s="1195"/>
      <c r="K81" s="1195"/>
      <c r="L81" s="1193"/>
      <c r="M81" s="1195"/>
      <c r="N81" s="1193"/>
      <c r="O81" s="1193"/>
      <c r="P81" s="1547">
        <f>'Table 4 Level 4'!$N113</f>
        <v>5200</v>
      </c>
      <c r="Q81" s="1195"/>
      <c r="R81" s="1195">
        <f t="shared" ref="R81" si="56">+P81-Q81</f>
        <v>5200</v>
      </c>
      <c r="S81" s="1547">
        <f t="shared" ref="S81" si="57">ROUND(R81/12,0)</f>
        <v>433</v>
      </c>
      <c r="T81" s="1547">
        <f>'Table 4 Level 4'!$N113</f>
        <v>5200</v>
      </c>
      <c r="U81" s="1418"/>
      <c r="V81" s="1408"/>
      <c r="W81" s="1407"/>
      <c r="X81" s="1408"/>
      <c r="Y81" s="1407"/>
      <c r="Z81" s="1408"/>
      <c r="AA81" s="1408"/>
      <c r="AB81" s="1416"/>
      <c r="AC81" s="1408"/>
      <c r="AD81" s="1416"/>
      <c r="AE81" s="1416"/>
      <c r="AF81" s="1416"/>
      <c r="AG81" s="1416"/>
      <c r="AH81" s="1416"/>
      <c r="AI81" s="1416"/>
      <c r="AJ81" s="1506">
        <f t="shared" si="54"/>
        <v>5200</v>
      </c>
      <c r="AK81" s="1506">
        <f t="shared" si="55"/>
        <v>433</v>
      </c>
    </row>
    <row r="82" spans="1:37" ht="16.2" customHeight="1" thickBot="1">
      <c r="A82" s="2221" t="s">
        <v>1044</v>
      </c>
      <c r="B82" s="2194"/>
      <c r="C82" s="1052">
        <f>SUM(C76:C81)</f>
        <v>200</v>
      </c>
      <c r="D82" s="1046">
        <f t="shared" ref="D82:AK82" si="58">SUM(D76:D81)</f>
        <v>4479.9292126977662</v>
      </c>
      <c r="E82" s="1046">
        <f t="shared" si="58"/>
        <v>1006559.7931167367</v>
      </c>
      <c r="F82" s="1046">
        <f t="shared" si="58"/>
        <v>704.64781030742063</v>
      </c>
      <c r="G82" s="1046">
        <f t="shared" si="58"/>
        <v>155665.20000000001</v>
      </c>
      <c r="H82" s="1046">
        <f t="shared" si="58"/>
        <v>1162224.9931167366</v>
      </c>
      <c r="I82" s="1053">
        <f t="shared" si="58"/>
        <v>0</v>
      </c>
      <c r="J82" s="1053">
        <f t="shared" si="58"/>
        <v>0</v>
      </c>
      <c r="K82" s="1053">
        <f t="shared" si="58"/>
        <v>0</v>
      </c>
      <c r="L82" s="1046">
        <f t="shared" si="58"/>
        <v>1162224.9931167366</v>
      </c>
      <c r="M82" s="1053">
        <f t="shared" si="58"/>
        <v>-2905.5624827918418</v>
      </c>
      <c r="N82" s="1046">
        <f t="shared" si="58"/>
        <v>1159319.4306339449</v>
      </c>
      <c r="O82" s="1046">
        <f t="shared" si="58"/>
        <v>0</v>
      </c>
      <c r="P82" s="1549">
        <f t="shared" si="58"/>
        <v>1164519.4306339449</v>
      </c>
      <c r="Q82" s="1053">
        <f t="shared" si="58"/>
        <v>0</v>
      </c>
      <c r="R82" s="1053">
        <f t="shared" si="58"/>
        <v>1164519.4306339449</v>
      </c>
      <c r="S82" s="1549">
        <f t="shared" si="58"/>
        <v>97042</v>
      </c>
      <c r="T82" s="1549">
        <f t="shared" si="58"/>
        <v>1164519.4306339449</v>
      </c>
      <c r="U82" s="1058">
        <f t="shared" si="58"/>
        <v>4663</v>
      </c>
      <c r="V82" s="1055">
        <f t="shared" si="58"/>
        <v>927100</v>
      </c>
      <c r="W82" s="1057">
        <f t="shared" si="58"/>
        <v>0</v>
      </c>
      <c r="X82" s="1055">
        <f t="shared" si="58"/>
        <v>0</v>
      </c>
      <c r="Y82" s="1057">
        <f t="shared" si="58"/>
        <v>0</v>
      </c>
      <c r="Z82" s="1055">
        <f t="shared" si="58"/>
        <v>0</v>
      </c>
      <c r="AA82" s="1055">
        <f t="shared" si="58"/>
        <v>0</v>
      </c>
      <c r="AB82" s="1055">
        <f t="shared" si="58"/>
        <v>927100</v>
      </c>
      <c r="AC82" s="1055">
        <f t="shared" si="58"/>
        <v>-2317.75</v>
      </c>
      <c r="AD82" s="1055">
        <f t="shared" si="58"/>
        <v>924782.25</v>
      </c>
      <c r="AE82" s="1055">
        <f t="shared" si="58"/>
        <v>0</v>
      </c>
      <c r="AF82" s="1055">
        <f t="shared" si="58"/>
        <v>924782.25</v>
      </c>
      <c r="AG82" s="1055">
        <f t="shared" si="58"/>
        <v>0</v>
      </c>
      <c r="AH82" s="1055">
        <f t="shared" si="58"/>
        <v>924782.25</v>
      </c>
      <c r="AI82" s="1055">
        <f t="shared" si="58"/>
        <v>77065</v>
      </c>
      <c r="AJ82" s="1504">
        <f t="shared" si="58"/>
        <v>2089301.6806339449</v>
      </c>
      <c r="AK82" s="1504">
        <f t="shared" si="58"/>
        <v>174107</v>
      </c>
    </row>
    <row r="83" spans="1:37" ht="16.2" customHeight="1" thickTop="1"/>
    <row r="84" spans="1:37" ht="16.2" customHeight="1"/>
    <row r="85" spans="1:37" ht="16.2" customHeight="1"/>
    <row r="86" spans="1:37" ht="16.2" customHeight="1"/>
  </sheetData>
  <mergeCells count="45">
    <mergeCell ref="A1:B4"/>
    <mergeCell ref="O3:O4"/>
    <mergeCell ref="P3:P4"/>
    <mergeCell ref="S3:S4"/>
    <mergeCell ref="AE3:AE4"/>
    <mergeCell ref="W3:W4"/>
    <mergeCell ref="X3:X4"/>
    <mergeCell ref="Y3:Y4"/>
    <mergeCell ref="Z3:Z4"/>
    <mergeCell ref="AB3:AB4"/>
    <mergeCell ref="AD3:AD4"/>
    <mergeCell ref="T3:T4"/>
    <mergeCell ref="C1:L1"/>
    <mergeCell ref="U1:AB1"/>
    <mergeCell ref="C2:H2"/>
    <mergeCell ref="U2:V2"/>
    <mergeCell ref="AJ1:AJ4"/>
    <mergeCell ref="AG3:AG4"/>
    <mergeCell ref="AH3:AH4"/>
    <mergeCell ref="AI3:AI4"/>
    <mergeCell ref="AF3:AF4"/>
    <mergeCell ref="AC1:AI1"/>
    <mergeCell ref="AK1:AK4"/>
    <mergeCell ref="I2:K2"/>
    <mergeCell ref="W2:AA2"/>
    <mergeCell ref="C3:C4"/>
    <mergeCell ref="D3:D4"/>
    <mergeCell ref="E3:E4"/>
    <mergeCell ref="U3:U4"/>
    <mergeCell ref="F3:F4"/>
    <mergeCell ref="G3:G4"/>
    <mergeCell ref="H3:H4"/>
    <mergeCell ref="I3:I4"/>
    <mergeCell ref="J3:J4"/>
    <mergeCell ref="K3:K4"/>
    <mergeCell ref="L3:L4"/>
    <mergeCell ref="N3:N4"/>
    <mergeCell ref="M1:T1"/>
    <mergeCell ref="A82:B82"/>
    <mergeCell ref="A76:B76"/>
    <mergeCell ref="A77:B77"/>
    <mergeCell ref="A78:B78"/>
    <mergeCell ref="A79:B79"/>
    <mergeCell ref="A80:B80"/>
    <mergeCell ref="A81:B81"/>
  </mergeCells>
  <printOptions horizontalCentered="1"/>
  <pageMargins left="0.32" right="0.32" top="0.75" bottom="0.75" header="0.3" footer="0.3"/>
  <pageSetup paperSize="5" scale="60" firstPageNumber="56" orientation="portrait" r:id="rId1"/>
  <headerFooter>
    <oddHeader>&amp;L&amp;"Arial,Bold"&amp;20&amp;K000000Table 5C1-P: FY2014-15 MFP Budget Letter
Vision Academy</oddHeader>
    <oddFooter>&amp;R&amp;P</oddFooter>
  </headerFooter>
  <colBreaks count="3" manualBreakCount="3">
    <brk id="12" max="1048575" man="1"/>
    <brk id="20" max="1048575" man="1"/>
    <brk id="28" max="81"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6"/>
  <sheetViews>
    <sheetView view="pageBreakPreview" zoomScale="80" zoomScaleNormal="100" zoomScaleSheetLayoutView="80" workbookViewId="0">
      <pane xSplit="2" ySplit="6" topLeftCell="C7" activePane="bottomRight" state="frozen"/>
      <selection sqref="A1:H1"/>
      <selection pane="topRight" sqref="A1:H1"/>
      <selection pane="bottomLeft" sqref="A1:H1"/>
      <selection pane="bottomRight" sqref="A1:H1"/>
    </sheetView>
  </sheetViews>
  <sheetFormatPr defaultColWidth="8.88671875" defaultRowHeight="13.2"/>
  <cols>
    <col min="1" max="1" width="5" style="608" customWidth="1"/>
    <col min="2" max="2" width="37.6640625" style="608" customWidth="1"/>
    <col min="3" max="3" width="12.109375" style="608" customWidth="1"/>
    <col min="4" max="4" width="13.6640625" style="608" customWidth="1"/>
    <col min="5" max="5" width="9.88671875" style="608" customWidth="1"/>
    <col min="6" max="7" width="12.33203125" style="608" customWidth="1"/>
    <col min="8" max="8" width="11.5546875" style="608" customWidth="1"/>
    <col min="9" max="12" width="12" style="608" customWidth="1"/>
    <col min="13" max="13" width="10.88671875" style="608" bestFit="1" customWidth="1"/>
    <col min="14" max="14" width="13.109375" style="608" customWidth="1"/>
    <col min="15" max="15" width="13.44140625" style="608" bestFit="1" customWidth="1"/>
    <col min="16" max="16" width="14.6640625" style="608" customWidth="1"/>
    <col min="17" max="18" width="14" style="608" customWidth="1"/>
    <col min="19" max="19" width="10.6640625" style="608" customWidth="1"/>
    <col min="20" max="20" width="14.88671875" style="608" customWidth="1"/>
    <col min="21" max="22" width="14.5546875" style="608" customWidth="1"/>
    <col min="23" max="27" width="11.6640625" style="608" customWidth="1"/>
    <col min="28" max="28" width="14.44140625" style="608" bestFit="1" customWidth="1"/>
    <col min="29" max="29" width="10.5546875" style="608" customWidth="1"/>
    <col min="30" max="30" width="14.44140625" style="608" bestFit="1" customWidth="1"/>
    <col min="31" max="31" width="11.88671875" style="608" bestFit="1" customWidth="1"/>
    <col min="32" max="32" width="14.44140625" style="608" bestFit="1" customWidth="1"/>
    <col min="33" max="33" width="9.5546875" style="608" bestFit="1" customWidth="1"/>
    <col min="34" max="34" width="10.6640625" style="608" bestFit="1" customWidth="1"/>
    <col min="35" max="35" width="14.44140625" style="608" bestFit="1" customWidth="1"/>
    <col min="36" max="36" width="14.33203125" style="608" customWidth="1"/>
    <col min="37" max="37" width="14.44140625" style="608" bestFit="1" customWidth="1"/>
    <col min="38" max="16384" width="8.88671875" style="608"/>
  </cols>
  <sheetData>
    <row r="1" spans="1:37" ht="21.6" customHeight="1">
      <c r="A1" s="2367" t="s">
        <v>1002</v>
      </c>
      <c r="B1" s="2368"/>
      <c r="C1" s="2319" t="s">
        <v>1089</v>
      </c>
      <c r="D1" s="2320"/>
      <c r="E1" s="2320"/>
      <c r="F1" s="2320"/>
      <c r="G1" s="2320"/>
      <c r="H1" s="2320"/>
      <c r="I1" s="2320"/>
      <c r="J1" s="2320"/>
      <c r="K1" s="2320"/>
      <c r="L1" s="2321"/>
      <c r="M1" s="2349" t="s">
        <v>1089</v>
      </c>
      <c r="N1" s="2350"/>
      <c r="O1" s="2350"/>
      <c r="P1" s="2350"/>
      <c r="Q1" s="2350"/>
      <c r="R1" s="2350"/>
      <c r="S1" s="2350"/>
      <c r="T1" s="2351"/>
      <c r="U1" s="2268" t="s">
        <v>1247</v>
      </c>
      <c r="V1" s="2266"/>
      <c r="W1" s="2266"/>
      <c r="X1" s="2266"/>
      <c r="Y1" s="2266"/>
      <c r="Z1" s="2266"/>
      <c r="AA1" s="2266"/>
      <c r="AB1" s="2267"/>
      <c r="AC1" s="2268" t="s">
        <v>1247</v>
      </c>
      <c r="AD1" s="2266"/>
      <c r="AE1" s="2266"/>
      <c r="AF1" s="2266"/>
      <c r="AG1" s="2266"/>
      <c r="AH1" s="2266"/>
      <c r="AI1" s="2267"/>
      <c r="AJ1" s="2302" t="s">
        <v>1272</v>
      </c>
      <c r="AK1" s="2302" t="s">
        <v>1273</v>
      </c>
    </row>
    <row r="2" spans="1:37" ht="24.6" customHeight="1">
      <c r="A2" s="2369"/>
      <c r="B2" s="2370"/>
      <c r="C2" s="2379" t="s">
        <v>1284</v>
      </c>
      <c r="D2" s="2380"/>
      <c r="E2" s="2380"/>
      <c r="F2" s="2380"/>
      <c r="G2" s="2380"/>
      <c r="H2" s="2381"/>
      <c r="I2" s="2334" t="s">
        <v>531</v>
      </c>
      <c r="J2" s="2335"/>
      <c r="K2" s="2336"/>
      <c r="L2" s="1567"/>
      <c r="M2" s="1565"/>
      <c r="N2" s="1566"/>
      <c r="O2" s="1566"/>
      <c r="P2" s="1566"/>
      <c r="Q2" s="1566"/>
      <c r="R2" s="1566"/>
      <c r="S2" s="1566"/>
      <c r="T2" s="1567"/>
      <c r="U2" s="2377" t="s">
        <v>1284</v>
      </c>
      <c r="V2" s="2378"/>
      <c r="W2" s="2362" t="s">
        <v>531</v>
      </c>
      <c r="X2" s="2363"/>
      <c r="Y2" s="2363"/>
      <c r="Z2" s="2363"/>
      <c r="AA2" s="2364"/>
      <c r="AB2" s="1527"/>
      <c r="AC2" s="1525"/>
      <c r="AD2" s="1526"/>
      <c r="AE2" s="1526"/>
      <c r="AF2" s="1526"/>
      <c r="AG2" s="1526"/>
      <c r="AH2" s="1526"/>
      <c r="AI2" s="1527"/>
      <c r="AJ2" s="2303"/>
      <c r="AK2" s="2303"/>
    </row>
    <row r="3" spans="1:37" ht="148.94999999999999" customHeight="1">
      <c r="A3" s="2371"/>
      <c r="B3" s="2370"/>
      <c r="C3" s="2382" t="s">
        <v>1286</v>
      </c>
      <c r="D3" s="2318" t="s">
        <v>1110</v>
      </c>
      <c r="E3" s="2318" t="s">
        <v>384</v>
      </c>
      <c r="F3" s="2306" t="s">
        <v>546</v>
      </c>
      <c r="G3" s="2306" t="s">
        <v>330</v>
      </c>
      <c r="H3" s="2306" t="s">
        <v>547</v>
      </c>
      <c r="I3" s="2299" t="s">
        <v>770</v>
      </c>
      <c r="J3" s="2299" t="s">
        <v>769</v>
      </c>
      <c r="K3" s="2299" t="s">
        <v>538</v>
      </c>
      <c r="L3" s="2300" t="s">
        <v>548</v>
      </c>
      <c r="M3" s="1496" t="s">
        <v>333</v>
      </c>
      <c r="N3" s="2306" t="s">
        <v>545</v>
      </c>
      <c r="O3" s="2307" t="s">
        <v>1036</v>
      </c>
      <c r="P3" s="2306" t="s">
        <v>1056</v>
      </c>
      <c r="Q3" s="1537" t="s">
        <v>760</v>
      </c>
      <c r="R3" s="1537" t="s">
        <v>761</v>
      </c>
      <c r="S3" s="2308" t="s">
        <v>544</v>
      </c>
      <c r="T3" s="2308" t="s">
        <v>1057</v>
      </c>
      <c r="U3" s="2309" t="s">
        <v>1267</v>
      </c>
      <c r="V3" s="1507" t="s">
        <v>1268</v>
      </c>
      <c r="W3" s="2312" t="s">
        <v>1253</v>
      </c>
      <c r="X3" s="2312" t="s">
        <v>1251</v>
      </c>
      <c r="Y3" s="2312" t="s">
        <v>1254</v>
      </c>
      <c r="Z3" s="2312" t="s">
        <v>1252</v>
      </c>
      <c r="AA3" s="1498" t="s">
        <v>551</v>
      </c>
      <c r="AB3" s="2313" t="s">
        <v>1269</v>
      </c>
      <c r="AC3" s="1507" t="s">
        <v>1094</v>
      </c>
      <c r="AD3" s="2309" t="s">
        <v>1270</v>
      </c>
      <c r="AE3" s="2307" t="s">
        <v>1036</v>
      </c>
      <c r="AF3" s="2309" t="s">
        <v>1271</v>
      </c>
      <c r="AG3" s="2322" t="s">
        <v>981</v>
      </c>
      <c r="AH3" s="2322" t="s">
        <v>761</v>
      </c>
      <c r="AI3" s="2322" t="s">
        <v>1242</v>
      </c>
      <c r="AJ3" s="2304"/>
      <c r="AK3" s="2304"/>
    </row>
    <row r="4" spans="1:37" ht="19.95" customHeight="1">
      <c r="A4" s="2372"/>
      <c r="B4" s="2373"/>
      <c r="C4" s="2376"/>
      <c r="D4" s="2318"/>
      <c r="E4" s="2318"/>
      <c r="F4" s="2301"/>
      <c r="G4" s="2301"/>
      <c r="H4" s="2301"/>
      <c r="I4" s="2251"/>
      <c r="J4" s="2251"/>
      <c r="K4" s="2251"/>
      <c r="L4" s="2301"/>
      <c r="M4" s="1568">
        <v>2.5000000000000001E-3</v>
      </c>
      <c r="N4" s="2301"/>
      <c r="O4" s="2251"/>
      <c r="P4" s="2301"/>
      <c r="Q4" s="1497"/>
      <c r="R4" s="1497"/>
      <c r="S4" s="2301"/>
      <c r="T4" s="2301"/>
      <c r="U4" s="2280"/>
      <c r="V4" s="1508"/>
      <c r="W4" s="2251"/>
      <c r="X4" s="2251"/>
      <c r="Y4" s="2251"/>
      <c r="Z4" s="2251"/>
      <c r="AA4" s="1494"/>
      <c r="AB4" s="2280" t="s">
        <v>537</v>
      </c>
      <c r="AC4" s="1570">
        <v>2.5000000000000001E-3</v>
      </c>
      <c r="AD4" s="2280"/>
      <c r="AE4" s="2251"/>
      <c r="AF4" s="2280"/>
      <c r="AG4" s="2323"/>
      <c r="AH4" s="2323"/>
      <c r="AI4" s="2323"/>
      <c r="AJ4" s="2305"/>
      <c r="AK4" s="2305"/>
    </row>
    <row r="5" spans="1:37" ht="14.25" customHeight="1">
      <c r="A5" s="463"/>
      <c r="B5" s="464"/>
      <c r="C5" s="465">
        <v>1</v>
      </c>
      <c r="D5" s="465">
        <f t="shared" ref="D5" si="0">C5+1</f>
        <v>2</v>
      </c>
      <c r="E5" s="465">
        <f>D5+1</f>
        <v>3</v>
      </c>
      <c r="F5" s="465">
        <f t="shared" ref="F5:AK5" si="1">E5+1</f>
        <v>4</v>
      </c>
      <c r="G5" s="465">
        <f t="shared" si="1"/>
        <v>5</v>
      </c>
      <c r="H5" s="465">
        <f t="shared" si="1"/>
        <v>6</v>
      </c>
      <c r="I5" s="465">
        <f t="shared" si="1"/>
        <v>7</v>
      </c>
      <c r="J5" s="465">
        <f t="shared" si="1"/>
        <v>8</v>
      </c>
      <c r="K5" s="465">
        <f t="shared" si="1"/>
        <v>9</v>
      </c>
      <c r="L5" s="465">
        <f t="shared" si="1"/>
        <v>10</v>
      </c>
      <c r="M5" s="465">
        <f t="shared" si="1"/>
        <v>11</v>
      </c>
      <c r="N5" s="465">
        <f t="shared" si="1"/>
        <v>12</v>
      </c>
      <c r="O5" s="465">
        <f t="shared" si="1"/>
        <v>13</v>
      </c>
      <c r="P5" s="465">
        <f t="shared" si="1"/>
        <v>14</v>
      </c>
      <c r="Q5" s="465">
        <f t="shared" si="1"/>
        <v>15</v>
      </c>
      <c r="R5" s="465">
        <f t="shared" si="1"/>
        <v>16</v>
      </c>
      <c r="S5" s="465">
        <f t="shared" si="1"/>
        <v>17</v>
      </c>
      <c r="T5" s="465">
        <f t="shared" ref="T5" si="2">S5+1</f>
        <v>18</v>
      </c>
      <c r="U5" s="465">
        <f t="shared" ref="U5" si="3">T5+1</f>
        <v>19</v>
      </c>
      <c r="V5" s="465">
        <f t="shared" si="1"/>
        <v>20</v>
      </c>
      <c r="W5" s="465">
        <f t="shared" si="1"/>
        <v>21</v>
      </c>
      <c r="X5" s="465">
        <f t="shared" si="1"/>
        <v>22</v>
      </c>
      <c r="Y5" s="465">
        <f t="shared" si="1"/>
        <v>23</v>
      </c>
      <c r="Z5" s="465">
        <f t="shared" si="1"/>
        <v>24</v>
      </c>
      <c r="AA5" s="465">
        <f t="shared" si="1"/>
        <v>25</v>
      </c>
      <c r="AB5" s="465">
        <f t="shared" si="1"/>
        <v>26</v>
      </c>
      <c r="AC5" s="465">
        <f t="shared" si="1"/>
        <v>27</v>
      </c>
      <c r="AD5" s="465">
        <f t="shared" si="1"/>
        <v>28</v>
      </c>
      <c r="AE5" s="465">
        <f t="shared" si="1"/>
        <v>29</v>
      </c>
      <c r="AF5" s="465">
        <f t="shared" si="1"/>
        <v>30</v>
      </c>
      <c r="AG5" s="465">
        <f t="shared" si="1"/>
        <v>31</v>
      </c>
      <c r="AH5" s="465">
        <f t="shared" si="1"/>
        <v>32</v>
      </c>
      <c r="AI5" s="465">
        <f t="shared" si="1"/>
        <v>33</v>
      </c>
      <c r="AJ5" s="465">
        <f t="shared" si="1"/>
        <v>34</v>
      </c>
      <c r="AK5" s="465">
        <f t="shared" si="1"/>
        <v>35</v>
      </c>
    </row>
    <row r="6" spans="1:37" ht="27" hidden="1" customHeight="1">
      <c r="A6" s="472"/>
      <c r="B6" s="473"/>
      <c r="C6" s="473"/>
      <c r="D6" s="473"/>
      <c r="E6" s="473"/>
      <c r="F6" s="473"/>
      <c r="G6" s="473"/>
      <c r="H6" s="473"/>
      <c r="I6" s="615"/>
      <c r="J6" s="615"/>
      <c r="K6" s="615"/>
      <c r="L6" s="615"/>
      <c r="M6" s="473"/>
      <c r="N6" s="473"/>
      <c r="O6" s="473"/>
      <c r="P6" s="473"/>
      <c r="Q6" s="615"/>
      <c r="R6" s="615"/>
      <c r="S6" s="473"/>
      <c r="T6" s="473"/>
      <c r="U6" s="473"/>
      <c r="V6" s="473"/>
      <c r="W6" s="615"/>
      <c r="X6" s="615"/>
      <c r="Y6" s="615"/>
      <c r="Z6" s="615"/>
      <c r="AA6" s="615"/>
      <c r="AB6" s="615"/>
      <c r="AC6" s="473"/>
      <c r="AD6" s="473"/>
      <c r="AE6" s="473"/>
      <c r="AF6" s="473"/>
      <c r="AG6" s="615"/>
      <c r="AH6" s="615"/>
      <c r="AI6" s="473"/>
      <c r="AJ6" s="473"/>
      <c r="AK6" s="473"/>
    </row>
    <row r="7" spans="1:37" ht="16.2" customHeight="1">
      <c r="A7" s="1183">
        <v>1</v>
      </c>
      <c r="B7" s="1184" t="s">
        <v>81</v>
      </c>
      <c r="C7" s="1185">
        <v>0</v>
      </c>
      <c r="D7" s="1186">
        <f>+'Table 5C1A-Madison Prep'!D7</f>
        <v>4765.8584413349836</v>
      </c>
      <c r="E7" s="1187">
        <f>C7*D7</f>
        <v>0</v>
      </c>
      <c r="F7" s="1187">
        <f>+'Table 5C1A-Madison Prep'!F7</f>
        <v>777.48</v>
      </c>
      <c r="G7" s="1187">
        <f>C7*F7</f>
        <v>0</v>
      </c>
      <c r="H7" s="1538">
        <f>E7+G7</f>
        <v>0</v>
      </c>
      <c r="I7" s="1188"/>
      <c r="J7" s="1188"/>
      <c r="K7" s="1189">
        <f>+I7+J7</f>
        <v>0</v>
      </c>
      <c r="L7" s="1538">
        <f>+H7+K7</f>
        <v>0</v>
      </c>
      <c r="M7" s="1372">
        <f t="shared" ref="M7:M70" si="4">-(0.25%*L7)</f>
        <v>0</v>
      </c>
      <c r="N7" s="1538">
        <f>SUM(L7:M7)</f>
        <v>0</v>
      </c>
      <c r="O7" s="1186">
        <v>0</v>
      </c>
      <c r="P7" s="1544">
        <f>SUM(N7:O7)</f>
        <v>0</v>
      </c>
      <c r="Q7" s="1188"/>
      <c r="R7" s="1188">
        <f>+P7-Q7</f>
        <v>0</v>
      </c>
      <c r="S7" s="1544">
        <f>ROUND(R7/12,0)</f>
        <v>0</v>
      </c>
      <c r="T7" s="1544">
        <f>+P7</f>
        <v>0</v>
      </c>
      <c r="U7" s="1373">
        <f>'Table 5C1A-Madison Prep'!U7</f>
        <v>2409</v>
      </c>
      <c r="V7" s="1514">
        <f>C7*U7</f>
        <v>0</v>
      </c>
      <c r="W7" s="1375"/>
      <c r="X7" s="1376">
        <f>+U7*W7</f>
        <v>0</v>
      </c>
      <c r="Y7" s="1375"/>
      <c r="Z7" s="1376">
        <f>+U7*Y7*0.5</f>
        <v>0</v>
      </c>
      <c r="AA7" s="1374">
        <f>+X7+Z7</f>
        <v>0</v>
      </c>
      <c r="AB7" s="1509">
        <f>+V7+AA7</f>
        <v>0</v>
      </c>
      <c r="AC7" s="1378">
        <f>-(0.25%*AB7)</f>
        <v>0</v>
      </c>
      <c r="AD7" s="1509">
        <f>SUM(AB7:AC7)</f>
        <v>0</v>
      </c>
      <c r="AE7" s="1379">
        <v>0</v>
      </c>
      <c r="AF7" s="1509">
        <f>SUM(AD7:AE7)</f>
        <v>0</v>
      </c>
      <c r="AG7" s="1379"/>
      <c r="AH7" s="1379">
        <f>+AF7-AG7</f>
        <v>0</v>
      </c>
      <c r="AI7" s="1509">
        <f>ROUND(AH7/12,0)</f>
        <v>0</v>
      </c>
      <c r="AJ7" s="1530">
        <f>T7+AF7</f>
        <v>0</v>
      </c>
      <c r="AK7" s="1534">
        <f>S7+AI7</f>
        <v>0</v>
      </c>
    </row>
    <row r="8" spans="1:37" ht="16.2" customHeight="1">
      <c r="A8" s="1176">
        <v>2</v>
      </c>
      <c r="B8" s="1177" t="s">
        <v>82</v>
      </c>
      <c r="C8" s="1178">
        <v>0</v>
      </c>
      <c r="D8" s="1179">
        <f>+'Table 5C1A-Madison Prep'!D8</f>
        <v>6316.6266417386641</v>
      </c>
      <c r="E8" s="1180">
        <f t="shared" ref="E8:E71" si="5">C8*D8</f>
        <v>0</v>
      </c>
      <c r="F8" s="1180">
        <f>+'Table 5C1A-Madison Prep'!F8</f>
        <v>842.32</v>
      </c>
      <c r="G8" s="1180">
        <f t="shared" ref="G8:G71" si="6">C8*F8</f>
        <v>0</v>
      </c>
      <c r="H8" s="1539">
        <f t="shared" ref="H8:H71" si="7">E8+G8</f>
        <v>0</v>
      </c>
      <c r="I8" s="1181"/>
      <c r="J8" s="1181"/>
      <c r="K8" s="1182">
        <f t="shared" ref="K8:K71" si="8">+I8+J8</f>
        <v>0</v>
      </c>
      <c r="L8" s="1539">
        <f t="shared" ref="L8:L71" si="9">+H8+K8</f>
        <v>0</v>
      </c>
      <c r="M8" s="1388">
        <f t="shared" si="4"/>
        <v>0</v>
      </c>
      <c r="N8" s="1539">
        <f t="shared" ref="N8:N71" si="10">SUM(L8:M8)</f>
        <v>0</v>
      </c>
      <c r="O8" s="1179">
        <v>0</v>
      </c>
      <c r="P8" s="1545">
        <f t="shared" ref="P8:P71" si="11">SUM(N8:O8)</f>
        <v>0</v>
      </c>
      <c r="Q8" s="1181"/>
      <c r="R8" s="1181">
        <f t="shared" ref="R8:R71" si="12">+P8-Q8</f>
        <v>0</v>
      </c>
      <c r="S8" s="1545">
        <f t="shared" ref="S8:S71" si="13">ROUND(R8/12,0)</f>
        <v>0</v>
      </c>
      <c r="T8" s="1545">
        <f t="shared" ref="T8:T71" si="14">+P8</f>
        <v>0</v>
      </c>
      <c r="U8" s="1389">
        <f>'Table 5C1A-Madison Prep'!U8</f>
        <v>2829</v>
      </c>
      <c r="V8" s="1515">
        <f t="shared" ref="V8:V71" si="15">C8*U8</f>
        <v>0</v>
      </c>
      <c r="W8" s="1391"/>
      <c r="X8" s="1392">
        <f t="shared" ref="X8:X71" si="16">+U8*W8</f>
        <v>0</v>
      </c>
      <c r="Y8" s="1391"/>
      <c r="Z8" s="1392">
        <f t="shared" ref="Z8:Z71" si="17">+U8*Y8*0.5</f>
        <v>0</v>
      </c>
      <c r="AA8" s="1390">
        <f t="shared" ref="AA8:AA71" si="18">+X8+Z8</f>
        <v>0</v>
      </c>
      <c r="AB8" s="1510">
        <f t="shared" ref="AB8:AB71" si="19">+V8+AA8</f>
        <v>0</v>
      </c>
      <c r="AC8" s="1394">
        <f t="shared" ref="AC8:AC71" si="20">-(0.25%*AB8)</f>
        <v>0</v>
      </c>
      <c r="AD8" s="1510">
        <f t="shared" ref="AD8:AD71" si="21">SUM(AB8:AC8)</f>
        <v>0</v>
      </c>
      <c r="AE8" s="1395">
        <v>0</v>
      </c>
      <c r="AF8" s="1510">
        <f t="shared" ref="AF8:AF71" si="22">SUM(AD8:AE8)</f>
        <v>0</v>
      </c>
      <c r="AG8" s="1395"/>
      <c r="AH8" s="1395">
        <f t="shared" ref="AH8:AH71" si="23">+AF8-AG8</f>
        <v>0</v>
      </c>
      <c r="AI8" s="1510">
        <f t="shared" ref="AI8:AI71" si="24">ROUND(AH8/12,0)</f>
        <v>0</v>
      </c>
      <c r="AJ8" s="1505">
        <f t="shared" ref="AJ8:AJ71" si="25">T8+AF8</f>
        <v>0</v>
      </c>
      <c r="AK8" s="1535">
        <f t="shared" ref="AK8:AK71" si="26">S8+AI8</f>
        <v>0</v>
      </c>
    </row>
    <row r="9" spans="1:37" ht="16.2" customHeight="1">
      <c r="A9" s="1176">
        <v>3</v>
      </c>
      <c r="B9" s="1177" t="s">
        <v>83</v>
      </c>
      <c r="C9" s="1178">
        <v>0</v>
      </c>
      <c r="D9" s="1179">
        <f>+'Table 5C1A-Madison Prep'!D9</f>
        <v>4155.1862027396819</v>
      </c>
      <c r="E9" s="1180">
        <f t="shared" si="5"/>
        <v>0</v>
      </c>
      <c r="F9" s="1180">
        <f>+'Table 5C1A-Madison Prep'!F9</f>
        <v>596.84</v>
      </c>
      <c r="G9" s="1180">
        <f t="shared" si="6"/>
        <v>0</v>
      </c>
      <c r="H9" s="1539">
        <f t="shared" si="7"/>
        <v>0</v>
      </c>
      <c r="I9" s="1181"/>
      <c r="J9" s="1181"/>
      <c r="K9" s="1182">
        <f t="shared" si="8"/>
        <v>0</v>
      </c>
      <c r="L9" s="1539">
        <f t="shared" si="9"/>
        <v>0</v>
      </c>
      <c r="M9" s="1388">
        <f t="shared" si="4"/>
        <v>0</v>
      </c>
      <c r="N9" s="1539">
        <f t="shared" si="10"/>
        <v>0</v>
      </c>
      <c r="O9" s="1179">
        <v>0</v>
      </c>
      <c r="P9" s="1545">
        <f t="shared" si="11"/>
        <v>0</v>
      </c>
      <c r="Q9" s="1181"/>
      <c r="R9" s="1181">
        <f t="shared" si="12"/>
        <v>0</v>
      </c>
      <c r="S9" s="1545">
        <f t="shared" si="13"/>
        <v>0</v>
      </c>
      <c r="T9" s="1545">
        <f t="shared" si="14"/>
        <v>0</v>
      </c>
      <c r="U9" s="1389">
        <f>'Table 5C1A-Madison Prep'!U9</f>
        <v>5770</v>
      </c>
      <c r="V9" s="1515">
        <f t="shared" si="15"/>
        <v>0</v>
      </c>
      <c r="W9" s="1391"/>
      <c r="X9" s="1392">
        <f t="shared" si="16"/>
        <v>0</v>
      </c>
      <c r="Y9" s="1391"/>
      <c r="Z9" s="1392">
        <f t="shared" si="17"/>
        <v>0</v>
      </c>
      <c r="AA9" s="1390">
        <f t="shared" si="18"/>
        <v>0</v>
      </c>
      <c r="AB9" s="1510">
        <f t="shared" si="19"/>
        <v>0</v>
      </c>
      <c r="AC9" s="1394">
        <f t="shared" si="20"/>
        <v>0</v>
      </c>
      <c r="AD9" s="1510">
        <f t="shared" si="21"/>
        <v>0</v>
      </c>
      <c r="AE9" s="1395">
        <v>0</v>
      </c>
      <c r="AF9" s="1510">
        <f t="shared" si="22"/>
        <v>0</v>
      </c>
      <c r="AG9" s="1395"/>
      <c r="AH9" s="1395">
        <f t="shared" si="23"/>
        <v>0</v>
      </c>
      <c r="AI9" s="1510">
        <f t="shared" si="24"/>
        <v>0</v>
      </c>
      <c r="AJ9" s="1505">
        <f t="shared" si="25"/>
        <v>0</v>
      </c>
      <c r="AK9" s="1535">
        <f t="shared" si="26"/>
        <v>0</v>
      </c>
    </row>
    <row r="10" spans="1:37" ht="16.2" customHeight="1">
      <c r="A10" s="1176">
        <v>4</v>
      </c>
      <c r="B10" s="1177" t="s">
        <v>84</v>
      </c>
      <c r="C10" s="1178">
        <v>0</v>
      </c>
      <c r="D10" s="1179">
        <f>+'Table 5C1A-Madison Prep'!D10</f>
        <v>6119.0581446878568</v>
      </c>
      <c r="E10" s="1180">
        <f t="shared" si="5"/>
        <v>0</v>
      </c>
      <c r="F10" s="1180">
        <f>+'Table 5C1A-Madison Prep'!F10</f>
        <v>585.76</v>
      </c>
      <c r="G10" s="1180">
        <f t="shared" si="6"/>
        <v>0</v>
      </c>
      <c r="H10" s="1539">
        <f t="shared" si="7"/>
        <v>0</v>
      </c>
      <c r="I10" s="1181"/>
      <c r="J10" s="1181"/>
      <c r="K10" s="1182">
        <f t="shared" si="8"/>
        <v>0</v>
      </c>
      <c r="L10" s="1539">
        <f t="shared" si="9"/>
        <v>0</v>
      </c>
      <c r="M10" s="1388">
        <f t="shared" si="4"/>
        <v>0</v>
      </c>
      <c r="N10" s="1539">
        <f t="shared" si="10"/>
        <v>0</v>
      </c>
      <c r="O10" s="1179">
        <v>0</v>
      </c>
      <c r="P10" s="1545">
        <f t="shared" si="11"/>
        <v>0</v>
      </c>
      <c r="Q10" s="1181"/>
      <c r="R10" s="1181">
        <f t="shared" si="12"/>
        <v>0</v>
      </c>
      <c r="S10" s="1545">
        <f t="shared" si="13"/>
        <v>0</v>
      </c>
      <c r="T10" s="1545">
        <f t="shared" si="14"/>
        <v>0</v>
      </c>
      <c r="U10" s="1389">
        <f>'Table 5C1A-Madison Prep'!U10</f>
        <v>3287</v>
      </c>
      <c r="V10" s="1515">
        <f t="shared" si="15"/>
        <v>0</v>
      </c>
      <c r="W10" s="1391"/>
      <c r="X10" s="1392">
        <f t="shared" si="16"/>
        <v>0</v>
      </c>
      <c r="Y10" s="1391"/>
      <c r="Z10" s="1392">
        <f t="shared" si="17"/>
        <v>0</v>
      </c>
      <c r="AA10" s="1390">
        <f t="shared" si="18"/>
        <v>0</v>
      </c>
      <c r="AB10" s="1510">
        <f t="shared" si="19"/>
        <v>0</v>
      </c>
      <c r="AC10" s="1394">
        <f t="shared" si="20"/>
        <v>0</v>
      </c>
      <c r="AD10" s="1510">
        <f t="shared" si="21"/>
        <v>0</v>
      </c>
      <c r="AE10" s="1395">
        <v>0</v>
      </c>
      <c r="AF10" s="1510">
        <f t="shared" si="22"/>
        <v>0</v>
      </c>
      <c r="AG10" s="1395"/>
      <c r="AH10" s="1395">
        <f t="shared" si="23"/>
        <v>0</v>
      </c>
      <c r="AI10" s="1510">
        <f t="shared" si="24"/>
        <v>0</v>
      </c>
      <c r="AJ10" s="1505">
        <f t="shared" si="25"/>
        <v>0</v>
      </c>
      <c r="AK10" s="1535">
        <f t="shared" si="26"/>
        <v>0</v>
      </c>
    </row>
    <row r="11" spans="1:37" ht="16.2" customHeight="1">
      <c r="A11" s="1168">
        <v>5</v>
      </c>
      <c r="B11" s="1169" t="s">
        <v>85</v>
      </c>
      <c r="C11" s="1170">
        <v>0</v>
      </c>
      <c r="D11" s="1171">
        <f>+'Table 5C1A-Madison Prep'!D11</f>
        <v>5268.940566009911</v>
      </c>
      <c r="E11" s="1172">
        <f t="shared" si="5"/>
        <v>0</v>
      </c>
      <c r="F11" s="1172">
        <f>+'Table 5C1A-Madison Prep'!F11</f>
        <v>555.91</v>
      </c>
      <c r="G11" s="1172">
        <f t="shared" si="6"/>
        <v>0</v>
      </c>
      <c r="H11" s="1540">
        <f t="shared" si="7"/>
        <v>0</v>
      </c>
      <c r="I11" s="1173"/>
      <c r="J11" s="1173"/>
      <c r="K11" s="1174">
        <f t="shared" si="8"/>
        <v>0</v>
      </c>
      <c r="L11" s="1540">
        <f t="shared" si="9"/>
        <v>0</v>
      </c>
      <c r="M11" s="1399">
        <f t="shared" si="4"/>
        <v>0</v>
      </c>
      <c r="N11" s="1540">
        <f t="shared" si="10"/>
        <v>0</v>
      </c>
      <c r="O11" s="1171">
        <v>0</v>
      </c>
      <c r="P11" s="1546">
        <f t="shared" si="11"/>
        <v>0</v>
      </c>
      <c r="Q11" s="1173"/>
      <c r="R11" s="1173">
        <f t="shared" si="12"/>
        <v>0</v>
      </c>
      <c r="S11" s="1546">
        <f t="shared" si="13"/>
        <v>0</v>
      </c>
      <c r="T11" s="1546">
        <f t="shared" si="14"/>
        <v>0</v>
      </c>
      <c r="U11" s="1382">
        <f>'Table 5C1A-Madison Prep'!U11</f>
        <v>1921</v>
      </c>
      <c r="V11" s="1516">
        <f t="shared" si="15"/>
        <v>0</v>
      </c>
      <c r="W11" s="1400"/>
      <c r="X11" s="1383">
        <f t="shared" si="16"/>
        <v>0</v>
      </c>
      <c r="Y11" s="1400"/>
      <c r="Z11" s="1383">
        <f t="shared" si="17"/>
        <v>0</v>
      </c>
      <c r="AA11" s="1384">
        <f t="shared" si="18"/>
        <v>0</v>
      </c>
      <c r="AB11" s="1511">
        <f t="shared" si="19"/>
        <v>0</v>
      </c>
      <c r="AC11" s="1402">
        <f t="shared" si="20"/>
        <v>0</v>
      </c>
      <c r="AD11" s="1511">
        <f t="shared" si="21"/>
        <v>0</v>
      </c>
      <c r="AE11" s="1385">
        <v>0</v>
      </c>
      <c r="AF11" s="1511">
        <f t="shared" si="22"/>
        <v>0</v>
      </c>
      <c r="AG11" s="1385"/>
      <c r="AH11" s="1385">
        <f t="shared" si="23"/>
        <v>0</v>
      </c>
      <c r="AI11" s="1511">
        <f t="shared" si="24"/>
        <v>0</v>
      </c>
      <c r="AJ11" s="1531">
        <f t="shared" si="25"/>
        <v>0</v>
      </c>
      <c r="AK11" s="1536">
        <f t="shared" si="26"/>
        <v>0</v>
      </c>
    </row>
    <row r="12" spans="1:37" ht="16.2" customHeight="1">
      <c r="A12" s="1183">
        <v>6</v>
      </c>
      <c r="B12" s="1184" t="s">
        <v>86</v>
      </c>
      <c r="C12" s="1185">
        <v>0</v>
      </c>
      <c r="D12" s="1186">
        <f>+'Table 5C1A-Madison Prep'!D12</f>
        <v>5378.5086124955869</v>
      </c>
      <c r="E12" s="1187">
        <f t="shared" si="5"/>
        <v>0</v>
      </c>
      <c r="F12" s="1187">
        <f>+'Table 5C1A-Madison Prep'!F12</f>
        <v>545.4799999999999</v>
      </c>
      <c r="G12" s="1187">
        <f t="shared" si="6"/>
        <v>0</v>
      </c>
      <c r="H12" s="1538">
        <f t="shared" si="7"/>
        <v>0</v>
      </c>
      <c r="I12" s="1188"/>
      <c r="J12" s="1188"/>
      <c r="K12" s="1189">
        <f t="shared" si="8"/>
        <v>0</v>
      </c>
      <c r="L12" s="1538">
        <f t="shared" si="9"/>
        <v>0</v>
      </c>
      <c r="M12" s="1372">
        <f t="shared" si="4"/>
        <v>0</v>
      </c>
      <c r="N12" s="1538">
        <f t="shared" si="10"/>
        <v>0</v>
      </c>
      <c r="O12" s="1186">
        <v>0</v>
      </c>
      <c r="P12" s="1544">
        <f t="shared" si="11"/>
        <v>0</v>
      </c>
      <c r="Q12" s="1188"/>
      <c r="R12" s="1188">
        <f t="shared" si="12"/>
        <v>0</v>
      </c>
      <c r="S12" s="1544">
        <f t="shared" si="13"/>
        <v>0</v>
      </c>
      <c r="T12" s="1544">
        <f t="shared" si="14"/>
        <v>0</v>
      </c>
      <c r="U12" s="1373">
        <f>'Table 5C1A-Madison Prep'!U12</f>
        <v>3807</v>
      </c>
      <c r="V12" s="1514">
        <f t="shared" si="15"/>
        <v>0</v>
      </c>
      <c r="W12" s="1375"/>
      <c r="X12" s="1376">
        <f t="shared" si="16"/>
        <v>0</v>
      </c>
      <c r="Y12" s="1375"/>
      <c r="Z12" s="1376">
        <f t="shared" si="17"/>
        <v>0</v>
      </c>
      <c r="AA12" s="1374">
        <f t="shared" si="18"/>
        <v>0</v>
      </c>
      <c r="AB12" s="1509">
        <f t="shared" si="19"/>
        <v>0</v>
      </c>
      <c r="AC12" s="1378">
        <f t="shared" si="20"/>
        <v>0</v>
      </c>
      <c r="AD12" s="1509">
        <f t="shared" si="21"/>
        <v>0</v>
      </c>
      <c r="AE12" s="1379">
        <v>0</v>
      </c>
      <c r="AF12" s="1509">
        <f t="shared" si="22"/>
        <v>0</v>
      </c>
      <c r="AG12" s="1379"/>
      <c r="AH12" s="1379">
        <f t="shared" si="23"/>
        <v>0</v>
      </c>
      <c r="AI12" s="1509">
        <f t="shared" si="24"/>
        <v>0</v>
      </c>
      <c r="AJ12" s="1530">
        <f t="shared" si="25"/>
        <v>0</v>
      </c>
      <c r="AK12" s="1534">
        <f t="shared" si="26"/>
        <v>0</v>
      </c>
    </row>
    <row r="13" spans="1:37" ht="16.2" customHeight="1">
      <c r="A13" s="1176">
        <v>7</v>
      </c>
      <c r="B13" s="1177" t="s">
        <v>87</v>
      </c>
      <c r="C13" s="1178">
        <v>0</v>
      </c>
      <c r="D13" s="1179">
        <f>+'Table 5C1A-Madison Prep'!D13</f>
        <v>2243.0031963470319</v>
      </c>
      <c r="E13" s="1180">
        <f t="shared" si="5"/>
        <v>0</v>
      </c>
      <c r="F13" s="1180">
        <f>+'Table 5C1A-Madison Prep'!F13</f>
        <v>756.91999999999985</v>
      </c>
      <c r="G13" s="1180">
        <f t="shared" si="6"/>
        <v>0</v>
      </c>
      <c r="H13" s="1539">
        <f t="shared" si="7"/>
        <v>0</v>
      </c>
      <c r="I13" s="1181"/>
      <c r="J13" s="1181"/>
      <c r="K13" s="1182">
        <f t="shared" si="8"/>
        <v>0</v>
      </c>
      <c r="L13" s="1539">
        <f t="shared" si="9"/>
        <v>0</v>
      </c>
      <c r="M13" s="1388">
        <f t="shared" si="4"/>
        <v>0</v>
      </c>
      <c r="N13" s="1539">
        <f t="shared" si="10"/>
        <v>0</v>
      </c>
      <c r="O13" s="1179">
        <v>0</v>
      </c>
      <c r="P13" s="1545">
        <f t="shared" si="11"/>
        <v>0</v>
      </c>
      <c r="Q13" s="1181"/>
      <c r="R13" s="1181">
        <f t="shared" si="12"/>
        <v>0</v>
      </c>
      <c r="S13" s="1545">
        <f t="shared" si="13"/>
        <v>0</v>
      </c>
      <c r="T13" s="1545">
        <f t="shared" si="14"/>
        <v>0</v>
      </c>
      <c r="U13" s="1389">
        <f>'Table 5C1A-Madison Prep'!U13</f>
        <v>11888</v>
      </c>
      <c r="V13" s="1515">
        <f t="shared" si="15"/>
        <v>0</v>
      </c>
      <c r="W13" s="1391"/>
      <c r="X13" s="1392">
        <f t="shared" si="16"/>
        <v>0</v>
      </c>
      <c r="Y13" s="1391"/>
      <c r="Z13" s="1392">
        <f t="shared" si="17"/>
        <v>0</v>
      </c>
      <c r="AA13" s="1390">
        <f t="shared" si="18"/>
        <v>0</v>
      </c>
      <c r="AB13" s="1510">
        <f t="shared" si="19"/>
        <v>0</v>
      </c>
      <c r="AC13" s="1394">
        <f t="shared" si="20"/>
        <v>0</v>
      </c>
      <c r="AD13" s="1510">
        <f t="shared" si="21"/>
        <v>0</v>
      </c>
      <c r="AE13" s="1395">
        <v>0</v>
      </c>
      <c r="AF13" s="1510">
        <f t="shared" si="22"/>
        <v>0</v>
      </c>
      <c r="AG13" s="1395"/>
      <c r="AH13" s="1395">
        <f t="shared" si="23"/>
        <v>0</v>
      </c>
      <c r="AI13" s="1510">
        <f t="shared" si="24"/>
        <v>0</v>
      </c>
      <c r="AJ13" s="1505">
        <f t="shared" si="25"/>
        <v>0</v>
      </c>
      <c r="AK13" s="1535">
        <f t="shared" si="26"/>
        <v>0</v>
      </c>
    </row>
    <row r="14" spans="1:37" ht="16.2" customHeight="1">
      <c r="A14" s="1176">
        <v>8</v>
      </c>
      <c r="B14" s="1177" t="s">
        <v>88</v>
      </c>
      <c r="C14" s="1178">
        <v>0</v>
      </c>
      <c r="D14" s="1179">
        <f>+'Table 5C1A-Madison Prep'!D14</f>
        <v>4669.802459558854</v>
      </c>
      <c r="E14" s="1180">
        <f t="shared" si="5"/>
        <v>0</v>
      </c>
      <c r="F14" s="1180">
        <f>+'Table 5C1A-Madison Prep'!F14</f>
        <v>725.76</v>
      </c>
      <c r="G14" s="1180">
        <f t="shared" si="6"/>
        <v>0</v>
      </c>
      <c r="H14" s="1539">
        <f t="shared" si="7"/>
        <v>0</v>
      </c>
      <c r="I14" s="1181"/>
      <c r="J14" s="1181"/>
      <c r="K14" s="1182">
        <f t="shared" si="8"/>
        <v>0</v>
      </c>
      <c r="L14" s="1539">
        <f t="shared" si="9"/>
        <v>0</v>
      </c>
      <c r="M14" s="1388">
        <f t="shared" si="4"/>
        <v>0</v>
      </c>
      <c r="N14" s="1539">
        <f t="shared" si="10"/>
        <v>0</v>
      </c>
      <c r="O14" s="1179">
        <v>0</v>
      </c>
      <c r="P14" s="1545">
        <f t="shared" si="11"/>
        <v>0</v>
      </c>
      <c r="Q14" s="1181"/>
      <c r="R14" s="1181">
        <f t="shared" si="12"/>
        <v>0</v>
      </c>
      <c r="S14" s="1545">
        <f t="shared" si="13"/>
        <v>0</v>
      </c>
      <c r="T14" s="1545">
        <f t="shared" si="14"/>
        <v>0</v>
      </c>
      <c r="U14" s="1389">
        <f>'Table 5C1A-Madison Prep'!U14</f>
        <v>4024</v>
      </c>
      <c r="V14" s="1515">
        <f t="shared" si="15"/>
        <v>0</v>
      </c>
      <c r="W14" s="1391"/>
      <c r="X14" s="1392">
        <f t="shared" si="16"/>
        <v>0</v>
      </c>
      <c r="Y14" s="1391"/>
      <c r="Z14" s="1392">
        <f t="shared" si="17"/>
        <v>0</v>
      </c>
      <c r="AA14" s="1390">
        <f t="shared" si="18"/>
        <v>0</v>
      </c>
      <c r="AB14" s="1510">
        <f t="shared" si="19"/>
        <v>0</v>
      </c>
      <c r="AC14" s="1394">
        <f t="shared" si="20"/>
        <v>0</v>
      </c>
      <c r="AD14" s="1510">
        <f t="shared" si="21"/>
        <v>0</v>
      </c>
      <c r="AE14" s="1395">
        <v>0</v>
      </c>
      <c r="AF14" s="1510">
        <f t="shared" si="22"/>
        <v>0</v>
      </c>
      <c r="AG14" s="1395"/>
      <c r="AH14" s="1395">
        <f t="shared" si="23"/>
        <v>0</v>
      </c>
      <c r="AI14" s="1510">
        <f t="shared" si="24"/>
        <v>0</v>
      </c>
      <c r="AJ14" s="1505">
        <f t="shared" si="25"/>
        <v>0</v>
      </c>
      <c r="AK14" s="1535">
        <f t="shared" si="26"/>
        <v>0</v>
      </c>
    </row>
    <row r="15" spans="1:37" ht="16.2" customHeight="1">
      <c r="A15" s="1176">
        <v>9</v>
      </c>
      <c r="B15" s="1177" t="s">
        <v>89</v>
      </c>
      <c r="C15" s="1178">
        <v>0</v>
      </c>
      <c r="D15" s="1179">
        <f>+'Table 5C1A-Madison Prep'!D15</f>
        <v>4632.4615072045008</v>
      </c>
      <c r="E15" s="1180">
        <f t="shared" si="5"/>
        <v>0</v>
      </c>
      <c r="F15" s="1180">
        <f>+'Table 5C1A-Madison Prep'!F15</f>
        <v>744.76</v>
      </c>
      <c r="G15" s="1180">
        <f t="shared" si="6"/>
        <v>0</v>
      </c>
      <c r="H15" s="1539">
        <f t="shared" si="7"/>
        <v>0</v>
      </c>
      <c r="I15" s="1181"/>
      <c r="J15" s="1181"/>
      <c r="K15" s="1182">
        <f t="shared" si="8"/>
        <v>0</v>
      </c>
      <c r="L15" s="1539">
        <f t="shared" si="9"/>
        <v>0</v>
      </c>
      <c r="M15" s="1388">
        <f t="shared" si="4"/>
        <v>0</v>
      </c>
      <c r="N15" s="1539">
        <f t="shared" si="10"/>
        <v>0</v>
      </c>
      <c r="O15" s="1179">
        <v>0</v>
      </c>
      <c r="P15" s="1545">
        <f t="shared" si="11"/>
        <v>0</v>
      </c>
      <c r="Q15" s="1181"/>
      <c r="R15" s="1181">
        <f t="shared" si="12"/>
        <v>0</v>
      </c>
      <c r="S15" s="1545">
        <f t="shared" si="13"/>
        <v>0</v>
      </c>
      <c r="T15" s="1545">
        <f t="shared" si="14"/>
        <v>0</v>
      </c>
      <c r="U15" s="1389">
        <f>'Table 5C1A-Madison Prep'!U15</f>
        <v>4828</v>
      </c>
      <c r="V15" s="1515">
        <f t="shared" si="15"/>
        <v>0</v>
      </c>
      <c r="W15" s="1391"/>
      <c r="X15" s="1392">
        <f t="shared" si="16"/>
        <v>0</v>
      </c>
      <c r="Y15" s="1391"/>
      <c r="Z15" s="1392">
        <f t="shared" si="17"/>
        <v>0</v>
      </c>
      <c r="AA15" s="1390">
        <f t="shared" si="18"/>
        <v>0</v>
      </c>
      <c r="AB15" s="1510">
        <f t="shared" si="19"/>
        <v>0</v>
      </c>
      <c r="AC15" s="1394">
        <f t="shared" si="20"/>
        <v>0</v>
      </c>
      <c r="AD15" s="1510">
        <f t="shared" si="21"/>
        <v>0</v>
      </c>
      <c r="AE15" s="1395">
        <v>0</v>
      </c>
      <c r="AF15" s="1510">
        <f t="shared" si="22"/>
        <v>0</v>
      </c>
      <c r="AG15" s="1395"/>
      <c r="AH15" s="1395">
        <f t="shared" si="23"/>
        <v>0</v>
      </c>
      <c r="AI15" s="1510">
        <f t="shared" si="24"/>
        <v>0</v>
      </c>
      <c r="AJ15" s="1505">
        <f t="shared" si="25"/>
        <v>0</v>
      </c>
      <c r="AK15" s="1535">
        <f t="shared" si="26"/>
        <v>0</v>
      </c>
    </row>
    <row r="16" spans="1:37" ht="16.2" customHeight="1">
      <c r="A16" s="1168">
        <v>10</v>
      </c>
      <c r="B16" s="1169" t="s">
        <v>90</v>
      </c>
      <c r="C16" s="1170">
        <v>0</v>
      </c>
      <c r="D16" s="1171">
        <f>+'Table 5C1A-Madison Prep'!D16</f>
        <v>4384.374733918472</v>
      </c>
      <c r="E16" s="1172">
        <f t="shared" si="5"/>
        <v>0</v>
      </c>
      <c r="F16" s="1172">
        <f>+'Table 5C1A-Madison Prep'!F16</f>
        <v>608.04000000000008</v>
      </c>
      <c r="G16" s="1172">
        <f t="shared" si="6"/>
        <v>0</v>
      </c>
      <c r="H16" s="1540">
        <f t="shared" si="7"/>
        <v>0</v>
      </c>
      <c r="I16" s="1173"/>
      <c r="J16" s="1173"/>
      <c r="K16" s="1174">
        <f t="shared" si="8"/>
        <v>0</v>
      </c>
      <c r="L16" s="1540">
        <f t="shared" si="9"/>
        <v>0</v>
      </c>
      <c r="M16" s="1399">
        <f t="shared" si="4"/>
        <v>0</v>
      </c>
      <c r="N16" s="1540">
        <f t="shared" si="10"/>
        <v>0</v>
      </c>
      <c r="O16" s="1171">
        <v>0</v>
      </c>
      <c r="P16" s="1546">
        <f t="shared" si="11"/>
        <v>0</v>
      </c>
      <c r="Q16" s="1173"/>
      <c r="R16" s="1173">
        <f t="shared" si="12"/>
        <v>0</v>
      </c>
      <c r="S16" s="1546">
        <f t="shared" si="13"/>
        <v>0</v>
      </c>
      <c r="T16" s="1546">
        <f t="shared" si="14"/>
        <v>0</v>
      </c>
      <c r="U16" s="1382">
        <f>'Table 5C1A-Madison Prep'!U16</f>
        <v>4565</v>
      </c>
      <c r="V16" s="1516">
        <f t="shared" si="15"/>
        <v>0</v>
      </c>
      <c r="W16" s="1400"/>
      <c r="X16" s="1383">
        <f t="shared" si="16"/>
        <v>0</v>
      </c>
      <c r="Y16" s="1400"/>
      <c r="Z16" s="1383">
        <f t="shared" si="17"/>
        <v>0</v>
      </c>
      <c r="AA16" s="1384">
        <f t="shared" si="18"/>
        <v>0</v>
      </c>
      <c r="AB16" s="1511">
        <f t="shared" si="19"/>
        <v>0</v>
      </c>
      <c r="AC16" s="1402">
        <f t="shared" si="20"/>
        <v>0</v>
      </c>
      <c r="AD16" s="1511">
        <f t="shared" si="21"/>
        <v>0</v>
      </c>
      <c r="AE16" s="1385">
        <v>0</v>
      </c>
      <c r="AF16" s="1511">
        <f t="shared" si="22"/>
        <v>0</v>
      </c>
      <c r="AG16" s="1385"/>
      <c r="AH16" s="1385">
        <f t="shared" si="23"/>
        <v>0</v>
      </c>
      <c r="AI16" s="1511">
        <f t="shared" si="24"/>
        <v>0</v>
      </c>
      <c r="AJ16" s="1531">
        <f t="shared" si="25"/>
        <v>0</v>
      </c>
      <c r="AK16" s="1536">
        <f t="shared" si="26"/>
        <v>0</v>
      </c>
    </row>
    <row r="17" spans="1:37" ht="16.2" customHeight="1">
      <c r="A17" s="1183">
        <v>11</v>
      </c>
      <c r="B17" s="1184" t="s">
        <v>91</v>
      </c>
      <c r="C17" s="1185">
        <v>0</v>
      </c>
      <c r="D17" s="1186">
        <f>+'Table 5C1A-Madison Prep'!D17</f>
        <v>7098.5372236353351</v>
      </c>
      <c r="E17" s="1187">
        <f t="shared" si="5"/>
        <v>0</v>
      </c>
      <c r="F17" s="1187">
        <f>+'Table 5C1A-Madison Prep'!F17</f>
        <v>706.55</v>
      </c>
      <c r="G17" s="1187">
        <f t="shared" si="6"/>
        <v>0</v>
      </c>
      <c r="H17" s="1538">
        <f t="shared" si="7"/>
        <v>0</v>
      </c>
      <c r="I17" s="1188"/>
      <c r="J17" s="1188"/>
      <c r="K17" s="1189">
        <f t="shared" si="8"/>
        <v>0</v>
      </c>
      <c r="L17" s="1538">
        <f t="shared" si="9"/>
        <v>0</v>
      </c>
      <c r="M17" s="1372">
        <f t="shared" si="4"/>
        <v>0</v>
      </c>
      <c r="N17" s="1538">
        <f t="shared" si="10"/>
        <v>0</v>
      </c>
      <c r="O17" s="1186">
        <v>0</v>
      </c>
      <c r="P17" s="1544">
        <f t="shared" si="11"/>
        <v>0</v>
      </c>
      <c r="Q17" s="1188"/>
      <c r="R17" s="1188">
        <f t="shared" si="12"/>
        <v>0</v>
      </c>
      <c r="S17" s="1544">
        <f t="shared" si="13"/>
        <v>0</v>
      </c>
      <c r="T17" s="1544">
        <f t="shared" si="14"/>
        <v>0</v>
      </c>
      <c r="U17" s="1373">
        <f>'Table 5C1A-Madison Prep'!U17</f>
        <v>3587</v>
      </c>
      <c r="V17" s="1514">
        <f t="shared" si="15"/>
        <v>0</v>
      </c>
      <c r="W17" s="1375"/>
      <c r="X17" s="1376">
        <f t="shared" si="16"/>
        <v>0</v>
      </c>
      <c r="Y17" s="1375"/>
      <c r="Z17" s="1376">
        <f t="shared" si="17"/>
        <v>0</v>
      </c>
      <c r="AA17" s="1374">
        <f t="shared" si="18"/>
        <v>0</v>
      </c>
      <c r="AB17" s="1509">
        <f t="shared" si="19"/>
        <v>0</v>
      </c>
      <c r="AC17" s="1378">
        <f t="shared" si="20"/>
        <v>0</v>
      </c>
      <c r="AD17" s="1509">
        <f t="shared" si="21"/>
        <v>0</v>
      </c>
      <c r="AE17" s="1379">
        <v>0</v>
      </c>
      <c r="AF17" s="1509">
        <f t="shared" si="22"/>
        <v>0</v>
      </c>
      <c r="AG17" s="1379"/>
      <c r="AH17" s="1379">
        <f t="shared" si="23"/>
        <v>0</v>
      </c>
      <c r="AI17" s="1509">
        <f t="shared" si="24"/>
        <v>0</v>
      </c>
      <c r="AJ17" s="1530">
        <f t="shared" si="25"/>
        <v>0</v>
      </c>
      <c r="AK17" s="1534">
        <f t="shared" si="26"/>
        <v>0</v>
      </c>
    </row>
    <row r="18" spans="1:37" ht="16.2" customHeight="1">
      <c r="A18" s="1176">
        <v>12</v>
      </c>
      <c r="B18" s="1177" t="s">
        <v>92</v>
      </c>
      <c r="C18" s="1178">
        <v>0</v>
      </c>
      <c r="D18" s="1179">
        <f>+'Table 5C1A-Madison Prep'!D18</f>
        <v>1666.6040983606558</v>
      </c>
      <c r="E18" s="1180">
        <f t="shared" si="5"/>
        <v>0</v>
      </c>
      <c r="F18" s="1180">
        <f>+'Table 5C1A-Madison Prep'!F18</f>
        <v>1063.31</v>
      </c>
      <c r="G18" s="1180">
        <f t="shared" si="6"/>
        <v>0</v>
      </c>
      <c r="H18" s="1539">
        <f t="shared" si="7"/>
        <v>0</v>
      </c>
      <c r="I18" s="1181"/>
      <c r="J18" s="1181"/>
      <c r="K18" s="1182">
        <f t="shared" si="8"/>
        <v>0</v>
      </c>
      <c r="L18" s="1539">
        <f t="shared" si="9"/>
        <v>0</v>
      </c>
      <c r="M18" s="1388">
        <f t="shared" si="4"/>
        <v>0</v>
      </c>
      <c r="N18" s="1539">
        <f t="shared" si="10"/>
        <v>0</v>
      </c>
      <c r="O18" s="1179">
        <v>0</v>
      </c>
      <c r="P18" s="1545">
        <f t="shared" si="11"/>
        <v>0</v>
      </c>
      <c r="Q18" s="1181"/>
      <c r="R18" s="1181">
        <f t="shared" si="12"/>
        <v>0</v>
      </c>
      <c r="S18" s="1545">
        <f t="shared" si="13"/>
        <v>0</v>
      </c>
      <c r="T18" s="1545">
        <f t="shared" si="14"/>
        <v>0</v>
      </c>
      <c r="U18" s="1389">
        <f>'Table 5C1A-Madison Prep'!U18</f>
        <v>8094</v>
      </c>
      <c r="V18" s="1515">
        <f t="shared" si="15"/>
        <v>0</v>
      </c>
      <c r="W18" s="1391"/>
      <c r="X18" s="1392">
        <f t="shared" si="16"/>
        <v>0</v>
      </c>
      <c r="Y18" s="1391"/>
      <c r="Z18" s="1392">
        <f t="shared" si="17"/>
        <v>0</v>
      </c>
      <c r="AA18" s="1390">
        <f t="shared" si="18"/>
        <v>0</v>
      </c>
      <c r="AB18" s="1510">
        <f t="shared" si="19"/>
        <v>0</v>
      </c>
      <c r="AC18" s="1394">
        <f t="shared" si="20"/>
        <v>0</v>
      </c>
      <c r="AD18" s="1510">
        <f t="shared" si="21"/>
        <v>0</v>
      </c>
      <c r="AE18" s="1395">
        <v>0</v>
      </c>
      <c r="AF18" s="1510">
        <f t="shared" si="22"/>
        <v>0</v>
      </c>
      <c r="AG18" s="1395"/>
      <c r="AH18" s="1395">
        <f t="shared" si="23"/>
        <v>0</v>
      </c>
      <c r="AI18" s="1510">
        <f t="shared" si="24"/>
        <v>0</v>
      </c>
      <c r="AJ18" s="1505">
        <f t="shared" si="25"/>
        <v>0</v>
      </c>
      <c r="AK18" s="1535">
        <f t="shared" si="26"/>
        <v>0</v>
      </c>
    </row>
    <row r="19" spans="1:37" ht="16.2" customHeight="1">
      <c r="A19" s="1176">
        <v>13</v>
      </c>
      <c r="B19" s="1177" t="s">
        <v>93</v>
      </c>
      <c r="C19" s="1178">
        <v>0</v>
      </c>
      <c r="D19" s="1179">
        <f>+'Table 5C1A-Madison Prep'!D19</f>
        <v>6433.6297758332212</v>
      </c>
      <c r="E19" s="1180">
        <f t="shared" si="5"/>
        <v>0</v>
      </c>
      <c r="F19" s="1180">
        <f>+'Table 5C1A-Madison Prep'!F19</f>
        <v>749.43000000000006</v>
      </c>
      <c r="G19" s="1180">
        <f t="shared" si="6"/>
        <v>0</v>
      </c>
      <c r="H19" s="1539">
        <f t="shared" si="7"/>
        <v>0</v>
      </c>
      <c r="I19" s="1181"/>
      <c r="J19" s="1181"/>
      <c r="K19" s="1182">
        <f t="shared" si="8"/>
        <v>0</v>
      </c>
      <c r="L19" s="1539">
        <f t="shared" si="9"/>
        <v>0</v>
      </c>
      <c r="M19" s="1388">
        <f t="shared" si="4"/>
        <v>0</v>
      </c>
      <c r="N19" s="1539">
        <f t="shared" si="10"/>
        <v>0</v>
      </c>
      <c r="O19" s="1179">
        <v>0</v>
      </c>
      <c r="P19" s="1545">
        <f t="shared" si="11"/>
        <v>0</v>
      </c>
      <c r="Q19" s="1181"/>
      <c r="R19" s="1181">
        <f t="shared" si="12"/>
        <v>0</v>
      </c>
      <c r="S19" s="1545">
        <f t="shared" si="13"/>
        <v>0</v>
      </c>
      <c r="T19" s="1545">
        <f t="shared" si="14"/>
        <v>0</v>
      </c>
      <c r="U19" s="1389">
        <f>'Table 5C1A-Madison Prep'!U19</f>
        <v>2842</v>
      </c>
      <c r="V19" s="1515">
        <f t="shared" si="15"/>
        <v>0</v>
      </c>
      <c r="W19" s="1391"/>
      <c r="X19" s="1392">
        <f t="shared" si="16"/>
        <v>0</v>
      </c>
      <c r="Y19" s="1391"/>
      <c r="Z19" s="1392">
        <f t="shared" si="17"/>
        <v>0</v>
      </c>
      <c r="AA19" s="1390">
        <f t="shared" si="18"/>
        <v>0</v>
      </c>
      <c r="AB19" s="1510">
        <f t="shared" si="19"/>
        <v>0</v>
      </c>
      <c r="AC19" s="1394">
        <f t="shared" si="20"/>
        <v>0</v>
      </c>
      <c r="AD19" s="1510">
        <f t="shared" si="21"/>
        <v>0</v>
      </c>
      <c r="AE19" s="1395">
        <v>0</v>
      </c>
      <c r="AF19" s="1510">
        <f t="shared" si="22"/>
        <v>0</v>
      </c>
      <c r="AG19" s="1395"/>
      <c r="AH19" s="1395">
        <f t="shared" si="23"/>
        <v>0</v>
      </c>
      <c r="AI19" s="1510">
        <f t="shared" si="24"/>
        <v>0</v>
      </c>
      <c r="AJ19" s="1505">
        <f t="shared" si="25"/>
        <v>0</v>
      </c>
      <c r="AK19" s="1535">
        <f t="shared" si="26"/>
        <v>0</v>
      </c>
    </row>
    <row r="20" spans="1:37" ht="16.2" customHeight="1">
      <c r="A20" s="1176">
        <v>14</v>
      </c>
      <c r="B20" s="1177" t="s">
        <v>94</v>
      </c>
      <c r="C20" s="1178">
        <v>0</v>
      </c>
      <c r="D20" s="1179">
        <f>+'Table 5C1A-Madison Prep'!D20</f>
        <v>5334.9509412500001</v>
      </c>
      <c r="E20" s="1180">
        <f t="shared" si="5"/>
        <v>0</v>
      </c>
      <c r="F20" s="1180">
        <f>+'Table 5C1A-Madison Prep'!F20</f>
        <v>809.9799999999999</v>
      </c>
      <c r="G20" s="1180">
        <f t="shared" si="6"/>
        <v>0</v>
      </c>
      <c r="H20" s="1539">
        <f t="shared" si="7"/>
        <v>0</v>
      </c>
      <c r="I20" s="1181"/>
      <c r="J20" s="1181"/>
      <c r="K20" s="1182">
        <f t="shared" si="8"/>
        <v>0</v>
      </c>
      <c r="L20" s="1539">
        <f t="shared" si="9"/>
        <v>0</v>
      </c>
      <c r="M20" s="1388">
        <f t="shared" si="4"/>
        <v>0</v>
      </c>
      <c r="N20" s="1539">
        <f t="shared" si="10"/>
        <v>0</v>
      </c>
      <c r="O20" s="1179">
        <v>0</v>
      </c>
      <c r="P20" s="1545">
        <f t="shared" si="11"/>
        <v>0</v>
      </c>
      <c r="Q20" s="1181"/>
      <c r="R20" s="1181">
        <f t="shared" si="12"/>
        <v>0</v>
      </c>
      <c r="S20" s="1545">
        <f t="shared" si="13"/>
        <v>0</v>
      </c>
      <c r="T20" s="1545">
        <f t="shared" si="14"/>
        <v>0</v>
      </c>
      <c r="U20" s="1389">
        <f>'Table 5C1A-Madison Prep'!U20</f>
        <v>4205</v>
      </c>
      <c r="V20" s="1515">
        <f t="shared" si="15"/>
        <v>0</v>
      </c>
      <c r="W20" s="1391"/>
      <c r="X20" s="1392">
        <f t="shared" si="16"/>
        <v>0</v>
      </c>
      <c r="Y20" s="1391"/>
      <c r="Z20" s="1392">
        <f t="shared" si="17"/>
        <v>0</v>
      </c>
      <c r="AA20" s="1390">
        <f t="shared" si="18"/>
        <v>0</v>
      </c>
      <c r="AB20" s="1510">
        <f t="shared" si="19"/>
        <v>0</v>
      </c>
      <c r="AC20" s="1394">
        <f t="shared" si="20"/>
        <v>0</v>
      </c>
      <c r="AD20" s="1510">
        <f t="shared" si="21"/>
        <v>0</v>
      </c>
      <c r="AE20" s="1395">
        <v>0</v>
      </c>
      <c r="AF20" s="1510">
        <f t="shared" si="22"/>
        <v>0</v>
      </c>
      <c r="AG20" s="1395"/>
      <c r="AH20" s="1395">
        <f t="shared" si="23"/>
        <v>0</v>
      </c>
      <c r="AI20" s="1510">
        <f t="shared" si="24"/>
        <v>0</v>
      </c>
      <c r="AJ20" s="1505">
        <f t="shared" si="25"/>
        <v>0</v>
      </c>
      <c r="AK20" s="1535">
        <f t="shared" si="26"/>
        <v>0</v>
      </c>
    </row>
    <row r="21" spans="1:37" ht="16.2" customHeight="1">
      <c r="A21" s="1168">
        <v>15</v>
      </c>
      <c r="B21" s="1169" t="s">
        <v>95</v>
      </c>
      <c r="C21" s="1170">
        <v>0</v>
      </c>
      <c r="D21" s="1171">
        <f>+'Table 5C1A-Madison Prep'!D21</f>
        <v>5749.8285214059952</v>
      </c>
      <c r="E21" s="1172">
        <f t="shared" si="5"/>
        <v>0</v>
      </c>
      <c r="F21" s="1172">
        <f>+'Table 5C1A-Madison Prep'!F21</f>
        <v>553.79999999999995</v>
      </c>
      <c r="G21" s="1172">
        <f t="shared" si="6"/>
        <v>0</v>
      </c>
      <c r="H21" s="1540">
        <f t="shared" si="7"/>
        <v>0</v>
      </c>
      <c r="I21" s="1173"/>
      <c r="J21" s="1173"/>
      <c r="K21" s="1174">
        <f t="shared" si="8"/>
        <v>0</v>
      </c>
      <c r="L21" s="1540">
        <f t="shared" si="9"/>
        <v>0</v>
      </c>
      <c r="M21" s="1399">
        <f t="shared" si="4"/>
        <v>0</v>
      </c>
      <c r="N21" s="1540">
        <f t="shared" si="10"/>
        <v>0</v>
      </c>
      <c r="O21" s="1171">
        <v>0</v>
      </c>
      <c r="P21" s="1546">
        <f t="shared" si="11"/>
        <v>0</v>
      </c>
      <c r="Q21" s="1173"/>
      <c r="R21" s="1173">
        <f t="shared" si="12"/>
        <v>0</v>
      </c>
      <c r="S21" s="1546">
        <f t="shared" si="13"/>
        <v>0</v>
      </c>
      <c r="T21" s="1546">
        <f t="shared" si="14"/>
        <v>0</v>
      </c>
      <c r="U21" s="1382">
        <f>'Table 5C1A-Madison Prep'!U21</f>
        <v>2535</v>
      </c>
      <c r="V21" s="1516">
        <f t="shared" si="15"/>
        <v>0</v>
      </c>
      <c r="W21" s="1400"/>
      <c r="X21" s="1383">
        <f t="shared" si="16"/>
        <v>0</v>
      </c>
      <c r="Y21" s="1400"/>
      <c r="Z21" s="1383">
        <f t="shared" si="17"/>
        <v>0</v>
      </c>
      <c r="AA21" s="1384">
        <f t="shared" si="18"/>
        <v>0</v>
      </c>
      <c r="AB21" s="1511">
        <f t="shared" si="19"/>
        <v>0</v>
      </c>
      <c r="AC21" s="1402">
        <f t="shared" si="20"/>
        <v>0</v>
      </c>
      <c r="AD21" s="1511">
        <f t="shared" si="21"/>
        <v>0</v>
      </c>
      <c r="AE21" s="1385">
        <v>0</v>
      </c>
      <c r="AF21" s="1511">
        <f t="shared" si="22"/>
        <v>0</v>
      </c>
      <c r="AG21" s="1385"/>
      <c r="AH21" s="1385">
        <f t="shared" si="23"/>
        <v>0</v>
      </c>
      <c r="AI21" s="1511">
        <f t="shared" si="24"/>
        <v>0</v>
      </c>
      <c r="AJ21" s="1531">
        <f t="shared" si="25"/>
        <v>0</v>
      </c>
      <c r="AK21" s="1536">
        <f t="shared" si="26"/>
        <v>0</v>
      </c>
    </row>
    <row r="22" spans="1:37" ht="16.2" customHeight="1">
      <c r="A22" s="1183">
        <v>16</v>
      </c>
      <c r="B22" s="1184" t="s">
        <v>96</v>
      </c>
      <c r="C22" s="1185">
        <v>0</v>
      </c>
      <c r="D22" s="1186">
        <f>+'Table 5C1A-Madison Prep'!D22</f>
        <v>1980.2494354342025</v>
      </c>
      <c r="E22" s="1187">
        <f t="shared" si="5"/>
        <v>0</v>
      </c>
      <c r="F22" s="1187">
        <f>+'Table 5C1A-Madison Prep'!F22</f>
        <v>686.73</v>
      </c>
      <c r="G22" s="1187">
        <f t="shared" si="6"/>
        <v>0</v>
      </c>
      <c r="H22" s="1538">
        <f t="shared" si="7"/>
        <v>0</v>
      </c>
      <c r="I22" s="1188"/>
      <c r="J22" s="1188"/>
      <c r="K22" s="1189">
        <f t="shared" si="8"/>
        <v>0</v>
      </c>
      <c r="L22" s="1538">
        <f t="shared" si="9"/>
        <v>0</v>
      </c>
      <c r="M22" s="1372">
        <f t="shared" si="4"/>
        <v>0</v>
      </c>
      <c r="N22" s="1538">
        <f t="shared" si="10"/>
        <v>0</v>
      </c>
      <c r="O22" s="1186">
        <v>0</v>
      </c>
      <c r="P22" s="1544">
        <f t="shared" si="11"/>
        <v>0</v>
      </c>
      <c r="Q22" s="1188"/>
      <c r="R22" s="1188">
        <f t="shared" si="12"/>
        <v>0</v>
      </c>
      <c r="S22" s="1544">
        <f t="shared" si="13"/>
        <v>0</v>
      </c>
      <c r="T22" s="1544">
        <f t="shared" si="14"/>
        <v>0</v>
      </c>
      <c r="U22" s="1373">
        <f>'Table 5C1A-Madison Prep'!U22</f>
        <v>12768</v>
      </c>
      <c r="V22" s="1514">
        <f t="shared" si="15"/>
        <v>0</v>
      </c>
      <c r="W22" s="1375"/>
      <c r="X22" s="1376">
        <f t="shared" si="16"/>
        <v>0</v>
      </c>
      <c r="Y22" s="1375"/>
      <c r="Z22" s="1376">
        <f t="shared" si="17"/>
        <v>0</v>
      </c>
      <c r="AA22" s="1374">
        <f t="shared" si="18"/>
        <v>0</v>
      </c>
      <c r="AB22" s="1509">
        <f t="shared" si="19"/>
        <v>0</v>
      </c>
      <c r="AC22" s="1378">
        <f t="shared" si="20"/>
        <v>0</v>
      </c>
      <c r="AD22" s="1509">
        <f t="shared" si="21"/>
        <v>0</v>
      </c>
      <c r="AE22" s="1379">
        <v>0</v>
      </c>
      <c r="AF22" s="1509">
        <f t="shared" si="22"/>
        <v>0</v>
      </c>
      <c r="AG22" s="1379"/>
      <c r="AH22" s="1379">
        <f t="shared" si="23"/>
        <v>0</v>
      </c>
      <c r="AI22" s="1509">
        <f t="shared" si="24"/>
        <v>0</v>
      </c>
      <c r="AJ22" s="1530">
        <f t="shared" si="25"/>
        <v>0</v>
      </c>
      <c r="AK22" s="1534">
        <f t="shared" si="26"/>
        <v>0</v>
      </c>
    </row>
    <row r="23" spans="1:37" ht="16.2" customHeight="1">
      <c r="A23" s="1176">
        <v>17</v>
      </c>
      <c r="B23" s="1177" t="s">
        <v>97</v>
      </c>
      <c r="C23" s="1178">
        <v>133</v>
      </c>
      <c r="D23" s="1179">
        <f>+'Table 5C1A-Madison Prep'!D23</f>
        <v>3363.5980368254495</v>
      </c>
      <c r="E23" s="1180">
        <f t="shared" si="5"/>
        <v>447358.53889778478</v>
      </c>
      <c r="F23" s="1180">
        <f>+'Table 5C1A-Madison Prep'!F23</f>
        <v>801.47762416806802</v>
      </c>
      <c r="G23" s="1180">
        <f t="shared" si="6"/>
        <v>106596.52401435305</v>
      </c>
      <c r="H23" s="1539">
        <f t="shared" si="7"/>
        <v>553955.06291213783</v>
      </c>
      <c r="I23" s="1181"/>
      <c r="J23" s="1181"/>
      <c r="K23" s="1182">
        <f t="shared" si="8"/>
        <v>0</v>
      </c>
      <c r="L23" s="1539">
        <f t="shared" si="9"/>
        <v>553955.06291213783</v>
      </c>
      <c r="M23" s="1388">
        <f t="shared" si="4"/>
        <v>-1384.8876572803447</v>
      </c>
      <c r="N23" s="1539">
        <f t="shared" si="10"/>
        <v>552570.17525485752</v>
      </c>
      <c r="O23" s="1179">
        <v>0</v>
      </c>
      <c r="P23" s="1545">
        <f t="shared" si="11"/>
        <v>552570.17525485752</v>
      </c>
      <c r="Q23" s="1181"/>
      <c r="R23" s="1181">
        <f t="shared" si="12"/>
        <v>552570.17525485752</v>
      </c>
      <c r="S23" s="1545">
        <f t="shared" si="13"/>
        <v>46048</v>
      </c>
      <c r="T23" s="1545">
        <f t="shared" si="14"/>
        <v>552570.17525485752</v>
      </c>
      <c r="U23" s="1389">
        <f>'Table 5C1A-Madison Prep'!U23</f>
        <v>7050</v>
      </c>
      <c r="V23" s="1515">
        <f t="shared" si="15"/>
        <v>937650</v>
      </c>
      <c r="W23" s="1391"/>
      <c r="X23" s="1392">
        <f t="shared" si="16"/>
        <v>0</v>
      </c>
      <c r="Y23" s="1391"/>
      <c r="Z23" s="1392">
        <f t="shared" si="17"/>
        <v>0</v>
      </c>
      <c r="AA23" s="1390">
        <f t="shared" si="18"/>
        <v>0</v>
      </c>
      <c r="AB23" s="1510">
        <f t="shared" si="19"/>
        <v>937650</v>
      </c>
      <c r="AC23" s="1394">
        <f t="shared" si="20"/>
        <v>-2344.125</v>
      </c>
      <c r="AD23" s="1510">
        <f t="shared" si="21"/>
        <v>935305.875</v>
      </c>
      <c r="AE23" s="1395">
        <v>0</v>
      </c>
      <c r="AF23" s="1510">
        <f t="shared" si="22"/>
        <v>935305.875</v>
      </c>
      <c r="AG23" s="1395"/>
      <c r="AH23" s="1395">
        <f t="shared" si="23"/>
        <v>935305.875</v>
      </c>
      <c r="AI23" s="1510">
        <f t="shared" si="24"/>
        <v>77942</v>
      </c>
      <c r="AJ23" s="1505">
        <f t="shared" si="25"/>
        <v>1487876.0502548576</v>
      </c>
      <c r="AK23" s="1535">
        <f t="shared" si="26"/>
        <v>123990</v>
      </c>
    </row>
    <row r="24" spans="1:37" ht="16.2" customHeight="1">
      <c r="A24" s="1176">
        <v>18</v>
      </c>
      <c r="B24" s="1177" t="s">
        <v>98</v>
      </c>
      <c r="C24" s="1178">
        <v>0</v>
      </c>
      <c r="D24" s="1179">
        <f>+'Table 5C1A-Madison Prep'!D24</f>
        <v>6354.5533500475731</v>
      </c>
      <c r="E24" s="1180">
        <f t="shared" si="5"/>
        <v>0</v>
      </c>
      <c r="F24" s="1180">
        <f>+'Table 5C1A-Madison Prep'!F24</f>
        <v>845.94999999999993</v>
      </c>
      <c r="G24" s="1180">
        <f t="shared" si="6"/>
        <v>0</v>
      </c>
      <c r="H24" s="1539">
        <f t="shared" si="7"/>
        <v>0</v>
      </c>
      <c r="I24" s="1181"/>
      <c r="J24" s="1181"/>
      <c r="K24" s="1182">
        <f t="shared" si="8"/>
        <v>0</v>
      </c>
      <c r="L24" s="1539">
        <f t="shared" si="9"/>
        <v>0</v>
      </c>
      <c r="M24" s="1388">
        <f t="shared" si="4"/>
        <v>0</v>
      </c>
      <c r="N24" s="1539">
        <f t="shared" si="10"/>
        <v>0</v>
      </c>
      <c r="O24" s="1179">
        <v>0</v>
      </c>
      <c r="P24" s="1545">
        <f t="shared" si="11"/>
        <v>0</v>
      </c>
      <c r="Q24" s="1181"/>
      <c r="R24" s="1181">
        <f t="shared" si="12"/>
        <v>0</v>
      </c>
      <c r="S24" s="1545">
        <f t="shared" si="13"/>
        <v>0</v>
      </c>
      <c r="T24" s="1545">
        <f t="shared" si="14"/>
        <v>0</v>
      </c>
      <c r="U24" s="1389">
        <f>'Table 5C1A-Madison Prep'!U24</f>
        <v>2526</v>
      </c>
      <c r="V24" s="1515">
        <f t="shared" si="15"/>
        <v>0</v>
      </c>
      <c r="W24" s="1391"/>
      <c r="X24" s="1392">
        <f t="shared" si="16"/>
        <v>0</v>
      </c>
      <c r="Y24" s="1391"/>
      <c r="Z24" s="1392">
        <f t="shared" si="17"/>
        <v>0</v>
      </c>
      <c r="AA24" s="1390">
        <f t="shared" si="18"/>
        <v>0</v>
      </c>
      <c r="AB24" s="1510">
        <f t="shared" si="19"/>
        <v>0</v>
      </c>
      <c r="AC24" s="1394">
        <f t="shared" si="20"/>
        <v>0</v>
      </c>
      <c r="AD24" s="1510">
        <f t="shared" si="21"/>
        <v>0</v>
      </c>
      <c r="AE24" s="1395">
        <v>0</v>
      </c>
      <c r="AF24" s="1510">
        <f t="shared" si="22"/>
        <v>0</v>
      </c>
      <c r="AG24" s="1395"/>
      <c r="AH24" s="1395">
        <f t="shared" si="23"/>
        <v>0</v>
      </c>
      <c r="AI24" s="1510">
        <f t="shared" si="24"/>
        <v>0</v>
      </c>
      <c r="AJ24" s="1505">
        <f t="shared" si="25"/>
        <v>0</v>
      </c>
      <c r="AK24" s="1535">
        <f t="shared" si="26"/>
        <v>0</v>
      </c>
    </row>
    <row r="25" spans="1:37" ht="16.2" customHeight="1">
      <c r="A25" s="1176">
        <v>19</v>
      </c>
      <c r="B25" s="1177" t="s">
        <v>99</v>
      </c>
      <c r="C25" s="1178">
        <v>0</v>
      </c>
      <c r="D25" s="1179">
        <f>+'Table 5C1A-Madison Prep'!D25</f>
        <v>5314.3921869460446</v>
      </c>
      <c r="E25" s="1180">
        <f t="shared" si="5"/>
        <v>0</v>
      </c>
      <c r="F25" s="1180">
        <f>+'Table 5C1A-Madison Prep'!F25</f>
        <v>905.43</v>
      </c>
      <c r="G25" s="1180">
        <f t="shared" si="6"/>
        <v>0</v>
      </c>
      <c r="H25" s="1539">
        <f t="shared" si="7"/>
        <v>0</v>
      </c>
      <c r="I25" s="1181"/>
      <c r="J25" s="1181"/>
      <c r="K25" s="1182">
        <f t="shared" si="8"/>
        <v>0</v>
      </c>
      <c r="L25" s="1539">
        <f t="shared" si="9"/>
        <v>0</v>
      </c>
      <c r="M25" s="1388">
        <f t="shared" si="4"/>
        <v>0</v>
      </c>
      <c r="N25" s="1539">
        <f t="shared" si="10"/>
        <v>0</v>
      </c>
      <c r="O25" s="1179">
        <v>0</v>
      </c>
      <c r="P25" s="1545">
        <f t="shared" si="11"/>
        <v>0</v>
      </c>
      <c r="Q25" s="1181"/>
      <c r="R25" s="1181">
        <f t="shared" si="12"/>
        <v>0</v>
      </c>
      <c r="S25" s="1545">
        <f t="shared" si="13"/>
        <v>0</v>
      </c>
      <c r="T25" s="1545">
        <f t="shared" si="14"/>
        <v>0</v>
      </c>
      <c r="U25" s="1389">
        <f>'Table 5C1A-Madison Prep'!U25</f>
        <v>2908</v>
      </c>
      <c r="V25" s="1515">
        <f t="shared" si="15"/>
        <v>0</v>
      </c>
      <c r="W25" s="1391"/>
      <c r="X25" s="1392">
        <f t="shared" si="16"/>
        <v>0</v>
      </c>
      <c r="Y25" s="1391"/>
      <c r="Z25" s="1392">
        <f t="shared" si="17"/>
        <v>0</v>
      </c>
      <c r="AA25" s="1390">
        <f t="shared" si="18"/>
        <v>0</v>
      </c>
      <c r="AB25" s="1510">
        <f t="shared" si="19"/>
        <v>0</v>
      </c>
      <c r="AC25" s="1394">
        <f t="shared" si="20"/>
        <v>0</v>
      </c>
      <c r="AD25" s="1510">
        <f t="shared" si="21"/>
        <v>0</v>
      </c>
      <c r="AE25" s="1395">
        <v>0</v>
      </c>
      <c r="AF25" s="1510">
        <f t="shared" si="22"/>
        <v>0</v>
      </c>
      <c r="AG25" s="1395"/>
      <c r="AH25" s="1395">
        <f t="shared" si="23"/>
        <v>0</v>
      </c>
      <c r="AI25" s="1510">
        <f t="shared" si="24"/>
        <v>0</v>
      </c>
      <c r="AJ25" s="1505">
        <f t="shared" si="25"/>
        <v>0</v>
      </c>
      <c r="AK25" s="1535">
        <f t="shared" si="26"/>
        <v>0</v>
      </c>
    </row>
    <row r="26" spans="1:37" ht="16.2" customHeight="1">
      <c r="A26" s="1168">
        <v>20</v>
      </c>
      <c r="B26" s="1169" t="s">
        <v>100</v>
      </c>
      <c r="C26" s="1170">
        <v>0</v>
      </c>
      <c r="D26" s="1171">
        <f>+'Table 5C1A-Madison Prep'!D26</f>
        <v>5278.5201565562011</v>
      </c>
      <c r="E26" s="1172">
        <f t="shared" si="5"/>
        <v>0</v>
      </c>
      <c r="F26" s="1172">
        <f>+'Table 5C1A-Madison Prep'!F26</f>
        <v>586.16999999999996</v>
      </c>
      <c r="G26" s="1172">
        <f t="shared" si="6"/>
        <v>0</v>
      </c>
      <c r="H26" s="1540">
        <f t="shared" si="7"/>
        <v>0</v>
      </c>
      <c r="I26" s="1173"/>
      <c r="J26" s="1173"/>
      <c r="K26" s="1174">
        <f t="shared" si="8"/>
        <v>0</v>
      </c>
      <c r="L26" s="1540">
        <f t="shared" si="9"/>
        <v>0</v>
      </c>
      <c r="M26" s="1399">
        <f t="shared" si="4"/>
        <v>0</v>
      </c>
      <c r="N26" s="1540">
        <f t="shared" si="10"/>
        <v>0</v>
      </c>
      <c r="O26" s="1171">
        <v>0</v>
      </c>
      <c r="P26" s="1546">
        <f t="shared" si="11"/>
        <v>0</v>
      </c>
      <c r="Q26" s="1173"/>
      <c r="R26" s="1173">
        <f t="shared" si="12"/>
        <v>0</v>
      </c>
      <c r="S26" s="1546">
        <f t="shared" si="13"/>
        <v>0</v>
      </c>
      <c r="T26" s="1546">
        <f t="shared" si="14"/>
        <v>0</v>
      </c>
      <c r="U26" s="1382">
        <f>'Table 5C1A-Madison Prep'!U26</f>
        <v>2432</v>
      </c>
      <c r="V26" s="1516">
        <f t="shared" si="15"/>
        <v>0</v>
      </c>
      <c r="W26" s="1400"/>
      <c r="X26" s="1383">
        <f t="shared" si="16"/>
        <v>0</v>
      </c>
      <c r="Y26" s="1400"/>
      <c r="Z26" s="1383">
        <f t="shared" si="17"/>
        <v>0</v>
      </c>
      <c r="AA26" s="1384">
        <f t="shared" si="18"/>
        <v>0</v>
      </c>
      <c r="AB26" s="1511">
        <f t="shared" si="19"/>
        <v>0</v>
      </c>
      <c r="AC26" s="1402">
        <f t="shared" si="20"/>
        <v>0</v>
      </c>
      <c r="AD26" s="1511">
        <f t="shared" si="21"/>
        <v>0</v>
      </c>
      <c r="AE26" s="1385">
        <v>0</v>
      </c>
      <c r="AF26" s="1511">
        <f t="shared" si="22"/>
        <v>0</v>
      </c>
      <c r="AG26" s="1385"/>
      <c r="AH26" s="1385">
        <f t="shared" si="23"/>
        <v>0</v>
      </c>
      <c r="AI26" s="1511">
        <f t="shared" si="24"/>
        <v>0</v>
      </c>
      <c r="AJ26" s="1531">
        <f t="shared" si="25"/>
        <v>0</v>
      </c>
      <c r="AK26" s="1536">
        <f t="shared" si="26"/>
        <v>0</v>
      </c>
    </row>
    <row r="27" spans="1:37" ht="16.2" customHeight="1">
      <c r="A27" s="1183">
        <v>21</v>
      </c>
      <c r="B27" s="1184" t="s">
        <v>101</v>
      </c>
      <c r="C27" s="1185">
        <v>0</v>
      </c>
      <c r="D27" s="1186">
        <f>+'Table 5C1A-Madison Prep'!D27</f>
        <v>6082.3042295867763</v>
      </c>
      <c r="E27" s="1187">
        <f t="shared" si="5"/>
        <v>0</v>
      </c>
      <c r="F27" s="1187">
        <f>+'Table 5C1A-Madison Prep'!F27</f>
        <v>610.35</v>
      </c>
      <c r="G27" s="1187">
        <f t="shared" si="6"/>
        <v>0</v>
      </c>
      <c r="H27" s="1538">
        <f t="shared" si="7"/>
        <v>0</v>
      </c>
      <c r="I27" s="1188"/>
      <c r="J27" s="1188"/>
      <c r="K27" s="1189">
        <f t="shared" si="8"/>
        <v>0</v>
      </c>
      <c r="L27" s="1538">
        <f t="shared" si="9"/>
        <v>0</v>
      </c>
      <c r="M27" s="1372">
        <f t="shared" si="4"/>
        <v>0</v>
      </c>
      <c r="N27" s="1538">
        <f t="shared" si="10"/>
        <v>0</v>
      </c>
      <c r="O27" s="1186">
        <v>0</v>
      </c>
      <c r="P27" s="1544">
        <f t="shared" si="11"/>
        <v>0</v>
      </c>
      <c r="Q27" s="1188"/>
      <c r="R27" s="1188">
        <f t="shared" si="12"/>
        <v>0</v>
      </c>
      <c r="S27" s="1544">
        <f t="shared" si="13"/>
        <v>0</v>
      </c>
      <c r="T27" s="1544">
        <f t="shared" si="14"/>
        <v>0</v>
      </c>
      <c r="U27" s="1373">
        <f>'Table 5C1A-Madison Prep'!U27</f>
        <v>2460</v>
      </c>
      <c r="V27" s="1514">
        <f t="shared" si="15"/>
        <v>0</v>
      </c>
      <c r="W27" s="1375"/>
      <c r="X27" s="1376">
        <f t="shared" si="16"/>
        <v>0</v>
      </c>
      <c r="Y27" s="1375"/>
      <c r="Z27" s="1376">
        <f t="shared" si="17"/>
        <v>0</v>
      </c>
      <c r="AA27" s="1374">
        <f t="shared" si="18"/>
        <v>0</v>
      </c>
      <c r="AB27" s="1509">
        <f t="shared" si="19"/>
        <v>0</v>
      </c>
      <c r="AC27" s="1378">
        <f t="shared" si="20"/>
        <v>0</v>
      </c>
      <c r="AD27" s="1509">
        <f t="shared" si="21"/>
        <v>0</v>
      </c>
      <c r="AE27" s="1379">
        <v>0</v>
      </c>
      <c r="AF27" s="1509">
        <f t="shared" si="22"/>
        <v>0</v>
      </c>
      <c r="AG27" s="1379"/>
      <c r="AH27" s="1379">
        <f t="shared" si="23"/>
        <v>0</v>
      </c>
      <c r="AI27" s="1509">
        <f t="shared" si="24"/>
        <v>0</v>
      </c>
      <c r="AJ27" s="1530">
        <f t="shared" si="25"/>
        <v>0</v>
      </c>
      <c r="AK27" s="1534">
        <f t="shared" si="26"/>
        <v>0</v>
      </c>
    </row>
    <row r="28" spans="1:37" ht="16.2" customHeight="1">
      <c r="A28" s="1176">
        <v>22</v>
      </c>
      <c r="B28" s="1177" t="s">
        <v>102</v>
      </c>
      <c r="C28" s="1178">
        <v>0</v>
      </c>
      <c r="D28" s="1179">
        <f>+'Table 5C1A-Madison Prep'!D28</f>
        <v>6416.1099808195995</v>
      </c>
      <c r="E28" s="1180">
        <f t="shared" si="5"/>
        <v>0</v>
      </c>
      <c r="F28" s="1180">
        <f>+'Table 5C1A-Madison Prep'!F28</f>
        <v>496.36</v>
      </c>
      <c r="G28" s="1180">
        <f t="shared" si="6"/>
        <v>0</v>
      </c>
      <c r="H28" s="1539">
        <f t="shared" si="7"/>
        <v>0</v>
      </c>
      <c r="I28" s="1181"/>
      <c r="J28" s="1181"/>
      <c r="K28" s="1182">
        <f t="shared" si="8"/>
        <v>0</v>
      </c>
      <c r="L28" s="1539">
        <f t="shared" si="9"/>
        <v>0</v>
      </c>
      <c r="M28" s="1388">
        <f t="shared" si="4"/>
        <v>0</v>
      </c>
      <c r="N28" s="1539">
        <f t="shared" si="10"/>
        <v>0</v>
      </c>
      <c r="O28" s="1179">
        <v>0</v>
      </c>
      <c r="P28" s="1545">
        <f t="shared" si="11"/>
        <v>0</v>
      </c>
      <c r="Q28" s="1181"/>
      <c r="R28" s="1181">
        <f t="shared" si="12"/>
        <v>0</v>
      </c>
      <c r="S28" s="1545">
        <f t="shared" si="13"/>
        <v>0</v>
      </c>
      <c r="T28" s="1545">
        <f t="shared" si="14"/>
        <v>0</v>
      </c>
      <c r="U28" s="1389">
        <f>'Table 5C1A-Madison Prep'!U28</f>
        <v>1613</v>
      </c>
      <c r="V28" s="1515">
        <f t="shared" si="15"/>
        <v>0</v>
      </c>
      <c r="W28" s="1391"/>
      <c r="X28" s="1392">
        <f t="shared" si="16"/>
        <v>0</v>
      </c>
      <c r="Y28" s="1391"/>
      <c r="Z28" s="1392">
        <f t="shared" si="17"/>
        <v>0</v>
      </c>
      <c r="AA28" s="1390">
        <f t="shared" si="18"/>
        <v>0</v>
      </c>
      <c r="AB28" s="1510">
        <f t="shared" si="19"/>
        <v>0</v>
      </c>
      <c r="AC28" s="1394">
        <f t="shared" si="20"/>
        <v>0</v>
      </c>
      <c r="AD28" s="1510">
        <f t="shared" si="21"/>
        <v>0</v>
      </c>
      <c r="AE28" s="1395">
        <v>0</v>
      </c>
      <c r="AF28" s="1510">
        <f t="shared" si="22"/>
        <v>0</v>
      </c>
      <c r="AG28" s="1395"/>
      <c r="AH28" s="1395">
        <f t="shared" si="23"/>
        <v>0</v>
      </c>
      <c r="AI28" s="1510">
        <f t="shared" si="24"/>
        <v>0</v>
      </c>
      <c r="AJ28" s="1505">
        <f t="shared" si="25"/>
        <v>0</v>
      </c>
      <c r="AK28" s="1535">
        <f t="shared" si="26"/>
        <v>0</v>
      </c>
    </row>
    <row r="29" spans="1:37" ht="16.2" customHeight="1">
      <c r="A29" s="1176">
        <v>23</v>
      </c>
      <c r="B29" s="1177" t="s">
        <v>103</v>
      </c>
      <c r="C29" s="1178">
        <v>0</v>
      </c>
      <c r="D29" s="1179">
        <f>+'Table 5C1A-Madison Prep'!D29</f>
        <v>5011.0215265979159</v>
      </c>
      <c r="E29" s="1180">
        <f t="shared" si="5"/>
        <v>0</v>
      </c>
      <c r="F29" s="1180">
        <f>+'Table 5C1A-Madison Prep'!F29</f>
        <v>688.58</v>
      </c>
      <c r="G29" s="1180">
        <f t="shared" si="6"/>
        <v>0</v>
      </c>
      <c r="H29" s="1539">
        <f t="shared" si="7"/>
        <v>0</v>
      </c>
      <c r="I29" s="1181"/>
      <c r="J29" s="1181"/>
      <c r="K29" s="1182">
        <f t="shared" si="8"/>
        <v>0</v>
      </c>
      <c r="L29" s="1539">
        <f t="shared" si="9"/>
        <v>0</v>
      </c>
      <c r="M29" s="1388">
        <f t="shared" si="4"/>
        <v>0</v>
      </c>
      <c r="N29" s="1539">
        <f t="shared" si="10"/>
        <v>0</v>
      </c>
      <c r="O29" s="1179">
        <v>0</v>
      </c>
      <c r="P29" s="1545">
        <f t="shared" si="11"/>
        <v>0</v>
      </c>
      <c r="Q29" s="1181"/>
      <c r="R29" s="1181">
        <f t="shared" si="12"/>
        <v>0</v>
      </c>
      <c r="S29" s="1545">
        <f t="shared" si="13"/>
        <v>0</v>
      </c>
      <c r="T29" s="1545">
        <f t="shared" si="14"/>
        <v>0</v>
      </c>
      <c r="U29" s="1389">
        <f>'Table 5C1A-Madison Prep'!U29</f>
        <v>3473</v>
      </c>
      <c r="V29" s="1515">
        <f t="shared" si="15"/>
        <v>0</v>
      </c>
      <c r="W29" s="1391"/>
      <c r="X29" s="1392">
        <f t="shared" si="16"/>
        <v>0</v>
      </c>
      <c r="Y29" s="1391"/>
      <c r="Z29" s="1392">
        <f t="shared" si="17"/>
        <v>0</v>
      </c>
      <c r="AA29" s="1390">
        <f t="shared" si="18"/>
        <v>0</v>
      </c>
      <c r="AB29" s="1510">
        <f t="shared" si="19"/>
        <v>0</v>
      </c>
      <c r="AC29" s="1394">
        <f t="shared" si="20"/>
        <v>0</v>
      </c>
      <c r="AD29" s="1510">
        <f t="shared" si="21"/>
        <v>0</v>
      </c>
      <c r="AE29" s="1395">
        <v>0</v>
      </c>
      <c r="AF29" s="1510">
        <f t="shared" si="22"/>
        <v>0</v>
      </c>
      <c r="AG29" s="1395"/>
      <c r="AH29" s="1395">
        <f t="shared" si="23"/>
        <v>0</v>
      </c>
      <c r="AI29" s="1510">
        <f t="shared" si="24"/>
        <v>0</v>
      </c>
      <c r="AJ29" s="1505">
        <f t="shared" si="25"/>
        <v>0</v>
      </c>
      <c r="AK29" s="1535">
        <f t="shared" si="26"/>
        <v>0</v>
      </c>
    </row>
    <row r="30" spans="1:37" ht="16.2" customHeight="1">
      <c r="A30" s="1176">
        <v>24</v>
      </c>
      <c r="B30" s="1177" t="s">
        <v>104</v>
      </c>
      <c r="C30" s="1178">
        <v>0</v>
      </c>
      <c r="D30" s="1179">
        <f>+'Table 5C1A-Madison Prep'!D30</f>
        <v>2611.6740361576999</v>
      </c>
      <c r="E30" s="1180">
        <f t="shared" si="5"/>
        <v>0</v>
      </c>
      <c r="F30" s="1180">
        <f>+'Table 5C1A-Madison Prep'!F30</f>
        <v>854.24999999999989</v>
      </c>
      <c r="G30" s="1180">
        <f t="shared" si="6"/>
        <v>0</v>
      </c>
      <c r="H30" s="1539">
        <f t="shared" si="7"/>
        <v>0</v>
      </c>
      <c r="I30" s="1181"/>
      <c r="J30" s="1181"/>
      <c r="K30" s="1182">
        <f t="shared" si="8"/>
        <v>0</v>
      </c>
      <c r="L30" s="1539">
        <f t="shared" si="9"/>
        <v>0</v>
      </c>
      <c r="M30" s="1388">
        <f t="shared" si="4"/>
        <v>0</v>
      </c>
      <c r="N30" s="1539">
        <f t="shared" si="10"/>
        <v>0</v>
      </c>
      <c r="O30" s="1179">
        <v>0</v>
      </c>
      <c r="P30" s="1545">
        <f t="shared" si="11"/>
        <v>0</v>
      </c>
      <c r="Q30" s="1181"/>
      <c r="R30" s="1181">
        <f t="shared" si="12"/>
        <v>0</v>
      </c>
      <c r="S30" s="1545">
        <f t="shared" si="13"/>
        <v>0</v>
      </c>
      <c r="T30" s="1545">
        <f t="shared" si="14"/>
        <v>0</v>
      </c>
      <c r="U30" s="1389">
        <f>'Table 5C1A-Madison Prep'!U30</f>
        <v>10053</v>
      </c>
      <c r="V30" s="1515">
        <f t="shared" si="15"/>
        <v>0</v>
      </c>
      <c r="W30" s="1391"/>
      <c r="X30" s="1392">
        <f t="shared" si="16"/>
        <v>0</v>
      </c>
      <c r="Y30" s="1391"/>
      <c r="Z30" s="1392">
        <f t="shared" si="17"/>
        <v>0</v>
      </c>
      <c r="AA30" s="1390">
        <f t="shared" si="18"/>
        <v>0</v>
      </c>
      <c r="AB30" s="1510">
        <f t="shared" si="19"/>
        <v>0</v>
      </c>
      <c r="AC30" s="1394">
        <f t="shared" si="20"/>
        <v>0</v>
      </c>
      <c r="AD30" s="1510">
        <f t="shared" si="21"/>
        <v>0</v>
      </c>
      <c r="AE30" s="1395">
        <v>0</v>
      </c>
      <c r="AF30" s="1510">
        <f t="shared" si="22"/>
        <v>0</v>
      </c>
      <c r="AG30" s="1395"/>
      <c r="AH30" s="1395">
        <f t="shared" si="23"/>
        <v>0</v>
      </c>
      <c r="AI30" s="1510">
        <f t="shared" si="24"/>
        <v>0</v>
      </c>
      <c r="AJ30" s="1505">
        <f t="shared" si="25"/>
        <v>0</v>
      </c>
      <c r="AK30" s="1535">
        <f t="shared" si="26"/>
        <v>0</v>
      </c>
    </row>
    <row r="31" spans="1:37" ht="16.2" customHeight="1">
      <c r="A31" s="1168">
        <v>25</v>
      </c>
      <c r="B31" s="1169" t="s">
        <v>105</v>
      </c>
      <c r="C31" s="1170">
        <v>0</v>
      </c>
      <c r="D31" s="1171">
        <f>+'Table 5C1A-Madison Prep'!D31</f>
        <v>4173.0720274945697</v>
      </c>
      <c r="E31" s="1172">
        <f t="shared" si="5"/>
        <v>0</v>
      </c>
      <c r="F31" s="1172">
        <f>+'Table 5C1A-Madison Prep'!F31</f>
        <v>653.73</v>
      </c>
      <c r="G31" s="1172">
        <f t="shared" si="6"/>
        <v>0</v>
      </c>
      <c r="H31" s="1540">
        <f t="shared" si="7"/>
        <v>0</v>
      </c>
      <c r="I31" s="1173"/>
      <c r="J31" s="1173"/>
      <c r="K31" s="1174">
        <f t="shared" si="8"/>
        <v>0</v>
      </c>
      <c r="L31" s="1540">
        <f t="shared" si="9"/>
        <v>0</v>
      </c>
      <c r="M31" s="1399">
        <f t="shared" si="4"/>
        <v>0</v>
      </c>
      <c r="N31" s="1540">
        <f t="shared" si="10"/>
        <v>0</v>
      </c>
      <c r="O31" s="1171">
        <v>0</v>
      </c>
      <c r="P31" s="1546">
        <f t="shared" si="11"/>
        <v>0</v>
      </c>
      <c r="Q31" s="1173"/>
      <c r="R31" s="1173">
        <f t="shared" si="12"/>
        <v>0</v>
      </c>
      <c r="S31" s="1546">
        <f t="shared" si="13"/>
        <v>0</v>
      </c>
      <c r="T31" s="1546">
        <f t="shared" si="14"/>
        <v>0</v>
      </c>
      <c r="U31" s="1382">
        <f>'Table 5C1A-Madison Prep'!U31</f>
        <v>5073</v>
      </c>
      <c r="V31" s="1516">
        <f t="shared" si="15"/>
        <v>0</v>
      </c>
      <c r="W31" s="1400"/>
      <c r="X31" s="1383">
        <f t="shared" si="16"/>
        <v>0</v>
      </c>
      <c r="Y31" s="1400"/>
      <c r="Z31" s="1383">
        <f t="shared" si="17"/>
        <v>0</v>
      </c>
      <c r="AA31" s="1384">
        <f t="shared" si="18"/>
        <v>0</v>
      </c>
      <c r="AB31" s="1511">
        <f t="shared" si="19"/>
        <v>0</v>
      </c>
      <c r="AC31" s="1402">
        <f t="shared" si="20"/>
        <v>0</v>
      </c>
      <c r="AD31" s="1511">
        <f t="shared" si="21"/>
        <v>0</v>
      </c>
      <c r="AE31" s="1385">
        <v>0</v>
      </c>
      <c r="AF31" s="1511">
        <f t="shared" si="22"/>
        <v>0</v>
      </c>
      <c r="AG31" s="1385"/>
      <c r="AH31" s="1385">
        <f t="shared" si="23"/>
        <v>0</v>
      </c>
      <c r="AI31" s="1511">
        <f t="shared" si="24"/>
        <v>0</v>
      </c>
      <c r="AJ31" s="1531">
        <f t="shared" si="25"/>
        <v>0</v>
      </c>
      <c r="AK31" s="1536">
        <f t="shared" si="26"/>
        <v>0</v>
      </c>
    </row>
    <row r="32" spans="1:37" ht="16.2" customHeight="1">
      <c r="A32" s="1183">
        <v>26</v>
      </c>
      <c r="B32" s="1184" t="s">
        <v>106</v>
      </c>
      <c r="C32" s="1185">
        <v>0</v>
      </c>
      <c r="D32" s="1186">
        <f>+'Table 5C1A-Madison Prep'!D32</f>
        <v>3424.5649970570835</v>
      </c>
      <c r="E32" s="1187">
        <f t="shared" si="5"/>
        <v>0</v>
      </c>
      <c r="F32" s="1187">
        <f>+'Table 5C1A-Madison Prep'!F32</f>
        <v>836.83</v>
      </c>
      <c r="G32" s="1187">
        <f t="shared" si="6"/>
        <v>0</v>
      </c>
      <c r="H32" s="1538">
        <f t="shared" si="7"/>
        <v>0</v>
      </c>
      <c r="I32" s="1188"/>
      <c r="J32" s="1188"/>
      <c r="K32" s="1189">
        <f t="shared" si="8"/>
        <v>0</v>
      </c>
      <c r="L32" s="1538">
        <f t="shared" si="9"/>
        <v>0</v>
      </c>
      <c r="M32" s="1372">
        <f t="shared" si="4"/>
        <v>0</v>
      </c>
      <c r="N32" s="1538">
        <f t="shared" si="10"/>
        <v>0</v>
      </c>
      <c r="O32" s="1186">
        <v>0</v>
      </c>
      <c r="P32" s="1544">
        <f t="shared" si="11"/>
        <v>0</v>
      </c>
      <c r="Q32" s="1188"/>
      <c r="R32" s="1188">
        <f t="shared" si="12"/>
        <v>0</v>
      </c>
      <c r="S32" s="1544">
        <f t="shared" si="13"/>
        <v>0</v>
      </c>
      <c r="T32" s="1544">
        <f t="shared" si="14"/>
        <v>0</v>
      </c>
      <c r="U32" s="1373">
        <f>'Table 5C1A-Madison Prep'!U32</f>
        <v>5260</v>
      </c>
      <c r="V32" s="1514">
        <f t="shared" si="15"/>
        <v>0</v>
      </c>
      <c r="W32" s="1375"/>
      <c r="X32" s="1376">
        <f t="shared" si="16"/>
        <v>0</v>
      </c>
      <c r="Y32" s="1375"/>
      <c r="Z32" s="1376">
        <f t="shared" si="17"/>
        <v>0</v>
      </c>
      <c r="AA32" s="1374">
        <f t="shared" si="18"/>
        <v>0</v>
      </c>
      <c r="AB32" s="1509">
        <f t="shared" si="19"/>
        <v>0</v>
      </c>
      <c r="AC32" s="1378">
        <f t="shared" si="20"/>
        <v>0</v>
      </c>
      <c r="AD32" s="1509">
        <f t="shared" si="21"/>
        <v>0</v>
      </c>
      <c r="AE32" s="1379">
        <v>0</v>
      </c>
      <c r="AF32" s="1509">
        <f t="shared" si="22"/>
        <v>0</v>
      </c>
      <c r="AG32" s="1379"/>
      <c r="AH32" s="1379">
        <f t="shared" si="23"/>
        <v>0</v>
      </c>
      <c r="AI32" s="1509">
        <f t="shared" si="24"/>
        <v>0</v>
      </c>
      <c r="AJ32" s="1530">
        <f t="shared" si="25"/>
        <v>0</v>
      </c>
      <c r="AK32" s="1534">
        <f t="shared" si="26"/>
        <v>0</v>
      </c>
    </row>
    <row r="33" spans="1:37" ht="16.2" customHeight="1">
      <c r="A33" s="1176">
        <v>27</v>
      </c>
      <c r="B33" s="1177" t="s">
        <v>107</v>
      </c>
      <c r="C33" s="1178">
        <v>0</v>
      </c>
      <c r="D33" s="1179">
        <f>+'Table 5C1A-Madison Prep'!D33</f>
        <v>5804.9013839977006</v>
      </c>
      <c r="E33" s="1180">
        <f t="shared" si="5"/>
        <v>0</v>
      </c>
      <c r="F33" s="1180">
        <f>+'Table 5C1A-Madison Prep'!F33</f>
        <v>693.06</v>
      </c>
      <c r="G33" s="1180">
        <f t="shared" si="6"/>
        <v>0</v>
      </c>
      <c r="H33" s="1539">
        <f t="shared" si="7"/>
        <v>0</v>
      </c>
      <c r="I33" s="1181"/>
      <c r="J33" s="1181"/>
      <c r="K33" s="1182">
        <f t="shared" si="8"/>
        <v>0</v>
      </c>
      <c r="L33" s="1539">
        <f t="shared" si="9"/>
        <v>0</v>
      </c>
      <c r="M33" s="1388">
        <f t="shared" si="4"/>
        <v>0</v>
      </c>
      <c r="N33" s="1539">
        <f t="shared" si="10"/>
        <v>0</v>
      </c>
      <c r="O33" s="1179">
        <v>0</v>
      </c>
      <c r="P33" s="1545">
        <f t="shared" si="11"/>
        <v>0</v>
      </c>
      <c r="Q33" s="1181"/>
      <c r="R33" s="1181">
        <f t="shared" si="12"/>
        <v>0</v>
      </c>
      <c r="S33" s="1545">
        <f t="shared" si="13"/>
        <v>0</v>
      </c>
      <c r="T33" s="1545">
        <f t="shared" si="14"/>
        <v>0</v>
      </c>
      <c r="U33" s="1389">
        <f>'Table 5C1A-Madison Prep'!U33</f>
        <v>3169</v>
      </c>
      <c r="V33" s="1515">
        <f t="shared" si="15"/>
        <v>0</v>
      </c>
      <c r="W33" s="1391"/>
      <c r="X33" s="1392">
        <f t="shared" si="16"/>
        <v>0</v>
      </c>
      <c r="Y33" s="1391"/>
      <c r="Z33" s="1392">
        <f t="shared" si="17"/>
        <v>0</v>
      </c>
      <c r="AA33" s="1390">
        <f t="shared" si="18"/>
        <v>0</v>
      </c>
      <c r="AB33" s="1510">
        <f t="shared" si="19"/>
        <v>0</v>
      </c>
      <c r="AC33" s="1394">
        <f t="shared" si="20"/>
        <v>0</v>
      </c>
      <c r="AD33" s="1510">
        <f t="shared" si="21"/>
        <v>0</v>
      </c>
      <c r="AE33" s="1395">
        <v>0</v>
      </c>
      <c r="AF33" s="1510">
        <f t="shared" si="22"/>
        <v>0</v>
      </c>
      <c r="AG33" s="1395"/>
      <c r="AH33" s="1395">
        <f t="shared" si="23"/>
        <v>0</v>
      </c>
      <c r="AI33" s="1510">
        <f t="shared" si="24"/>
        <v>0</v>
      </c>
      <c r="AJ33" s="1505">
        <f t="shared" si="25"/>
        <v>0</v>
      </c>
      <c r="AK33" s="1535">
        <f t="shared" si="26"/>
        <v>0</v>
      </c>
    </row>
    <row r="34" spans="1:37" ht="16.2" customHeight="1">
      <c r="A34" s="1176">
        <v>28</v>
      </c>
      <c r="B34" s="1177" t="s">
        <v>108</v>
      </c>
      <c r="C34" s="1178">
        <v>0</v>
      </c>
      <c r="D34" s="1179">
        <f>+'Table 5C1A-Madison Prep'!D34</f>
        <v>3137.4158846568821</v>
      </c>
      <c r="E34" s="1180">
        <f t="shared" si="5"/>
        <v>0</v>
      </c>
      <c r="F34" s="1180">
        <f>+'Table 5C1A-Madison Prep'!F34</f>
        <v>694.4</v>
      </c>
      <c r="G34" s="1180">
        <f t="shared" si="6"/>
        <v>0</v>
      </c>
      <c r="H34" s="1539">
        <f t="shared" si="7"/>
        <v>0</v>
      </c>
      <c r="I34" s="1181"/>
      <c r="J34" s="1181"/>
      <c r="K34" s="1182">
        <f t="shared" si="8"/>
        <v>0</v>
      </c>
      <c r="L34" s="1539">
        <f t="shared" si="9"/>
        <v>0</v>
      </c>
      <c r="M34" s="1388">
        <f t="shared" si="4"/>
        <v>0</v>
      </c>
      <c r="N34" s="1539">
        <f t="shared" si="10"/>
        <v>0</v>
      </c>
      <c r="O34" s="1179">
        <v>0</v>
      </c>
      <c r="P34" s="1545">
        <f t="shared" si="11"/>
        <v>0</v>
      </c>
      <c r="Q34" s="1181"/>
      <c r="R34" s="1181">
        <f t="shared" si="12"/>
        <v>0</v>
      </c>
      <c r="S34" s="1545">
        <f t="shared" si="13"/>
        <v>0</v>
      </c>
      <c r="T34" s="1545">
        <f t="shared" si="14"/>
        <v>0</v>
      </c>
      <c r="U34" s="1389">
        <f>'Table 5C1A-Madison Prep'!U34</f>
        <v>5790</v>
      </c>
      <c r="V34" s="1515">
        <f t="shared" si="15"/>
        <v>0</v>
      </c>
      <c r="W34" s="1391"/>
      <c r="X34" s="1392">
        <f t="shared" si="16"/>
        <v>0</v>
      </c>
      <c r="Y34" s="1391"/>
      <c r="Z34" s="1392">
        <f t="shared" si="17"/>
        <v>0</v>
      </c>
      <c r="AA34" s="1390">
        <f t="shared" si="18"/>
        <v>0</v>
      </c>
      <c r="AB34" s="1510">
        <f t="shared" si="19"/>
        <v>0</v>
      </c>
      <c r="AC34" s="1394">
        <f t="shared" si="20"/>
        <v>0</v>
      </c>
      <c r="AD34" s="1510">
        <f t="shared" si="21"/>
        <v>0</v>
      </c>
      <c r="AE34" s="1395">
        <v>0</v>
      </c>
      <c r="AF34" s="1510">
        <f t="shared" si="22"/>
        <v>0</v>
      </c>
      <c r="AG34" s="1395"/>
      <c r="AH34" s="1395">
        <f t="shared" si="23"/>
        <v>0</v>
      </c>
      <c r="AI34" s="1510">
        <f t="shared" si="24"/>
        <v>0</v>
      </c>
      <c r="AJ34" s="1505">
        <f t="shared" si="25"/>
        <v>0</v>
      </c>
      <c r="AK34" s="1535">
        <f t="shared" si="26"/>
        <v>0</v>
      </c>
    </row>
    <row r="35" spans="1:37" ht="16.2" customHeight="1">
      <c r="A35" s="1176">
        <v>29</v>
      </c>
      <c r="B35" s="1177" t="s">
        <v>109</v>
      </c>
      <c r="C35" s="1178">
        <v>0</v>
      </c>
      <c r="D35" s="1179">
        <f>+'Table 5C1A-Madison Prep'!D35</f>
        <v>3839.0123210173724</v>
      </c>
      <c r="E35" s="1180">
        <f t="shared" si="5"/>
        <v>0</v>
      </c>
      <c r="F35" s="1180">
        <f>+'Table 5C1A-Madison Prep'!F35</f>
        <v>754.94999999999993</v>
      </c>
      <c r="G35" s="1180">
        <f t="shared" si="6"/>
        <v>0</v>
      </c>
      <c r="H35" s="1539">
        <f t="shared" si="7"/>
        <v>0</v>
      </c>
      <c r="I35" s="1181"/>
      <c r="J35" s="1181"/>
      <c r="K35" s="1182">
        <f t="shared" si="8"/>
        <v>0</v>
      </c>
      <c r="L35" s="1539">
        <f t="shared" si="9"/>
        <v>0</v>
      </c>
      <c r="M35" s="1388">
        <f t="shared" si="4"/>
        <v>0</v>
      </c>
      <c r="N35" s="1539">
        <f t="shared" si="10"/>
        <v>0</v>
      </c>
      <c r="O35" s="1179">
        <v>0</v>
      </c>
      <c r="P35" s="1545">
        <f t="shared" si="11"/>
        <v>0</v>
      </c>
      <c r="Q35" s="1181"/>
      <c r="R35" s="1181">
        <f t="shared" si="12"/>
        <v>0</v>
      </c>
      <c r="S35" s="1545">
        <f t="shared" si="13"/>
        <v>0</v>
      </c>
      <c r="T35" s="1545">
        <f t="shared" si="14"/>
        <v>0</v>
      </c>
      <c r="U35" s="1389">
        <f>'Table 5C1A-Madison Prep'!U35</f>
        <v>5069</v>
      </c>
      <c r="V35" s="1515">
        <f t="shared" si="15"/>
        <v>0</v>
      </c>
      <c r="W35" s="1391"/>
      <c r="X35" s="1392">
        <f t="shared" si="16"/>
        <v>0</v>
      </c>
      <c r="Y35" s="1391"/>
      <c r="Z35" s="1392">
        <f t="shared" si="17"/>
        <v>0</v>
      </c>
      <c r="AA35" s="1390">
        <f t="shared" si="18"/>
        <v>0</v>
      </c>
      <c r="AB35" s="1510">
        <f t="shared" si="19"/>
        <v>0</v>
      </c>
      <c r="AC35" s="1394">
        <f t="shared" si="20"/>
        <v>0</v>
      </c>
      <c r="AD35" s="1510">
        <f t="shared" si="21"/>
        <v>0</v>
      </c>
      <c r="AE35" s="1395">
        <v>0</v>
      </c>
      <c r="AF35" s="1510">
        <f t="shared" si="22"/>
        <v>0</v>
      </c>
      <c r="AG35" s="1395"/>
      <c r="AH35" s="1395">
        <f t="shared" si="23"/>
        <v>0</v>
      </c>
      <c r="AI35" s="1510">
        <f t="shared" si="24"/>
        <v>0</v>
      </c>
      <c r="AJ35" s="1505">
        <f t="shared" si="25"/>
        <v>0</v>
      </c>
      <c r="AK35" s="1535">
        <f t="shared" si="26"/>
        <v>0</v>
      </c>
    </row>
    <row r="36" spans="1:37" ht="16.2" customHeight="1">
      <c r="A36" s="1168">
        <v>30</v>
      </c>
      <c r="B36" s="1169" t="s">
        <v>110</v>
      </c>
      <c r="C36" s="1170">
        <v>0</v>
      </c>
      <c r="D36" s="1171">
        <f>+'Table 5C1A-Madison Prep'!D36</f>
        <v>5804.5327273996763</v>
      </c>
      <c r="E36" s="1172">
        <f t="shared" si="5"/>
        <v>0</v>
      </c>
      <c r="F36" s="1172">
        <f>+'Table 5C1A-Madison Prep'!F36</f>
        <v>727.17</v>
      </c>
      <c r="G36" s="1172">
        <f t="shared" si="6"/>
        <v>0</v>
      </c>
      <c r="H36" s="1540">
        <f t="shared" si="7"/>
        <v>0</v>
      </c>
      <c r="I36" s="1173"/>
      <c r="J36" s="1173"/>
      <c r="K36" s="1174">
        <f t="shared" si="8"/>
        <v>0</v>
      </c>
      <c r="L36" s="1540">
        <f t="shared" si="9"/>
        <v>0</v>
      </c>
      <c r="M36" s="1399">
        <f t="shared" si="4"/>
        <v>0</v>
      </c>
      <c r="N36" s="1540">
        <f t="shared" si="10"/>
        <v>0</v>
      </c>
      <c r="O36" s="1171">
        <v>0</v>
      </c>
      <c r="P36" s="1546">
        <f t="shared" si="11"/>
        <v>0</v>
      </c>
      <c r="Q36" s="1173"/>
      <c r="R36" s="1173">
        <f t="shared" si="12"/>
        <v>0</v>
      </c>
      <c r="S36" s="1546">
        <f t="shared" si="13"/>
        <v>0</v>
      </c>
      <c r="T36" s="1546">
        <f t="shared" si="14"/>
        <v>0</v>
      </c>
      <c r="U36" s="1382">
        <f>'Table 5C1A-Madison Prep'!U36</f>
        <v>3609</v>
      </c>
      <c r="V36" s="1516">
        <f t="shared" si="15"/>
        <v>0</v>
      </c>
      <c r="W36" s="1400"/>
      <c r="X36" s="1383">
        <f t="shared" si="16"/>
        <v>0</v>
      </c>
      <c r="Y36" s="1400"/>
      <c r="Z36" s="1383">
        <f t="shared" si="17"/>
        <v>0</v>
      </c>
      <c r="AA36" s="1384">
        <f t="shared" si="18"/>
        <v>0</v>
      </c>
      <c r="AB36" s="1511">
        <f t="shared" si="19"/>
        <v>0</v>
      </c>
      <c r="AC36" s="1402">
        <f t="shared" si="20"/>
        <v>0</v>
      </c>
      <c r="AD36" s="1511">
        <f t="shared" si="21"/>
        <v>0</v>
      </c>
      <c r="AE36" s="1385">
        <v>0</v>
      </c>
      <c r="AF36" s="1511">
        <f t="shared" si="22"/>
        <v>0</v>
      </c>
      <c r="AG36" s="1385"/>
      <c r="AH36" s="1385">
        <f t="shared" si="23"/>
        <v>0</v>
      </c>
      <c r="AI36" s="1511">
        <f t="shared" si="24"/>
        <v>0</v>
      </c>
      <c r="AJ36" s="1531">
        <f t="shared" si="25"/>
        <v>0</v>
      </c>
      <c r="AK36" s="1536">
        <f t="shared" si="26"/>
        <v>0</v>
      </c>
    </row>
    <row r="37" spans="1:37" ht="16.2" customHeight="1">
      <c r="A37" s="1183">
        <v>31</v>
      </c>
      <c r="B37" s="1184" t="s">
        <v>111</v>
      </c>
      <c r="C37" s="1185">
        <v>0</v>
      </c>
      <c r="D37" s="1186">
        <f>+'Table 5C1A-Madison Prep'!D37</f>
        <v>4520.6176716868531</v>
      </c>
      <c r="E37" s="1187">
        <f t="shared" si="5"/>
        <v>0</v>
      </c>
      <c r="F37" s="1187">
        <f>+'Table 5C1A-Madison Prep'!F37</f>
        <v>620.83000000000004</v>
      </c>
      <c r="G37" s="1187">
        <f t="shared" si="6"/>
        <v>0</v>
      </c>
      <c r="H37" s="1538">
        <f t="shared" si="7"/>
        <v>0</v>
      </c>
      <c r="I37" s="1188"/>
      <c r="J37" s="1188"/>
      <c r="K37" s="1189">
        <f t="shared" si="8"/>
        <v>0</v>
      </c>
      <c r="L37" s="1538">
        <f t="shared" si="9"/>
        <v>0</v>
      </c>
      <c r="M37" s="1372">
        <f t="shared" si="4"/>
        <v>0</v>
      </c>
      <c r="N37" s="1538">
        <f t="shared" si="10"/>
        <v>0</v>
      </c>
      <c r="O37" s="1186">
        <v>0</v>
      </c>
      <c r="P37" s="1544">
        <f t="shared" si="11"/>
        <v>0</v>
      </c>
      <c r="Q37" s="1188"/>
      <c r="R37" s="1188">
        <f t="shared" si="12"/>
        <v>0</v>
      </c>
      <c r="S37" s="1544">
        <f t="shared" si="13"/>
        <v>0</v>
      </c>
      <c r="T37" s="1544">
        <f t="shared" si="14"/>
        <v>0</v>
      </c>
      <c r="U37" s="1373">
        <f>'Table 5C1A-Madison Prep'!U37</f>
        <v>5043</v>
      </c>
      <c r="V37" s="1514">
        <f t="shared" si="15"/>
        <v>0</v>
      </c>
      <c r="W37" s="1375"/>
      <c r="X37" s="1376">
        <f t="shared" si="16"/>
        <v>0</v>
      </c>
      <c r="Y37" s="1375"/>
      <c r="Z37" s="1376">
        <f t="shared" si="17"/>
        <v>0</v>
      </c>
      <c r="AA37" s="1374">
        <f t="shared" si="18"/>
        <v>0</v>
      </c>
      <c r="AB37" s="1509">
        <f t="shared" si="19"/>
        <v>0</v>
      </c>
      <c r="AC37" s="1378">
        <f t="shared" si="20"/>
        <v>0</v>
      </c>
      <c r="AD37" s="1509">
        <f t="shared" si="21"/>
        <v>0</v>
      </c>
      <c r="AE37" s="1379">
        <v>0</v>
      </c>
      <c r="AF37" s="1509">
        <f t="shared" si="22"/>
        <v>0</v>
      </c>
      <c r="AG37" s="1379"/>
      <c r="AH37" s="1379">
        <f t="shared" si="23"/>
        <v>0</v>
      </c>
      <c r="AI37" s="1509">
        <f t="shared" si="24"/>
        <v>0</v>
      </c>
      <c r="AJ37" s="1530">
        <f t="shared" si="25"/>
        <v>0</v>
      </c>
      <c r="AK37" s="1534">
        <f t="shared" si="26"/>
        <v>0</v>
      </c>
    </row>
    <row r="38" spans="1:37" ht="16.2" customHeight="1">
      <c r="A38" s="1176">
        <v>32</v>
      </c>
      <c r="B38" s="1177" t="s">
        <v>112</v>
      </c>
      <c r="C38" s="1178">
        <v>0</v>
      </c>
      <c r="D38" s="1179">
        <f>+'Table 5C1A-Madison Prep'!D38</f>
        <v>5652.819189061127</v>
      </c>
      <c r="E38" s="1180">
        <f t="shared" si="5"/>
        <v>0</v>
      </c>
      <c r="F38" s="1180">
        <f>+'Table 5C1A-Madison Prep'!F38</f>
        <v>559.77</v>
      </c>
      <c r="G38" s="1180">
        <f t="shared" si="6"/>
        <v>0</v>
      </c>
      <c r="H38" s="1539">
        <f t="shared" si="7"/>
        <v>0</v>
      </c>
      <c r="I38" s="1181"/>
      <c r="J38" s="1181"/>
      <c r="K38" s="1182">
        <f t="shared" si="8"/>
        <v>0</v>
      </c>
      <c r="L38" s="1539">
        <f t="shared" si="9"/>
        <v>0</v>
      </c>
      <c r="M38" s="1388">
        <f t="shared" si="4"/>
        <v>0</v>
      </c>
      <c r="N38" s="1539">
        <f t="shared" si="10"/>
        <v>0</v>
      </c>
      <c r="O38" s="1179">
        <v>0</v>
      </c>
      <c r="P38" s="1545">
        <f t="shared" si="11"/>
        <v>0</v>
      </c>
      <c r="Q38" s="1181"/>
      <c r="R38" s="1181">
        <f t="shared" si="12"/>
        <v>0</v>
      </c>
      <c r="S38" s="1545">
        <f t="shared" si="13"/>
        <v>0</v>
      </c>
      <c r="T38" s="1545">
        <f t="shared" si="14"/>
        <v>0</v>
      </c>
      <c r="U38" s="1389">
        <f>'Table 5C1A-Madison Prep'!U38</f>
        <v>2121</v>
      </c>
      <c r="V38" s="1515">
        <f t="shared" si="15"/>
        <v>0</v>
      </c>
      <c r="W38" s="1391"/>
      <c r="X38" s="1392">
        <f t="shared" si="16"/>
        <v>0</v>
      </c>
      <c r="Y38" s="1391"/>
      <c r="Z38" s="1392">
        <f t="shared" si="17"/>
        <v>0</v>
      </c>
      <c r="AA38" s="1390">
        <f t="shared" si="18"/>
        <v>0</v>
      </c>
      <c r="AB38" s="1510">
        <f t="shared" si="19"/>
        <v>0</v>
      </c>
      <c r="AC38" s="1394">
        <f t="shared" si="20"/>
        <v>0</v>
      </c>
      <c r="AD38" s="1510">
        <f t="shared" si="21"/>
        <v>0</v>
      </c>
      <c r="AE38" s="1395">
        <v>0</v>
      </c>
      <c r="AF38" s="1510">
        <f t="shared" si="22"/>
        <v>0</v>
      </c>
      <c r="AG38" s="1395"/>
      <c r="AH38" s="1395">
        <f t="shared" si="23"/>
        <v>0</v>
      </c>
      <c r="AI38" s="1510">
        <f t="shared" si="24"/>
        <v>0</v>
      </c>
      <c r="AJ38" s="1505">
        <f t="shared" si="25"/>
        <v>0</v>
      </c>
      <c r="AK38" s="1535">
        <f t="shared" si="26"/>
        <v>0</v>
      </c>
    </row>
    <row r="39" spans="1:37" ht="16.2" customHeight="1">
      <c r="A39" s="1176">
        <v>33</v>
      </c>
      <c r="B39" s="1177" t="s">
        <v>113</v>
      </c>
      <c r="C39" s="1178">
        <v>0</v>
      </c>
      <c r="D39" s="1179">
        <f>+'Table 5C1A-Madison Prep'!D39</f>
        <v>5456.2254558085233</v>
      </c>
      <c r="E39" s="1180">
        <f t="shared" si="5"/>
        <v>0</v>
      </c>
      <c r="F39" s="1180">
        <f>+'Table 5C1A-Madison Prep'!F39</f>
        <v>655.31000000000006</v>
      </c>
      <c r="G39" s="1180">
        <f t="shared" si="6"/>
        <v>0</v>
      </c>
      <c r="H39" s="1539">
        <f t="shared" si="7"/>
        <v>0</v>
      </c>
      <c r="I39" s="1181"/>
      <c r="J39" s="1181"/>
      <c r="K39" s="1182">
        <f t="shared" si="8"/>
        <v>0</v>
      </c>
      <c r="L39" s="1539">
        <f t="shared" si="9"/>
        <v>0</v>
      </c>
      <c r="M39" s="1388">
        <f t="shared" si="4"/>
        <v>0</v>
      </c>
      <c r="N39" s="1539">
        <f t="shared" si="10"/>
        <v>0</v>
      </c>
      <c r="O39" s="1179">
        <v>0</v>
      </c>
      <c r="P39" s="1545">
        <f t="shared" si="11"/>
        <v>0</v>
      </c>
      <c r="Q39" s="1181"/>
      <c r="R39" s="1181">
        <f t="shared" si="12"/>
        <v>0</v>
      </c>
      <c r="S39" s="1545">
        <f t="shared" si="13"/>
        <v>0</v>
      </c>
      <c r="T39" s="1545">
        <f t="shared" si="14"/>
        <v>0</v>
      </c>
      <c r="U39" s="1389">
        <f>'Table 5C1A-Madison Prep'!U39</f>
        <v>3616</v>
      </c>
      <c r="V39" s="1515">
        <f t="shared" si="15"/>
        <v>0</v>
      </c>
      <c r="W39" s="1391"/>
      <c r="X39" s="1392">
        <f t="shared" si="16"/>
        <v>0</v>
      </c>
      <c r="Y39" s="1391"/>
      <c r="Z39" s="1392">
        <f t="shared" si="17"/>
        <v>0</v>
      </c>
      <c r="AA39" s="1390">
        <f t="shared" si="18"/>
        <v>0</v>
      </c>
      <c r="AB39" s="1510">
        <f t="shared" si="19"/>
        <v>0</v>
      </c>
      <c r="AC39" s="1394">
        <f t="shared" si="20"/>
        <v>0</v>
      </c>
      <c r="AD39" s="1510">
        <f t="shared" si="21"/>
        <v>0</v>
      </c>
      <c r="AE39" s="1395">
        <v>0</v>
      </c>
      <c r="AF39" s="1510">
        <f t="shared" si="22"/>
        <v>0</v>
      </c>
      <c r="AG39" s="1395"/>
      <c r="AH39" s="1395">
        <f t="shared" si="23"/>
        <v>0</v>
      </c>
      <c r="AI39" s="1510">
        <f t="shared" si="24"/>
        <v>0</v>
      </c>
      <c r="AJ39" s="1505">
        <f t="shared" si="25"/>
        <v>0</v>
      </c>
      <c r="AK39" s="1535">
        <f t="shared" si="26"/>
        <v>0</v>
      </c>
    </row>
    <row r="40" spans="1:37" ht="16.2" customHeight="1">
      <c r="A40" s="1176">
        <v>34</v>
      </c>
      <c r="B40" s="1177" t="s">
        <v>114</v>
      </c>
      <c r="C40" s="1178">
        <v>0</v>
      </c>
      <c r="D40" s="1179">
        <f>+'Table 5C1A-Madison Prep'!D40</f>
        <v>6292.0976842789005</v>
      </c>
      <c r="E40" s="1180">
        <f t="shared" si="5"/>
        <v>0</v>
      </c>
      <c r="F40" s="1180">
        <f>+'Table 5C1A-Madison Prep'!F40</f>
        <v>644.11000000000013</v>
      </c>
      <c r="G40" s="1180">
        <f t="shared" si="6"/>
        <v>0</v>
      </c>
      <c r="H40" s="1539">
        <f t="shared" si="7"/>
        <v>0</v>
      </c>
      <c r="I40" s="1181"/>
      <c r="J40" s="1181"/>
      <c r="K40" s="1182">
        <f t="shared" si="8"/>
        <v>0</v>
      </c>
      <c r="L40" s="1539">
        <f t="shared" si="9"/>
        <v>0</v>
      </c>
      <c r="M40" s="1388">
        <f t="shared" si="4"/>
        <v>0</v>
      </c>
      <c r="N40" s="1539">
        <f t="shared" si="10"/>
        <v>0</v>
      </c>
      <c r="O40" s="1179">
        <v>0</v>
      </c>
      <c r="P40" s="1545">
        <f t="shared" si="11"/>
        <v>0</v>
      </c>
      <c r="Q40" s="1181"/>
      <c r="R40" s="1181">
        <f t="shared" si="12"/>
        <v>0</v>
      </c>
      <c r="S40" s="1545">
        <f t="shared" si="13"/>
        <v>0</v>
      </c>
      <c r="T40" s="1545">
        <f t="shared" si="14"/>
        <v>0</v>
      </c>
      <c r="U40" s="1389">
        <f>'Table 5C1A-Madison Prep'!U40</f>
        <v>2721</v>
      </c>
      <c r="V40" s="1515">
        <f t="shared" si="15"/>
        <v>0</v>
      </c>
      <c r="W40" s="1391"/>
      <c r="X40" s="1392">
        <f t="shared" si="16"/>
        <v>0</v>
      </c>
      <c r="Y40" s="1391"/>
      <c r="Z40" s="1392">
        <f t="shared" si="17"/>
        <v>0</v>
      </c>
      <c r="AA40" s="1390">
        <f t="shared" si="18"/>
        <v>0</v>
      </c>
      <c r="AB40" s="1510">
        <f t="shared" si="19"/>
        <v>0</v>
      </c>
      <c r="AC40" s="1394">
        <f t="shared" si="20"/>
        <v>0</v>
      </c>
      <c r="AD40" s="1510">
        <f t="shared" si="21"/>
        <v>0</v>
      </c>
      <c r="AE40" s="1395">
        <v>0</v>
      </c>
      <c r="AF40" s="1510">
        <f t="shared" si="22"/>
        <v>0</v>
      </c>
      <c r="AG40" s="1395"/>
      <c r="AH40" s="1395">
        <f t="shared" si="23"/>
        <v>0</v>
      </c>
      <c r="AI40" s="1510">
        <f t="shared" si="24"/>
        <v>0</v>
      </c>
      <c r="AJ40" s="1505">
        <f t="shared" si="25"/>
        <v>0</v>
      </c>
      <c r="AK40" s="1535">
        <f t="shared" si="26"/>
        <v>0</v>
      </c>
    </row>
    <row r="41" spans="1:37" ht="16.2" customHeight="1">
      <c r="A41" s="1168">
        <v>35</v>
      </c>
      <c r="B41" s="1169" t="s">
        <v>115</v>
      </c>
      <c r="C41" s="1170">
        <v>0</v>
      </c>
      <c r="D41" s="1171">
        <f>+'Table 5C1A-Madison Prep'!D41</f>
        <v>5166.2482060477605</v>
      </c>
      <c r="E41" s="1172">
        <f t="shared" si="5"/>
        <v>0</v>
      </c>
      <c r="F41" s="1172">
        <f>+'Table 5C1A-Madison Prep'!F41</f>
        <v>537.96</v>
      </c>
      <c r="G41" s="1172">
        <f t="shared" si="6"/>
        <v>0</v>
      </c>
      <c r="H41" s="1540">
        <f t="shared" si="7"/>
        <v>0</v>
      </c>
      <c r="I41" s="1173"/>
      <c r="J41" s="1173"/>
      <c r="K41" s="1174">
        <f t="shared" si="8"/>
        <v>0</v>
      </c>
      <c r="L41" s="1540">
        <f t="shared" si="9"/>
        <v>0</v>
      </c>
      <c r="M41" s="1399">
        <f t="shared" si="4"/>
        <v>0</v>
      </c>
      <c r="N41" s="1540">
        <f t="shared" si="10"/>
        <v>0</v>
      </c>
      <c r="O41" s="1171">
        <v>0</v>
      </c>
      <c r="P41" s="1546">
        <f t="shared" si="11"/>
        <v>0</v>
      </c>
      <c r="Q41" s="1173"/>
      <c r="R41" s="1173">
        <f t="shared" si="12"/>
        <v>0</v>
      </c>
      <c r="S41" s="1546">
        <f t="shared" si="13"/>
        <v>0</v>
      </c>
      <c r="T41" s="1546">
        <f t="shared" si="14"/>
        <v>0</v>
      </c>
      <c r="U41" s="1382">
        <f>'Table 5C1A-Madison Prep'!U41</f>
        <v>3255</v>
      </c>
      <c r="V41" s="1516">
        <f t="shared" si="15"/>
        <v>0</v>
      </c>
      <c r="W41" s="1400"/>
      <c r="X41" s="1383">
        <f t="shared" si="16"/>
        <v>0</v>
      </c>
      <c r="Y41" s="1400"/>
      <c r="Z41" s="1383">
        <f t="shared" si="17"/>
        <v>0</v>
      </c>
      <c r="AA41" s="1384">
        <f t="shared" si="18"/>
        <v>0</v>
      </c>
      <c r="AB41" s="1511">
        <f t="shared" si="19"/>
        <v>0</v>
      </c>
      <c r="AC41" s="1402">
        <f t="shared" si="20"/>
        <v>0</v>
      </c>
      <c r="AD41" s="1511">
        <f t="shared" si="21"/>
        <v>0</v>
      </c>
      <c r="AE41" s="1385">
        <v>0</v>
      </c>
      <c r="AF41" s="1511">
        <f t="shared" si="22"/>
        <v>0</v>
      </c>
      <c r="AG41" s="1385"/>
      <c r="AH41" s="1385">
        <f t="shared" si="23"/>
        <v>0</v>
      </c>
      <c r="AI41" s="1511">
        <f t="shared" si="24"/>
        <v>0</v>
      </c>
      <c r="AJ41" s="1531">
        <f t="shared" si="25"/>
        <v>0</v>
      </c>
      <c r="AK41" s="1536">
        <f t="shared" si="26"/>
        <v>0</v>
      </c>
    </row>
    <row r="42" spans="1:37" ht="16.2" customHeight="1">
      <c r="A42" s="1183">
        <v>36</v>
      </c>
      <c r="B42" s="1184" t="s">
        <v>116</v>
      </c>
      <c r="C42" s="1185">
        <v>0</v>
      </c>
      <c r="D42" s="1186">
        <f>+'Table 5C1A-Madison Prep'!D42</f>
        <v>3602.7009974327857</v>
      </c>
      <c r="E42" s="1187">
        <f t="shared" si="5"/>
        <v>0</v>
      </c>
      <c r="F42" s="1187">
        <f>+'Table 5C1A-Madison Prep'!F42</f>
        <v>746.0335616438357</v>
      </c>
      <c r="G42" s="1187">
        <f t="shared" si="6"/>
        <v>0</v>
      </c>
      <c r="H42" s="1538">
        <f t="shared" si="7"/>
        <v>0</v>
      </c>
      <c r="I42" s="1188"/>
      <c r="J42" s="1188"/>
      <c r="K42" s="1189">
        <f t="shared" si="8"/>
        <v>0</v>
      </c>
      <c r="L42" s="1538">
        <f t="shared" si="9"/>
        <v>0</v>
      </c>
      <c r="M42" s="1372">
        <f t="shared" si="4"/>
        <v>0</v>
      </c>
      <c r="N42" s="1538">
        <f t="shared" si="10"/>
        <v>0</v>
      </c>
      <c r="O42" s="1186">
        <v>0</v>
      </c>
      <c r="P42" s="1544">
        <f t="shared" si="11"/>
        <v>0</v>
      </c>
      <c r="Q42" s="1188"/>
      <c r="R42" s="1188">
        <f t="shared" si="12"/>
        <v>0</v>
      </c>
      <c r="S42" s="1544">
        <f t="shared" si="13"/>
        <v>0</v>
      </c>
      <c r="T42" s="1544">
        <f t="shared" si="14"/>
        <v>0</v>
      </c>
      <c r="U42" s="1373">
        <f>'Table 5C1A-Madison Prep'!U42</f>
        <v>5435</v>
      </c>
      <c r="V42" s="1514">
        <f t="shared" si="15"/>
        <v>0</v>
      </c>
      <c r="W42" s="1375"/>
      <c r="X42" s="1376">
        <f t="shared" si="16"/>
        <v>0</v>
      </c>
      <c r="Y42" s="1375"/>
      <c r="Z42" s="1376">
        <f t="shared" si="17"/>
        <v>0</v>
      </c>
      <c r="AA42" s="1374">
        <f t="shared" si="18"/>
        <v>0</v>
      </c>
      <c r="AB42" s="1509">
        <f t="shared" si="19"/>
        <v>0</v>
      </c>
      <c r="AC42" s="1378">
        <f t="shared" si="20"/>
        <v>0</v>
      </c>
      <c r="AD42" s="1509">
        <f t="shared" si="21"/>
        <v>0</v>
      </c>
      <c r="AE42" s="1379">
        <v>0</v>
      </c>
      <c r="AF42" s="1509">
        <f t="shared" si="22"/>
        <v>0</v>
      </c>
      <c r="AG42" s="1379"/>
      <c r="AH42" s="1379">
        <f t="shared" si="23"/>
        <v>0</v>
      </c>
      <c r="AI42" s="1509">
        <f t="shared" si="24"/>
        <v>0</v>
      </c>
      <c r="AJ42" s="1530">
        <f t="shared" si="25"/>
        <v>0</v>
      </c>
      <c r="AK42" s="1534">
        <f t="shared" si="26"/>
        <v>0</v>
      </c>
    </row>
    <row r="43" spans="1:37" ht="16.2" customHeight="1">
      <c r="A43" s="1176">
        <v>37</v>
      </c>
      <c r="B43" s="1177" t="s">
        <v>117</v>
      </c>
      <c r="C43" s="1178">
        <v>0</v>
      </c>
      <c r="D43" s="1179">
        <f>+'Table 5C1A-Madison Prep'!D43</f>
        <v>5665.3839260317691</v>
      </c>
      <c r="E43" s="1180">
        <f t="shared" si="5"/>
        <v>0</v>
      </c>
      <c r="F43" s="1180">
        <f>+'Table 5C1A-Madison Prep'!F43</f>
        <v>653.61</v>
      </c>
      <c r="G43" s="1180">
        <f t="shared" si="6"/>
        <v>0</v>
      </c>
      <c r="H43" s="1539">
        <f t="shared" si="7"/>
        <v>0</v>
      </c>
      <c r="I43" s="1181"/>
      <c r="J43" s="1181"/>
      <c r="K43" s="1182">
        <f t="shared" si="8"/>
        <v>0</v>
      </c>
      <c r="L43" s="1539">
        <f t="shared" si="9"/>
        <v>0</v>
      </c>
      <c r="M43" s="1388">
        <f t="shared" si="4"/>
        <v>0</v>
      </c>
      <c r="N43" s="1539">
        <f t="shared" si="10"/>
        <v>0</v>
      </c>
      <c r="O43" s="1179">
        <v>0</v>
      </c>
      <c r="P43" s="1545">
        <f t="shared" si="11"/>
        <v>0</v>
      </c>
      <c r="Q43" s="1181"/>
      <c r="R43" s="1181">
        <f t="shared" si="12"/>
        <v>0</v>
      </c>
      <c r="S43" s="1545">
        <f t="shared" si="13"/>
        <v>0</v>
      </c>
      <c r="T43" s="1545">
        <f t="shared" si="14"/>
        <v>0</v>
      </c>
      <c r="U43" s="1389">
        <f>'Table 5C1A-Madison Prep'!U43</f>
        <v>3520</v>
      </c>
      <c r="V43" s="1515">
        <f t="shared" si="15"/>
        <v>0</v>
      </c>
      <c r="W43" s="1391"/>
      <c r="X43" s="1392">
        <f t="shared" si="16"/>
        <v>0</v>
      </c>
      <c r="Y43" s="1391"/>
      <c r="Z43" s="1392">
        <f t="shared" si="17"/>
        <v>0</v>
      </c>
      <c r="AA43" s="1390">
        <f t="shared" si="18"/>
        <v>0</v>
      </c>
      <c r="AB43" s="1510">
        <f t="shared" si="19"/>
        <v>0</v>
      </c>
      <c r="AC43" s="1394">
        <f t="shared" si="20"/>
        <v>0</v>
      </c>
      <c r="AD43" s="1510">
        <f t="shared" si="21"/>
        <v>0</v>
      </c>
      <c r="AE43" s="1395">
        <v>0</v>
      </c>
      <c r="AF43" s="1510">
        <f t="shared" si="22"/>
        <v>0</v>
      </c>
      <c r="AG43" s="1395"/>
      <c r="AH43" s="1395">
        <f t="shared" si="23"/>
        <v>0</v>
      </c>
      <c r="AI43" s="1510">
        <f t="shared" si="24"/>
        <v>0</v>
      </c>
      <c r="AJ43" s="1505">
        <f t="shared" si="25"/>
        <v>0</v>
      </c>
      <c r="AK43" s="1535">
        <f t="shared" si="26"/>
        <v>0</v>
      </c>
    </row>
    <row r="44" spans="1:37" ht="16.2" customHeight="1">
      <c r="A44" s="1176">
        <v>38</v>
      </c>
      <c r="B44" s="1177" t="s">
        <v>118</v>
      </c>
      <c r="C44" s="1178">
        <v>0</v>
      </c>
      <c r="D44" s="1179">
        <f>+'Table 5C1A-Madison Prep'!D44</f>
        <v>2088.8017552916881</v>
      </c>
      <c r="E44" s="1180">
        <f t="shared" si="5"/>
        <v>0</v>
      </c>
      <c r="F44" s="1180">
        <f>+'Table 5C1A-Madison Prep'!F44</f>
        <v>829.92000000000007</v>
      </c>
      <c r="G44" s="1180">
        <f t="shared" si="6"/>
        <v>0</v>
      </c>
      <c r="H44" s="1539">
        <f t="shared" si="7"/>
        <v>0</v>
      </c>
      <c r="I44" s="1181"/>
      <c r="J44" s="1181"/>
      <c r="K44" s="1182">
        <f t="shared" si="8"/>
        <v>0</v>
      </c>
      <c r="L44" s="1539">
        <f t="shared" si="9"/>
        <v>0</v>
      </c>
      <c r="M44" s="1388">
        <f t="shared" si="4"/>
        <v>0</v>
      </c>
      <c r="N44" s="1539">
        <f t="shared" si="10"/>
        <v>0</v>
      </c>
      <c r="O44" s="1179">
        <v>0</v>
      </c>
      <c r="P44" s="1545">
        <f t="shared" si="11"/>
        <v>0</v>
      </c>
      <c r="Q44" s="1181"/>
      <c r="R44" s="1181">
        <f t="shared" si="12"/>
        <v>0</v>
      </c>
      <c r="S44" s="1545">
        <f t="shared" si="13"/>
        <v>0</v>
      </c>
      <c r="T44" s="1545">
        <f t="shared" si="14"/>
        <v>0</v>
      </c>
      <c r="U44" s="1389">
        <f>'Table 5C1A-Madison Prep'!U44</f>
        <v>11379</v>
      </c>
      <c r="V44" s="1515">
        <f t="shared" si="15"/>
        <v>0</v>
      </c>
      <c r="W44" s="1391"/>
      <c r="X44" s="1392">
        <f t="shared" si="16"/>
        <v>0</v>
      </c>
      <c r="Y44" s="1391"/>
      <c r="Z44" s="1392">
        <f t="shared" si="17"/>
        <v>0</v>
      </c>
      <c r="AA44" s="1390">
        <f t="shared" si="18"/>
        <v>0</v>
      </c>
      <c r="AB44" s="1510">
        <f t="shared" si="19"/>
        <v>0</v>
      </c>
      <c r="AC44" s="1394">
        <f t="shared" si="20"/>
        <v>0</v>
      </c>
      <c r="AD44" s="1510">
        <f t="shared" si="21"/>
        <v>0</v>
      </c>
      <c r="AE44" s="1395">
        <v>0</v>
      </c>
      <c r="AF44" s="1510">
        <f t="shared" si="22"/>
        <v>0</v>
      </c>
      <c r="AG44" s="1395"/>
      <c r="AH44" s="1395">
        <f t="shared" si="23"/>
        <v>0</v>
      </c>
      <c r="AI44" s="1510">
        <f t="shared" si="24"/>
        <v>0</v>
      </c>
      <c r="AJ44" s="1505">
        <f t="shared" si="25"/>
        <v>0</v>
      </c>
      <c r="AK44" s="1535">
        <f t="shared" si="26"/>
        <v>0</v>
      </c>
    </row>
    <row r="45" spans="1:37" ht="16.2" customHeight="1">
      <c r="A45" s="1176">
        <v>39</v>
      </c>
      <c r="B45" s="1177" t="s">
        <v>119</v>
      </c>
      <c r="C45" s="1178">
        <v>0</v>
      </c>
      <c r="D45" s="1179">
        <f>+'Table 5C1A-Madison Prep'!D45</f>
        <v>3656.9056809295676</v>
      </c>
      <c r="E45" s="1180">
        <f t="shared" si="5"/>
        <v>0</v>
      </c>
      <c r="F45" s="1180">
        <f>+'Table 5C1A-Madison Prep'!F45</f>
        <v>779.65573042776396</v>
      </c>
      <c r="G45" s="1180">
        <f t="shared" si="6"/>
        <v>0</v>
      </c>
      <c r="H45" s="1539">
        <f t="shared" si="7"/>
        <v>0</v>
      </c>
      <c r="I45" s="1181"/>
      <c r="J45" s="1181"/>
      <c r="K45" s="1182">
        <f t="shared" si="8"/>
        <v>0</v>
      </c>
      <c r="L45" s="1539">
        <f t="shared" si="9"/>
        <v>0</v>
      </c>
      <c r="M45" s="1388">
        <f t="shared" si="4"/>
        <v>0</v>
      </c>
      <c r="N45" s="1539">
        <f t="shared" si="10"/>
        <v>0</v>
      </c>
      <c r="O45" s="1179">
        <v>0</v>
      </c>
      <c r="P45" s="1545">
        <f t="shared" si="11"/>
        <v>0</v>
      </c>
      <c r="Q45" s="1181"/>
      <c r="R45" s="1181">
        <f t="shared" si="12"/>
        <v>0</v>
      </c>
      <c r="S45" s="1545">
        <f t="shared" si="13"/>
        <v>0</v>
      </c>
      <c r="T45" s="1545">
        <f t="shared" si="14"/>
        <v>0</v>
      </c>
      <c r="U45" s="1389">
        <f>'Table 5C1A-Madison Prep'!U45</f>
        <v>4955</v>
      </c>
      <c r="V45" s="1515">
        <f t="shared" si="15"/>
        <v>0</v>
      </c>
      <c r="W45" s="1391"/>
      <c r="X45" s="1392">
        <f t="shared" si="16"/>
        <v>0</v>
      </c>
      <c r="Y45" s="1391"/>
      <c r="Z45" s="1392">
        <f t="shared" si="17"/>
        <v>0</v>
      </c>
      <c r="AA45" s="1390">
        <f t="shared" si="18"/>
        <v>0</v>
      </c>
      <c r="AB45" s="1510">
        <f t="shared" si="19"/>
        <v>0</v>
      </c>
      <c r="AC45" s="1394">
        <f t="shared" si="20"/>
        <v>0</v>
      </c>
      <c r="AD45" s="1510">
        <f t="shared" si="21"/>
        <v>0</v>
      </c>
      <c r="AE45" s="1395">
        <v>0</v>
      </c>
      <c r="AF45" s="1510">
        <f t="shared" si="22"/>
        <v>0</v>
      </c>
      <c r="AG45" s="1395"/>
      <c r="AH45" s="1395">
        <f t="shared" si="23"/>
        <v>0</v>
      </c>
      <c r="AI45" s="1510">
        <f t="shared" si="24"/>
        <v>0</v>
      </c>
      <c r="AJ45" s="1505">
        <f t="shared" si="25"/>
        <v>0</v>
      </c>
      <c r="AK45" s="1535">
        <f t="shared" si="26"/>
        <v>0</v>
      </c>
    </row>
    <row r="46" spans="1:37" ht="16.2" customHeight="1">
      <c r="A46" s="1168">
        <v>40</v>
      </c>
      <c r="B46" s="1169" t="s">
        <v>120</v>
      </c>
      <c r="C46" s="1170">
        <v>0</v>
      </c>
      <c r="D46" s="1171">
        <f>+'Table 5C1A-Madison Prep'!D46</f>
        <v>5121.8110285698403</v>
      </c>
      <c r="E46" s="1172">
        <f t="shared" si="5"/>
        <v>0</v>
      </c>
      <c r="F46" s="1172">
        <f>+'Table 5C1A-Madison Prep'!F46</f>
        <v>700.2700000000001</v>
      </c>
      <c r="G46" s="1172">
        <f t="shared" si="6"/>
        <v>0</v>
      </c>
      <c r="H46" s="1540">
        <f t="shared" si="7"/>
        <v>0</v>
      </c>
      <c r="I46" s="1173"/>
      <c r="J46" s="1173"/>
      <c r="K46" s="1174">
        <f t="shared" si="8"/>
        <v>0</v>
      </c>
      <c r="L46" s="1540">
        <f t="shared" si="9"/>
        <v>0</v>
      </c>
      <c r="M46" s="1399">
        <f t="shared" si="4"/>
        <v>0</v>
      </c>
      <c r="N46" s="1540">
        <f t="shared" si="10"/>
        <v>0</v>
      </c>
      <c r="O46" s="1171">
        <v>0</v>
      </c>
      <c r="P46" s="1546">
        <f t="shared" si="11"/>
        <v>0</v>
      </c>
      <c r="Q46" s="1173"/>
      <c r="R46" s="1173">
        <f t="shared" si="12"/>
        <v>0</v>
      </c>
      <c r="S46" s="1546">
        <f t="shared" si="13"/>
        <v>0</v>
      </c>
      <c r="T46" s="1546">
        <f t="shared" si="14"/>
        <v>0</v>
      </c>
      <c r="U46" s="1382">
        <f>'Table 5C1A-Madison Prep'!U46</f>
        <v>3069</v>
      </c>
      <c r="V46" s="1516">
        <f t="shared" si="15"/>
        <v>0</v>
      </c>
      <c r="W46" s="1400"/>
      <c r="X46" s="1383">
        <f t="shared" si="16"/>
        <v>0</v>
      </c>
      <c r="Y46" s="1400"/>
      <c r="Z46" s="1383">
        <f t="shared" si="17"/>
        <v>0</v>
      </c>
      <c r="AA46" s="1384">
        <f t="shared" si="18"/>
        <v>0</v>
      </c>
      <c r="AB46" s="1511">
        <f t="shared" si="19"/>
        <v>0</v>
      </c>
      <c r="AC46" s="1402">
        <f t="shared" si="20"/>
        <v>0</v>
      </c>
      <c r="AD46" s="1511">
        <f t="shared" si="21"/>
        <v>0</v>
      </c>
      <c r="AE46" s="1385">
        <v>0</v>
      </c>
      <c r="AF46" s="1511">
        <f t="shared" si="22"/>
        <v>0</v>
      </c>
      <c r="AG46" s="1385"/>
      <c r="AH46" s="1385">
        <f t="shared" si="23"/>
        <v>0</v>
      </c>
      <c r="AI46" s="1511">
        <f t="shared" si="24"/>
        <v>0</v>
      </c>
      <c r="AJ46" s="1531">
        <f t="shared" si="25"/>
        <v>0</v>
      </c>
      <c r="AK46" s="1536">
        <f t="shared" si="26"/>
        <v>0</v>
      </c>
    </row>
    <row r="47" spans="1:37" ht="16.2" customHeight="1">
      <c r="A47" s="1183">
        <v>41</v>
      </c>
      <c r="B47" s="1184" t="s">
        <v>121</v>
      </c>
      <c r="C47" s="1185">
        <v>0</v>
      </c>
      <c r="D47" s="1186">
        <f>+'Table 5C1A-Madison Prep'!D47</f>
        <v>3291.1948574716475</v>
      </c>
      <c r="E47" s="1187">
        <f t="shared" si="5"/>
        <v>0</v>
      </c>
      <c r="F47" s="1187">
        <f>+'Table 5C1A-Madison Prep'!F47</f>
        <v>886.22</v>
      </c>
      <c r="G47" s="1187">
        <f t="shared" si="6"/>
        <v>0</v>
      </c>
      <c r="H47" s="1538">
        <f t="shared" si="7"/>
        <v>0</v>
      </c>
      <c r="I47" s="1188"/>
      <c r="J47" s="1188"/>
      <c r="K47" s="1189">
        <f t="shared" si="8"/>
        <v>0</v>
      </c>
      <c r="L47" s="1538">
        <f t="shared" si="9"/>
        <v>0</v>
      </c>
      <c r="M47" s="1372">
        <f t="shared" si="4"/>
        <v>0</v>
      </c>
      <c r="N47" s="1538">
        <f t="shared" si="10"/>
        <v>0</v>
      </c>
      <c r="O47" s="1186">
        <v>0</v>
      </c>
      <c r="P47" s="1544">
        <f t="shared" si="11"/>
        <v>0</v>
      </c>
      <c r="Q47" s="1188"/>
      <c r="R47" s="1188">
        <f t="shared" si="12"/>
        <v>0</v>
      </c>
      <c r="S47" s="1544">
        <f t="shared" si="13"/>
        <v>0</v>
      </c>
      <c r="T47" s="1544">
        <f t="shared" si="14"/>
        <v>0</v>
      </c>
      <c r="U47" s="1373">
        <f>'Table 5C1A-Madison Prep'!U47</f>
        <v>8478</v>
      </c>
      <c r="V47" s="1514">
        <f t="shared" si="15"/>
        <v>0</v>
      </c>
      <c r="W47" s="1375"/>
      <c r="X47" s="1376">
        <f t="shared" si="16"/>
        <v>0</v>
      </c>
      <c r="Y47" s="1375"/>
      <c r="Z47" s="1376">
        <f t="shared" si="17"/>
        <v>0</v>
      </c>
      <c r="AA47" s="1374">
        <f t="shared" si="18"/>
        <v>0</v>
      </c>
      <c r="AB47" s="1509">
        <f t="shared" si="19"/>
        <v>0</v>
      </c>
      <c r="AC47" s="1378">
        <f t="shared" si="20"/>
        <v>0</v>
      </c>
      <c r="AD47" s="1509">
        <f t="shared" si="21"/>
        <v>0</v>
      </c>
      <c r="AE47" s="1379">
        <v>0</v>
      </c>
      <c r="AF47" s="1509">
        <f t="shared" si="22"/>
        <v>0</v>
      </c>
      <c r="AG47" s="1379"/>
      <c r="AH47" s="1379">
        <f t="shared" si="23"/>
        <v>0</v>
      </c>
      <c r="AI47" s="1509">
        <f t="shared" si="24"/>
        <v>0</v>
      </c>
      <c r="AJ47" s="1530">
        <f t="shared" si="25"/>
        <v>0</v>
      </c>
      <c r="AK47" s="1534">
        <f t="shared" si="26"/>
        <v>0</v>
      </c>
    </row>
    <row r="48" spans="1:37" ht="16.2" customHeight="1">
      <c r="A48" s="1176">
        <v>42</v>
      </c>
      <c r="B48" s="1177" t="s">
        <v>122</v>
      </c>
      <c r="C48" s="1178">
        <v>0</v>
      </c>
      <c r="D48" s="1179">
        <f>+'Table 5C1A-Madison Prep'!D48</f>
        <v>5113.6077751368684</v>
      </c>
      <c r="E48" s="1180">
        <f t="shared" si="5"/>
        <v>0</v>
      </c>
      <c r="F48" s="1180">
        <f>+'Table 5C1A-Madison Prep'!F48</f>
        <v>534.28</v>
      </c>
      <c r="G48" s="1180">
        <f t="shared" si="6"/>
        <v>0</v>
      </c>
      <c r="H48" s="1539">
        <f t="shared" si="7"/>
        <v>0</v>
      </c>
      <c r="I48" s="1181"/>
      <c r="J48" s="1181"/>
      <c r="K48" s="1182">
        <f t="shared" si="8"/>
        <v>0</v>
      </c>
      <c r="L48" s="1539">
        <f t="shared" si="9"/>
        <v>0</v>
      </c>
      <c r="M48" s="1388">
        <f t="shared" si="4"/>
        <v>0</v>
      </c>
      <c r="N48" s="1539">
        <f t="shared" si="10"/>
        <v>0</v>
      </c>
      <c r="O48" s="1179">
        <v>0</v>
      </c>
      <c r="P48" s="1545">
        <f t="shared" si="11"/>
        <v>0</v>
      </c>
      <c r="Q48" s="1181"/>
      <c r="R48" s="1181">
        <f t="shared" si="12"/>
        <v>0</v>
      </c>
      <c r="S48" s="1545">
        <f t="shared" si="13"/>
        <v>0</v>
      </c>
      <c r="T48" s="1545">
        <f t="shared" si="14"/>
        <v>0</v>
      </c>
      <c r="U48" s="1389">
        <f>'Table 5C1A-Madison Prep'!U48</f>
        <v>3578</v>
      </c>
      <c r="V48" s="1515">
        <f t="shared" si="15"/>
        <v>0</v>
      </c>
      <c r="W48" s="1391"/>
      <c r="X48" s="1392">
        <f t="shared" si="16"/>
        <v>0</v>
      </c>
      <c r="Y48" s="1391"/>
      <c r="Z48" s="1392">
        <f t="shared" si="17"/>
        <v>0</v>
      </c>
      <c r="AA48" s="1390">
        <f t="shared" si="18"/>
        <v>0</v>
      </c>
      <c r="AB48" s="1510">
        <f t="shared" si="19"/>
        <v>0</v>
      </c>
      <c r="AC48" s="1394">
        <f t="shared" si="20"/>
        <v>0</v>
      </c>
      <c r="AD48" s="1510">
        <f t="shared" si="21"/>
        <v>0</v>
      </c>
      <c r="AE48" s="1395">
        <v>0</v>
      </c>
      <c r="AF48" s="1510">
        <f t="shared" si="22"/>
        <v>0</v>
      </c>
      <c r="AG48" s="1395"/>
      <c r="AH48" s="1395">
        <f t="shared" si="23"/>
        <v>0</v>
      </c>
      <c r="AI48" s="1510">
        <f t="shared" si="24"/>
        <v>0</v>
      </c>
      <c r="AJ48" s="1505">
        <f t="shared" si="25"/>
        <v>0</v>
      </c>
      <c r="AK48" s="1535">
        <f t="shared" si="26"/>
        <v>0</v>
      </c>
    </row>
    <row r="49" spans="1:37" ht="16.2" customHeight="1">
      <c r="A49" s="1176">
        <v>43</v>
      </c>
      <c r="B49" s="1177" t="s">
        <v>123</v>
      </c>
      <c r="C49" s="1178">
        <v>0</v>
      </c>
      <c r="D49" s="1179">
        <f>+'Table 5C1A-Madison Prep'!D49</f>
        <v>5788.74387205947</v>
      </c>
      <c r="E49" s="1180">
        <f t="shared" si="5"/>
        <v>0</v>
      </c>
      <c r="F49" s="1180">
        <f>+'Table 5C1A-Madison Prep'!F49</f>
        <v>574.6099999999999</v>
      </c>
      <c r="G49" s="1180">
        <f t="shared" si="6"/>
        <v>0</v>
      </c>
      <c r="H49" s="1539">
        <f t="shared" si="7"/>
        <v>0</v>
      </c>
      <c r="I49" s="1181"/>
      <c r="J49" s="1181"/>
      <c r="K49" s="1182">
        <f t="shared" si="8"/>
        <v>0</v>
      </c>
      <c r="L49" s="1539">
        <f t="shared" si="9"/>
        <v>0</v>
      </c>
      <c r="M49" s="1388">
        <f t="shared" si="4"/>
        <v>0</v>
      </c>
      <c r="N49" s="1539">
        <f t="shared" si="10"/>
        <v>0</v>
      </c>
      <c r="O49" s="1179">
        <v>0</v>
      </c>
      <c r="P49" s="1545">
        <f t="shared" si="11"/>
        <v>0</v>
      </c>
      <c r="Q49" s="1181"/>
      <c r="R49" s="1181">
        <f t="shared" si="12"/>
        <v>0</v>
      </c>
      <c r="S49" s="1545">
        <f t="shared" si="13"/>
        <v>0</v>
      </c>
      <c r="T49" s="1545">
        <f t="shared" si="14"/>
        <v>0</v>
      </c>
      <c r="U49" s="1389">
        <f>'Table 5C1A-Madison Prep'!U49</f>
        <v>3205</v>
      </c>
      <c r="V49" s="1515">
        <f t="shared" si="15"/>
        <v>0</v>
      </c>
      <c r="W49" s="1391"/>
      <c r="X49" s="1392">
        <f t="shared" si="16"/>
        <v>0</v>
      </c>
      <c r="Y49" s="1391"/>
      <c r="Z49" s="1392">
        <f t="shared" si="17"/>
        <v>0</v>
      </c>
      <c r="AA49" s="1390">
        <f t="shared" si="18"/>
        <v>0</v>
      </c>
      <c r="AB49" s="1510">
        <f t="shared" si="19"/>
        <v>0</v>
      </c>
      <c r="AC49" s="1394">
        <f t="shared" si="20"/>
        <v>0</v>
      </c>
      <c r="AD49" s="1510">
        <f t="shared" si="21"/>
        <v>0</v>
      </c>
      <c r="AE49" s="1395">
        <v>0</v>
      </c>
      <c r="AF49" s="1510">
        <f t="shared" si="22"/>
        <v>0</v>
      </c>
      <c r="AG49" s="1395"/>
      <c r="AH49" s="1395">
        <f t="shared" si="23"/>
        <v>0</v>
      </c>
      <c r="AI49" s="1510">
        <f t="shared" si="24"/>
        <v>0</v>
      </c>
      <c r="AJ49" s="1505">
        <f t="shared" si="25"/>
        <v>0</v>
      </c>
      <c r="AK49" s="1535">
        <f t="shared" si="26"/>
        <v>0</v>
      </c>
    </row>
    <row r="50" spans="1:37" ht="16.2" customHeight="1">
      <c r="A50" s="1176">
        <v>44</v>
      </c>
      <c r="B50" s="1177" t="s">
        <v>124</v>
      </c>
      <c r="C50" s="1178">
        <v>0</v>
      </c>
      <c r="D50" s="1179">
        <f>+'Table 5C1A-Madison Prep'!D50</f>
        <v>4897.5958151820359</v>
      </c>
      <c r="E50" s="1180">
        <f t="shared" si="5"/>
        <v>0</v>
      </c>
      <c r="F50" s="1180">
        <f>+'Table 5C1A-Madison Prep'!F50</f>
        <v>663.16000000000008</v>
      </c>
      <c r="G50" s="1180">
        <f t="shared" si="6"/>
        <v>0</v>
      </c>
      <c r="H50" s="1539">
        <f t="shared" si="7"/>
        <v>0</v>
      </c>
      <c r="I50" s="1181"/>
      <c r="J50" s="1181"/>
      <c r="K50" s="1182">
        <f t="shared" si="8"/>
        <v>0</v>
      </c>
      <c r="L50" s="1539">
        <f t="shared" si="9"/>
        <v>0</v>
      </c>
      <c r="M50" s="1388">
        <f t="shared" si="4"/>
        <v>0</v>
      </c>
      <c r="N50" s="1539">
        <f t="shared" si="10"/>
        <v>0</v>
      </c>
      <c r="O50" s="1179">
        <v>0</v>
      </c>
      <c r="P50" s="1545">
        <f t="shared" si="11"/>
        <v>0</v>
      </c>
      <c r="Q50" s="1181"/>
      <c r="R50" s="1181">
        <f t="shared" si="12"/>
        <v>0</v>
      </c>
      <c r="S50" s="1545">
        <f t="shared" si="13"/>
        <v>0</v>
      </c>
      <c r="T50" s="1545">
        <f t="shared" si="14"/>
        <v>0</v>
      </c>
      <c r="U50" s="1389">
        <f>'Table 5C1A-Madison Prep'!U50</f>
        <v>3719</v>
      </c>
      <c r="V50" s="1515">
        <f t="shared" si="15"/>
        <v>0</v>
      </c>
      <c r="W50" s="1391"/>
      <c r="X50" s="1392">
        <f t="shared" si="16"/>
        <v>0</v>
      </c>
      <c r="Y50" s="1391"/>
      <c r="Z50" s="1392">
        <f t="shared" si="17"/>
        <v>0</v>
      </c>
      <c r="AA50" s="1390">
        <f t="shared" si="18"/>
        <v>0</v>
      </c>
      <c r="AB50" s="1510">
        <f t="shared" si="19"/>
        <v>0</v>
      </c>
      <c r="AC50" s="1394">
        <f t="shared" si="20"/>
        <v>0</v>
      </c>
      <c r="AD50" s="1510">
        <f t="shared" si="21"/>
        <v>0</v>
      </c>
      <c r="AE50" s="1395">
        <v>0</v>
      </c>
      <c r="AF50" s="1510">
        <f t="shared" si="22"/>
        <v>0</v>
      </c>
      <c r="AG50" s="1395"/>
      <c r="AH50" s="1395">
        <f t="shared" si="23"/>
        <v>0</v>
      </c>
      <c r="AI50" s="1510">
        <f t="shared" si="24"/>
        <v>0</v>
      </c>
      <c r="AJ50" s="1505">
        <f t="shared" si="25"/>
        <v>0</v>
      </c>
      <c r="AK50" s="1535">
        <f t="shared" si="26"/>
        <v>0</v>
      </c>
    </row>
    <row r="51" spans="1:37" ht="16.2" customHeight="1">
      <c r="A51" s="1168">
        <v>45</v>
      </c>
      <c r="B51" s="1169" t="s">
        <v>125</v>
      </c>
      <c r="C51" s="1170">
        <v>0</v>
      </c>
      <c r="D51" s="1171">
        <f>+'Table 5C1A-Madison Prep'!D51</f>
        <v>2054.0472499469101</v>
      </c>
      <c r="E51" s="1172">
        <f t="shared" si="5"/>
        <v>0</v>
      </c>
      <c r="F51" s="1172">
        <f>+'Table 5C1A-Madison Prep'!F51</f>
        <v>753.96000000000015</v>
      </c>
      <c r="G51" s="1172">
        <f t="shared" si="6"/>
        <v>0</v>
      </c>
      <c r="H51" s="1540">
        <f t="shared" si="7"/>
        <v>0</v>
      </c>
      <c r="I51" s="1173"/>
      <c r="J51" s="1173"/>
      <c r="K51" s="1174">
        <f t="shared" si="8"/>
        <v>0</v>
      </c>
      <c r="L51" s="1540">
        <f t="shared" si="9"/>
        <v>0</v>
      </c>
      <c r="M51" s="1399">
        <f t="shared" si="4"/>
        <v>0</v>
      </c>
      <c r="N51" s="1540">
        <f t="shared" si="10"/>
        <v>0</v>
      </c>
      <c r="O51" s="1171">
        <v>0</v>
      </c>
      <c r="P51" s="1546">
        <f t="shared" si="11"/>
        <v>0</v>
      </c>
      <c r="Q51" s="1173"/>
      <c r="R51" s="1173">
        <f t="shared" si="12"/>
        <v>0</v>
      </c>
      <c r="S51" s="1546">
        <f t="shared" si="13"/>
        <v>0</v>
      </c>
      <c r="T51" s="1546">
        <f t="shared" si="14"/>
        <v>0</v>
      </c>
      <c r="U51" s="1382">
        <f>'Table 5C1A-Madison Prep'!U51</f>
        <v>12169</v>
      </c>
      <c r="V51" s="1516">
        <f t="shared" si="15"/>
        <v>0</v>
      </c>
      <c r="W51" s="1400"/>
      <c r="X51" s="1383">
        <f t="shared" si="16"/>
        <v>0</v>
      </c>
      <c r="Y51" s="1400"/>
      <c r="Z51" s="1383">
        <f t="shared" si="17"/>
        <v>0</v>
      </c>
      <c r="AA51" s="1384">
        <f t="shared" si="18"/>
        <v>0</v>
      </c>
      <c r="AB51" s="1511">
        <f t="shared" si="19"/>
        <v>0</v>
      </c>
      <c r="AC51" s="1402">
        <f t="shared" si="20"/>
        <v>0</v>
      </c>
      <c r="AD51" s="1511">
        <f t="shared" si="21"/>
        <v>0</v>
      </c>
      <c r="AE51" s="1385">
        <v>0</v>
      </c>
      <c r="AF51" s="1511">
        <f t="shared" si="22"/>
        <v>0</v>
      </c>
      <c r="AG51" s="1385"/>
      <c r="AH51" s="1385">
        <f t="shared" si="23"/>
        <v>0</v>
      </c>
      <c r="AI51" s="1511">
        <f t="shared" si="24"/>
        <v>0</v>
      </c>
      <c r="AJ51" s="1531">
        <f t="shared" si="25"/>
        <v>0</v>
      </c>
      <c r="AK51" s="1536">
        <f t="shared" si="26"/>
        <v>0</v>
      </c>
    </row>
    <row r="52" spans="1:37" ht="16.2" customHeight="1">
      <c r="A52" s="1183">
        <v>46</v>
      </c>
      <c r="B52" s="1184" t="s">
        <v>126</v>
      </c>
      <c r="C52" s="1185">
        <v>0</v>
      </c>
      <c r="D52" s="1186">
        <f>+'Table 5C1A-Madison Prep'!D52</f>
        <v>6051.2144468088381</v>
      </c>
      <c r="E52" s="1187">
        <f t="shared" si="5"/>
        <v>0</v>
      </c>
      <c r="F52" s="1187">
        <f>+'Table 5C1A-Madison Prep'!F52</f>
        <v>728.06</v>
      </c>
      <c r="G52" s="1187">
        <f t="shared" si="6"/>
        <v>0</v>
      </c>
      <c r="H52" s="1538">
        <f t="shared" si="7"/>
        <v>0</v>
      </c>
      <c r="I52" s="1188"/>
      <c r="J52" s="1188"/>
      <c r="K52" s="1189">
        <f t="shared" si="8"/>
        <v>0</v>
      </c>
      <c r="L52" s="1538">
        <f t="shared" si="9"/>
        <v>0</v>
      </c>
      <c r="M52" s="1372">
        <f t="shared" si="4"/>
        <v>0</v>
      </c>
      <c r="N52" s="1538">
        <f t="shared" si="10"/>
        <v>0</v>
      </c>
      <c r="O52" s="1186">
        <v>0</v>
      </c>
      <c r="P52" s="1544">
        <f t="shared" si="11"/>
        <v>0</v>
      </c>
      <c r="Q52" s="1188"/>
      <c r="R52" s="1188">
        <f t="shared" si="12"/>
        <v>0</v>
      </c>
      <c r="S52" s="1544">
        <f t="shared" si="13"/>
        <v>0</v>
      </c>
      <c r="T52" s="1544">
        <f t="shared" si="14"/>
        <v>0</v>
      </c>
      <c r="U52" s="1373">
        <f>'Table 5C1A-Madison Prep'!U52</f>
        <v>2713</v>
      </c>
      <c r="V52" s="1514">
        <f t="shared" si="15"/>
        <v>0</v>
      </c>
      <c r="W52" s="1375"/>
      <c r="X52" s="1376">
        <f t="shared" si="16"/>
        <v>0</v>
      </c>
      <c r="Y52" s="1375"/>
      <c r="Z52" s="1376">
        <f t="shared" si="17"/>
        <v>0</v>
      </c>
      <c r="AA52" s="1374">
        <f t="shared" si="18"/>
        <v>0</v>
      </c>
      <c r="AB52" s="1509">
        <f t="shared" si="19"/>
        <v>0</v>
      </c>
      <c r="AC52" s="1378">
        <f t="shared" si="20"/>
        <v>0</v>
      </c>
      <c r="AD52" s="1509">
        <f t="shared" si="21"/>
        <v>0</v>
      </c>
      <c r="AE52" s="1379">
        <v>0</v>
      </c>
      <c r="AF52" s="1509">
        <f t="shared" si="22"/>
        <v>0</v>
      </c>
      <c r="AG52" s="1379"/>
      <c r="AH52" s="1379">
        <f t="shared" si="23"/>
        <v>0</v>
      </c>
      <c r="AI52" s="1509">
        <f t="shared" si="24"/>
        <v>0</v>
      </c>
      <c r="AJ52" s="1530">
        <f t="shared" si="25"/>
        <v>0</v>
      </c>
      <c r="AK52" s="1534">
        <f t="shared" si="26"/>
        <v>0</v>
      </c>
    </row>
    <row r="53" spans="1:37" ht="16.2" customHeight="1">
      <c r="A53" s="1176">
        <v>47</v>
      </c>
      <c r="B53" s="1177" t="s">
        <v>127</v>
      </c>
      <c r="C53" s="1178">
        <v>0</v>
      </c>
      <c r="D53" s="1179">
        <f>+'Table 5C1A-Madison Prep'!D53</f>
        <v>2524.1485257646736</v>
      </c>
      <c r="E53" s="1180">
        <f t="shared" si="5"/>
        <v>0</v>
      </c>
      <c r="F53" s="1180">
        <f>+'Table 5C1A-Madison Prep'!F53</f>
        <v>910.76</v>
      </c>
      <c r="G53" s="1180">
        <f t="shared" si="6"/>
        <v>0</v>
      </c>
      <c r="H53" s="1539">
        <f t="shared" si="7"/>
        <v>0</v>
      </c>
      <c r="I53" s="1181"/>
      <c r="J53" s="1181"/>
      <c r="K53" s="1182">
        <f t="shared" si="8"/>
        <v>0</v>
      </c>
      <c r="L53" s="1539">
        <f t="shared" si="9"/>
        <v>0</v>
      </c>
      <c r="M53" s="1388">
        <f t="shared" si="4"/>
        <v>0</v>
      </c>
      <c r="N53" s="1539">
        <f t="shared" si="10"/>
        <v>0</v>
      </c>
      <c r="O53" s="1179">
        <v>0</v>
      </c>
      <c r="P53" s="1545">
        <f t="shared" si="11"/>
        <v>0</v>
      </c>
      <c r="Q53" s="1181"/>
      <c r="R53" s="1181">
        <f t="shared" si="12"/>
        <v>0</v>
      </c>
      <c r="S53" s="1545">
        <f t="shared" si="13"/>
        <v>0</v>
      </c>
      <c r="T53" s="1545">
        <f t="shared" si="14"/>
        <v>0</v>
      </c>
      <c r="U53" s="1389">
        <f>'Table 5C1A-Madison Prep'!U53</f>
        <v>11701</v>
      </c>
      <c r="V53" s="1515">
        <f t="shared" si="15"/>
        <v>0</v>
      </c>
      <c r="W53" s="1391"/>
      <c r="X53" s="1392">
        <f t="shared" si="16"/>
        <v>0</v>
      </c>
      <c r="Y53" s="1391"/>
      <c r="Z53" s="1392">
        <f t="shared" si="17"/>
        <v>0</v>
      </c>
      <c r="AA53" s="1390">
        <f t="shared" si="18"/>
        <v>0</v>
      </c>
      <c r="AB53" s="1510">
        <f t="shared" si="19"/>
        <v>0</v>
      </c>
      <c r="AC53" s="1394">
        <f t="shared" si="20"/>
        <v>0</v>
      </c>
      <c r="AD53" s="1510">
        <f t="shared" si="21"/>
        <v>0</v>
      </c>
      <c r="AE53" s="1395">
        <v>0</v>
      </c>
      <c r="AF53" s="1510">
        <f t="shared" si="22"/>
        <v>0</v>
      </c>
      <c r="AG53" s="1395"/>
      <c r="AH53" s="1395">
        <f t="shared" si="23"/>
        <v>0</v>
      </c>
      <c r="AI53" s="1510">
        <f t="shared" si="24"/>
        <v>0</v>
      </c>
      <c r="AJ53" s="1505">
        <f t="shared" si="25"/>
        <v>0</v>
      </c>
      <c r="AK53" s="1535">
        <f t="shared" si="26"/>
        <v>0</v>
      </c>
    </row>
    <row r="54" spans="1:37" ht="16.2" customHeight="1">
      <c r="A54" s="1176">
        <v>48</v>
      </c>
      <c r="B54" s="1177" t="s">
        <v>178</v>
      </c>
      <c r="C54" s="1178">
        <v>0</v>
      </c>
      <c r="D54" s="1179">
        <f>+'Table 5C1A-Madison Prep'!D54</f>
        <v>3983.3582529800719</v>
      </c>
      <c r="E54" s="1180">
        <f t="shared" si="5"/>
        <v>0</v>
      </c>
      <c r="F54" s="1180">
        <f>+'Table 5C1A-Madison Prep'!F54</f>
        <v>871.07</v>
      </c>
      <c r="G54" s="1180">
        <f t="shared" si="6"/>
        <v>0</v>
      </c>
      <c r="H54" s="1539">
        <f t="shared" si="7"/>
        <v>0</v>
      </c>
      <c r="I54" s="1181"/>
      <c r="J54" s="1181"/>
      <c r="K54" s="1182">
        <f t="shared" si="8"/>
        <v>0</v>
      </c>
      <c r="L54" s="1539">
        <f t="shared" si="9"/>
        <v>0</v>
      </c>
      <c r="M54" s="1388">
        <f t="shared" si="4"/>
        <v>0</v>
      </c>
      <c r="N54" s="1539">
        <f t="shared" si="10"/>
        <v>0</v>
      </c>
      <c r="O54" s="1179">
        <v>0</v>
      </c>
      <c r="P54" s="1545">
        <f t="shared" si="11"/>
        <v>0</v>
      </c>
      <c r="Q54" s="1181"/>
      <c r="R54" s="1181">
        <f t="shared" si="12"/>
        <v>0</v>
      </c>
      <c r="S54" s="1545">
        <f t="shared" si="13"/>
        <v>0</v>
      </c>
      <c r="T54" s="1545">
        <f t="shared" si="14"/>
        <v>0</v>
      </c>
      <c r="U54" s="1389">
        <f>'Table 5C1A-Madison Prep'!U54</f>
        <v>7338</v>
      </c>
      <c r="V54" s="1515">
        <f t="shared" si="15"/>
        <v>0</v>
      </c>
      <c r="W54" s="1391"/>
      <c r="X54" s="1392">
        <f t="shared" si="16"/>
        <v>0</v>
      </c>
      <c r="Y54" s="1391"/>
      <c r="Z54" s="1392">
        <f t="shared" si="17"/>
        <v>0</v>
      </c>
      <c r="AA54" s="1390">
        <f t="shared" si="18"/>
        <v>0</v>
      </c>
      <c r="AB54" s="1510">
        <f t="shared" si="19"/>
        <v>0</v>
      </c>
      <c r="AC54" s="1394">
        <f t="shared" si="20"/>
        <v>0</v>
      </c>
      <c r="AD54" s="1510">
        <f t="shared" si="21"/>
        <v>0</v>
      </c>
      <c r="AE54" s="1395">
        <v>0</v>
      </c>
      <c r="AF54" s="1510">
        <f t="shared" si="22"/>
        <v>0</v>
      </c>
      <c r="AG54" s="1395"/>
      <c r="AH54" s="1395">
        <f t="shared" si="23"/>
        <v>0</v>
      </c>
      <c r="AI54" s="1510">
        <f t="shared" si="24"/>
        <v>0</v>
      </c>
      <c r="AJ54" s="1505">
        <f t="shared" si="25"/>
        <v>0</v>
      </c>
      <c r="AK54" s="1535">
        <f t="shared" si="26"/>
        <v>0</v>
      </c>
    </row>
    <row r="55" spans="1:37" ht="16.2" customHeight="1">
      <c r="A55" s="1176">
        <v>49</v>
      </c>
      <c r="B55" s="1177" t="s">
        <v>128</v>
      </c>
      <c r="C55" s="1178">
        <v>0</v>
      </c>
      <c r="D55" s="1179">
        <f>+'Table 5C1A-Madison Prep'!D55</f>
        <v>4995.8755315659191</v>
      </c>
      <c r="E55" s="1180">
        <f t="shared" si="5"/>
        <v>0</v>
      </c>
      <c r="F55" s="1180">
        <f>+'Table 5C1A-Madison Prep'!F55</f>
        <v>574.43999999999994</v>
      </c>
      <c r="G55" s="1180">
        <f t="shared" si="6"/>
        <v>0</v>
      </c>
      <c r="H55" s="1539">
        <f t="shared" si="7"/>
        <v>0</v>
      </c>
      <c r="I55" s="1181"/>
      <c r="J55" s="1181"/>
      <c r="K55" s="1182">
        <f t="shared" si="8"/>
        <v>0</v>
      </c>
      <c r="L55" s="1539">
        <f t="shared" si="9"/>
        <v>0</v>
      </c>
      <c r="M55" s="1388">
        <f t="shared" si="4"/>
        <v>0</v>
      </c>
      <c r="N55" s="1539">
        <f t="shared" si="10"/>
        <v>0</v>
      </c>
      <c r="O55" s="1179">
        <v>0</v>
      </c>
      <c r="P55" s="1545">
        <f t="shared" si="11"/>
        <v>0</v>
      </c>
      <c r="Q55" s="1181"/>
      <c r="R55" s="1181">
        <f t="shared" si="12"/>
        <v>0</v>
      </c>
      <c r="S55" s="1545">
        <f t="shared" si="13"/>
        <v>0</v>
      </c>
      <c r="T55" s="1545">
        <f t="shared" si="14"/>
        <v>0</v>
      </c>
      <c r="U55" s="1389">
        <f>'Table 5C1A-Madison Prep'!U55</f>
        <v>2353</v>
      </c>
      <c r="V55" s="1515">
        <f t="shared" si="15"/>
        <v>0</v>
      </c>
      <c r="W55" s="1391"/>
      <c r="X55" s="1392">
        <f t="shared" si="16"/>
        <v>0</v>
      </c>
      <c r="Y55" s="1391"/>
      <c r="Z55" s="1392">
        <f t="shared" si="17"/>
        <v>0</v>
      </c>
      <c r="AA55" s="1390">
        <f t="shared" si="18"/>
        <v>0</v>
      </c>
      <c r="AB55" s="1510">
        <f t="shared" si="19"/>
        <v>0</v>
      </c>
      <c r="AC55" s="1394">
        <f t="shared" si="20"/>
        <v>0</v>
      </c>
      <c r="AD55" s="1510">
        <f t="shared" si="21"/>
        <v>0</v>
      </c>
      <c r="AE55" s="1395">
        <v>0</v>
      </c>
      <c r="AF55" s="1510">
        <f t="shared" si="22"/>
        <v>0</v>
      </c>
      <c r="AG55" s="1395"/>
      <c r="AH55" s="1395">
        <f t="shared" si="23"/>
        <v>0</v>
      </c>
      <c r="AI55" s="1510">
        <f t="shared" si="24"/>
        <v>0</v>
      </c>
      <c r="AJ55" s="1505">
        <f t="shared" si="25"/>
        <v>0</v>
      </c>
      <c r="AK55" s="1535">
        <f t="shared" si="26"/>
        <v>0</v>
      </c>
    </row>
    <row r="56" spans="1:37" ht="16.2" customHeight="1">
      <c r="A56" s="1168">
        <v>50</v>
      </c>
      <c r="B56" s="1169" t="s">
        <v>129</v>
      </c>
      <c r="C56" s="1170">
        <v>0</v>
      </c>
      <c r="D56" s="1171">
        <f>+'Table 5C1A-Madison Prep'!D56</f>
        <v>5177.6892722701677</v>
      </c>
      <c r="E56" s="1172">
        <f t="shared" si="5"/>
        <v>0</v>
      </c>
      <c r="F56" s="1172">
        <f>+'Table 5C1A-Madison Prep'!F56</f>
        <v>634.46</v>
      </c>
      <c r="G56" s="1172">
        <f t="shared" si="6"/>
        <v>0</v>
      </c>
      <c r="H56" s="1540">
        <f t="shared" si="7"/>
        <v>0</v>
      </c>
      <c r="I56" s="1173"/>
      <c r="J56" s="1173"/>
      <c r="K56" s="1174">
        <f t="shared" si="8"/>
        <v>0</v>
      </c>
      <c r="L56" s="1540">
        <f t="shared" si="9"/>
        <v>0</v>
      </c>
      <c r="M56" s="1399">
        <f t="shared" si="4"/>
        <v>0</v>
      </c>
      <c r="N56" s="1540">
        <f t="shared" si="10"/>
        <v>0</v>
      </c>
      <c r="O56" s="1171">
        <v>0</v>
      </c>
      <c r="P56" s="1546">
        <f t="shared" si="11"/>
        <v>0</v>
      </c>
      <c r="Q56" s="1173"/>
      <c r="R56" s="1173">
        <f t="shared" si="12"/>
        <v>0</v>
      </c>
      <c r="S56" s="1546">
        <f t="shared" si="13"/>
        <v>0</v>
      </c>
      <c r="T56" s="1546">
        <f t="shared" si="14"/>
        <v>0</v>
      </c>
      <c r="U56" s="1382">
        <f>'Table 5C1A-Madison Prep'!U56</f>
        <v>3510</v>
      </c>
      <c r="V56" s="1516">
        <f t="shared" si="15"/>
        <v>0</v>
      </c>
      <c r="W56" s="1400"/>
      <c r="X56" s="1383">
        <f t="shared" si="16"/>
        <v>0</v>
      </c>
      <c r="Y56" s="1400"/>
      <c r="Z56" s="1383">
        <f t="shared" si="17"/>
        <v>0</v>
      </c>
      <c r="AA56" s="1384">
        <f t="shared" si="18"/>
        <v>0</v>
      </c>
      <c r="AB56" s="1511">
        <f t="shared" si="19"/>
        <v>0</v>
      </c>
      <c r="AC56" s="1402">
        <f t="shared" si="20"/>
        <v>0</v>
      </c>
      <c r="AD56" s="1511">
        <f t="shared" si="21"/>
        <v>0</v>
      </c>
      <c r="AE56" s="1385">
        <v>0</v>
      </c>
      <c r="AF56" s="1511">
        <f t="shared" si="22"/>
        <v>0</v>
      </c>
      <c r="AG56" s="1385"/>
      <c r="AH56" s="1385">
        <f t="shared" si="23"/>
        <v>0</v>
      </c>
      <c r="AI56" s="1511">
        <f t="shared" si="24"/>
        <v>0</v>
      </c>
      <c r="AJ56" s="1531">
        <f t="shared" si="25"/>
        <v>0</v>
      </c>
      <c r="AK56" s="1536">
        <f t="shared" si="26"/>
        <v>0</v>
      </c>
    </row>
    <row r="57" spans="1:37" ht="16.2" customHeight="1">
      <c r="A57" s="1183">
        <v>51</v>
      </c>
      <c r="B57" s="1184" t="s">
        <v>130</v>
      </c>
      <c r="C57" s="1185">
        <v>0</v>
      </c>
      <c r="D57" s="1186">
        <f>+'Table 5C1A-Madison Prep'!D57</f>
        <v>4154.1928602178996</v>
      </c>
      <c r="E57" s="1187">
        <f t="shared" si="5"/>
        <v>0</v>
      </c>
      <c r="F57" s="1187">
        <f>+'Table 5C1A-Madison Prep'!F57</f>
        <v>706.66</v>
      </c>
      <c r="G57" s="1187">
        <f t="shared" si="6"/>
        <v>0</v>
      </c>
      <c r="H57" s="1538">
        <f t="shared" si="7"/>
        <v>0</v>
      </c>
      <c r="I57" s="1188"/>
      <c r="J57" s="1188"/>
      <c r="K57" s="1189">
        <f t="shared" si="8"/>
        <v>0</v>
      </c>
      <c r="L57" s="1538">
        <f t="shared" si="9"/>
        <v>0</v>
      </c>
      <c r="M57" s="1372">
        <f t="shared" si="4"/>
        <v>0</v>
      </c>
      <c r="N57" s="1538">
        <f t="shared" si="10"/>
        <v>0</v>
      </c>
      <c r="O57" s="1186">
        <v>0</v>
      </c>
      <c r="P57" s="1544">
        <f t="shared" si="11"/>
        <v>0</v>
      </c>
      <c r="Q57" s="1188"/>
      <c r="R57" s="1188">
        <f t="shared" si="12"/>
        <v>0</v>
      </c>
      <c r="S57" s="1544">
        <f t="shared" si="13"/>
        <v>0</v>
      </c>
      <c r="T57" s="1544">
        <f t="shared" si="14"/>
        <v>0</v>
      </c>
      <c r="U57" s="1373">
        <f>'Table 5C1A-Madison Prep'!U57</f>
        <v>4597</v>
      </c>
      <c r="V57" s="1514">
        <f t="shared" si="15"/>
        <v>0</v>
      </c>
      <c r="W57" s="1375"/>
      <c r="X57" s="1376">
        <f t="shared" si="16"/>
        <v>0</v>
      </c>
      <c r="Y57" s="1375"/>
      <c r="Z57" s="1376">
        <f t="shared" si="17"/>
        <v>0</v>
      </c>
      <c r="AA57" s="1374">
        <f t="shared" si="18"/>
        <v>0</v>
      </c>
      <c r="AB57" s="1509">
        <f t="shared" si="19"/>
        <v>0</v>
      </c>
      <c r="AC57" s="1378">
        <f t="shared" si="20"/>
        <v>0</v>
      </c>
      <c r="AD57" s="1509">
        <f t="shared" si="21"/>
        <v>0</v>
      </c>
      <c r="AE57" s="1379">
        <v>0</v>
      </c>
      <c r="AF57" s="1509">
        <f t="shared" si="22"/>
        <v>0</v>
      </c>
      <c r="AG57" s="1379"/>
      <c r="AH57" s="1379">
        <f t="shared" si="23"/>
        <v>0</v>
      </c>
      <c r="AI57" s="1509">
        <f t="shared" si="24"/>
        <v>0</v>
      </c>
      <c r="AJ57" s="1530">
        <f t="shared" si="25"/>
        <v>0</v>
      </c>
      <c r="AK57" s="1534">
        <f t="shared" si="26"/>
        <v>0</v>
      </c>
    </row>
    <row r="58" spans="1:37" ht="16.2" customHeight="1">
      <c r="A58" s="1176">
        <v>52</v>
      </c>
      <c r="B58" s="1177" t="s">
        <v>131</v>
      </c>
      <c r="C58" s="1178">
        <v>0</v>
      </c>
      <c r="D58" s="1179">
        <f>+'Table 5C1A-Madison Prep'!D58</f>
        <v>5062.2745845228173</v>
      </c>
      <c r="E58" s="1180">
        <f t="shared" si="5"/>
        <v>0</v>
      </c>
      <c r="F58" s="1180">
        <f>+'Table 5C1A-Madison Prep'!F58</f>
        <v>658.37</v>
      </c>
      <c r="G58" s="1180">
        <f t="shared" si="6"/>
        <v>0</v>
      </c>
      <c r="H58" s="1539">
        <f t="shared" si="7"/>
        <v>0</v>
      </c>
      <c r="I58" s="1181"/>
      <c r="J58" s="1181"/>
      <c r="K58" s="1182">
        <f t="shared" si="8"/>
        <v>0</v>
      </c>
      <c r="L58" s="1539">
        <f t="shared" si="9"/>
        <v>0</v>
      </c>
      <c r="M58" s="1388">
        <f t="shared" si="4"/>
        <v>0</v>
      </c>
      <c r="N58" s="1539">
        <f t="shared" si="10"/>
        <v>0</v>
      </c>
      <c r="O58" s="1179">
        <v>0</v>
      </c>
      <c r="P58" s="1545">
        <f t="shared" si="11"/>
        <v>0</v>
      </c>
      <c r="Q58" s="1181"/>
      <c r="R58" s="1181">
        <f t="shared" si="12"/>
        <v>0</v>
      </c>
      <c r="S58" s="1545">
        <f t="shared" si="13"/>
        <v>0</v>
      </c>
      <c r="T58" s="1545">
        <f t="shared" si="14"/>
        <v>0</v>
      </c>
      <c r="U58" s="1389">
        <f>'Table 5C1A-Madison Prep'!U58</f>
        <v>5212</v>
      </c>
      <c r="V58" s="1515">
        <f t="shared" si="15"/>
        <v>0</v>
      </c>
      <c r="W58" s="1391"/>
      <c r="X58" s="1392">
        <f t="shared" si="16"/>
        <v>0</v>
      </c>
      <c r="Y58" s="1391"/>
      <c r="Z58" s="1392">
        <f t="shared" si="17"/>
        <v>0</v>
      </c>
      <c r="AA58" s="1390">
        <f t="shared" si="18"/>
        <v>0</v>
      </c>
      <c r="AB58" s="1510">
        <f t="shared" si="19"/>
        <v>0</v>
      </c>
      <c r="AC58" s="1394">
        <f t="shared" si="20"/>
        <v>0</v>
      </c>
      <c r="AD58" s="1510">
        <f t="shared" si="21"/>
        <v>0</v>
      </c>
      <c r="AE58" s="1395">
        <v>0</v>
      </c>
      <c r="AF58" s="1510">
        <f t="shared" si="22"/>
        <v>0</v>
      </c>
      <c r="AG58" s="1395"/>
      <c r="AH58" s="1395">
        <f t="shared" si="23"/>
        <v>0</v>
      </c>
      <c r="AI58" s="1510">
        <f t="shared" si="24"/>
        <v>0</v>
      </c>
      <c r="AJ58" s="1505">
        <f t="shared" si="25"/>
        <v>0</v>
      </c>
      <c r="AK58" s="1535">
        <f t="shared" si="26"/>
        <v>0</v>
      </c>
    </row>
    <row r="59" spans="1:37" ht="16.2" customHeight="1">
      <c r="A59" s="1176">
        <v>53</v>
      </c>
      <c r="B59" s="1177" t="s">
        <v>132</v>
      </c>
      <c r="C59" s="1178">
        <v>0</v>
      </c>
      <c r="D59" s="1179">
        <f>+'Table 5C1A-Madison Prep'!D59</f>
        <v>5060.1508194045482</v>
      </c>
      <c r="E59" s="1180">
        <f t="shared" si="5"/>
        <v>0</v>
      </c>
      <c r="F59" s="1180">
        <f>+'Table 5C1A-Madison Prep'!F59</f>
        <v>689.74</v>
      </c>
      <c r="G59" s="1180">
        <f t="shared" si="6"/>
        <v>0</v>
      </c>
      <c r="H59" s="1539">
        <f t="shared" si="7"/>
        <v>0</v>
      </c>
      <c r="I59" s="1181"/>
      <c r="J59" s="1181"/>
      <c r="K59" s="1182">
        <f t="shared" si="8"/>
        <v>0</v>
      </c>
      <c r="L59" s="1539">
        <f t="shared" si="9"/>
        <v>0</v>
      </c>
      <c r="M59" s="1388">
        <f t="shared" si="4"/>
        <v>0</v>
      </c>
      <c r="N59" s="1539">
        <f t="shared" si="10"/>
        <v>0</v>
      </c>
      <c r="O59" s="1179">
        <v>0</v>
      </c>
      <c r="P59" s="1545">
        <f t="shared" si="11"/>
        <v>0</v>
      </c>
      <c r="Q59" s="1181"/>
      <c r="R59" s="1181">
        <f t="shared" si="12"/>
        <v>0</v>
      </c>
      <c r="S59" s="1545">
        <f t="shared" si="13"/>
        <v>0</v>
      </c>
      <c r="T59" s="1545">
        <f t="shared" si="14"/>
        <v>0</v>
      </c>
      <c r="U59" s="1389">
        <f>'Table 5C1A-Madison Prep'!U59</f>
        <v>2054</v>
      </c>
      <c r="V59" s="1515">
        <f t="shared" si="15"/>
        <v>0</v>
      </c>
      <c r="W59" s="1391"/>
      <c r="X59" s="1392">
        <f t="shared" si="16"/>
        <v>0</v>
      </c>
      <c r="Y59" s="1391"/>
      <c r="Z59" s="1392">
        <f t="shared" si="17"/>
        <v>0</v>
      </c>
      <c r="AA59" s="1390">
        <f t="shared" si="18"/>
        <v>0</v>
      </c>
      <c r="AB59" s="1510">
        <f t="shared" si="19"/>
        <v>0</v>
      </c>
      <c r="AC59" s="1394">
        <f t="shared" si="20"/>
        <v>0</v>
      </c>
      <c r="AD59" s="1510">
        <f t="shared" si="21"/>
        <v>0</v>
      </c>
      <c r="AE59" s="1395">
        <v>0</v>
      </c>
      <c r="AF59" s="1510">
        <f t="shared" si="22"/>
        <v>0</v>
      </c>
      <c r="AG59" s="1395"/>
      <c r="AH59" s="1395">
        <f t="shared" si="23"/>
        <v>0</v>
      </c>
      <c r="AI59" s="1510">
        <f t="shared" si="24"/>
        <v>0</v>
      </c>
      <c r="AJ59" s="1505">
        <f t="shared" si="25"/>
        <v>0</v>
      </c>
      <c r="AK59" s="1535">
        <f t="shared" si="26"/>
        <v>0</v>
      </c>
    </row>
    <row r="60" spans="1:37" ht="16.2" customHeight="1">
      <c r="A60" s="1176">
        <v>54</v>
      </c>
      <c r="B60" s="1177" t="s">
        <v>133</v>
      </c>
      <c r="C60" s="1178">
        <v>0</v>
      </c>
      <c r="D60" s="1179">
        <f>+'Table 5C1A-Madison Prep'!D60</f>
        <v>5867.0798370516713</v>
      </c>
      <c r="E60" s="1180">
        <f t="shared" si="5"/>
        <v>0</v>
      </c>
      <c r="F60" s="1180">
        <f>+'Table 5C1A-Madison Prep'!F60</f>
        <v>951.45</v>
      </c>
      <c r="G60" s="1180">
        <f t="shared" si="6"/>
        <v>0</v>
      </c>
      <c r="H60" s="1539">
        <f t="shared" si="7"/>
        <v>0</v>
      </c>
      <c r="I60" s="1181"/>
      <c r="J60" s="1181"/>
      <c r="K60" s="1182">
        <f t="shared" si="8"/>
        <v>0</v>
      </c>
      <c r="L60" s="1539">
        <f t="shared" si="9"/>
        <v>0</v>
      </c>
      <c r="M60" s="1388">
        <f t="shared" si="4"/>
        <v>0</v>
      </c>
      <c r="N60" s="1539">
        <f t="shared" si="10"/>
        <v>0</v>
      </c>
      <c r="O60" s="1179">
        <v>0</v>
      </c>
      <c r="P60" s="1545">
        <f t="shared" si="11"/>
        <v>0</v>
      </c>
      <c r="Q60" s="1181"/>
      <c r="R60" s="1181">
        <f t="shared" si="12"/>
        <v>0</v>
      </c>
      <c r="S60" s="1545">
        <f t="shared" si="13"/>
        <v>0</v>
      </c>
      <c r="T60" s="1545">
        <f t="shared" si="14"/>
        <v>0</v>
      </c>
      <c r="U60" s="1389">
        <f>'Table 5C1A-Madison Prep'!U60</f>
        <v>4116</v>
      </c>
      <c r="V60" s="1515">
        <f t="shared" si="15"/>
        <v>0</v>
      </c>
      <c r="W60" s="1391"/>
      <c r="X60" s="1392">
        <f t="shared" si="16"/>
        <v>0</v>
      </c>
      <c r="Y60" s="1391"/>
      <c r="Z60" s="1392">
        <f t="shared" si="17"/>
        <v>0</v>
      </c>
      <c r="AA60" s="1390">
        <f t="shared" si="18"/>
        <v>0</v>
      </c>
      <c r="AB60" s="1510">
        <f t="shared" si="19"/>
        <v>0</v>
      </c>
      <c r="AC60" s="1394">
        <f t="shared" si="20"/>
        <v>0</v>
      </c>
      <c r="AD60" s="1510">
        <f t="shared" si="21"/>
        <v>0</v>
      </c>
      <c r="AE60" s="1395">
        <v>0</v>
      </c>
      <c r="AF60" s="1510">
        <f t="shared" si="22"/>
        <v>0</v>
      </c>
      <c r="AG60" s="1395"/>
      <c r="AH60" s="1395">
        <f t="shared" si="23"/>
        <v>0</v>
      </c>
      <c r="AI60" s="1510">
        <f t="shared" si="24"/>
        <v>0</v>
      </c>
      <c r="AJ60" s="1505">
        <f t="shared" si="25"/>
        <v>0</v>
      </c>
      <c r="AK60" s="1535">
        <f t="shared" si="26"/>
        <v>0</v>
      </c>
    </row>
    <row r="61" spans="1:37" ht="16.2" customHeight="1">
      <c r="A61" s="1168">
        <v>55</v>
      </c>
      <c r="B61" s="1169" t="s">
        <v>134</v>
      </c>
      <c r="C61" s="1170">
        <v>0</v>
      </c>
      <c r="D61" s="1171">
        <f>+'Table 5C1A-Madison Prep'!D61</f>
        <v>4266.8225491298481</v>
      </c>
      <c r="E61" s="1172">
        <f t="shared" si="5"/>
        <v>0</v>
      </c>
      <c r="F61" s="1172">
        <f>+'Table 5C1A-Madison Prep'!F61</f>
        <v>795.14</v>
      </c>
      <c r="G61" s="1172">
        <f t="shared" si="6"/>
        <v>0</v>
      </c>
      <c r="H61" s="1540">
        <f t="shared" si="7"/>
        <v>0</v>
      </c>
      <c r="I61" s="1173"/>
      <c r="J61" s="1173"/>
      <c r="K61" s="1174">
        <f t="shared" si="8"/>
        <v>0</v>
      </c>
      <c r="L61" s="1540">
        <f t="shared" si="9"/>
        <v>0</v>
      </c>
      <c r="M61" s="1399">
        <f t="shared" si="4"/>
        <v>0</v>
      </c>
      <c r="N61" s="1540">
        <f t="shared" si="10"/>
        <v>0</v>
      </c>
      <c r="O61" s="1171">
        <v>0</v>
      </c>
      <c r="P61" s="1546">
        <f t="shared" si="11"/>
        <v>0</v>
      </c>
      <c r="Q61" s="1173"/>
      <c r="R61" s="1173">
        <f t="shared" si="12"/>
        <v>0</v>
      </c>
      <c r="S61" s="1546">
        <f t="shared" si="13"/>
        <v>0</v>
      </c>
      <c r="T61" s="1546">
        <f t="shared" si="14"/>
        <v>0</v>
      </c>
      <c r="U61" s="1382">
        <f>'Table 5C1A-Madison Prep'!U61</f>
        <v>3532</v>
      </c>
      <c r="V61" s="1516">
        <f t="shared" si="15"/>
        <v>0</v>
      </c>
      <c r="W61" s="1400"/>
      <c r="X61" s="1383">
        <f t="shared" si="16"/>
        <v>0</v>
      </c>
      <c r="Y61" s="1400"/>
      <c r="Z61" s="1383">
        <f t="shared" si="17"/>
        <v>0</v>
      </c>
      <c r="AA61" s="1384">
        <f t="shared" si="18"/>
        <v>0</v>
      </c>
      <c r="AB61" s="1511">
        <f t="shared" si="19"/>
        <v>0</v>
      </c>
      <c r="AC61" s="1402">
        <f t="shared" si="20"/>
        <v>0</v>
      </c>
      <c r="AD61" s="1511">
        <f t="shared" si="21"/>
        <v>0</v>
      </c>
      <c r="AE61" s="1385">
        <v>0</v>
      </c>
      <c r="AF61" s="1511">
        <f t="shared" si="22"/>
        <v>0</v>
      </c>
      <c r="AG61" s="1385"/>
      <c r="AH61" s="1385">
        <f t="shared" si="23"/>
        <v>0</v>
      </c>
      <c r="AI61" s="1511">
        <f t="shared" si="24"/>
        <v>0</v>
      </c>
      <c r="AJ61" s="1531">
        <f t="shared" si="25"/>
        <v>0</v>
      </c>
      <c r="AK61" s="1536">
        <f t="shared" si="26"/>
        <v>0</v>
      </c>
    </row>
    <row r="62" spans="1:37" ht="16.2" customHeight="1">
      <c r="A62" s="1183">
        <v>56</v>
      </c>
      <c r="B62" s="1184" t="s">
        <v>135</v>
      </c>
      <c r="C62" s="1185">
        <v>0</v>
      </c>
      <c r="D62" s="1186">
        <f>+'Table 5C1A-Madison Prep'!D62</f>
        <v>5028.4909408288286</v>
      </c>
      <c r="E62" s="1187">
        <f t="shared" si="5"/>
        <v>0</v>
      </c>
      <c r="F62" s="1187">
        <f>+'Table 5C1A-Madison Prep'!F62</f>
        <v>614.66000000000008</v>
      </c>
      <c r="G62" s="1187">
        <f t="shared" si="6"/>
        <v>0</v>
      </c>
      <c r="H62" s="1538">
        <f t="shared" si="7"/>
        <v>0</v>
      </c>
      <c r="I62" s="1188"/>
      <c r="J62" s="1188"/>
      <c r="K62" s="1189">
        <f t="shared" si="8"/>
        <v>0</v>
      </c>
      <c r="L62" s="1538">
        <f t="shared" si="9"/>
        <v>0</v>
      </c>
      <c r="M62" s="1372">
        <f t="shared" si="4"/>
        <v>0</v>
      </c>
      <c r="N62" s="1538">
        <f t="shared" si="10"/>
        <v>0</v>
      </c>
      <c r="O62" s="1186">
        <v>0</v>
      </c>
      <c r="P62" s="1544">
        <f t="shared" si="11"/>
        <v>0</v>
      </c>
      <c r="Q62" s="1188"/>
      <c r="R62" s="1188">
        <f t="shared" si="12"/>
        <v>0</v>
      </c>
      <c r="S62" s="1544">
        <f t="shared" si="13"/>
        <v>0</v>
      </c>
      <c r="T62" s="1544">
        <f t="shared" si="14"/>
        <v>0</v>
      </c>
      <c r="U62" s="1373">
        <f>'Table 5C1A-Madison Prep'!U62</f>
        <v>2865</v>
      </c>
      <c r="V62" s="1514">
        <f t="shared" si="15"/>
        <v>0</v>
      </c>
      <c r="W62" s="1375"/>
      <c r="X62" s="1376">
        <f t="shared" si="16"/>
        <v>0</v>
      </c>
      <c r="Y62" s="1375"/>
      <c r="Z62" s="1376">
        <f t="shared" si="17"/>
        <v>0</v>
      </c>
      <c r="AA62" s="1374">
        <f t="shared" si="18"/>
        <v>0</v>
      </c>
      <c r="AB62" s="1509">
        <f t="shared" si="19"/>
        <v>0</v>
      </c>
      <c r="AC62" s="1378">
        <f t="shared" si="20"/>
        <v>0</v>
      </c>
      <c r="AD62" s="1509">
        <f t="shared" si="21"/>
        <v>0</v>
      </c>
      <c r="AE62" s="1379">
        <v>0</v>
      </c>
      <c r="AF62" s="1509">
        <f t="shared" si="22"/>
        <v>0</v>
      </c>
      <c r="AG62" s="1379"/>
      <c r="AH62" s="1379">
        <f t="shared" si="23"/>
        <v>0</v>
      </c>
      <c r="AI62" s="1509">
        <f t="shared" si="24"/>
        <v>0</v>
      </c>
      <c r="AJ62" s="1530">
        <f t="shared" si="25"/>
        <v>0</v>
      </c>
      <c r="AK62" s="1534">
        <f t="shared" si="26"/>
        <v>0</v>
      </c>
    </row>
    <row r="63" spans="1:37" ht="16.2" customHeight="1">
      <c r="A63" s="1176">
        <v>57</v>
      </c>
      <c r="B63" s="1177" t="s">
        <v>136</v>
      </c>
      <c r="C63" s="1178">
        <v>0</v>
      </c>
      <c r="D63" s="1179">
        <f>+'Table 5C1A-Madison Prep'!D63</f>
        <v>4625.9922979230687</v>
      </c>
      <c r="E63" s="1180">
        <f t="shared" si="5"/>
        <v>0</v>
      </c>
      <c r="F63" s="1180">
        <f>+'Table 5C1A-Madison Prep'!F63</f>
        <v>764.51</v>
      </c>
      <c r="G63" s="1180">
        <f t="shared" si="6"/>
        <v>0</v>
      </c>
      <c r="H63" s="1539">
        <f t="shared" si="7"/>
        <v>0</v>
      </c>
      <c r="I63" s="1181"/>
      <c r="J63" s="1181"/>
      <c r="K63" s="1182">
        <f t="shared" si="8"/>
        <v>0</v>
      </c>
      <c r="L63" s="1539">
        <f t="shared" si="9"/>
        <v>0</v>
      </c>
      <c r="M63" s="1388">
        <f t="shared" si="4"/>
        <v>0</v>
      </c>
      <c r="N63" s="1539">
        <f t="shared" si="10"/>
        <v>0</v>
      </c>
      <c r="O63" s="1179">
        <v>0</v>
      </c>
      <c r="P63" s="1545">
        <f t="shared" si="11"/>
        <v>0</v>
      </c>
      <c r="Q63" s="1181"/>
      <c r="R63" s="1181">
        <f t="shared" si="12"/>
        <v>0</v>
      </c>
      <c r="S63" s="1545">
        <f t="shared" si="13"/>
        <v>0</v>
      </c>
      <c r="T63" s="1545">
        <f t="shared" si="14"/>
        <v>0</v>
      </c>
      <c r="U63" s="1389">
        <f>'Table 5C1A-Madison Prep'!U63</f>
        <v>3395</v>
      </c>
      <c r="V63" s="1515">
        <f t="shared" si="15"/>
        <v>0</v>
      </c>
      <c r="W63" s="1391"/>
      <c r="X63" s="1392">
        <f t="shared" si="16"/>
        <v>0</v>
      </c>
      <c r="Y63" s="1391"/>
      <c r="Z63" s="1392">
        <f t="shared" si="17"/>
        <v>0</v>
      </c>
      <c r="AA63" s="1390">
        <f t="shared" si="18"/>
        <v>0</v>
      </c>
      <c r="AB63" s="1510">
        <f t="shared" si="19"/>
        <v>0</v>
      </c>
      <c r="AC63" s="1394">
        <f t="shared" si="20"/>
        <v>0</v>
      </c>
      <c r="AD63" s="1510">
        <f t="shared" si="21"/>
        <v>0</v>
      </c>
      <c r="AE63" s="1395">
        <v>0</v>
      </c>
      <c r="AF63" s="1510">
        <f t="shared" si="22"/>
        <v>0</v>
      </c>
      <c r="AG63" s="1395"/>
      <c r="AH63" s="1395">
        <f t="shared" si="23"/>
        <v>0</v>
      </c>
      <c r="AI63" s="1510">
        <f t="shared" si="24"/>
        <v>0</v>
      </c>
      <c r="AJ63" s="1505">
        <f t="shared" si="25"/>
        <v>0</v>
      </c>
      <c r="AK63" s="1535">
        <f t="shared" si="26"/>
        <v>0</v>
      </c>
    </row>
    <row r="64" spans="1:37" ht="16.2" customHeight="1">
      <c r="A64" s="1176">
        <v>58</v>
      </c>
      <c r="B64" s="1177" t="s">
        <v>137</v>
      </c>
      <c r="C64" s="1178">
        <v>0</v>
      </c>
      <c r="D64" s="1179">
        <f>+'Table 5C1A-Madison Prep'!D64</f>
        <v>5673.1129637882123</v>
      </c>
      <c r="E64" s="1180">
        <f t="shared" si="5"/>
        <v>0</v>
      </c>
      <c r="F64" s="1180">
        <f>+'Table 5C1A-Madison Prep'!F64</f>
        <v>697.04</v>
      </c>
      <c r="G64" s="1180">
        <f t="shared" si="6"/>
        <v>0</v>
      </c>
      <c r="H64" s="1539">
        <f t="shared" si="7"/>
        <v>0</v>
      </c>
      <c r="I64" s="1181"/>
      <c r="J64" s="1181"/>
      <c r="K64" s="1182">
        <f t="shared" si="8"/>
        <v>0</v>
      </c>
      <c r="L64" s="1539">
        <f t="shared" si="9"/>
        <v>0</v>
      </c>
      <c r="M64" s="1388">
        <f t="shared" si="4"/>
        <v>0</v>
      </c>
      <c r="N64" s="1539">
        <f t="shared" si="10"/>
        <v>0</v>
      </c>
      <c r="O64" s="1179">
        <v>0</v>
      </c>
      <c r="P64" s="1545">
        <f t="shared" si="11"/>
        <v>0</v>
      </c>
      <c r="Q64" s="1181"/>
      <c r="R64" s="1181">
        <f t="shared" si="12"/>
        <v>0</v>
      </c>
      <c r="S64" s="1545">
        <f t="shared" si="13"/>
        <v>0</v>
      </c>
      <c r="T64" s="1545">
        <f t="shared" si="14"/>
        <v>0</v>
      </c>
      <c r="U64" s="1389">
        <f>'Table 5C1A-Madison Prep'!U64</f>
        <v>2084</v>
      </c>
      <c r="V64" s="1515">
        <f t="shared" si="15"/>
        <v>0</v>
      </c>
      <c r="W64" s="1391"/>
      <c r="X64" s="1392">
        <f t="shared" si="16"/>
        <v>0</v>
      </c>
      <c r="Y64" s="1391"/>
      <c r="Z64" s="1392">
        <f t="shared" si="17"/>
        <v>0</v>
      </c>
      <c r="AA64" s="1390">
        <f t="shared" si="18"/>
        <v>0</v>
      </c>
      <c r="AB64" s="1510">
        <f t="shared" si="19"/>
        <v>0</v>
      </c>
      <c r="AC64" s="1394">
        <f t="shared" si="20"/>
        <v>0</v>
      </c>
      <c r="AD64" s="1510">
        <f t="shared" si="21"/>
        <v>0</v>
      </c>
      <c r="AE64" s="1395">
        <v>0</v>
      </c>
      <c r="AF64" s="1510">
        <f t="shared" si="22"/>
        <v>0</v>
      </c>
      <c r="AG64" s="1395"/>
      <c r="AH64" s="1395">
        <f t="shared" si="23"/>
        <v>0</v>
      </c>
      <c r="AI64" s="1510">
        <f t="shared" si="24"/>
        <v>0</v>
      </c>
      <c r="AJ64" s="1505">
        <f t="shared" si="25"/>
        <v>0</v>
      </c>
      <c r="AK64" s="1535">
        <f t="shared" si="26"/>
        <v>0</v>
      </c>
    </row>
    <row r="65" spans="1:37" ht="16.2" customHeight="1">
      <c r="A65" s="1176">
        <v>59</v>
      </c>
      <c r="B65" s="1177" t="s">
        <v>138</v>
      </c>
      <c r="C65" s="1178">
        <v>0</v>
      </c>
      <c r="D65" s="1179">
        <f>+'Table 5C1A-Madison Prep'!D65</f>
        <v>6621.946293521848</v>
      </c>
      <c r="E65" s="1180">
        <f t="shared" si="5"/>
        <v>0</v>
      </c>
      <c r="F65" s="1180">
        <f>+'Table 5C1A-Madison Prep'!F65</f>
        <v>689.52</v>
      </c>
      <c r="G65" s="1180">
        <f t="shared" si="6"/>
        <v>0</v>
      </c>
      <c r="H65" s="1539">
        <f t="shared" si="7"/>
        <v>0</v>
      </c>
      <c r="I65" s="1181"/>
      <c r="J65" s="1181"/>
      <c r="K65" s="1182">
        <f t="shared" si="8"/>
        <v>0</v>
      </c>
      <c r="L65" s="1539">
        <f t="shared" si="9"/>
        <v>0</v>
      </c>
      <c r="M65" s="1388">
        <f t="shared" si="4"/>
        <v>0</v>
      </c>
      <c r="N65" s="1539">
        <f t="shared" si="10"/>
        <v>0</v>
      </c>
      <c r="O65" s="1179">
        <v>0</v>
      </c>
      <c r="P65" s="1545">
        <f t="shared" si="11"/>
        <v>0</v>
      </c>
      <c r="Q65" s="1181"/>
      <c r="R65" s="1181">
        <f t="shared" si="12"/>
        <v>0</v>
      </c>
      <c r="S65" s="1545">
        <f t="shared" si="13"/>
        <v>0</v>
      </c>
      <c r="T65" s="1545">
        <f t="shared" si="14"/>
        <v>0</v>
      </c>
      <c r="U65" s="1389">
        <f>'Table 5C1A-Madison Prep'!U65</f>
        <v>1577</v>
      </c>
      <c r="V65" s="1515">
        <f t="shared" si="15"/>
        <v>0</v>
      </c>
      <c r="W65" s="1391"/>
      <c r="X65" s="1392">
        <f t="shared" si="16"/>
        <v>0</v>
      </c>
      <c r="Y65" s="1391"/>
      <c r="Z65" s="1392">
        <f t="shared" si="17"/>
        <v>0</v>
      </c>
      <c r="AA65" s="1390">
        <f t="shared" si="18"/>
        <v>0</v>
      </c>
      <c r="AB65" s="1510">
        <f t="shared" si="19"/>
        <v>0</v>
      </c>
      <c r="AC65" s="1394">
        <f t="shared" si="20"/>
        <v>0</v>
      </c>
      <c r="AD65" s="1510">
        <f t="shared" si="21"/>
        <v>0</v>
      </c>
      <c r="AE65" s="1395">
        <v>0</v>
      </c>
      <c r="AF65" s="1510">
        <f t="shared" si="22"/>
        <v>0</v>
      </c>
      <c r="AG65" s="1395"/>
      <c r="AH65" s="1395">
        <f t="shared" si="23"/>
        <v>0</v>
      </c>
      <c r="AI65" s="1510">
        <f t="shared" si="24"/>
        <v>0</v>
      </c>
      <c r="AJ65" s="1505">
        <f t="shared" si="25"/>
        <v>0</v>
      </c>
      <c r="AK65" s="1535">
        <f t="shared" si="26"/>
        <v>0</v>
      </c>
    </row>
    <row r="66" spans="1:37" ht="16.2" customHeight="1">
      <c r="A66" s="1168">
        <v>60</v>
      </c>
      <c r="B66" s="1169" t="s">
        <v>139</v>
      </c>
      <c r="C66" s="1170">
        <v>0</v>
      </c>
      <c r="D66" s="1171">
        <f>+'Table 5C1A-Madison Prep'!D66</f>
        <v>5301.224090063828</v>
      </c>
      <c r="E66" s="1172">
        <f t="shared" si="5"/>
        <v>0</v>
      </c>
      <c r="F66" s="1172">
        <f>+'Table 5C1A-Madison Prep'!F66</f>
        <v>594.04</v>
      </c>
      <c r="G66" s="1172">
        <f t="shared" si="6"/>
        <v>0</v>
      </c>
      <c r="H66" s="1540">
        <f t="shared" si="7"/>
        <v>0</v>
      </c>
      <c r="I66" s="1173"/>
      <c r="J66" s="1173"/>
      <c r="K66" s="1174">
        <f t="shared" si="8"/>
        <v>0</v>
      </c>
      <c r="L66" s="1540">
        <f t="shared" si="9"/>
        <v>0</v>
      </c>
      <c r="M66" s="1399">
        <f t="shared" si="4"/>
        <v>0</v>
      </c>
      <c r="N66" s="1540">
        <f t="shared" si="10"/>
        <v>0</v>
      </c>
      <c r="O66" s="1171">
        <v>0</v>
      </c>
      <c r="P66" s="1546">
        <f t="shared" si="11"/>
        <v>0</v>
      </c>
      <c r="Q66" s="1173"/>
      <c r="R66" s="1173">
        <f t="shared" si="12"/>
        <v>0</v>
      </c>
      <c r="S66" s="1546">
        <f t="shared" si="13"/>
        <v>0</v>
      </c>
      <c r="T66" s="1546">
        <f t="shared" si="14"/>
        <v>0</v>
      </c>
      <c r="U66" s="1382">
        <f>'Table 5C1A-Madison Prep'!U66</f>
        <v>3922</v>
      </c>
      <c r="V66" s="1516">
        <f t="shared" si="15"/>
        <v>0</v>
      </c>
      <c r="W66" s="1400"/>
      <c r="X66" s="1383">
        <f t="shared" si="16"/>
        <v>0</v>
      </c>
      <c r="Y66" s="1400"/>
      <c r="Z66" s="1383">
        <f t="shared" si="17"/>
        <v>0</v>
      </c>
      <c r="AA66" s="1384">
        <f t="shared" si="18"/>
        <v>0</v>
      </c>
      <c r="AB66" s="1511">
        <f t="shared" si="19"/>
        <v>0</v>
      </c>
      <c r="AC66" s="1402">
        <f t="shared" si="20"/>
        <v>0</v>
      </c>
      <c r="AD66" s="1511">
        <f t="shared" si="21"/>
        <v>0</v>
      </c>
      <c r="AE66" s="1385">
        <v>0</v>
      </c>
      <c r="AF66" s="1511">
        <f t="shared" si="22"/>
        <v>0</v>
      </c>
      <c r="AG66" s="1385"/>
      <c r="AH66" s="1385">
        <f t="shared" si="23"/>
        <v>0</v>
      </c>
      <c r="AI66" s="1511">
        <f t="shared" si="24"/>
        <v>0</v>
      </c>
      <c r="AJ66" s="1531">
        <f t="shared" si="25"/>
        <v>0</v>
      </c>
      <c r="AK66" s="1536">
        <f t="shared" si="26"/>
        <v>0</v>
      </c>
    </row>
    <row r="67" spans="1:37" ht="16.2" customHeight="1">
      <c r="A67" s="1183">
        <v>61</v>
      </c>
      <c r="B67" s="1184" t="s">
        <v>140</v>
      </c>
      <c r="C67" s="1185">
        <v>0</v>
      </c>
      <c r="D67" s="1186">
        <f>+'Table 5C1A-Madison Prep'!D67</f>
        <v>2854.1575356369185</v>
      </c>
      <c r="E67" s="1187">
        <f t="shared" si="5"/>
        <v>0</v>
      </c>
      <c r="F67" s="1187">
        <f>+'Table 5C1A-Madison Prep'!F67</f>
        <v>833.70999999999992</v>
      </c>
      <c r="G67" s="1187">
        <f t="shared" si="6"/>
        <v>0</v>
      </c>
      <c r="H67" s="1538">
        <f t="shared" si="7"/>
        <v>0</v>
      </c>
      <c r="I67" s="1188"/>
      <c r="J67" s="1188"/>
      <c r="K67" s="1189">
        <f t="shared" si="8"/>
        <v>0</v>
      </c>
      <c r="L67" s="1538">
        <f t="shared" si="9"/>
        <v>0</v>
      </c>
      <c r="M67" s="1372">
        <f t="shared" si="4"/>
        <v>0</v>
      </c>
      <c r="N67" s="1538">
        <f t="shared" si="10"/>
        <v>0</v>
      </c>
      <c r="O67" s="1186">
        <v>0</v>
      </c>
      <c r="P67" s="1544">
        <f t="shared" si="11"/>
        <v>0</v>
      </c>
      <c r="Q67" s="1188"/>
      <c r="R67" s="1188">
        <f t="shared" si="12"/>
        <v>0</v>
      </c>
      <c r="S67" s="1544">
        <f t="shared" si="13"/>
        <v>0</v>
      </c>
      <c r="T67" s="1544">
        <f t="shared" si="14"/>
        <v>0</v>
      </c>
      <c r="U67" s="1373">
        <f>'Table 5C1A-Madison Prep'!U67</f>
        <v>6745</v>
      </c>
      <c r="V67" s="1514">
        <f t="shared" si="15"/>
        <v>0</v>
      </c>
      <c r="W67" s="1375"/>
      <c r="X67" s="1376">
        <f t="shared" si="16"/>
        <v>0</v>
      </c>
      <c r="Y67" s="1375"/>
      <c r="Z67" s="1376">
        <f t="shared" si="17"/>
        <v>0</v>
      </c>
      <c r="AA67" s="1374">
        <f t="shared" si="18"/>
        <v>0</v>
      </c>
      <c r="AB67" s="1509">
        <f t="shared" si="19"/>
        <v>0</v>
      </c>
      <c r="AC67" s="1378">
        <f t="shared" si="20"/>
        <v>0</v>
      </c>
      <c r="AD67" s="1509">
        <f t="shared" si="21"/>
        <v>0</v>
      </c>
      <c r="AE67" s="1379">
        <v>0</v>
      </c>
      <c r="AF67" s="1509">
        <f t="shared" si="22"/>
        <v>0</v>
      </c>
      <c r="AG67" s="1379"/>
      <c r="AH67" s="1379">
        <f t="shared" si="23"/>
        <v>0</v>
      </c>
      <c r="AI67" s="1509">
        <f t="shared" si="24"/>
        <v>0</v>
      </c>
      <c r="AJ67" s="1530">
        <f t="shared" si="25"/>
        <v>0</v>
      </c>
      <c r="AK67" s="1534">
        <f t="shared" si="26"/>
        <v>0</v>
      </c>
    </row>
    <row r="68" spans="1:37" ht="16.2" customHeight="1">
      <c r="A68" s="1176">
        <v>62</v>
      </c>
      <c r="B68" s="1177" t="s">
        <v>141</v>
      </c>
      <c r="C68" s="1178">
        <v>0</v>
      </c>
      <c r="D68" s="1179">
        <f>+'Table 5C1A-Madison Prep'!D68</f>
        <v>5901.074538516008</v>
      </c>
      <c r="E68" s="1180">
        <f t="shared" si="5"/>
        <v>0</v>
      </c>
      <c r="F68" s="1180">
        <f>+'Table 5C1A-Madison Prep'!F68</f>
        <v>516.08000000000004</v>
      </c>
      <c r="G68" s="1180">
        <f t="shared" si="6"/>
        <v>0</v>
      </c>
      <c r="H68" s="1539">
        <f t="shared" si="7"/>
        <v>0</v>
      </c>
      <c r="I68" s="1181"/>
      <c r="J68" s="1181"/>
      <c r="K68" s="1182">
        <f t="shared" si="8"/>
        <v>0</v>
      </c>
      <c r="L68" s="1539">
        <f t="shared" si="9"/>
        <v>0</v>
      </c>
      <c r="M68" s="1388">
        <f t="shared" si="4"/>
        <v>0</v>
      </c>
      <c r="N68" s="1539">
        <f t="shared" si="10"/>
        <v>0</v>
      </c>
      <c r="O68" s="1179">
        <v>0</v>
      </c>
      <c r="P68" s="1545">
        <f t="shared" si="11"/>
        <v>0</v>
      </c>
      <c r="Q68" s="1181"/>
      <c r="R68" s="1181">
        <f t="shared" si="12"/>
        <v>0</v>
      </c>
      <c r="S68" s="1545">
        <f t="shared" si="13"/>
        <v>0</v>
      </c>
      <c r="T68" s="1545">
        <f t="shared" si="14"/>
        <v>0</v>
      </c>
      <c r="U68" s="1389">
        <f>'Table 5C1A-Madison Prep'!U68</f>
        <v>1908</v>
      </c>
      <c r="V68" s="1515">
        <f t="shared" si="15"/>
        <v>0</v>
      </c>
      <c r="W68" s="1391"/>
      <c r="X68" s="1392">
        <f t="shared" si="16"/>
        <v>0</v>
      </c>
      <c r="Y68" s="1391"/>
      <c r="Z68" s="1392">
        <f t="shared" si="17"/>
        <v>0</v>
      </c>
      <c r="AA68" s="1390">
        <f t="shared" si="18"/>
        <v>0</v>
      </c>
      <c r="AB68" s="1510">
        <f t="shared" si="19"/>
        <v>0</v>
      </c>
      <c r="AC68" s="1394">
        <f t="shared" si="20"/>
        <v>0</v>
      </c>
      <c r="AD68" s="1510">
        <f t="shared" si="21"/>
        <v>0</v>
      </c>
      <c r="AE68" s="1395">
        <v>0</v>
      </c>
      <c r="AF68" s="1510">
        <f t="shared" si="22"/>
        <v>0</v>
      </c>
      <c r="AG68" s="1395"/>
      <c r="AH68" s="1395">
        <f t="shared" si="23"/>
        <v>0</v>
      </c>
      <c r="AI68" s="1510">
        <f t="shared" si="24"/>
        <v>0</v>
      </c>
      <c r="AJ68" s="1505">
        <f t="shared" si="25"/>
        <v>0</v>
      </c>
      <c r="AK68" s="1535">
        <f t="shared" si="26"/>
        <v>0</v>
      </c>
    </row>
    <row r="69" spans="1:37" ht="16.2" customHeight="1">
      <c r="A69" s="1176">
        <v>63</v>
      </c>
      <c r="B69" s="1177" t="s">
        <v>142</v>
      </c>
      <c r="C69" s="1178">
        <v>0</v>
      </c>
      <c r="D69" s="1179">
        <f>+'Table 5C1A-Madison Prep'!D69</f>
        <v>4124.3813481848092</v>
      </c>
      <c r="E69" s="1180">
        <f t="shared" si="5"/>
        <v>0</v>
      </c>
      <c r="F69" s="1180">
        <f>+'Table 5C1A-Madison Prep'!F69</f>
        <v>756.79</v>
      </c>
      <c r="G69" s="1180">
        <f t="shared" si="6"/>
        <v>0</v>
      </c>
      <c r="H69" s="1539">
        <f t="shared" si="7"/>
        <v>0</v>
      </c>
      <c r="I69" s="1181"/>
      <c r="J69" s="1181"/>
      <c r="K69" s="1182">
        <f t="shared" si="8"/>
        <v>0</v>
      </c>
      <c r="L69" s="1539">
        <f t="shared" si="9"/>
        <v>0</v>
      </c>
      <c r="M69" s="1388">
        <f t="shared" si="4"/>
        <v>0</v>
      </c>
      <c r="N69" s="1539">
        <f t="shared" si="10"/>
        <v>0</v>
      </c>
      <c r="O69" s="1179">
        <v>0</v>
      </c>
      <c r="P69" s="1545">
        <f t="shared" si="11"/>
        <v>0</v>
      </c>
      <c r="Q69" s="1181"/>
      <c r="R69" s="1181">
        <f t="shared" si="12"/>
        <v>0</v>
      </c>
      <c r="S69" s="1545">
        <f t="shared" si="13"/>
        <v>0</v>
      </c>
      <c r="T69" s="1545">
        <f t="shared" si="14"/>
        <v>0</v>
      </c>
      <c r="U69" s="1389">
        <f>'Table 5C1A-Madison Prep'!U69</f>
        <v>7290</v>
      </c>
      <c r="V69" s="1515">
        <f t="shared" si="15"/>
        <v>0</v>
      </c>
      <c r="W69" s="1391"/>
      <c r="X69" s="1392">
        <f t="shared" si="16"/>
        <v>0</v>
      </c>
      <c r="Y69" s="1391"/>
      <c r="Z69" s="1392">
        <f t="shared" si="17"/>
        <v>0</v>
      </c>
      <c r="AA69" s="1390">
        <f t="shared" si="18"/>
        <v>0</v>
      </c>
      <c r="AB69" s="1510">
        <f t="shared" si="19"/>
        <v>0</v>
      </c>
      <c r="AC69" s="1394">
        <f t="shared" si="20"/>
        <v>0</v>
      </c>
      <c r="AD69" s="1510">
        <f t="shared" si="21"/>
        <v>0</v>
      </c>
      <c r="AE69" s="1395">
        <v>0</v>
      </c>
      <c r="AF69" s="1510">
        <f t="shared" si="22"/>
        <v>0</v>
      </c>
      <c r="AG69" s="1395"/>
      <c r="AH69" s="1395">
        <f t="shared" si="23"/>
        <v>0</v>
      </c>
      <c r="AI69" s="1510">
        <f t="shared" si="24"/>
        <v>0</v>
      </c>
      <c r="AJ69" s="1505">
        <f t="shared" si="25"/>
        <v>0</v>
      </c>
      <c r="AK69" s="1535">
        <f t="shared" si="26"/>
        <v>0</v>
      </c>
    </row>
    <row r="70" spans="1:37" ht="16.2" customHeight="1">
      <c r="A70" s="1176">
        <v>64</v>
      </c>
      <c r="B70" s="1177" t="s">
        <v>143</v>
      </c>
      <c r="C70" s="1178">
        <v>0</v>
      </c>
      <c r="D70" s="1179">
        <f>+'Table 5C1A-Madison Prep'!D70</f>
        <v>6277.8307532778254</v>
      </c>
      <c r="E70" s="1180">
        <f t="shared" si="5"/>
        <v>0</v>
      </c>
      <c r="F70" s="1180">
        <f>+'Table 5C1A-Madison Prep'!F70</f>
        <v>592.66</v>
      </c>
      <c r="G70" s="1180">
        <f t="shared" si="6"/>
        <v>0</v>
      </c>
      <c r="H70" s="1539">
        <f t="shared" si="7"/>
        <v>0</v>
      </c>
      <c r="I70" s="1181"/>
      <c r="J70" s="1181"/>
      <c r="K70" s="1182">
        <f t="shared" si="8"/>
        <v>0</v>
      </c>
      <c r="L70" s="1539">
        <f t="shared" si="9"/>
        <v>0</v>
      </c>
      <c r="M70" s="1388">
        <f t="shared" si="4"/>
        <v>0</v>
      </c>
      <c r="N70" s="1539">
        <f t="shared" si="10"/>
        <v>0</v>
      </c>
      <c r="O70" s="1179">
        <v>0</v>
      </c>
      <c r="P70" s="1545">
        <f t="shared" si="11"/>
        <v>0</v>
      </c>
      <c r="Q70" s="1181"/>
      <c r="R70" s="1181">
        <f t="shared" si="12"/>
        <v>0</v>
      </c>
      <c r="S70" s="1545">
        <f t="shared" si="13"/>
        <v>0</v>
      </c>
      <c r="T70" s="1545">
        <f t="shared" si="14"/>
        <v>0</v>
      </c>
      <c r="U70" s="1389">
        <f>'Table 5C1A-Madison Prep'!U70</f>
        <v>2721</v>
      </c>
      <c r="V70" s="1515">
        <f t="shared" si="15"/>
        <v>0</v>
      </c>
      <c r="W70" s="1391"/>
      <c r="X70" s="1392">
        <f t="shared" si="16"/>
        <v>0</v>
      </c>
      <c r="Y70" s="1391"/>
      <c r="Z70" s="1392">
        <f t="shared" si="17"/>
        <v>0</v>
      </c>
      <c r="AA70" s="1390">
        <f t="shared" si="18"/>
        <v>0</v>
      </c>
      <c r="AB70" s="1510">
        <f t="shared" si="19"/>
        <v>0</v>
      </c>
      <c r="AC70" s="1394">
        <f t="shared" si="20"/>
        <v>0</v>
      </c>
      <c r="AD70" s="1510">
        <f t="shared" si="21"/>
        <v>0</v>
      </c>
      <c r="AE70" s="1395">
        <v>0</v>
      </c>
      <c r="AF70" s="1510">
        <f t="shared" si="22"/>
        <v>0</v>
      </c>
      <c r="AG70" s="1395"/>
      <c r="AH70" s="1395">
        <f t="shared" si="23"/>
        <v>0</v>
      </c>
      <c r="AI70" s="1510">
        <f t="shared" si="24"/>
        <v>0</v>
      </c>
      <c r="AJ70" s="1505">
        <f t="shared" si="25"/>
        <v>0</v>
      </c>
      <c r="AK70" s="1535">
        <f t="shared" si="26"/>
        <v>0</v>
      </c>
    </row>
    <row r="71" spans="1:37" ht="16.2" customHeight="1">
      <c r="A71" s="1168">
        <v>65</v>
      </c>
      <c r="B71" s="1169" t="s">
        <v>144</v>
      </c>
      <c r="C71" s="1170">
        <v>0</v>
      </c>
      <c r="D71" s="1171">
        <f>+'Table 5C1A-Madison Prep'!D71</f>
        <v>4775.1605543943642</v>
      </c>
      <c r="E71" s="1172">
        <f t="shared" si="5"/>
        <v>0</v>
      </c>
      <c r="F71" s="1172">
        <f>+'Table 5C1A-Madison Prep'!F71</f>
        <v>829.12</v>
      </c>
      <c r="G71" s="1172">
        <f t="shared" si="6"/>
        <v>0</v>
      </c>
      <c r="H71" s="1540">
        <f t="shared" si="7"/>
        <v>0</v>
      </c>
      <c r="I71" s="1173"/>
      <c r="J71" s="1173"/>
      <c r="K71" s="1174">
        <f t="shared" si="8"/>
        <v>0</v>
      </c>
      <c r="L71" s="1540">
        <f t="shared" si="9"/>
        <v>0</v>
      </c>
      <c r="M71" s="1399">
        <f t="shared" ref="M71:M74" si="27">-(0.25%*L71)</f>
        <v>0</v>
      </c>
      <c r="N71" s="1540">
        <f t="shared" si="10"/>
        <v>0</v>
      </c>
      <c r="O71" s="1171">
        <v>0</v>
      </c>
      <c r="P71" s="1546">
        <f t="shared" si="11"/>
        <v>0</v>
      </c>
      <c r="Q71" s="1173"/>
      <c r="R71" s="1173">
        <f t="shared" si="12"/>
        <v>0</v>
      </c>
      <c r="S71" s="1546">
        <f t="shared" si="13"/>
        <v>0</v>
      </c>
      <c r="T71" s="1546">
        <f t="shared" si="14"/>
        <v>0</v>
      </c>
      <c r="U71" s="1382">
        <f>'Table 5C1A-Madison Prep'!U71</f>
        <v>5110</v>
      </c>
      <c r="V71" s="1516">
        <f t="shared" si="15"/>
        <v>0</v>
      </c>
      <c r="W71" s="1400"/>
      <c r="X71" s="1383">
        <f t="shared" si="16"/>
        <v>0</v>
      </c>
      <c r="Y71" s="1400"/>
      <c r="Z71" s="1383">
        <f t="shared" si="17"/>
        <v>0</v>
      </c>
      <c r="AA71" s="1384">
        <f t="shared" si="18"/>
        <v>0</v>
      </c>
      <c r="AB71" s="1511">
        <f t="shared" si="19"/>
        <v>0</v>
      </c>
      <c r="AC71" s="1402">
        <f t="shared" si="20"/>
        <v>0</v>
      </c>
      <c r="AD71" s="1511">
        <f t="shared" si="21"/>
        <v>0</v>
      </c>
      <c r="AE71" s="1385">
        <v>0</v>
      </c>
      <c r="AF71" s="1511">
        <f t="shared" si="22"/>
        <v>0</v>
      </c>
      <c r="AG71" s="1385"/>
      <c r="AH71" s="1385">
        <f t="shared" si="23"/>
        <v>0</v>
      </c>
      <c r="AI71" s="1511">
        <f t="shared" si="24"/>
        <v>0</v>
      </c>
      <c r="AJ71" s="1531">
        <f t="shared" si="25"/>
        <v>0</v>
      </c>
      <c r="AK71" s="1536">
        <f t="shared" si="26"/>
        <v>0</v>
      </c>
    </row>
    <row r="72" spans="1:37" ht="16.2" customHeight="1">
      <c r="A72" s="1176">
        <v>66</v>
      </c>
      <c r="B72" s="1177" t="s">
        <v>145</v>
      </c>
      <c r="C72" s="1197">
        <v>0</v>
      </c>
      <c r="D72" s="1198">
        <f>+'Table 5C1A-Madison Prep'!D72</f>
        <v>6564.0085433910035</v>
      </c>
      <c r="E72" s="1199">
        <f t="shared" ref="E72:E75" si="28">C72*D72</f>
        <v>0</v>
      </c>
      <c r="F72" s="1199">
        <f>+'Table 5C1A-Madison Prep'!F72</f>
        <v>730.06</v>
      </c>
      <c r="G72" s="1199">
        <f t="shared" ref="G72:G75" si="29">C72*F72</f>
        <v>0</v>
      </c>
      <c r="H72" s="1403">
        <f t="shared" ref="H72:H75" si="30">E72+G72</f>
        <v>0</v>
      </c>
      <c r="I72" s="1200"/>
      <c r="J72" s="1200"/>
      <c r="K72" s="1201">
        <f t="shared" ref="K72:K75" si="31">+I72+J72</f>
        <v>0</v>
      </c>
      <c r="L72" s="1403">
        <f t="shared" ref="L72:L75" si="32">+H72+K72</f>
        <v>0</v>
      </c>
      <c r="M72" s="1423">
        <f t="shared" si="27"/>
        <v>0</v>
      </c>
      <c r="N72" s="1403">
        <f t="shared" ref="N72:N75" si="33">SUM(L72:M72)</f>
        <v>0</v>
      </c>
      <c r="O72" s="1198">
        <v>0</v>
      </c>
      <c r="P72" s="1398">
        <f t="shared" ref="P72:P75" si="34">SUM(N72:O72)</f>
        <v>0</v>
      </c>
      <c r="Q72" s="1200"/>
      <c r="R72" s="1200">
        <f t="shared" ref="R72:R75" si="35">+P72-Q72</f>
        <v>0</v>
      </c>
      <c r="S72" s="1398">
        <f t="shared" ref="S72:S75" si="36">ROUND(R72/12,0)</f>
        <v>0</v>
      </c>
      <c r="T72" s="1398">
        <f t="shared" ref="T72:T75" si="37">+P72</f>
        <v>0</v>
      </c>
      <c r="U72" s="1389">
        <f>'Table 5C1A-Madison Prep'!U72</f>
        <v>3369</v>
      </c>
      <c r="V72" s="1515">
        <f t="shared" ref="V72:V75" si="38">C72*U72</f>
        <v>0</v>
      </c>
      <c r="W72" s="1391"/>
      <c r="X72" s="1392">
        <f t="shared" ref="X72:X75" si="39">+U72*W72</f>
        <v>0</v>
      </c>
      <c r="Y72" s="1391"/>
      <c r="Z72" s="1392">
        <f t="shared" ref="Z72:Z75" si="40">+U72*Y72*0.5</f>
        <v>0</v>
      </c>
      <c r="AA72" s="1390">
        <f t="shared" ref="AA72:AA75" si="41">+X72+Z72</f>
        <v>0</v>
      </c>
      <c r="AB72" s="1510">
        <f t="shared" ref="AB72:AB75" si="42">+V72+AA72</f>
        <v>0</v>
      </c>
      <c r="AC72" s="1394">
        <f t="shared" ref="AC72:AC75" si="43">-(0.25%*AB72)</f>
        <v>0</v>
      </c>
      <c r="AD72" s="1510">
        <f t="shared" ref="AD72:AD75" si="44">SUM(AB72:AC72)</f>
        <v>0</v>
      </c>
      <c r="AE72" s="1395">
        <v>0</v>
      </c>
      <c r="AF72" s="1510">
        <f t="shared" ref="AF72:AF75" si="45">SUM(AD72:AE72)</f>
        <v>0</v>
      </c>
      <c r="AG72" s="1395"/>
      <c r="AH72" s="1395">
        <f t="shared" ref="AH72:AH75" si="46">+AF72-AG72</f>
        <v>0</v>
      </c>
      <c r="AI72" s="1510">
        <f t="shared" ref="AI72:AI75" si="47">ROUND(AH72/12,0)</f>
        <v>0</v>
      </c>
      <c r="AJ72" s="1505">
        <f t="shared" ref="AJ72:AJ75" si="48">T72+AF72</f>
        <v>0</v>
      </c>
      <c r="AK72" s="1505">
        <f t="shared" ref="AK72:AK75" si="49">S72+AI72</f>
        <v>0</v>
      </c>
    </row>
    <row r="73" spans="1:37" ht="16.2" customHeight="1">
      <c r="A73" s="1176">
        <v>67</v>
      </c>
      <c r="B73" s="1177" t="s">
        <v>30</v>
      </c>
      <c r="C73" s="1197">
        <v>0</v>
      </c>
      <c r="D73" s="1198">
        <f>+'Table 5C1A-Madison Prep'!D73</f>
        <v>5029.1467736134118</v>
      </c>
      <c r="E73" s="1199">
        <f t="shared" si="28"/>
        <v>0</v>
      </c>
      <c r="F73" s="1199">
        <f>+'Table 5C1A-Madison Prep'!F73</f>
        <v>715.61</v>
      </c>
      <c r="G73" s="1199">
        <f t="shared" si="29"/>
        <v>0</v>
      </c>
      <c r="H73" s="1403">
        <f t="shared" si="30"/>
        <v>0</v>
      </c>
      <c r="I73" s="1200"/>
      <c r="J73" s="1200"/>
      <c r="K73" s="1201">
        <f t="shared" si="31"/>
        <v>0</v>
      </c>
      <c r="L73" s="1403">
        <f t="shared" si="32"/>
        <v>0</v>
      </c>
      <c r="M73" s="1423">
        <f t="shared" si="27"/>
        <v>0</v>
      </c>
      <c r="N73" s="1403">
        <f t="shared" si="33"/>
        <v>0</v>
      </c>
      <c r="O73" s="1198">
        <v>0</v>
      </c>
      <c r="P73" s="1398">
        <f t="shared" si="34"/>
        <v>0</v>
      </c>
      <c r="Q73" s="1200"/>
      <c r="R73" s="1200">
        <f t="shared" si="35"/>
        <v>0</v>
      </c>
      <c r="S73" s="1398">
        <f t="shared" si="36"/>
        <v>0</v>
      </c>
      <c r="T73" s="1398">
        <f t="shared" si="37"/>
        <v>0</v>
      </c>
      <c r="U73" s="1389">
        <f>'Table 5C1A-Madison Prep'!U73</f>
        <v>5015</v>
      </c>
      <c r="V73" s="1515">
        <f t="shared" si="38"/>
        <v>0</v>
      </c>
      <c r="W73" s="1391"/>
      <c r="X73" s="1392">
        <f t="shared" si="39"/>
        <v>0</v>
      </c>
      <c r="Y73" s="1391"/>
      <c r="Z73" s="1392">
        <f t="shared" si="40"/>
        <v>0</v>
      </c>
      <c r="AA73" s="1390">
        <f t="shared" si="41"/>
        <v>0</v>
      </c>
      <c r="AB73" s="1510">
        <f t="shared" si="42"/>
        <v>0</v>
      </c>
      <c r="AC73" s="1394">
        <f t="shared" si="43"/>
        <v>0</v>
      </c>
      <c r="AD73" s="1510">
        <f t="shared" si="44"/>
        <v>0</v>
      </c>
      <c r="AE73" s="1395">
        <v>0</v>
      </c>
      <c r="AF73" s="1510">
        <f t="shared" si="45"/>
        <v>0</v>
      </c>
      <c r="AG73" s="1395"/>
      <c r="AH73" s="1395">
        <f t="shared" si="46"/>
        <v>0</v>
      </c>
      <c r="AI73" s="1510">
        <f t="shared" si="47"/>
        <v>0</v>
      </c>
      <c r="AJ73" s="1505">
        <f t="shared" si="48"/>
        <v>0</v>
      </c>
      <c r="AK73" s="1505">
        <f t="shared" si="49"/>
        <v>0</v>
      </c>
    </row>
    <row r="74" spans="1:37" ht="16.2" customHeight="1">
      <c r="A74" s="1176">
        <v>68</v>
      </c>
      <c r="B74" s="1177" t="s">
        <v>28</v>
      </c>
      <c r="C74" s="1197">
        <v>247</v>
      </c>
      <c r="D74" s="1198">
        <f>+'Table 5C1A-Madison Prep'!D74</f>
        <v>6390.1644202560601</v>
      </c>
      <c r="E74" s="1199">
        <f t="shared" si="28"/>
        <v>1578370.6118032469</v>
      </c>
      <c r="F74" s="1199">
        <f>+'Table 5C1A-Madison Prep'!F74</f>
        <v>798.7</v>
      </c>
      <c r="G74" s="1199">
        <f t="shared" si="29"/>
        <v>197278.90000000002</v>
      </c>
      <c r="H74" s="1403">
        <f t="shared" si="30"/>
        <v>1775649.511803247</v>
      </c>
      <c r="I74" s="1200"/>
      <c r="J74" s="1200"/>
      <c r="K74" s="1201">
        <f t="shared" si="31"/>
        <v>0</v>
      </c>
      <c r="L74" s="1403">
        <f t="shared" si="32"/>
        <v>1775649.511803247</v>
      </c>
      <c r="M74" s="1423">
        <f t="shared" si="27"/>
        <v>-4439.1237795081179</v>
      </c>
      <c r="N74" s="1403">
        <f t="shared" si="33"/>
        <v>1771210.388023739</v>
      </c>
      <c r="O74" s="1198">
        <v>0</v>
      </c>
      <c r="P74" s="1398">
        <f t="shared" si="34"/>
        <v>1771210.388023739</v>
      </c>
      <c r="Q74" s="1200"/>
      <c r="R74" s="1200">
        <f t="shared" si="35"/>
        <v>1771210.388023739</v>
      </c>
      <c r="S74" s="1398">
        <f t="shared" si="36"/>
        <v>147601</v>
      </c>
      <c r="T74" s="1398">
        <f t="shared" si="37"/>
        <v>1771210.388023739</v>
      </c>
      <c r="U74" s="1389">
        <f>'Table 5C1A-Madison Prep'!U74</f>
        <v>2669</v>
      </c>
      <c r="V74" s="1515">
        <f t="shared" si="38"/>
        <v>659243</v>
      </c>
      <c r="W74" s="1391"/>
      <c r="X74" s="1392">
        <f t="shared" si="39"/>
        <v>0</v>
      </c>
      <c r="Y74" s="1391"/>
      <c r="Z74" s="1392">
        <f t="shared" si="40"/>
        <v>0</v>
      </c>
      <c r="AA74" s="1390">
        <f t="shared" si="41"/>
        <v>0</v>
      </c>
      <c r="AB74" s="1510">
        <f t="shared" si="42"/>
        <v>659243</v>
      </c>
      <c r="AC74" s="1394">
        <f t="shared" si="43"/>
        <v>-1648.1075000000001</v>
      </c>
      <c r="AD74" s="1510">
        <f t="shared" si="44"/>
        <v>657594.89249999996</v>
      </c>
      <c r="AE74" s="1395">
        <v>0</v>
      </c>
      <c r="AF74" s="1510">
        <f t="shared" si="45"/>
        <v>657594.89249999996</v>
      </c>
      <c r="AG74" s="1395"/>
      <c r="AH74" s="1395">
        <f t="shared" si="46"/>
        <v>657594.89249999996</v>
      </c>
      <c r="AI74" s="1510">
        <f t="shared" si="47"/>
        <v>54800</v>
      </c>
      <c r="AJ74" s="1505">
        <f t="shared" si="48"/>
        <v>2428805.2805237388</v>
      </c>
      <c r="AK74" s="1505">
        <f t="shared" si="49"/>
        <v>202401</v>
      </c>
    </row>
    <row r="75" spans="1:37" ht="16.2" customHeight="1">
      <c r="A75" s="1190">
        <v>69</v>
      </c>
      <c r="B75" s="1191" t="s">
        <v>183</v>
      </c>
      <c r="C75" s="1192">
        <v>0</v>
      </c>
      <c r="D75" s="1193">
        <f>+'Table 5C1A-Madison Prep'!D75</f>
        <v>5722.4947921281337</v>
      </c>
      <c r="E75" s="1194">
        <f t="shared" si="28"/>
        <v>0</v>
      </c>
      <c r="F75" s="1194">
        <f>+'Table 5C1A-Madison Prep'!F75</f>
        <v>705.67</v>
      </c>
      <c r="G75" s="1194">
        <f t="shared" si="29"/>
        <v>0</v>
      </c>
      <c r="H75" s="1541">
        <f t="shared" si="30"/>
        <v>0</v>
      </c>
      <c r="I75" s="1195"/>
      <c r="J75" s="1195"/>
      <c r="K75" s="1196">
        <f t="shared" si="31"/>
        <v>0</v>
      </c>
      <c r="L75" s="1541">
        <f t="shared" si="32"/>
        <v>0</v>
      </c>
      <c r="M75" s="1405">
        <f>-(0.25%*L75)</f>
        <v>0</v>
      </c>
      <c r="N75" s="1541">
        <f t="shared" si="33"/>
        <v>0</v>
      </c>
      <c r="O75" s="1193">
        <v>0</v>
      </c>
      <c r="P75" s="1547">
        <f t="shared" si="34"/>
        <v>0</v>
      </c>
      <c r="Q75" s="1195"/>
      <c r="R75" s="1195">
        <f t="shared" si="35"/>
        <v>0</v>
      </c>
      <c r="S75" s="1547">
        <f t="shared" si="36"/>
        <v>0</v>
      </c>
      <c r="T75" s="1547">
        <f t="shared" si="37"/>
        <v>0</v>
      </c>
      <c r="U75" s="653">
        <f>'Table 5C1A-Madison Prep'!U75</f>
        <v>3394</v>
      </c>
      <c r="V75" s="1517">
        <f t="shared" si="38"/>
        <v>0</v>
      </c>
      <c r="W75" s="1407"/>
      <c r="X75" s="1408">
        <f t="shared" si="39"/>
        <v>0</v>
      </c>
      <c r="Y75" s="1407"/>
      <c r="Z75" s="1408">
        <f t="shared" si="40"/>
        <v>0</v>
      </c>
      <c r="AA75" s="1406">
        <f t="shared" si="41"/>
        <v>0</v>
      </c>
      <c r="AB75" s="1512">
        <f t="shared" si="42"/>
        <v>0</v>
      </c>
      <c r="AC75" s="1410">
        <f t="shared" si="43"/>
        <v>0</v>
      </c>
      <c r="AD75" s="1512">
        <f t="shared" si="44"/>
        <v>0</v>
      </c>
      <c r="AE75" s="1416">
        <v>0</v>
      </c>
      <c r="AF75" s="1512">
        <f t="shared" si="45"/>
        <v>0</v>
      </c>
      <c r="AG75" s="1416"/>
      <c r="AH75" s="1416">
        <f t="shared" si="46"/>
        <v>0</v>
      </c>
      <c r="AI75" s="1512">
        <f t="shared" si="47"/>
        <v>0</v>
      </c>
      <c r="AJ75" s="1506">
        <f t="shared" si="48"/>
        <v>0</v>
      </c>
      <c r="AK75" s="1506">
        <f t="shared" si="49"/>
        <v>0</v>
      </c>
    </row>
    <row r="76" spans="1:37" ht="16.2" customHeight="1" thickBot="1">
      <c r="A76" s="2221" t="s">
        <v>1045</v>
      </c>
      <c r="B76" s="2194"/>
      <c r="C76" s="1106">
        <f>SUM(C7:C75)</f>
        <v>380</v>
      </c>
      <c r="D76" s="471">
        <f>+'Table 5C1A-Madison Prep'!D76</f>
        <v>4479.9292126977662</v>
      </c>
      <c r="E76" s="480">
        <f>SUM(E7:E75)</f>
        <v>2025729.1507010316</v>
      </c>
      <c r="F76" s="480">
        <f>+'Table 5C1A-Madison Prep'!F76</f>
        <v>704.64781030742063</v>
      </c>
      <c r="G76" s="480">
        <f t="shared" ref="G76:R76" si="50">SUM(G7:G75)</f>
        <v>303875.42401435308</v>
      </c>
      <c r="H76" s="1542">
        <f t="shared" si="50"/>
        <v>2329604.5747153847</v>
      </c>
      <c r="I76" s="640">
        <f t="shared" si="50"/>
        <v>0</v>
      </c>
      <c r="J76" s="640">
        <f t="shared" si="50"/>
        <v>0</v>
      </c>
      <c r="K76" s="616">
        <f t="shared" si="50"/>
        <v>0</v>
      </c>
      <c r="L76" s="1560">
        <f t="shared" si="50"/>
        <v>2329604.5747153847</v>
      </c>
      <c r="M76" s="481">
        <f t="shared" si="50"/>
        <v>-5824.0114367884626</v>
      </c>
      <c r="N76" s="1542">
        <f t="shared" si="50"/>
        <v>2323780.5632785964</v>
      </c>
      <c r="O76" s="471">
        <f t="shared" si="50"/>
        <v>0</v>
      </c>
      <c r="P76" s="1548">
        <f t="shared" si="50"/>
        <v>2323780.5632785964</v>
      </c>
      <c r="Q76" s="640"/>
      <c r="R76" s="640">
        <f t="shared" si="50"/>
        <v>2323780.5632785964</v>
      </c>
      <c r="S76" s="1548">
        <f>SUM(S7:S75)</f>
        <v>193649</v>
      </c>
      <c r="T76" s="1548">
        <f>SUM(T7:T75)</f>
        <v>2323780.5632785964</v>
      </c>
      <c r="U76" s="658">
        <f>'Table 5C1A-Madison Prep'!U76</f>
        <v>4663</v>
      </c>
      <c r="V76" s="1518">
        <f t="shared" ref="V76:AK76" si="51">SUM(V7:V75)</f>
        <v>1596893</v>
      </c>
      <c r="W76" s="646">
        <f t="shared" si="51"/>
        <v>0</v>
      </c>
      <c r="X76" s="647">
        <f t="shared" si="51"/>
        <v>0</v>
      </c>
      <c r="Y76" s="646">
        <f t="shared" si="51"/>
        <v>0</v>
      </c>
      <c r="Z76" s="647">
        <f t="shared" si="51"/>
        <v>0</v>
      </c>
      <c r="AA76" s="633">
        <f t="shared" si="51"/>
        <v>0</v>
      </c>
      <c r="AB76" s="1520">
        <f t="shared" si="51"/>
        <v>1596893</v>
      </c>
      <c r="AC76" s="482">
        <f t="shared" si="51"/>
        <v>-3992.2325000000001</v>
      </c>
      <c r="AD76" s="1518">
        <f t="shared" si="51"/>
        <v>1592900.7675000001</v>
      </c>
      <c r="AE76" s="660">
        <f t="shared" si="51"/>
        <v>0</v>
      </c>
      <c r="AF76" s="1518">
        <f t="shared" si="51"/>
        <v>1592900.7675000001</v>
      </c>
      <c r="AG76" s="647">
        <f t="shared" si="51"/>
        <v>0</v>
      </c>
      <c r="AH76" s="647">
        <f t="shared" si="51"/>
        <v>1592900.7675000001</v>
      </c>
      <c r="AI76" s="1518">
        <f t="shared" si="51"/>
        <v>132742</v>
      </c>
      <c r="AJ76" s="1532">
        <f t="shared" si="51"/>
        <v>3916681.3307785965</v>
      </c>
      <c r="AK76" s="1532">
        <f t="shared" si="51"/>
        <v>326391</v>
      </c>
    </row>
    <row r="77" spans="1:37" ht="16.2" customHeight="1" thickTop="1">
      <c r="A77" s="2330" t="s">
        <v>1039</v>
      </c>
      <c r="B77" s="2338"/>
      <c r="C77" s="1425"/>
      <c r="D77" s="1198"/>
      <c r="E77" s="1198"/>
      <c r="F77" s="1198"/>
      <c r="G77" s="1198"/>
      <c r="H77" s="1198"/>
      <c r="I77" s="1200"/>
      <c r="J77" s="1200"/>
      <c r="K77" s="1200"/>
      <c r="L77" s="1198"/>
      <c r="M77" s="1200"/>
      <c r="N77" s="1198"/>
      <c r="O77" s="1198"/>
      <c r="P77" s="1398">
        <f>'Table 4 Level 4'!$E114</f>
        <v>0</v>
      </c>
      <c r="Q77" s="1200"/>
      <c r="R77" s="1200">
        <f t="shared" ref="R77" si="52">+P77-Q77</f>
        <v>0</v>
      </c>
      <c r="S77" s="1398">
        <f t="shared" ref="S77" si="53">ROUND(R77/12,0)</f>
        <v>0</v>
      </c>
      <c r="T77" s="1398">
        <f>'Table 4 Level 4'!$E114</f>
        <v>0</v>
      </c>
      <c r="U77" s="1389"/>
      <c r="V77" s="1392"/>
      <c r="W77" s="1391"/>
      <c r="X77" s="1392"/>
      <c r="Y77" s="1391"/>
      <c r="Z77" s="1392"/>
      <c r="AA77" s="1392"/>
      <c r="AB77" s="1395"/>
      <c r="AC77" s="1392"/>
      <c r="AD77" s="1395"/>
      <c r="AE77" s="1395"/>
      <c r="AF77" s="1395"/>
      <c r="AG77" s="1395"/>
      <c r="AH77" s="1395"/>
      <c r="AI77" s="1395"/>
      <c r="AJ77" s="1505">
        <f t="shared" ref="AJ77:AJ81" si="54">T77+AF77</f>
        <v>0</v>
      </c>
      <c r="AK77" s="1505">
        <f t="shared" ref="AK77:AK81" si="55">S77+AI77</f>
        <v>0</v>
      </c>
    </row>
    <row r="78" spans="1:37" ht="16.2" customHeight="1">
      <c r="A78" s="2332" t="s">
        <v>1040</v>
      </c>
      <c r="B78" s="2339"/>
      <c r="C78" s="1425"/>
      <c r="D78" s="1198"/>
      <c r="E78" s="1198"/>
      <c r="F78" s="1198"/>
      <c r="G78" s="1198"/>
      <c r="H78" s="1198"/>
      <c r="I78" s="1200"/>
      <c r="J78" s="1200"/>
      <c r="K78" s="1200"/>
      <c r="L78" s="1198"/>
      <c r="M78" s="1200"/>
      <c r="N78" s="1198"/>
      <c r="O78" s="1198"/>
      <c r="P78" s="1200">
        <v>0</v>
      </c>
      <c r="Q78" s="1200"/>
      <c r="R78" s="1200"/>
      <c r="S78" s="1200">
        <v>0</v>
      </c>
      <c r="T78" s="1398">
        <f>'Table 4 Level 4'!$J114</f>
        <v>0</v>
      </c>
      <c r="U78" s="1389"/>
      <c r="V78" s="1392"/>
      <c r="W78" s="1391"/>
      <c r="X78" s="1392"/>
      <c r="Y78" s="1391"/>
      <c r="Z78" s="1392"/>
      <c r="AA78" s="1392"/>
      <c r="AB78" s="1395"/>
      <c r="AC78" s="1392"/>
      <c r="AD78" s="1395"/>
      <c r="AE78" s="1395"/>
      <c r="AF78" s="1395"/>
      <c r="AG78" s="1395"/>
      <c r="AH78" s="1395"/>
      <c r="AI78" s="1395"/>
      <c r="AJ78" s="1505">
        <f t="shared" si="54"/>
        <v>0</v>
      </c>
      <c r="AK78" s="1395"/>
    </row>
    <row r="79" spans="1:37" ht="16.2" customHeight="1">
      <c r="A79" s="2332" t="s">
        <v>1041</v>
      </c>
      <c r="B79" s="2339"/>
      <c r="C79" s="1425"/>
      <c r="D79" s="1198"/>
      <c r="E79" s="1198"/>
      <c r="F79" s="1198"/>
      <c r="G79" s="1198"/>
      <c r="H79" s="1198"/>
      <c r="I79" s="1200"/>
      <c r="J79" s="1200"/>
      <c r="K79" s="1200"/>
      <c r="L79" s="1198"/>
      <c r="M79" s="1200"/>
      <c r="N79" s="1198"/>
      <c r="O79" s="1198"/>
      <c r="P79" s="1200">
        <v>0</v>
      </c>
      <c r="Q79" s="1200"/>
      <c r="R79" s="1200"/>
      <c r="S79" s="1200">
        <v>0</v>
      </c>
      <c r="T79" s="1398">
        <f>'Table 4 Level 4'!$K114</f>
        <v>0</v>
      </c>
      <c r="U79" s="1389"/>
      <c r="V79" s="1392"/>
      <c r="W79" s="1391"/>
      <c r="X79" s="1392"/>
      <c r="Y79" s="1391"/>
      <c r="Z79" s="1392"/>
      <c r="AA79" s="1392"/>
      <c r="AB79" s="1395"/>
      <c r="AC79" s="1392"/>
      <c r="AD79" s="1395"/>
      <c r="AE79" s="1395"/>
      <c r="AF79" s="1395"/>
      <c r="AG79" s="1395"/>
      <c r="AH79" s="1395"/>
      <c r="AI79" s="1395"/>
      <c r="AJ79" s="1505">
        <f t="shared" si="54"/>
        <v>0</v>
      </c>
      <c r="AK79" s="1395"/>
    </row>
    <row r="80" spans="1:37" ht="16.2" customHeight="1">
      <c r="A80" s="2332" t="s">
        <v>1042</v>
      </c>
      <c r="B80" s="2339"/>
      <c r="C80" s="1425"/>
      <c r="D80" s="1198"/>
      <c r="E80" s="1198"/>
      <c r="F80" s="1198"/>
      <c r="G80" s="1198"/>
      <c r="H80" s="1198"/>
      <c r="I80" s="1200"/>
      <c r="J80" s="1200"/>
      <c r="K80" s="1200"/>
      <c r="L80" s="1198"/>
      <c r="M80" s="1200"/>
      <c r="N80" s="1198"/>
      <c r="O80" s="1198"/>
      <c r="P80" s="1200">
        <v>0</v>
      </c>
      <c r="Q80" s="1200"/>
      <c r="R80" s="1200"/>
      <c r="S80" s="1200">
        <v>0</v>
      </c>
      <c r="T80" s="1398">
        <f>'Table 4 Level 4'!$L114</f>
        <v>0</v>
      </c>
      <c r="U80" s="1389"/>
      <c r="V80" s="1392"/>
      <c r="W80" s="1391"/>
      <c r="X80" s="1392"/>
      <c r="Y80" s="1391"/>
      <c r="Z80" s="1392"/>
      <c r="AA80" s="1392"/>
      <c r="AB80" s="1395"/>
      <c r="AC80" s="1392"/>
      <c r="AD80" s="1395"/>
      <c r="AE80" s="1395"/>
      <c r="AF80" s="1395"/>
      <c r="AG80" s="1395"/>
      <c r="AH80" s="1395"/>
      <c r="AI80" s="1395"/>
      <c r="AJ80" s="1505">
        <f t="shared" si="54"/>
        <v>0</v>
      </c>
      <c r="AK80" s="1395"/>
    </row>
    <row r="81" spans="1:37" ht="16.2" customHeight="1">
      <c r="A81" s="2340" t="s">
        <v>1043</v>
      </c>
      <c r="B81" s="2341"/>
      <c r="C81" s="1417"/>
      <c r="D81" s="1193"/>
      <c r="E81" s="1193"/>
      <c r="F81" s="1193"/>
      <c r="G81" s="1193"/>
      <c r="H81" s="1193"/>
      <c r="I81" s="1195"/>
      <c r="J81" s="1195"/>
      <c r="K81" s="1195"/>
      <c r="L81" s="1193"/>
      <c r="M81" s="1195"/>
      <c r="N81" s="1193"/>
      <c r="O81" s="1193"/>
      <c r="P81" s="1547">
        <f>'Table 4 Level 4'!$N114</f>
        <v>0</v>
      </c>
      <c r="Q81" s="1195"/>
      <c r="R81" s="1195">
        <f t="shared" ref="R81" si="56">+P81-Q81</f>
        <v>0</v>
      </c>
      <c r="S81" s="1547">
        <f t="shared" ref="S81" si="57">ROUND(R81/12,0)</f>
        <v>0</v>
      </c>
      <c r="T81" s="1547">
        <f>'Table 4 Level 4'!$N114</f>
        <v>0</v>
      </c>
      <c r="U81" s="1418"/>
      <c r="V81" s="1408"/>
      <c r="W81" s="1407"/>
      <c r="X81" s="1408"/>
      <c r="Y81" s="1407"/>
      <c r="Z81" s="1408"/>
      <c r="AA81" s="1408"/>
      <c r="AB81" s="1416"/>
      <c r="AC81" s="1408"/>
      <c r="AD81" s="1416"/>
      <c r="AE81" s="1416"/>
      <c r="AF81" s="1416"/>
      <c r="AG81" s="1416"/>
      <c r="AH81" s="1416"/>
      <c r="AI81" s="1416"/>
      <c r="AJ81" s="1506">
        <f t="shared" si="54"/>
        <v>0</v>
      </c>
      <c r="AK81" s="1506">
        <f t="shared" si="55"/>
        <v>0</v>
      </c>
    </row>
    <row r="82" spans="1:37" ht="16.2" customHeight="1" thickBot="1">
      <c r="A82" s="2221" t="s">
        <v>1044</v>
      </c>
      <c r="B82" s="2194"/>
      <c r="C82" s="1052">
        <f>SUM(C76:C81)</f>
        <v>380</v>
      </c>
      <c r="D82" s="1046">
        <f t="shared" ref="D82:AK82" si="58">SUM(D76:D81)</f>
        <v>4479.9292126977662</v>
      </c>
      <c r="E82" s="1046">
        <f t="shared" si="58"/>
        <v>2025729.1507010316</v>
      </c>
      <c r="F82" s="1046">
        <f t="shared" si="58"/>
        <v>704.64781030742063</v>
      </c>
      <c r="G82" s="1046">
        <f t="shared" si="58"/>
        <v>303875.42401435308</v>
      </c>
      <c r="H82" s="1046">
        <f t="shared" si="58"/>
        <v>2329604.5747153847</v>
      </c>
      <c r="I82" s="1053">
        <f t="shared" si="58"/>
        <v>0</v>
      </c>
      <c r="J82" s="1053">
        <f t="shared" si="58"/>
        <v>0</v>
      </c>
      <c r="K82" s="1053">
        <f t="shared" si="58"/>
        <v>0</v>
      </c>
      <c r="L82" s="1046">
        <f t="shared" si="58"/>
        <v>2329604.5747153847</v>
      </c>
      <c r="M82" s="1053">
        <f t="shared" si="58"/>
        <v>-5824.0114367884626</v>
      </c>
      <c r="N82" s="1046">
        <f t="shared" si="58"/>
        <v>2323780.5632785964</v>
      </c>
      <c r="O82" s="1046">
        <f t="shared" si="58"/>
        <v>0</v>
      </c>
      <c r="P82" s="1549">
        <f t="shared" si="58"/>
        <v>2323780.5632785964</v>
      </c>
      <c r="Q82" s="1053">
        <f t="shared" si="58"/>
        <v>0</v>
      </c>
      <c r="R82" s="1053">
        <f t="shared" si="58"/>
        <v>2323780.5632785964</v>
      </c>
      <c r="S82" s="1549">
        <f t="shared" si="58"/>
        <v>193649</v>
      </c>
      <c r="T82" s="1549">
        <f t="shared" si="58"/>
        <v>2323780.5632785964</v>
      </c>
      <c r="U82" s="1058">
        <f t="shared" si="58"/>
        <v>4663</v>
      </c>
      <c r="V82" s="1055">
        <f t="shared" si="58"/>
        <v>1596893</v>
      </c>
      <c r="W82" s="1057">
        <f t="shared" si="58"/>
        <v>0</v>
      </c>
      <c r="X82" s="1055">
        <f t="shared" si="58"/>
        <v>0</v>
      </c>
      <c r="Y82" s="1057">
        <f t="shared" si="58"/>
        <v>0</v>
      </c>
      <c r="Z82" s="1055">
        <f t="shared" si="58"/>
        <v>0</v>
      </c>
      <c r="AA82" s="1055">
        <f t="shared" si="58"/>
        <v>0</v>
      </c>
      <c r="AB82" s="1055">
        <f t="shared" si="58"/>
        <v>1596893</v>
      </c>
      <c r="AC82" s="1055">
        <f t="shared" si="58"/>
        <v>-3992.2325000000001</v>
      </c>
      <c r="AD82" s="1055">
        <f t="shared" si="58"/>
        <v>1592900.7675000001</v>
      </c>
      <c r="AE82" s="1055">
        <f t="shared" si="58"/>
        <v>0</v>
      </c>
      <c r="AF82" s="1055">
        <f t="shared" si="58"/>
        <v>1592900.7675000001</v>
      </c>
      <c r="AG82" s="1055">
        <f t="shared" si="58"/>
        <v>0</v>
      </c>
      <c r="AH82" s="1055">
        <f t="shared" si="58"/>
        <v>1592900.7675000001</v>
      </c>
      <c r="AI82" s="1055">
        <f t="shared" si="58"/>
        <v>132742</v>
      </c>
      <c r="AJ82" s="1504">
        <f t="shared" si="58"/>
        <v>3916681.3307785965</v>
      </c>
      <c r="AK82" s="1504">
        <f t="shared" si="58"/>
        <v>326391</v>
      </c>
    </row>
    <row r="83" spans="1:37" ht="16.2" customHeight="1" thickTop="1"/>
    <row r="84" spans="1:37" ht="16.2" customHeight="1"/>
    <row r="85" spans="1:37" ht="16.2" customHeight="1"/>
    <row r="86" spans="1:37" ht="16.2" customHeight="1"/>
  </sheetData>
  <mergeCells count="45">
    <mergeCell ref="A1:B4"/>
    <mergeCell ref="O3:O4"/>
    <mergeCell ref="P3:P4"/>
    <mergeCell ref="S3:S4"/>
    <mergeCell ref="AE3:AE4"/>
    <mergeCell ref="W3:W4"/>
    <mergeCell ref="X3:X4"/>
    <mergeCell ref="Y3:Y4"/>
    <mergeCell ref="Z3:Z4"/>
    <mergeCell ref="AB3:AB4"/>
    <mergeCell ref="AD3:AD4"/>
    <mergeCell ref="T3:T4"/>
    <mergeCell ref="C1:L1"/>
    <mergeCell ref="U1:AB1"/>
    <mergeCell ref="C2:H2"/>
    <mergeCell ref="U2:V2"/>
    <mergeCell ref="AJ1:AJ4"/>
    <mergeCell ref="AG3:AG4"/>
    <mergeCell ref="AH3:AH4"/>
    <mergeCell ref="AI3:AI4"/>
    <mergeCell ref="AF3:AF4"/>
    <mergeCell ref="AC1:AI1"/>
    <mergeCell ref="AK1:AK4"/>
    <mergeCell ref="I2:K2"/>
    <mergeCell ref="W2:AA2"/>
    <mergeCell ref="C3:C4"/>
    <mergeCell ref="D3:D4"/>
    <mergeCell ref="E3:E4"/>
    <mergeCell ref="U3:U4"/>
    <mergeCell ref="F3:F4"/>
    <mergeCell ref="G3:G4"/>
    <mergeCell ref="H3:H4"/>
    <mergeCell ref="I3:I4"/>
    <mergeCell ref="J3:J4"/>
    <mergeCell ref="K3:K4"/>
    <mergeCell ref="L3:L4"/>
    <mergeCell ref="N3:N4"/>
    <mergeCell ref="M1:T1"/>
    <mergeCell ref="A82:B82"/>
    <mergeCell ref="A76:B76"/>
    <mergeCell ref="A77:B77"/>
    <mergeCell ref="A78:B78"/>
    <mergeCell ref="A79:B79"/>
    <mergeCell ref="A80:B80"/>
    <mergeCell ref="A81:B81"/>
  </mergeCells>
  <printOptions horizontalCentered="1"/>
  <pageMargins left="0.32" right="0.32" top="0.75" bottom="0.75" header="0.3" footer="0.3"/>
  <pageSetup paperSize="5" scale="60" firstPageNumber="56" orientation="portrait" r:id="rId1"/>
  <headerFooter>
    <oddHeader>&amp;L&amp;"Arial,Bold"&amp;20&amp;K000000Table 5C1-Q: FY2014-15 MFP Budget Letter 
Advantage Charter Academy</oddHeader>
    <oddFooter>&amp;R&amp;P</oddFooter>
  </headerFooter>
  <colBreaks count="3" manualBreakCount="3">
    <brk id="12" max="1048575" man="1"/>
    <brk id="20" max="1048575" man="1"/>
    <brk id="28" max="81"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6"/>
  <sheetViews>
    <sheetView view="pageBreakPreview" zoomScale="80" zoomScaleNormal="100" zoomScaleSheetLayoutView="80" workbookViewId="0">
      <pane xSplit="2" ySplit="6" topLeftCell="C7" activePane="bottomRight" state="frozen"/>
      <selection sqref="A1:H1"/>
      <selection pane="topRight" sqref="A1:H1"/>
      <selection pane="bottomLeft" sqref="A1:H1"/>
      <selection pane="bottomRight" sqref="A1:H1"/>
    </sheetView>
  </sheetViews>
  <sheetFormatPr defaultColWidth="8.88671875" defaultRowHeight="13.2"/>
  <cols>
    <col min="1" max="1" width="5" style="608" customWidth="1"/>
    <col min="2" max="2" width="37.6640625" style="608" customWidth="1"/>
    <col min="3" max="3" width="12.109375" style="608" customWidth="1"/>
    <col min="4" max="4" width="13.6640625" style="608" customWidth="1"/>
    <col min="5" max="5" width="9.88671875" style="608" customWidth="1"/>
    <col min="6" max="7" width="12.33203125" style="608" customWidth="1"/>
    <col min="8" max="8" width="11.5546875" style="608" customWidth="1"/>
    <col min="9" max="12" width="12" style="608" customWidth="1"/>
    <col min="13" max="13" width="10.88671875" style="608" bestFit="1" customWidth="1"/>
    <col min="14" max="14" width="13.109375" style="608" customWidth="1"/>
    <col min="15" max="15" width="13.44140625" style="608" bestFit="1" customWidth="1"/>
    <col min="16" max="16" width="14.6640625" style="608" customWidth="1"/>
    <col min="17" max="18" width="14" style="608" customWidth="1"/>
    <col min="19" max="19" width="10.6640625" style="608" customWidth="1"/>
    <col min="20" max="20" width="14.88671875" style="608" customWidth="1"/>
    <col min="21" max="22" width="14.5546875" style="608" customWidth="1"/>
    <col min="23" max="27" width="11.6640625" style="608" customWidth="1"/>
    <col min="28" max="28" width="14.44140625" style="608" bestFit="1" customWidth="1"/>
    <col min="29" max="29" width="10.5546875" style="608" customWidth="1"/>
    <col min="30" max="30" width="14.44140625" style="608" bestFit="1" customWidth="1"/>
    <col min="31" max="31" width="11.88671875" style="608" bestFit="1" customWidth="1"/>
    <col min="32" max="32" width="14.44140625" style="608" bestFit="1" customWidth="1"/>
    <col min="33" max="33" width="9.5546875" style="608" bestFit="1" customWidth="1"/>
    <col min="34" max="34" width="10.6640625" style="608" bestFit="1" customWidth="1"/>
    <col min="35" max="35" width="14.44140625" style="608" bestFit="1" customWidth="1"/>
    <col min="36" max="36" width="14.33203125" style="608" customWidth="1"/>
    <col min="37" max="37" width="14.44140625" style="608" bestFit="1" customWidth="1"/>
    <col min="38" max="16384" width="8.88671875" style="608"/>
  </cols>
  <sheetData>
    <row r="1" spans="1:37" ht="21.6" customHeight="1">
      <c r="A1" s="2367" t="s">
        <v>1001</v>
      </c>
      <c r="B1" s="2368"/>
      <c r="C1" s="2319" t="s">
        <v>1089</v>
      </c>
      <c r="D1" s="2320"/>
      <c r="E1" s="2320"/>
      <c r="F1" s="2320"/>
      <c r="G1" s="2320"/>
      <c r="H1" s="2320"/>
      <c r="I1" s="2320"/>
      <c r="J1" s="2320"/>
      <c r="K1" s="2320"/>
      <c r="L1" s="2321"/>
      <c r="M1" s="2349" t="s">
        <v>1089</v>
      </c>
      <c r="N1" s="2350"/>
      <c r="O1" s="2350"/>
      <c r="P1" s="2350"/>
      <c r="Q1" s="2350"/>
      <c r="R1" s="2350"/>
      <c r="S1" s="2350"/>
      <c r="T1" s="2351"/>
      <c r="U1" s="2268" t="s">
        <v>1247</v>
      </c>
      <c r="V1" s="2266"/>
      <c r="W1" s="2266"/>
      <c r="X1" s="2266"/>
      <c r="Y1" s="2266"/>
      <c r="Z1" s="2266"/>
      <c r="AA1" s="2266"/>
      <c r="AB1" s="2267"/>
      <c r="AC1" s="2268" t="s">
        <v>1247</v>
      </c>
      <c r="AD1" s="2266"/>
      <c r="AE1" s="2266"/>
      <c r="AF1" s="2266"/>
      <c r="AG1" s="2266"/>
      <c r="AH1" s="2266"/>
      <c r="AI1" s="2267"/>
      <c r="AJ1" s="2302" t="s">
        <v>1272</v>
      </c>
      <c r="AK1" s="2302" t="s">
        <v>1273</v>
      </c>
    </row>
    <row r="2" spans="1:37" ht="24.6" customHeight="1">
      <c r="A2" s="2369"/>
      <c r="B2" s="2370"/>
      <c r="C2" s="2379" t="s">
        <v>1284</v>
      </c>
      <c r="D2" s="2380"/>
      <c r="E2" s="2380"/>
      <c r="F2" s="2380"/>
      <c r="G2" s="2380"/>
      <c r="H2" s="2381"/>
      <c r="I2" s="2334" t="s">
        <v>531</v>
      </c>
      <c r="J2" s="2335"/>
      <c r="K2" s="2336"/>
      <c r="L2" s="1567"/>
      <c r="M2" s="1565"/>
      <c r="N2" s="1566"/>
      <c r="O2" s="1566"/>
      <c r="P2" s="1566"/>
      <c r="Q2" s="1566"/>
      <c r="R2" s="1566"/>
      <c r="S2" s="1566"/>
      <c r="T2" s="1567"/>
      <c r="U2" s="2377" t="s">
        <v>1284</v>
      </c>
      <c r="V2" s="2378"/>
      <c r="W2" s="2362" t="s">
        <v>531</v>
      </c>
      <c r="X2" s="2363"/>
      <c r="Y2" s="2363"/>
      <c r="Z2" s="2363"/>
      <c r="AA2" s="2364"/>
      <c r="AB2" s="1527"/>
      <c r="AC2" s="1525"/>
      <c r="AD2" s="1526"/>
      <c r="AE2" s="1526"/>
      <c r="AF2" s="1526"/>
      <c r="AG2" s="1526"/>
      <c r="AH2" s="1526"/>
      <c r="AI2" s="1527"/>
      <c r="AJ2" s="2303"/>
      <c r="AK2" s="2303"/>
    </row>
    <row r="3" spans="1:37" ht="148.94999999999999" customHeight="1">
      <c r="A3" s="2371"/>
      <c r="B3" s="2370"/>
      <c r="C3" s="2382" t="s">
        <v>1286</v>
      </c>
      <c r="D3" s="2318" t="s">
        <v>1110</v>
      </c>
      <c r="E3" s="2318" t="s">
        <v>384</v>
      </c>
      <c r="F3" s="2306" t="s">
        <v>546</v>
      </c>
      <c r="G3" s="2306" t="s">
        <v>330</v>
      </c>
      <c r="H3" s="2306" t="s">
        <v>547</v>
      </c>
      <c r="I3" s="2299" t="s">
        <v>770</v>
      </c>
      <c r="J3" s="2299" t="s">
        <v>769</v>
      </c>
      <c r="K3" s="2299" t="s">
        <v>538</v>
      </c>
      <c r="L3" s="2300" t="s">
        <v>548</v>
      </c>
      <c r="M3" s="1496" t="s">
        <v>333</v>
      </c>
      <c r="N3" s="2306" t="s">
        <v>545</v>
      </c>
      <c r="O3" s="2307" t="s">
        <v>1036</v>
      </c>
      <c r="P3" s="2306" t="s">
        <v>1056</v>
      </c>
      <c r="Q3" s="1537" t="s">
        <v>760</v>
      </c>
      <c r="R3" s="1537" t="s">
        <v>761</v>
      </c>
      <c r="S3" s="2308" t="s">
        <v>544</v>
      </c>
      <c r="T3" s="2308" t="s">
        <v>1057</v>
      </c>
      <c r="U3" s="2309" t="s">
        <v>1267</v>
      </c>
      <c r="V3" s="1507" t="s">
        <v>1268</v>
      </c>
      <c r="W3" s="2312" t="s">
        <v>1253</v>
      </c>
      <c r="X3" s="2312" t="s">
        <v>1251</v>
      </c>
      <c r="Y3" s="2312" t="s">
        <v>1254</v>
      </c>
      <c r="Z3" s="2312" t="s">
        <v>1252</v>
      </c>
      <c r="AA3" s="1498" t="s">
        <v>551</v>
      </c>
      <c r="AB3" s="2313" t="s">
        <v>1269</v>
      </c>
      <c r="AC3" s="1507" t="s">
        <v>1094</v>
      </c>
      <c r="AD3" s="2309" t="s">
        <v>1270</v>
      </c>
      <c r="AE3" s="2307" t="s">
        <v>1036</v>
      </c>
      <c r="AF3" s="2309" t="s">
        <v>1271</v>
      </c>
      <c r="AG3" s="2322" t="s">
        <v>981</v>
      </c>
      <c r="AH3" s="2322" t="s">
        <v>761</v>
      </c>
      <c r="AI3" s="2322" t="s">
        <v>1242</v>
      </c>
      <c r="AJ3" s="2304"/>
      <c r="AK3" s="2304"/>
    </row>
    <row r="4" spans="1:37" ht="19.95" customHeight="1">
      <c r="A4" s="2372"/>
      <c r="B4" s="2373"/>
      <c r="C4" s="2376"/>
      <c r="D4" s="2318"/>
      <c r="E4" s="2318"/>
      <c r="F4" s="2301"/>
      <c r="G4" s="2301"/>
      <c r="H4" s="2301"/>
      <c r="I4" s="2251"/>
      <c r="J4" s="2251"/>
      <c r="K4" s="2251"/>
      <c r="L4" s="2301"/>
      <c r="M4" s="1568">
        <v>2.5000000000000001E-3</v>
      </c>
      <c r="N4" s="2301"/>
      <c r="O4" s="2251"/>
      <c r="P4" s="2301"/>
      <c r="Q4" s="1497"/>
      <c r="R4" s="1497"/>
      <c r="S4" s="2301"/>
      <c r="T4" s="2301"/>
      <c r="U4" s="2280"/>
      <c r="V4" s="1508"/>
      <c r="W4" s="2251"/>
      <c r="X4" s="2251"/>
      <c r="Y4" s="2251"/>
      <c r="Z4" s="2251"/>
      <c r="AA4" s="1494"/>
      <c r="AB4" s="2280" t="s">
        <v>537</v>
      </c>
      <c r="AC4" s="1570">
        <v>2.5000000000000001E-3</v>
      </c>
      <c r="AD4" s="2280"/>
      <c r="AE4" s="2251"/>
      <c r="AF4" s="2280"/>
      <c r="AG4" s="2323"/>
      <c r="AH4" s="2323"/>
      <c r="AI4" s="2323"/>
      <c r="AJ4" s="2305"/>
      <c r="AK4" s="2305"/>
    </row>
    <row r="5" spans="1:37" ht="14.25" customHeight="1">
      <c r="A5" s="463"/>
      <c r="B5" s="464"/>
      <c r="C5" s="465">
        <v>1</v>
      </c>
      <c r="D5" s="465">
        <f t="shared" ref="D5" si="0">C5+1</f>
        <v>2</v>
      </c>
      <c r="E5" s="465">
        <f>D5+1</f>
        <v>3</v>
      </c>
      <c r="F5" s="465">
        <f t="shared" ref="F5:AK5" si="1">E5+1</f>
        <v>4</v>
      </c>
      <c r="G5" s="465">
        <f t="shared" si="1"/>
        <v>5</v>
      </c>
      <c r="H5" s="465">
        <f t="shared" si="1"/>
        <v>6</v>
      </c>
      <c r="I5" s="465">
        <f t="shared" si="1"/>
        <v>7</v>
      </c>
      <c r="J5" s="465">
        <f t="shared" si="1"/>
        <v>8</v>
      </c>
      <c r="K5" s="465">
        <f t="shared" si="1"/>
        <v>9</v>
      </c>
      <c r="L5" s="465">
        <f t="shared" si="1"/>
        <v>10</v>
      </c>
      <c r="M5" s="465">
        <f t="shared" si="1"/>
        <v>11</v>
      </c>
      <c r="N5" s="465">
        <f t="shared" si="1"/>
        <v>12</v>
      </c>
      <c r="O5" s="465">
        <f t="shared" si="1"/>
        <v>13</v>
      </c>
      <c r="P5" s="465">
        <f t="shared" si="1"/>
        <v>14</v>
      </c>
      <c r="Q5" s="465">
        <f t="shared" si="1"/>
        <v>15</v>
      </c>
      <c r="R5" s="465">
        <f t="shared" si="1"/>
        <v>16</v>
      </c>
      <c r="S5" s="465">
        <f t="shared" si="1"/>
        <v>17</v>
      </c>
      <c r="T5" s="465">
        <f t="shared" ref="T5" si="2">S5+1</f>
        <v>18</v>
      </c>
      <c r="U5" s="465">
        <f t="shared" ref="U5" si="3">T5+1</f>
        <v>19</v>
      </c>
      <c r="V5" s="465">
        <f t="shared" si="1"/>
        <v>20</v>
      </c>
      <c r="W5" s="465">
        <f t="shared" si="1"/>
        <v>21</v>
      </c>
      <c r="X5" s="465">
        <f t="shared" si="1"/>
        <v>22</v>
      </c>
      <c r="Y5" s="465">
        <f t="shared" si="1"/>
        <v>23</v>
      </c>
      <c r="Z5" s="465">
        <f t="shared" si="1"/>
        <v>24</v>
      </c>
      <c r="AA5" s="465">
        <f t="shared" si="1"/>
        <v>25</v>
      </c>
      <c r="AB5" s="465">
        <f t="shared" si="1"/>
        <v>26</v>
      </c>
      <c r="AC5" s="465">
        <f t="shared" si="1"/>
        <v>27</v>
      </c>
      <c r="AD5" s="465">
        <f t="shared" si="1"/>
        <v>28</v>
      </c>
      <c r="AE5" s="465">
        <f t="shared" si="1"/>
        <v>29</v>
      </c>
      <c r="AF5" s="465">
        <f t="shared" si="1"/>
        <v>30</v>
      </c>
      <c r="AG5" s="465">
        <f t="shared" si="1"/>
        <v>31</v>
      </c>
      <c r="AH5" s="465">
        <f t="shared" si="1"/>
        <v>32</v>
      </c>
      <c r="AI5" s="465">
        <f t="shared" si="1"/>
        <v>33</v>
      </c>
      <c r="AJ5" s="465">
        <f t="shared" si="1"/>
        <v>34</v>
      </c>
      <c r="AK5" s="465">
        <f t="shared" si="1"/>
        <v>35</v>
      </c>
    </row>
    <row r="6" spans="1:37" ht="27" hidden="1" customHeight="1">
      <c r="A6" s="472"/>
      <c r="B6" s="473"/>
      <c r="C6" s="473"/>
      <c r="D6" s="473"/>
      <c r="E6" s="473"/>
      <c r="F6" s="473"/>
      <c r="G6" s="473"/>
      <c r="H6" s="473"/>
      <c r="I6" s="615"/>
      <c r="J6" s="615"/>
      <c r="K6" s="615"/>
      <c r="L6" s="615"/>
      <c r="M6" s="473"/>
      <c r="N6" s="473"/>
      <c r="O6" s="473"/>
      <c r="P6" s="473"/>
      <c r="Q6" s="615"/>
      <c r="R6" s="615"/>
      <c r="S6" s="473"/>
      <c r="T6" s="473"/>
      <c r="U6" s="473"/>
      <c r="V6" s="473"/>
      <c r="W6" s="615"/>
      <c r="X6" s="615"/>
      <c r="Y6" s="615"/>
      <c r="Z6" s="615"/>
      <c r="AA6" s="615"/>
      <c r="AB6" s="615"/>
      <c r="AC6" s="473"/>
      <c r="AD6" s="473"/>
      <c r="AE6" s="473"/>
      <c r="AF6" s="473"/>
      <c r="AG6" s="615"/>
      <c r="AH6" s="615"/>
      <c r="AI6" s="473"/>
      <c r="AJ6" s="473"/>
      <c r="AK6" s="473"/>
    </row>
    <row r="7" spans="1:37" ht="16.2" customHeight="1">
      <c r="A7" s="1183">
        <v>1</v>
      </c>
      <c r="B7" s="1184" t="s">
        <v>81</v>
      </c>
      <c r="C7" s="1185">
        <v>0</v>
      </c>
      <c r="D7" s="1186">
        <f>+'Table 5C1A-Madison Prep'!D7</f>
        <v>4765.8584413349836</v>
      </c>
      <c r="E7" s="1187">
        <f>C7*D7</f>
        <v>0</v>
      </c>
      <c r="F7" s="1187">
        <f>+'Table 5C1A-Madison Prep'!F7</f>
        <v>777.48</v>
      </c>
      <c r="G7" s="1187">
        <f>C7*F7</f>
        <v>0</v>
      </c>
      <c r="H7" s="1538">
        <f>E7+G7</f>
        <v>0</v>
      </c>
      <c r="I7" s="1188"/>
      <c r="J7" s="1188"/>
      <c r="K7" s="1189">
        <f>+I7+J7</f>
        <v>0</v>
      </c>
      <c r="L7" s="1538">
        <f>+H7+K7</f>
        <v>0</v>
      </c>
      <c r="M7" s="1372">
        <f t="shared" ref="M7:M70" si="4">-(0.25%*L7)</f>
        <v>0</v>
      </c>
      <c r="N7" s="1538">
        <f>SUM(L7:M7)</f>
        <v>0</v>
      </c>
      <c r="O7" s="1186">
        <v>0</v>
      </c>
      <c r="P7" s="1544">
        <f>SUM(N7:O7)</f>
        <v>0</v>
      </c>
      <c r="Q7" s="1188"/>
      <c r="R7" s="1188">
        <f>+P7-Q7</f>
        <v>0</v>
      </c>
      <c r="S7" s="1544">
        <f>ROUND(R7/12,0)</f>
        <v>0</v>
      </c>
      <c r="T7" s="1544">
        <f>+P7</f>
        <v>0</v>
      </c>
      <c r="U7" s="1373">
        <f>'Table 5C1A-Madison Prep'!U7</f>
        <v>2409</v>
      </c>
      <c r="V7" s="1514">
        <f>C7*U7</f>
        <v>0</v>
      </c>
      <c r="W7" s="1375"/>
      <c r="X7" s="1376">
        <f>+U7*W7</f>
        <v>0</v>
      </c>
      <c r="Y7" s="1375"/>
      <c r="Z7" s="1376">
        <f>+U7*Y7*0.5</f>
        <v>0</v>
      </c>
      <c r="AA7" s="1374">
        <f>+X7+Z7</f>
        <v>0</v>
      </c>
      <c r="AB7" s="1509">
        <f>+V7+AA7</f>
        <v>0</v>
      </c>
      <c r="AC7" s="1378">
        <f>-(0.25%*AB7)</f>
        <v>0</v>
      </c>
      <c r="AD7" s="1509">
        <f>SUM(AB7:AC7)</f>
        <v>0</v>
      </c>
      <c r="AE7" s="1379">
        <v>0</v>
      </c>
      <c r="AF7" s="1509">
        <f>SUM(AD7:AE7)</f>
        <v>0</v>
      </c>
      <c r="AG7" s="1379"/>
      <c r="AH7" s="1379">
        <f>+AF7-AG7</f>
        <v>0</v>
      </c>
      <c r="AI7" s="1509">
        <f>ROUND(AH7/12,0)</f>
        <v>0</v>
      </c>
      <c r="AJ7" s="1530">
        <f>T7+AF7</f>
        <v>0</v>
      </c>
      <c r="AK7" s="1534">
        <f>S7+AI7</f>
        <v>0</v>
      </c>
    </row>
    <row r="8" spans="1:37" ht="16.2" customHeight="1">
      <c r="A8" s="1176">
        <v>2</v>
      </c>
      <c r="B8" s="1177" t="s">
        <v>82</v>
      </c>
      <c r="C8" s="1178">
        <v>0</v>
      </c>
      <c r="D8" s="1179">
        <f>+'Table 5C1A-Madison Prep'!D8</f>
        <v>6316.6266417386641</v>
      </c>
      <c r="E8" s="1180">
        <f t="shared" ref="E8:E71" si="5">C8*D8</f>
        <v>0</v>
      </c>
      <c r="F8" s="1180">
        <f>+'Table 5C1A-Madison Prep'!F8</f>
        <v>842.32</v>
      </c>
      <c r="G8" s="1180">
        <f t="shared" ref="G8:G71" si="6">C8*F8</f>
        <v>0</v>
      </c>
      <c r="H8" s="1539">
        <f t="shared" ref="H8:H71" si="7">E8+G8</f>
        <v>0</v>
      </c>
      <c r="I8" s="1181"/>
      <c r="J8" s="1181"/>
      <c r="K8" s="1182">
        <f t="shared" ref="K8:K71" si="8">+I8+J8</f>
        <v>0</v>
      </c>
      <c r="L8" s="1539">
        <f t="shared" ref="L8:L71" si="9">+H8+K8</f>
        <v>0</v>
      </c>
      <c r="M8" s="1388">
        <f t="shared" si="4"/>
        <v>0</v>
      </c>
      <c r="N8" s="1539">
        <f t="shared" ref="N8:N71" si="10">SUM(L8:M8)</f>
        <v>0</v>
      </c>
      <c r="O8" s="1179">
        <v>0</v>
      </c>
      <c r="P8" s="1545">
        <f t="shared" ref="P8:P71" si="11">SUM(N8:O8)</f>
        <v>0</v>
      </c>
      <c r="Q8" s="1181"/>
      <c r="R8" s="1181">
        <f t="shared" ref="R8:R71" si="12">+P8-Q8</f>
        <v>0</v>
      </c>
      <c r="S8" s="1545">
        <f t="shared" ref="S8:S71" si="13">ROUND(R8/12,0)</f>
        <v>0</v>
      </c>
      <c r="T8" s="1545">
        <f t="shared" ref="T8:T71" si="14">+P8</f>
        <v>0</v>
      </c>
      <c r="U8" s="1389">
        <f>'Table 5C1A-Madison Prep'!U8</f>
        <v>2829</v>
      </c>
      <c r="V8" s="1515">
        <f t="shared" ref="V8:V71" si="15">C8*U8</f>
        <v>0</v>
      </c>
      <c r="W8" s="1391"/>
      <c r="X8" s="1392">
        <f t="shared" ref="X8:X71" si="16">+U8*W8</f>
        <v>0</v>
      </c>
      <c r="Y8" s="1391"/>
      <c r="Z8" s="1392">
        <f t="shared" ref="Z8:Z71" si="17">+U8*Y8*0.5</f>
        <v>0</v>
      </c>
      <c r="AA8" s="1390">
        <f t="shared" ref="AA8:AA71" si="18">+X8+Z8</f>
        <v>0</v>
      </c>
      <c r="AB8" s="1510">
        <f t="shared" ref="AB8:AB71" si="19">+V8+AA8</f>
        <v>0</v>
      </c>
      <c r="AC8" s="1394">
        <f t="shared" ref="AC8:AC71" si="20">-(0.25%*AB8)</f>
        <v>0</v>
      </c>
      <c r="AD8" s="1510">
        <f t="shared" ref="AD8:AD71" si="21">SUM(AB8:AC8)</f>
        <v>0</v>
      </c>
      <c r="AE8" s="1395">
        <v>0</v>
      </c>
      <c r="AF8" s="1510">
        <f t="shared" ref="AF8:AF71" si="22">SUM(AD8:AE8)</f>
        <v>0</v>
      </c>
      <c r="AG8" s="1395"/>
      <c r="AH8" s="1395">
        <f t="shared" ref="AH8:AH71" si="23">+AF8-AG8</f>
        <v>0</v>
      </c>
      <c r="AI8" s="1510">
        <f t="shared" ref="AI8:AI71" si="24">ROUND(AH8/12,0)</f>
        <v>0</v>
      </c>
      <c r="AJ8" s="1505">
        <f t="shared" ref="AJ8:AJ71" si="25">T8+AF8</f>
        <v>0</v>
      </c>
      <c r="AK8" s="1535">
        <f t="shared" ref="AK8:AK71" si="26">S8+AI8</f>
        <v>0</v>
      </c>
    </row>
    <row r="9" spans="1:37" ht="16.2" customHeight="1">
      <c r="A9" s="1176">
        <v>3</v>
      </c>
      <c r="B9" s="1177" t="s">
        <v>83</v>
      </c>
      <c r="C9" s="1178">
        <v>8</v>
      </c>
      <c r="D9" s="1179">
        <f>+'Table 5C1A-Madison Prep'!D9</f>
        <v>4155.1862027396819</v>
      </c>
      <c r="E9" s="1180">
        <f t="shared" si="5"/>
        <v>33241.489621917455</v>
      </c>
      <c r="F9" s="1180">
        <f>+'Table 5C1A-Madison Prep'!F9</f>
        <v>596.84</v>
      </c>
      <c r="G9" s="1180">
        <f t="shared" si="6"/>
        <v>4774.72</v>
      </c>
      <c r="H9" s="1539">
        <f t="shared" si="7"/>
        <v>38016.209621917456</v>
      </c>
      <c r="I9" s="1181"/>
      <c r="J9" s="1181"/>
      <c r="K9" s="1182">
        <f t="shared" si="8"/>
        <v>0</v>
      </c>
      <c r="L9" s="1539">
        <f t="shared" si="9"/>
        <v>38016.209621917456</v>
      </c>
      <c r="M9" s="1388">
        <f t="shared" si="4"/>
        <v>-95.040524054793636</v>
      </c>
      <c r="N9" s="1539">
        <f t="shared" si="10"/>
        <v>37921.169097862665</v>
      </c>
      <c r="O9" s="1179">
        <v>0</v>
      </c>
      <c r="P9" s="1545">
        <f t="shared" si="11"/>
        <v>37921.169097862665</v>
      </c>
      <c r="Q9" s="1181"/>
      <c r="R9" s="1181">
        <f t="shared" si="12"/>
        <v>37921.169097862665</v>
      </c>
      <c r="S9" s="1545">
        <f t="shared" si="13"/>
        <v>3160</v>
      </c>
      <c r="T9" s="1545">
        <f t="shared" si="14"/>
        <v>37921.169097862665</v>
      </c>
      <c r="U9" s="1389">
        <f>'Table 5C1A-Madison Prep'!U9</f>
        <v>5770</v>
      </c>
      <c r="V9" s="1515">
        <f t="shared" si="15"/>
        <v>46160</v>
      </c>
      <c r="W9" s="1391"/>
      <c r="X9" s="1392">
        <f t="shared" si="16"/>
        <v>0</v>
      </c>
      <c r="Y9" s="1391"/>
      <c r="Z9" s="1392">
        <f t="shared" si="17"/>
        <v>0</v>
      </c>
      <c r="AA9" s="1390">
        <f t="shared" si="18"/>
        <v>0</v>
      </c>
      <c r="AB9" s="1510">
        <f t="shared" si="19"/>
        <v>46160</v>
      </c>
      <c r="AC9" s="1394">
        <f t="shared" si="20"/>
        <v>-115.4</v>
      </c>
      <c r="AD9" s="1510">
        <f t="shared" si="21"/>
        <v>46044.6</v>
      </c>
      <c r="AE9" s="1395">
        <v>0</v>
      </c>
      <c r="AF9" s="1510">
        <f t="shared" si="22"/>
        <v>46044.6</v>
      </c>
      <c r="AG9" s="1395"/>
      <c r="AH9" s="1395">
        <f t="shared" si="23"/>
        <v>46044.6</v>
      </c>
      <c r="AI9" s="1510">
        <f t="shared" si="24"/>
        <v>3837</v>
      </c>
      <c r="AJ9" s="1505">
        <f t="shared" si="25"/>
        <v>83965.769097862663</v>
      </c>
      <c r="AK9" s="1535">
        <f t="shared" si="26"/>
        <v>6997</v>
      </c>
    </row>
    <row r="10" spans="1:37" ht="16.2" customHeight="1">
      <c r="A10" s="1176">
        <v>4</v>
      </c>
      <c r="B10" s="1177" t="s">
        <v>84</v>
      </c>
      <c r="C10" s="1178">
        <v>0</v>
      </c>
      <c r="D10" s="1179">
        <f>+'Table 5C1A-Madison Prep'!D10</f>
        <v>6119.0581446878568</v>
      </c>
      <c r="E10" s="1180">
        <f t="shared" si="5"/>
        <v>0</v>
      </c>
      <c r="F10" s="1180">
        <f>+'Table 5C1A-Madison Prep'!F10</f>
        <v>585.76</v>
      </c>
      <c r="G10" s="1180">
        <f t="shared" si="6"/>
        <v>0</v>
      </c>
      <c r="H10" s="1539">
        <f t="shared" si="7"/>
        <v>0</v>
      </c>
      <c r="I10" s="1181"/>
      <c r="J10" s="1181"/>
      <c r="K10" s="1182">
        <f t="shared" si="8"/>
        <v>0</v>
      </c>
      <c r="L10" s="1539">
        <f t="shared" si="9"/>
        <v>0</v>
      </c>
      <c r="M10" s="1388">
        <f t="shared" si="4"/>
        <v>0</v>
      </c>
      <c r="N10" s="1539">
        <f t="shared" si="10"/>
        <v>0</v>
      </c>
      <c r="O10" s="1179">
        <v>0</v>
      </c>
      <c r="P10" s="1545">
        <f t="shared" si="11"/>
        <v>0</v>
      </c>
      <c r="Q10" s="1181"/>
      <c r="R10" s="1181">
        <f t="shared" si="12"/>
        <v>0</v>
      </c>
      <c r="S10" s="1545">
        <f t="shared" si="13"/>
        <v>0</v>
      </c>
      <c r="T10" s="1545">
        <f t="shared" si="14"/>
        <v>0</v>
      </c>
      <c r="U10" s="1389">
        <f>'Table 5C1A-Madison Prep'!U10</f>
        <v>3287</v>
      </c>
      <c r="V10" s="1515">
        <f t="shared" si="15"/>
        <v>0</v>
      </c>
      <c r="W10" s="1391"/>
      <c r="X10" s="1392">
        <f t="shared" si="16"/>
        <v>0</v>
      </c>
      <c r="Y10" s="1391"/>
      <c r="Z10" s="1392">
        <f t="shared" si="17"/>
        <v>0</v>
      </c>
      <c r="AA10" s="1390">
        <f t="shared" si="18"/>
        <v>0</v>
      </c>
      <c r="AB10" s="1510">
        <f t="shared" si="19"/>
        <v>0</v>
      </c>
      <c r="AC10" s="1394">
        <f t="shared" si="20"/>
        <v>0</v>
      </c>
      <c r="AD10" s="1510">
        <f t="shared" si="21"/>
        <v>0</v>
      </c>
      <c r="AE10" s="1395">
        <v>0</v>
      </c>
      <c r="AF10" s="1510">
        <f t="shared" si="22"/>
        <v>0</v>
      </c>
      <c r="AG10" s="1395"/>
      <c r="AH10" s="1395">
        <f t="shared" si="23"/>
        <v>0</v>
      </c>
      <c r="AI10" s="1510">
        <f t="shared" si="24"/>
        <v>0</v>
      </c>
      <c r="AJ10" s="1505">
        <f t="shared" si="25"/>
        <v>0</v>
      </c>
      <c r="AK10" s="1535">
        <f t="shared" si="26"/>
        <v>0</v>
      </c>
    </row>
    <row r="11" spans="1:37" ht="16.2" customHeight="1">
      <c r="A11" s="1168">
        <v>5</v>
      </c>
      <c r="B11" s="1169" t="s">
        <v>85</v>
      </c>
      <c r="C11" s="1170">
        <v>0</v>
      </c>
      <c r="D11" s="1171">
        <f>+'Table 5C1A-Madison Prep'!D11</f>
        <v>5268.940566009911</v>
      </c>
      <c r="E11" s="1172">
        <f t="shared" si="5"/>
        <v>0</v>
      </c>
      <c r="F11" s="1172">
        <f>+'Table 5C1A-Madison Prep'!F11</f>
        <v>555.91</v>
      </c>
      <c r="G11" s="1172">
        <f t="shared" si="6"/>
        <v>0</v>
      </c>
      <c r="H11" s="1540">
        <f t="shared" si="7"/>
        <v>0</v>
      </c>
      <c r="I11" s="1173"/>
      <c r="J11" s="1173"/>
      <c r="K11" s="1174">
        <f t="shared" si="8"/>
        <v>0</v>
      </c>
      <c r="L11" s="1540">
        <f t="shared" si="9"/>
        <v>0</v>
      </c>
      <c r="M11" s="1399">
        <f t="shared" si="4"/>
        <v>0</v>
      </c>
      <c r="N11" s="1540">
        <f t="shared" si="10"/>
        <v>0</v>
      </c>
      <c r="O11" s="1171">
        <v>0</v>
      </c>
      <c r="P11" s="1546">
        <f t="shared" si="11"/>
        <v>0</v>
      </c>
      <c r="Q11" s="1173"/>
      <c r="R11" s="1173">
        <f t="shared" si="12"/>
        <v>0</v>
      </c>
      <c r="S11" s="1546">
        <f t="shared" si="13"/>
        <v>0</v>
      </c>
      <c r="T11" s="1546">
        <f t="shared" si="14"/>
        <v>0</v>
      </c>
      <c r="U11" s="1382">
        <f>'Table 5C1A-Madison Prep'!U11</f>
        <v>1921</v>
      </c>
      <c r="V11" s="1516">
        <f t="shared" si="15"/>
        <v>0</v>
      </c>
      <c r="W11" s="1400"/>
      <c r="X11" s="1383">
        <f t="shared" si="16"/>
        <v>0</v>
      </c>
      <c r="Y11" s="1400"/>
      <c r="Z11" s="1383">
        <f t="shared" si="17"/>
        <v>0</v>
      </c>
      <c r="AA11" s="1384">
        <f t="shared" si="18"/>
        <v>0</v>
      </c>
      <c r="AB11" s="1511">
        <f t="shared" si="19"/>
        <v>0</v>
      </c>
      <c r="AC11" s="1402">
        <f t="shared" si="20"/>
        <v>0</v>
      </c>
      <c r="AD11" s="1511">
        <f t="shared" si="21"/>
        <v>0</v>
      </c>
      <c r="AE11" s="1385">
        <v>0</v>
      </c>
      <c r="AF11" s="1511">
        <f t="shared" si="22"/>
        <v>0</v>
      </c>
      <c r="AG11" s="1385"/>
      <c r="AH11" s="1385">
        <f t="shared" si="23"/>
        <v>0</v>
      </c>
      <c r="AI11" s="1511">
        <f t="shared" si="24"/>
        <v>0</v>
      </c>
      <c r="AJ11" s="1531">
        <f t="shared" si="25"/>
        <v>0</v>
      </c>
      <c r="AK11" s="1536">
        <f t="shared" si="26"/>
        <v>0</v>
      </c>
    </row>
    <row r="12" spans="1:37" ht="16.2" customHeight="1">
      <c r="A12" s="1183">
        <v>6</v>
      </c>
      <c r="B12" s="1184" t="s">
        <v>86</v>
      </c>
      <c r="C12" s="1185">
        <v>0</v>
      </c>
      <c r="D12" s="1186">
        <f>+'Table 5C1A-Madison Prep'!D12</f>
        <v>5378.5086124955869</v>
      </c>
      <c r="E12" s="1187">
        <f t="shared" si="5"/>
        <v>0</v>
      </c>
      <c r="F12" s="1187">
        <f>+'Table 5C1A-Madison Prep'!F12</f>
        <v>545.4799999999999</v>
      </c>
      <c r="G12" s="1187">
        <f t="shared" si="6"/>
        <v>0</v>
      </c>
      <c r="H12" s="1538">
        <f t="shared" si="7"/>
        <v>0</v>
      </c>
      <c r="I12" s="1188"/>
      <c r="J12" s="1188"/>
      <c r="K12" s="1189">
        <f t="shared" si="8"/>
        <v>0</v>
      </c>
      <c r="L12" s="1538">
        <f t="shared" si="9"/>
        <v>0</v>
      </c>
      <c r="M12" s="1372">
        <f t="shared" si="4"/>
        <v>0</v>
      </c>
      <c r="N12" s="1538">
        <f t="shared" si="10"/>
        <v>0</v>
      </c>
      <c r="O12" s="1186">
        <v>0</v>
      </c>
      <c r="P12" s="1544">
        <f t="shared" si="11"/>
        <v>0</v>
      </c>
      <c r="Q12" s="1188"/>
      <c r="R12" s="1188">
        <f t="shared" si="12"/>
        <v>0</v>
      </c>
      <c r="S12" s="1544">
        <f t="shared" si="13"/>
        <v>0</v>
      </c>
      <c r="T12" s="1544">
        <f t="shared" si="14"/>
        <v>0</v>
      </c>
      <c r="U12" s="1373">
        <f>'Table 5C1A-Madison Prep'!U12</f>
        <v>3807</v>
      </c>
      <c r="V12" s="1514">
        <f t="shared" si="15"/>
        <v>0</v>
      </c>
      <c r="W12" s="1375"/>
      <c r="X12" s="1376">
        <f t="shared" si="16"/>
        <v>0</v>
      </c>
      <c r="Y12" s="1375"/>
      <c r="Z12" s="1376">
        <f t="shared" si="17"/>
        <v>0</v>
      </c>
      <c r="AA12" s="1374">
        <f t="shared" si="18"/>
        <v>0</v>
      </c>
      <c r="AB12" s="1509">
        <f t="shared" si="19"/>
        <v>0</v>
      </c>
      <c r="AC12" s="1378">
        <f t="shared" si="20"/>
        <v>0</v>
      </c>
      <c r="AD12" s="1509">
        <f t="shared" si="21"/>
        <v>0</v>
      </c>
      <c r="AE12" s="1379">
        <v>0</v>
      </c>
      <c r="AF12" s="1509">
        <f t="shared" si="22"/>
        <v>0</v>
      </c>
      <c r="AG12" s="1379"/>
      <c r="AH12" s="1379">
        <f t="shared" si="23"/>
        <v>0</v>
      </c>
      <c r="AI12" s="1509">
        <f t="shared" si="24"/>
        <v>0</v>
      </c>
      <c r="AJ12" s="1530">
        <f t="shared" si="25"/>
        <v>0</v>
      </c>
      <c r="AK12" s="1534">
        <f t="shared" si="26"/>
        <v>0</v>
      </c>
    </row>
    <row r="13" spans="1:37" ht="16.2" customHeight="1">
      <c r="A13" s="1176">
        <v>7</v>
      </c>
      <c r="B13" s="1177" t="s">
        <v>87</v>
      </c>
      <c r="C13" s="1178">
        <v>0</v>
      </c>
      <c r="D13" s="1179">
        <f>+'Table 5C1A-Madison Prep'!D13</f>
        <v>2243.0031963470319</v>
      </c>
      <c r="E13" s="1180">
        <f t="shared" si="5"/>
        <v>0</v>
      </c>
      <c r="F13" s="1180">
        <f>+'Table 5C1A-Madison Prep'!F13</f>
        <v>756.91999999999985</v>
      </c>
      <c r="G13" s="1180">
        <f t="shared" si="6"/>
        <v>0</v>
      </c>
      <c r="H13" s="1539">
        <f t="shared" si="7"/>
        <v>0</v>
      </c>
      <c r="I13" s="1181"/>
      <c r="J13" s="1181"/>
      <c r="K13" s="1182">
        <f t="shared" si="8"/>
        <v>0</v>
      </c>
      <c r="L13" s="1539">
        <f t="shared" si="9"/>
        <v>0</v>
      </c>
      <c r="M13" s="1388">
        <f t="shared" si="4"/>
        <v>0</v>
      </c>
      <c r="N13" s="1539">
        <f t="shared" si="10"/>
        <v>0</v>
      </c>
      <c r="O13" s="1179">
        <v>0</v>
      </c>
      <c r="P13" s="1545">
        <f t="shared" si="11"/>
        <v>0</v>
      </c>
      <c r="Q13" s="1181"/>
      <c r="R13" s="1181">
        <f t="shared" si="12"/>
        <v>0</v>
      </c>
      <c r="S13" s="1545">
        <f t="shared" si="13"/>
        <v>0</v>
      </c>
      <c r="T13" s="1545">
        <f t="shared" si="14"/>
        <v>0</v>
      </c>
      <c r="U13" s="1389">
        <f>'Table 5C1A-Madison Prep'!U13</f>
        <v>11888</v>
      </c>
      <c r="V13" s="1515">
        <f t="shared" si="15"/>
        <v>0</v>
      </c>
      <c r="W13" s="1391"/>
      <c r="X13" s="1392">
        <f t="shared" si="16"/>
        <v>0</v>
      </c>
      <c r="Y13" s="1391"/>
      <c r="Z13" s="1392">
        <f t="shared" si="17"/>
        <v>0</v>
      </c>
      <c r="AA13" s="1390">
        <f t="shared" si="18"/>
        <v>0</v>
      </c>
      <c r="AB13" s="1510">
        <f t="shared" si="19"/>
        <v>0</v>
      </c>
      <c r="AC13" s="1394">
        <f t="shared" si="20"/>
        <v>0</v>
      </c>
      <c r="AD13" s="1510">
        <f t="shared" si="21"/>
        <v>0</v>
      </c>
      <c r="AE13" s="1395">
        <v>0</v>
      </c>
      <c r="AF13" s="1510">
        <f t="shared" si="22"/>
        <v>0</v>
      </c>
      <c r="AG13" s="1395"/>
      <c r="AH13" s="1395">
        <f t="shared" si="23"/>
        <v>0</v>
      </c>
      <c r="AI13" s="1510">
        <f t="shared" si="24"/>
        <v>0</v>
      </c>
      <c r="AJ13" s="1505">
        <f t="shared" si="25"/>
        <v>0</v>
      </c>
      <c r="AK13" s="1535">
        <f t="shared" si="26"/>
        <v>0</v>
      </c>
    </row>
    <row r="14" spans="1:37" ht="16.2" customHeight="1">
      <c r="A14" s="1176">
        <v>8</v>
      </c>
      <c r="B14" s="1177" t="s">
        <v>88</v>
      </c>
      <c r="C14" s="1178">
        <v>0</v>
      </c>
      <c r="D14" s="1179">
        <f>+'Table 5C1A-Madison Prep'!D14</f>
        <v>4669.802459558854</v>
      </c>
      <c r="E14" s="1180">
        <f t="shared" si="5"/>
        <v>0</v>
      </c>
      <c r="F14" s="1180">
        <f>+'Table 5C1A-Madison Prep'!F14</f>
        <v>725.76</v>
      </c>
      <c r="G14" s="1180">
        <f t="shared" si="6"/>
        <v>0</v>
      </c>
      <c r="H14" s="1539">
        <f t="shared" si="7"/>
        <v>0</v>
      </c>
      <c r="I14" s="1181"/>
      <c r="J14" s="1181"/>
      <c r="K14" s="1182">
        <f t="shared" si="8"/>
        <v>0</v>
      </c>
      <c r="L14" s="1539">
        <f t="shared" si="9"/>
        <v>0</v>
      </c>
      <c r="M14" s="1388">
        <f t="shared" si="4"/>
        <v>0</v>
      </c>
      <c r="N14" s="1539">
        <f t="shared" si="10"/>
        <v>0</v>
      </c>
      <c r="O14" s="1179">
        <v>0</v>
      </c>
      <c r="P14" s="1545">
        <f t="shared" si="11"/>
        <v>0</v>
      </c>
      <c r="Q14" s="1181"/>
      <c r="R14" s="1181">
        <f t="shared" si="12"/>
        <v>0</v>
      </c>
      <c r="S14" s="1545">
        <f t="shared" si="13"/>
        <v>0</v>
      </c>
      <c r="T14" s="1545">
        <f t="shared" si="14"/>
        <v>0</v>
      </c>
      <c r="U14" s="1389">
        <f>'Table 5C1A-Madison Prep'!U14</f>
        <v>4024</v>
      </c>
      <c r="V14" s="1515">
        <f t="shared" si="15"/>
        <v>0</v>
      </c>
      <c r="W14" s="1391"/>
      <c r="X14" s="1392">
        <f t="shared" si="16"/>
        <v>0</v>
      </c>
      <c r="Y14" s="1391"/>
      <c r="Z14" s="1392">
        <f t="shared" si="17"/>
        <v>0</v>
      </c>
      <c r="AA14" s="1390">
        <f t="shared" si="18"/>
        <v>0</v>
      </c>
      <c r="AB14" s="1510">
        <f t="shared" si="19"/>
        <v>0</v>
      </c>
      <c r="AC14" s="1394">
        <f t="shared" si="20"/>
        <v>0</v>
      </c>
      <c r="AD14" s="1510">
        <f t="shared" si="21"/>
        <v>0</v>
      </c>
      <c r="AE14" s="1395">
        <v>0</v>
      </c>
      <c r="AF14" s="1510">
        <f t="shared" si="22"/>
        <v>0</v>
      </c>
      <c r="AG14" s="1395"/>
      <c r="AH14" s="1395">
        <f t="shared" si="23"/>
        <v>0</v>
      </c>
      <c r="AI14" s="1510">
        <f t="shared" si="24"/>
        <v>0</v>
      </c>
      <c r="AJ14" s="1505">
        <f t="shared" si="25"/>
        <v>0</v>
      </c>
      <c r="AK14" s="1535">
        <f t="shared" si="26"/>
        <v>0</v>
      </c>
    </row>
    <row r="15" spans="1:37" ht="16.2" customHeight="1">
      <c r="A15" s="1176">
        <v>9</v>
      </c>
      <c r="B15" s="1177" t="s">
        <v>89</v>
      </c>
      <c r="C15" s="1178">
        <v>0</v>
      </c>
      <c r="D15" s="1179">
        <f>+'Table 5C1A-Madison Prep'!D15</f>
        <v>4632.4615072045008</v>
      </c>
      <c r="E15" s="1180">
        <f t="shared" si="5"/>
        <v>0</v>
      </c>
      <c r="F15" s="1180">
        <f>+'Table 5C1A-Madison Prep'!F15</f>
        <v>744.76</v>
      </c>
      <c r="G15" s="1180">
        <f t="shared" si="6"/>
        <v>0</v>
      </c>
      <c r="H15" s="1539">
        <f t="shared" si="7"/>
        <v>0</v>
      </c>
      <c r="I15" s="1181"/>
      <c r="J15" s="1181"/>
      <c r="K15" s="1182">
        <f t="shared" si="8"/>
        <v>0</v>
      </c>
      <c r="L15" s="1539">
        <f t="shared" si="9"/>
        <v>0</v>
      </c>
      <c r="M15" s="1388">
        <f t="shared" si="4"/>
        <v>0</v>
      </c>
      <c r="N15" s="1539">
        <f t="shared" si="10"/>
        <v>0</v>
      </c>
      <c r="O15" s="1179">
        <v>0</v>
      </c>
      <c r="P15" s="1545">
        <f t="shared" si="11"/>
        <v>0</v>
      </c>
      <c r="Q15" s="1181"/>
      <c r="R15" s="1181">
        <f t="shared" si="12"/>
        <v>0</v>
      </c>
      <c r="S15" s="1545">
        <f t="shared" si="13"/>
        <v>0</v>
      </c>
      <c r="T15" s="1545">
        <f t="shared" si="14"/>
        <v>0</v>
      </c>
      <c r="U15" s="1389">
        <f>'Table 5C1A-Madison Prep'!U15</f>
        <v>4828</v>
      </c>
      <c r="V15" s="1515">
        <f t="shared" si="15"/>
        <v>0</v>
      </c>
      <c r="W15" s="1391"/>
      <c r="X15" s="1392">
        <f t="shared" si="16"/>
        <v>0</v>
      </c>
      <c r="Y15" s="1391"/>
      <c r="Z15" s="1392">
        <f t="shared" si="17"/>
        <v>0</v>
      </c>
      <c r="AA15" s="1390">
        <f t="shared" si="18"/>
        <v>0</v>
      </c>
      <c r="AB15" s="1510">
        <f t="shared" si="19"/>
        <v>0</v>
      </c>
      <c r="AC15" s="1394">
        <f t="shared" si="20"/>
        <v>0</v>
      </c>
      <c r="AD15" s="1510">
        <f t="shared" si="21"/>
        <v>0</v>
      </c>
      <c r="AE15" s="1395">
        <v>0</v>
      </c>
      <c r="AF15" s="1510">
        <f t="shared" si="22"/>
        <v>0</v>
      </c>
      <c r="AG15" s="1395"/>
      <c r="AH15" s="1395">
        <f t="shared" si="23"/>
        <v>0</v>
      </c>
      <c r="AI15" s="1510">
        <f t="shared" si="24"/>
        <v>0</v>
      </c>
      <c r="AJ15" s="1505">
        <f t="shared" si="25"/>
        <v>0</v>
      </c>
      <c r="AK15" s="1535">
        <f t="shared" si="26"/>
        <v>0</v>
      </c>
    </row>
    <row r="16" spans="1:37" ht="16.2" customHeight="1">
      <c r="A16" s="1168">
        <v>10</v>
      </c>
      <c r="B16" s="1169" t="s">
        <v>90</v>
      </c>
      <c r="C16" s="1170">
        <v>0</v>
      </c>
      <c r="D16" s="1171">
        <f>+'Table 5C1A-Madison Prep'!D16</f>
        <v>4384.374733918472</v>
      </c>
      <c r="E16" s="1172">
        <f t="shared" si="5"/>
        <v>0</v>
      </c>
      <c r="F16" s="1172">
        <f>+'Table 5C1A-Madison Prep'!F16</f>
        <v>608.04000000000008</v>
      </c>
      <c r="G16" s="1172">
        <f t="shared" si="6"/>
        <v>0</v>
      </c>
      <c r="H16" s="1540">
        <f t="shared" si="7"/>
        <v>0</v>
      </c>
      <c r="I16" s="1173"/>
      <c r="J16" s="1173"/>
      <c r="K16" s="1174">
        <f t="shared" si="8"/>
        <v>0</v>
      </c>
      <c r="L16" s="1540">
        <f t="shared" si="9"/>
        <v>0</v>
      </c>
      <c r="M16" s="1399">
        <f t="shared" si="4"/>
        <v>0</v>
      </c>
      <c r="N16" s="1540">
        <f t="shared" si="10"/>
        <v>0</v>
      </c>
      <c r="O16" s="1171">
        <v>0</v>
      </c>
      <c r="P16" s="1546">
        <f t="shared" si="11"/>
        <v>0</v>
      </c>
      <c r="Q16" s="1173"/>
      <c r="R16" s="1173">
        <f t="shared" si="12"/>
        <v>0</v>
      </c>
      <c r="S16" s="1546">
        <f t="shared" si="13"/>
        <v>0</v>
      </c>
      <c r="T16" s="1546">
        <f t="shared" si="14"/>
        <v>0</v>
      </c>
      <c r="U16" s="1382">
        <f>'Table 5C1A-Madison Prep'!U16</f>
        <v>4565</v>
      </c>
      <c r="V16" s="1516">
        <f t="shared" si="15"/>
        <v>0</v>
      </c>
      <c r="W16" s="1400"/>
      <c r="X16" s="1383">
        <f t="shared" si="16"/>
        <v>0</v>
      </c>
      <c r="Y16" s="1400"/>
      <c r="Z16" s="1383">
        <f t="shared" si="17"/>
        <v>0</v>
      </c>
      <c r="AA16" s="1384">
        <f t="shared" si="18"/>
        <v>0</v>
      </c>
      <c r="AB16" s="1511">
        <f t="shared" si="19"/>
        <v>0</v>
      </c>
      <c r="AC16" s="1402">
        <f t="shared" si="20"/>
        <v>0</v>
      </c>
      <c r="AD16" s="1511">
        <f t="shared" si="21"/>
        <v>0</v>
      </c>
      <c r="AE16" s="1385">
        <v>0</v>
      </c>
      <c r="AF16" s="1511">
        <f t="shared" si="22"/>
        <v>0</v>
      </c>
      <c r="AG16" s="1385"/>
      <c r="AH16" s="1385">
        <f t="shared" si="23"/>
        <v>0</v>
      </c>
      <c r="AI16" s="1511">
        <f t="shared" si="24"/>
        <v>0</v>
      </c>
      <c r="AJ16" s="1531">
        <f t="shared" si="25"/>
        <v>0</v>
      </c>
      <c r="AK16" s="1536">
        <f t="shared" si="26"/>
        <v>0</v>
      </c>
    </row>
    <row r="17" spans="1:37" ht="16.2" customHeight="1">
      <c r="A17" s="1183">
        <v>11</v>
      </c>
      <c r="B17" s="1184" t="s">
        <v>91</v>
      </c>
      <c r="C17" s="1185">
        <v>0</v>
      </c>
      <c r="D17" s="1186">
        <f>+'Table 5C1A-Madison Prep'!D17</f>
        <v>7098.5372236353351</v>
      </c>
      <c r="E17" s="1187">
        <f t="shared" si="5"/>
        <v>0</v>
      </c>
      <c r="F17" s="1187">
        <f>+'Table 5C1A-Madison Prep'!F17</f>
        <v>706.55</v>
      </c>
      <c r="G17" s="1187">
        <f t="shared" si="6"/>
        <v>0</v>
      </c>
      <c r="H17" s="1538">
        <f t="shared" si="7"/>
        <v>0</v>
      </c>
      <c r="I17" s="1188"/>
      <c r="J17" s="1188"/>
      <c r="K17" s="1189">
        <f t="shared" si="8"/>
        <v>0</v>
      </c>
      <c r="L17" s="1538">
        <f t="shared" si="9"/>
        <v>0</v>
      </c>
      <c r="M17" s="1372">
        <f t="shared" si="4"/>
        <v>0</v>
      </c>
      <c r="N17" s="1538">
        <f t="shared" si="10"/>
        <v>0</v>
      </c>
      <c r="O17" s="1186">
        <v>0</v>
      </c>
      <c r="P17" s="1544">
        <f t="shared" si="11"/>
        <v>0</v>
      </c>
      <c r="Q17" s="1188"/>
      <c r="R17" s="1188">
        <f t="shared" si="12"/>
        <v>0</v>
      </c>
      <c r="S17" s="1544">
        <f t="shared" si="13"/>
        <v>0</v>
      </c>
      <c r="T17" s="1544">
        <f t="shared" si="14"/>
        <v>0</v>
      </c>
      <c r="U17" s="1373">
        <f>'Table 5C1A-Madison Prep'!U17</f>
        <v>3587</v>
      </c>
      <c r="V17" s="1514">
        <f t="shared" si="15"/>
        <v>0</v>
      </c>
      <c r="W17" s="1375"/>
      <c r="X17" s="1376">
        <f t="shared" si="16"/>
        <v>0</v>
      </c>
      <c r="Y17" s="1375"/>
      <c r="Z17" s="1376">
        <f t="shared" si="17"/>
        <v>0</v>
      </c>
      <c r="AA17" s="1374">
        <f t="shared" si="18"/>
        <v>0</v>
      </c>
      <c r="AB17" s="1509">
        <f t="shared" si="19"/>
        <v>0</v>
      </c>
      <c r="AC17" s="1378">
        <f t="shared" si="20"/>
        <v>0</v>
      </c>
      <c r="AD17" s="1509">
        <f t="shared" si="21"/>
        <v>0</v>
      </c>
      <c r="AE17" s="1379">
        <v>0</v>
      </c>
      <c r="AF17" s="1509">
        <f t="shared" si="22"/>
        <v>0</v>
      </c>
      <c r="AG17" s="1379"/>
      <c r="AH17" s="1379">
        <f t="shared" si="23"/>
        <v>0</v>
      </c>
      <c r="AI17" s="1509">
        <f t="shared" si="24"/>
        <v>0</v>
      </c>
      <c r="AJ17" s="1530">
        <f t="shared" si="25"/>
        <v>0</v>
      </c>
      <c r="AK17" s="1534">
        <f t="shared" si="26"/>
        <v>0</v>
      </c>
    </row>
    <row r="18" spans="1:37" ht="16.2" customHeight="1">
      <c r="A18" s="1176">
        <v>12</v>
      </c>
      <c r="B18" s="1177" t="s">
        <v>92</v>
      </c>
      <c r="C18" s="1178">
        <v>0</v>
      </c>
      <c r="D18" s="1179">
        <f>+'Table 5C1A-Madison Prep'!D18</f>
        <v>1666.6040983606558</v>
      </c>
      <c r="E18" s="1180">
        <f t="shared" si="5"/>
        <v>0</v>
      </c>
      <c r="F18" s="1180">
        <f>+'Table 5C1A-Madison Prep'!F18</f>
        <v>1063.31</v>
      </c>
      <c r="G18" s="1180">
        <f t="shared" si="6"/>
        <v>0</v>
      </c>
      <c r="H18" s="1539">
        <f t="shared" si="7"/>
        <v>0</v>
      </c>
      <c r="I18" s="1181"/>
      <c r="J18" s="1181"/>
      <c r="K18" s="1182">
        <f t="shared" si="8"/>
        <v>0</v>
      </c>
      <c r="L18" s="1539">
        <f t="shared" si="9"/>
        <v>0</v>
      </c>
      <c r="M18" s="1388">
        <f t="shared" si="4"/>
        <v>0</v>
      </c>
      <c r="N18" s="1539">
        <f t="shared" si="10"/>
        <v>0</v>
      </c>
      <c r="O18" s="1179">
        <v>0</v>
      </c>
      <c r="P18" s="1545">
        <f t="shared" si="11"/>
        <v>0</v>
      </c>
      <c r="Q18" s="1181"/>
      <c r="R18" s="1181">
        <f t="shared" si="12"/>
        <v>0</v>
      </c>
      <c r="S18" s="1545">
        <f t="shared" si="13"/>
        <v>0</v>
      </c>
      <c r="T18" s="1545">
        <f t="shared" si="14"/>
        <v>0</v>
      </c>
      <c r="U18" s="1389">
        <f>'Table 5C1A-Madison Prep'!U18</f>
        <v>8094</v>
      </c>
      <c r="V18" s="1515">
        <f t="shared" si="15"/>
        <v>0</v>
      </c>
      <c r="W18" s="1391"/>
      <c r="X18" s="1392">
        <f t="shared" si="16"/>
        <v>0</v>
      </c>
      <c r="Y18" s="1391"/>
      <c r="Z18" s="1392">
        <f t="shared" si="17"/>
        <v>0</v>
      </c>
      <c r="AA18" s="1390">
        <f t="shared" si="18"/>
        <v>0</v>
      </c>
      <c r="AB18" s="1510">
        <f t="shared" si="19"/>
        <v>0</v>
      </c>
      <c r="AC18" s="1394">
        <f t="shared" si="20"/>
        <v>0</v>
      </c>
      <c r="AD18" s="1510">
        <f t="shared" si="21"/>
        <v>0</v>
      </c>
      <c r="AE18" s="1395">
        <v>0</v>
      </c>
      <c r="AF18" s="1510">
        <f t="shared" si="22"/>
        <v>0</v>
      </c>
      <c r="AG18" s="1395"/>
      <c r="AH18" s="1395">
        <f t="shared" si="23"/>
        <v>0</v>
      </c>
      <c r="AI18" s="1510">
        <f t="shared" si="24"/>
        <v>0</v>
      </c>
      <c r="AJ18" s="1505">
        <f t="shared" si="25"/>
        <v>0</v>
      </c>
      <c r="AK18" s="1535">
        <f t="shared" si="26"/>
        <v>0</v>
      </c>
    </row>
    <row r="19" spans="1:37" ht="16.2" customHeight="1">
      <c r="A19" s="1176">
        <v>13</v>
      </c>
      <c r="B19" s="1177" t="s">
        <v>93</v>
      </c>
      <c r="C19" s="1178">
        <v>0</v>
      </c>
      <c r="D19" s="1179">
        <f>+'Table 5C1A-Madison Prep'!D19</f>
        <v>6433.6297758332212</v>
      </c>
      <c r="E19" s="1180">
        <f t="shared" si="5"/>
        <v>0</v>
      </c>
      <c r="F19" s="1180">
        <f>+'Table 5C1A-Madison Prep'!F19</f>
        <v>749.43000000000006</v>
      </c>
      <c r="G19" s="1180">
        <f t="shared" si="6"/>
        <v>0</v>
      </c>
      <c r="H19" s="1539">
        <f t="shared" si="7"/>
        <v>0</v>
      </c>
      <c r="I19" s="1181"/>
      <c r="J19" s="1181"/>
      <c r="K19" s="1182">
        <f t="shared" si="8"/>
        <v>0</v>
      </c>
      <c r="L19" s="1539">
        <f t="shared" si="9"/>
        <v>0</v>
      </c>
      <c r="M19" s="1388">
        <f t="shared" si="4"/>
        <v>0</v>
      </c>
      <c r="N19" s="1539">
        <f t="shared" si="10"/>
        <v>0</v>
      </c>
      <c r="O19" s="1179">
        <v>0</v>
      </c>
      <c r="P19" s="1545">
        <f t="shared" si="11"/>
        <v>0</v>
      </c>
      <c r="Q19" s="1181"/>
      <c r="R19" s="1181">
        <f t="shared" si="12"/>
        <v>0</v>
      </c>
      <c r="S19" s="1545">
        <f t="shared" si="13"/>
        <v>0</v>
      </c>
      <c r="T19" s="1545">
        <f t="shared" si="14"/>
        <v>0</v>
      </c>
      <c r="U19" s="1389">
        <f>'Table 5C1A-Madison Prep'!U19</f>
        <v>2842</v>
      </c>
      <c r="V19" s="1515">
        <f t="shared" si="15"/>
        <v>0</v>
      </c>
      <c r="W19" s="1391"/>
      <c r="X19" s="1392">
        <f t="shared" si="16"/>
        <v>0</v>
      </c>
      <c r="Y19" s="1391"/>
      <c r="Z19" s="1392">
        <f t="shared" si="17"/>
        <v>0</v>
      </c>
      <c r="AA19" s="1390">
        <f t="shared" si="18"/>
        <v>0</v>
      </c>
      <c r="AB19" s="1510">
        <f t="shared" si="19"/>
        <v>0</v>
      </c>
      <c r="AC19" s="1394">
        <f t="shared" si="20"/>
        <v>0</v>
      </c>
      <c r="AD19" s="1510">
        <f t="shared" si="21"/>
        <v>0</v>
      </c>
      <c r="AE19" s="1395">
        <v>0</v>
      </c>
      <c r="AF19" s="1510">
        <f t="shared" si="22"/>
        <v>0</v>
      </c>
      <c r="AG19" s="1395"/>
      <c r="AH19" s="1395">
        <f t="shared" si="23"/>
        <v>0</v>
      </c>
      <c r="AI19" s="1510">
        <f t="shared" si="24"/>
        <v>0</v>
      </c>
      <c r="AJ19" s="1505">
        <f t="shared" si="25"/>
        <v>0</v>
      </c>
      <c r="AK19" s="1535">
        <f t="shared" si="26"/>
        <v>0</v>
      </c>
    </row>
    <row r="20" spans="1:37" ht="16.2" customHeight="1">
      <c r="A20" s="1176">
        <v>14</v>
      </c>
      <c r="B20" s="1177" t="s">
        <v>94</v>
      </c>
      <c r="C20" s="1178">
        <v>0</v>
      </c>
      <c r="D20" s="1179">
        <f>+'Table 5C1A-Madison Prep'!D20</f>
        <v>5334.9509412500001</v>
      </c>
      <c r="E20" s="1180">
        <f t="shared" si="5"/>
        <v>0</v>
      </c>
      <c r="F20" s="1180">
        <f>+'Table 5C1A-Madison Prep'!F20</f>
        <v>809.9799999999999</v>
      </c>
      <c r="G20" s="1180">
        <f t="shared" si="6"/>
        <v>0</v>
      </c>
      <c r="H20" s="1539">
        <f t="shared" si="7"/>
        <v>0</v>
      </c>
      <c r="I20" s="1181"/>
      <c r="J20" s="1181"/>
      <c r="K20" s="1182">
        <f t="shared" si="8"/>
        <v>0</v>
      </c>
      <c r="L20" s="1539">
        <f t="shared" si="9"/>
        <v>0</v>
      </c>
      <c r="M20" s="1388">
        <f t="shared" si="4"/>
        <v>0</v>
      </c>
      <c r="N20" s="1539">
        <f t="shared" si="10"/>
        <v>0</v>
      </c>
      <c r="O20" s="1179">
        <v>0</v>
      </c>
      <c r="P20" s="1545">
        <f t="shared" si="11"/>
        <v>0</v>
      </c>
      <c r="Q20" s="1181"/>
      <c r="R20" s="1181">
        <f t="shared" si="12"/>
        <v>0</v>
      </c>
      <c r="S20" s="1545">
        <f t="shared" si="13"/>
        <v>0</v>
      </c>
      <c r="T20" s="1545">
        <f t="shared" si="14"/>
        <v>0</v>
      </c>
      <c r="U20" s="1389">
        <f>'Table 5C1A-Madison Prep'!U20</f>
        <v>4205</v>
      </c>
      <c r="V20" s="1515">
        <f t="shared" si="15"/>
        <v>0</v>
      </c>
      <c r="W20" s="1391"/>
      <c r="X20" s="1392">
        <f t="shared" si="16"/>
        <v>0</v>
      </c>
      <c r="Y20" s="1391"/>
      <c r="Z20" s="1392">
        <f t="shared" si="17"/>
        <v>0</v>
      </c>
      <c r="AA20" s="1390">
        <f t="shared" si="18"/>
        <v>0</v>
      </c>
      <c r="AB20" s="1510">
        <f t="shared" si="19"/>
        <v>0</v>
      </c>
      <c r="AC20" s="1394">
        <f t="shared" si="20"/>
        <v>0</v>
      </c>
      <c r="AD20" s="1510">
        <f t="shared" si="21"/>
        <v>0</v>
      </c>
      <c r="AE20" s="1395">
        <v>0</v>
      </c>
      <c r="AF20" s="1510">
        <f t="shared" si="22"/>
        <v>0</v>
      </c>
      <c r="AG20" s="1395"/>
      <c r="AH20" s="1395">
        <f t="shared" si="23"/>
        <v>0</v>
      </c>
      <c r="AI20" s="1510">
        <f t="shared" si="24"/>
        <v>0</v>
      </c>
      <c r="AJ20" s="1505">
        <f t="shared" si="25"/>
        <v>0</v>
      </c>
      <c r="AK20" s="1535">
        <f t="shared" si="26"/>
        <v>0</v>
      </c>
    </row>
    <row r="21" spans="1:37" ht="16.2" customHeight="1">
      <c r="A21" s="1168">
        <v>15</v>
      </c>
      <c r="B21" s="1169" t="s">
        <v>95</v>
      </c>
      <c r="C21" s="1170">
        <v>0</v>
      </c>
      <c r="D21" s="1171">
        <f>+'Table 5C1A-Madison Prep'!D21</f>
        <v>5749.8285214059952</v>
      </c>
      <c r="E21" s="1172">
        <f t="shared" si="5"/>
        <v>0</v>
      </c>
      <c r="F21" s="1172">
        <f>+'Table 5C1A-Madison Prep'!F21</f>
        <v>553.79999999999995</v>
      </c>
      <c r="G21" s="1172">
        <f t="shared" si="6"/>
        <v>0</v>
      </c>
      <c r="H21" s="1540">
        <f t="shared" si="7"/>
        <v>0</v>
      </c>
      <c r="I21" s="1173"/>
      <c r="J21" s="1173"/>
      <c r="K21" s="1174">
        <f t="shared" si="8"/>
        <v>0</v>
      </c>
      <c r="L21" s="1540">
        <f t="shared" si="9"/>
        <v>0</v>
      </c>
      <c r="M21" s="1399">
        <f t="shared" si="4"/>
        <v>0</v>
      </c>
      <c r="N21" s="1540">
        <f t="shared" si="10"/>
        <v>0</v>
      </c>
      <c r="O21" s="1171">
        <v>0</v>
      </c>
      <c r="P21" s="1546">
        <f t="shared" si="11"/>
        <v>0</v>
      </c>
      <c r="Q21" s="1173"/>
      <c r="R21" s="1173">
        <f t="shared" si="12"/>
        <v>0</v>
      </c>
      <c r="S21" s="1546">
        <f t="shared" si="13"/>
        <v>0</v>
      </c>
      <c r="T21" s="1546">
        <f t="shared" si="14"/>
        <v>0</v>
      </c>
      <c r="U21" s="1382">
        <f>'Table 5C1A-Madison Prep'!U21</f>
        <v>2535</v>
      </c>
      <c r="V21" s="1516">
        <f t="shared" si="15"/>
        <v>0</v>
      </c>
      <c r="W21" s="1400"/>
      <c r="X21" s="1383">
        <f t="shared" si="16"/>
        <v>0</v>
      </c>
      <c r="Y21" s="1400"/>
      <c r="Z21" s="1383">
        <f t="shared" si="17"/>
        <v>0</v>
      </c>
      <c r="AA21" s="1384">
        <f t="shared" si="18"/>
        <v>0</v>
      </c>
      <c r="AB21" s="1511">
        <f t="shared" si="19"/>
        <v>0</v>
      </c>
      <c r="AC21" s="1402">
        <f t="shared" si="20"/>
        <v>0</v>
      </c>
      <c r="AD21" s="1511">
        <f t="shared" si="21"/>
        <v>0</v>
      </c>
      <c r="AE21" s="1385">
        <v>0</v>
      </c>
      <c r="AF21" s="1511">
        <f t="shared" si="22"/>
        <v>0</v>
      </c>
      <c r="AG21" s="1385"/>
      <c r="AH21" s="1385">
        <f t="shared" si="23"/>
        <v>0</v>
      </c>
      <c r="AI21" s="1511">
        <f t="shared" si="24"/>
        <v>0</v>
      </c>
      <c r="AJ21" s="1531">
        <f t="shared" si="25"/>
        <v>0</v>
      </c>
      <c r="AK21" s="1536">
        <f t="shared" si="26"/>
        <v>0</v>
      </c>
    </row>
    <row r="22" spans="1:37" ht="16.2" customHeight="1">
      <c r="A22" s="1183">
        <v>16</v>
      </c>
      <c r="B22" s="1184" t="s">
        <v>96</v>
      </c>
      <c r="C22" s="1185">
        <v>0</v>
      </c>
      <c r="D22" s="1186">
        <f>+'Table 5C1A-Madison Prep'!D22</f>
        <v>1980.2494354342025</v>
      </c>
      <c r="E22" s="1187">
        <f t="shared" si="5"/>
        <v>0</v>
      </c>
      <c r="F22" s="1187">
        <f>+'Table 5C1A-Madison Prep'!F22</f>
        <v>686.73</v>
      </c>
      <c r="G22" s="1187">
        <f t="shared" si="6"/>
        <v>0</v>
      </c>
      <c r="H22" s="1538">
        <f t="shared" si="7"/>
        <v>0</v>
      </c>
      <c r="I22" s="1188"/>
      <c r="J22" s="1188"/>
      <c r="K22" s="1189">
        <f t="shared" si="8"/>
        <v>0</v>
      </c>
      <c r="L22" s="1538">
        <f t="shared" si="9"/>
        <v>0</v>
      </c>
      <c r="M22" s="1372">
        <f t="shared" si="4"/>
        <v>0</v>
      </c>
      <c r="N22" s="1538">
        <f t="shared" si="10"/>
        <v>0</v>
      </c>
      <c r="O22" s="1186">
        <v>0</v>
      </c>
      <c r="P22" s="1544">
        <f t="shared" si="11"/>
        <v>0</v>
      </c>
      <c r="Q22" s="1188"/>
      <c r="R22" s="1188">
        <f t="shared" si="12"/>
        <v>0</v>
      </c>
      <c r="S22" s="1544">
        <f t="shared" si="13"/>
        <v>0</v>
      </c>
      <c r="T22" s="1544">
        <f t="shared" si="14"/>
        <v>0</v>
      </c>
      <c r="U22" s="1373">
        <f>'Table 5C1A-Madison Prep'!U22</f>
        <v>12768</v>
      </c>
      <c r="V22" s="1514">
        <f t="shared" si="15"/>
        <v>0</v>
      </c>
      <c r="W22" s="1375"/>
      <c r="X22" s="1376">
        <f t="shared" si="16"/>
        <v>0</v>
      </c>
      <c r="Y22" s="1375"/>
      <c r="Z22" s="1376">
        <f t="shared" si="17"/>
        <v>0</v>
      </c>
      <c r="AA22" s="1374">
        <f t="shared" si="18"/>
        <v>0</v>
      </c>
      <c r="AB22" s="1509">
        <f t="shared" si="19"/>
        <v>0</v>
      </c>
      <c r="AC22" s="1378">
        <f t="shared" si="20"/>
        <v>0</v>
      </c>
      <c r="AD22" s="1509">
        <f t="shared" si="21"/>
        <v>0</v>
      </c>
      <c r="AE22" s="1379">
        <v>0</v>
      </c>
      <c r="AF22" s="1509">
        <f t="shared" si="22"/>
        <v>0</v>
      </c>
      <c r="AG22" s="1379"/>
      <c r="AH22" s="1379">
        <f t="shared" si="23"/>
        <v>0</v>
      </c>
      <c r="AI22" s="1509">
        <f t="shared" si="24"/>
        <v>0</v>
      </c>
      <c r="AJ22" s="1530">
        <f t="shared" si="25"/>
        <v>0</v>
      </c>
      <c r="AK22" s="1534">
        <f t="shared" si="26"/>
        <v>0</v>
      </c>
    </row>
    <row r="23" spans="1:37" ht="16.2" customHeight="1">
      <c r="A23" s="1176">
        <v>17</v>
      </c>
      <c r="B23" s="1177" t="s">
        <v>97</v>
      </c>
      <c r="C23" s="1178">
        <v>8</v>
      </c>
      <c r="D23" s="1179">
        <f>+'Table 5C1A-Madison Prep'!D23</f>
        <v>3363.5980368254495</v>
      </c>
      <c r="E23" s="1180">
        <f t="shared" si="5"/>
        <v>26908.784294603596</v>
      </c>
      <c r="F23" s="1180">
        <f>+'Table 5C1A-Madison Prep'!F23</f>
        <v>801.47762416806802</v>
      </c>
      <c r="G23" s="1180">
        <f t="shared" si="6"/>
        <v>6411.8209933445441</v>
      </c>
      <c r="H23" s="1539">
        <f t="shared" si="7"/>
        <v>33320.605287948143</v>
      </c>
      <c r="I23" s="1181"/>
      <c r="J23" s="1181"/>
      <c r="K23" s="1182">
        <f t="shared" si="8"/>
        <v>0</v>
      </c>
      <c r="L23" s="1539">
        <f t="shared" si="9"/>
        <v>33320.605287948143</v>
      </c>
      <c r="M23" s="1388">
        <f t="shared" si="4"/>
        <v>-83.301513219870358</v>
      </c>
      <c r="N23" s="1539">
        <f t="shared" si="10"/>
        <v>33237.303774728272</v>
      </c>
      <c r="O23" s="1179">
        <v>0</v>
      </c>
      <c r="P23" s="1545">
        <f t="shared" si="11"/>
        <v>33237.303774728272</v>
      </c>
      <c r="Q23" s="1181"/>
      <c r="R23" s="1181">
        <f t="shared" si="12"/>
        <v>33237.303774728272</v>
      </c>
      <c r="S23" s="1545">
        <f t="shared" si="13"/>
        <v>2770</v>
      </c>
      <c r="T23" s="1545">
        <f t="shared" si="14"/>
        <v>33237.303774728272</v>
      </c>
      <c r="U23" s="1389">
        <f>'Table 5C1A-Madison Prep'!U23</f>
        <v>7050</v>
      </c>
      <c r="V23" s="1515">
        <f t="shared" si="15"/>
        <v>56400</v>
      </c>
      <c r="W23" s="1391"/>
      <c r="X23" s="1392">
        <f t="shared" si="16"/>
        <v>0</v>
      </c>
      <c r="Y23" s="1391"/>
      <c r="Z23" s="1392">
        <f t="shared" si="17"/>
        <v>0</v>
      </c>
      <c r="AA23" s="1390">
        <f t="shared" si="18"/>
        <v>0</v>
      </c>
      <c r="AB23" s="1510">
        <f t="shared" si="19"/>
        <v>56400</v>
      </c>
      <c r="AC23" s="1394">
        <f t="shared" si="20"/>
        <v>-141</v>
      </c>
      <c r="AD23" s="1510">
        <f t="shared" si="21"/>
        <v>56259</v>
      </c>
      <c r="AE23" s="1395">
        <v>0</v>
      </c>
      <c r="AF23" s="1510">
        <f t="shared" si="22"/>
        <v>56259</v>
      </c>
      <c r="AG23" s="1395"/>
      <c r="AH23" s="1395">
        <f t="shared" si="23"/>
        <v>56259</v>
      </c>
      <c r="AI23" s="1510">
        <f t="shared" si="24"/>
        <v>4688</v>
      </c>
      <c r="AJ23" s="1505">
        <f t="shared" si="25"/>
        <v>89496.303774728265</v>
      </c>
      <c r="AK23" s="1535">
        <f t="shared" si="26"/>
        <v>7458</v>
      </c>
    </row>
    <row r="24" spans="1:37" ht="16.2" customHeight="1">
      <c r="A24" s="1176">
        <v>18</v>
      </c>
      <c r="B24" s="1177" t="s">
        <v>98</v>
      </c>
      <c r="C24" s="1178">
        <v>0</v>
      </c>
      <c r="D24" s="1179">
        <f>+'Table 5C1A-Madison Prep'!D24</f>
        <v>6354.5533500475731</v>
      </c>
      <c r="E24" s="1180">
        <f t="shared" si="5"/>
        <v>0</v>
      </c>
      <c r="F24" s="1180">
        <f>+'Table 5C1A-Madison Prep'!F24</f>
        <v>845.94999999999993</v>
      </c>
      <c r="G24" s="1180">
        <f t="shared" si="6"/>
        <v>0</v>
      </c>
      <c r="H24" s="1539">
        <f t="shared" si="7"/>
        <v>0</v>
      </c>
      <c r="I24" s="1181"/>
      <c r="J24" s="1181"/>
      <c r="K24" s="1182">
        <f t="shared" si="8"/>
        <v>0</v>
      </c>
      <c r="L24" s="1539">
        <f t="shared" si="9"/>
        <v>0</v>
      </c>
      <c r="M24" s="1388">
        <f t="shared" si="4"/>
        <v>0</v>
      </c>
      <c r="N24" s="1539">
        <f t="shared" si="10"/>
        <v>0</v>
      </c>
      <c r="O24" s="1179">
        <v>0</v>
      </c>
      <c r="P24" s="1545">
        <f t="shared" si="11"/>
        <v>0</v>
      </c>
      <c r="Q24" s="1181"/>
      <c r="R24" s="1181">
        <f t="shared" si="12"/>
        <v>0</v>
      </c>
      <c r="S24" s="1545">
        <f t="shared" si="13"/>
        <v>0</v>
      </c>
      <c r="T24" s="1545">
        <f t="shared" si="14"/>
        <v>0</v>
      </c>
      <c r="U24" s="1389">
        <f>'Table 5C1A-Madison Prep'!U24</f>
        <v>2526</v>
      </c>
      <c r="V24" s="1515">
        <f t="shared" si="15"/>
        <v>0</v>
      </c>
      <c r="W24" s="1391"/>
      <c r="X24" s="1392">
        <f t="shared" si="16"/>
        <v>0</v>
      </c>
      <c r="Y24" s="1391"/>
      <c r="Z24" s="1392">
        <f t="shared" si="17"/>
        <v>0</v>
      </c>
      <c r="AA24" s="1390">
        <f t="shared" si="18"/>
        <v>0</v>
      </c>
      <c r="AB24" s="1510">
        <f t="shared" si="19"/>
        <v>0</v>
      </c>
      <c r="AC24" s="1394">
        <f t="shared" si="20"/>
        <v>0</v>
      </c>
      <c r="AD24" s="1510">
        <f t="shared" si="21"/>
        <v>0</v>
      </c>
      <c r="AE24" s="1395">
        <v>0</v>
      </c>
      <c r="AF24" s="1510">
        <f t="shared" si="22"/>
        <v>0</v>
      </c>
      <c r="AG24" s="1395"/>
      <c r="AH24" s="1395">
        <f t="shared" si="23"/>
        <v>0</v>
      </c>
      <c r="AI24" s="1510">
        <f t="shared" si="24"/>
        <v>0</v>
      </c>
      <c r="AJ24" s="1505">
        <f t="shared" si="25"/>
        <v>0</v>
      </c>
      <c r="AK24" s="1535">
        <f t="shared" si="26"/>
        <v>0</v>
      </c>
    </row>
    <row r="25" spans="1:37" ht="16.2" customHeight="1">
      <c r="A25" s="1176">
        <v>19</v>
      </c>
      <c r="B25" s="1177" t="s">
        <v>99</v>
      </c>
      <c r="C25" s="1178">
        <v>0</v>
      </c>
      <c r="D25" s="1179">
        <f>+'Table 5C1A-Madison Prep'!D25</f>
        <v>5314.3921869460446</v>
      </c>
      <c r="E25" s="1180">
        <f t="shared" si="5"/>
        <v>0</v>
      </c>
      <c r="F25" s="1180">
        <f>+'Table 5C1A-Madison Prep'!F25</f>
        <v>905.43</v>
      </c>
      <c r="G25" s="1180">
        <f t="shared" si="6"/>
        <v>0</v>
      </c>
      <c r="H25" s="1539">
        <f t="shared" si="7"/>
        <v>0</v>
      </c>
      <c r="I25" s="1181"/>
      <c r="J25" s="1181"/>
      <c r="K25" s="1182">
        <f t="shared" si="8"/>
        <v>0</v>
      </c>
      <c r="L25" s="1539">
        <f t="shared" si="9"/>
        <v>0</v>
      </c>
      <c r="M25" s="1388">
        <f t="shared" si="4"/>
        <v>0</v>
      </c>
      <c r="N25" s="1539">
        <f t="shared" si="10"/>
        <v>0</v>
      </c>
      <c r="O25" s="1179">
        <v>0</v>
      </c>
      <c r="P25" s="1545">
        <f t="shared" si="11"/>
        <v>0</v>
      </c>
      <c r="Q25" s="1181"/>
      <c r="R25" s="1181">
        <f t="shared" si="12"/>
        <v>0</v>
      </c>
      <c r="S25" s="1545">
        <f t="shared" si="13"/>
        <v>0</v>
      </c>
      <c r="T25" s="1545">
        <f t="shared" si="14"/>
        <v>0</v>
      </c>
      <c r="U25" s="1389">
        <f>'Table 5C1A-Madison Prep'!U25</f>
        <v>2908</v>
      </c>
      <c r="V25" s="1515">
        <f t="shared" si="15"/>
        <v>0</v>
      </c>
      <c r="W25" s="1391"/>
      <c r="X25" s="1392">
        <f t="shared" si="16"/>
        <v>0</v>
      </c>
      <c r="Y25" s="1391"/>
      <c r="Z25" s="1392">
        <f t="shared" si="17"/>
        <v>0</v>
      </c>
      <c r="AA25" s="1390">
        <f t="shared" si="18"/>
        <v>0</v>
      </c>
      <c r="AB25" s="1510">
        <f t="shared" si="19"/>
        <v>0</v>
      </c>
      <c r="AC25" s="1394">
        <f t="shared" si="20"/>
        <v>0</v>
      </c>
      <c r="AD25" s="1510">
        <f t="shared" si="21"/>
        <v>0</v>
      </c>
      <c r="AE25" s="1395">
        <v>0</v>
      </c>
      <c r="AF25" s="1510">
        <f t="shared" si="22"/>
        <v>0</v>
      </c>
      <c r="AG25" s="1395"/>
      <c r="AH25" s="1395">
        <f t="shared" si="23"/>
        <v>0</v>
      </c>
      <c r="AI25" s="1510">
        <f t="shared" si="24"/>
        <v>0</v>
      </c>
      <c r="AJ25" s="1505">
        <f t="shared" si="25"/>
        <v>0</v>
      </c>
      <c r="AK25" s="1535">
        <f t="shared" si="26"/>
        <v>0</v>
      </c>
    </row>
    <row r="26" spans="1:37" ht="16.2" customHeight="1">
      <c r="A26" s="1168">
        <v>20</v>
      </c>
      <c r="B26" s="1169" t="s">
        <v>100</v>
      </c>
      <c r="C26" s="1170">
        <v>0</v>
      </c>
      <c r="D26" s="1171">
        <f>+'Table 5C1A-Madison Prep'!D26</f>
        <v>5278.5201565562011</v>
      </c>
      <c r="E26" s="1172">
        <f t="shared" si="5"/>
        <v>0</v>
      </c>
      <c r="F26" s="1172">
        <f>+'Table 5C1A-Madison Prep'!F26</f>
        <v>586.16999999999996</v>
      </c>
      <c r="G26" s="1172">
        <f t="shared" si="6"/>
        <v>0</v>
      </c>
      <c r="H26" s="1540">
        <f t="shared" si="7"/>
        <v>0</v>
      </c>
      <c r="I26" s="1173"/>
      <c r="J26" s="1173"/>
      <c r="K26" s="1174">
        <f t="shared" si="8"/>
        <v>0</v>
      </c>
      <c r="L26" s="1540">
        <f t="shared" si="9"/>
        <v>0</v>
      </c>
      <c r="M26" s="1399">
        <f t="shared" si="4"/>
        <v>0</v>
      </c>
      <c r="N26" s="1540">
        <f t="shared" si="10"/>
        <v>0</v>
      </c>
      <c r="O26" s="1171">
        <v>0</v>
      </c>
      <c r="P26" s="1546">
        <f t="shared" si="11"/>
        <v>0</v>
      </c>
      <c r="Q26" s="1173"/>
      <c r="R26" s="1173">
        <f t="shared" si="12"/>
        <v>0</v>
      </c>
      <c r="S26" s="1546">
        <f t="shared" si="13"/>
        <v>0</v>
      </c>
      <c r="T26" s="1546">
        <f t="shared" si="14"/>
        <v>0</v>
      </c>
      <c r="U26" s="1382">
        <f>'Table 5C1A-Madison Prep'!U26</f>
        <v>2432</v>
      </c>
      <c r="V26" s="1516">
        <f t="shared" si="15"/>
        <v>0</v>
      </c>
      <c r="W26" s="1400"/>
      <c r="X26" s="1383">
        <f t="shared" si="16"/>
        <v>0</v>
      </c>
      <c r="Y26" s="1400"/>
      <c r="Z26" s="1383">
        <f t="shared" si="17"/>
        <v>0</v>
      </c>
      <c r="AA26" s="1384">
        <f t="shared" si="18"/>
        <v>0</v>
      </c>
      <c r="AB26" s="1511">
        <f t="shared" si="19"/>
        <v>0</v>
      </c>
      <c r="AC26" s="1402">
        <f t="shared" si="20"/>
        <v>0</v>
      </c>
      <c r="AD26" s="1511">
        <f t="shared" si="21"/>
        <v>0</v>
      </c>
      <c r="AE26" s="1385">
        <v>0</v>
      </c>
      <c r="AF26" s="1511">
        <f t="shared" si="22"/>
        <v>0</v>
      </c>
      <c r="AG26" s="1385"/>
      <c r="AH26" s="1385">
        <f t="shared" si="23"/>
        <v>0</v>
      </c>
      <c r="AI26" s="1511">
        <f t="shared" si="24"/>
        <v>0</v>
      </c>
      <c r="AJ26" s="1531">
        <f t="shared" si="25"/>
        <v>0</v>
      </c>
      <c r="AK26" s="1536">
        <f t="shared" si="26"/>
        <v>0</v>
      </c>
    </row>
    <row r="27" spans="1:37" ht="16.2" customHeight="1">
      <c r="A27" s="1183">
        <v>21</v>
      </c>
      <c r="B27" s="1184" t="s">
        <v>101</v>
      </c>
      <c r="C27" s="1185">
        <v>0</v>
      </c>
      <c r="D27" s="1186">
        <f>+'Table 5C1A-Madison Prep'!D27</f>
        <v>6082.3042295867763</v>
      </c>
      <c r="E27" s="1187">
        <f t="shared" si="5"/>
        <v>0</v>
      </c>
      <c r="F27" s="1187">
        <f>+'Table 5C1A-Madison Prep'!F27</f>
        <v>610.35</v>
      </c>
      <c r="G27" s="1187">
        <f t="shared" si="6"/>
        <v>0</v>
      </c>
      <c r="H27" s="1538">
        <f t="shared" si="7"/>
        <v>0</v>
      </c>
      <c r="I27" s="1188"/>
      <c r="J27" s="1188"/>
      <c r="K27" s="1189">
        <f t="shared" si="8"/>
        <v>0</v>
      </c>
      <c r="L27" s="1538">
        <f t="shared" si="9"/>
        <v>0</v>
      </c>
      <c r="M27" s="1372">
        <f t="shared" si="4"/>
        <v>0</v>
      </c>
      <c r="N27" s="1538">
        <f t="shared" si="10"/>
        <v>0</v>
      </c>
      <c r="O27" s="1186">
        <v>0</v>
      </c>
      <c r="P27" s="1544">
        <f t="shared" si="11"/>
        <v>0</v>
      </c>
      <c r="Q27" s="1188"/>
      <c r="R27" s="1188">
        <f t="shared" si="12"/>
        <v>0</v>
      </c>
      <c r="S27" s="1544">
        <f t="shared" si="13"/>
        <v>0</v>
      </c>
      <c r="T27" s="1544">
        <f t="shared" si="14"/>
        <v>0</v>
      </c>
      <c r="U27" s="1373">
        <f>'Table 5C1A-Madison Prep'!U27</f>
        <v>2460</v>
      </c>
      <c r="V27" s="1514">
        <f t="shared" si="15"/>
        <v>0</v>
      </c>
      <c r="W27" s="1375"/>
      <c r="X27" s="1376">
        <f t="shared" si="16"/>
        <v>0</v>
      </c>
      <c r="Y27" s="1375"/>
      <c r="Z27" s="1376">
        <f t="shared" si="17"/>
        <v>0</v>
      </c>
      <c r="AA27" s="1374">
        <f t="shared" si="18"/>
        <v>0</v>
      </c>
      <c r="AB27" s="1509">
        <f t="shared" si="19"/>
        <v>0</v>
      </c>
      <c r="AC27" s="1378">
        <f t="shared" si="20"/>
        <v>0</v>
      </c>
      <c r="AD27" s="1509">
        <f t="shared" si="21"/>
        <v>0</v>
      </c>
      <c r="AE27" s="1379">
        <v>0</v>
      </c>
      <c r="AF27" s="1509">
        <f t="shared" si="22"/>
        <v>0</v>
      </c>
      <c r="AG27" s="1379"/>
      <c r="AH27" s="1379">
        <f t="shared" si="23"/>
        <v>0</v>
      </c>
      <c r="AI27" s="1509">
        <f t="shared" si="24"/>
        <v>0</v>
      </c>
      <c r="AJ27" s="1530">
        <f t="shared" si="25"/>
        <v>0</v>
      </c>
      <c r="AK27" s="1534">
        <f t="shared" si="26"/>
        <v>0</v>
      </c>
    </row>
    <row r="28" spans="1:37" ht="16.2" customHeight="1">
      <c r="A28" s="1176">
        <v>22</v>
      </c>
      <c r="B28" s="1177" t="s">
        <v>102</v>
      </c>
      <c r="C28" s="1178">
        <v>0</v>
      </c>
      <c r="D28" s="1179">
        <f>+'Table 5C1A-Madison Prep'!D28</f>
        <v>6416.1099808195995</v>
      </c>
      <c r="E28" s="1180">
        <f t="shared" si="5"/>
        <v>0</v>
      </c>
      <c r="F28" s="1180">
        <f>+'Table 5C1A-Madison Prep'!F28</f>
        <v>496.36</v>
      </c>
      <c r="G28" s="1180">
        <f t="shared" si="6"/>
        <v>0</v>
      </c>
      <c r="H28" s="1539">
        <f t="shared" si="7"/>
        <v>0</v>
      </c>
      <c r="I28" s="1181"/>
      <c r="J28" s="1181"/>
      <c r="K28" s="1182">
        <f t="shared" si="8"/>
        <v>0</v>
      </c>
      <c r="L28" s="1539">
        <f t="shared" si="9"/>
        <v>0</v>
      </c>
      <c r="M28" s="1388">
        <f t="shared" si="4"/>
        <v>0</v>
      </c>
      <c r="N28" s="1539">
        <f t="shared" si="10"/>
        <v>0</v>
      </c>
      <c r="O28" s="1179">
        <v>0</v>
      </c>
      <c r="P28" s="1545">
        <f t="shared" si="11"/>
        <v>0</v>
      </c>
      <c r="Q28" s="1181"/>
      <c r="R28" s="1181">
        <f t="shared" si="12"/>
        <v>0</v>
      </c>
      <c r="S28" s="1545">
        <f t="shared" si="13"/>
        <v>0</v>
      </c>
      <c r="T28" s="1545">
        <f t="shared" si="14"/>
        <v>0</v>
      </c>
      <c r="U28" s="1389">
        <f>'Table 5C1A-Madison Prep'!U28</f>
        <v>1613</v>
      </c>
      <c r="V28" s="1515">
        <f t="shared" si="15"/>
        <v>0</v>
      </c>
      <c r="W28" s="1391"/>
      <c r="X28" s="1392">
        <f t="shared" si="16"/>
        <v>0</v>
      </c>
      <c r="Y28" s="1391"/>
      <c r="Z28" s="1392">
        <f t="shared" si="17"/>
        <v>0</v>
      </c>
      <c r="AA28" s="1390">
        <f t="shared" si="18"/>
        <v>0</v>
      </c>
      <c r="AB28" s="1510">
        <f t="shared" si="19"/>
        <v>0</v>
      </c>
      <c r="AC28" s="1394">
        <f t="shared" si="20"/>
        <v>0</v>
      </c>
      <c r="AD28" s="1510">
        <f t="shared" si="21"/>
        <v>0</v>
      </c>
      <c r="AE28" s="1395">
        <v>0</v>
      </c>
      <c r="AF28" s="1510">
        <f t="shared" si="22"/>
        <v>0</v>
      </c>
      <c r="AG28" s="1395"/>
      <c r="AH28" s="1395">
        <f t="shared" si="23"/>
        <v>0</v>
      </c>
      <c r="AI28" s="1510">
        <f t="shared" si="24"/>
        <v>0</v>
      </c>
      <c r="AJ28" s="1505">
        <f t="shared" si="25"/>
        <v>0</v>
      </c>
      <c r="AK28" s="1535">
        <f t="shared" si="26"/>
        <v>0</v>
      </c>
    </row>
    <row r="29" spans="1:37" ht="16.2" customHeight="1">
      <c r="A29" s="1176">
        <v>23</v>
      </c>
      <c r="B29" s="1177" t="s">
        <v>103</v>
      </c>
      <c r="C29" s="1178">
        <v>0</v>
      </c>
      <c r="D29" s="1179">
        <f>+'Table 5C1A-Madison Prep'!D29</f>
        <v>5011.0215265979159</v>
      </c>
      <c r="E29" s="1180">
        <f t="shared" si="5"/>
        <v>0</v>
      </c>
      <c r="F29" s="1180">
        <f>+'Table 5C1A-Madison Prep'!F29</f>
        <v>688.58</v>
      </c>
      <c r="G29" s="1180">
        <f t="shared" si="6"/>
        <v>0</v>
      </c>
      <c r="H29" s="1539">
        <f t="shared" si="7"/>
        <v>0</v>
      </c>
      <c r="I29" s="1181"/>
      <c r="J29" s="1181"/>
      <c r="K29" s="1182">
        <f t="shared" si="8"/>
        <v>0</v>
      </c>
      <c r="L29" s="1539">
        <f t="shared" si="9"/>
        <v>0</v>
      </c>
      <c r="M29" s="1388">
        <f t="shared" si="4"/>
        <v>0</v>
      </c>
      <c r="N29" s="1539">
        <f t="shared" si="10"/>
        <v>0</v>
      </c>
      <c r="O29" s="1179">
        <v>0</v>
      </c>
      <c r="P29" s="1545">
        <f t="shared" si="11"/>
        <v>0</v>
      </c>
      <c r="Q29" s="1181"/>
      <c r="R29" s="1181">
        <f t="shared" si="12"/>
        <v>0</v>
      </c>
      <c r="S29" s="1545">
        <f t="shared" si="13"/>
        <v>0</v>
      </c>
      <c r="T29" s="1545">
        <f t="shared" si="14"/>
        <v>0</v>
      </c>
      <c r="U29" s="1389">
        <f>'Table 5C1A-Madison Prep'!U29</f>
        <v>3473</v>
      </c>
      <c r="V29" s="1515">
        <f t="shared" si="15"/>
        <v>0</v>
      </c>
      <c r="W29" s="1391"/>
      <c r="X29" s="1392">
        <f t="shared" si="16"/>
        <v>0</v>
      </c>
      <c r="Y29" s="1391"/>
      <c r="Z29" s="1392">
        <f t="shared" si="17"/>
        <v>0</v>
      </c>
      <c r="AA29" s="1390">
        <f t="shared" si="18"/>
        <v>0</v>
      </c>
      <c r="AB29" s="1510">
        <f t="shared" si="19"/>
        <v>0</v>
      </c>
      <c r="AC29" s="1394">
        <f t="shared" si="20"/>
        <v>0</v>
      </c>
      <c r="AD29" s="1510">
        <f t="shared" si="21"/>
        <v>0</v>
      </c>
      <c r="AE29" s="1395">
        <v>0</v>
      </c>
      <c r="AF29" s="1510">
        <f t="shared" si="22"/>
        <v>0</v>
      </c>
      <c r="AG29" s="1395"/>
      <c r="AH29" s="1395">
        <f t="shared" si="23"/>
        <v>0</v>
      </c>
      <c r="AI29" s="1510">
        <f t="shared" si="24"/>
        <v>0</v>
      </c>
      <c r="AJ29" s="1505">
        <f t="shared" si="25"/>
        <v>0</v>
      </c>
      <c r="AK29" s="1535">
        <f t="shared" si="26"/>
        <v>0</v>
      </c>
    </row>
    <row r="30" spans="1:37" ht="16.2" customHeight="1">
      <c r="A30" s="1176">
        <v>24</v>
      </c>
      <c r="B30" s="1177" t="s">
        <v>104</v>
      </c>
      <c r="C30" s="1178">
        <v>376</v>
      </c>
      <c r="D30" s="1179">
        <f>+'Table 5C1A-Madison Prep'!D30</f>
        <v>2611.6740361576999</v>
      </c>
      <c r="E30" s="1180">
        <f t="shared" si="5"/>
        <v>981989.43759529514</v>
      </c>
      <c r="F30" s="1180">
        <f>+'Table 5C1A-Madison Prep'!F30</f>
        <v>854.24999999999989</v>
      </c>
      <c r="G30" s="1180">
        <f t="shared" si="6"/>
        <v>321197.99999999994</v>
      </c>
      <c r="H30" s="1539">
        <f t="shared" si="7"/>
        <v>1303187.437595295</v>
      </c>
      <c r="I30" s="1181"/>
      <c r="J30" s="1181"/>
      <c r="K30" s="1182">
        <f t="shared" si="8"/>
        <v>0</v>
      </c>
      <c r="L30" s="1539">
        <f t="shared" si="9"/>
        <v>1303187.437595295</v>
      </c>
      <c r="M30" s="1388">
        <f t="shared" si="4"/>
        <v>-3257.9685939882374</v>
      </c>
      <c r="N30" s="1539">
        <f t="shared" si="10"/>
        <v>1299929.4690013067</v>
      </c>
      <c r="O30" s="1179">
        <v>0</v>
      </c>
      <c r="P30" s="1545">
        <f t="shared" si="11"/>
        <v>1299929.4690013067</v>
      </c>
      <c r="Q30" s="1181"/>
      <c r="R30" s="1181">
        <f t="shared" si="12"/>
        <v>1299929.4690013067</v>
      </c>
      <c r="S30" s="1545">
        <f t="shared" si="13"/>
        <v>108327</v>
      </c>
      <c r="T30" s="1545">
        <f t="shared" si="14"/>
        <v>1299929.4690013067</v>
      </c>
      <c r="U30" s="1389">
        <f>'Table 5C1A-Madison Prep'!U30</f>
        <v>10053</v>
      </c>
      <c r="V30" s="1515">
        <f t="shared" si="15"/>
        <v>3779928</v>
      </c>
      <c r="W30" s="1391"/>
      <c r="X30" s="1392">
        <f t="shared" si="16"/>
        <v>0</v>
      </c>
      <c r="Y30" s="1391"/>
      <c r="Z30" s="1392">
        <f t="shared" si="17"/>
        <v>0</v>
      </c>
      <c r="AA30" s="1390">
        <f t="shared" si="18"/>
        <v>0</v>
      </c>
      <c r="AB30" s="1510">
        <f t="shared" si="19"/>
        <v>3779928</v>
      </c>
      <c r="AC30" s="1394">
        <f t="shared" si="20"/>
        <v>-9449.82</v>
      </c>
      <c r="AD30" s="1510">
        <f t="shared" si="21"/>
        <v>3770478.18</v>
      </c>
      <c r="AE30" s="1395">
        <v>0</v>
      </c>
      <c r="AF30" s="1510">
        <f t="shared" si="22"/>
        <v>3770478.18</v>
      </c>
      <c r="AG30" s="1395"/>
      <c r="AH30" s="1395">
        <f t="shared" si="23"/>
        <v>3770478.18</v>
      </c>
      <c r="AI30" s="1510">
        <f t="shared" si="24"/>
        <v>314207</v>
      </c>
      <c r="AJ30" s="1505">
        <f t="shared" si="25"/>
        <v>5070407.6490013069</v>
      </c>
      <c r="AK30" s="1535">
        <f t="shared" si="26"/>
        <v>422534</v>
      </c>
    </row>
    <row r="31" spans="1:37" ht="16.2" customHeight="1">
      <c r="A31" s="1168">
        <v>25</v>
      </c>
      <c r="B31" s="1169" t="s">
        <v>105</v>
      </c>
      <c r="C31" s="1170">
        <v>0</v>
      </c>
      <c r="D31" s="1171">
        <f>+'Table 5C1A-Madison Prep'!D31</f>
        <v>4173.0720274945697</v>
      </c>
      <c r="E31" s="1172">
        <f t="shared" si="5"/>
        <v>0</v>
      </c>
      <c r="F31" s="1172">
        <f>+'Table 5C1A-Madison Prep'!F31</f>
        <v>653.73</v>
      </c>
      <c r="G31" s="1172">
        <f t="shared" si="6"/>
        <v>0</v>
      </c>
      <c r="H31" s="1540">
        <f t="shared" si="7"/>
        <v>0</v>
      </c>
      <c r="I31" s="1173"/>
      <c r="J31" s="1173"/>
      <c r="K31" s="1174">
        <f t="shared" si="8"/>
        <v>0</v>
      </c>
      <c r="L31" s="1540">
        <f t="shared" si="9"/>
        <v>0</v>
      </c>
      <c r="M31" s="1399">
        <f t="shared" si="4"/>
        <v>0</v>
      </c>
      <c r="N31" s="1540">
        <f t="shared" si="10"/>
        <v>0</v>
      </c>
      <c r="O31" s="1171">
        <v>0</v>
      </c>
      <c r="P31" s="1546">
        <f t="shared" si="11"/>
        <v>0</v>
      </c>
      <c r="Q31" s="1173"/>
      <c r="R31" s="1173">
        <f t="shared" si="12"/>
        <v>0</v>
      </c>
      <c r="S31" s="1546">
        <f t="shared" si="13"/>
        <v>0</v>
      </c>
      <c r="T31" s="1546">
        <f t="shared" si="14"/>
        <v>0</v>
      </c>
      <c r="U31" s="1382">
        <f>'Table 5C1A-Madison Prep'!U31</f>
        <v>5073</v>
      </c>
      <c r="V31" s="1516">
        <f t="shared" si="15"/>
        <v>0</v>
      </c>
      <c r="W31" s="1400"/>
      <c r="X31" s="1383">
        <f t="shared" si="16"/>
        <v>0</v>
      </c>
      <c r="Y31" s="1400"/>
      <c r="Z31" s="1383">
        <f t="shared" si="17"/>
        <v>0</v>
      </c>
      <c r="AA31" s="1384">
        <f t="shared" si="18"/>
        <v>0</v>
      </c>
      <c r="AB31" s="1511">
        <f t="shared" si="19"/>
        <v>0</v>
      </c>
      <c r="AC31" s="1402">
        <f t="shared" si="20"/>
        <v>0</v>
      </c>
      <c r="AD31" s="1511">
        <f t="shared" si="21"/>
        <v>0</v>
      </c>
      <c r="AE31" s="1385">
        <v>0</v>
      </c>
      <c r="AF31" s="1511">
        <f t="shared" si="22"/>
        <v>0</v>
      </c>
      <c r="AG31" s="1385"/>
      <c r="AH31" s="1385">
        <f t="shared" si="23"/>
        <v>0</v>
      </c>
      <c r="AI31" s="1511">
        <f t="shared" si="24"/>
        <v>0</v>
      </c>
      <c r="AJ31" s="1531">
        <f t="shared" si="25"/>
        <v>0</v>
      </c>
      <c r="AK31" s="1536">
        <f t="shared" si="26"/>
        <v>0</v>
      </c>
    </row>
    <row r="32" spans="1:37" ht="16.2" customHeight="1">
      <c r="A32" s="1183">
        <v>26</v>
      </c>
      <c r="B32" s="1184" t="s">
        <v>106</v>
      </c>
      <c r="C32" s="1185">
        <v>0</v>
      </c>
      <c r="D32" s="1186">
        <f>+'Table 5C1A-Madison Prep'!D32</f>
        <v>3424.5649970570835</v>
      </c>
      <c r="E32" s="1187">
        <f t="shared" si="5"/>
        <v>0</v>
      </c>
      <c r="F32" s="1187">
        <f>+'Table 5C1A-Madison Prep'!F32</f>
        <v>836.83</v>
      </c>
      <c r="G32" s="1187">
        <f t="shared" si="6"/>
        <v>0</v>
      </c>
      <c r="H32" s="1538">
        <f t="shared" si="7"/>
        <v>0</v>
      </c>
      <c r="I32" s="1188"/>
      <c r="J32" s="1188"/>
      <c r="K32" s="1189">
        <f t="shared" si="8"/>
        <v>0</v>
      </c>
      <c r="L32" s="1538">
        <f t="shared" si="9"/>
        <v>0</v>
      </c>
      <c r="M32" s="1372">
        <f t="shared" si="4"/>
        <v>0</v>
      </c>
      <c r="N32" s="1538">
        <f t="shared" si="10"/>
        <v>0</v>
      </c>
      <c r="O32" s="1186">
        <v>0</v>
      </c>
      <c r="P32" s="1544">
        <f t="shared" si="11"/>
        <v>0</v>
      </c>
      <c r="Q32" s="1188"/>
      <c r="R32" s="1188">
        <f t="shared" si="12"/>
        <v>0</v>
      </c>
      <c r="S32" s="1544">
        <f t="shared" si="13"/>
        <v>0</v>
      </c>
      <c r="T32" s="1544">
        <f t="shared" si="14"/>
        <v>0</v>
      </c>
      <c r="U32" s="1373">
        <f>'Table 5C1A-Madison Prep'!U32</f>
        <v>5260</v>
      </c>
      <c r="V32" s="1514">
        <f t="shared" si="15"/>
        <v>0</v>
      </c>
      <c r="W32" s="1375"/>
      <c r="X32" s="1376">
        <f t="shared" si="16"/>
        <v>0</v>
      </c>
      <c r="Y32" s="1375"/>
      <c r="Z32" s="1376">
        <f t="shared" si="17"/>
        <v>0</v>
      </c>
      <c r="AA32" s="1374">
        <f t="shared" si="18"/>
        <v>0</v>
      </c>
      <c r="AB32" s="1509">
        <f t="shared" si="19"/>
        <v>0</v>
      </c>
      <c r="AC32" s="1378">
        <f t="shared" si="20"/>
        <v>0</v>
      </c>
      <c r="AD32" s="1509">
        <f t="shared" si="21"/>
        <v>0</v>
      </c>
      <c r="AE32" s="1379">
        <v>0</v>
      </c>
      <c r="AF32" s="1509">
        <f t="shared" si="22"/>
        <v>0</v>
      </c>
      <c r="AG32" s="1379"/>
      <c r="AH32" s="1379">
        <f t="shared" si="23"/>
        <v>0</v>
      </c>
      <c r="AI32" s="1509">
        <f t="shared" si="24"/>
        <v>0</v>
      </c>
      <c r="AJ32" s="1530">
        <f t="shared" si="25"/>
        <v>0</v>
      </c>
      <c r="AK32" s="1534">
        <f t="shared" si="26"/>
        <v>0</v>
      </c>
    </row>
    <row r="33" spans="1:37" ht="16.2" customHeight="1">
      <c r="A33" s="1176">
        <v>27</v>
      </c>
      <c r="B33" s="1177" t="s">
        <v>107</v>
      </c>
      <c r="C33" s="1178">
        <v>0</v>
      </c>
      <c r="D33" s="1179">
        <f>+'Table 5C1A-Madison Prep'!D33</f>
        <v>5804.9013839977006</v>
      </c>
      <c r="E33" s="1180">
        <f t="shared" si="5"/>
        <v>0</v>
      </c>
      <c r="F33" s="1180">
        <f>+'Table 5C1A-Madison Prep'!F33</f>
        <v>693.06</v>
      </c>
      <c r="G33" s="1180">
        <f t="shared" si="6"/>
        <v>0</v>
      </c>
      <c r="H33" s="1539">
        <f t="shared" si="7"/>
        <v>0</v>
      </c>
      <c r="I33" s="1181"/>
      <c r="J33" s="1181"/>
      <c r="K33" s="1182">
        <f t="shared" si="8"/>
        <v>0</v>
      </c>
      <c r="L33" s="1539">
        <f t="shared" si="9"/>
        <v>0</v>
      </c>
      <c r="M33" s="1388">
        <f t="shared" si="4"/>
        <v>0</v>
      </c>
      <c r="N33" s="1539">
        <f t="shared" si="10"/>
        <v>0</v>
      </c>
      <c r="O33" s="1179">
        <v>0</v>
      </c>
      <c r="P33" s="1545">
        <f t="shared" si="11"/>
        <v>0</v>
      </c>
      <c r="Q33" s="1181"/>
      <c r="R33" s="1181">
        <f t="shared" si="12"/>
        <v>0</v>
      </c>
      <c r="S33" s="1545">
        <f t="shared" si="13"/>
        <v>0</v>
      </c>
      <c r="T33" s="1545">
        <f t="shared" si="14"/>
        <v>0</v>
      </c>
      <c r="U33" s="1389">
        <f>'Table 5C1A-Madison Prep'!U33</f>
        <v>3169</v>
      </c>
      <c r="V33" s="1515">
        <f t="shared" si="15"/>
        <v>0</v>
      </c>
      <c r="W33" s="1391"/>
      <c r="X33" s="1392">
        <f t="shared" si="16"/>
        <v>0</v>
      </c>
      <c r="Y33" s="1391"/>
      <c r="Z33" s="1392">
        <f t="shared" si="17"/>
        <v>0</v>
      </c>
      <c r="AA33" s="1390">
        <f t="shared" si="18"/>
        <v>0</v>
      </c>
      <c r="AB33" s="1510">
        <f t="shared" si="19"/>
        <v>0</v>
      </c>
      <c r="AC33" s="1394">
        <f t="shared" si="20"/>
        <v>0</v>
      </c>
      <c r="AD33" s="1510">
        <f t="shared" si="21"/>
        <v>0</v>
      </c>
      <c r="AE33" s="1395">
        <v>0</v>
      </c>
      <c r="AF33" s="1510">
        <f t="shared" si="22"/>
        <v>0</v>
      </c>
      <c r="AG33" s="1395"/>
      <c r="AH33" s="1395">
        <f t="shared" si="23"/>
        <v>0</v>
      </c>
      <c r="AI33" s="1510">
        <f t="shared" si="24"/>
        <v>0</v>
      </c>
      <c r="AJ33" s="1505">
        <f t="shared" si="25"/>
        <v>0</v>
      </c>
      <c r="AK33" s="1535">
        <f t="shared" si="26"/>
        <v>0</v>
      </c>
    </row>
    <row r="34" spans="1:37" ht="16.2" customHeight="1">
      <c r="A34" s="1176">
        <v>28</v>
      </c>
      <c r="B34" s="1177" t="s">
        <v>108</v>
      </c>
      <c r="C34" s="1178">
        <v>0</v>
      </c>
      <c r="D34" s="1179">
        <f>+'Table 5C1A-Madison Prep'!D34</f>
        <v>3137.4158846568821</v>
      </c>
      <c r="E34" s="1180">
        <f t="shared" si="5"/>
        <v>0</v>
      </c>
      <c r="F34" s="1180">
        <f>+'Table 5C1A-Madison Prep'!F34</f>
        <v>694.4</v>
      </c>
      <c r="G34" s="1180">
        <f t="shared" si="6"/>
        <v>0</v>
      </c>
      <c r="H34" s="1539">
        <f t="shared" si="7"/>
        <v>0</v>
      </c>
      <c r="I34" s="1181"/>
      <c r="J34" s="1181"/>
      <c r="K34" s="1182">
        <f t="shared" si="8"/>
        <v>0</v>
      </c>
      <c r="L34" s="1539">
        <f t="shared" si="9"/>
        <v>0</v>
      </c>
      <c r="M34" s="1388">
        <f t="shared" si="4"/>
        <v>0</v>
      </c>
      <c r="N34" s="1539">
        <f t="shared" si="10"/>
        <v>0</v>
      </c>
      <c r="O34" s="1179">
        <v>0</v>
      </c>
      <c r="P34" s="1545">
        <f t="shared" si="11"/>
        <v>0</v>
      </c>
      <c r="Q34" s="1181"/>
      <c r="R34" s="1181">
        <f t="shared" si="12"/>
        <v>0</v>
      </c>
      <c r="S34" s="1545">
        <f t="shared" si="13"/>
        <v>0</v>
      </c>
      <c r="T34" s="1545">
        <f t="shared" si="14"/>
        <v>0</v>
      </c>
      <c r="U34" s="1389">
        <f>'Table 5C1A-Madison Prep'!U34</f>
        <v>5790</v>
      </c>
      <c r="V34" s="1515">
        <f t="shared" si="15"/>
        <v>0</v>
      </c>
      <c r="W34" s="1391"/>
      <c r="X34" s="1392">
        <f t="shared" si="16"/>
        <v>0</v>
      </c>
      <c r="Y34" s="1391"/>
      <c r="Z34" s="1392">
        <f t="shared" si="17"/>
        <v>0</v>
      </c>
      <c r="AA34" s="1390">
        <f t="shared" si="18"/>
        <v>0</v>
      </c>
      <c r="AB34" s="1510">
        <f t="shared" si="19"/>
        <v>0</v>
      </c>
      <c r="AC34" s="1394">
        <f t="shared" si="20"/>
        <v>0</v>
      </c>
      <c r="AD34" s="1510">
        <f t="shared" si="21"/>
        <v>0</v>
      </c>
      <c r="AE34" s="1395">
        <v>0</v>
      </c>
      <c r="AF34" s="1510">
        <f t="shared" si="22"/>
        <v>0</v>
      </c>
      <c r="AG34" s="1395"/>
      <c r="AH34" s="1395">
        <f t="shared" si="23"/>
        <v>0</v>
      </c>
      <c r="AI34" s="1510">
        <f t="shared" si="24"/>
        <v>0</v>
      </c>
      <c r="AJ34" s="1505">
        <f t="shared" si="25"/>
        <v>0</v>
      </c>
      <c r="AK34" s="1535">
        <f t="shared" si="26"/>
        <v>0</v>
      </c>
    </row>
    <row r="35" spans="1:37" ht="16.2" customHeight="1">
      <c r="A35" s="1176">
        <v>29</v>
      </c>
      <c r="B35" s="1177" t="s">
        <v>109</v>
      </c>
      <c r="C35" s="1178">
        <v>0</v>
      </c>
      <c r="D35" s="1179">
        <f>+'Table 5C1A-Madison Prep'!D35</f>
        <v>3839.0123210173724</v>
      </c>
      <c r="E35" s="1180">
        <f t="shared" si="5"/>
        <v>0</v>
      </c>
      <c r="F35" s="1180">
        <f>+'Table 5C1A-Madison Prep'!F35</f>
        <v>754.94999999999993</v>
      </c>
      <c r="G35" s="1180">
        <f t="shared" si="6"/>
        <v>0</v>
      </c>
      <c r="H35" s="1539">
        <f t="shared" si="7"/>
        <v>0</v>
      </c>
      <c r="I35" s="1181"/>
      <c r="J35" s="1181"/>
      <c r="K35" s="1182">
        <f t="shared" si="8"/>
        <v>0</v>
      </c>
      <c r="L35" s="1539">
        <f t="shared" si="9"/>
        <v>0</v>
      </c>
      <c r="M35" s="1388">
        <f t="shared" si="4"/>
        <v>0</v>
      </c>
      <c r="N35" s="1539">
        <f t="shared" si="10"/>
        <v>0</v>
      </c>
      <c r="O35" s="1179">
        <v>0</v>
      </c>
      <c r="P35" s="1545">
        <f t="shared" si="11"/>
        <v>0</v>
      </c>
      <c r="Q35" s="1181"/>
      <c r="R35" s="1181">
        <f t="shared" si="12"/>
        <v>0</v>
      </c>
      <c r="S35" s="1545">
        <f t="shared" si="13"/>
        <v>0</v>
      </c>
      <c r="T35" s="1545">
        <f t="shared" si="14"/>
        <v>0</v>
      </c>
      <c r="U35" s="1389">
        <f>'Table 5C1A-Madison Prep'!U35</f>
        <v>5069</v>
      </c>
      <c r="V35" s="1515">
        <f t="shared" si="15"/>
        <v>0</v>
      </c>
      <c r="W35" s="1391"/>
      <c r="X35" s="1392">
        <f t="shared" si="16"/>
        <v>0</v>
      </c>
      <c r="Y35" s="1391"/>
      <c r="Z35" s="1392">
        <f t="shared" si="17"/>
        <v>0</v>
      </c>
      <c r="AA35" s="1390">
        <f t="shared" si="18"/>
        <v>0</v>
      </c>
      <c r="AB35" s="1510">
        <f t="shared" si="19"/>
        <v>0</v>
      </c>
      <c r="AC35" s="1394">
        <f t="shared" si="20"/>
        <v>0</v>
      </c>
      <c r="AD35" s="1510">
        <f t="shared" si="21"/>
        <v>0</v>
      </c>
      <c r="AE35" s="1395">
        <v>0</v>
      </c>
      <c r="AF35" s="1510">
        <f t="shared" si="22"/>
        <v>0</v>
      </c>
      <c r="AG35" s="1395"/>
      <c r="AH35" s="1395">
        <f t="shared" si="23"/>
        <v>0</v>
      </c>
      <c r="AI35" s="1510">
        <f t="shared" si="24"/>
        <v>0</v>
      </c>
      <c r="AJ35" s="1505">
        <f t="shared" si="25"/>
        <v>0</v>
      </c>
      <c r="AK35" s="1535">
        <f t="shared" si="26"/>
        <v>0</v>
      </c>
    </row>
    <row r="36" spans="1:37" ht="16.2" customHeight="1">
      <c r="A36" s="1168">
        <v>30</v>
      </c>
      <c r="B36" s="1169" t="s">
        <v>110</v>
      </c>
      <c r="C36" s="1170">
        <v>0</v>
      </c>
      <c r="D36" s="1171">
        <f>+'Table 5C1A-Madison Prep'!D36</f>
        <v>5804.5327273996763</v>
      </c>
      <c r="E36" s="1172">
        <f t="shared" si="5"/>
        <v>0</v>
      </c>
      <c r="F36" s="1172">
        <f>+'Table 5C1A-Madison Prep'!F36</f>
        <v>727.17</v>
      </c>
      <c r="G36" s="1172">
        <f t="shared" si="6"/>
        <v>0</v>
      </c>
      <c r="H36" s="1540">
        <f t="shared" si="7"/>
        <v>0</v>
      </c>
      <c r="I36" s="1173"/>
      <c r="J36" s="1173"/>
      <c r="K36" s="1174">
        <f t="shared" si="8"/>
        <v>0</v>
      </c>
      <c r="L36" s="1540">
        <f t="shared" si="9"/>
        <v>0</v>
      </c>
      <c r="M36" s="1399">
        <f t="shared" si="4"/>
        <v>0</v>
      </c>
      <c r="N36" s="1540">
        <f t="shared" si="10"/>
        <v>0</v>
      </c>
      <c r="O36" s="1171">
        <v>0</v>
      </c>
      <c r="P36" s="1546">
        <f t="shared" si="11"/>
        <v>0</v>
      </c>
      <c r="Q36" s="1173"/>
      <c r="R36" s="1173">
        <f t="shared" si="12"/>
        <v>0</v>
      </c>
      <c r="S36" s="1546">
        <f t="shared" si="13"/>
        <v>0</v>
      </c>
      <c r="T36" s="1546">
        <f t="shared" si="14"/>
        <v>0</v>
      </c>
      <c r="U36" s="1382">
        <f>'Table 5C1A-Madison Prep'!U36</f>
        <v>3609</v>
      </c>
      <c r="V36" s="1516">
        <f t="shared" si="15"/>
        <v>0</v>
      </c>
      <c r="W36" s="1400"/>
      <c r="X36" s="1383">
        <f t="shared" si="16"/>
        <v>0</v>
      </c>
      <c r="Y36" s="1400"/>
      <c r="Z36" s="1383">
        <f t="shared" si="17"/>
        <v>0</v>
      </c>
      <c r="AA36" s="1384">
        <f t="shared" si="18"/>
        <v>0</v>
      </c>
      <c r="AB36" s="1511">
        <f t="shared" si="19"/>
        <v>0</v>
      </c>
      <c r="AC36" s="1402">
        <f t="shared" si="20"/>
        <v>0</v>
      </c>
      <c r="AD36" s="1511">
        <f t="shared" si="21"/>
        <v>0</v>
      </c>
      <c r="AE36" s="1385">
        <v>0</v>
      </c>
      <c r="AF36" s="1511">
        <f t="shared" si="22"/>
        <v>0</v>
      </c>
      <c r="AG36" s="1385"/>
      <c r="AH36" s="1385">
        <f t="shared" si="23"/>
        <v>0</v>
      </c>
      <c r="AI36" s="1511">
        <f t="shared" si="24"/>
        <v>0</v>
      </c>
      <c r="AJ36" s="1531">
        <f t="shared" si="25"/>
        <v>0</v>
      </c>
      <c r="AK36" s="1536">
        <f t="shared" si="26"/>
        <v>0</v>
      </c>
    </row>
    <row r="37" spans="1:37" ht="16.2" customHeight="1">
      <c r="A37" s="1183">
        <v>31</v>
      </c>
      <c r="B37" s="1184" t="s">
        <v>111</v>
      </c>
      <c r="C37" s="1185">
        <v>0</v>
      </c>
      <c r="D37" s="1186">
        <f>+'Table 5C1A-Madison Prep'!D37</f>
        <v>4520.6176716868531</v>
      </c>
      <c r="E37" s="1187">
        <f t="shared" si="5"/>
        <v>0</v>
      </c>
      <c r="F37" s="1187">
        <f>+'Table 5C1A-Madison Prep'!F37</f>
        <v>620.83000000000004</v>
      </c>
      <c r="G37" s="1187">
        <f t="shared" si="6"/>
        <v>0</v>
      </c>
      <c r="H37" s="1538">
        <f t="shared" si="7"/>
        <v>0</v>
      </c>
      <c r="I37" s="1188"/>
      <c r="J37" s="1188"/>
      <c r="K37" s="1189">
        <f t="shared" si="8"/>
        <v>0</v>
      </c>
      <c r="L37" s="1538">
        <f t="shared" si="9"/>
        <v>0</v>
      </c>
      <c r="M37" s="1372">
        <f t="shared" si="4"/>
        <v>0</v>
      </c>
      <c r="N37" s="1538">
        <f t="shared" si="10"/>
        <v>0</v>
      </c>
      <c r="O37" s="1186">
        <v>0</v>
      </c>
      <c r="P37" s="1544">
        <f t="shared" si="11"/>
        <v>0</v>
      </c>
      <c r="Q37" s="1188"/>
      <c r="R37" s="1188">
        <f t="shared" si="12"/>
        <v>0</v>
      </c>
      <c r="S37" s="1544">
        <f t="shared" si="13"/>
        <v>0</v>
      </c>
      <c r="T37" s="1544">
        <f t="shared" si="14"/>
        <v>0</v>
      </c>
      <c r="U37" s="1373">
        <f>'Table 5C1A-Madison Prep'!U37</f>
        <v>5043</v>
      </c>
      <c r="V37" s="1514">
        <f t="shared" si="15"/>
        <v>0</v>
      </c>
      <c r="W37" s="1375"/>
      <c r="X37" s="1376">
        <f t="shared" si="16"/>
        <v>0</v>
      </c>
      <c r="Y37" s="1375"/>
      <c r="Z37" s="1376">
        <f t="shared" si="17"/>
        <v>0</v>
      </c>
      <c r="AA37" s="1374">
        <f t="shared" si="18"/>
        <v>0</v>
      </c>
      <c r="AB37" s="1509">
        <f t="shared" si="19"/>
        <v>0</v>
      </c>
      <c r="AC37" s="1378">
        <f t="shared" si="20"/>
        <v>0</v>
      </c>
      <c r="AD37" s="1509">
        <f t="shared" si="21"/>
        <v>0</v>
      </c>
      <c r="AE37" s="1379">
        <v>0</v>
      </c>
      <c r="AF37" s="1509">
        <f t="shared" si="22"/>
        <v>0</v>
      </c>
      <c r="AG37" s="1379"/>
      <c r="AH37" s="1379">
        <f t="shared" si="23"/>
        <v>0</v>
      </c>
      <c r="AI37" s="1509">
        <f t="shared" si="24"/>
        <v>0</v>
      </c>
      <c r="AJ37" s="1530">
        <f t="shared" si="25"/>
        <v>0</v>
      </c>
      <c r="AK37" s="1534">
        <f t="shared" si="26"/>
        <v>0</v>
      </c>
    </row>
    <row r="38" spans="1:37" ht="16.2" customHeight="1">
      <c r="A38" s="1176">
        <v>32</v>
      </c>
      <c r="B38" s="1177" t="s">
        <v>112</v>
      </c>
      <c r="C38" s="1178">
        <v>0</v>
      </c>
      <c r="D38" s="1179">
        <f>+'Table 5C1A-Madison Prep'!D38</f>
        <v>5652.819189061127</v>
      </c>
      <c r="E38" s="1180">
        <f t="shared" si="5"/>
        <v>0</v>
      </c>
      <c r="F38" s="1180">
        <f>+'Table 5C1A-Madison Prep'!F38</f>
        <v>559.77</v>
      </c>
      <c r="G38" s="1180">
        <f t="shared" si="6"/>
        <v>0</v>
      </c>
      <c r="H38" s="1539">
        <f t="shared" si="7"/>
        <v>0</v>
      </c>
      <c r="I38" s="1181"/>
      <c r="J38" s="1181"/>
      <c r="K38" s="1182">
        <f t="shared" si="8"/>
        <v>0</v>
      </c>
      <c r="L38" s="1539">
        <f t="shared" si="9"/>
        <v>0</v>
      </c>
      <c r="M38" s="1388">
        <f t="shared" si="4"/>
        <v>0</v>
      </c>
      <c r="N38" s="1539">
        <f t="shared" si="10"/>
        <v>0</v>
      </c>
      <c r="O38" s="1179">
        <v>0</v>
      </c>
      <c r="P38" s="1545">
        <f t="shared" si="11"/>
        <v>0</v>
      </c>
      <c r="Q38" s="1181"/>
      <c r="R38" s="1181">
        <f t="shared" si="12"/>
        <v>0</v>
      </c>
      <c r="S38" s="1545">
        <f t="shared" si="13"/>
        <v>0</v>
      </c>
      <c r="T38" s="1545">
        <f t="shared" si="14"/>
        <v>0</v>
      </c>
      <c r="U38" s="1389">
        <f>'Table 5C1A-Madison Prep'!U38</f>
        <v>2121</v>
      </c>
      <c r="V38" s="1515">
        <f t="shared" si="15"/>
        <v>0</v>
      </c>
      <c r="W38" s="1391"/>
      <c r="X38" s="1392">
        <f t="shared" si="16"/>
        <v>0</v>
      </c>
      <c r="Y38" s="1391"/>
      <c r="Z38" s="1392">
        <f t="shared" si="17"/>
        <v>0</v>
      </c>
      <c r="AA38" s="1390">
        <f t="shared" si="18"/>
        <v>0</v>
      </c>
      <c r="AB38" s="1510">
        <f t="shared" si="19"/>
        <v>0</v>
      </c>
      <c r="AC38" s="1394">
        <f t="shared" si="20"/>
        <v>0</v>
      </c>
      <c r="AD38" s="1510">
        <f t="shared" si="21"/>
        <v>0</v>
      </c>
      <c r="AE38" s="1395">
        <v>0</v>
      </c>
      <c r="AF38" s="1510">
        <f t="shared" si="22"/>
        <v>0</v>
      </c>
      <c r="AG38" s="1395"/>
      <c r="AH38" s="1395">
        <f t="shared" si="23"/>
        <v>0</v>
      </c>
      <c r="AI38" s="1510">
        <f t="shared" si="24"/>
        <v>0</v>
      </c>
      <c r="AJ38" s="1505">
        <f t="shared" si="25"/>
        <v>0</v>
      </c>
      <c r="AK38" s="1535">
        <f t="shared" si="26"/>
        <v>0</v>
      </c>
    </row>
    <row r="39" spans="1:37" ht="16.2" customHeight="1">
      <c r="A39" s="1176">
        <v>33</v>
      </c>
      <c r="B39" s="1177" t="s">
        <v>113</v>
      </c>
      <c r="C39" s="1178">
        <v>0</v>
      </c>
      <c r="D39" s="1179">
        <f>+'Table 5C1A-Madison Prep'!D39</f>
        <v>5456.2254558085233</v>
      </c>
      <c r="E39" s="1180">
        <f t="shared" si="5"/>
        <v>0</v>
      </c>
      <c r="F39" s="1180">
        <f>+'Table 5C1A-Madison Prep'!F39</f>
        <v>655.31000000000006</v>
      </c>
      <c r="G39" s="1180">
        <f t="shared" si="6"/>
        <v>0</v>
      </c>
      <c r="H39" s="1539">
        <f t="shared" si="7"/>
        <v>0</v>
      </c>
      <c r="I39" s="1181"/>
      <c r="J39" s="1181"/>
      <c r="K39" s="1182">
        <f t="shared" si="8"/>
        <v>0</v>
      </c>
      <c r="L39" s="1539">
        <f t="shared" si="9"/>
        <v>0</v>
      </c>
      <c r="M39" s="1388">
        <f t="shared" si="4"/>
        <v>0</v>
      </c>
      <c r="N39" s="1539">
        <f t="shared" si="10"/>
        <v>0</v>
      </c>
      <c r="O39" s="1179">
        <v>0</v>
      </c>
      <c r="P39" s="1545">
        <f t="shared" si="11"/>
        <v>0</v>
      </c>
      <c r="Q39" s="1181"/>
      <c r="R39" s="1181">
        <f t="shared" si="12"/>
        <v>0</v>
      </c>
      <c r="S39" s="1545">
        <f t="shared" si="13"/>
        <v>0</v>
      </c>
      <c r="T39" s="1545">
        <f t="shared" si="14"/>
        <v>0</v>
      </c>
      <c r="U39" s="1389">
        <f>'Table 5C1A-Madison Prep'!U39</f>
        <v>3616</v>
      </c>
      <c r="V39" s="1515">
        <f t="shared" si="15"/>
        <v>0</v>
      </c>
      <c r="W39" s="1391"/>
      <c r="X39" s="1392">
        <f t="shared" si="16"/>
        <v>0</v>
      </c>
      <c r="Y39" s="1391"/>
      <c r="Z39" s="1392">
        <f t="shared" si="17"/>
        <v>0</v>
      </c>
      <c r="AA39" s="1390">
        <f t="shared" si="18"/>
        <v>0</v>
      </c>
      <c r="AB39" s="1510">
        <f t="shared" si="19"/>
        <v>0</v>
      </c>
      <c r="AC39" s="1394">
        <f t="shared" si="20"/>
        <v>0</v>
      </c>
      <c r="AD39" s="1510">
        <f t="shared" si="21"/>
        <v>0</v>
      </c>
      <c r="AE39" s="1395">
        <v>0</v>
      </c>
      <c r="AF39" s="1510">
        <f t="shared" si="22"/>
        <v>0</v>
      </c>
      <c r="AG39" s="1395"/>
      <c r="AH39" s="1395">
        <f t="shared" si="23"/>
        <v>0</v>
      </c>
      <c r="AI39" s="1510">
        <f t="shared" si="24"/>
        <v>0</v>
      </c>
      <c r="AJ39" s="1505">
        <f t="shared" si="25"/>
        <v>0</v>
      </c>
      <c r="AK39" s="1535">
        <f t="shared" si="26"/>
        <v>0</v>
      </c>
    </row>
    <row r="40" spans="1:37" ht="16.2" customHeight="1">
      <c r="A40" s="1176">
        <v>34</v>
      </c>
      <c r="B40" s="1177" t="s">
        <v>114</v>
      </c>
      <c r="C40" s="1178">
        <v>0</v>
      </c>
      <c r="D40" s="1179">
        <f>+'Table 5C1A-Madison Prep'!D40</f>
        <v>6292.0976842789005</v>
      </c>
      <c r="E40" s="1180">
        <f t="shared" si="5"/>
        <v>0</v>
      </c>
      <c r="F40" s="1180">
        <f>+'Table 5C1A-Madison Prep'!F40</f>
        <v>644.11000000000013</v>
      </c>
      <c r="G40" s="1180">
        <f t="shared" si="6"/>
        <v>0</v>
      </c>
      <c r="H40" s="1539">
        <f t="shared" si="7"/>
        <v>0</v>
      </c>
      <c r="I40" s="1181"/>
      <c r="J40" s="1181"/>
      <c r="K40" s="1182">
        <f t="shared" si="8"/>
        <v>0</v>
      </c>
      <c r="L40" s="1539">
        <f t="shared" si="9"/>
        <v>0</v>
      </c>
      <c r="M40" s="1388">
        <f t="shared" si="4"/>
        <v>0</v>
      </c>
      <c r="N40" s="1539">
        <f t="shared" si="10"/>
        <v>0</v>
      </c>
      <c r="O40" s="1179">
        <v>0</v>
      </c>
      <c r="P40" s="1545">
        <f t="shared" si="11"/>
        <v>0</v>
      </c>
      <c r="Q40" s="1181"/>
      <c r="R40" s="1181">
        <f t="shared" si="12"/>
        <v>0</v>
      </c>
      <c r="S40" s="1545">
        <f t="shared" si="13"/>
        <v>0</v>
      </c>
      <c r="T40" s="1545">
        <f t="shared" si="14"/>
        <v>0</v>
      </c>
      <c r="U40" s="1389">
        <f>'Table 5C1A-Madison Prep'!U40</f>
        <v>2721</v>
      </c>
      <c r="V40" s="1515">
        <f t="shared" si="15"/>
        <v>0</v>
      </c>
      <c r="W40" s="1391"/>
      <c r="X40" s="1392">
        <f t="shared" si="16"/>
        <v>0</v>
      </c>
      <c r="Y40" s="1391"/>
      <c r="Z40" s="1392">
        <f t="shared" si="17"/>
        <v>0</v>
      </c>
      <c r="AA40" s="1390">
        <f t="shared" si="18"/>
        <v>0</v>
      </c>
      <c r="AB40" s="1510">
        <f t="shared" si="19"/>
        <v>0</v>
      </c>
      <c r="AC40" s="1394">
        <f t="shared" si="20"/>
        <v>0</v>
      </c>
      <c r="AD40" s="1510">
        <f t="shared" si="21"/>
        <v>0</v>
      </c>
      <c r="AE40" s="1395">
        <v>0</v>
      </c>
      <c r="AF40" s="1510">
        <f t="shared" si="22"/>
        <v>0</v>
      </c>
      <c r="AG40" s="1395"/>
      <c r="AH40" s="1395">
        <f t="shared" si="23"/>
        <v>0</v>
      </c>
      <c r="AI40" s="1510">
        <f t="shared" si="24"/>
        <v>0</v>
      </c>
      <c r="AJ40" s="1505">
        <f t="shared" si="25"/>
        <v>0</v>
      </c>
      <c r="AK40" s="1535">
        <f t="shared" si="26"/>
        <v>0</v>
      </c>
    </row>
    <row r="41" spans="1:37" ht="16.2" customHeight="1">
      <c r="A41" s="1168">
        <v>35</v>
      </c>
      <c r="B41" s="1169" t="s">
        <v>115</v>
      </c>
      <c r="C41" s="1170">
        <v>0</v>
      </c>
      <c r="D41" s="1171">
        <f>+'Table 5C1A-Madison Prep'!D41</f>
        <v>5166.2482060477605</v>
      </c>
      <c r="E41" s="1172">
        <f t="shared" si="5"/>
        <v>0</v>
      </c>
      <c r="F41" s="1172">
        <f>+'Table 5C1A-Madison Prep'!F41</f>
        <v>537.96</v>
      </c>
      <c r="G41" s="1172">
        <f t="shared" si="6"/>
        <v>0</v>
      </c>
      <c r="H41" s="1540">
        <f t="shared" si="7"/>
        <v>0</v>
      </c>
      <c r="I41" s="1173"/>
      <c r="J41" s="1173"/>
      <c r="K41" s="1174">
        <f t="shared" si="8"/>
        <v>0</v>
      </c>
      <c r="L41" s="1540">
        <f t="shared" si="9"/>
        <v>0</v>
      </c>
      <c r="M41" s="1399">
        <f t="shared" si="4"/>
        <v>0</v>
      </c>
      <c r="N41" s="1540">
        <f t="shared" si="10"/>
        <v>0</v>
      </c>
      <c r="O41" s="1171">
        <v>0</v>
      </c>
      <c r="P41" s="1546">
        <f t="shared" si="11"/>
        <v>0</v>
      </c>
      <c r="Q41" s="1173"/>
      <c r="R41" s="1173">
        <f t="shared" si="12"/>
        <v>0</v>
      </c>
      <c r="S41" s="1546">
        <f t="shared" si="13"/>
        <v>0</v>
      </c>
      <c r="T41" s="1546">
        <f t="shared" si="14"/>
        <v>0</v>
      </c>
      <c r="U41" s="1382">
        <f>'Table 5C1A-Madison Prep'!U41</f>
        <v>3255</v>
      </c>
      <c r="V41" s="1516">
        <f t="shared" si="15"/>
        <v>0</v>
      </c>
      <c r="W41" s="1400"/>
      <c r="X41" s="1383">
        <f t="shared" si="16"/>
        <v>0</v>
      </c>
      <c r="Y41" s="1400"/>
      <c r="Z41" s="1383">
        <f t="shared" si="17"/>
        <v>0</v>
      </c>
      <c r="AA41" s="1384">
        <f t="shared" si="18"/>
        <v>0</v>
      </c>
      <c r="AB41" s="1511">
        <f t="shared" si="19"/>
        <v>0</v>
      </c>
      <c r="AC41" s="1402">
        <f t="shared" si="20"/>
        <v>0</v>
      </c>
      <c r="AD41" s="1511">
        <f t="shared" si="21"/>
        <v>0</v>
      </c>
      <c r="AE41" s="1385">
        <v>0</v>
      </c>
      <c r="AF41" s="1511">
        <f t="shared" si="22"/>
        <v>0</v>
      </c>
      <c r="AG41" s="1385"/>
      <c r="AH41" s="1385">
        <f t="shared" si="23"/>
        <v>0</v>
      </c>
      <c r="AI41" s="1511">
        <f t="shared" si="24"/>
        <v>0</v>
      </c>
      <c r="AJ41" s="1531">
        <f t="shared" si="25"/>
        <v>0</v>
      </c>
      <c r="AK41" s="1536">
        <f t="shared" si="26"/>
        <v>0</v>
      </c>
    </row>
    <row r="42" spans="1:37" ht="16.2" customHeight="1">
      <c r="A42" s="1183">
        <v>36</v>
      </c>
      <c r="B42" s="1184" t="s">
        <v>116</v>
      </c>
      <c r="C42" s="1185">
        <v>0</v>
      </c>
      <c r="D42" s="1186">
        <f>+'Table 5C1A-Madison Prep'!D42</f>
        <v>3602.7009974327857</v>
      </c>
      <c r="E42" s="1187">
        <f t="shared" si="5"/>
        <v>0</v>
      </c>
      <c r="F42" s="1187">
        <f>+'Table 5C1A-Madison Prep'!F42</f>
        <v>746.0335616438357</v>
      </c>
      <c r="G42" s="1187">
        <f t="shared" si="6"/>
        <v>0</v>
      </c>
      <c r="H42" s="1538">
        <f t="shared" si="7"/>
        <v>0</v>
      </c>
      <c r="I42" s="1188"/>
      <c r="J42" s="1188"/>
      <c r="K42" s="1189">
        <f t="shared" si="8"/>
        <v>0</v>
      </c>
      <c r="L42" s="1538">
        <f t="shared" si="9"/>
        <v>0</v>
      </c>
      <c r="M42" s="1372">
        <f t="shared" si="4"/>
        <v>0</v>
      </c>
      <c r="N42" s="1538">
        <f t="shared" si="10"/>
        <v>0</v>
      </c>
      <c r="O42" s="1186">
        <v>0</v>
      </c>
      <c r="P42" s="1544">
        <f t="shared" si="11"/>
        <v>0</v>
      </c>
      <c r="Q42" s="1188"/>
      <c r="R42" s="1188">
        <f t="shared" si="12"/>
        <v>0</v>
      </c>
      <c r="S42" s="1544">
        <f t="shared" si="13"/>
        <v>0</v>
      </c>
      <c r="T42" s="1544">
        <f t="shared" si="14"/>
        <v>0</v>
      </c>
      <c r="U42" s="1373">
        <f>'Table 5C1A-Madison Prep'!U42</f>
        <v>5435</v>
      </c>
      <c r="V42" s="1514">
        <f t="shared" si="15"/>
        <v>0</v>
      </c>
      <c r="W42" s="1375"/>
      <c r="X42" s="1376">
        <f t="shared" si="16"/>
        <v>0</v>
      </c>
      <c r="Y42" s="1375"/>
      <c r="Z42" s="1376">
        <f t="shared" si="17"/>
        <v>0</v>
      </c>
      <c r="AA42" s="1374">
        <f t="shared" si="18"/>
        <v>0</v>
      </c>
      <c r="AB42" s="1509">
        <f t="shared" si="19"/>
        <v>0</v>
      </c>
      <c r="AC42" s="1378">
        <f t="shared" si="20"/>
        <v>0</v>
      </c>
      <c r="AD42" s="1509">
        <f t="shared" si="21"/>
        <v>0</v>
      </c>
      <c r="AE42" s="1379">
        <v>0</v>
      </c>
      <c r="AF42" s="1509">
        <f t="shared" si="22"/>
        <v>0</v>
      </c>
      <c r="AG42" s="1379"/>
      <c r="AH42" s="1379">
        <f t="shared" si="23"/>
        <v>0</v>
      </c>
      <c r="AI42" s="1509">
        <f t="shared" si="24"/>
        <v>0</v>
      </c>
      <c r="AJ42" s="1530">
        <f t="shared" si="25"/>
        <v>0</v>
      </c>
      <c r="AK42" s="1534">
        <f t="shared" si="26"/>
        <v>0</v>
      </c>
    </row>
    <row r="43" spans="1:37" ht="16.2" customHeight="1">
      <c r="A43" s="1176">
        <v>37</v>
      </c>
      <c r="B43" s="1177" t="s">
        <v>117</v>
      </c>
      <c r="C43" s="1178">
        <v>0</v>
      </c>
      <c r="D43" s="1179">
        <f>+'Table 5C1A-Madison Prep'!D43</f>
        <v>5665.3839260317691</v>
      </c>
      <c r="E43" s="1180">
        <f t="shared" si="5"/>
        <v>0</v>
      </c>
      <c r="F43" s="1180">
        <f>+'Table 5C1A-Madison Prep'!F43</f>
        <v>653.61</v>
      </c>
      <c r="G43" s="1180">
        <f t="shared" si="6"/>
        <v>0</v>
      </c>
      <c r="H43" s="1539">
        <f t="shared" si="7"/>
        <v>0</v>
      </c>
      <c r="I43" s="1181"/>
      <c r="J43" s="1181"/>
      <c r="K43" s="1182">
        <f t="shared" si="8"/>
        <v>0</v>
      </c>
      <c r="L43" s="1539">
        <f t="shared" si="9"/>
        <v>0</v>
      </c>
      <c r="M43" s="1388">
        <f t="shared" si="4"/>
        <v>0</v>
      </c>
      <c r="N43" s="1539">
        <f t="shared" si="10"/>
        <v>0</v>
      </c>
      <c r="O43" s="1179">
        <v>0</v>
      </c>
      <c r="P43" s="1545">
        <f t="shared" si="11"/>
        <v>0</v>
      </c>
      <c r="Q43" s="1181"/>
      <c r="R43" s="1181">
        <f t="shared" si="12"/>
        <v>0</v>
      </c>
      <c r="S43" s="1545">
        <f t="shared" si="13"/>
        <v>0</v>
      </c>
      <c r="T43" s="1545">
        <f t="shared" si="14"/>
        <v>0</v>
      </c>
      <c r="U43" s="1389">
        <f>'Table 5C1A-Madison Prep'!U43</f>
        <v>3520</v>
      </c>
      <c r="V43" s="1515">
        <f t="shared" si="15"/>
        <v>0</v>
      </c>
      <c r="W43" s="1391"/>
      <c r="X43" s="1392">
        <f t="shared" si="16"/>
        <v>0</v>
      </c>
      <c r="Y43" s="1391"/>
      <c r="Z43" s="1392">
        <f t="shared" si="17"/>
        <v>0</v>
      </c>
      <c r="AA43" s="1390">
        <f t="shared" si="18"/>
        <v>0</v>
      </c>
      <c r="AB43" s="1510">
        <f t="shared" si="19"/>
        <v>0</v>
      </c>
      <c r="AC43" s="1394">
        <f t="shared" si="20"/>
        <v>0</v>
      </c>
      <c r="AD43" s="1510">
        <f t="shared" si="21"/>
        <v>0</v>
      </c>
      <c r="AE43" s="1395">
        <v>0</v>
      </c>
      <c r="AF43" s="1510">
        <f t="shared" si="22"/>
        <v>0</v>
      </c>
      <c r="AG43" s="1395"/>
      <c r="AH43" s="1395">
        <f t="shared" si="23"/>
        <v>0</v>
      </c>
      <c r="AI43" s="1510">
        <f t="shared" si="24"/>
        <v>0</v>
      </c>
      <c r="AJ43" s="1505">
        <f t="shared" si="25"/>
        <v>0</v>
      </c>
      <c r="AK43" s="1535">
        <f t="shared" si="26"/>
        <v>0</v>
      </c>
    </row>
    <row r="44" spans="1:37" ht="16.2" customHeight="1">
      <c r="A44" s="1176">
        <v>38</v>
      </c>
      <c r="B44" s="1177" t="s">
        <v>118</v>
      </c>
      <c r="C44" s="1178">
        <v>0</v>
      </c>
      <c r="D44" s="1179">
        <f>+'Table 5C1A-Madison Prep'!D44</f>
        <v>2088.8017552916881</v>
      </c>
      <c r="E44" s="1180">
        <f t="shared" si="5"/>
        <v>0</v>
      </c>
      <c r="F44" s="1180">
        <f>+'Table 5C1A-Madison Prep'!F44</f>
        <v>829.92000000000007</v>
      </c>
      <c r="G44" s="1180">
        <f t="shared" si="6"/>
        <v>0</v>
      </c>
      <c r="H44" s="1539">
        <f t="shared" si="7"/>
        <v>0</v>
      </c>
      <c r="I44" s="1181"/>
      <c r="J44" s="1181"/>
      <c r="K44" s="1182">
        <f t="shared" si="8"/>
        <v>0</v>
      </c>
      <c r="L44" s="1539">
        <f t="shared" si="9"/>
        <v>0</v>
      </c>
      <c r="M44" s="1388">
        <f t="shared" si="4"/>
        <v>0</v>
      </c>
      <c r="N44" s="1539">
        <f t="shared" si="10"/>
        <v>0</v>
      </c>
      <c r="O44" s="1179">
        <v>0</v>
      </c>
      <c r="P44" s="1545">
        <f t="shared" si="11"/>
        <v>0</v>
      </c>
      <c r="Q44" s="1181"/>
      <c r="R44" s="1181">
        <f t="shared" si="12"/>
        <v>0</v>
      </c>
      <c r="S44" s="1545">
        <f t="shared" si="13"/>
        <v>0</v>
      </c>
      <c r="T44" s="1545">
        <f t="shared" si="14"/>
        <v>0</v>
      </c>
      <c r="U44" s="1389">
        <f>'Table 5C1A-Madison Prep'!U44</f>
        <v>11379</v>
      </c>
      <c r="V44" s="1515">
        <f t="shared" si="15"/>
        <v>0</v>
      </c>
      <c r="W44" s="1391"/>
      <c r="X44" s="1392">
        <f t="shared" si="16"/>
        <v>0</v>
      </c>
      <c r="Y44" s="1391"/>
      <c r="Z44" s="1392">
        <f t="shared" si="17"/>
        <v>0</v>
      </c>
      <c r="AA44" s="1390">
        <f t="shared" si="18"/>
        <v>0</v>
      </c>
      <c r="AB44" s="1510">
        <f t="shared" si="19"/>
        <v>0</v>
      </c>
      <c r="AC44" s="1394">
        <f t="shared" si="20"/>
        <v>0</v>
      </c>
      <c r="AD44" s="1510">
        <f t="shared" si="21"/>
        <v>0</v>
      </c>
      <c r="AE44" s="1395">
        <v>0</v>
      </c>
      <c r="AF44" s="1510">
        <f t="shared" si="22"/>
        <v>0</v>
      </c>
      <c r="AG44" s="1395"/>
      <c r="AH44" s="1395">
        <f t="shared" si="23"/>
        <v>0</v>
      </c>
      <c r="AI44" s="1510">
        <f t="shared" si="24"/>
        <v>0</v>
      </c>
      <c r="AJ44" s="1505">
        <f t="shared" si="25"/>
        <v>0</v>
      </c>
      <c r="AK44" s="1535">
        <f t="shared" si="26"/>
        <v>0</v>
      </c>
    </row>
    <row r="45" spans="1:37" ht="16.2" customHeight="1">
      <c r="A45" s="1176">
        <v>39</v>
      </c>
      <c r="B45" s="1177" t="s">
        <v>119</v>
      </c>
      <c r="C45" s="1178">
        <v>0</v>
      </c>
      <c r="D45" s="1179">
        <f>+'Table 5C1A-Madison Prep'!D45</f>
        <v>3656.9056809295676</v>
      </c>
      <c r="E45" s="1180">
        <f t="shared" si="5"/>
        <v>0</v>
      </c>
      <c r="F45" s="1180">
        <f>+'Table 5C1A-Madison Prep'!F45</f>
        <v>779.65573042776396</v>
      </c>
      <c r="G45" s="1180">
        <f t="shared" si="6"/>
        <v>0</v>
      </c>
      <c r="H45" s="1539">
        <f t="shared" si="7"/>
        <v>0</v>
      </c>
      <c r="I45" s="1181"/>
      <c r="J45" s="1181"/>
      <c r="K45" s="1182">
        <f t="shared" si="8"/>
        <v>0</v>
      </c>
      <c r="L45" s="1539">
        <f t="shared" si="9"/>
        <v>0</v>
      </c>
      <c r="M45" s="1388">
        <f t="shared" si="4"/>
        <v>0</v>
      </c>
      <c r="N45" s="1539">
        <f t="shared" si="10"/>
        <v>0</v>
      </c>
      <c r="O45" s="1179">
        <v>0</v>
      </c>
      <c r="P45" s="1545">
        <f t="shared" si="11"/>
        <v>0</v>
      </c>
      <c r="Q45" s="1181"/>
      <c r="R45" s="1181">
        <f t="shared" si="12"/>
        <v>0</v>
      </c>
      <c r="S45" s="1545">
        <f t="shared" si="13"/>
        <v>0</v>
      </c>
      <c r="T45" s="1545">
        <f t="shared" si="14"/>
        <v>0</v>
      </c>
      <c r="U45" s="1389">
        <f>'Table 5C1A-Madison Prep'!U45</f>
        <v>4955</v>
      </c>
      <c r="V45" s="1515">
        <f t="shared" si="15"/>
        <v>0</v>
      </c>
      <c r="W45" s="1391"/>
      <c r="X45" s="1392">
        <f t="shared" si="16"/>
        <v>0</v>
      </c>
      <c r="Y45" s="1391"/>
      <c r="Z45" s="1392">
        <f t="shared" si="17"/>
        <v>0</v>
      </c>
      <c r="AA45" s="1390">
        <f t="shared" si="18"/>
        <v>0</v>
      </c>
      <c r="AB45" s="1510">
        <f t="shared" si="19"/>
        <v>0</v>
      </c>
      <c r="AC45" s="1394">
        <f t="shared" si="20"/>
        <v>0</v>
      </c>
      <c r="AD45" s="1510">
        <f t="shared" si="21"/>
        <v>0</v>
      </c>
      <c r="AE45" s="1395">
        <v>0</v>
      </c>
      <c r="AF45" s="1510">
        <f t="shared" si="22"/>
        <v>0</v>
      </c>
      <c r="AG45" s="1395"/>
      <c r="AH45" s="1395">
        <f t="shared" si="23"/>
        <v>0</v>
      </c>
      <c r="AI45" s="1510">
        <f t="shared" si="24"/>
        <v>0</v>
      </c>
      <c r="AJ45" s="1505">
        <f t="shared" si="25"/>
        <v>0</v>
      </c>
      <c r="AK45" s="1535">
        <f t="shared" si="26"/>
        <v>0</v>
      </c>
    </row>
    <row r="46" spans="1:37" ht="16.2" customHeight="1">
      <c r="A46" s="1168">
        <v>40</v>
      </c>
      <c r="B46" s="1169" t="s">
        <v>120</v>
      </c>
      <c r="C46" s="1170">
        <v>0</v>
      </c>
      <c r="D46" s="1171">
        <f>+'Table 5C1A-Madison Prep'!D46</f>
        <v>5121.8110285698403</v>
      </c>
      <c r="E46" s="1172">
        <f t="shared" si="5"/>
        <v>0</v>
      </c>
      <c r="F46" s="1172">
        <f>+'Table 5C1A-Madison Prep'!F46</f>
        <v>700.2700000000001</v>
      </c>
      <c r="G46" s="1172">
        <f t="shared" si="6"/>
        <v>0</v>
      </c>
      <c r="H46" s="1540">
        <f t="shared" si="7"/>
        <v>0</v>
      </c>
      <c r="I46" s="1173"/>
      <c r="J46" s="1173"/>
      <c r="K46" s="1174">
        <f t="shared" si="8"/>
        <v>0</v>
      </c>
      <c r="L46" s="1540">
        <f t="shared" si="9"/>
        <v>0</v>
      </c>
      <c r="M46" s="1399">
        <f t="shared" si="4"/>
        <v>0</v>
      </c>
      <c r="N46" s="1540">
        <f t="shared" si="10"/>
        <v>0</v>
      </c>
      <c r="O46" s="1171">
        <v>0</v>
      </c>
      <c r="P46" s="1546">
        <f t="shared" si="11"/>
        <v>0</v>
      </c>
      <c r="Q46" s="1173"/>
      <c r="R46" s="1173">
        <f t="shared" si="12"/>
        <v>0</v>
      </c>
      <c r="S46" s="1546">
        <f t="shared" si="13"/>
        <v>0</v>
      </c>
      <c r="T46" s="1546">
        <f t="shared" si="14"/>
        <v>0</v>
      </c>
      <c r="U46" s="1382">
        <f>'Table 5C1A-Madison Prep'!U46</f>
        <v>3069</v>
      </c>
      <c r="V46" s="1516">
        <f t="shared" si="15"/>
        <v>0</v>
      </c>
      <c r="W46" s="1400"/>
      <c r="X46" s="1383">
        <f t="shared" si="16"/>
        <v>0</v>
      </c>
      <c r="Y46" s="1400"/>
      <c r="Z46" s="1383">
        <f t="shared" si="17"/>
        <v>0</v>
      </c>
      <c r="AA46" s="1384">
        <f t="shared" si="18"/>
        <v>0</v>
      </c>
      <c r="AB46" s="1511">
        <f t="shared" si="19"/>
        <v>0</v>
      </c>
      <c r="AC46" s="1402">
        <f t="shared" si="20"/>
        <v>0</v>
      </c>
      <c r="AD46" s="1511">
        <f t="shared" si="21"/>
        <v>0</v>
      </c>
      <c r="AE46" s="1385">
        <v>0</v>
      </c>
      <c r="AF46" s="1511">
        <f t="shared" si="22"/>
        <v>0</v>
      </c>
      <c r="AG46" s="1385"/>
      <c r="AH46" s="1385">
        <f t="shared" si="23"/>
        <v>0</v>
      </c>
      <c r="AI46" s="1511">
        <f t="shared" si="24"/>
        <v>0</v>
      </c>
      <c r="AJ46" s="1531">
        <f t="shared" si="25"/>
        <v>0</v>
      </c>
      <c r="AK46" s="1536">
        <f t="shared" si="26"/>
        <v>0</v>
      </c>
    </row>
    <row r="47" spans="1:37" ht="16.2" customHeight="1">
      <c r="A47" s="1183">
        <v>41</v>
      </c>
      <c r="B47" s="1184" t="s">
        <v>121</v>
      </c>
      <c r="C47" s="1185">
        <v>0</v>
      </c>
      <c r="D47" s="1186">
        <f>+'Table 5C1A-Madison Prep'!D47</f>
        <v>3291.1948574716475</v>
      </c>
      <c r="E47" s="1187">
        <f t="shared" si="5"/>
        <v>0</v>
      </c>
      <c r="F47" s="1187">
        <f>+'Table 5C1A-Madison Prep'!F47</f>
        <v>886.22</v>
      </c>
      <c r="G47" s="1187">
        <f t="shared" si="6"/>
        <v>0</v>
      </c>
      <c r="H47" s="1538">
        <f t="shared" si="7"/>
        <v>0</v>
      </c>
      <c r="I47" s="1188"/>
      <c r="J47" s="1188"/>
      <c r="K47" s="1189">
        <f t="shared" si="8"/>
        <v>0</v>
      </c>
      <c r="L47" s="1538">
        <f t="shared" si="9"/>
        <v>0</v>
      </c>
      <c r="M47" s="1372">
        <f t="shared" si="4"/>
        <v>0</v>
      </c>
      <c r="N47" s="1538">
        <f t="shared" si="10"/>
        <v>0</v>
      </c>
      <c r="O47" s="1186">
        <v>0</v>
      </c>
      <c r="P47" s="1544">
        <f t="shared" si="11"/>
        <v>0</v>
      </c>
      <c r="Q47" s="1188"/>
      <c r="R47" s="1188">
        <f t="shared" si="12"/>
        <v>0</v>
      </c>
      <c r="S47" s="1544">
        <f t="shared" si="13"/>
        <v>0</v>
      </c>
      <c r="T47" s="1544">
        <f t="shared" si="14"/>
        <v>0</v>
      </c>
      <c r="U47" s="1373">
        <f>'Table 5C1A-Madison Prep'!U47</f>
        <v>8478</v>
      </c>
      <c r="V47" s="1514">
        <f t="shared" si="15"/>
        <v>0</v>
      </c>
      <c r="W47" s="1375"/>
      <c r="X47" s="1376">
        <f t="shared" si="16"/>
        <v>0</v>
      </c>
      <c r="Y47" s="1375"/>
      <c r="Z47" s="1376">
        <f t="shared" si="17"/>
        <v>0</v>
      </c>
      <c r="AA47" s="1374">
        <f t="shared" si="18"/>
        <v>0</v>
      </c>
      <c r="AB47" s="1509">
        <f t="shared" si="19"/>
        <v>0</v>
      </c>
      <c r="AC47" s="1378">
        <f t="shared" si="20"/>
        <v>0</v>
      </c>
      <c r="AD47" s="1509">
        <f t="shared" si="21"/>
        <v>0</v>
      </c>
      <c r="AE47" s="1379">
        <v>0</v>
      </c>
      <c r="AF47" s="1509">
        <f t="shared" si="22"/>
        <v>0</v>
      </c>
      <c r="AG47" s="1379"/>
      <c r="AH47" s="1379">
        <f t="shared" si="23"/>
        <v>0</v>
      </c>
      <c r="AI47" s="1509">
        <f t="shared" si="24"/>
        <v>0</v>
      </c>
      <c r="AJ47" s="1530">
        <f t="shared" si="25"/>
        <v>0</v>
      </c>
      <c r="AK47" s="1534">
        <f t="shared" si="26"/>
        <v>0</v>
      </c>
    </row>
    <row r="48" spans="1:37" ht="16.2" customHeight="1">
      <c r="A48" s="1176">
        <v>42</v>
      </c>
      <c r="B48" s="1177" t="s">
        <v>122</v>
      </c>
      <c r="C48" s="1178">
        <v>0</v>
      </c>
      <c r="D48" s="1179">
        <f>+'Table 5C1A-Madison Prep'!D48</f>
        <v>5113.6077751368684</v>
      </c>
      <c r="E48" s="1180">
        <f t="shared" si="5"/>
        <v>0</v>
      </c>
      <c r="F48" s="1180">
        <f>+'Table 5C1A-Madison Prep'!F48</f>
        <v>534.28</v>
      </c>
      <c r="G48" s="1180">
        <f t="shared" si="6"/>
        <v>0</v>
      </c>
      <c r="H48" s="1539">
        <f t="shared" si="7"/>
        <v>0</v>
      </c>
      <c r="I48" s="1181"/>
      <c r="J48" s="1181"/>
      <c r="K48" s="1182">
        <f t="shared" si="8"/>
        <v>0</v>
      </c>
      <c r="L48" s="1539">
        <f t="shared" si="9"/>
        <v>0</v>
      </c>
      <c r="M48" s="1388">
        <f t="shared" si="4"/>
        <v>0</v>
      </c>
      <c r="N48" s="1539">
        <f t="shared" si="10"/>
        <v>0</v>
      </c>
      <c r="O48" s="1179">
        <v>0</v>
      </c>
      <c r="P48" s="1545">
        <f t="shared" si="11"/>
        <v>0</v>
      </c>
      <c r="Q48" s="1181"/>
      <c r="R48" s="1181">
        <f t="shared" si="12"/>
        <v>0</v>
      </c>
      <c r="S48" s="1545">
        <f t="shared" si="13"/>
        <v>0</v>
      </c>
      <c r="T48" s="1545">
        <f t="shared" si="14"/>
        <v>0</v>
      </c>
      <c r="U48" s="1389">
        <f>'Table 5C1A-Madison Prep'!U48</f>
        <v>3578</v>
      </c>
      <c r="V48" s="1515">
        <f t="shared" si="15"/>
        <v>0</v>
      </c>
      <c r="W48" s="1391"/>
      <c r="X48" s="1392">
        <f t="shared" si="16"/>
        <v>0</v>
      </c>
      <c r="Y48" s="1391"/>
      <c r="Z48" s="1392">
        <f t="shared" si="17"/>
        <v>0</v>
      </c>
      <c r="AA48" s="1390">
        <f t="shared" si="18"/>
        <v>0</v>
      </c>
      <c r="AB48" s="1510">
        <f t="shared" si="19"/>
        <v>0</v>
      </c>
      <c r="AC48" s="1394">
        <f t="shared" si="20"/>
        <v>0</v>
      </c>
      <c r="AD48" s="1510">
        <f t="shared" si="21"/>
        <v>0</v>
      </c>
      <c r="AE48" s="1395">
        <v>0</v>
      </c>
      <c r="AF48" s="1510">
        <f t="shared" si="22"/>
        <v>0</v>
      </c>
      <c r="AG48" s="1395"/>
      <c r="AH48" s="1395">
        <f t="shared" si="23"/>
        <v>0</v>
      </c>
      <c r="AI48" s="1510">
        <f t="shared" si="24"/>
        <v>0</v>
      </c>
      <c r="AJ48" s="1505">
        <f t="shared" si="25"/>
        <v>0</v>
      </c>
      <c r="AK48" s="1535">
        <f t="shared" si="26"/>
        <v>0</v>
      </c>
    </row>
    <row r="49" spans="1:37" ht="16.2" customHeight="1">
      <c r="A49" s="1176">
        <v>43</v>
      </c>
      <c r="B49" s="1177" t="s">
        <v>123</v>
      </c>
      <c r="C49" s="1178">
        <v>0</v>
      </c>
      <c r="D49" s="1179">
        <f>+'Table 5C1A-Madison Prep'!D49</f>
        <v>5788.74387205947</v>
      </c>
      <c r="E49" s="1180">
        <f t="shared" si="5"/>
        <v>0</v>
      </c>
      <c r="F49" s="1180">
        <f>+'Table 5C1A-Madison Prep'!F49</f>
        <v>574.6099999999999</v>
      </c>
      <c r="G49" s="1180">
        <f t="shared" si="6"/>
        <v>0</v>
      </c>
      <c r="H49" s="1539">
        <f t="shared" si="7"/>
        <v>0</v>
      </c>
      <c r="I49" s="1181"/>
      <c r="J49" s="1181"/>
      <c r="K49" s="1182">
        <f t="shared" si="8"/>
        <v>0</v>
      </c>
      <c r="L49" s="1539">
        <f t="shared" si="9"/>
        <v>0</v>
      </c>
      <c r="M49" s="1388">
        <f t="shared" si="4"/>
        <v>0</v>
      </c>
      <c r="N49" s="1539">
        <f t="shared" si="10"/>
        <v>0</v>
      </c>
      <c r="O49" s="1179">
        <v>0</v>
      </c>
      <c r="P49" s="1545">
        <f t="shared" si="11"/>
        <v>0</v>
      </c>
      <c r="Q49" s="1181"/>
      <c r="R49" s="1181">
        <f t="shared" si="12"/>
        <v>0</v>
      </c>
      <c r="S49" s="1545">
        <f t="shared" si="13"/>
        <v>0</v>
      </c>
      <c r="T49" s="1545">
        <f t="shared" si="14"/>
        <v>0</v>
      </c>
      <c r="U49" s="1389">
        <f>'Table 5C1A-Madison Prep'!U49</f>
        <v>3205</v>
      </c>
      <c r="V49" s="1515">
        <f t="shared" si="15"/>
        <v>0</v>
      </c>
      <c r="W49" s="1391"/>
      <c r="X49" s="1392">
        <f t="shared" si="16"/>
        <v>0</v>
      </c>
      <c r="Y49" s="1391"/>
      <c r="Z49" s="1392">
        <f t="shared" si="17"/>
        <v>0</v>
      </c>
      <c r="AA49" s="1390">
        <f t="shared" si="18"/>
        <v>0</v>
      </c>
      <c r="AB49" s="1510">
        <f t="shared" si="19"/>
        <v>0</v>
      </c>
      <c r="AC49" s="1394">
        <f t="shared" si="20"/>
        <v>0</v>
      </c>
      <c r="AD49" s="1510">
        <f t="shared" si="21"/>
        <v>0</v>
      </c>
      <c r="AE49" s="1395">
        <v>0</v>
      </c>
      <c r="AF49" s="1510">
        <f t="shared" si="22"/>
        <v>0</v>
      </c>
      <c r="AG49" s="1395"/>
      <c r="AH49" s="1395">
        <f t="shared" si="23"/>
        <v>0</v>
      </c>
      <c r="AI49" s="1510">
        <f t="shared" si="24"/>
        <v>0</v>
      </c>
      <c r="AJ49" s="1505">
        <f t="shared" si="25"/>
        <v>0</v>
      </c>
      <c r="AK49" s="1535">
        <f t="shared" si="26"/>
        <v>0</v>
      </c>
    </row>
    <row r="50" spans="1:37" ht="16.2" customHeight="1">
      <c r="A50" s="1176">
        <v>44</v>
      </c>
      <c r="B50" s="1177" t="s">
        <v>124</v>
      </c>
      <c r="C50" s="1178">
        <v>0</v>
      </c>
      <c r="D50" s="1179">
        <f>+'Table 5C1A-Madison Prep'!D50</f>
        <v>4897.5958151820359</v>
      </c>
      <c r="E50" s="1180">
        <f t="shared" si="5"/>
        <v>0</v>
      </c>
      <c r="F50" s="1180">
        <f>+'Table 5C1A-Madison Prep'!F50</f>
        <v>663.16000000000008</v>
      </c>
      <c r="G50" s="1180">
        <f t="shared" si="6"/>
        <v>0</v>
      </c>
      <c r="H50" s="1539">
        <f t="shared" si="7"/>
        <v>0</v>
      </c>
      <c r="I50" s="1181"/>
      <c r="J50" s="1181"/>
      <c r="K50" s="1182">
        <f t="shared" si="8"/>
        <v>0</v>
      </c>
      <c r="L50" s="1539">
        <f t="shared" si="9"/>
        <v>0</v>
      </c>
      <c r="M50" s="1388">
        <f t="shared" si="4"/>
        <v>0</v>
      </c>
      <c r="N50" s="1539">
        <f t="shared" si="10"/>
        <v>0</v>
      </c>
      <c r="O50" s="1179">
        <v>0</v>
      </c>
      <c r="P50" s="1545">
        <f t="shared" si="11"/>
        <v>0</v>
      </c>
      <c r="Q50" s="1181"/>
      <c r="R50" s="1181">
        <f t="shared" si="12"/>
        <v>0</v>
      </c>
      <c r="S50" s="1545">
        <f t="shared" si="13"/>
        <v>0</v>
      </c>
      <c r="T50" s="1545">
        <f t="shared" si="14"/>
        <v>0</v>
      </c>
      <c r="U50" s="1389">
        <f>'Table 5C1A-Madison Prep'!U50</f>
        <v>3719</v>
      </c>
      <c r="V50" s="1515">
        <f t="shared" si="15"/>
        <v>0</v>
      </c>
      <c r="W50" s="1391"/>
      <c r="X50" s="1392">
        <f t="shared" si="16"/>
        <v>0</v>
      </c>
      <c r="Y50" s="1391"/>
      <c r="Z50" s="1392">
        <f t="shared" si="17"/>
        <v>0</v>
      </c>
      <c r="AA50" s="1390">
        <f t="shared" si="18"/>
        <v>0</v>
      </c>
      <c r="AB50" s="1510">
        <f t="shared" si="19"/>
        <v>0</v>
      </c>
      <c r="AC50" s="1394">
        <f t="shared" si="20"/>
        <v>0</v>
      </c>
      <c r="AD50" s="1510">
        <f t="shared" si="21"/>
        <v>0</v>
      </c>
      <c r="AE50" s="1395">
        <v>0</v>
      </c>
      <c r="AF50" s="1510">
        <f t="shared" si="22"/>
        <v>0</v>
      </c>
      <c r="AG50" s="1395"/>
      <c r="AH50" s="1395">
        <f t="shared" si="23"/>
        <v>0</v>
      </c>
      <c r="AI50" s="1510">
        <f t="shared" si="24"/>
        <v>0</v>
      </c>
      <c r="AJ50" s="1505">
        <f t="shared" si="25"/>
        <v>0</v>
      </c>
      <c r="AK50" s="1535">
        <f t="shared" si="26"/>
        <v>0</v>
      </c>
    </row>
    <row r="51" spans="1:37" ht="16.2" customHeight="1">
      <c r="A51" s="1168">
        <v>45</v>
      </c>
      <c r="B51" s="1169" t="s">
        <v>125</v>
      </c>
      <c r="C51" s="1170">
        <v>0</v>
      </c>
      <c r="D51" s="1171">
        <f>+'Table 5C1A-Madison Prep'!D51</f>
        <v>2054.0472499469101</v>
      </c>
      <c r="E51" s="1172">
        <f t="shared" si="5"/>
        <v>0</v>
      </c>
      <c r="F51" s="1172">
        <f>+'Table 5C1A-Madison Prep'!F51</f>
        <v>753.96000000000015</v>
      </c>
      <c r="G51" s="1172">
        <f t="shared" si="6"/>
        <v>0</v>
      </c>
      <c r="H51" s="1540">
        <f t="shared" si="7"/>
        <v>0</v>
      </c>
      <c r="I51" s="1173"/>
      <c r="J51" s="1173"/>
      <c r="K51" s="1174">
        <f t="shared" si="8"/>
        <v>0</v>
      </c>
      <c r="L51" s="1540">
        <f t="shared" si="9"/>
        <v>0</v>
      </c>
      <c r="M51" s="1399">
        <f t="shared" si="4"/>
        <v>0</v>
      </c>
      <c r="N51" s="1540">
        <f t="shared" si="10"/>
        <v>0</v>
      </c>
      <c r="O51" s="1171">
        <v>0</v>
      </c>
      <c r="P51" s="1546">
        <f t="shared" si="11"/>
        <v>0</v>
      </c>
      <c r="Q51" s="1173"/>
      <c r="R51" s="1173">
        <f t="shared" si="12"/>
        <v>0</v>
      </c>
      <c r="S51" s="1546">
        <f t="shared" si="13"/>
        <v>0</v>
      </c>
      <c r="T51" s="1546">
        <f t="shared" si="14"/>
        <v>0</v>
      </c>
      <c r="U51" s="1382">
        <f>'Table 5C1A-Madison Prep'!U51</f>
        <v>12169</v>
      </c>
      <c r="V51" s="1516">
        <f t="shared" si="15"/>
        <v>0</v>
      </c>
      <c r="W51" s="1400"/>
      <c r="X51" s="1383">
        <f t="shared" si="16"/>
        <v>0</v>
      </c>
      <c r="Y51" s="1400"/>
      <c r="Z51" s="1383">
        <f t="shared" si="17"/>
        <v>0</v>
      </c>
      <c r="AA51" s="1384">
        <f t="shared" si="18"/>
        <v>0</v>
      </c>
      <c r="AB51" s="1511">
        <f t="shared" si="19"/>
        <v>0</v>
      </c>
      <c r="AC51" s="1402">
        <f t="shared" si="20"/>
        <v>0</v>
      </c>
      <c r="AD51" s="1511">
        <f t="shared" si="21"/>
        <v>0</v>
      </c>
      <c r="AE51" s="1385">
        <v>0</v>
      </c>
      <c r="AF51" s="1511">
        <f t="shared" si="22"/>
        <v>0</v>
      </c>
      <c r="AG51" s="1385"/>
      <c r="AH51" s="1385">
        <f t="shared" si="23"/>
        <v>0</v>
      </c>
      <c r="AI51" s="1511">
        <f t="shared" si="24"/>
        <v>0</v>
      </c>
      <c r="AJ51" s="1531">
        <f t="shared" si="25"/>
        <v>0</v>
      </c>
      <c r="AK51" s="1536">
        <f t="shared" si="26"/>
        <v>0</v>
      </c>
    </row>
    <row r="52" spans="1:37" ht="16.2" customHeight="1">
      <c r="A52" s="1183">
        <v>46</v>
      </c>
      <c r="B52" s="1184" t="s">
        <v>126</v>
      </c>
      <c r="C52" s="1185">
        <v>0</v>
      </c>
      <c r="D52" s="1186">
        <f>+'Table 5C1A-Madison Prep'!D52</f>
        <v>6051.2144468088381</v>
      </c>
      <c r="E52" s="1187">
        <f t="shared" si="5"/>
        <v>0</v>
      </c>
      <c r="F52" s="1187">
        <f>+'Table 5C1A-Madison Prep'!F52</f>
        <v>728.06</v>
      </c>
      <c r="G52" s="1187">
        <f t="shared" si="6"/>
        <v>0</v>
      </c>
      <c r="H52" s="1538">
        <f t="shared" si="7"/>
        <v>0</v>
      </c>
      <c r="I52" s="1188"/>
      <c r="J52" s="1188"/>
      <c r="K52" s="1189">
        <f t="shared" si="8"/>
        <v>0</v>
      </c>
      <c r="L52" s="1538">
        <f t="shared" si="9"/>
        <v>0</v>
      </c>
      <c r="M52" s="1372">
        <f t="shared" si="4"/>
        <v>0</v>
      </c>
      <c r="N52" s="1538">
        <f t="shared" si="10"/>
        <v>0</v>
      </c>
      <c r="O52" s="1186">
        <v>0</v>
      </c>
      <c r="P52" s="1544">
        <f t="shared" si="11"/>
        <v>0</v>
      </c>
      <c r="Q52" s="1188"/>
      <c r="R52" s="1188">
        <f t="shared" si="12"/>
        <v>0</v>
      </c>
      <c r="S52" s="1544">
        <f t="shared" si="13"/>
        <v>0</v>
      </c>
      <c r="T52" s="1544">
        <f t="shared" si="14"/>
        <v>0</v>
      </c>
      <c r="U52" s="1373">
        <f>'Table 5C1A-Madison Prep'!U52</f>
        <v>2713</v>
      </c>
      <c r="V52" s="1514">
        <f t="shared" si="15"/>
        <v>0</v>
      </c>
      <c r="W52" s="1375"/>
      <c r="X52" s="1376">
        <f t="shared" si="16"/>
        <v>0</v>
      </c>
      <c r="Y52" s="1375"/>
      <c r="Z52" s="1376">
        <f t="shared" si="17"/>
        <v>0</v>
      </c>
      <c r="AA52" s="1374">
        <f t="shared" si="18"/>
        <v>0</v>
      </c>
      <c r="AB52" s="1509">
        <f t="shared" si="19"/>
        <v>0</v>
      </c>
      <c r="AC52" s="1378">
        <f t="shared" si="20"/>
        <v>0</v>
      </c>
      <c r="AD52" s="1509">
        <f t="shared" si="21"/>
        <v>0</v>
      </c>
      <c r="AE52" s="1379">
        <v>0</v>
      </c>
      <c r="AF52" s="1509">
        <f t="shared" si="22"/>
        <v>0</v>
      </c>
      <c r="AG52" s="1379"/>
      <c r="AH52" s="1379">
        <f t="shared" si="23"/>
        <v>0</v>
      </c>
      <c r="AI52" s="1509">
        <f t="shared" si="24"/>
        <v>0</v>
      </c>
      <c r="AJ52" s="1530">
        <f t="shared" si="25"/>
        <v>0</v>
      </c>
      <c r="AK52" s="1534">
        <f t="shared" si="26"/>
        <v>0</v>
      </c>
    </row>
    <row r="53" spans="1:37" ht="16.2" customHeight="1">
      <c r="A53" s="1176">
        <v>47</v>
      </c>
      <c r="B53" s="1177" t="s">
        <v>127</v>
      </c>
      <c r="C53" s="1178">
        <v>0</v>
      </c>
      <c r="D53" s="1179">
        <f>+'Table 5C1A-Madison Prep'!D53</f>
        <v>2524.1485257646736</v>
      </c>
      <c r="E53" s="1180">
        <f t="shared" si="5"/>
        <v>0</v>
      </c>
      <c r="F53" s="1180">
        <f>+'Table 5C1A-Madison Prep'!F53</f>
        <v>910.76</v>
      </c>
      <c r="G53" s="1180">
        <f t="shared" si="6"/>
        <v>0</v>
      </c>
      <c r="H53" s="1539">
        <f t="shared" si="7"/>
        <v>0</v>
      </c>
      <c r="I53" s="1181"/>
      <c r="J53" s="1181"/>
      <c r="K53" s="1182">
        <f t="shared" si="8"/>
        <v>0</v>
      </c>
      <c r="L53" s="1539">
        <f t="shared" si="9"/>
        <v>0</v>
      </c>
      <c r="M53" s="1388">
        <f t="shared" si="4"/>
        <v>0</v>
      </c>
      <c r="N53" s="1539">
        <f t="shared" si="10"/>
        <v>0</v>
      </c>
      <c r="O53" s="1179">
        <v>0</v>
      </c>
      <c r="P53" s="1545">
        <f t="shared" si="11"/>
        <v>0</v>
      </c>
      <c r="Q53" s="1181"/>
      <c r="R53" s="1181">
        <f t="shared" si="12"/>
        <v>0</v>
      </c>
      <c r="S53" s="1545">
        <f t="shared" si="13"/>
        <v>0</v>
      </c>
      <c r="T53" s="1545">
        <f t="shared" si="14"/>
        <v>0</v>
      </c>
      <c r="U53" s="1389">
        <f>'Table 5C1A-Madison Prep'!U53</f>
        <v>11701</v>
      </c>
      <c r="V53" s="1515">
        <f t="shared" si="15"/>
        <v>0</v>
      </c>
      <c r="W53" s="1391"/>
      <c r="X53" s="1392">
        <f t="shared" si="16"/>
        <v>0</v>
      </c>
      <c r="Y53" s="1391"/>
      <c r="Z53" s="1392">
        <f t="shared" si="17"/>
        <v>0</v>
      </c>
      <c r="AA53" s="1390">
        <f t="shared" si="18"/>
        <v>0</v>
      </c>
      <c r="AB53" s="1510">
        <f t="shared" si="19"/>
        <v>0</v>
      </c>
      <c r="AC53" s="1394">
        <f t="shared" si="20"/>
        <v>0</v>
      </c>
      <c r="AD53" s="1510">
        <f t="shared" si="21"/>
        <v>0</v>
      </c>
      <c r="AE53" s="1395">
        <v>0</v>
      </c>
      <c r="AF53" s="1510">
        <f t="shared" si="22"/>
        <v>0</v>
      </c>
      <c r="AG53" s="1395"/>
      <c r="AH53" s="1395">
        <f t="shared" si="23"/>
        <v>0</v>
      </c>
      <c r="AI53" s="1510">
        <f t="shared" si="24"/>
        <v>0</v>
      </c>
      <c r="AJ53" s="1505">
        <f t="shared" si="25"/>
        <v>0</v>
      </c>
      <c r="AK53" s="1535">
        <f t="shared" si="26"/>
        <v>0</v>
      </c>
    </row>
    <row r="54" spans="1:37" ht="16.2" customHeight="1">
      <c r="A54" s="1176">
        <v>48</v>
      </c>
      <c r="B54" s="1177" t="s">
        <v>178</v>
      </c>
      <c r="C54" s="1178">
        <v>0</v>
      </c>
      <c r="D54" s="1179">
        <f>+'Table 5C1A-Madison Prep'!D54</f>
        <v>3983.3582529800719</v>
      </c>
      <c r="E54" s="1180">
        <f t="shared" si="5"/>
        <v>0</v>
      </c>
      <c r="F54" s="1180">
        <f>+'Table 5C1A-Madison Prep'!F54</f>
        <v>871.07</v>
      </c>
      <c r="G54" s="1180">
        <f t="shared" si="6"/>
        <v>0</v>
      </c>
      <c r="H54" s="1539">
        <f t="shared" si="7"/>
        <v>0</v>
      </c>
      <c r="I54" s="1181"/>
      <c r="J54" s="1181"/>
      <c r="K54" s="1182">
        <f t="shared" si="8"/>
        <v>0</v>
      </c>
      <c r="L54" s="1539">
        <f t="shared" si="9"/>
        <v>0</v>
      </c>
      <c r="M54" s="1388">
        <f t="shared" si="4"/>
        <v>0</v>
      </c>
      <c r="N54" s="1539">
        <f t="shared" si="10"/>
        <v>0</v>
      </c>
      <c r="O54" s="1179">
        <v>0</v>
      </c>
      <c r="P54" s="1545">
        <f t="shared" si="11"/>
        <v>0</v>
      </c>
      <c r="Q54" s="1181"/>
      <c r="R54" s="1181">
        <f t="shared" si="12"/>
        <v>0</v>
      </c>
      <c r="S54" s="1545">
        <f t="shared" si="13"/>
        <v>0</v>
      </c>
      <c r="T54" s="1545">
        <f t="shared" si="14"/>
        <v>0</v>
      </c>
      <c r="U54" s="1389">
        <f>'Table 5C1A-Madison Prep'!U54</f>
        <v>7338</v>
      </c>
      <c r="V54" s="1515">
        <f t="shared" si="15"/>
        <v>0</v>
      </c>
      <c r="W54" s="1391"/>
      <c r="X54" s="1392">
        <f t="shared" si="16"/>
        <v>0</v>
      </c>
      <c r="Y54" s="1391"/>
      <c r="Z54" s="1392">
        <f t="shared" si="17"/>
        <v>0</v>
      </c>
      <c r="AA54" s="1390">
        <f t="shared" si="18"/>
        <v>0</v>
      </c>
      <c r="AB54" s="1510">
        <f t="shared" si="19"/>
        <v>0</v>
      </c>
      <c r="AC54" s="1394">
        <f t="shared" si="20"/>
        <v>0</v>
      </c>
      <c r="AD54" s="1510">
        <f t="shared" si="21"/>
        <v>0</v>
      </c>
      <c r="AE54" s="1395">
        <v>0</v>
      </c>
      <c r="AF54" s="1510">
        <f t="shared" si="22"/>
        <v>0</v>
      </c>
      <c r="AG54" s="1395"/>
      <c r="AH54" s="1395">
        <f t="shared" si="23"/>
        <v>0</v>
      </c>
      <c r="AI54" s="1510">
        <f t="shared" si="24"/>
        <v>0</v>
      </c>
      <c r="AJ54" s="1505">
        <f t="shared" si="25"/>
        <v>0</v>
      </c>
      <c r="AK54" s="1535">
        <f t="shared" si="26"/>
        <v>0</v>
      </c>
    </row>
    <row r="55" spans="1:37" ht="16.2" customHeight="1">
      <c r="A55" s="1176">
        <v>49</v>
      </c>
      <c r="B55" s="1177" t="s">
        <v>128</v>
      </c>
      <c r="C55" s="1178">
        <v>0</v>
      </c>
      <c r="D55" s="1179">
        <f>+'Table 5C1A-Madison Prep'!D55</f>
        <v>4995.8755315659191</v>
      </c>
      <c r="E55" s="1180">
        <f t="shared" si="5"/>
        <v>0</v>
      </c>
      <c r="F55" s="1180">
        <f>+'Table 5C1A-Madison Prep'!F55</f>
        <v>574.43999999999994</v>
      </c>
      <c r="G55" s="1180">
        <f t="shared" si="6"/>
        <v>0</v>
      </c>
      <c r="H55" s="1539">
        <f t="shared" si="7"/>
        <v>0</v>
      </c>
      <c r="I55" s="1181"/>
      <c r="J55" s="1181"/>
      <c r="K55" s="1182">
        <f t="shared" si="8"/>
        <v>0</v>
      </c>
      <c r="L55" s="1539">
        <f t="shared" si="9"/>
        <v>0</v>
      </c>
      <c r="M55" s="1388">
        <f t="shared" si="4"/>
        <v>0</v>
      </c>
      <c r="N55" s="1539">
        <f t="shared" si="10"/>
        <v>0</v>
      </c>
      <c r="O55" s="1179">
        <v>0</v>
      </c>
      <c r="P55" s="1545">
        <f t="shared" si="11"/>
        <v>0</v>
      </c>
      <c r="Q55" s="1181"/>
      <c r="R55" s="1181">
        <f t="shared" si="12"/>
        <v>0</v>
      </c>
      <c r="S55" s="1545">
        <f t="shared" si="13"/>
        <v>0</v>
      </c>
      <c r="T55" s="1545">
        <f t="shared" si="14"/>
        <v>0</v>
      </c>
      <c r="U55" s="1389">
        <f>'Table 5C1A-Madison Prep'!U55</f>
        <v>2353</v>
      </c>
      <c r="V55" s="1515">
        <f t="shared" si="15"/>
        <v>0</v>
      </c>
      <c r="W55" s="1391"/>
      <c r="X55" s="1392">
        <f t="shared" si="16"/>
        <v>0</v>
      </c>
      <c r="Y55" s="1391"/>
      <c r="Z55" s="1392">
        <f t="shared" si="17"/>
        <v>0</v>
      </c>
      <c r="AA55" s="1390">
        <f t="shared" si="18"/>
        <v>0</v>
      </c>
      <c r="AB55" s="1510">
        <f t="shared" si="19"/>
        <v>0</v>
      </c>
      <c r="AC55" s="1394">
        <f t="shared" si="20"/>
        <v>0</v>
      </c>
      <c r="AD55" s="1510">
        <f t="shared" si="21"/>
        <v>0</v>
      </c>
      <c r="AE55" s="1395">
        <v>0</v>
      </c>
      <c r="AF55" s="1510">
        <f t="shared" si="22"/>
        <v>0</v>
      </c>
      <c r="AG55" s="1395"/>
      <c r="AH55" s="1395">
        <f t="shared" si="23"/>
        <v>0</v>
      </c>
      <c r="AI55" s="1510">
        <f t="shared" si="24"/>
        <v>0</v>
      </c>
      <c r="AJ55" s="1505">
        <f t="shared" si="25"/>
        <v>0</v>
      </c>
      <c r="AK55" s="1535">
        <f t="shared" si="26"/>
        <v>0</v>
      </c>
    </row>
    <row r="56" spans="1:37" ht="16.2" customHeight="1">
      <c r="A56" s="1168">
        <v>50</v>
      </c>
      <c r="B56" s="1169" t="s">
        <v>129</v>
      </c>
      <c r="C56" s="1170">
        <v>0</v>
      </c>
      <c r="D56" s="1171">
        <f>+'Table 5C1A-Madison Prep'!D56</f>
        <v>5177.6892722701677</v>
      </c>
      <c r="E56" s="1172">
        <f t="shared" si="5"/>
        <v>0</v>
      </c>
      <c r="F56" s="1172">
        <f>+'Table 5C1A-Madison Prep'!F56</f>
        <v>634.46</v>
      </c>
      <c r="G56" s="1172">
        <f t="shared" si="6"/>
        <v>0</v>
      </c>
      <c r="H56" s="1540">
        <f t="shared" si="7"/>
        <v>0</v>
      </c>
      <c r="I56" s="1173"/>
      <c r="J56" s="1173"/>
      <c r="K56" s="1174">
        <f t="shared" si="8"/>
        <v>0</v>
      </c>
      <c r="L56" s="1540">
        <f t="shared" si="9"/>
        <v>0</v>
      </c>
      <c r="M56" s="1399">
        <f t="shared" si="4"/>
        <v>0</v>
      </c>
      <c r="N56" s="1540">
        <f t="shared" si="10"/>
        <v>0</v>
      </c>
      <c r="O56" s="1171">
        <v>0</v>
      </c>
      <c r="P56" s="1546">
        <f t="shared" si="11"/>
        <v>0</v>
      </c>
      <c r="Q56" s="1173"/>
      <c r="R56" s="1173">
        <f t="shared" si="12"/>
        <v>0</v>
      </c>
      <c r="S56" s="1546">
        <f t="shared" si="13"/>
        <v>0</v>
      </c>
      <c r="T56" s="1546">
        <f t="shared" si="14"/>
        <v>0</v>
      </c>
      <c r="U56" s="1382">
        <f>'Table 5C1A-Madison Prep'!U56</f>
        <v>3510</v>
      </c>
      <c r="V56" s="1516">
        <f t="shared" si="15"/>
        <v>0</v>
      </c>
      <c r="W56" s="1400"/>
      <c r="X56" s="1383">
        <f t="shared" si="16"/>
        <v>0</v>
      </c>
      <c r="Y56" s="1400"/>
      <c r="Z56" s="1383">
        <f t="shared" si="17"/>
        <v>0</v>
      </c>
      <c r="AA56" s="1384">
        <f t="shared" si="18"/>
        <v>0</v>
      </c>
      <c r="AB56" s="1511">
        <f t="shared" si="19"/>
        <v>0</v>
      </c>
      <c r="AC56" s="1402">
        <f t="shared" si="20"/>
        <v>0</v>
      </c>
      <c r="AD56" s="1511">
        <f t="shared" si="21"/>
        <v>0</v>
      </c>
      <c r="AE56" s="1385">
        <v>0</v>
      </c>
      <c r="AF56" s="1511">
        <f t="shared" si="22"/>
        <v>0</v>
      </c>
      <c r="AG56" s="1385"/>
      <c r="AH56" s="1385">
        <f t="shared" si="23"/>
        <v>0</v>
      </c>
      <c r="AI56" s="1511">
        <f t="shared" si="24"/>
        <v>0</v>
      </c>
      <c r="AJ56" s="1531">
        <f t="shared" si="25"/>
        <v>0</v>
      </c>
      <c r="AK56" s="1536">
        <f t="shared" si="26"/>
        <v>0</v>
      </c>
    </row>
    <row r="57" spans="1:37" ht="16.2" customHeight="1">
      <c r="A57" s="1183">
        <v>51</v>
      </c>
      <c r="B57" s="1184" t="s">
        <v>130</v>
      </c>
      <c r="C57" s="1185">
        <v>0</v>
      </c>
      <c r="D57" s="1186">
        <f>+'Table 5C1A-Madison Prep'!D57</f>
        <v>4154.1928602178996</v>
      </c>
      <c r="E57" s="1187">
        <f t="shared" si="5"/>
        <v>0</v>
      </c>
      <c r="F57" s="1187">
        <f>+'Table 5C1A-Madison Prep'!F57</f>
        <v>706.66</v>
      </c>
      <c r="G57" s="1187">
        <f t="shared" si="6"/>
        <v>0</v>
      </c>
      <c r="H57" s="1538">
        <f t="shared" si="7"/>
        <v>0</v>
      </c>
      <c r="I57" s="1188"/>
      <c r="J57" s="1188"/>
      <c r="K57" s="1189">
        <f t="shared" si="8"/>
        <v>0</v>
      </c>
      <c r="L57" s="1538">
        <f t="shared" si="9"/>
        <v>0</v>
      </c>
      <c r="M57" s="1372">
        <f t="shared" si="4"/>
        <v>0</v>
      </c>
      <c r="N57" s="1538">
        <f t="shared" si="10"/>
        <v>0</v>
      </c>
      <c r="O57" s="1186">
        <v>0</v>
      </c>
      <c r="P57" s="1544">
        <f t="shared" si="11"/>
        <v>0</v>
      </c>
      <c r="Q57" s="1188"/>
      <c r="R57" s="1188">
        <f t="shared" si="12"/>
        <v>0</v>
      </c>
      <c r="S57" s="1544">
        <f t="shared" si="13"/>
        <v>0</v>
      </c>
      <c r="T57" s="1544">
        <f t="shared" si="14"/>
        <v>0</v>
      </c>
      <c r="U57" s="1373">
        <f>'Table 5C1A-Madison Prep'!U57</f>
        <v>4597</v>
      </c>
      <c r="V57" s="1514">
        <f t="shared" si="15"/>
        <v>0</v>
      </c>
      <c r="W57" s="1375"/>
      <c r="X57" s="1376">
        <f t="shared" si="16"/>
        <v>0</v>
      </c>
      <c r="Y57" s="1375"/>
      <c r="Z57" s="1376">
        <f t="shared" si="17"/>
        <v>0</v>
      </c>
      <c r="AA57" s="1374">
        <f t="shared" si="18"/>
        <v>0</v>
      </c>
      <c r="AB57" s="1509">
        <f t="shared" si="19"/>
        <v>0</v>
      </c>
      <c r="AC57" s="1378">
        <f t="shared" si="20"/>
        <v>0</v>
      </c>
      <c r="AD57" s="1509">
        <f t="shared" si="21"/>
        <v>0</v>
      </c>
      <c r="AE57" s="1379">
        <v>0</v>
      </c>
      <c r="AF57" s="1509">
        <f t="shared" si="22"/>
        <v>0</v>
      </c>
      <c r="AG57" s="1379"/>
      <c r="AH57" s="1379">
        <f t="shared" si="23"/>
        <v>0</v>
      </c>
      <c r="AI57" s="1509">
        <f t="shared" si="24"/>
        <v>0</v>
      </c>
      <c r="AJ57" s="1530">
        <f t="shared" si="25"/>
        <v>0</v>
      </c>
      <c r="AK57" s="1534">
        <f t="shared" si="26"/>
        <v>0</v>
      </c>
    </row>
    <row r="58" spans="1:37" ht="16.2" customHeight="1">
      <c r="A58" s="1176">
        <v>52</v>
      </c>
      <c r="B58" s="1177" t="s">
        <v>131</v>
      </c>
      <c r="C58" s="1178">
        <v>0</v>
      </c>
      <c r="D58" s="1179">
        <f>+'Table 5C1A-Madison Prep'!D58</f>
        <v>5062.2745845228173</v>
      </c>
      <c r="E58" s="1180">
        <f t="shared" si="5"/>
        <v>0</v>
      </c>
      <c r="F58" s="1180">
        <f>+'Table 5C1A-Madison Prep'!F58</f>
        <v>658.37</v>
      </c>
      <c r="G58" s="1180">
        <f t="shared" si="6"/>
        <v>0</v>
      </c>
      <c r="H58" s="1539">
        <f t="shared" si="7"/>
        <v>0</v>
      </c>
      <c r="I58" s="1181"/>
      <c r="J58" s="1181"/>
      <c r="K58" s="1182">
        <f t="shared" si="8"/>
        <v>0</v>
      </c>
      <c r="L58" s="1539">
        <f t="shared" si="9"/>
        <v>0</v>
      </c>
      <c r="M58" s="1388">
        <f t="shared" si="4"/>
        <v>0</v>
      </c>
      <c r="N58" s="1539">
        <f t="shared" si="10"/>
        <v>0</v>
      </c>
      <c r="O58" s="1179">
        <v>0</v>
      </c>
      <c r="P58" s="1545">
        <f t="shared" si="11"/>
        <v>0</v>
      </c>
      <c r="Q58" s="1181"/>
      <c r="R58" s="1181">
        <f t="shared" si="12"/>
        <v>0</v>
      </c>
      <c r="S58" s="1545">
        <f t="shared" si="13"/>
        <v>0</v>
      </c>
      <c r="T58" s="1545">
        <f t="shared" si="14"/>
        <v>0</v>
      </c>
      <c r="U58" s="1389">
        <f>'Table 5C1A-Madison Prep'!U58</f>
        <v>5212</v>
      </c>
      <c r="V58" s="1515">
        <f t="shared" si="15"/>
        <v>0</v>
      </c>
      <c r="W58" s="1391"/>
      <c r="X58" s="1392">
        <f t="shared" si="16"/>
        <v>0</v>
      </c>
      <c r="Y58" s="1391"/>
      <c r="Z58" s="1392">
        <f t="shared" si="17"/>
        <v>0</v>
      </c>
      <c r="AA58" s="1390">
        <f t="shared" si="18"/>
        <v>0</v>
      </c>
      <c r="AB58" s="1510">
        <f t="shared" si="19"/>
        <v>0</v>
      </c>
      <c r="AC58" s="1394">
        <f t="shared" si="20"/>
        <v>0</v>
      </c>
      <c r="AD58" s="1510">
        <f t="shared" si="21"/>
        <v>0</v>
      </c>
      <c r="AE58" s="1395">
        <v>0</v>
      </c>
      <c r="AF58" s="1510">
        <f t="shared" si="22"/>
        <v>0</v>
      </c>
      <c r="AG58" s="1395"/>
      <c r="AH58" s="1395">
        <f t="shared" si="23"/>
        <v>0</v>
      </c>
      <c r="AI58" s="1510">
        <f t="shared" si="24"/>
        <v>0</v>
      </c>
      <c r="AJ58" s="1505">
        <f t="shared" si="25"/>
        <v>0</v>
      </c>
      <c r="AK58" s="1535">
        <f t="shared" si="26"/>
        <v>0</v>
      </c>
    </row>
    <row r="59" spans="1:37" ht="16.2" customHeight="1">
      <c r="A59" s="1176">
        <v>53</v>
      </c>
      <c r="B59" s="1177" t="s">
        <v>132</v>
      </c>
      <c r="C59" s="1178">
        <v>0</v>
      </c>
      <c r="D59" s="1179">
        <f>+'Table 5C1A-Madison Prep'!D59</f>
        <v>5060.1508194045482</v>
      </c>
      <c r="E59" s="1180">
        <f t="shared" si="5"/>
        <v>0</v>
      </c>
      <c r="F59" s="1180">
        <f>+'Table 5C1A-Madison Prep'!F59</f>
        <v>689.74</v>
      </c>
      <c r="G59" s="1180">
        <f t="shared" si="6"/>
        <v>0</v>
      </c>
      <c r="H59" s="1539">
        <f t="shared" si="7"/>
        <v>0</v>
      </c>
      <c r="I59" s="1181"/>
      <c r="J59" s="1181"/>
      <c r="K59" s="1182">
        <f t="shared" si="8"/>
        <v>0</v>
      </c>
      <c r="L59" s="1539">
        <f t="shared" si="9"/>
        <v>0</v>
      </c>
      <c r="M59" s="1388">
        <f t="shared" si="4"/>
        <v>0</v>
      </c>
      <c r="N59" s="1539">
        <f t="shared" si="10"/>
        <v>0</v>
      </c>
      <c r="O59" s="1179">
        <v>0</v>
      </c>
      <c r="P59" s="1545">
        <f t="shared" si="11"/>
        <v>0</v>
      </c>
      <c r="Q59" s="1181"/>
      <c r="R59" s="1181">
        <f t="shared" si="12"/>
        <v>0</v>
      </c>
      <c r="S59" s="1545">
        <f t="shared" si="13"/>
        <v>0</v>
      </c>
      <c r="T59" s="1545">
        <f t="shared" si="14"/>
        <v>0</v>
      </c>
      <c r="U59" s="1389">
        <f>'Table 5C1A-Madison Prep'!U59</f>
        <v>2054</v>
      </c>
      <c r="V59" s="1515">
        <f t="shared" si="15"/>
        <v>0</v>
      </c>
      <c r="W59" s="1391"/>
      <c r="X59" s="1392">
        <f t="shared" si="16"/>
        <v>0</v>
      </c>
      <c r="Y59" s="1391"/>
      <c r="Z59" s="1392">
        <f t="shared" si="17"/>
        <v>0</v>
      </c>
      <c r="AA59" s="1390">
        <f t="shared" si="18"/>
        <v>0</v>
      </c>
      <c r="AB59" s="1510">
        <f t="shared" si="19"/>
        <v>0</v>
      </c>
      <c r="AC59" s="1394">
        <f t="shared" si="20"/>
        <v>0</v>
      </c>
      <c r="AD59" s="1510">
        <f t="shared" si="21"/>
        <v>0</v>
      </c>
      <c r="AE59" s="1395">
        <v>0</v>
      </c>
      <c r="AF59" s="1510">
        <f t="shared" si="22"/>
        <v>0</v>
      </c>
      <c r="AG59" s="1395"/>
      <c r="AH59" s="1395">
        <f t="shared" si="23"/>
        <v>0</v>
      </c>
      <c r="AI59" s="1510">
        <f t="shared" si="24"/>
        <v>0</v>
      </c>
      <c r="AJ59" s="1505">
        <f t="shared" si="25"/>
        <v>0</v>
      </c>
      <c r="AK59" s="1535">
        <f t="shared" si="26"/>
        <v>0</v>
      </c>
    </row>
    <row r="60" spans="1:37" ht="16.2" customHeight="1">
      <c r="A60" s="1176">
        <v>54</v>
      </c>
      <c r="B60" s="1177" t="s">
        <v>133</v>
      </c>
      <c r="C60" s="1178">
        <v>0</v>
      </c>
      <c r="D60" s="1179">
        <f>+'Table 5C1A-Madison Prep'!D60</f>
        <v>5867.0798370516713</v>
      </c>
      <c r="E60" s="1180">
        <f t="shared" si="5"/>
        <v>0</v>
      </c>
      <c r="F60" s="1180">
        <f>+'Table 5C1A-Madison Prep'!F60</f>
        <v>951.45</v>
      </c>
      <c r="G60" s="1180">
        <f t="shared" si="6"/>
        <v>0</v>
      </c>
      <c r="H60" s="1539">
        <f t="shared" si="7"/>
        <v>0</v>
      </c>
      <c r="I60" s="1181"/>
      <c r="J60" s="1181"/>
      <c r="K60" s="1182">
        <f t="shared" si="8"/>
        <v>0</v>
      </c>
      <c r="L60" s="1539">
        <f t="shared" si="9"/>
        <v>0</v>
      </c>
      <c r="M60" s="1388">
        <f t="shared" si="4"/>
        <v>0</v>
      </c>
      <c r="N60" s="1539">
        <f t="shared" si="10"/>
        <v>0</v>
      </c>
      <c r="O60" s="1179">
        <v>0</v>
      </c>
      <c r="P60" s="1545">
        <f t="shared" si="11"/>
        <v>0</v>
      </c>
      <c r="Q60" s="1181"/>
      <c r="R60" s="1181">
        <f t="shared" si="12"/>
        <v>0</v>
      </c>
      <c r="S60" s="1545">
        <f t="shared" si="13"/>
        <v>0</v>
      </c>
      <c r="T60" s="1545">
        <f t="shared" si="14"/>
        <v>0</v>
      </c>
      <c r="U60" s="1389">
        <f>'Table 5C1A-Madison Prep'!U60</f>
        <v>4116</v>
      </c>
      <c r="V60" s="1515">
        <f t="shared" si="15"/>
        <v>0</v>
      </c>
      <c r="W60" s="1391"/>
      <c r="X60" s="1392">
        <f t="shared" si="16"/>
        <v>0</v>
      </c>
      <c r="Y60" s="1391"/>
      <c r="Z60" s="1392">
        <f t="shared" si="17"/>
        <v>0</v>
      </c>
      <c r="AA60" s="1390">
        <f t="shared" si="18"/>
        <v>0</v>
      </c>
      <c r="AB60" s="1510">
        <f t="shared" si="19"/>
        <v>0</v>
      </c>
      <c r="AC60" s="1394">
        <f t="shared" si="20"/>
        <v>0</v>
      </c>
      <c r="AD60" s="1510">
        <f t="shared" si="21"/>
        <v>0</v>
      </c>
      <c r="AE60" s="1395">
        <v>0</v>
      </c>
      <c r="AF60" s="1510">
        <f t="shared" si="22"/>
        <v>0</v>
      </c>
      <c r="AG60" s="1395"/>
      <c r="AH60" s="1395">
        <f t="shared" si="23"/>
        <v>0</v>
      </c>
      <c r="AI60" s="1510">
        <f t="shared" si="24"/>
        <v>0</v>
      </c>
      <c r="AJ60" s="1505">
        <f t="shared" si="25"/>
        <v>0</v>
      </c>
      <c r="AK60" s="1535">
        <f t="shared" si="26"/>
        <v>0</v>
      </c>
    </row>
    <row r="61" spans="1:37" ht="16.2" customHeight="1">
      <c r="A61" s="1168">
        <v>55</v>
      </c>
      <c r="B61" s="1169" t="s">
        <v>134</v>
      </c>
      <c r="C61" s="1170">
        <v>0</v>
      </c>
      <c r="D61" s="1171">
        <f>+'Table 5C1A-Madison Prep'!D61</f>
        <v>4266.8225491298481</v>
      </c>
      <c r="E61" s="1172">
        <f t="shared" si="5"/>
        <v>0</v>
      </c>
      <c r="F61" s="1172">
        <f>+'Table 5C1A-Madison Prep'!F61</f>
        <v>795.14</v>
      </c>
      <c r="G61" s="1172">
        <f t="shared" si="6"/>
        <v>0</v>
      </c>
      <c r="H61" s="1540">
        <f t="shared" si="7"/>
        <v>0</v>
      </c>
      <c r="I61" s="1173"/>
      <c r="J61" s="1173"/>
      <c r="K61" s="1174">
        <f t="shared" si="8"/>
        <v>0</v>
      </c>
      <c r="L61" s="1540">
        <f t="shared" si="9"/>
        <v>0</v>
      </c>
      <c r="M61" s="1399">
        <f t="shared" si="4"/>
        <v>0</v>
      </c>
      <c r="N61" s="1540">
        <f t="shared" si="10"/>
        <v>0</v>
      </c>
      <c r="O61" s="1171">
        <v>0</v>
      </c>
      <c r="P61" s="1546">
        <f t="shared" si="11"/>
        <v>0</v>
      </c>
      <c r="Q61" s="1173"/>
      <c r="R61" s="1173">
        <f t="shared" si="12"/>
        <v>0</v>
      </c>
      <c r="S61" s="1546">
        <f t="shared" si="13"/>
        <v>0</v>
      </c>
      <c r="T61" s="1546">
        <f t="shared" si="14"/>
        <v>0</v>
      </c>
      <c r="U61" s="1382">
        <f>'Table 5C1A-Madison Prep'!U61</f>
        <v>3532</v>
      </c>
      <c r="V61" s="1516">
        <f t="shared" si="15"/>
        <v>0</v>
      </c>
      <c r="W61" s="1400"/>
      <c r="X61" s="1383">
        <f t="shared" si="16"/>
        <v>0</v>
      </c>
      <c r="Y61" s="1400"/>
      <c r="Z61" s="1383">
        <f t="shared" si="17"/>
        <v>0</v>
      </c>
      <c r="AA61" s="1384">
        <f t="shared" si="18"/>
        <v>0</v>
      </c>
      <c r="AB61" s="1511">
        <f t="shared" si="19"/>
        <v>0</v>
      </c>
      <c r="AC61" s="1402">
        <f t="shared" si="20"/>
        <v>0</v>
      </c>
      <c r="AD61" s="1511">
        <f t="shared" si="21"/>
        <v>0</v>
      </c>
      <c r="AE61" s="1385">
        <v>0</v>
      </c>
      <c r="AF61" s="1511">
        <f t="shared" si="22"/>
        <v>0</v>
      </c>
      <c r="AG61" s="1385"/>
      <c r="AH61" s="1385">
        <f t="shared" si="23"/>
        <v>0</v>
      </c>
      <c r="AI61" s="1511">
        <f t="shared" si="24"/>
        <v>0</v>
      </c>
      <c r="AJ61" s="1531">
        <f t="shared" si="25"/>
        <v>0</v>
      </c>
      <c r="AK61" s="1536">
        <f t="shared" si="26"/>
        <v>0</v>
      </c>
    </row>
    <row r="62" spans="1:37" ht="16.2" customHeight="1">
      <c r="A62" s="1183">
        <v>56</v>
      </c>
      <c r="B62" s="1184" t="s">
        <v>135</v>
      </c>
      <c r="C62" s="1185">
        <v>0</v>
      </c>
      <c r="D62" s="1186">
        <f>+'Table 5C1A-Madison Prep'!D62</f>
        <v>5028.4909408288286</v>
      </c>
      <c r="E62" s="1187">
        <f t="shared" si="5"/>
        <v>0</v>
      </c>
      <c r="F62" s="1187">
        <f>+'Table 5C1A-Madison Prep'!F62</f>
        <v>614.66000000000008</v>
      </c>
      <c r="G62" s="1187">
        <f t="shared" si="6"/>
        <v>0</v>
      </c>
      <c r="H62" s="1538">
        <f t="shared" si="7"/>
        <v>0</v>
      </c>
      <c r="I62" s="1188"/>
      <c r="J62" s="1188"/>
      <c r="K62" s="1189">
        <f t="shared" si="8"/>
        <v>0</v>
      </c>
      <c r="L62" s="1538">
        <f t="shared" si="9"/>
        <v>0</v>
      </c>
      <c r="M62" s="1372">
        <f t="shared" si="4"/>
        <v>0</v>
      </c>
      <c r="N62" s="1538">
        <f t="shared" si="10"/>
        <v>0</v>
      </c>
      <c r="O62" s="1186">
        <v>0</v>
      </c>
      <c r="P62" s="1544">
        <f t="shared" si="11"/>
        <v>0</v>
      </c>
      <c r="Q62" s="1188"/>
      <c r="R62" s="1188">
        <f t="shared" si="12"/>
        <v>0</v>
      </c>
      <c r="S62" s="1544">
        <f t="shared" si="13"/>
        <v>0</v>
      </c>
      <c r="T62" s="1544">
        <f t="shared" si="14"/>
        <v>0</v>
      </c>
      <c r="U62" s="1373">
        <f>'Table 5C1A-Madison Prep'!U62</f>
        <v>2865</v>
      </c>
      <c r="V62" s="1514">
        <f t="shared" si="15"/>
        <v>0</v>
      </c>
      <c r="W62" s="1375"/>
      <c r="X62" s="1376">
        <f t="shared" si="16"/>
        <v>0</v>
      </c>
      <c r="Y62" s="1375"/>
      <c r="Z62" s="1376">
        <f t="shared" si="17"/>
        <v>0</v>
      </c>
      <c r="AA62" s="1374">
        <f t="shared" si="18"/>
        <v>0</v>
      </c>
      <c r="AB62" s="1509">
        <f t="shared" si="19"/>
        <v>0</v>
      </c>
      <c r="AC62" s="1378">
        <f t="shared" si="20"/>
        <v>0</v>
      </c>
      <c r="AD62" s="1509">
        <f t="shared" si="21"/>
        <v>0</v>
      </c>
      <c r="AE62" s="1379">
        <v>0</v>
      </c>
      <c r="AF62" s="1509">
        <f t="shared" si="22"/>
        <v>0</v>
      </c>
      <c r="AG62" s="1379"/>
      <c r="AH62" s="1379">
        <f t="shared" si="23"/>
        <v>0</v>
      </c>
      <c r="AI62" s="1509">
        <f t="shared" si="24"/>
        <v>0</v>
      </c>
      <c r="AJ62" s="1530">
        <f t="shared" si="25"/>
        <v>0</v>
      </c>
      <c r="AK62" s="1534">
        <f t="shared" si="26"/>
        <v>0</v>
      </c>
    </row>
    <row r="63" spans="1:37" ht="16.2" customHeight="1">
      <c r="A63" s="1176">
        <v>57</v>
      </c>
      <c r="B63" s="1177" t="s">
        <v>136</v>
      </c>
      <c r="C63" s="1178">
        <v>0</v>
      </c>
      <c r="D63" s="1179">
        <f>+'Table 5C1A-Madison Prep'!D63</f>
        <v>4625.9922979230687</v>
      </c>
      <c r="E63" s="1180">
        <f t="shared" si="5"/>
        <v>0</v>
      </c>
      <c r="F63" s="1180">
        <f>+'Table 5C1A-Madison Prep'!F63</f>
        <v>764.51</v>
      </c>
      <c r="G63" s="1180">
        <f t="shared" si="6"/>
        <v>0</v>
      </c>
      <c r="H63" s="1539">
        <f t="shared" si="7"/>
        <v>0</v>
      </c>
      <c r="I63" s="1181"/>
      <c r="J63" s="1181"/>
      <c r="K63" s="1182">
        <f t="shared" si="8"/>
        <v>0</v>
      </c>
      <c r="L63" s="1539">
        <f t="shared" si="9"/>
        <v>0</v>
      </c>
      <c r="M63" s="1388">
        <f t="shared" si="4"/>
        <v>0</v>
      </c>
      <c r="N63" s="1539">
        <f t="shared" si="10"/>
        <v>0</v>
      </c>
      <c r="O63" s="1179">
        <v>0</v>
      </c>
      <c r="P63" s="1545">
        <f t="shared" si="11"/>
        <v>0</v>
      </c>
      <c r="Q63" s="1181"/>
      <c r="R63" s="1181">
        <f t="shared" si="12"/>
        <v>0</v>
      </c>
      <c r="S63" s="1545">
        <f t="shared" si="13"/>
        <v>0</v>
      </c>
      <c r="T63" s="1545">
        <f t="shared" si="14"/>
        <v>0</v>
      </c>
      <c r="U63" s="1389">
        <f>'Table 5C1A-Madison Prep'!U63</f>
        <v>3395</v>
      </c>
      <c r="V63" s="1515">
        <f t="shared" si="15"/>
        <v>0</v>
      </c>
      <c r="W63" s="1391"/>
      <c r="X63" s="1392">
        <f t="shared" si="16"/>
        <v>0</v>
      </c>
      <c r="Y63" s="1391"/>
      <c r="Z63" s="1392">
        <f t="shared" si="17"/>
        <v>0</v>
      </c>
      <c r="AA63" s="1390">
        <f t="shared" si="18"/>
        <v>0</v>
      </c>
      <c r="AB63" s="1510">
        <f t="shared" si="19"/>
        <v>0</v>
      </c>
      <c r="AC63" s="1394">
        <f t="shared" si="20"/>
        <v>0</v>
      </c>
      <c r="AD63" s="1510">
        <f t="shared" si="21"/>
        <v>0</v>
      </c>
      <c r="AE63" s="1395">
        <v>0</v>
      </c>
      <c r="AF63" s="1510">
        <f t="shared" si="22"/>
        <v>0</v>
      </c>
      <c r="AG63" s="1395"/>
      <c r="AH63" s="1395">
        <f t="shared" si="23"/>
        <v>0</v>
      </c>
      <c r="AI63" s="1510">
        <f t="shared" si="24"/>
        <v>0</v>
      </c>
      <c r="AJ63" s="1505">
        <f t="shared" si="25"/>
        <v>0</v>
      </c>
      <c r="AK63" s="1535">
        <f t="shared" si="26"/>
        <v>0</v>
      </c>
    </row>
    <row r="64" spans="1:37" ht="16.2" customHeight="1">
      <c r="A64" s="1176">
        <v>58</v>
      </c>
      <c r="B64" s="1177" t="s">
        <v>137</v>
      </c>
      <c r="C64" s="1178">
        <v>0</v>
      </c>
      <c r="D64" s="1179">
        <f>+'Table 5C1A-Madison Prep'!D64</f>
        <v>5673.1129637882123</v>
      </c>
      <c r="E64" s="1180">
        <f t="shared" si="5"/>
        <v>0</v>
      </c>
      <c r="F64" s="1180">
        <f>+'Table 5C1A-Madison Prep'!F64</f>
        <v>697.04</v>
      </c>
      <c r="G64" s="1180">
        <f t="shared" si="6"/>
        <v>0</v>
      </c>
      <c r="H64" s="1539">
        <f t="shared" si="7"/>
        <v>0</v>
      </c>
      <c r="I64" s="1181"/>
      <c r="J64" s="1181"/>
      <c r="K64" s="1182">
        <f t="shared" si="8"/>
        <v>0</v>
      </c>
      <c r="L64" s="1539">
        <f t="shared" si="9"/>
        <v>0</v>
      </c>
      <c r="M64" s="1388">
        <f t="shared" si="4"/>
        <v>0</v>
      </c>
      <c r="N64" s="1539">
        <f t="shared" si="10"/>
        <v>0</v>
      </c>
      <c r="O64" s="1179">
        <v>0</v>
      </c>
      <c r="P64" s="1545">
        <f t="shared" si="11"/>
        <v>0</v>
      </c>
      <c r="Q64" s="1181"/>
      <c r="R64" s="1181">
        <f t="shared" si="12"/>
        <v>0</v>
      </c>
      <c r="S64" s="1545">
        <f t="shared" si="13"/>
        <v>0</v>
      </c>
      <c r="T64" s="1545">
        <f t="shared" si="14"/>
        <v>0</v>
      </c>
      <c r="U64" s="1389">
        <f>'Table 5C1A-Madison Prep'!U64</f>
        <v>2084</v>
      </c>
      <c r="V64" s="1515">
        <f t="shared" si="15"/>
        <v>0</v>
      </c>
      <c r="W64" s="1391"/>
      <c r="X64" s="1392">
        <f t="shared" si="16"/>
        <v>0</v>
      </c>
      <c r="Y64" s="1391"/>
      <c r="Z64" s="1392">
        <f t="shared" si="17"/>
        <v>0</v>
      </c>
      <c r="AA64" s="1390">
        <f t="shared" si="18"/>
        <v>0</v>
      </c>
      <c r="AB64" s="1510">
        <f t="shared" si="19"/>
        <v>0</v>
      </c>
      <c r="AC64" s="1394">
        <f t="shared" si="20"/>
        <v>0</v>
      </c>
      <c r="AD64" s="1510">
        <f t="shared" si="21"/>
        <v>0</v>
      </c>
      <c r="AE64" s="1395">
        <v>0</v>
      </c>
      <c r="AF64" s="1510">
        <f t="shared" si="22"/>
        <v>0</v>
      </c>
      <c r="AG64" s="1395"/>
      <c r="AH64" s="1395">
        <f t="shared" si="23"/>
        <v>0</v>
      </c>
      <c r="AI64" s="1510">
        <f t="shared" si="24"/>
        <v>0</v>
      </c>
      <c r="AJ64" s="1505">
        <f t="shared" si="25"/>
        <v>0</v>
      </c>
      <c r="AK64" s="1535">
        <f t="shared" si="26"/>
        <v>0</v>
      </c>
    </row>
    <row r="65" spans="1:37" ht="16.2" customHeight="1">
      <c r="A65" s="1176">
        <v>59</v>
      </c>
      <c r="B65" s="1177" t="s">
        <v>138</v>
      </c>
      <c r="C65" s="1178">
        <v>0</v>
      </c>
      <c r="D65" s="1179">
        <f>+'Table 5C1A-Madison Prep'!D65</f>
        <v>6621.946293521848</v>
      </c>
      <c r="E65" s="1180">
        <f t="shared" si="5"/>
        <v>0</v>
      </c>
      <c r="F65" s="1180">
        <f>+'Table 5C1A-Madison Prep'!F65</f>
        <v>689.52</v>
      </c>
      <c r="G65" s="1180">
        <f t="shared" si="6"/>
        <v>0</v>
      </c>
      <c r="H65" s="1539">
        <f t="shared" si="7"/>
        <v>0</v>
      </c>
      <c r="I65" s="1181"/>
      <c r="J65" s="1181"/>
      <c r="K65" s="1182">
        <f t="shared" si="8"/>
        <v>0</v>
      </c>
      <c r="L65" s="1539">
        <f t="shared" si="9"/>
        <v>0</v>
      </c>
      <c r="M65" s="1388">
        <f t="shared" si="4"/>
        <v>0</v>
      </c>
      <c r="N65" s="1539">
        <f t="shared" si="10"/>
        <v>0</v>
      </c>
      <c r="O65" s="1179">
        <v>0</v>
      </c>
      <c r="P65" s="1545">
        <f t="shared" si="11"/>
        <v>0</v>
      </c>
      <c r="Q65" s="1181"/>
      <c r="R65" s="1181">
        <f t="shared" si="12"/>
        <v>0</v>
      </c>
      <c r="S65" s="1545">
        <f t="shared" si="13"/>
        <v>0</v>
      </c>
      <c r="T65" s="1545">
        <f t="shared" si="14"/>
        <v>0</v>
      </c>
      <c r="U65" s="1389">
        <f>'Table 5C1A-Madison Prep'!U65</f>
        <v>1577</v>
      </c>
      <c r="V65" s="1515">
        <f t="shared" si="15"/>
        <v>0</v>
      </c>
      <c r="W65" s="1391"/>
      <c r="X65" s="1392">
        <f t="shared" si="16"/>
        <v>0</v>
      </c>
      <c r="Y65" s="1391"/>
      <c r="Z65" s="1392">
        <f t="shared" si="17"/>
        <v>0</v>
      </c>
      <c r="AA65" s="1390">
        <f t="shared" si="18"/>
        <v>0</v>
      </c>
      <c r="AB65" s="1510">
        <f t="shared" si="19"/>
        <v>0</v>
      </c>
      <c r="AC65" s="1394">
        <f t="shared" si="20"/>
        <v>0</v>
      </c>
      <c r="AD65" s="1510">
        <f t="shared" si="21"/>
        <v>0</v>
      </c>
      <c r="AE65" s="1395">
        <v>0</v>
      </c>
      <c r="AF65" s="1510">
        <f t="shared" si="22"/>
        <v>0</v>
      </c>
      <c r="AG65" s="1395"/>
      <c r="AH65" s="1395">
        <f t="shared" si="23"/>
        <v>0</v>
      </c>
      <c r="AI65" s="1510">
        <f t="shared" si="24"/>
        <v>0</v>
      </c>
      <c r="AJ65" s="1505">
        <f t="shared" si="25"/>
        <v>0</v>
      </c>
      <c r="AK65" s="1535">
        <f t="shared" si="26"/>
        <v>0</v>
      </c>
    </row>
    <row r="66" spans="1:37" ht="16.2" customHeight="1">
      <c r="A66" s="1168">
        <v>60</v>
      </c>
      <c r="B66" s="1169" t="s">
        <v>139</v>
      </c>
      <c r="C66" s="1170">
        <v>0</v>
      </c>
      <c r="D66" s="1171">
        <f>+'Table 5C1A-Madison Prep'!D66</f>
        <v>5301.224090063828</v>
      </c>
      <c r="E66" s="1172">
        <f t="shared" si="5"/>
        <v>0</v>
      </c>
      <c r="F66" s="1172">
        <f>+'Table 5C1A-Madison Prep'!F66</f>
        <v>594.04</v>
      </c>
      <c r="G66" s="1172">
        <f t="shared" si="6"/>
        <v>0</v>
      </c>
      <c r="H66" s="1540">
        <f t="shared" si="7"/>
        <v>0</v>
      </c>
      <c r="I66" s="1173"/>
      <c r="J66" s="1173"/>
      <c r="K66" s="1174">
        <f t="shared" si="8"/>
        <v>0</v>
      </c>
      <c r="L66" s="1540">
        <f t="shared" si="9"/>
        <v>0</v>
      </c>
      <c r="M66" s="1399">
        <f t="shared" si="4"/>
        <v>0</v>
      </c>
      <c r="N66" s="1540">
        <f t="shared" si="10"/>
        <v>0</v>
      </c>
      <c r="O66" s="1171">
        <v>0</v>
      </c>
      <c r="P66" s="1546">
        <f t="shared" si="11"/>
        <v>0</v>
      </c>
      <c r="Q66" s="1173"/>
      <c r="R66" s="1173">
        <f t="shared" si="12"/>
        <v>0</v>
      </c>
      <c r="S66" s="1546">
        <f t="shared" si="13"/>
        <v>0</v>
      </c>
      <c r="T66" s="1546">
        <f t="shared" si="14"/>
        <v>0</v>
      </c>
      <c r="U66" s="1382">
        <f>'Table 5C1A-Madison Prep'!U66</f>
        <v>3922</v>
      </c>
      <c r="V66" s="1516">
        <f t="shared" si="15"/>
        <v>0</v>
      </c>
      <c r="W66" s="1400"/>
      <c r="X66" s="1383">
        <f t="shared" si="16"/>
        <v>0</v>
      </c>
      <c r="Y66" s="1400"/>
      <c r="Z66" s="1383">
        <f t="shared" si="17"/>
        <v>0</v>
      </c>
      <c r="AA66" s="1384">
        <f t="shared" si="18"/>
        <v>0</v>
      </c>
      <c r="AB66" s="1511">
        <f t="shared" si="19"/>
        <v>0</v>
      </c>
      <c r="AC66" s="1402">
        <f t="shared" si="20"/>
        <v>0</v>
      </c>
      <c r="AD66" s="1511">
        <f t="shared" si="21"/>
        <v>0</v>
      </c>
      <c r="AE66" s="1385">
        <v>0</v>
      </c>
      <c r="AF66" s="1511">
        <f t="shared" si="22"/>
        <v>0</v>
      </c>
      <c r="AG66" s="1385"/>
      <c r="AH66" s="1385">
        <f t="shared" si="23"/>
        <v>0</v>
      </c>
      <c r="AI66" s="1511">
        <f t="shared" si="24"/>
        <v>0</v>
      </c>
      <c r="AJ66" s="1531">
        <f t="shared" si="25"/>
        <v>0</v>
      </c>
      <c r="AK66" s="1536">
        <f t="shared" si="26"/>
        <v>0</v>
      </c>
    </row>
    <row r="67" spans="1:37" ht="16.2" customHeight="1">
      <c r="A67" s="1183">
        <v>61</v>
      </c>
      <c r="B67" s="1184" t="s">
        <v>140</v>
      </c>
      <c r="C67" s="1185">
        <f>400*0.02</f>
        <v>8</v>
      </c>
      <c r="D67" s="1186">
        <f>+'Table 5C1A-Madison Prep'!D67</f>
        <v>2854.1575356369185</v>
      </c>
      <c r="E67" s="1187">
        <f t="shared" si="5"/>
        <v>22833.260285095348</v>
      </c>
      <c r="F67" s="1187">
        <f>+'Table 5C1A-Madison Prep'!F67</f>
        <v>833.70999999999992</v>
      </c>
      <c r="G67" s="1187">
        <f t="shared" si="6"/>
        <v>6669.6799999999994</v>
      </c>
      <c r="H67" s="1538">
        <f t="shared" si="7"/>
        <v>29502.940285095348</v>
      </c>
      <c r="I67" s="1188"/>
      <c r="J67" s="1188"/>
      <c r="K67" s="1189">
        <f t="shared" si="8"/>
        <v>0</v>
      </c>
      <c r="L67" s="1538">
        <f t="shared" si="9"/>
        <v>29502.940285095348</v>
      </c>
      <c r="M67" s="1372">
        <f t="shared" si="4"/>
        <v>-73.757350712738372</v>
      </c>
      <c r="N67" s="1538">
        <f t="shared" si="10"/>
        <v>29429.18293438261</v>
      </c>
      <c r="O67" s="1186">
        <v>0</v>
      </c>
      <c r="P67" s="1544">
        <f t="shared" si="11"/>
        <v>29429.18293438261</v>
      </c>
      <c r="Q67" s="1188"/>
      <c r="R67" s="1188">
        <f t="shared" si="12"/>
        <v>29429.18293438261</v>
      </c>
      <c r="S67" s="1544">
        <f t="shared" si="13"/>
        <v>2452</v>
      </c>
      <c r="T67" s="1544">
        <f t="shared" si="14"/>
        <v>29429.18293438261</v>
      </c>
      <c r="U67" s="1373">
        <f>'Table 5C1A-Madison Prep'!U67</f>
        <v>6745</v>
      </c>
      <c r="V67" s="1514">
        <f t="shared" si="15"/>
        <v>53960</v>
      </c>
      <c r="W67" s="1375"/>
      <c r="X67" s="1376">
        <f t="shared" si="16"/>
        <v>0</v>
      </c>
      <c r="Y67" s="1375"/>
      <c r="Z67" s="1376">
        <f t="shared" si="17"/>
        <v>0</v>
      </c>
      <c r="AA67" s="1374">
        <f t="shared" si="18"/>
        <v>0</v>
      </c>
      <c r="AB67" s="1509">
        <f t="shared" si="19"/>
        <v>53960</v>
      </c>
      <c r="AC67" s="1378">
        <f t="shared" si="20"/>
        <v>-134.9</v>
      </c>
      <c r="AD67" s="1509">
        <f t="shared" si="21"/>
        <v>53825.1</v>
      </c>
      <c r="AE67" s="1379">
        <v>0</v>
      </c>
      <c r="AF67" s="1509">
        <f t="shared" si="22"/>
        <v>53825.1</v>
      </c>
      <c r="AG67" s="1379"/>
      <c r="AH67" s="1379">
        <f t="shared" si="23"/>
        <v>53825.1</v>
      </c>
      <c r="AI67" s="1509">
        <f t="shared" si="24"/>
        <v>4485</v>
      </c>
      <c r="AJ67" s="1530">
        <f t="shared" si="25"/>
        <v>83254.282934382616</v>
      </c>
      <c r="AK67" s="1534">
        <f t="shared" si="26"/>
        <v>6937</v>
      </c>
    </row>
    <row r="68" spans="1:37" ht="16.2" customHeight="1">
      <c r="A68" s="1176">
        <v>62</v>
      </c>
      <c r="B68" s="1177" t="s">
        <v>141</v>
      </c>
      <c r="C68" s="1178">
        <v>0</v>
      </c>
      <c r="D68" s="1179">
        <f>+'Table 5C1A-Madison Prep'!D68</f>
        <v>5901.074538516008</v>
      </c>
      <c r="E68" s="1180">
        <f t="shared" si="5"/>
        <v>0</v>
      </c>
      <c r="F68" s="1180">
        <f>+'Table 5C1A-Madison Prep'!F68</f>
        <v>516.08000000000004</v>
      </c>
      <c r="G68" s="1180">
        <f t="shared" si="6"/>
        <v>0</v>
      </c>
      <c r="H68" s="1539">
        <f t="shared" si="7"/>
        <v>0</v>
      </c>
      <c r="I68" s="1181"/>
      <c r="J68" s="1181"/>
      <c r="K68" s="1182">
        <f t="shared" si="8"/>
        <v>0</v>
      </c>
      <c r="L68" s="1539">
        <f t="shared" si="9"/>
        <v>0</v>
      </c>
      <c r="M68" s="1388">
        <f t="shared" si="4"/>
        <v>0</v>
      </c>
      <c r="N68" s="1539">
        <f t="shared" si="10"/>
        <v>0</v>
      </c>
      <c r="O68" s="1179">
        <v>0</v>
      </c>
      <c r="P68" s="1545">
        <f t="shared" si="11"/>
        <v>0</v>
      </c>
      <c r="Q68" s="1181"/>
      <c r="R68" s="1181">
        <f t="shared" si="12"/>
        <v>0</v>
      </c>
      <c r="S68" s="1545">
        <f t="shared" si="13"/>
        <v>0</v>
      </c>
      <c r="T68" s="1545">
        <f t="shared" si="14"/>
        <v>0</v>
      </c>
      <c r="U68" s="1389">
        <f>'Table 5C1A-Madison Prep'!U68</f>
        <v>1908</v>
      </c>
      <c r="V68" s="1515">
        <f t="shared" si="15"/>
        <v>0</v>
      </c>
      <c r="W68" s="1391"/>
      <c r="X68" s="1392">
        <f t="shared" si="16"/>
        <v>0</v>
      </c>
      <c r="Y68" s="1391"/>
      <c r="Z68" s="1392">
        <f t="shared" si="17"/>
        <v>0</v>
      </c>
      <c r="AA68" s="1390">
        <f t="shared" si="18"/>
        <v>0</v>
      </c>
      <c r="AB68" s="1510">
        <f t="shared" si="19"/>
        <v>0</v>
      </c>
      <c r="AC68" s="1394">
        <f t="shared" si="20"/>
        <v>0</v>
      </c>
      <c r="AD68" s="1510">
        <f t="shared" si="21"/>
        <v>0</v>
      </c>
      <c r="AE68" s="1395">
        <v>0</v>
      </c>
      <c r="AF68" s="1510">
        <f t="shared" si="22"/>
        <v>0</v>
      </c>
      <c r="AG68" s="1395"/>
      <c r="AH68" s="1395">
        <f t="shared" si="23"/>
        <v>0</v>
      </c>
      <c r="AI68" s="1510">
        <f t="shared" si="24"/>
        <v>0</v>
      </c>
      <c r="AJ68" s="1505">
        <f t="shared" si="25"/>
        <v>0</v>
      </c>
      <c r="AK68" s="1535">
        <f t="shared" si="26"/>
        <v>0</v>
      </c>
    </row>
    <row r="69" spans="1:37" ht="16.2" customHeight="1">
      <c r="A69" s="1176">
        <v>63</v>
      </c>
      <c r="B69" s="1177" t="s">
        <v>142</v>
      </c>
      <c r="C69" s="1178">
        <v>0</v>
      </c>
      <c r="D69" s="1179">
        <f>+'Table 5C1A-Madison Prep'!D69</f>
        <v>4124.3813481848092</v>
      </c>
      <c r="E69" s="1180">
        <f t="shared" si="5"/>
        <v>0</v>
      </c>
      <c r="F69" s="1180">
        <f>+'Table 5C1A-Madison Prep'!F69</f>
        <v>756.79</v>
      </c>
      <c r="G69" s="1180">
        <f t="shared" si="6"/>
        <v>0</v>
      </c>
      <c r="H69" s="1539">
        <f t="shared" si="7"/>
        <v>0</v>
      </c>
      <c r="I69" s="1181"/>
      <c r="J69" s="1181"/>
      <c r="K69" s="1182">
        <f t="shared" si="8"/>
        <v>0</v>
      </c>
      <c r="L69" s="1539">
        <f t="shared" si="9"/>
        <v>0</v>
      </c>
      <c r="M69" s="1388">
        <f t="shared" si="4"/>
        <v>0</v>
      </c>
      <c r="N69" s="1539">
        <f t="shared" si="10"/>
        <v>0</v>
      </c>
      <c r="O69" s="1179">
        <v>0</v>
      </c>
      <c r="P69" s="1545">
        <f t="shared" si="11"/>
        <v>0</v>
      </c>
      <c r="Q69" s="1181"/>
      <c r="R69" s="1181">
        <f t="shared" si="12"/>
        <v>0</v>
      </c>
      <c r="S69" s="1545">
        <f t="shared" si="13"/>
        <v>0</v>
      </c>
      <c r="T69" s="1545">
        <f t="shared" si="14"/>
        <v>0</v>
      </c>
      <c r="U69" s="1389">
        <f>'Table 5C1A-Madison Prep'!U69</f>
        <v>7290</v>
      </c>
      <c r="V69" s="1515">
        <f t="shared" si="15"/>
        <v>0</v>
      </c>
      <c r="W69" s="1391"/>
      <c r="X69" s="1392">
        <f t="shared" si="16"/>
        <v>0</v>
      </c>
      <c r="Y69" s="1391"/>
      <c r="Z69" s="1392">
        <f t="shared" si="17"/>
        <v>0</v>
      </c>
      <c r="AA69" s="1390">
        <f t="shared" si="18"/>
        <v>0</v>
      </c>
      <c r="AB69" s="1510">
        <f t="shared" si="19"/>
        <v>0</v>
      </c>
      <c r="AC69" s="1394">
        <f t="shared" si="20"/>
        <v>0</v>
      </c>
      <c r="AD69" s="1510">
        <f t="shared" si="21"/>
        <v>0</v>
      </c>
      <c r="AE69" s="1395">
        <v>0</v>
      </c>
      <c r="AF69" s="1510">
        <f t="shared" si="22"/>
        <v>0</v>
      </c>
      <c r="AG69" s="1395"/>
      <c r="AH69" s="1395">
        <f t="shared" si="23"/>
        <v>0</v>
      </c>
      <c r="AI69" s="1510">
        <f t="shared" si="24"/>
        <v>0</v>
      </c>
      <c r="AJ69" s="1505">
        <f t="shared" si="25"/>
        <v>0</v>
      </c>
      <c r="AK69" s="1535">
        <f t="shared" si="26"/>
        <v>0</v>
      </c>
    </row>
    <row r="70" spans="1:37" ht="16.2" customHeight="1">
      <c r="A70" s="1176">
        <v>64</v>
      </c>
      <c r="B70" s="1177" t="s">
        <v>143</v>
      </c>
      <c r="C70" s="1178">
        <v>0</v>
      </c>
      <c r="D70" s="1179">
        <f>+'Table 5C1A-Madison Prep'!D70</f>
        <v>6277.8307532778254</v>
      </c>
      <c r="E70" s="1180">
        <f t="shared" si="5"/>
        <v>0</v>
      </c>
      <c r="F70" s="1180">
        <f>+'Table 5C1A-Madison Prep'!F70</f>
        <v>592.66</v>
      </c>
      <c r="G70" s="1180">
        <f t="shared" si="6"/>
        <v>0</v>
      </c>
      <c r="H70" s="1539">
        <f t="shared" si="7"/>
        <v>0</v>
      </c>
      <c r="I70" s="1181"/>
      <c r="J70" s="1181"/>
      <c r="K70" s="1182">
        <f t="shared" si="8"/>
        <v>0</v>
      </c>
      <c r="L70" s="1539">
        <f t="shared" si="9"/>
        <v>0</v>
      </c>
      <c r="M70" s="1388">
        <f t="shared" si="4"/>
        <v>0</v>
      </c>
      <c r="N70" s="1539">
        <f t="shared" si="10"/>
        <v>0</v>
      </c>
      <c r="O70" s="1179">
        <v>0</v>
      </c>
      <c r="P70" s="1545">
        <f t="shared" si="11"/>
        <v>0</v>
      </c>
      <c r="Q70" s="1181"/>
      <c r="R70" s="1181">
        <f t="shared" si="12"/>
        <v>0</v>
      </c>
      <c r="S70" s="1545">
        <f t="shared" si="13"/>
        <v>0</v>
      </c>
      <c r="T70" s="1545">
        <f t="shared" si="14"/>
        <v>0</v>
      </c>
      <c r="U70" s="1389">
        <f>'Table 5C1A-Madison Prep'!U70</f>
        <v>2721</v>
      </c>
      <c r="V70" s="1515">
        <f t="shared" si="15"/>
        <v>0</v>
      </c>
      <c r="W70" s="1391"/>
      <c r="X70" s="1392">
        <f t="shared" si="16"/>
        <v>0</v>
      </c>
      <c r="Y70" s="1391"/>
      <c r="Z70" s="1392">
        <f t="shared" si="17"/>
        <v>0</v>
      </c>
      <c r="AA70" s="1390">
        <f t="shared" si="18"/>
        <v>0</v>
      </c>
      <c r="AB70" s="1510">
        <f t="shared" si="19"/>
        <v>0</v>
      </c>
      <c r="AC70" s="1394">
        <f t="shared" si="20"/>
        <v>0</v>
      </c>
      <c r="AD70" s="1510">
        <f t="shared" si="21"/>
        <v>0</v>
      </c>
      <c r="AE70" s="1395">
        <v>0</v>
      </c>
      <c r="AF70" s="1510">
        <f t="shared" si="22"/>
        <v>0</v>
      </c>
      <c r="AG70" s="1395"/>
      <c r="AH70" s="1395">
        <f t="shared" si="23"/>
        <v>0</v>
      </c>
      <c r="AI70" s="1510">
        <f t="shared" si="24"/>
        <v>0</v>
      </c>
      <c r="AJ70" s="1505">
        <f t="shared" si="25"/>
        <v>0</v>
      </c>
      <c r="AK70" s="1535">
        <f t="shared" si="26"/>
        <v>0</v>
      </c>
    </row>
    <row r="71" spans="1:37" ht="16.2" customHeight="1">
      <c r="A71" s="1168">
        <v>65</v>
      </c>
      <c r="B71" s="1169" t="s">
        <v>144</v>
      </c>
      <c r="C71" s="1170">
        <v>0</v>
      </c>
      <c r="D71" s="1171">
        <f>+'Table 5C1A-Madison Prep'!D71</f>
        <v>4775.1605543943642</v>
      </c>
      <c r="E71" s="1172">
        <f t="shared" si="5"/>
        <v>0</v>
      </c>
      <c r="F71" s="1172">
        <f>+'Table 5C1A-Madison Prep'!F71</f>
        <v>829.12</v>
      </c>
      <c r="G71" s="1172">
        <f t="shared" si="6"/>
        <v>0</v>
      </c>
      <c r="H71" s="1540">
        <f t="shared" si="7"/>
        <v>0</v>
      </c>
      <c r="I71" s="1173"/>
      <c r="J71" s="1173"/>
      <c r="K71" s="1174">
        <f t="shared" si="8"/>
        <v>0</v>
      </c>
      <c r="L71" s="1540">
        <f t="shared" si="9"/>
        <v>0</v>
      </c>
      <c r="M71" s="1399">
        <f t="shared" ref="M71:M74" si="27">-(0.25%*L71)</f>
        <v>0</v>
      </c>
      <c r="N71" s="1540">
        <f t="shared" si="10"/>
        <v>0</v>
      </c>
      <c r="O71" s="1171">
        <v>0</v>
      </c>
      <c r="P71" s="1546">
        <f t="shared" si="11"/>
        <v>0</v>
      </c>
      <c r="Q71" s="1173"/>
      <c r="R71" s="1173">
        <f t="shared" si="12"/>
        <v>0</v>
      </c>
      <c r="S71" s="1546">
        <f t="shared" si="13"/>
        <v>0</v>
      </c>
      <c r="T71" s="1546">
        <f t="shared" si="14"/>
        <v>0</v>
      </c>
      <c r="U71" s="1382">
        <f>'Table 5C1A-Madison Prep'!U71</f>
        <v>5110</v>
      </c>
      <c r="V71" s="1516">
        <f t="shared" si="15"/>
        <v>0</v>
      </c>
      <c r="W71" s="1400"/>
      <c r="X71" s="1383">
        <f t="shared" si="16"/>
        <v>0</v>
      </c>
      <c r="Y71" s="1400"/>
      <c r="Z71" s="1383">
        <f t="shared" si="17"/>
        <v>0</v>
      </c>
      <c r="AA71" s="1384">
        <f t="shared" si="18"/>
        <v>0</v>
      </c>
      <c r="AB71" s="1511">
        <f t="shared" si="19"/>
        <v>0</v>
      </c>
      <c r="AC71" s="1402">
        <f t="shared" si="20"/>
        <v>0</v>
      </c>
      <c r="AD71" s="1511">
        <f t="shared" si="21"/>
        <v>0</v>
      </c>
      <c r="AE71" s="1385">
        <v>0</v>
      </c>
      <c r="AF71" s="1511">
        <f t="shared" si="22"/>
        <v>0</v>
      </c>
      <c r="AG71" s="1385"/>
      <c r="AH71" s="1385">
        <f t="shared" si="23"/>
        <v>0</v>
      </c>
      <c r="AI71" s="1511">
        <f t="shared" si="24"/>
        <v>0</v>
      </c>
      <c r="AJ71" s="1531">
        <f t="shared" si="25"/>
        <v>0</v>
      </c>
      <c r="AK71" s="1536">
        <f t="shared" si="26"/>
        <v>0</v>
      </c>
    </row>
    <row r="72" spans="1:37" ht="16.2" customHeight="1">
      <c r="A72" s="1176">
        <v>66</v>
      </c>
      <c r="B72" s="1177" t="s">
        <v>145</v>
      </c>
      <c r="C72" s="1197">
        <v>0</v>
      </c>
      <c r="D72" s="1198">
        <f>+'Table 5C1A-Madison Prep'!D72</f>
        <v>6564.0085433910035</v>
      </c>
      <c r="E72" s="1199">
        <f t="shared" ref="E72:E75" si="28">C72*D72</f>
        <v>0</v>
      </c>
      <c r="F72" s="1199">
        <f>+'Table 5C1A-Madison Prep'!F72</f>
        <v>730.06</v>
      </c>
      <c r="G72" s="1199">
        <f t="shared" ref="G72:G75" si="29">C72*F72</f>
        <v>0</v>
      </c>
      <c r="H72" s="1403">
        <f t="shared" ref="H72:H75" si="30">E72+G72</f>
        <v>0</v>
      </c>
      <c r="I72" s="1200"/>
      <c r="J72" s="1200"/>
      <c r="K72" s="1201">
        <f t="shared" ref="K72:K75" si="31">+I72+J72</f>
        <v>0</v>
      </c>
      <c r="L72" s="1403">
        <f t="shared" ref="L72:L75" si="32">+H72+K72</f>
        <v>0</v>
      </c>
      <c r="M72" s="1423">
        <f t="shared" si="27"/>
        <v>0</v>
      </c>
      <c r="N72" s="1403">
        <f t="shared" ref="N72:N75" si="33">SUM(L72:M72)</f>
        <v>0</v>
      </c>
      <c r="O72" s="1198">
        <v>0</v>
      </c>
      <c r="P72" s="1398">
        <f t="shared" ref="P72:P75" si="34">SUM(N72:O72)</f>
        <v>0</v>
      </c>
      <c r="Q72" s="1200"/>
      <c r="R72" s="1200">
        <f t="shared" ref="R72:R75" si="35">+P72-Q72</f>
        <v>0</v>
      </c>
      <c r="S72" s="1398">
        <f t="shared" ref="S72:S75" si="36">ROUND(R72/12,0)</f>
        <v>0</v>
      </c>
      <c r="T72" s="1398">
        <f t="shared" ref="T72:T75" si="37">+P72</f>
        <v>0</v>
      </c>
      <c r="U72" s="1389">
        <f>'Table 5C1A-Madison Prep'!U72</f>
        <v>3369</v>
      </c>
      <c r="V72" s="1515">
        <f t="shared" ref="V72:V75" si="38">C72*U72</f>
        <v>0</v>
      </c>
      <c r="W72" s="1391"/>
      <c r="X72" s="1392">
        <f t="shared" ref="X72:X75" si="39">+U72*W72</f>
        <v>0</v>
      </c>
      <c r="Y72" s="1391"/>
      <c r="Z72" s="1392">
        <f t="shared" ref="Z72:Z75" si="40">+U72*Y72*0.5</f>
        <v>0</v>
      </c>
      <c r="AA72" s="1390">
        <f t="shared" ref="AA72:AA75" si="41">+X72+Z72</f>
        <v>0</v>
      </c>
      <c r="AB72" s="1510">
        <f t="shared" ref="AB72:AB75" si="42">+V72+AA72</f>
        <v>0</v>
      </c>
      <c r="AC72" s="1394">
        <f t="shared" ref="AC72:AC75" si="43">-(0.25%*AB72)</f>
        <v>0</v>
      </c>
      <c r="AD72" s="1510">
        <f t="shared" ref="AD72:AD75" si="44">SUM(AB72:AC72)</f>
        <v>0</v>
      </c>
      <c r="AE72" s="1395">
        <v>0</v>
      </c>
      <c r="AF72" s="1510">
        <f t="shared" ref="AF72:AF75" si="45">SUM(AD72:AE72)</f>
        <v>0</v>
      </c>
      <c r="AG72" s="1395"/>
      <c r="AH72" s="1395">
        <f t="shared" ref="AH72:AH75" si="46">+AF72-AG72</f>
        <v>0</v>
      </c>
      <c r="AI72" s="1510">
        <f t="shared" ref="AI72:AI75" si="47">ROUND(AH72/12,0)</f>
        <v>0</v>
      </c>
      <c r="AJ72" s="1505">
        <f t="shared" ref="AJ72:AJ75" si="48">T72+AF72</f>
        <v>0</v>
      </c>
      <c r="AK72" s="1505">
        <f t="shared" ref="AK72:AK75" si="49">S72+AI72</f>
        <v>0</v>
      </c>
    </row>
    <row r="73" spans="1:37" ht="16.2" customHeight="1">
      <c r="A73" s="1176">
        <v>67</v>
      </c>
      <c r="B73" s="1177" t="s">
        <v>30</v>
      </c>
      <c r="C73" s="1197">
        <v>0</v>
      </c>
      <c r="D73" s="1198">
        <f>+'Table 5C1A-Madison Prep'!D73</f>
        <v>5029.1467736134118</v>
      </c>
      <c r="E73" s="1199">
        <f t="shared" si="28"/>
        <v>0</v>
      </c>
      <c r="F73" s="1199">
        <f>+'Table 5C1A-Madison Prep'!F73</f>
        <v>715.61</v>
      </c>
      <c r="G73" s="1199">
        <f t="shared" si="29"/>
        <v>0</v>
      </c>
      <c r="H73" s="1403">
        <f t="shared" si="30"/>
        <v>0</v>
      </c>
      <c r="I73" s="1200"/>
      <c r="J73" s="1200"/>
      <c r="K73" s="1201">
        <f t="shared" si="31"/>
        <v>0</v>
      </c>
      <c r="L73" s="1403">
        <f t="shared" si="32"/>
        <v>0</v>
      </c>
      <c r="M73" s="1423">
        <f t="shared" si="27"/>
        <v>0</v>
      </c>
      <c r="N73" s="1403">
        <f t="shared" si="33"/>
        <v>0</v>
      </c>
      <c r="O73" s="1198">
        <v>0</v>
      </c>
      <c r="P73" s="1398">
        <f t="shared" si="34"/>
        <v>0</v>
      </c>
      <c r="Q73" s="1200"/>
      <c r="R73" s="1200">
        <f t="shared" si="35"/>
        <v>0</v>
      </c>
      <c r="S73" s="1398">
        <f t="shared" si="36"/>
        <v>0</v>
      </c>
      <c r="T73" s="1398">
        <f t="shared" si="37"/>
        <v>0</v>
      </c>
      <c r="U73" s="1389">
        <f>'Table 5C1A-Madison Prep'!U73</f>
        <v>5015</v>
      </c>
      <c r="V73" s="1515">
        <f t="shared" si="38"/>
        <v>0</v>
      </c>
      <c r="W73" s="1391"/>
      <c r="X73" s="1392">
        <f t="shared" si="39"/>
        <v>0</v>
      </c>
      <c r="Y73" s="1391"/>
      <c r="Z73" s="1392">
        <f t="shared" si="40"/>
        <v>0</v>
      </c>
      <c r="AA73" s="1390">
        <f t="shared" si="41"/>
        <v>0</v>
      </c>
      <c r="AB73" s="1510">
        <f t="shared" si="42"/>
        <v>0</v>
      </c>
      <c r="AC73" s="1394">
        <f t="shared" si="43"/>
        <v>0</v>
      </c>
      <c r="AD73" s="1510">
        <f t="shared" si="44"/>
        <v>0</v>
      </c>
      <c r="AE73" s="1395">
        <v>0</v>
      </c>
      <c r="AF73" s="1510">
        <f t="shared" si="45"/>
        <v>0</v>
      </c>
      <c r="AG73" s="1395"/>
      <c r="AH73" s="1395">
        <f t="shared" si="46"/>
        <v>0</v>
      </c>
      <c r="AI73" s="1510">
        <f t="shared" si="47"/>
        <v>0</v>
      </c>
      <c r="AJ73" s="1505">
        <f t="shared" si="48"/>
        <v>0</v>
      </c>
      <c r="AK73" s="1505">
        <f t="shared" si="49"/>
        <v>0</v>
      </c>
    </row>
    <row r="74" spans="1:37" ht="16.2" customHeight="1">
      <c r="A74" s="1176">
        <v>68</v>
      </c>
      <c r="B74" s="1177" t="s">
        <v>28</v>
      </c>
      <c r="C74" s="1197">
        <v>0</v>
      </c>
      <c r="D74" s="1198">
        <f>+'Table 5C1A-Madison Prep'!D74</f>
        <v>6390.1644202560601</v>
      </c>
      <c r="E74" s="1199">
        <f t="shared" si="28"/>
        <v>0</v>
      </c>
      <c r="F74" s="1199">
        <f>+'Table 5C1A-Madison Prep'!F74</f>
        <v>798.7</v>
      </c>
      <c r="G74" s="1199">
        <f t="shared" si="29"/>
        <v>0</v>
      </c>
      <c r="H74" s="1403">
        <f t="shared" si="30"/>
        <v>0</v>
      </c>
      <c r="I74" s="1200"/>
      <c r="J74" s="1200"/>
      <c r="K74" s="1201">
        <f t="shared" si="31"/>
        <v>0</v>
      </c>
      <c r="L74" s="1403">
        <f t="shared" si="32"/>
        <v>0</v>
      </c>
      <c r="M74" s="1423">
        <f t="shared" si="27"/>
        <v>0</v>
      </c>
      <c r="N74" s="1403">
        <f t="shared" si="33"/>
        <v>0</v>
      </c>
      <c r="O74" s="1198">
        <v>0</v>
      </c>
      <c r="P74" s="1398">
        <f t="shared" si="34"/>
        <v>0</v>
      </c>
      <c r="Q74" s="1200"/>
      <c r="R74" s="1200">
        <f t="shared" si="35"/>
        <v>0</v>
      </c>
      <c r="S74" s="1398">
        <f t="shared" si="36"/>
        <v>0</v>
      </c>
      <c r="T74" s="1398">
        <f t="shared" si="37"/>
        <v>0</v>
      </c>
      <c r="U74" s="1389">
        <f>'Table 5C1A-Madison Prep'!U74</f>
        <v>2669</v>
      </c>
      <c r="V74" s="1515">
        <f t="shared" si="38"/>
        <v>0</v>
      </c>
      <c r="W74" s="1391"/>
      <c r="X74" s="1392">
        <f t="shared" si="39"/>
        <v>0</v>
      </c>
      <c r="Y74" s="1391"/>
      <c r="Z74" s="1392">
        <f t="shared" si="40"/>
        <v>0</v>
      </c>
      <c r="AA74" s="1390">
        <f t="shared" si="41"/>
        <v>0</v>
      </c>
      <c r="AB74" s="1510">
        <f t="shared" si="42"/>
        <v>0</v>
      </c>
      <c r="AC74" s="1394">
        <f t="shared" si="43"/>
        <v>0</v>
      </c>
      <c r="AD74" s="1510">
        <f t="shared" si="44"/>
        <v>0</v>
      </c>
      <c r="AE74" s="1395">
        <v>0</v>
      </c>
      <c r="AF74" s="1510">
        <f t="shared" si="45"/>
        <v>0</v>
      </c>
      <c r="AG74" s="1395"/>
      <c r="AH74" s="1395">
        <f t="shared" si="46"/>
        <v>0</v>
      </c>
      <c r="AI74" s="1510">
        <f t="shared" si="47"/>
        <v>0</v>
      </c>
      <c r="AJ74" s="1505">
        <f t="shared" si="48"/>
        <v>0</v>
      </c>
      <c r="AK74" s="1505">
        <f t="shared" si="49"/>
        <v>0</v>
      </c>
    </row>
    <row r="75" spans="1:37" ht="16.2" customHeight="1">
      <c r="A75" s="1190">
        <v>69</v>
      </c>
      <c r="B75" s="1191" t="s">
        <v>183</v>
      </c>
      <c r="C75" s="1192">
        <v>0</v>
      </c>
      <c r="D75" s="1193">
        <f>+'Table 5C1A-Madison Prep'!D75</f>
        <v>5722.4947921281337</v>
      </c>
      <c r="E75" s="1194">
        <f t="shared" si="28"/>
        <v>0</v>
      </c>
      <c r="F75" s="1194">
        <f>+'Table 5C1A-Madison Prep'!F75</f>
        <v>705.67</v>
      </c>
      <c r="G75" s="1194">
        <f t="shared" si="29"/>
        <v>0</v>
      </c>
      <c r="H75" s="1541">
        <f t="shared" si="30"/>
        <v>0</v>
      </c>
      <c r="I75" s="1195"/>
      <c r="J75" s="1195"/>
      <c r="K75" s="1196">
        <f t="shared" si="31"/>
        <v>0</v>
      </c>
      <c r="L75" s="1541">
        <f t="shared" si="32"/>
        <v>0</v>
      </c>
      <c r="M75" s="1405">
        <f>-(0.25%*L75)</f>
        <v>0</v>
      </c>
      <c r="N75" s="1541">
        <f t="shared" si="33"/>
        <v>0</v>
      </c>
      <c r="O75" s="1193">
        <v>0</v>
      </c>
      <c r="P75" s="1547">
        <f t="shared" si="34"/>
        <v>0</v>
      </c>
      <c r="Q75" s="1195"/>
      <c r="R75" s="1195">
        <f t="shared" si="35"/>
        <v>0</v>
      </c>
      <c r="S75" s="1547">
        <f t="shared" si="36"/>
        <v>0</v>
      </c>
      <c r="T75" s="1547">
        <f t="shared" si="37"/>
        <v>0</v>
      </c>
      <c r="U75" s="653">
        <f>'Table 5C1A-Madison Prep'!U75</f>
        <v>3394</v>
      </c>
      <c r="V75" s="1517">
        <f t="shared" si="38"/>
        <v>0</v>
      </c>
      <c r="W75" s="1407"/>
      <c r="X75" s="1408">
        <f t="shared" si="39"/>
        <v>0</v>
      </c>
      <c r="Y75" s="1407"/>
      <c r="Z75" s="1408">
        <f t="shared" si="40"/>
        <v>0</v>
      </c>
      <c r="AA75" s="1406">
        <f t="shared" si="41"/>
        <v>0</v>
      </c>
      <c r="AB75" s="1512">
        <f t="shared" si="42"/>
        <v>0</v>
      </c>
      <c r="AC75" s="1410">
        <f t="shared" si="43"/>
        <v>0</v>
      </c>
      <c r="AD75" s="1512">
        <f t="shared" si="44"/>
        <v>0</v>
      </c>
      <c r="AE75" s="1416">
        <v>0</v>
      </c>
      <c r="AF75" s="1512">
        <f t="shared" si="45"/>
        <v>0</v>
      </c>
      <c r="AG75" s="1416"/>
      <c r="AH75" s="1416">
        <f t="shared" si="46"/>
        <v>0</v>
      </c>
      <c r="AI75" s="1512">
        <f t="shared" si="47"/>
        <v>0</v>
      </c>
      <c r="AJ75" s="1506">
        <f t="shared" si="48"/>
        <v>0</v>
      </c>
      <c r="AK75" s="1506">
        <f t="shared" si="49"/>
        <v>0</v>
      </c>
    </row>
    <row r="76" spans="1:37" ht="16.2" customHeight="1" thickBot="1">
      <c r="A76" s="2221" t="s">
        <v>1045</v>
      </c>
      <c r="B76" s="2194"/>
      <c r="C76" s="470">
        <f>SUM(C7:C75)</f>
        <v>400</v>
      </c>
      <c r="D76" s="471">
        <f>+'Table 5C1A-Madison Prep'!D76</f>
        <v>4479.9292126977662</v>
      </c>
      <c r="E76" s="480">
        <f>SUM(E7:E75)</f>
        <v>1064972.9717969114</v>
      </c>
      <c r="F76" s="480">
        <f>+'Table 5C1A-Madison Prep'!F76</f>
        <v>704.64781030742063</v>
      </c>
      <c r="G76" s="480">
        <f t="shared" ref="G76:R76" si="50">SUM(G7:G75)</f>
        <v>339054.2209933445</v>
      </c>
      <c r="H76" s="1542">
        <f t="shared" si="50"/>
        <v>1404027.1927902559</v>
      </c>
      <c r="I76" s="640">
        <f t="shared" si="50"/>
        <v>0</v>
      </c>
      <c r="J76" s="640">
        <f t="shared" si="50"/>
        <v>0</v>
      </c>
      <c r="K76" s="616">
        <f t="shared" si="50"/>
        <v>0</v>
      </c>
      <c r="L76" s="1560">
        <f t="shared" si="50"/>
        <v>1404027.1927902559</v>
      </c>
      <c r="M76" s="481">
        <f t="shared" si="50"/>
        <v>-3510.0679819756401</v>
      </c>
      <c r="N76" s="1542">
        <f t="shared" si="50"/>
        <v>1400517.1248082803</v>
      </c>
      <c r="O76" s="471">
        <f t="shared" si="50"/>
        <v>0</v>
      </c>
      <c r="P76" s="1548">
        <f t="shared" si="50"/>
        <v>1400517.1248082803</v>
      </c>
      <c r="Q76" s="640"/>
      <c r="R76" s="640">
        <f t="shared" si="50"/>
        <v>1400517.1248082803</v>
      </c>
      <c r="S76" s="1548">
        <f>SUM(S7:S75)</f>
        <v>116709</v>
      </c>
      <c r="T76" s="1548">
        <f>SUM(T7:T75)</f>
        <v>1400517.1248082803</v>
      </c>
      <c r="U76" s="658">
        <f>'Table 5C1A-Madison Prep'!U76</f>
        <v>4663</v>
      </c>
      <c r="V76" s="1518">
        <f t="shared" ref="V76:AK76" si="51">SUM(V7:V75)</f>
        <v>3936448</v>
      </c>
      <c r="W76" s="646">
        <f t="shared" si="51"/>
        <v>0</v>
      </c>
      <c r="X76" s="647">
        <f t="shared" si="51"/>
        <v>0</v>
      </c>
      <c r="Y76" s="646">
        <f t="shared" si="51"/>
        <v>0</v>
      </c>
      <c r="Z76" s="647">
        <f t="shared" si="51"/>
        <v>0</v>
      </c>
      <c r="AA76" s="633">
        <f t="shared" si="51"/>
        <v>0</v>
      </c>
      <c r="AB76" s="1520">
        <f t="shared" si="51"/>
        <v>3936448</v>
      </c>
      <c r="AC76" s="482">
        <f t="shared" si="51"/>
        <v>-9841.119999999999</v>
      </c>
      <c r="AD76" s="1518">
        <f t="shared" si="51"/>
        <v>3926606.8800000004</v>
      </c>
      <c r="AE76" s="660">
        <f t="shared" si="51"/>
        <v>0</v>
      </c>
      <c r="AF76" s="1518">
        <f t="shared" si="51"/>
        <v>3926606.8800000004</v>
      </c>
      <c r="AG76" s="647">
        <f t="shared" si="51"/>
        <v>0</v>
      </c>
      <c r="AH76" s="647">
        <f t="shared" si="51"/>
        <v>3926606.8800000004</v>
      </c>
      <c r="AI76" s="1518">
        <f t="shared" si="51"/>
        <v>327217</v>
      </c>
      <c r="AJ76" s="1532">
        <f t="shared" si="51"/>
        <v>5327124.0048082806</v>
      </c>
      <c r="AK76" s="1532">
        <f t="shared" si="51"/>
        <v>443926</v>
      </c>
    </row>
    <row r="77" spans="1:37" ht="16.2" customHeight="1" thickTop="1">
      <c r="A77" s="2330" t="s">
        <v>1039</v>
      </c>
      <c r="B77" s="2338"/>
      <c r="C77" s="1425"/>
      <c r="D77" s="1198"/>
      <c r="E77" s="1198"/>
      <c r="F77" s="1198"/>
      <c r="G77" s="1198"/>
      <c r="H77" s="1198"/>
      <c r="I77" s="1200"/>
      <c r="J77" s="1200"/>
      <c r="K77" s="1200"/>
      <c r="L77" s="1198"/>
      <c r="M77" s="1200"/>
      <c r="N77" s="1198"/>
      <c r="O77" s="1198"/>
      <c r="P77" s="1398">
        <f>'Table 4 Level 4'!$E108</f>
        <v>0</v>
      </c>
      <c r="Q77" s="1200"/>
      <c r="R77" s="1200">
        <f t="shared" ref="R77" si="52">+P77-Q77</f>
        <v>0</v>
      </c>
      <c r="S77" s="1398">
        <f t="shared" ref="S77" si="53">ROUND(R77/12,0)</f>
        <v>0</v>
      </c>
      <c r="T77" s="1398">
        <f>'Table 4 Level 4'!$E108</f>
        <v>0</v>
      </c>
      <c r="U77" s="1389"/>
      <c r="V77" s="1392"/>
      <c r="W77" s="1391"/>
      <c r="X77" s="1392"/>
      <c r="Y77" s="1391"/>
      <c r="Z77" s="1392"/>
      <c r="AA77" s="1392"/>
      <c r="AB77" s="1395"/>
      <c r="AC77" s="1392"/>
      <c r="AD77" s="1395"/>
      <c r="AE77" s="1395"/>
      <c r="AF77" s="1395"/>
      <c r="AG77" s="1395"/>
      <c r="AH77" s="1395"/>
      <c r="AI77" s="1395"/>
      <c r="AJ77" s="1505">
        <f t="shared" ref="AJ77:AJ81" si="54">T77+AF77</f>
        <v>0</v>
      </c>
      <c r="AK77" s="1505">
        <f t="shared" ref="AK77:AK81" si="55">S77+AI77</f>
        <v>0</v>
      </c>
    </row>
    <row r="78" spans="1:37" ht="16.2" customHeight="1">
      <c r="A78" s="2332" t="s">
        <v>1040</v>
      </c>
      <c r="B78" s="2339"/>
      <c r="C78" s="1425"/>
      <c r="D78" s="1198"/>
      <c r="E78" s="1198"/>
      <c r="F78" s="1198"/>
      <c r="G78" s="1198"/>
      <c r="H78" s="1198"/>
      <c r="I78" s="1200"/>
      <c r="J78" s="1200"/>
      <c r="K78" s="1200"/>
      <c r="L78" s="1198"/>
      <c r="M78" s="1200"/>
      <c r="N78" s="1198"/>
      <c r="O78" s="1198"/>
      <c r="P78" s="1200">
        <v>0</v>
      </c>
      <c r="Q78" s="1200"/>
      <c r="R78" s="1200"/>
      <c r="S78" s="1200">
        <v>0</v>
      </c>
      <c r="T78" s="1398">
        <f>'Table 4 Level 4'!$J108</f>
        <v>0</v>
      </c>
      <c r="U78" s="1389"/>
      <c r="V78" s="1392"/>
      <c r="W78" s="1391"/>
      <c r="X78" s="1392"/>
      <c r="Y78" s="1391"/>
      <c r="Z78" s="1392"/>
      <c r="AA78" s="1392"/>
      <c r="AB78" s="1395"/>
      <c r="AC78" s="1392"/>
      <c r="AD78" s="1395"/>
      <c r="AE78" s="1395"/>
      <c r="AF78" s="1395"/>
      <c r="AG78" s="1395"/>
      <c r="AH78" s="1395"/>
      <c r="AI78" s="1395"/>
      <c r="AJ78" s="1505">
        <f t="shared" si="54"/>
        <v>0</v>
      </c>
      <c r="AK78" s="1395"/>
    </row>
    <row r="79" spans="1:37" ht="16.2" customHeight="1">
      <c r="A79" s="2332" t="s">
        <v>1041</v>
      </c>
      <c r="B79" s="2339"/>
      <c r="C79" s="1425"/>
      <c r="D79" s="1198"/>
      <c r="E79" s="1198"/>
      <c r="F79" s="1198"/>
      <c r="G79" s="1198"/>
      <c r="H79" s="1198"/>
      <c r="I79" s="1200"/>
      <c r="J79" s="1200"/>
      <c r="K79" s="1200"/>
      <c r="L79" s="1198"/>
      <c r="M79" s="1200"/>
      <c r="N79" s="1198"/>
      <c r="O79" s="1198"/>
      <c r="P79" s="1200">
        <v>0</v>
      </c>
      <c r="Q79" s="1200"/>
      <c r="R79" s="1200"/>
      <c r="S79" s="1200">
        <v>0</v>
      </c>
      <c r="T79" s="1398">
        <f>'Table 4 Level 4'!$K108</f>
        <v>0</v>
      </c>
      <c r="U79" s="1389"/>
      <c r="V79" s="1392"/>
      <c r="W79" s="1391"/>
      <c r="X79" s="1392"/>
      <c r="Y79" s="1391"/>
      <c r="Z79" s="1392"/>
      <c r="AA79" s="1392"/>
      <c r="AB79" s="1395"/>
      <c r="AC79" s="1392"/>
      <c r="AD79" s="1395"/>
      <c r="AE79" s="1395"/>
      <c r="AF79" s="1395"/>
      <c r="AG79" s="1395"/>
      <c r="AH79" s="1395"/>
      <c r="AI79" s="1395"/>
      <c r="AJ79" s="1505">
        <f t="shared" si="54"/>
        <v>0</v>
      </c>
      <c r="AK79" s="1395"/>
    </row>
    <row r="80" spans="1:37" ht="16.2" customHeight="1">
      <c r="A80" s="2332" t="s">
        <v>1042</v>
      </c>
      <c r="B80" s="2339"/>
      <c r="C80" s="1425"/>
      <c r="D80" s="1198"/>
      <c r="E80" s="1198"/>
      <c r="F80" s="1198"/>
      <c r="G80" s="1198"/>
      <c r="H80" s="1198"/>
      <c r="I80" s="1200"/>
      <c r="J80" s="1200"/>
      <c r="K80" s="1200"/>
      <c r="L80" s="1198"/>
      <c r="M80" s="1200"/>
      <c r="N80" s="1198"/>
      <c r="O80" s="1198"/>
      <c r="P80" s="1200">
        <v>0</v>
      </c>
      <c r="Q80" s="1200"/>
      <c r="R80" s="1200"/>
      <c r="S80" s="1200">
        <v>0</v>
      </c>
      <c r="T80" s="1398">
        <f>'Table 4 Level 4'!$L108</f>
        <v>0</v>
      </c>
      <c r="U80" s="1389"/>
      <c r="V80" s="1392"/>
      <c r="W80" s="1391"/>
      <c r="X80" s="1392"/>
      <c r="Y80" s="1391"/>
      <c r="Z80" s="1392"/>
      <c r="AA80" s="1392"/>
      <c r="AB80" s="1395"/>
      <c r="AC80" s="1392"/>
      <c r="AD80" s="1395"/>
      <c r="AE80" s="1395"/>
      <c r="AF80" s="1395"/>
      <c r="AG80" s="1395"/>
      <c r="AH80" s="1395"/>
      <c r="AI80" s="1395"/>
      <c r="AJ80" s="1505">
        <f t="shared" si="54"/>
        <v>0</v>
      </c>
      <c r="AK80" s="1395"/>
    </row>
    <row r="81" spans="1:37" ht="16.2" customHeight="1">
      <c r="A81" s="2340" t="s">
        <v>1043</v>
      </c>
      <c r="B81" s="2341"/>
      <c r="C81" s="1417"/>
      <c r="D81" s="1193"/>
      <c r="E81" s="1193"/>
      <c r="F81" s="1193"/>
      <c r="G81" s="1193"/>
      <c r="H81" s="1193"/>
      <c r="I81" s="1195"/>
      <c r="J81" s="1195"/>
      <c r="K81" s="1195"/>
      <c r="L81" s="1193"/>
      <c r="M81" s="1195"/>
      <c r="N81" s="1193"/>
      <c r="O81" s="1193"/>
      <c r="P81" s="1547">
        <f>'Table 4 Level 4'!$N108</f>
        <v>0</v>
      </c>
      <c r="Q81" s="1195"/>
      <c r="R81" s="1195">
        <f t="shared" ref="R81" si="56">+P81-Q81</f>
        <v>0</v>
      </c>
      <c r="S81" s="1547">
        <f t="shared" ref="S81" si="57">ROUND(R81/12,0)</f>
        <v>0</v>
      </c>
      <c r="T81" s="1547">
        <f>'Table 4 Level 4'!$N108</f>
        <v>0</v>
      </c>
      <c r="U81" s="1418"/>
      <c r="V81" s="1408"/>
      <c r="W81" s="1407"/>
      <c r="X81" s="1408"/>
      <c r="Y81" s="1407"/>
      <c r="Z81" s="1408"/>
      <c r="AA81" s="1408"/>
      <c r="AB81" s="1416"/>
      <c r="AC81" s="1408"/>
      <c r="AD81" s="1416"/>
      <c r="AE81" s="1416"/>
      <c r="AF81" s="1416"/>
      <c r="AG81" s="1416"/>
      <c r="AH81" s="1416"/>
      <c r="AI81" s="1416"/>
      <c r="AJ81" s="1506">
        <f t="shared" si="54"/>
        <v>0</v>
      </c>
      <c r="AK81" s="1506">
        <f t="shared" si="55"/>
        <v>0</v>
      </c>
    </row>
    <row r="82" spans="1:37" ht="16.2" customHeight="1" thickBot="1">
      <c r="A82" s="2221" t="s">
        <v>1044</v>
      </c>
      <c r="B82" s="2194"/>
      <c r="C82" s="1052">
        <f>SUM(C76:C81)</f>
        <v>400</v>
      </c>
      <c r="D82" s="1046">
        <f t="shared" ref="D82:AK82" si="58">SUM(D76:D81)</f>
        <v>4479.9292126977662</v>
      </c>
      <c r="E82" s="1046">
        <f t="shared" si="58"/>
        <v>1064972.9717969114</v>
      </c>
      <c r="F82" s="1046">
        <f t="shared" si="58"/>
        <v>704.64781030742063</v>
      </c>
      <c r="G82" s="1046">
        <f t="shared" si="58"/>
        <v>339054.2209933445</v>
      </c>
      <c r="H82" s="1046">
        <f t="shared" si="58"/>
        <v>1404027.1927902559</v>
      </c>
      <c r="I82" s="1053">
        <f t="shared" si="58"/>
        <v>0</v>
      </c>
      <c r="J82" s="1053">
        <f t="shared" si="58"/>
        <v>0</v>
      </c>
      <c r="K82" s="1053">
        <f t="shared" si="58"/>
        <v>0</v>
      </c>
      <c r="L82" s="1046">
        <f t="shared" si="58"/>
        <v>1404027.1927902559</v>
      </c>
      <c r="M82" s="1053">
        <f t="shared" si="58"/>
        <v>-3510.0679819756401</v>
      </c>
      <c r="N82" s="1046">
        <f t="shared" si="58"/>
        <v>1400517.1248082803</v>
      </c>
      <c r="O82" s="1046">
        <f t="shared" si="58"/>
        <v>0</v>
      </c>
      <c r="P82" s="1549">
        <f t="shared" si="58"/>
        <v>1400517.1248082803</v>
      </c>
      <c r="Q82" s="1053">
        <f t="shared" si="58"/>
        <v>0</v>
      </c>
      <c r="R82" s="1053">
        <f t="shared" si="58"/>
        <v>1400517.1248082803</v>
      </c>
      <c r="S82" s="1549">
        <f t="shared" si="58"/>
        <v>116709</v>
      </c>
      <c r="T82" s="1549">
        <f t="shared" si="58"/>
        <v>1400517.1248082803</v>
      </c>
      <c r="U82" s="1058">
        <f t="shared" si="58"/>
        <v>4663</v>
      </c>
      <c r="V82" s="1055">
        <f t="shared" si="58"/>
        <v>3936448</v>
      </c>
      <c r="W82" s="1057">
        <f t="shared" si="58"/>
        <v>0</v>
      </c>
      <c r="X82" s="1055">
        <f t="shared" si="58"/>
        <v>0</v>
      </c>
      <c r="Y82" s="1057">
        <f t="shared" si="58"/>
        <v>0</v>
      </c>
      <c r="Z82" s="1055">
        <f t="shared" si="58"/>
        <v>0</v>
      </c>
      <c r="AA82" s="1055">
        <f t="shared" si="58"/>
        <v>0</v>
      </c>
      <c r="AB82" s="1055">
        <f t="shared" si="58"/>
        <v>3936448</v>
      </c>
      <c r="AC82" s="1055">
        <f t="shared" si="58"/>
        <v>-9841.119999999999</v>
      </c>
      <c r="AD82" s="1055">
        <f t="shared" si="58"/>
        <v>3926606.8800000004</v>
      </c>
      <c r="AE82" s="1055">
        <f t="shared" si="58"/>
        <v>0</v>
      </c>
      <c r="AF82" s="1055">
        <f t="shared" si="58"/>
        <v>3926606.8800000004</v>
      </c>
      <c r="AG82" s="1055">
        <f t="shared" si="58"/>
        <v>0</v>
      </c>
      <c r="AH82" s="1055">
        <f t="shared" si="58"/>
        <v>3926606.8800000004</v>
      </c>
      <c r="AI82" s="1055">
        <f t="shared" si="58"/>
        <v>327217</v>
      </c>
      <c r="AJ82" s="1504">
        <f t="shared" si="58"/>
        <v>5327124.0048082806</v>
      </c>
      <c r="AK82" s="1504">
        <f t="shared" si="58"/>
        <v>443926</v>
      </c>
    </row>
    <row r="83" spans="1:37" ht="16.2" customHeight="1" thickTop="1"/>
    <row r="84" spans="1:37" ht="16.2" customHeight="1"/>
    <row r="85" spans="1:37" ht="16.2" customHeight="1"/>
    <row r="86" spans="1:37" ht="16.2" customHeight="1"/>
  </sheetData>
  <mergeCells count="45">
    <mergeCell ref="A1:B4"/>
    <mergeCell ref="O3:O4"/>
    <mergeCell ref="P3:P4"/>
    <mergeCell ref="S3:S4"/>
    <mergeCell ref="AE3:AE4"/>
    <mergeCell ref="W3:W4"/>
    <mergeCell ref="X3:X4"/>
    <mergeCell ref="Y3:Y4"/>
    <mergeCell ref="Z3:Z4"/>
    <mergeCell ref="AB3:AB4"/>
    <mergeCell ref="AD3:AD4"/>
    <mergeCell ref="T3:T4"/>
    <mergeCell ref="C1:L1"/>
    <mergeCell ref="U1:AB1"/>
    <mergeCell ref="C2:H2"/>
    <mergeCell ref="U2:V2"/>
    <mergeCell ref="AJ1:AJ4"/>
    <mergeCell ref="AG3:AG4"/>
    <mergeCell ref="AH3:AH4"/>
    <mergeCell ref="AI3:AI4"/>
    <mergeCell ref="AF3:AF4"/>
    <mergeCell ref="AC1:AI1"/>
    <mergeCell ref="AK1:AK4"/>
    <mergeCell ref="I2:K2"/>
    <mergeCell ref="W2:AA2"/>
    <mergeCell ref="C3:C4"/>
    <mergeCell ref="D3:D4"/>
    <mergeCell ref="E3:E4"/>
    <mergeCell ref="U3:U4"/>
    <mergeCell ref="F3:F4"/>
    <mergeCell ref="G3:G4"/>
    <mergeCell ref="H3:H4"/>
    <mergeCell ref="I3:I4"/>
    <mergeCell ref="J3:J4"/>
    <mergeCell ref="K3:K4"/>
    <mergeCell ref="L3:L4"/>
    <mergeCell ref="N3:N4"/>
    <mergeCell ref="M1:T1"/>
    <mergeCell ref="A82:B82"/>
    <mergeCell ref="A76:B76"/>
    <mergeCell ref="A77:B77"/>
    <mergeCell ref="A78:B78"/>
    <mergeCell ref="A79:B79"/>
    <mergeCell ref="A80:B80"/>
    <mergeCell ref="A81:B81"/>
  </mergeCells>
  <printOptions horizontalCentered="1"/>
  <pageMargins left="0.32" right="0.32" top="0.75" bottom="0.75" header="0.3" footer="0.3"/>
  <pageSetup paperSize="5" scale="60" firstPageNumber="56" orientation="portrait" r:id="rId1"/>
  <headerFooter>
    <oddHeader>&amp;L&amp;"Arial,Bold"&amp;20&amp;K000000Table 5C1-R: FY2014-15 MFP Budget Letter 
Iberville Charter Academy</oddHeader>
    <oddFooter>&amp;R&amp;P</oddFooter>
  </headerFooter>
  <colBreaks count="3" manualBreakCount="3">
    <brk id="12" max="1048575" man="1"/>
    <brk id="20" max="1048575" man="1"/>
    <brk id="28" max="81"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6"/>
  <sheetViews>
    <sheetView view="pageBreakPreview" zoomScale="80" zoomScaleNormal="100" zoomScaleSheetLayoutView="80" workbookViewId="0">
      <pane xSplit="2" ySplit="6" topLeftCell="C7" activePane="bottomRight" state="frozen"/>
      <selection sqref="A1:H1"/>
      <selection pane="topRight" sqref="A1:H1"/>
      <selection pane="bottomLeft" sqref="A1:H1"/>
      <selection pane="bottomRight" sqref="A1:H1"/>
    </sheetView>
  </sheetViews>
  <sheetFormatPr defaultColWidth="8.88671875" defaultRowHeight="13.2"/>
  <cols>
    <col min="1" max="1" width="5" style="608" customWidth="1"/>
    <col min="2" max="2" width="37.6640625" style="608" customWidth="1"/>
    <col min="3" max="3" width="12.109375" style="608" customWidth="1"/>
    <col min="4" max="4" width="13.6640625" style="608" customWidth="1"/>
    <col min="5" max="5" width="9.88671875" style="608" customWidth="1"/>
    <col min="6" max="7" width="12.33203125" style="608" customWidth="1"/>
    <col min="8" max="8" width="11.5546875" style="608" customWidth="1"/>
    <col min="9" max="12" width="12" style="608" customWidth="1"/>
    <col min="13" max="13" width="10.88671875" style="608" bestFit="1" customWidth="1"/>
    <col min="14" max="14" width="13.109375" style="608" customWidth="1"/>
    <col min="15" max="15" width="13.44140625" style="608" bestFit="1" customWidth="1"/>
    <col min="16" max="16" width="14.6640625" style="608" customWidth="1"/>
    <col min="17" max="18" width="14" style="608" customWidth="1"/>
    <col min="19" max="19" width="10.6640625" style="608" customWidth="1"/>
    <col min="20" max="20" width="14.88671875" style="608" customWidth="1"/>
    <col min="21" max="22" width="14.5546875" style="608" customWidth="1"/>
    <col min="23" max="27" width="11.6640625" style="608" customWidth="1"/>
    <col min="28" max="28" width="14.44140625" style="608" bestFit="1" customWidth="1"/>
    <col min="29" max="29" width="10.5546875" style="608" customWidth="1"/>
    <col min="30" max="30" width="14.44140625" style="608" bestFit="1" customWidth="1"/>
    <col min="31" max="31" width="11.88671875" style="608" bestFit="1" customWidth="1"/>
    <col min="32" max="32" width="14.44140625" style="608" bestFit="1" customWidth="1"/>
    <col min="33" max="33" width="9.5546875" style="608" bestFit="1" customWidth="1"/>
    <col min="34" max="34" width="9.33203125" style="608" bestFit="1" customWidth="1"/>
    <col min="35" max="35" width="14.44140625" style="608" bestFit="1" customWidth="1"/>
    <col min="36" max="36" width="14.33203125" style="608" customWidth="1"/>
    <col min="37" max="37" width="14.44140625" style="608" bestFit="1" customWidth="1"/>
    <col min="38" max="16384" width="8.88671875" style="608"/>
  </cols>
  <sheetData>
    <row r="1" spans="1:37" ht="21.6" customHeight="1">
      <c r="A1" s="2367" t="s">
        <v>1000</v>
      </c>
      <c r="B1" s="2368"/>
      <c r="C1" s="2319" t="s">
        <v>1089</v>
      </c>
      <c r="D1" s="2320"/>
      <c r="E1" s="2320"/>
      <c r="F1" s="2320"/>
      <c r="G1" s="2320"/>
      <c r="H1" s="2320"/>
      <c r="I1" s="2320"/>
      <c r="J1" s="2320"/>
      <c r="K1" s="2320"/>
      <c r="L1" s="2321"/>
      <c r="M1" s="2349" t="s">
        <v>1089</v>
      </c>
      <c r="N1" s="2350"/>
      <c r="O1" s="2350"/>
      <c r="P1" s="2350"/>
      <c r="Q1" s="2350"/>
      <c r="R1" s="2350"/>
      <c r="S1" s="2350"/>
      <c r="T1" s="2351"/>
      <c r="U1" s="2268" t="s">
        <v>1247</v>
      </c>
      <c r="V1" s="2266"/>
      <c r="W1" s="2266"/>
      <c r="X1" s="2266"/>
      <c r="Y1" s="2266"/>
      <c r="Z1" s="2266"/>
      <c r="AA1" s="2266"/>
      <c r="AB1" s="2267"/>
      <c r="AC1" s="2268" t="s">
        <v>1247</v>
      </c>
      <c r="AD1" s="2266"/>
      <c r="AE1" s="2266"/>
      <c r="AF1" s="2266"/>
      <c r="AG1" s="2266"/>
      <c r="AH1" s="2266"/>
      <c r="AI1" s="2267"/>
      <c r="AJ1" s="2302" t="s">
        <v>1272</v>
      </c>
      <c r="AK1" s="2302" t="s">
        <v>1273</v>
      </c>
    </row>
    <row r="2" spans="1:37" ht="24.6" customHeight="1">
      <c r="A2" s="2369"/>
      <c r="B2" s="2370"/>
      <c r="C2" s="2379" t="s">
        <v>1284</v>
      </c>
      <c r="D2" s="2380"/>
      <c r="E2" s="2380"/>
      <c r="F2" s="2380"/>
      <c r="G2" s="2380"/>
      <c r="H2" s="2381"/>
      <c r="I2" s="2334" t="s">
        <v>531</v>
      </c>
      <c r="J2" s="2335"/>
      <c r="K2" s="2336"/>
      <c r="L2" s="1567"/>
      <c r="M2" s="1565"/>
      <c r="N2" s="1566"/>
      <c r="O2" s="1566"/>
      <c r="P2" s="1566"/>
      <c r="Q2" s="1566"/>
      <c r="R2" s="1566"/>
      <c r="S2" s="1566"/>
      <c r="T2" s="1567"/>
      <c r="U2" s="2377" t="s">
        <v>1284</v>
      </c>
      <c r="V2" s="2378"/>
      <c r="W2" s="2362" t="s">
        <v>531</v>
      </c>
      <c r="X2" s="2363"/>
      <c r="Y2" s="2363"/>
      <c r="Z2" s="2363"/>
      <c r="AA2" s="2364"/>
      <c r="AB2" s="1527"/>
      <c r="AC2" s="1525"/>
      <c r="AD2" s="1526"/>
      <c r="AE2" s="1526"/>
      <c r="AF2" s="1526"/>
      <c r="AG2" s="1526"/>
      <c r="AH2" s="1526"/>
      <c r="AI2" s="1527"/>
      <c r="AJ2" s="2303"/>
      <c r="AK2" s="2303"/>
    </row>
    <row r="3" spans="1:37" ht="148.94999999999999" customHeight="1">
      <c r="A3" s="2371"/>
      <c r="B3" s="2370"/>
      <c r="C3" s="2382" t="s">
        <v>1286</v>
      </c>
      <c r="D3" s="2318" t="s">
        <v>1110</v>
      </c>
      <c r="E3" s="2318" t="s">
        <v>384</v>
      </c>
      <c r="F3" s="2306" t="s">
        <v>546</v>
      </c>
      <c r="G3" s="2306" t="s">
        <v>330</v>
      </c>
      <c r="H3" s="2306" t="s">
        <v>547</v>
      </c>
      <c r="I3" s="2299" t="s">
        <v>770</v>
      </c>
      <c r="J3" s="2299" t="s">
        <v>769</v>
      </c>
      <c r="K3" s="2299" t="s">
        <v>538</v>
      </c>
      <c r="L3" s="2300" t="s">
        <v>548</v>
      </c>
      <c r="M3" s="1496" t="s">
        <v>333</v>
      </c>
      <c r="N3" s="2306" t="s">
        <v>545</v>
      </c>
      <c r="O3" s="2307" t="s">
        <v>1036</v>
      </c>
      <c r="P3" s="2306" t="s">
        <v>1056</v>
      </c>
      <c r="Q3" s="1537" t="s">
        <v>760</v>
      </c>
      <c r="R3" s="1537" t="s">
        <v>761</v>
      </c>
      <c r="S3" s="2308" t="s">
        <v>544</v>
      </c>
      <c r="T3" s="2308" t="s">
        <v>1057</v>
      </c>
      <c r="U3" s="2309" t="s">
        <v>1267</v>
      </c>
      <c r="V3" s="1507" t="s">
        <v>1268</v>
      </c>
      <c r="W3" s="2312" t="s">
        <v>1253</v>
      </c>
      <c r="X3" s="2312" t="s">
        <v>1251</v>
      </c>
      <c r="Y3" s="2312" t="s">
        <v>1254</v>
      </c>
      <c r="Z3" s="2312" t="s">
        <v>1252</v>
      </c>
      <c r="AA3" s="1498" t="s">
        <v>551</v>
      </c>
      <c r="AB3" s="2313" t="s">
        <v>1269</v>
      </c>
      <c r="AC3" s="1507" t="s">
        <v>1094</v>
      </c>
      <c r="AD3" s="2309" t="s">
        <v>1270</v>
      </c>
      <c r="AE3" s="2307" t="s">
        <v>1036</v>
      </c>
      <c r="AF3" s="2309" t="s">
        <v>1271</v>
      </c>
      <c r="AG3" s="2322" t="s">
        <v>981</v>
      </c>
      <c r="AH3" s="2322" t="s">
        <v>761</v>
      </c>
      <c r="AI3" s="2322" t="s">
        <v>1242</v>
      </c>
      <c r="AJ3" s="2304"/>
      <c r="AK3" s="2304"/>
    </row>
    <row r="4" spans="1:37" ht="19.95" customHeight="1">
      <c r="A4" s="2372"/>
      <c r="B4" s="2373"/>
      <c r="C4" s="2376"/>
      <c r="D4" s="2318"/>
      <c r="E4" s="2318"/>
      <c r="F4" s="2301"/>
      <c r="G4" s="2301"/>
      <c r="H4" s="2301"/>
      <c r="I4" s="2251"/>
      <c r="J4" s="2251"/>
      <c r="K4" s="2251"/>
      <c r="L4" s="2301"/>
      <c r="M4" s="1568">
        <v>2.5000000000000001E-3</v>
      </c>
      <c r="N4" s="2301"/>
      <c r="O4" s="2251"/>
      <c r="P4" s="2301"/>
      <c r="Q4" s="1497"/>
      <c r="R4" s="1497"/>
      <c r="S4" s="2301"/>
      <c r="T4" s="2301"/>
      <c r="U4" s="2280"/>
      <c r="V4" s="1508"/>
      <c r="W4" s="2251"/>
      <c r="X4" s="2251"/>
      <c r="Y4" s="2251"/>
      <c r="Z4" s="2251"/>
      <c r="AA4" s="1494"/>
      <c r="AB4" s="2280" t="s">
        <v>537</v>
      </c>
      <c r="AC4" s="1570">
        <v>2.5000000000000001E-3</v>
      </c>
      <c r="AD4" s="2280"/>
      <c r="AE4" s="2251"/>
      <c r="AF4" s="2280"/>
      <c r="AG4" s="2323"/>
      <c r="AH4" s="2323"/>
      <c r="AI4" s="2323"/>
      <c r="AJ4" s="2305"/>
      <c r="AK4" s="2305"/>
    </row>
    <row r="5" spans="1:37" ht="14.25" customHeight="1">
      <c r="A5" s="463"/>
      <c r="B5" s="464"/>
      <c r="C5" s="465">
        <v>1</v>
      </c>
      <c r="D5" s="465">
        <f t="shared" ref="D5" si="0">C5+1</f>
        <v>2</v>
      </c>
      <c r="E5" s="465">
        <f>D5+1</f>
        <v>3</v>
      </c>
      <c r="F5" s="465">
        <f t="shared" ref="F5:AK5" si="1">E5+1</f>
        <v>4</v>
      </c>
      <c r="G5" s="465">
        <f t="shared" si="1"/>
        <v>5</v>
      </c>
      <c r="H5" s="465">
        <f t="shared" si="1"/>
        <v>6</v>
      </c>
      <c r="I5" s="465">
        <f t="shared" si="1"/>
        <v>7</v>
      </c>
      <c r="J5" s="465">
        <f t="shared" si="1"/>
        <v>8</v>
      </c>
      <c r="K5" s="465">
        <f t="shared" si="1"/>
        <v>9</v>
      </c>
      <c r="L5" s="465">
        <f t="shared" si="1"/>
        <v>10</v>
      </c>
      <c r="M5" s="465">
        <f t="shared" si="1"/>
        <v>11</v>
      </c>
      <c r="N5" s="465">
        <f t="shared" si="1"/>
        <v>12</v>
      </c>
      <c r="O5" s="465">
        <f t="shared" si="1"/>
        <v>13</v>
      </c>
      <c r="P5" s="465">
        <f t="shared" si="1"/>
        <v>14</v>
      </c>
      <c r="Q5" s="465">
        <f t="shared" si="1"/>
        <v>15</v>
      </c>
      <c r="R5" s="465">
        <f t="shared" si="1"/>
        <v>16</v>
      </c>
      <c r="S5" s="465">
        <f t="shared" si="1"/>
        <v>17</v>
      </c>
      <c r="T5" s="465">
        <f t="shared" ref="T5" si="2">S5+1</f>
        <v>18</v>
      </c>
      <c r="U5" s="465">
        <f t="shared" ref="U5" si="3">T5+1</f>
        <v>19</v>
      </c>
      <c r="V5" s="465">
        <f t="shared" si="1"/>
        <v>20</v>
      </c>
      <c r="W5" s="465">
        <f t="shared" si="1"/>
        <v>21</v>
      </c>
      <c r="X5" s="465">
        <f t="shared" si="1"/>
        <v>22</v>
      </c>
      <c r="Y5" s="465">
        <f t="shared" si="1"/>
        <v>23</v>
      </c>
      <c r="Z5" s="465">
        <f t="shared" si="1"/>
        <v>24</v>
      </c>
      <c r="AA5" s="465">
        <f t="shared" si="1"/>
        <v>25</v>
      </c>
      <c r="AB5" s="465">
        <f t="shared" si="1"/>
        <v>26</v>
      </c>
      <c r="AC5" s="465">
        <f t="shared" si="1"/>
        <v>27</v>
      </c>
      <c r="AD5" s="465">
        <f t="shared" si="1"/>
        <v>28</v>
      </c>
      <c r="AE5" s="465">
        <f t="shared" si="1"/>
        <v>29</v>
      </c>
      <c r="AF5" s="465">
        <f t="shared" si="1"/>
        <v>30</v>
      </c>
      <c r="AG5" s="465">
        <f t="shared" si="1"/>
        <v>31</v>
      </c>
      <c r="AH5" s="465">
        <f t="shared" si="1"/>
        <v>32</v>
      </c>
      <c r="AI5" s="465">
        <f t="shared" si="1"/>
        <v>33</v>
      </c>
      <c r="AJ5" s="465">
        <f t="shared" si="1"/>
        <v>34</v>
      </c>
      <c r="AK5" s="465">
        <f t="shared" si="1"/>
        <v>35</v>
      </c>
    </row>
    <row r="6" spans="1:37" ht="27" hidden="1" customHeight="1">
      <c r="A6" s="472"/>
      <c r="B6" s="473"/>
      <c r="C6" s="473"/>
      <c r="D6" s="473"/>
      <c r="E6" s="473"/>
      <c r="F6" s="473"/>
      <c r="G6" s="473"/>
      <c r="H6" s="473"/>
      <c r="I6" s="615"/>
      <c r="J6" s="615"/>
      <c r="K6" s="615"/>
      <c r="L6" s="615"/>
      <c r="M6" s="473"/>
      <c r="N6" s="473"/>
      <c r="O6" s="473"/>
      <c r="P6" s="473"/>
      <c r="Q6" s="615"/>
      <c r="R6" s="615"/>
      <c r="S6" s="473"/>
      <c r="T6" s="473"/>
      <c r="U6" s="473"/>
      <c r="V6" s="473"/>
      <c r="W6" s="615"/>
      <c r="X6" s="615"/>
      <c r="Y6" s="615"/>
      <c r="Z6" s="615"/>
      <c r="AA6" s="615"/>
      <c r="AB6" s="615"/>
      <c r="AC6" s="473"/>
      <c r="AD6" s="473"/>
      <c r="AE6" s="473"/>
      <c r="AF6" s="473"/>
      <c r="AG6" s="615"/>
      <c r="AH6" s="615"/>
      <c r="AI6" s="473"/>
      <c r="AJ6" s="473"/>
      <c r="AK6" s="473"/>
    </row>
    <row r="7" spans="1:37" ht="16.2" customHeight="1">
      <c r="A7" s="1183">
        <v>1</v>
      </c>
      <c r="B7" s="1184" t="s">
        <v>81</v>
      </c>
      <c r="C7" s="1185">
        <v>0</v>
      </c>
      <c r="D7" s="1186">
        <f>+'Table 5C1A-Madison Prep'!D7</f>
        <v>4765.8584413349836</v>
      </c>
      <c r="E7" s="1187">
        <f>C7*D7</f>
        <v>0</v>
      </c>
      <c r="F7" s="1187">
        <f>+'Table 5C1A-Madison Prep'!F7</f>
        <v>777.48</v>
      </c>
      <c r="G7" s="1187">
        <f>C7*F7</f>
        <v>0</v>
      </c>
      <c r="H7" s="1538">
        <f>E7+G7</f>
        <v>0</v>
      </c>
      <c r="I7" s="1188"/>
      <c r="J7" s="1188"/>
      <c r="K7" s="1189">
        <f>+I7+J7</f>
        <v>0</v>
      </c>
      <c r="L7" s="1538">
        <f>+H7+K7</f>
        <v>0</v>
      </c>
      <c r="M7" s="1372">
        <f t="shared" ref="M7:M70" si="4">-(0.25%*L7)</f>
        <v>0</v>
      </c>
      <c r="N7" s="1538">
        <f>SUM(L7:M7)</f>
        <v>0</v>
      </c>
      <c r="O7" s="1186">
        <v>0</v>
      </c>
      <c r="P7" s="1544">
        <f>SUM(N7:O7)</f>
        <v>0</v>
      </c>
      <c r="Q7" s="1188"/>
      <c r="R7" s="1188">
        <f>+P7-Q7</f>
        <v>0</v>
      </c>
      <c r="S7" s="1544">
        <f>ROUND(R7/12,0)</f>
        <v>0</v>
      </c>
      <c r="T7" s="1544">
        <f>+P7</f>
        <v>0</v>
      </c>
      <c r="U7" s="1373">
        <f>'Table 5C1A-Madison Prep'!U7</f>
        <v>2409</v>
      </c>
      <c r="V7" s="1514">
        <f>C7*U7</f>
        <v>0</v>
      </c>
      <c r="W7" s="1375"/>
      <c r="X7" s="1376">
        <f>+U7*W7</f>
        <v>0</v>
      </c>
      <c r="Y7" s="1375"/>
      <c r="Z7" s="1376">
        <f>+U7*Y7*0.5</f>
        <v>0</v>
      </c>
      <c r="AA7" s="1374">
        <f>+X7+Z7</f>
        <v>0</v>
      </c>
      <c r="AB7" s="1509">
        <f>+V7+AA7</f>
        <v>0</v>
      </c>
      <c r="AC7" s="1378">
        <f>-(0.25%*AB7)</f>
        <v>0</v>
      </c>
      <c r="AD7" s="1509">
        <f>SUM(AB7:AC7)</f>
        <v>0</v>
      </c>
      <c r="AE7" s="1379">
        <v>0</v>
      </c>
      <c r="AF7" s="1509">
        <f>SUM(AD7:AE7)</f>
        <v>0</v>
      </c>
      <c r="AG7" s="1379"/>
      <c r="AH7" s="1379">
        <f>+AF7-AG7</f>
        <v>0</v>
      </c>
      <c r="AI7" s="1509">
        <f>ROUND(AH7/12,0)</f>
        <v>0</v>
      </c>
      <c r="AJ7" s="1530">
        <f>T7+AF7</f>
        <v>0</v>
      </c>
      <c r="AK7" s="1534">
        <f>S7+AI7</f>
        <v>0</v>
      </c>
    </row>
    <row r="8" spans="1:37" ht="16.2" customHeight="1">
      <c r="A8" s="1176">
        <v>2</v>
      </c>
      <c r="B8" s="1177" t="s">
        <v>82</v>
      </c>
      <c r="C8" s="1178">
        <v>0</v>
      </c>
      <c r="D8" s="1179">
        <f>+'Table 5C1A-Madison Prep'!D8</f>
        <v>6316.6266417386641</v>
      </c>
      <c r="E8" s="1180">
        <f t="shared" ref="E8:E71" si="5">C8*D8</f>
        <v>0</v>
      </c>
      <c r="F8" s="1180">
        <f>+'Table 5C1A-Madison Prep'!F8</f>
        <v>842.32</v>
      </c>
      <c r="G8" s="1180">
        <f t="shared" ref="G8:G71" si="6">C8*F8</f>
        <v>0</v>
      </c>
      <c r="H8" s="1539">
        <f t="shared" ref="H8:H71" si="7">E8+G8</f>
        <v>0</v>
      </c>
      <c r="I8" s="1181"/>
      <c r="J8" s="1181"/>
      <c r="K8" s="1182">
        <f t="shared" ref="K8:K71" si="8">+I8+J8</f>
        <v>0</v>
      </c>
      <c r="L8" s="1539">
        <f t="shared" ref="L8:L71" si="9">+H8+K8</f>
        <v>0</v>
      </c>
      <c r="M8" s="1388">
        <f t="shared" si="4"/>
        <v>0</v>
      </c>
      <c r="N8" s="1539">
        <f t="shared" ref="N8:N71" si="10">SUM(L8:M8)</f>
        <v>0</v>
      </c>
      <c r="O8" s="1179">
        <v>0</v>
      </c>
      <c r="P8" s="1545">
        <f t="shared" ref="P8:P71" si="11">SUM(N8:O8)</f>
        <v>0</v>
      </c>
      <c r="Q8" s="1181"/>
      <c r="R8" s="1181">
        <f t="shared" ref="R8:R71" si="12">+P8-Q8</f>
        <v>0</v>
      </c>
      <c r="S8" s="1545">
        <f t="shared" ref="S8:S71" si="13">ROUND(R8/12,0)</f>
        <v>0</v>
      </c>
      <c r="T8" s="1545">
        <f t="shared" ref="T8:T71" si="14">+P8</f>
        <v>0</v>
      </c>
      <c r="U8" s="1389">
        <f>'Table 5C1A-Madison Prep'!U8</f>
        <v>2829</v>
      </c>
      <c r="V8" s="1515">
        <f t="shared" ref="V8:V71" si="15">C8*U8</f>
        <v>0</v>
      </c>
      <c r="W8" s="1391"/>
      <c r="X8" s="1392">
        <f t="shared" ref="X8:X71" si="16">+U8*W8</f>
        <v>0</v>
      </c>
      <c r="Y8" s="1391"/>
      <c r="Z8" s="1392">
        <f t="shared" ref="Z8:Z71" si="17">+U8*Y8*0.5</f>
        <v>0</v>
      </c>
      <c r="AA8" s="1390">
        <f t="shared" ref="AA8:AA71" si="18">+X8+Z8</f>
        <v>0</v>
      </c>
      <c r="AB8" s="1510">
        <f t="shared" ref="AB8:AB71" si="19">+V8+AA8</f>
        <v>0</v>
      </c>
      <c r="AC8" s="1394">
        <f t="shared" ref="AC8:AC71" si="20">-(0.25%*AB8)</f>
        <v>0</v>
      </c>
      <c r="AD8" s="1510">
        <f t="shared" ref="AD8:AD71" si="21">SUM(AB8:AC8)</f>
        <v>0</v>
      </c>
      <c r="AE8" s="1395">
        <v>0</v>
      </c>
      <c r="AF8" s="1510">
        <f t="shared" ref="AF8:AF71" si="22">SUM(AD8:AE8)</f>
        <v>0</v>
      </c>
      <c r="AG8" s="1395"/>
      <c r="AH8" s="1395">
        <f t="shared" ref="AH8:AH71" si="23">+AF8-AG8</f>
        <v>0</v>
      </c>
      <c r="AI8" s="1510">
        <f t="shared" ref="AI8:AI71" si="24">ROUND(AH8/12,0)</f>
        <v>0</v>
      </c>
      <c r="AJ8" s="1505">
        <f t="shared" ref="AJ8:AJ71" si="25">T8+AF8</f>
        <v>0</v>
      </c>
      <c r="AK8" s="1535">
        <f t="shared" ref="AK8:AK71" si="26">S8+AI8</f>
        <v>0</v>
      </c>
    </row>
    <row r="9" spans="1:37" ht="16.2" customHeight="1">
      <c r="A9" s="1176">
        <v>3</v>
      </c>
      <c r="B9" s="1177" t="s">
        <v>83</v>
      </c>
      <c r="C9" s="1178">
        <v>0</v>
      </c>
      <c r="D9" s="1179">
        <f>+'Table 5C1A-Madison Prep'!D9</f>
        <v>4155.1862027396819</v>
      </c>
      <c r="E9" s="1180">
        <f t="shared" si="5"/>
        <v>0</v>
      </c>
      <c r="F9" s="1180">
        <f>+'Table 5C1A-Madison Prep'!F9</f>
        <v>596.84</v>
      </c>
      <c r="G9" s="1180">
        <f t="shared" si="6"/>
        <v>0</v>
      </c>
      <c r="H9" s="1539">
        <f t="shared" si="7"/>
        <v>0</v>
      </c>
      <c r="I9" s="1181"/>
      <c r="J9" s="1181"/>
      <c r="K9" s="1182">
        <f t="shared" si="8"/>
        <v>0</v>
      </c>
      <c r="L9" s="1539">
        <f t="shared" si="9"/>
        <v>0</v>
      </c>
      <c r="M9" s="1388">
        <f t="shared" si="4"/>
        <v>0</v>
      </c>
      <c r="N9" s="1539">
        <f t="shared" si="10"/>
        <v>0</v>
      </c>
      <c r="O9" s="1179">
        <v>0</v>
      </c>
      <c r="P9" s="1545">
        <f t="shared" si="11"/>
        <v>0</v>
      </c>
      <c r="Q9" s="1181"/>
      <c r="R9" s="1181">
        <f t="shared" si="12"/>
        <v>0</v>
      </c>
      <c r="S9" s="1545">
        <f t="shared" si="13"/>
        <v>0</v>
      </c>
      <c r="T9" s="1545">
        <f t="shared" si="14"/>
        <v>0</v>
      </c>
      <c r="U9" s="1389">
        <f>'Table 5C1A-Madison Prep'!U9</f>
        <v>5770</v>
      </c>
      <c r="V9" s="1515">
        <f t="shared" si="15"/>
        <v>0</v>
      </c>
      <c r="W9" s="1391"/>
      <c r="X9" s="1392">
        <f t="shared" si="16"/>
        <v>0</v>
      </c>
      <c r="Y9" s="1391"/>
      <c r="Z9" s="1392">
        <f t="shared" si="17"/>
        <v>0</v>
      </c>
      <c r="AA9" s="1390">
        <f t="shared" si="18"/>
        <v>0</v>
      </c>
      <c r="AB9" s="1510">
        <f t="shared" si="19"/>
        <v>0</v>
      </c>
      <c r="AC9" s="1394">
        <f t="shared" si="20"/>
        <v>0</v>
      </c>
      <c r="AD9" s="1510">
        <f t="shared" si="21"/>
        <v>0</v>
      </c>
      <c r="AE9" s="1395">
        <v>0</v>
      </c>
      <c r="AF9" s="1510">
        <f t="shared" si="22"/>
        <v>0</v>
      </c>
      <c r="AG9" s="1395"/>
      <c r="AH9" s="1395">
        <f t="shared" si="23"/>
        <v>0</v>
      </c>
      <c r="AI9" s="1510">
        <f t="shared" si="24"/>
        <v>0</v>
      </c>
      <c r="AJ9" s="1505">
        <f t="shared" si="25"/>
        <v>0</v>
      </c>
      <c r="AK9" s="1535">
        <f t="shared" si="26"/>
        <v>0</v>
      </c>
    </row>
    <row r="10" spans="1:37" ht="16.2" customHeight="1">
      <c r="A10" s="1176">
        <v>4</v>
      </c>
      <c r="B10" s="1177" t="s">
        <v>84</v>
      </c>
      <c r="C10" s="1178">
        <v>0</v>
      </c>
      <c r="D10" s="1179">
        <f>+'Table 5C1A-Madison Prep'!D10</f>
        <v>6119.0581446878568</v>
      </c>
      <c r="E10" s="1180">
        <f t="shared" si="5"/>
        <v>0</v>
      </c>
      <c r="F10" s="1180">
        <f>+'Table 5C1A-Madison Prep'!F10</f>
        <v>585.76</v>
      </c>
      <c r="G10" s="1180">
        <f t="shared" si="6"/>
        <v>0</v>
      </c>
      <c r="H10" s="1539">
        <f t="shared" si="7"/>
        <v>0</v>
      </c>
      <c r="I10" s="1181"/>
      <c r="J10" s="1181"/>
      <c r="K10" s="1182">
        <f t="shared" si="8"/>
        <v>0</v>
      </c>
      <c r="L10" s="1539">
        <f t="shared" si="9"/>
        <v>0</v>
      </c>
      <c r="M10" s="1388">
        <f t="shared" si="4"/>
        <v>0</v>
      </c>
      <c r="N10" s="1539">
        <f t="shared" si="10"/>
        <v>0</v>
      </c>
      <c r="O10" s="1179">
        <v>0</v>
      </c>
      <c r="P10" s="1545">
        <f t="shared" si="11"/>
        <v>0</v>
      </c>
      <c r="Q10" s="1181"/>
      <c r="R10" s="1181">
        <f t="shared" si="12"/>
        <v>0</v>
      </c>
      <c r="S10" s="1545">
        <f t="shared" si="13"/>
        <v>0</v>
      </c>
      <c r="T10" s="1545">
        <f t="shared" si="14"/>
        <v>0</v>
      </c>
      <c r="U10" s="1389">
        <f>'Table 5C1A-Madison Prep'!U10</f>
        <v>3287</v>
      </c>
      <c r="V10" s="1515">
        <f t="shared" si="15"/>
        <v>0</v>
      </c>
      <c r="W10" s="1391"/>
      <c r="X10" s="1392">
        <f t="shared" si="16"/>
        <v>0</v>
      </c>
      <c r="Y10" s="1391"/>
      <c r="Z10" s="1392">
        <f t="shared" si="17"/>
        <v>0</v>
      </c>
      <c r="AA10" s="1390">
        <f t="shared" si="18"/>
        <v>0</v>
      </c>
      <c r="AB10" s="1510">
        <f t="shared" si="19"/>
        <v>0</v>
      </c>
      <c r="AC10" s="1394">
        <f t="shared" si="20"/>
        <v>0</v>
      </c>
      <c r="AD10" s="1510">
        <f t="shared" si="21"/>
        <v>0</v>
      </c>
      <c r="AE10" s="1395">
        <v>0</v>
      </c>
      <c r="AF10" s="1510">
        <f t="shared" si="22"/>
        <v>0</v>
      </c>
      <c r="AG10" s="1395"/>
      <c r="AH10" s="1395">
        <f t="shared" si="23"/>
        <v>0</v>
      </c>
      <c r="AI10" s="1510">
        <f t="shared" si="24"/>
        <v>0</v>
      </c>
      <c r="AJ10" s="1505">
        <f t="shared" si="25"/>
        <v>0</v>
      </c>
      <c r="AK10" s="1535">
        <f t="shared" si="26"/>
        <v>0</v>
      </c>
    </row>
    <row r="11" spans="1:37" ht="16.2" customHeight="1">
      <c r="A11" s="1168">
        <v>5</v>
      </c>
      <c r="B11" s="1169" t="s">
        <v>85</v>
      </c>
      <c r="C11" s="1170">
        <v>0</v>
      </c>
      <c r="D11" s="1171">
        <f>+'Table 5C1A-Madison Prep'!D11</f>
        <v>5268.940566009911</v>
      </c>
      <c r="E11" s="1172">
        <f t="shared" si="5"/>
        <v>0</v>
      </c>
      <c r="F11" s="1172">
        <f>+'Table 5C1A-Madison Prep'!F11</f>
        <v>555.91</v>
      </c>
      <c r="G11" s="1172">
        <f t="shared" si="6"/>
        <v>0</v>
      </c>
      <c r="H11" s="1540">
        <f t="shared" si="7"/>
        <v>0</v>
      </c>
      <c r="I11" s="1173"/>
      <c r="J11" s="1173"/>
      <c r="K11" s="1174">
        <f t="shared" si="8"/>
        <v>0</v>
      </c>
      <c r="L11" s="1540">
        <f t="shared" si="9"/>
        <v>0</v>
      </c>
      <c r="M11" s="1399">
        <f t="shared" si="4"/>
        <v>0</v>
      </c>
      <c r="N11" s="1540">
        <f t="shared" si="10"/>
        <v>0</v>
      </c>
      <c r="O11" s="1171">
        <v>0</v>
      </c>
      <c r="P11" s="1546">
        <f t="shared" si="11"/>
        <v>0</v>
      </c>
      <c r="Q11" s="1173"/>
      <c r="R11" s="1173">
        <f t="shared" si="12"/>
        <v>0</v>
      </c>
      <c r="S11" s="1546">
        <f t="shared" si="13"/>
        <v>0</v>
      </c>
      <c r="T11" s="1546">
        <f t="shared" si="14"/>
        <v>0</v>
      </c>
      <c r="U11" s="1382">
        <f>'Table 5C1A-Madison Prep'!U11</f>
        <v>1921</v>
      </c>
      <c r="V11" s="1516">
        <f t="shared" si="15"/>
        <v>0</v>
      </c>
      <c r="W11" s="1400"/>
      <c r="X11" s="1383">
        <f t="shared" si="16"/>
        <v>0</v>
      </c>
      <c r="Y11" s="1400"/>
      <c r="Z11" s="1383">
        <f t="shared" si="17"/>
        <v>0</v>
      </c>
      <c r="AA11" s="1384">
        <f t="shared" si="18"/>
        <v>0</v>
      </c>
      <c r="AB11" s="1511">
        <f t="shared" si="19"/>
        <v>0</v>
      </c>
      <c r="AC11" s="1402">
        <f t="shared" si="20"/>
        <v>0</v>
      </c>
      <c r="AD11" s="1511">
        <f t="shared" si="21"/>
        <v>0</v>
      </c>
      <c r="AE11" s="1385">
        <v>0</v>
      </c>
      <c r="AF11" s="1511">
        <f t="shared" si="22"/>
        <v>0</v>
      </c>
      <c r="AG11" s="1385"/>
      <c r="AH11" s="1385">
        <f t="shared" si="23"/>
        <v>0</v>
      </c>
      <c r="AI11" s="1511">
        <f t="shared" si="24"/>
        <v>0</v>
      </c>
      <c r="AJ11" s="1531">
        <f t="shared" si="25"/>
        <v>0</v>
      </c>
      <c r="AK11" s="1536">
        <f t="shared" si="26"/>
        <v>0</v>
      </c>
    </row>
    <row r="12" spans="1:37" ht="16.2" customHeight="1">
      <c r="A12" s="1183">
        <v>6</v>
      </c>
      <c r="B12" s="1184" t="s">
        <v>86</v>
      </c>
      <c r="C12" s="1185">
        <v>0</v>
      </c>
      <c r="D12" s="1186">
        <f>+'Table 5C1A-Madison Prep'!D12</f>
        <v>5378.5086124955869</v>
      </c>
      <c r="E12" s="1187">
        <f t="shared" si="5"/>
        <v>0</v>
      </c>
      <c r="F12" s="1187">
        <f>+'Table 5C1A-Madison Prep'!F12</f>
        <v>545.4799999999999</v>
      </c>
      <c r="G12" s="1187">
        <f t="shared" si="6"/>
        <v>0</v>
      </c>
      <c r="H12" s="1538">
        <f t="shared" si="7"/>
        <v>0</v>
      </c>
      <c r="I12" s="1188"/>
      <c r="J12" s="1188"/>
      <c r="K12" s="1189">
        <f t="shared" si="8"/>
        <v>0</v>
      </c>
      <c r="L12" s="1538">
        <f t="shared" si="9"/>
        <v>0</v>
      </c>
      <c r="M12" s="1372">
        <f t="shared" si="4"/>
        <v>0</v>
      </c>
      <c r="N12" s="1538">
        <f t="shared" si="10"/>
        <v>0</v>
      </c>
      <c r="O12" s="1186">
        <v>0</v>
      </c>
      <c r="P12" s="1544">
        <f t="shared" si="11"/>
        <v>0</v>
      </c>
      <c r="Q12" s="1188"/>
      <c r="R12" s="1188">
        <f t="shared" si="12"/>
        <v>0</v>
      </c>
      <c r="S12" s="1544">
        <f t="shared" si="13"/>
        <v>0</v>
      </c>
      <c r="T12" s="1544">
        <f t="shared" si="14"/>
        <v>0</v>
      </c>
      <c r="U12" s="1373">
        <f>'Table 5C1A-Madison Prep'!U12</f>
        <v>3807</v>
      </c>
      <c r="V12" s="1514">
        <f t="shared" si="15"/>
        <v>0</v>
      </c>
      <c r="W12" s="1375"/>
      <c r="X12" s="1376">
        <f t="shared" si="16"/>
        <v>0</v>
      </c>
      <c r="Y12" s="1375"/>
      <c r="Z12" s="1376">
        <f t="shared" si="17"/>
        <v>0</v>
      </c>
      <c r="AA12" s="1374">
        <f t="shared" si="18"/>
        <v>0</v>
      </c>
      <c r="AB12" s="1509">
        <f t="shared" si="19"/>
        <v>0</v>
      </c>
      <c r="AC12" s="1378">
        <f t="shared" si="20"/>
        <v>0</v>
      </c>
      <c r="AD12" s="1509">
        <f t="shared" si="21"/>
        <v>0</v>
      </c>
      <c r="AE12" s="1379">
        <v>0</v>
      </c>
      <c r="AF12" s="1509">
        <f t="shared" si="22"/>
        <v>0</v>
      </c>
      <c r="AG12" s="1379"/>
      <c r="AH12" s="1379">
        <f t="shared" si="23"/>
        <v>0</v>
      </c>
      <c r="AI12" s="1509">
        <f t="shared" si="24"/>
        <v>0</v>
      </c>
      <c r="AJ12" s="1530">
        <f t="shared" si="25"/>
        <v>0</v>
      </c>
      <c r="AK12" s="1534">
        <f t="shared" si="26"/>
        <v>0</v>
      </c>
    </row>
    <row r="13" spans="1:37" ht="16.2" customHeight="1">
      <c r="A13" s="1176">
        <v>7</v>
      </c>
      <c r="B13" s="1177" t="s">
        <v>87</v>
      </c>
      <c r="C13" s="1178">
        <v>0</v>
      </c>
      <c r="D13" s="1179">
        <f>+'Table 5C1A-Madison Prep'!D13</f>
        <v>2243.0031963470319</v>
      </c>
      <c r="E13" s="1180">
        <f t="shared" si="5"/>
        <v>0</v>
      </c>
      <c r="F13" s="1180">
        <f>+'Table 5C1A-Madison Prep'!F13</f>
        <v>756.91999999999985</v>
      </c>
      <c r="G13" s="1180">
        <f t="shared" si="6"/>
        <v>0</v>
      </c>
      <c r="H13" s="1539">
        <f t="shared" si="7"/>
        <v>0</v>
      </c>
      <c r="I13" s="1181"/>
      <c r="J13" s="1181"/>
      <c r="K13" s="1182">
        <f t="shared" si="8"/>
        <v>0</v>
      </c>
      <c r="L13" s="1539">
        <f t="shared" si="9"/>
        <v>0</v>
      </c>
      <c r="M13" s="1388">
        <f t="shared" si="4"/>
        <v>0</v>
      </c>
      <c r="N13" s="1539">
        <f t="shared" si="10"/>
        <v>0</v>
      </c>
      <c r="O13" s="1179">
        <v>0</v>
      </c>
      <c r="P13" s="1545">
        <f t="shared" si="11"/>
        <v>0</v>
      </c>
      <c r="Q13" s="1181"/>
      <c r="R13" s="1181">
        <f t="shared" si="12"/>
        <v>0</v>
      </c>
      <c r="S13" s="1545">
        <f t="shared" si="13"/>
        <v>0</v>
      </c>
      <c r="T13" s="1545">
        <f t="shared" si="14"/>
        <v>0</v>
      </c>
      <c r="U13" s="1389">
        <f>'Table 5C1A-Madison Prep'!U13</f>
        <v>11888</v>
      </c>
      <c r="V13" s="1515">
        <f t="shared" si="15"/>
        <v>0</v>
      </c>
      <c r="W13" s="1391"/>
      <c r="X13" s="1392">
        <f t="shared" si="16"/>
        <v>0</v>
      </c>
      <c r="Y13" s="1391"/>
      <c r="Z13" s="1392">
        <f t="shared" si="17"/>
        <v>0</v>
      </c>
      <c r="AA13" s="1390">
        <f t="shared" si="18"/>
        <v>0</v>
      </c>
      <c r="AB13" s="1510">
        <f t="shared" si="19"/>
        <v>0</v>
      </c>
      <c r="AC13" s="1394">
        <f t="shared" si="20"/>
        <v>0</v>
      </c>
      <c r="AD13" s="1510">
        <f t="shared" si="21"/>
        <v>0</v>
      </c>
      <c r="AE13" s="1395">
        <v>0</v>
      </c>
      <c r="AF13" s="1510">
        <f t="shared" si="22"/>
        <v>0</v>
      </c>
      <c r="AG13" s="1395"/>
      <c r="AH13" s="1395">
        <f t="shared" si="23"/>
        <v>0</v>
      </c>
      <c r="AI13" s="1510">
        <f t="shared" si="24"/>
        <v>0</v>
      </c>
      <c r="AJ13" s="1505">
        <f t="shared" si="25"/>
        <v>0</v>
      </c>
      <c r="AK13" s="1535">
        <f t="shared" si="26"/>
        <v>0</v>
      </c>
    </row>
    <row r="14" spans="1:37" ht="16.2" customHeight="1">
      <c r="A14" s="1176">
        <v>8</v>
      </c>
      <c r="B14" s="1177" t="s">
        <v>88</v>
      </c>
      <c r="C14" s="1178">
        <v>0</v>
      </c>
      <c r="D14" s="1179">
        <f>+'Table 5C1A-Madison Prep'!D14</f>
        <v>4669.802459558854</v>
      </c>
      <c r="E14" s="1180">
        <f t="shared" si="5"/>
        <v>0</v>
      </c>
      <c r="F14" s="1180">
        <f>+'Table 5C1A-Madison Prep'!F14</f>
        <v>725.76</v>
      </c>
      <c r="G14" s="1180">
        <f t="shared" si="6"/>
        <v>0</v>
      </c>
      <c r="H14" s="1539">
        <f t="shared" si="7"/>
        <v>0</v>
      </c>
      <c r="I14" s="1181"/>
      <c r="J14" s="1181"/>
      <c r="K14" s="1182">
        <f t="shared" si="8"/>
        <v>0</v>
      </c>
      <c r="L14" s="1539">
        <f t="shared" si="9"/>
        <v>0</v>
      </c>
      <c r="M14" s="1388">
        <f t="shared" si="4"/>
        <v>0</v>
      </c>
      <c r="N14" s="1539">
        <f t="shared" si="10"/>
        <v>0</v>
      </c>
      <c r="O14" s="1179">
        <v>0</v>
      </c>
      <c r="P14" s="1545">
        <f t="shared" si="11"/>
        <v>0</v>
      </c>
      <c r="Q14" s="1181"/>
      <c r="R14" s="1181">
        <f t="shared" si="12"/>
        <v>0</v>
      </c>
      <c r="S14" s="1545">
        <f t="shared" si="13"/>
        <v>0</v>
      </c>
      <c r="T14" s="1545">
        <f t="shared" si="14"/>
        <v>0</v>
      </c>
      <c r="U14" s="1389">
        <f>'Table 5C1A-Madison Prep'!U14</f>
        <v>4024</v>
      </c>
      <c r="V14" s="1515">
        <f t="shared" si="15"/>
        <v>0</v>
      </c>
      <c r="W14" s="1391"/>
      <c r="X14" s="1392">
        <f t="shared" si="16"/>
        <v>0</v>
      </c>
      <c r="Y14" s="1391"/>
      <c r="Z14" s="1392">
        <f t="shared" si="17"/>
        <v>0</v>
      </c>
      <c r="AA14" s="1390">
        <f t="shared" si="18"/>
        <v>0</v>
      </c>
      <c r="AB14" s="1510">
        <f t="shared" si="19"/>
        <v>0</v>
      </c>
      <c r="AC14" s="1394">
        <f t="shared" si="20"/>
        <v>0</v>
      </c>
      <c r="AD14" s="1510">
        <f t="shared" si="21"/>
        <v>0</v>
      </c>
      <c r="AE14" s="1395">
        <v>0</v>
      </c>
      <c r="AF14" s="1510">
        <f t="shared" si="22"/>
        <v>0</v>
      </c>
      <c r="AG14" s="1395"/>
      <c r="AH14" s="1395">
        <f t="shared" si="23"/>
        <v>0</v>
      </c>
      <c r="AI14" s="1510">
        <f t="shared" si="24"/>
        <v>0</v>
      </c>
      <c r="AJ14" s="1505">
        <f t="shared" si="25"/>
        <v>0</v>
      </c>
      <c r="AK14" s="1535">
        <f t="shared" si="26"/>
        <v>0</v>
      </c>
    </row>
    <row r="15" spans="1:37" ht="16.2" customHeight="1">
      <c r="A15" s="1176">
        <v>9</v>
      </c>
      <c r="B15" s="1177" t="s">
        <v>89</v>
      </c>
      <c r="C15" s="1178">
        <v>0</v>
      </c>
      <c r="D15" s="1179">
        <f>+'Table 5C1A-Madison Prep'!D15</f>
        <v>4632.4615072045008</v>
      </c>
      <c r="E15" s="1180">
        <f t="shared" si="5"/>
        <v>0</v>
      </c>
      <c r="F15" s="1180">
        <f>+'Table 5C1A-Madison Prep'!F15</f>
        <v>744.76</v>
      </c>
      <c r="G15" s="1180">
        <f t="shared" si="6"/>
        <v>0</v>
      </c>
      <c r="H15" s="1539">
        <f t="shared" si="7"/>
        <v>0</v>
      </c>
      <c r="I15" s="1181"/>
      <c r="J15" s="1181"/>
      <c r="K15" s="1182">
        <f t="shared" si="8"/>
        <v>0</v>
      </c>
      <c r="L15" s="1539">
        <f t="shared" si="9"/>
        <v>0</v>
      </c>
      <c r="M15" s="1388">
        <f t="shared" si="4"/>
        <v>0</v>
      </c>
      <c r="N15" s="1539">
        <f t="shared" si="10"/>
        <v>0</v>
      </c>
      <c r="O15" s="1179">
        <v>0</v>
      </c>
      <c r="P15" s="1545">
        <f t="shared" si="11"/>
        <v>0</v>
      </c>
      <c r="Q15" s="1181"/>
      <c r="R15" s="1181">
        <f t="shared" si="12"/>
        <v>0</v>
      </c>
      <c r="S15" s="1545">
        <f t="shared" si="13"/>
        <v>0</v>
      </c>
      <c r="T15" s="1545">
        <f t="shared" si="14"/>
        <v>0</v>
      </c>
      <c r="U15" s="1389">
        <f>'Table 5C1A-Madison Prep'!U15</f>
        <v>4828</v>
      </c>
      <c r="V15" s="1515">
        <f t="shared" si="15"/>
        <v>0</v>
      </c>
      <c r="W15" s="1391"/>
      <c r="X15" s="1392">
        <f t="shared" si="16"/>
        <v>0</v>
      </c>
      <c r="Y15" s="1391"/>
      <c r="Z15" s="1392">
        <f t="shared" si="17"/>
        <v>0</v>
      </c>
      <c r="AA15" s="1390">
        <f t="shared" si="18"/>
        <v>0</v>
      </c>
      <c r="AB15" s="1510">
        <f t="shared" si="19"/>
        <v>0</v>
      </c>
      <c r="AC15" s="1394">
        <f t="shared" si="20"/>
        <v>0</v>
      </c>
      <c r="AD15" s="1510">
        <f t="shared" si="21"/>
        <v>0</v>
      </c>
      <c r="AE15" s="1395">
        <v>0</v>
      </c>
      <c r="AF15" s="1510">
        <f t="shared" si="22"/>
        <v>0</v>
      </c>
      <c r="AG15" s="1395"/>
      <c r="AH15" s="1395">
        <f t="shared" si="23"/>
        <v>0</v>
      </c>
      <c r="AI15" s="1510">
        <f t="shared" si="24"/>
        <v>0</v>
      </c>
      <c r="AJ15" s="1505">
        <f t="shared" si="25"/>
        <v>0</v>
      </c>
      <c r="AK15" s="1535">
        <f t="shared" si="26"/>
        <v>0</v>
      </c>
    </row>
    <row r="16" spans="1:37" ht="16.2" customHeight="1">
      <c r="A16" s="1168">
        <v>10</v>
      </c>
      <c r="B16" s="1169" t="s">
        <v>90</v>
      </c>
      <c r="C16" s="1170">
        <v>110</v>
      </c>
      <c r="D16" s="1171">
        <f>+'Table 5C1A-Madison Prep'!D16</f>
        <v>4384.374733918472</v>
      </c>
      <c r="E16" s="1172">
        <f t="shared" si="5"/>
        <v>482281.22073103191</v>
      </c>
      <c r="F16" s="1172">
        <f>+'Table 5C1A-Madison Prep'!F16</f>
        <v>608.04000000000008</v>
      </c>
      <c r="G16" s="1172">
        <f t="shared" si="6"/>
        <v>66884.400000000009</v>
      </c>
      <c r="H16" s="1540">
        <f t="shared" si="7"/>
        <v>549165.62073103187</v>
      </c>
      <c r="I16" s="1173"/>
      <c r="J16" s="1173"/>
      <c r="K16" s="1174">
        <f t="shared" si="8"/>
        <v>0</v>
      </c>
      <c r="L16" s="1540">
        <f t="shared" si="9"/>
        <v>549165.62073103187</v>
      </c>
      <c r="M16" s="1399">
        <f t="shared" si="4"/>
        <v>-1372.9140518275797</v>
      </c>
      <c r="N16" s="1540">
        <f t="shared" si="10"/>
        <v>547792.70667920425</v>
      </c>
      <c r="O16" s="1171">
        <v>0</v>
      </c>
      <c r="P16" s="1546">
        <f t="shared" si="11"/>
        <v>547792.70667920425</v>
      </c>
      <c r="Q16" s="1173"/>
      <c r="R16" s="1173">
        <f t="shared" si="12"/>
        <v>547792.70667920425</v>
      </c>
      <c r="S16" s="1546">
        <f t="shared" si="13"/>
        <v>45649</v>
      </c>
      <c r="T16" s="1546">
        <f t="shared" si="14"/>
        <v>547792.70667920425</v>
      </c>
      <c r="U16" s="1382">
        <f>'Table 5C1A-Madison Prep'!U16</f>
        <v>4565</v>
      </c>
      <c r="V16" s="1516">
        <f t="shared" si="15"/>
        <v>502150</v>
      </c>
      <c r="W16" s="1400"/>
      <c r="X16" s="1383">
        <f t="shared" si="16"/>
        <v>0</v>
      </c>
      <c r="Y16" s="1400"/>
      <c r="Z16" s="1383">
        <f t="shared" si="17"/>
        <v>0</v>
      </c>
      <c r="AA16" s="1384">
        <f t="shared" si="18"/>
        <v>0</v>
      </c>
      <c r="AB16" s="1511">
        <f t="shared" si="19"/>
        <v>502150</v>
      </c>
      <c r="AC16" s="1402">
        <f t="shared" si="20"/>
        <v>-1255.375</v>
      </c>
      <c r="AD16" s="1511">
        <f t="shared" si="21"/>
        <v>500894.625</v>
      </c>
      <c r="AE16" s="1385">
        <v>0</v>
      </c>
      <c r="AF16" s="1511">
        <f t="shared" si="22"/>
        <v>500894.625</v>
      </c>
      <c r="AG16" s="1385"/>
      <c r="AH16" s="1385">
        <f t="shared" si="23"/>
        <v>500894.625</v>
      </c>
      <c r="AI16" s="1511">
        <f t="shared" si="24"/>
        <v>41741</v>
      </c>
      <c r="AJ16" s="1531">
        <f t="shared" si="25"/>
        <v>1048687.3316792042</v>
      </c>
      <c r="AK16" s="1536">
        <f t="shared" si="26"/>
        <v>87390</v>
      </c>
    </row>
    <row r="17" spans="1:37" ht="16.2" customHeight="1">
      <c r="A17" s="1183">
        <v>11</v>
      </c>
      <c r="B17" s="1184" t="s">
        <v>91</v>
      </c>
      <c r="C17" s="1185">
        <v>0</v>
      </c>
      <c r="D17" s="1186">
        <f>+'Table 5C1A-Madison Prep'!D17</f>
        <v>7098.5372236353351</v>
      </c>
      <c r="E17" s="1187">
        <f t="shared" si="5"/>
        <v>0</v>
      </c>
      <c r="F17" s="1187">
        <f>+'Table 5C1A-Madison Prep'!F17</f>
        <v>706.55</v>
      </c>
      <c r="G17" s="1187">
        <f t="shared" si="6"/>
        <v>0</v>
      </c>
      <c r="H17" s="1538">
        <f t="shared" si="7"/>
        <v>0</v>
      </c>
      <c r="I17" s="1188"/>
      <c r="J17" s="1188"/>
      <c r="K17" s="1189">
        <f t="shared" si="8"/>
        <v>0</v>
      </c>
      <c r="L17" s="1538">
        <f t="shared" si="9"/>
        <v>0</v>
      </c>
      <c r="M17" s="1372">
        <f t="shared" si="4"/>
        <v>0</v>
      </c>
      <c r="N17" s="1538">
        <f t="shared" si="10"/>
        <v>0</v>
      </c>
      <c r="O17" s="1186">
        <v>0</v>
      </c>
      <c r="P17" s="1544">
        <f t="shared" si="11"/>
        <v>0</v>
      </c>
      <c r="Q17" s="1188"/>
      <c r="R17" s="1188">
        <f t="shared" si="12"/>
        <v>0</v>
      </c>
      <c r="S17" s="1544">
        <f t="shared" si="13"/>
        <v>0</v>
      </c>
      <c r="T17" s="1544">
        <f t="shared" si="14"/>
        <v>0</v>
      </c>
      <c r="U17" s="1373">
        <f>'Table 5C1A-Madison Prep'!U17</f>
        <v>3587</v>
      </c>
      <c r="V17" s="1514">
        <f t="shared" si="15"/>
        <v>0</v>
      </c>
      <c r="W17" s="1375"/>
      <c r="X17" s="1376">
        <f t="shared" si="16"/>
        <v>0</v>
      </c>
      <c r="Y17" s="1375"/>
      <c r="Z17" s="1376">
        <f t="shared" si="17"/>
        <v>0</v>
      </c>
      <c r="AA17" s="1374">
        <f t="shared" si="18"/>
        <v>0</v>
      </c>
      <c r="AB17" s="1509">
        <f t="shared" si="19"/>
        <v>0</v>
      </c>
      <c r="AC17" s="1378">
        <f t="shared" si="20"/>
        <v>0</v>
      </c>
      <c r="AD17" s="1509">
        <f t="shared" si="21"/>
        <v>0</v>
      </c>
      <c r="AE17" s="1379">
        <v>0</v>
      </c>
      <c r="AF17" s="1509">
        <f t="shared" si="22"/>
        <v>0</v>
      </c>
      <c r="AG17" s="1379"/>
      <c r="AH17" s="1379">
        <f t="shared" si="23"/>
        <v>0</v>
      </c>
      <c r="AI17" s="1509">
        <f t="shared" si="24"/>
        <v>0</v>
      </c>
      <c r="AJ17" s="1530">
        <f t="shared" si="25"/>
        <v>0</v>
      </c>
      <c r="AK17" s="1534">
        <f t="shared" si="26"/>
        <v>0</v>
      </c>
    </row>
    <row r="18" spans="1:37" ht="16.2" customHeight="1">
      <c r="A18" s="1176">
        <v>12</v>
      </c>
      <c r="B18" s="1177" t="s">
        <v>92</v>
      </c>
      <c r="C18" s="1178">
        <v>0</v>
      </c>
      <c r="D18" s="1179">
        <f>+'Table 5C1A-Madison Prep'!D18</f>
        <v>1666.6040983606558</v>
      </c>
      <c r="E18" s="1180">
        <f t="shared" si="5"/>
        <v>0</v>
      </c>
      <c r="F18" s="1180">
        <f>+'Table 5C1A-Madison Prep'!F18</f>
        <v>1063.31</v>
      </c>
      <c r="G18" s="1180">
        <f t="shared" si="6"/>
        <v>0</v>
      </c>
      <c r="H18" s="1539">
        <f t="shared" si="7"/>
        <v>0</v>
      </c>
      <c r="I18" s="1181"/>
      <c r="J18" s="1181"/>
      <c r="K18" s="1182">
        <f t="shared" si="8"/>
        <v>0</v>
      </c>
      <c r="L18" s="1539">
        <f t="shared" si="9"/>
        <v>0</v>
      </c>
      <c r="M18" s="1388">
        <f t="shared" si="4"/>
        <v>0</v>
      </c>
      <c r="N18" s="1539">
        <f t="shared" si="10"/>
        <v>0</v>
      </c>
      <c r="O18" s="1179">
        <v>0</v>
      </c>
      <c r="P18" s="1545">
        <f t="shared" si="11"/>
        <v>0</v>
      </c>
      <c r="Q18" s="1181"/>
      <c r="R18" s="1181">
        <f t="shared" si="12"/>
        <v>0</v>
      </c>
      <c r="S18" s="1545">
        <f t="shared" si="13"/>
        <v>0</v>
      </c>
      <c r="T18" s="1545">
        <f t="shared" si="14"/>
        <v>0</v>
      </c>
      <c r="U18" s="1389">
        <f>'Table 5C1A-Madison Prep'!U18</f>
        <v>8094</v>
      </c>
      <c r="V18" s="1515">
        <f t="shared" si="15"/>
        <v>0</v>
      </c>
      <c r="W18" s="1391"/>
      <c r="X18" s="1392">
        <f t="shared" si="16"/>
        <v>0</v>
      </c>
      <c r="Y18" s="1391"/>
      <c r="Z18" s="1392">
        <f t="shared" si="17"/>
        <v>0</v>
      </c>
      <c r="AA18" s="1390">
        <f t="shared" si="18"/>
        <v>0</v>
      </c>
      <c r="AB18" s="1510">
        <f t="shared" si="19"/>
        <v>0</v>
      </c>
      <c r="AC18" s="1394">
        <f t="shared" si="20"/>
        <v>0</v>
      </c>
      <c r="AD18" s="1510">
        <f t="shared" si="21"/>
        <v>0</v>
      </c>
      <c r="AE18" s="1395">
        <v>0</v>
      </c>
      <c r="AF18" s="1510">
        <f t="shared" si="22"/>
        <v>0</v>
      </c>
      <c r="AG18" s="1395"/>
      <c r="AH18" s="1395">
        <f t="shared" si="23"/>
        <v>0</v>
      </c>
      <c r="AI18" s="1510">
        <f t="shared" si="24"/>
        <v>0</v>
      </c>
      <c r="AJ18" s="1505">
        <f t="shared" si="25"/>
        <v>0</v>
      </c>
      <c r="AK18" s="1535">
        <f t="shared" si="26"/>
        <v>0</v>
      </c>
    </row>
    <row r="19" spans="1:37" ht="16.2" customHeight="1">
      <c r="A19" s="1176">
        <v>13</v>
      </c>
      <c r="B19" s="1177" t="s">
        <v>93</v>
      </c>
      <c r="C19" s="1178">
        <v>0</v>
      </c>
      <c r="D19" s="1179">
        <f>+'Table 5C1A-Madison Prep'!D19</f>
        <v>6433.6297758332212</v>
      </c>
      <c r="E19" s="1180">
        <f t="shared" si="5"/>
        <v>0</v>
      </c>
      <c r="F19" s="1180">
        <f>+'Table 5C1A-Madison Prep'!F19</f>
        <v>749.43000000000006</v>
      </c>
      <c r="G19" s="1180">
        <f t="shared" si="6"/>
        <v>0</v>
      </c>
      <c r="H19" s="1539">
        <f t="shared" si="7"/>
        <v>0</v>
      </c>
      <c r="I19" s="1181"/>
      <c r="J19" s="1181"/>
      <c r="K19" s="1182">
        <f t="shared" si="8"/>
        <v>0</v>
      </c>
      <c r="L19" s="1539">
        <f t="shared" si="9"/>
        <v>0</v>
      </c>
      <c r="M19" s="1388">
        <f t="shared" si="4"/>
        <v>0</v>
      </c>
      <c r="N19" s="1539">
        <f t="shared" si="10"/>
        <v>0</v>
      </c>
      <c r="O19" s="1179">
        <v>0</v>
      </c>
      <c r="P19" s="1545">
        <f t="shared" si="11"/>
        <v>0</v>
      </c>
      <c r="Q19" s="1181"/>
      <c r="R19" s="1181">
        <f t="shared" si="12"/>
        <v>0</v>
      </c>
      <c r="S19" s="1545">
        <f t="shared" si="13"/>
        <v>0</v>
      </c>
      <c r="T19" s="1545">
        <f t="shared" si="14"/>
        <v>0</v>
      </c>
      <c r="U19" s="1389">
        <f>'Table 5C1A-Madison Prep'!U19</f>
        <v>2842</v>
      </c>
      <c r="V19" s="1515">
        <f t="shared" si="15"/>
        <v>0</v>
      </c>
      <c r="W19" s="1391"/>
      <c r="X19" s="1392">
        <f t="shared" si="16"/>
        <v>0</v>
      </c>
      <c r="Y19" s="1391"/>
      <c r="Z19" s="1392">
        <f t="shared" si="17"/>
        <v>0</v>
      </c>
      <c r="AA19" s="1390">
        <f t="shared" si="18"/>
        <v>0</v>
      </c>
      <c r="AB19" s="1510">
        <f t="shared" si="19"/>
        <v>0</v>
      </c>
      <c r="AC19" s="1394">
        <f t="shared" si="20"/>
        <v>0</v>
      </c>
      <c r="AD19" s="1510">
        <f t="shared" si="21"/>
        <v>0</v>
      </c>
      <c r="AE19" s="1395">
        <v>0</v>
      </c>
      <c r="AF19" s="1510">
        <f t="shared" si="22"/>
        <v>0</v>
      </c>
      <c r="AG19" s="1395"/>
      <c r="AH19" s="1395">
        <f t="shared" si="23"/>
        <v>0</v>
      </c>
      <c r="AI19" s="1510">
        <f t="shared" si="24"/>
        <v>0</v>
      </c>
      <c r="AJ19" s="1505">
        <f t="shared" si="25"/>
        <v>0</v>
      </c>
      <c r="AK19" s="1535">
        <f t="shared" si="26"/>
        <v>0</v>
      </c>
    </row>
    <row r="20" spans="1:37" ht="16.2" customHeight="1">
      <c r="A20" s="1176">
        <v>14</v>
      </c>
      <c r="B20" s="1177" t="s">
        <v>94</v>
      </c>
      <c r="C20" s="1178">
        <v>0</v>
      </c>
      <c r="D20" s="1179">
        <f>+'Table 5C1A-Madison Prep'!D20</f>
        <v>5334.9509412500001</v>
      </c>
      <c r="E20" s="1180">
        <f t="shared" si="5"/>
        <v>0</v>
      </c>
      <c r="F20" s="1180">
        <f>+'Table 5C1A-Madison Prep'!F20</f>
        <v>809.9799999999999</v>
      </c>
      <c r="G20" s="1180">
        <f t="shared" si="6"/>
        <v>0</v>
      </c>
      <c r="H20" s="1539">
        <f t="shared" si="7"/>
        <v>0</v>
      </c>
      <c r="I20" s="1181"/>
      <c r="J20" s="1181"/>
      <c r="K20" s="1182">
        <f t="shared" si="8"/>
        <v>0</v>
      </c>
      <c r="L20" s="1539">
        <f t="shared" si="9"/>
        <v>0</v>
      </c>
      <c r="M20" s="1388">
        <f t="shared" si="4"/>
        <v>0</v>
      </c>
      <c r="N20" s="1539">
        <f t="shared" si="10"/>
        <v>0</v>
      </c>
      <c r="O20" s="1179">
        <v>0</v>
      </c>
      <c r="P20" s="1545">
        <f t="shared" si="11"/>
        <v>0</v>
      </c>
      <c r="Q20" s="1181"/>
      <c r="R20" s="1181">
        <f t="shared" si="12"/>
        <v>0</v>
      </c>
      <c r="S20" s="1545">
        <f t="shared" si="13"/>
        <v>0</v>
      </c>
      <c r="T20" s="1545">
        <f t="shared" si="14"/>
        <v>0</v>
      </c>
      <c r="U20" s="1389">
        <f>'Table 5C1A-Madison Prep'!U20</f>
        <v>4205</v>
      </c>
      <c r="V20" s="1515">
        <f t="shared" si="15"/>
        <v>0</v>
      </c>
      <c r="W20" s="1391"/>
      <c r="X20" s="1392">
        <f t="shared" si="16"/>
        <v>0</v>
      </c>
      <c r="Y20" s="1391"/>
      <c r="Z20" s="1392">
        <f t="shared" si="17"/>
        <v>0</v>
      </c>
      <c r="AA20" s="1390">
        <f t="shared" si="18"/>
        <v>0</v>
      </c>
      <c r="AB20" s="1510">
        <f t="shared" si="19"/>
        <v>0</v>
      </c>
      <c r="AC20" s="1394">
        <f t="shared" si="20"/>
        <v>0</v>
      </c>
      <c r="AD20" s="1510">
        <f t="shared" si="21"/>
        <v>0</v>
      </c>
      <c r="AE20" s="1395">
        <v>0</v>
      </c>
      <c r="AF20" s="1510">
        <f t="shared" si="22"/>
        <v>0</v>
      </c>
      <c r="AG20" s="1395"/>
      <c r="AH20" s="1395">
        <f t="shared" si="23"/>
        <v>0</v>
      </c>
      <c r="AI20" s="1510">
        <f t="shared" si="24"/>
        <v>0</v>
      </c>
      <c r="AJ20" s="1505">
        <f t="shared" si="25"/>
        <v>0</v>
      </c>
      <c r="AK20" s="1535">
        <f t="shared" si="26"/>
        <v>0</v>
      </c>
    </row>
    <row r="21" spans="1:37" ht="16.2" customHeight="1">
      <c r="A21" s="1168">
        <v>15</v>
      </c>
      <c r="B21" s="1169" t="s">
        <v>95</v>
      </c>
      <c r="C21" s="1170">
        <v>0</v>
      </c>
      <c r="D21" s="1171">
        <f>+'Table 5C1A-Madison Prep'!D21</f>
        <v>5749.8285214059952</v>
      </c>
      <c r="E21" s="1172">
        <f t="shared" si="5"/>
        <v>0</v>
      </c>
      <c r="F21" s="1172">
        <f>+'Table 5C1A-Madison Prep'!F21</f>
        <v>553.79999999999995</v>
      </c>
      <c r="G21" s="1172">
        <f t="shared" si="6"/>
        <v>0</v>
      </c>
      <c r="H21" s="1540">
        <f t="shared" si="7"/>
        <v>0</v>
      </c>
      <c r="I21" s="1173"/>
      <c r="J21" s="1173"/>
      <c r="K21" s="1174">
        <f t="shared" si="8"/>
        <v>0</v>
      </c>
      <c r="L21" s="1540">
        <f t="shared" si="9"/>
        <v>0</v>
      </c>
      <c r="M21" s="1399">
        <f t="shared" si="4"/>
        <v>0</v>
      </c>
      <c r="N21" s="1540">
        <f t="shared" si="10"/>
        <v>0</v>
      </c>
      <c r="O21" s="1171">
        <v>0</v>
      </c>
      <c r="P21" s="1546">
        <f t="shared" si="11"/>
        <v>0</v>
      </c>
      <c r="Q21" s="1173"/>
      <c r="R21" s="1173">
        <f t="shared" si="12"/>
        <v>0</v>
      </c>
      <c r="S21" s="1546">
        <f t="shared" si="13"/>
        <v>0</v>
      </c>
      <c r="T21" s="1546">
        <f t="shared" si="14"/>
        <v>0</v>
      </c>
      <c r="U21" s="1382">
        <f>'Table 5C1A-Madison Prep'!U21</f>
        <v>2535</v>
      </c>
      <c r="V21" s="1516">
        <f t="shared" si="15"/>
        <v>0</v>
      </c>
      <c r="W21" s="1400"/>
      <c r="X21" s="1383">
        <f t="shared" si="16"/>
        <v>0</v>
      </c>
      <c r="Y21" s="1400"/>
      <c r="Z21" s="1383">
        <f t="shared" si="17"/>
        <v>0</v>
      </c>
      <c r="AA21" s="1384">
        <f t="shared" si="18"/>
        <v>0</v>
      </c>
      <c r="AB21" s="1511">
        <f t="shared" si="19"/>
        <v>0</v>
      </c>
      <c r="AC21" s="1402">
        <f t="shared" si="20"/>
        <v>0</v>
      </c>
      <c r="AD21" s="1511">
        <f t="shared" si="21"/>
        <v>0</v>
      </c>
      <c r="AE21" s="1385">
        <v>0</v>
      </c>
      <c r="AF21" s="1511">
        <f t="shared" si="22"/>
        <v>0</v>
      </c>
      <c r="AG21" s="1385"/>
      <c r="AH21" s="1385">
        <f t="shared" si="23"/>
        <v>0</v>
      </c>
      <c r="AI21" s="1511">
        <f t="shared" si="24"/>
        <v>0</v>
      </c>
      <c r="AJ21" s="1531">
        <f t="shared" si="25"/>
        <v>0</v>
      </c>
      <c r="AK21" s="1536">
        <f t="shared" si="26"/>
        <v>0</v>
      </c>
    </row>
    <row r="22" spans="1:37" ht="16.2" customHeight="1">
      <c r="A22" s="1183">
        <v>16</v>
      </c>
      <c r="B22" s="1184" t="s">
        <v>96</v>
      </c>
      <c r="C22" s="1185">
        <v>0</v>
      </c>
      <c r="D22" s="1186">
        <f>+'Table 5C1A-Madison Prep'!D22</f>
        <v>1980.2494354342025</v>
      </c>
      <c r="E22" s="1187">
        <f t="shared" si="5"/>
        <v>0</v>
      </c>
      <c r="F22" s="1187">
        <f>+'Table 5C1A-Madison Prep'!F22</f>
        <v>686.73</v>
      </c>
      <c r="G22" s="1187">
        <f t="shared" si="6"/>
        <v>0</v>
      </c>
      <c r="H22" s="1538">
        <f t="shared" si="7"/>
        <v>0</v>
      </c>
      <c r="I22" s="1188"/>
      <c r="J22" s="1188"/>
      <c r="K22" s="1189">
        <f t="shared" si="8"/>
        <v>0</v>
      </c>
      <c r="L22" s="1538">
        <f t="shared" si="9"/>
        <v>0</v>
      </c>
      <c r="M22" s="1372">
        <f t="shared" si="4"/>
        <v>0</v>
      </c>
      <c r="N22" s="1538">
        <f t="shared" si="10"/>
        <v>0</v>
      </c>
      <c r="O22" s="1186">
        <v>0</v>
      </c>
      <c r="P22" s="1544">
        <f t="shared" si="11"/>
        <v>0</v>
      </c>
      <c r="Q22" s="1188"/>
      <c r="R22" s="1188">
        <f t="shared" si="12"/>
        <v>0</v>
      </c>
      <c r="S22" s="1544">
        <f t="shared" si="13"/>
        <v>0</v>
      </c>
      <c r="T22" s="1544">
        <f t="shared" si="14"/>
        <v>0</v>
      </c>
      <c r="U22" s="1373">
        <f>'Table 5C1A-Madison Prep'!U22</f>
        <v>12768</v>
      </c>
      <c r="V22" s="1514">
        <f t="shared" si="15"/>
        <v>0</v>
      </c>
      <c r="W22" s="1375"/>
      <c r="X22" s="1376">
        <f t="shared" si="16"/>
        <v>0</v>
      </c>
      <c r="Y22" s="1375"/>
      <c r="Z22" s="1376">
        <f t="shared" si="17"/>
        <v>0</v>
      </c>
      <c r="AA22" s="1374">
        <f t="shared" si="18"/>
        <v>0</v>
      </c>
      <c r="AB22" s="1509">
        <f t="shared" si="19"/>
        <v>0</v>
      </c>
      <c r="AC22" s="1378">
        <f t="shared" si="20"/>
        <v>0</v>
      </c>
      <c r="AD22" s="1509">
        <f t="shared" si="21"/>
        <v>0</v>
      </c>
      <c r="AE22" s="1379">
        <v>0</v>
      </c>
      <c r="AF22" s="1509">
        <f t="shared" si="22"/>
        <v>0</v>
      </c>
      <c r="AG22" s="1379"/>
      <c r="AH22" s="1379">
        <f t="shared" si="23"/>
        <v>0</v>
      </c>
      <c r="AI22" s="1509">
        <f t="shared" si="24"/>
        <v>0</v>
      </c>
      <c r="AJ22" s="1530">
        <f t="shared" si="25"/>
        <v>0</v>
      </c>
      <c r="AK22" s="1534">
        <f t="shared" si="26"/>
        <v>0</v>
      </c>
    </row>
    <row r="23" spans="1:37" ht="16.2" customHeight="1">
      <c r="A23" s="1176">
        <v>17</v>
      </c>
      <c r="B23" s="1177" t="s">
        <v>97</v>
      </c>
      <c r="C23" s="1178">
        <v>0</v>
      </c>
      <c r="D23" s="1179">
        <f>+'Table 5C1A-Madison Prep'!D23</f>
        <v>3363.5980368254495</v>
      </c>
      <c r="E23" s="1180">
        <f t="shared" si="5"/>
        <v>0</v>
      </c>
      <c r="F23" s="1180">
        <f>+'Table 5C1A-Madison Prep'!F23</f>
        <v>801.47762416806802</v>
      </c>
      <c r="G23" s="1180">
        <f t="shared" si="6"/>
        <v>0</v>
      </c>
      <c r="H23" s="1539">
        <f t="shared" si="7"/>
        <v>0</v>
      </c>
      <c r="I23" s="1181"/>
      <c r="J23" s="1181"/>
      <c r="K23" s="1182">
        <f t="shared" si="8"/>
        <v>0</v>
      </c>
      <c r="L23" s="1539">
        <f t="shared" si="9"/>
        <v>0</v>
      </c>
      <c r="M23" s="1388">
        <f t="shared" si="4"/>
        <v>0</v>
      </c>
      <c r="N23" s="1539">
        <f t="shared" si="10"/>
        <v>0</v>
      </c>
      <c r="O23" s="1179">
        <v>0</v>
      </c>
      <c r="P23" s="1545">
        <f t="shared" si="11"/>
        <v>0</v>
      </c>
      <c r="Q23" s="1181"/>
      <c r="R23" s="1181">
        <f t="shared" si="12"/>
        <v>0</v>
      </c>
      <c r="S23" s="1545">
        <f t="shared" si="13"/>
        <v>0</v>
      </c>
      <c r="T23" s="1545">
        <f t="shared" si="14"/>
        <v>0</v>
      </c>
      <c r="U23" s="1389">
        <f>'Table 5C1A-Madison Prep'!U23</f>
        <v>7050</v>
      </c>
      <c r="V23" s="1515">
        <f t="shared" si="15"/>
        <v>0</v>
      </c>
      <c r="W23" s="1391"/>
      <c r="X23" s="1392">
        <f t="shared" si="16"/>
        <v>0</v>
      </c>
      <c r="Y23" s="1391"/>
      <c r="Z23" s="1392">
        <f t="shared" si="17"/>
        <v>0</v>
      </c>
      <c r="AA23" s="1390">
        <f t="shared" si="18"/>
        <v>0</v>
      </c>
      <c r="AB23" s="1510">
        <f t="shared" si="19"/>
        <v>0</v>
      </c>
      <c r="AC23" s="1394">
        <f t="shared" si="20"/>
        <v>0</v>
      </c>
      <c r="AD23" s="1510">
        <f t="shared" si="21"/>
        <v>0</v>
      </c>
      <c r="AE23" s="1395">
        <v>0</v>
      </c>
      <c r="AF23" s="1510">
        <f t="shared" si="22"/>
        <v>0</v>
      </c>
      <c r="AG23" s="1395"/>
      <c r="AH23" s="1395">
        <f t="shared" si="23"/>
        <v>0</v>
      </c>
      <c r="AI23" s="1510">
        <f t="shared" si="24"/>
        <v>0</v>
      </c>
      <c r="AJ23" s="1505">
        <f t="shared" si="25"/>
        <v>0</v>
      </c>
      <c r="AK23" s="1535">
        <f t="shared" si="26"/>
        <v>0</v>
      </c>
    </row>
    <row r="24" spans="1:37" ht="16.2" customHeight="1">
      <c r="A24" s="1176">
        <v>18</v>
      </c>
      <c r="B24" s="1177" t="s">
        <v>98</v>
      </c>
      <c r="C24" s="1178">
        <v>0</v>
      </c>
      <c r="D24" s="1179">
        <f>+'Table 5C1A-Madison Prep'!D24</f>
        <v>6354.5533500475731</v>
      </c>
      <c r="E24" s="1180">
        <f t="shared" si="5"/>
        <v>0</v>
      </c>
      <c r="F24" s="1180">
        <f>+'Table 5C1A-Madison Prep'!F24</f>
        <v>845.94999999999993</v>
      </c>
      <c r="G24" s="1180">
        <f t="shared" si="6"/>
        <v>0</v>
      </c>
      <c r="H24" s="1539">
        <f t="shared" si="7"/>
        <v>0</v>
      </c>
      <c r="I24" s="1181"/>
      <c r="J24" s="1181"/>
      <c r="K24" s="1182">
        <f t="shared" si="8"/>
        <v>0</v>
      </c>
      <c r="L24" s="1539">
        <f t="shared" si="9"/>
        <v>0</v>
      </c>
      <c r="M24" s="1388">
        <f t="shared" si="4"/>
        <v>0</v>
      </c>
      <c r="N24" s="1539">
        <f t="shared" si="10"/>
        <v>0</v>
      </c>
      <c r="O24" s="1179">
        <v>0</v>
      </c>
      <c r="P24" s="1545">
        <f t="shared" si="11"/>
        <v>0</v>
      </c>
      <c r="Q24" s="1181"/>
      <c r="R24" s="1181">
        <f t="shared" si="12"/>
        <v>0</v>
      </c>
      <c r="S24" s="1545">
        <f t="shared" si="13"/>
        <v>0</v>
      </c>
      <c r="T24" s="1545">
        <f t="shared" si="14"/>
        <v>0</v>
      </c>
      <c r="U24" s="1389">
        <f>'Table 5C1A-Madison Prep'!U24</f>
        <v>2526</v>
      </c>
      <c r="V24" s="1515">
        <f t="shared" si="15"/>
        <v>0</v>
      </c>
      <c r="W24" s="1391"/>
      <c r="X24" s="1392">
        <f t="shared" si="16"/>
        <v>0</v>
      </c>
      <c r="Y24" s="1391"/>
      <c r="Z24" s="1392">
        <f t="shared" si="17"/>
        <v>0</v>
      </c>
      <c r="AA24" s="1390">
        <f t="shared" si="18"/>
        <v>0</v>
      </c>
      <c r="AB24" s="1510">
        <f t="shared" si="19"/>
        <v>0</v>
      </c>
      <c r="AC24" s="1394">
        <f t="shared" si="20"/>
        <v>0</v>
      </c>
      <c r="AD24" s="1510">
        <f t="shared" si="21"/>
        <v>0</v>
      </c>
      <c r="AE24" s="1395">
        <v>0</v>
      </c>
      <c r="AF24" s="1510">
        <f t="shared" si="22"/>
        <v>0</v>
      </c>
      <c r="AG24" s="1395"/>
      <c r="AH24" s="1395">
        <f t="shared" si="23"/>
        <v>0</v>
      </c>
      <c r="AI24" s="1510">
        <f t="shared" si="24"/>
        <v>0</v>
      </c>
      <c r="AJ24" s="1505">
        <f t="shared" si="25"/>
        <v>0</v>
      </c>
      <c r="AK24" s="1535">
        <f t="shared" si="26"/>
        <v>0</v>
      </c>
    </row>
    <row r="25" spans="1:37" ht="16.2" customHeight="1">
      <c r="A25" s="1176">
        <v>19</v>
      </c>
      <c r="B25" s="1177" t="s">
        <v>99</v>
      </c>
      <c r="C25" s="1178">
        <v>0</v>
      </c>
      <c r="D25" s="1179">
        <f>+'Table 5C1A-Madison Prep'!D25</f>
        <v>5314.3921869460446</v>
      </c>
      <c r="E25" s="1180">
        <f t="shared" si="5"/>
        <v>0</v>
      </c>
      <c r="F25" s="1180">
        <f>+'Table 5C1A-Madison Prep'!F25</f>
        <v>905.43</v>
      </c>
      <c r="G25" s="1180">
        <f t="shared" si="6"/>
        <v>0</v>
      </c>
      <c r="H25" s="1539">
        <f t="shared" si="7"/>
        <v>0</v>
      </c>
      <c r="I25" s="1181"/>
      <c r="J25" s="1181"/>
      <c r="K25" s="1182">
        <f t="shared" si="8"/>
        <v>0</v>
      </c>
      <c r="L25" s="1539">
        <f t="shared" si="9"/>
        <v>0</v>
      </c>
      <c r="M25" s="1388">
        <f t="shared" si="4"/>
        <v>0</v>
      </c>
      <c r="N25" s="1539">
        <f t="shared" si="10"/>
        <v>0</v>
      </c>
      <c r="O25" s="1179">
        <v>0</v>
      </c>
      <c r="P25" s="1545">
        <f t="shared" si="11"/>
        <v>0</v>
      </c>
      <c r="Q25" s="1181"/>
      <c r="R25" s="1181">
        <f t="shared" si="12"/>
        <v>0</v>
      </c>
      <c r="S25" s="1545">
        <f t="shared" si="13"/>
        <v>0</v>
      </c>
      <c r="T25" s="1545">
        <f t="shared" si="14"/>
        <v>0</v>
      </c>
      <c r="U25" s="1389">
        <f>'Table 5C1A-Madison Prep'!U25</f>
        <v>2908</v>
      </c>
      <c r="V25" s="1515">
        <f t="shared" si="15"/>
        <v>0</v>
      </c>
      <c r="W25" s="1391"/>
      <c r="X25" s="1392">
        <f t="shared" si="16"/>
        <v>0</v>
      </c>
      <c r="Y25" s="1391"/>
      <c r="Z25" s="1392">
        <f t="shared" si="17"/>
        <v>0</v>
      </c>
      <c r="AA25" s="1390">
        <f t="shared" si="18"/>
        <v>0</v>
      </c>
      <c r="AB25" s="1510">
        <f t="shared" si="19"/>
        <v>0</v>
      </c>
      <c r="AC25" s="1394">
        <f t="shared" si="20"/>
        <v>0</v>
      </c>
      <c r="AD25" s="1510">
        <f t="shared" si="21"/>
        <v>0</v>
      </c>
      <c r="AE25" s="1395">
        <v>0</v>
      </c>
      <c r="AF25" s="1510">
        <f t="shared" si="22"/>
        <v>0</v>
      </c>
      <c r="AG25" s="1395"/>
      <c r="AH25" s="1395">
        <f t="shared" si="23"/>
        <v>0</v>
      </c>
      <c r="AI25" s="1510">
        <f t="shared" si="24"/>
        <v>0</v>
      </c>
      <c r="AJ25" s="1505">
        <f t="shared" si="25"/>
        <v>0</v>
      </c>
      <c r="AK25" s="1535">
        <f t="shared" si="26"/>
        <v>0</v>
      </c>
    </row>
    <row r="26" spans="1:37" ht="16.2" customHeight="1">
      <c r="A26" s="1168">
        <v>20</v>
      </c>
      <c r="B26" s="1169" t="s">
        <v>100</v>
      </c>
      <c r="C26" s="1170">
        <v>0</v>
      </c>
      <c r="D26" s="1171">
        <f>+'Table 5C1A-Madison Prep'!D26</f>
        <v>5278.5201565562011</v>
      </c>
      <c r="E26" s="1172">
        <f t="shared" si="5"/>
        <v>0</v>
      </c>
      <c r="F26" s="1172">
        <f>+'Table 5C1A-Madison Prep'!F26</f>
        <v>586.16999999999996</v>
      </c>
      <c r="G26" s="1172">
        <f t="shared" si="6"/>
        <v>0</v>
      </c>
      <c r="H26" s="1540">
        <f t="shared" si="7"/>
        <v>0</v>
      </c>
      <c r="I26" s="1173"/>
      <c r="J26" s="1173"/>
      <c r="K26" s="1174">
        <f t="shared" si="8"/>
        <v>0</v>
      </c>
      <c r="L26" s="1540">
        <f t="shared" si="9"/>
        <v>0</v>
      </c>
      <c r="M26" s="1399">
        <f t="shared" si="4"/>
        <v>0</v>
      </c>
      <c r="N26" s="1540">
        <f t="shared" si="10"/>
        <v>0</v>
      </c>
      <c r="O26" s="1171">
        <v>0</v>
      </c>
      <c r="P26" s="1546">
        <f t="shared" si="11"/>
        <v>0</v>
      </c>
      <c r="Q26" s="1173"/>
      <c r="R26" s="1173">
        <f t="shared" si="12"/>
        <v>0</v>
      </c>
      <c r="S26" s="1546">
        <f t="shared" si="13"/>
        <v>0</v>
      </c>
      <c r="T26" s="1546">
        <f t="shared" si="14"/>
        <v>0</v>
      </c>
      <c r="U26" s="1382">
        <f>'Table 5C1A-Madison Prep'!U26</f>
        <v>2432</v>
      </c>
      <c r="V26" s="1516">
        <f t="shared" si="15"/>
        <v>0</v>
      </c>
      <c r="W26" s="1400"/>
      <c r="X26" s="1383">
        <f t="shared" si="16"/>
        <v>0</v>
      </c>
      <c r="Y26" s="1400"/>
      <c r="Z26" s="1383">
        <f t="shared" si="17"/>
        <v>0</v>
      </c>
      <c r="AA26" s="1384">
        <f t="shared" si="18"/>
        <v>0</v>
      </c>
      <c r="AB26" s="1511">
        <f t="shared" si="19"/>
        <v>0</v>
      </c>
      <c r="AC26" s="1402">
        <f t="shared" si="20"/>
        <v>0</v>
      </c>
      <c r="AD26" s="1511">
        <f t="shared" si="21"/>
        <v>0</v>
      </c>
      <c r="AE26" s="1385">
        <v>0</v>
      </c>
      <c r="AF26" s="1511">
        <f t="shared" si="22"/>
        <v>0</v>
      </c>
      <c r="AG26" s="1385"/>
      <c r="AH26" s="1385">
        <f t="shared" si="23"/>
        <v>0</v>
      </c>
      <c r="AI26" s="1511">
        <f t="shared" si="24"/>
        <v>0</v>
      </c>
      <c r="AJ26" s="1531">
        <f t="shared" si="25"/>
        <v>0</v>
      </c>
      <c r="AK26" s="1536">
        <f t="shared" si="26"/>
        <v>0</v>
      </c>
    </row>
    <row r="27" spans="1:37" ht="16.2" customHeight="1">
      <c r="A27" s="1183">
        <v>21</v>
      </c>
      <c r="B27" s="1184" t="s">
        <v>101</v>
      </c>
      <c r="C27" s="1185">
        <v>0</v>
      </c>
      <c r="D27" s="1186">
        <f>+'Table 5C1A-Madison Prep'!D27</f>
        <v>6082.3042295867763</v>
      </c>
      <c r="E27" s="1187">
        <f t="shared" si="5"/>
        <v>0</v>
      </c>
      <c r="F27" s="1187">
        <f>+'Table 5C1A-Madison Prep'!F27</f>
        <v>610.35</v>
      </c>
      <c r="G27" s="1187">
        <f t="shared" si="6"/>
        <v>0</v>
      </c>
      <c r="H27" s="1538">
        <f t="shared" si="7"/>
        <v>0</v>
      </c>
      <c r="I27" s="1188"/>
      <c r="J27" s="1188"/>
      <c r="K27" s="1189">
        <f t="shared" si="8"/>
        <v>0</v>
      </c>
      <c r="L27" s="1538">
        <f t="shared" si="9"/>
        <v>0</v>
      </c>
      <c r="M27" s="1372">
        <f t="shared" si="4"/>
        <v>0</v>
      </c>
      <c r="N27" s="1538">
        <f t="shared" si="10"/>
        <v>0</v>
      </c>
      <c r="O27" s="1186">
        <v>0</v>
      </c>
      <c r="P27" s="1544">
        <f t="shared" si="11"/>
        <v>0</v>
      </c>
      <c r="Q27" s="1188"/>
      <c r="R27" s="1188">
        <f t="shared" si="12"/>
        <v>0</v>
      </c>
      <c r="S27" s="1544">
        <f t="shared" si="13"/>
        <v>0</v>
      </c>
      <c r="T27" s="1544">
        <f t="shared" si="14"/>
        <v>0</v>
      </c>
      <c r="U27" s="1373">
        <f>'Table 5C1A-Madison Prep'!U27</f>
        <v>2460</v>
      </c>
      <c r="V27" s="1514">
        <f t="shared" si="15"/>
        <v>0</v>
      </c>
      <c r="W27" s="1375"/>
      <c r="X27" s="1376">
        <f t="shared" si="16"/>
        <v>0</v>
      </c>
      <c r="Y27" s="1375"/>
      <c r="Z27" s="1376">
        <f t="shared" si="17"/>
        <v>0</v>
      </c>
      <c r="AA27" s="1374">
        <f t="shared" si="18"/>
        <v>0</v>
      </c>
      <c r="AB27" s="1509">
        <f t="shared" si="19"/>
        <v>0</v>
      </c>
      <c r="AC27" s="1378">
        <f t="shared" si="20"/>
        <v>0</v>
      </c>
      <c r="AD27" s="1509">
        <f t="shared" si="21"/>
        <v>0</v>
      </c>
      <c r="AE27" s="1379">
        <v>0</v>
      </c>
      <c r="AF27" s="1509">
        <f t="shared" si="22"/>
        <v>0</v>
      </c>
      <c r="AG27" s="1379"/>
      <c r="AH27" s="1379">
        <f t="shared" si="23"/>
        <v>0</v>
      </c>
      <c r="AI27" s="1509">
        <f t="shared" si="24"/>
        <v>0</v>
      </c>
      <c r="AJ27" s="1530">
        <f t="shared" si="25"/>
        <v>0</v>
      </c>
      <c r="AK27" s="1534">
        <f t="shared" si="26"/>
        <v>0</v>
      </c>
    </row>
    <row r="28" spans="1:37" ht="16.2" customHeight="1">
      <c r="A28" s="1176">
        <v>22</v>
      </c>
      <c r="B28" s="1177" t="s">
        <v>102</v>
      </c>
      <c r="C28" s="1178">
        <v>0</v>
      </c>
      <c r="D28" s="1179">
        <f>+'Table 5C1A-Madison Prep'!D28</f>
        <v>6416.1099808195995</v>
      </c>
      <c r="E28" s="1180">
        <f t="shared" si="5"/>
        <v>0</v>
      </c>
      <c r="F28" s="1180">
        <f>+'Table 5C1A-Madison Prep'!F28</f>
        <v>496.36</v>
      </c>
      <c r="G28" s="1180">
        <f t="shared" si="6"/>
        <v>0</v>
      </c>
      <c r="H28" s="1539">
        <f t="shared" si="7"/>
        <v>0</v>
      </c>
      <c r="I28" s="1181"/>
      <c r="J28" s="1181"/>
      <c r="K28" s="1182">
        <f t="shared" si="8"/>
        <v>0</v>
      </c>
      <c r="L28" s="1539">
        <f t="shared" si="9"/>
        <v>0</v>
      </c>
      <c r="M28" s="1388">
        <f t="shared" si="4"/>
        <v>0</v>
      </c>
      <c r="N28" s="1539">
        <f t="shared" si="10"/>
        <v>0</v>
      </c>
      <c r="O28" s="1179">
        <v>0</v>
      </c>
      <c r="P28" s="1545">
        <f t="shared" si="11"/>
        <v>0</v>
      </c>
      <c r="Q28" s="1181"/>
      <c r="R28" s="1181">
        <f t="shared" si="12"/>
        <v>0</v>
      </c>
      <c r="S28" s="1545">
        <f t="shared" si="13"/>
        <v>0</v>
      </c>
      <c r="T28" s="1545">
        <f t="shared" si="14"/>
        <v>0</v>
      </c>
      <c r="U28" s="1389">
        <f>'Table 5C1A-Madison Prep'!U28</f>
        <v>1613</v>
      </c>
      <c r="V28" s="1515">
        <f t="shared" si="15"/>
        <v>0</v>
      </c>
      <c r="W28" s="1391"/>
      <c r="X28" s="1392">
        <f t="shared" si="16"/>
        <v>0</v>
      </c>
      <c r="Y28" s="1391"/>
      <c r="Z28" s="1392">
        <f t="shared" si="17"/>
        <v>0</v>
      </c>
      <c r="AA28" s="1390">
        <f t="shared" si="18"/>
        <v>0</v>
      </c>
      <c r="AB28" s="1510">
        <f t="shared" si="19"/>
        <v>0</v>
      </c>
      <c r="AC28" s="1394">
        <f t="shared" si="20"/>
        <v>0</v>
      </c>
      <c r="AD28" s="1510">
        <f t="shared" si="21"/>
        <v>0</v>
      </c>
      <c r="AE28" s="1395">
        <v>0</v>
      </c>
      <c r="AF28" s="1510">
        <f t="shared" si="22"/>
        <v>0</v>
      </c>
      <c r="AG28" s="1395"/>
      <c r="AH28" s="1395">
        <f t="shared" si="23"/>
        <v>0</v>
      </c>
      <c r="AI28" s="1510">
        <f t="shared" si="24"/>
        <v>0</v>
      </c>
      <c r="AJ28" s="1505">
        <f t="shared" si="25"/>
        <v>0</v>
      </c>
      <c r="AK28" s="1535">
        <f t="shared" si="26"/>
        <v>0</v>
      </c>
    </row>
    <row r="29" spans="1:37" ht="16.2" customHeight="1">
      <c r="A29" s="1176">
        <v>23</v>
      </c>
      <c r="B29" s="1177" t="s">
        <v>103</v>
      </c>
      <c r="C29" s="1178">
        <v>0</v>
      </c>
      <c r="D29" s="1179">
        <f>+'Table 5C1A-Madison Prep'!D29</f>
        <v>5011.0215265979159</v>
      </c>
      <c r="E29" s="1180">
        <f t="shared" si="5"/>
        <v>0</v>
      </c>
      <c r="F29" s="1180">
        <f>+'Table 5C1A-Madison Prep'!F29</f>
        <v>688.58</v>
      </c>
      <c r="G29" s="1180">
        <f t="shared" si="6"/>
        <v>0</v>
      </c>
      <c r="H29" s="1539">
        <f t="shared" si="7"/>
        <v>0</v>
      </c>
      <c r="I29" s="1181"/>
      <c r="J29" s="1181"/>
      <c r="K29" s="1182">
        <f t="shared" si="8"/>
        <v>0</v>
      </c>
      <c r="L29" s="1539">
        <f t="shared" si="9"/>
        <v>0</v>
      </c>
      <c r="M29" s="1388">
        <f t="shared" si="4"/>
        <v>0</v>
      </c>
      <c r="N29" s="1539">
        <f t="shared" si="10"/>
        <v>0</v>
      </c>
      <c r="O29" s="1179">
        <v>0</v>
      </c>
      <c r="P29" s="1545">
        <f t="shared" si="11"/>
        <v>0</v>
      </c>
      <c r="Q29" s="1181"/>
      <c r="R29" s="1181">
        <f t="shared" si="12"/>
        <v>0</v>
      </c>
      <c r="S29" s="1545">
        <f t="shared" si="13"/>
        <v>0</v>
      </c>
      <c r="T29" s="1545">
        <f t="shared" si="14"/>
        <v>0</v>
      </c>
      <c r="U29" s="1389">
        <f>'Table 5C1A-Madison Prep'!U29</f>
        <v>3473</v>
      </c>
      <c r="V29" s="1515">
        <f t="shared" si="15"/>
        <v>0</v>
      </c>
      <c r="W29" s="1391"/>
      <c r="X29" s="1392">
        <f t="shared" si="16"/>
        <v>0</v>
      </c>
      <c r="Y29" s="1391"/>
      <c r="Z29" s="1392">
        <f t="shared" si="17"/>
        <v>0</v>
      </c>
      <c r="AA29" s="1390">
        <f t="shared" si="18"/>
        <v>0</v>
      </c>
      <c r="AB29" s="1510">
        <f t="shared" si="19"/>
        <v>0</v>
      </c>
      <c r="AC29" s="1394">
        <f t="shared" si="20"/>
        <v>0</v>
      </c>
      <c r="AD29" s="1510">
        <f t="shared" si="21"/>
        <v>0</v>
      </c>
      <c r="AE29" s="1395">
        <v>0</v>
      </c>
      <c r="AF29" s="1510">
        <f t="shared" si="22"/>
        <v>0</v>
      </c>
      <c r="AG29" s="1395"/>
      <c r="AH29" s="1395">
        <f t="shared" si="23"/>
        <v>0</v>
      </c>
      <c r="AI29" s="1510">
        <f t="shared" si="24"/>
        <v>0</v>
      </c>
      <c r="AJ29" s="1505">
        <f t="shared" si="25"/>
        <v>0</v>
      </c>
      <c r="AK29" s="1535">
        <f t="shared" si="26"/>
        <v>0</v>
      </c>
    </row>
    <row r="30" spans="1:37" ht="16.2" customHeight="1">
      <c r="A30" s="1176">
        <v>24</v>
      </c>
      <c r="B30" s="1177" t="s">
        <v>104</v>
      </c>
      <c r="C30" s="1178">
        <v>0</v>
      </c>
      <c r="D30" s="1179">
        <f>+'Table 5C1A-Madison Prep'!D30</f>
        <v>2611.6740361576999</v>
      </c>
      <c r="E30" s="1180">
        <f t="shared" si="5"/>
        <v>0</v>
      </c>
      <c r="F30" s="1180">
        <f>+'Table 5C1A-Madison Prep'!F30</f>
        <v>854.24999999999989</v>
      </c>
      <c r="G30" s="1180">
        <f t="shared" si="6"/>
        <v>0</v>
      </c>
      <c r="H30" s="1539">
        <f t="shared" si="7"/>
        <v>0</v>
      </c>
      <c r="I30" s="1181"/>
      <c r="J30" s="1181"/>
      <c r="K30" s="1182">
        <f t="shared" si="8"/>
        <v>0</v>
      </c>
      <c r="L30" s="1539">
        <f t="shared" si="9"/>
        <v>0</v>
      </c>
      <c r="M30" s="1388">
        <f t="shared" si="4"/>
        <v>0</v>
      </c>
      <c r="N30" s="1539">
        <f t="shared" si="10"/>
        <v>0</v>
      </c>
      <c r="O30" s="1179">
        <v>0</v>
      </c>
      <c r="P30" s="1545">
        <f t="shared" si="11"/>
        <v>0</v>
      </c>
      <c r="Q30" s="1181"/>
      <c r="R30" s="1181">
        <f t="shared" si="12"/>
        <v>0</v>
      </c>
      <c r="S30" s="1545">
        <f t="shared" si="13"/>
        <v>0</v>
      </c>
      <c r="T30" s="1545">
        <f t="shared" si="14"/>
        <v>0</v>
      </c>
      <c r="U30" s="1389">
        <f>'Table 5C1A-Madison Prep'!U30</f>
        <v>10053</v>
      </c>
      <c r="V30" s="1515">
        <f t="shared" si="15"/>
        <v>0</v>
      </c>
      <c r="W30" s="1391"/>
      <c r="X30" s="1392">
        <f t="shared" si="16"/>
        <v>0</v>
      </c>
      <c r="Y30" s="1391"/>
      <c r="Z30" s="1392">
        <f t="shared" si="17"/>
        <v>0</v>
      </c>
      <c r="AA30" s="1390">
        <f t="shared" si="18"/>
        <v>0</v>
      </c>
      <c r="AB30" s="1510">
        <f t="shared" si="19"/>
        <v>0</v>
      </c>
      <c r="AC30" s="1394">
        <f t="shared" si="20"/>
        <v>0</v>
      </c>
      <c r="AD30" s="1510">
        <f t="shared" si="21"/>
        <v>0</v>
      </c>
      <c r="AE30" s="1395">
        <v>0</v>
      </c>
      <c r="AF30" s="1510">
        <f t="shared" si="22"/>
        <v>0</v>
      </c>
      <c r="AG30" s="1395"/>
      <c r="AH30" s="1395">
        <f t="shared" si="23"/>
        <v>0</v>
      </c>
      <c r="AI30" s="1510">
        <f t="shared" si="24"/>
        <v>0</v>
      </c>
      <c r="AJ30" s="1505">
        <f t="shared" si="25"/>
        <v>0</v>
      </c>
      <c r="AK30" s="1535">
        <f t="shared" si="26"/>
        <v>0</v>
      </c>
    </row>
    <row r="31" spans="1:37" ht="16.2" customHeight="1">
      <c r="A31" s="1168">
        <v>25</v>
      </c>
      <c r="B31" s="1169" t="s">
        <v>105</v>
      </c>
      <c r="C31" s="1170">
        <v>0</v>
      </c>
      <c r="D31" s="1171">
        <f>+'Table 5C1A-Madison Prep'!D31</f>
        <v>4173.0720274945697</v>
      </c>
      <c r="E31" s="1172">
        <f t="shared" si="5"/>
        <v>0</v>
      </c>
      <c r="F31" s="1172">
        <f>+'Table 5C1A-Madison Prep'!F31</f>
        <v>653.73</v>
      </c>
      <c r="G31" s="1172">
        <f t="shared" si="6"/>
        <v>0</v>
      </c>
      <c r="H31" s="1540">
        <f t="shared" si="7"/>
        <v>0</v>
      </c>
      <c r="I31" s="1173"/>
      <c r="J31" s="1173"/>
      <c r="K31" s="1174">
        <f t="shared" si="8"/>
        <v>0</v>
      </c>
      <c r="L31" s="1540">
        <f t="shared" si="9"/>
        <v>0</v>
      </c>
      <c r="M31" s="1399">
        <f t="shared" si="4"/>
        <v>0</v>
      </c>
      <c r="N31" s="1540">
        <f t="shared" si="10"/>
        <v>0</v>
      </c>
      <c r="O31" s="1171">
        <v>0</v>
      </c>
      <c r="P31" s="1546">
        <f t="shared" si="11"/>
        <v>0</v>
      </c>
      <c r="Q31" s="1173"/>
      <c r="R31" s="1173">
        <f t="shared" si="12"/>
        <v>0</v>
      </c>
      <c r="S31" s="1546">
        <f t="shared" si="13"/>
        <v>0</v>
      </c>
      <c r="T31" s="1546">
        <f t="shared" si="14"/>
        <v>0</v>
      </c>
      <c r="U31" s="1382">
        <f>'Table 5C1A-Madison Prep'!U31</f>
        <v>5073</v>
      </c>
      <c r="V31" s="1516">
        <f t="shared" si="15"/>
        <v>0</v>
      </c>
      <c r="W31" s="1400"/>
      <c r="X31" s="1383">
        <f t="shared" si="16"/>
        <v>0</v>
      </c>
      <c r="Y31" s="1400"/>
      <c r="Z31" s="1383">
        <f t="shared" si="17"/>
        <v>0</v>
      </c>
      <c r="AA31" s="1384">
        <f t="shared" si="18"/>
        <v>0</v>
      </c>
      <c r="AB31" s="1511">
        <f t="shared" si="19"/>
        <v>0</v>
      </c>
      <c r="AC31" s="1402">
        <f t="shared" si="20"/>
        <v>0</v>
      </c>
      <c r="AD31" s="1511">
        <f t="shared" si="21"/>
        <v>0</v>
      </c>
      <c r="AE31" s="1385">
        <v>0</v>
      </c>
      <c r="AF31" s="1511">
        <f t="shared" si="22"/>
        <v>0</v>
      </c>
      <c r="AG31" s="1385"/>
      <c r="AH31" s="1385">
        <f t="shared" si="23"/>
        <v>0</v>
      </c>
      <c r="AI31" s="1511">
        <f t="shared" si="24"/>
        <v>0</v>
      </c>
      <c r="AJ31" s="1531">
        <f t="shared" si="25"/>
        <v>0</v>
      </c>
      <c r="AK31" s="1536">
        <f t="shared" si="26"/>
        <v>0</v>
      </c>
    </row>
    <row r="32" spans="1:37" ht="16.2" customHeight="1">
      <c r="A32" s="1183">
        <v>26</v>
      </c>
      <c r="B32" s="1184" t="s">
        <v>106</v>
      </c>
      <c r="C32" s="1185">
        <v>0</v>
      </c>
      <c r="D32" s="1186">
        <f>+'Table 5C1A-Madison Prep'!D32</f>
        <v>3424.5649970570835</v>
      </c>
      <c r="E32" s="1187">
        <f t="shared" si="5"/>
        <v>0</v>
      </c>
      <c r="F32" s="1187">
        <f>+'Table 5C1A-Madison Prep'!F32</f>
        <v>836.83</v>
      </c>
      <c r="G32" s="1187">
        <f t="shared" si="6"/>
        <v>0</v>
      </c>
      <c r="H32" s="1538">
        <f t="shared" si="7"/>
        <v>0</v>
      </c>
      <c r="I32" s="1188"/>
      <c r="J32" s="1188"/>
      <c r="K32" s="1189">
        <f t="shared" si="8"/>
        <v>0</v>
      </c>
      <c r="L32" s="1538">
        <f t="shared" si="9"/>
        <v>0</v>
      </c>
      <c r="M32" s="1372">
        <f t="shared" si="4"/>
        <v>0</v>
      </c>
      <c r="N32" s="1538">
        <f t="shared" si="10"/>
        <v>0</v>
      </c>
      <c r="O32" s="1186">
        <v>0</v>
      </c>
      <c r="P32" s="1544">
        <f t="shared" si="11"/>
        <v>0</v>
      </c>
      <c r="Q32" s="1188"/>
      <c r="R32" s="1188">
        <f t="shared" si="12"/>
        <v>0</v>
      </c>
      <c r="S32" s="1544">
        <f t="shared" si="13"/>
        <v>0</v>
      </c>
      <c r="T32" s="1544">
        <f t="shared" si="14"/>
        <v>0</v>
      </c>
      <c r="U32" s="1373">
        <f>'Table 5C1A-Madison Prep'!U32</f>
        <v>5260</v>
      </c>
      <c r="V32" s="1514">
        <f t="shared" si="15"/>
        <v>0</v>
      </c>
      <c r="W32" s="1375"/>
      <c r="X32" s="1376">
        <f t="shared" si="16"/>
        <v>0</v>
      </c>
      <c r="Y32" s="1375"/>
      <c r="Z32" s="1376">
        <f t="shared" si="17"/>
        <v>0</v>
      </c>
      <c r="AA32" s="1374">
        <f t="shared" si="18"/>
        <v>0</v>
      </c>
      <c r="AB32" s="1509">
        <f t="shared" si="19"/>
        <v>0</v>
      </c>
      <c r="AC32" s="1378">
        <f t="shared" si="20"/>
        <v>0</v>
      </c>
      <c r="AD32" s="1509">
        <f t="shared" si="21"/>
        <v>0</v>
      </c>
      <c r="AE32" s="1379">
        <v>0</v>
      </c>
      <c r="AF32" s="1509">
        <f t="shared" si="22"/>
        <v>0</v>
      </c>
      <c r="AG32" s="1379"/>
      <c r="AH32" s="1379">
        <f t="shared" si="23"/>
        <v>0</v>
      </c>
      <c r="AI32" s="1509">
        <f t="shared" si="24"/>
        <v>0</v>
      </c>
      <c r="AJ32" s="1530">
        <f t="shared" si="25"/>
        <v>0</v>
      </c>
      <c r="AK32" s="1534">
        <f t="shared" si="26"/>
        <v>0</v>
      </c>
    </row>
    <row r="33" spans="1:37" ht="16.2" customHeight="1">
      <c r="A33" s="1176">
        <v>27</v>
      </c>
      <c r="B33" s="1177" t="s">
        <v>107</v>
      </c>
      <c r="C33" s="1178">
        <v>0</v>
      </c>
      <c r="D33" s="1179">
        <f>+'Table 5C1A-Madison Prep'!D33</f>
        <v>5804.9013839977006</v>
      </c>
      <c r="E33" s="1180">
        <f t="shared" si="5"/>
        <v>0</v>
      </c>
      <c r="F33" s="1180">
        <f>+'Table 5C1A-Madison Prep'!F33</f>
        <v>693.06</v>
      </c>
      <c r="G33" s="1180">
        <f t="shared" si="6"/>
        <v>0</v>
      </c>
      <c r="H33" s="1539">
        <f t="shared" si="7"/>
        <v>0</v>
      </c>
      <c r="I33" s="1181"/>
      <c r="J33" s="1181"/>
      <c r="K33" s="1182">
        <f t="shared" si="8"/>
        <v>0</v>
      </c>
      <c r="L33" s="1539">
        <f t="shared" si="9"/>
        <v>0</v>
      </c>
      <c r="M33" s="1388">
        <f t="shared" si="4"/>
        <v>0</v>
      </c>
      <c r="N33" s="1539">
        <f t="shared" si="10"/>
        <v>0</v>
      </c>
      <c r="O33" s="1179">
        <v>0</v>
      </c>
      <c r="P33" s="1545">
        <f t="shared" si="11"/>
        <v>0</v>
      </c>
      <c r="Q33" s="1181"/>
      <c r="R33" s="1181">
        <f t="shared" si="12"/>
        <v>0</v>
      </c>
      <c r="S33" s="1545">
        <f t="shared" si="13"/>
        <v>0</v>
      </c>
      <c r="T33" s="1545">
        <f t="shared" si="14"/>
        <v>0</v>
      </c>
      <c r="U33" s="1389">
        <f>'Table 5C1A-Madison Prep'!U33</f>
        <v>3169</v>
      </c>
      <c r="V33" s="1515">
        <f t="shared" si="15"/>
        <v>0</v>
      </c>
      <c r="W33" s="1391"/>
      <c r="X33" s="1392">
        <f t="shared" si="16"/>
        <v>0</v>
      </c>
      <c r="Y33" s="1391"/>
      <c r="Z33" s="1392">
        <f t="shared" si="17"/>
        <v>0</v>
      </c>
      <c r="AA33" s="1390">
        <f t="shared" si="18"/>
        <v>0</v>
      </c>
      <c r="AB33" s="1510">
        <f t="shared" si="19"/>
        <v>0</v>
      </c>
      <c r="AC33" s="1394">
        <f t="shared" si="20"/>
        <v>0</v>
      </c>
      <c r="AD33" s="1510">
        <f t="shared" si="21"/>
        <v>0</v>
      </c>
      <c r="AE33" s="1395">
        <v>0</v>
      </c>
      <c r="AF33" s="1510">
        <f t="shared" si="22"/>
        <v>0</v>
      </c>
      <c r="AG33" s="1395"/>
      <c r="AH33" s="1395">
        <f t="shared" si="23"/>
        <v>0</v>
      </c>
      <c r="AI33" s="1510">
        <f t="shared" si="24"/>
        <v>0</v>
      </c>
      <c r="AJ33" s="1505">
        <f t="shared" si="25"/>
        <v>0</v>
      </c>
      <c r="AK33" s="1535">
        <f t="shared" si="26"/>
        <v>0</v>
      </c>
    </row>
    <row r="34" spans="1:37" ht="16.2" customHeight="1">
      <c r="A34" s="1176">
        <v>28</v>
      </c>
      <c r="B34" s="1177" t="s">
        <v>108</v>
      </c>
      <c r="C34" s="1178">
        <v>0</v>
      </c>
      <c r="D34" s="1179">
        <f>+'Table 5C1A-Madison Prep'!D34</f>
        <v>3137.4158846568821</v>
      </c>
      <c r="E34" s="1180">
        <f t="shared" si="5"/>
        <v>0</v>
      </c>
      <c r="F34" s="1180">
        <f>+'Table 5C1A-Madison Prep'!F34</f>
        <v>694.4</v>
      </c>
      <c r="G34" s="1180">
        <f t="shared" si="6"/>
        <v>0</v>
      </c>
      <c r="H34" s="1539">
        <f t="shared" si="7"/>
        <v>0</v>
      </c>
      <c r="I34" s="1181"/>
      <c r="J34" s="1181"/>
      <c r="K34" s="1182">
        <f t="shared" si="8"/>
        <v>0</v>
      </c>
      <c r="L34" s="1539">
        <f t="shared" si="9"/>
        <v>0</v>
      </c>
      <c r="M34" s="1388">
        <f t="shared" si="4"/>
        <v>0</v>
      </c>
      <c r="N34" s="1539">
        <f t="shared" si="10"/>
        <v>0</v>
      </c>
      <c r="O34" s="1179">
        <v>0</v>
      </c>
      <c r="P34" s="1545">
        <f t="shared" si="11"/>
        <v>0</v>
      </c>
      <c r="Q34" s="1181"/>
      <c r="R34" s="1181">
        <f t="shared" si="12"/>
        <v>0</v>
      </c>
      <c r="S34" s="1545">
        <f t="shared" si="13"/>
        <v>0</v>
      </c>
      <c r="T34" s="1545">
        <f t="shared" si="14"/>
        <v>0</v>
      </c>
      <c r="U34" s="1389">
        <f>'Table 5C1A-Madison Prep'!U34</f>
        <v>5790</v>
      </c>
      <c r="V34" s="1515">
        <f t="shared" si="15"/>
        <v>0</v>
      </c>
      <c r="W34" s="1391"/>
      <c r="X34" s="1392">
        <f t="shared" si="16"/>
        <v>0</v>
      </c>
      <c r="Y34" s="1391"/>
      <c r="Z34" s="1392">
        <f t="shared" si="17"/>
        <v>0</v>
      </c>
      <c r="AA34" s="1390">
        <f t="shared" si="18"/>
        <v>0</v>
      </c>
      <c r="AB34" s="1510">
        <f t="shared" si="19"/>
        <v>0</v>
      </c>
      <c r="AC34" s="1394">
        <f t="shared" si="20"/>
        <v>0</v>
      </c>
      <c r="AD34" s="1510">
        <f t="shared" si="21"/>
        <v>0</v>
      </c>
      <c r="AE34" s="1395">
        <v>0</v>
      </c>
      <c r="AF34" s="1510">
        <f t="shared" si="22"/>
        <v>0</v>
      </c>
      <c r="AG34" s="1395"/>
      <c r="AH34" s="1395">
        <f t="shared" si="23"/>
        <v>0</v>
      </c>
      <c r="AI34" s="1510">
        <f t="shared" si="24"/>
        <v>0</v>
      </c>
      <c r="AJ34" s="1505">
        <f t="shared" si="25"/>
        <v>0</v>
      </c>
      <c r="AK34" s="1535">
        <f t="shared" si="26"/>
        <v>0</v>
      </c>
    </row>
    <row r="35" spans="1:37" ht="16.2" customHeight="1">
      <c r="A35" s="1176">
        <v>29</v>
      </c>
      <c r="B35" s="1177" t="s">
        <v>109</v>
      </c>
      <c r="C35" s="1178">
        <v>0</v>
      </c>
      <c r="D35" s="1179">
        <f>+'Table 5C1A-Madison Prep'!D35</f>
        <v>3839.0123210173724</v>
      </c>
      <c r="E35" s="1180">
        <f t="shared" si="5"/>
        <v>0</v>
      </c>
      <c r="F35" s="1180">
        <f>+'Table 5C1A-Madison Prep'!F35</f>
        <v>754.94999999999993</v>
      </c>
      <c r="G35" s="1180">
        <f t="shared" si="6"/>
        <v>0</v>
      </c>
      <c r="H35" s="1539">
        <f t="shared" si="7"/>
        <v>0</v>
      </c>
      <c r="I35" s="1181"/>
      <c r="J35" s="1181"/>
      <c r="K35" s="1182">
        <f t="shared" si="8"/>
        <v>0</v>
      </c>
      <c r="L35" s="1539">
        <f t="shared" si="9"/>
        <v>0</v>
      </c>
      <c r="M35" s="1388">
        <f t="shared" si="4"/>
        <v>0</v>
      </c>
      <c r="N35" s="1539">
        <f t="shared" si="10"/>
        <v>0</v>
      </c>
      <c r="O35" s="1179">
        <v>0</v>
      </c>
      <c r="P35" s="1545">
        <f t="shared" si="11"/>
        <v>0</v>
      </c>
      <c r="Q35" s="1181"/>
      <c r="R35" s="1181">
        <f t="shared" si="12"/>
        <v>0</v>
      </c>
      <c r="S35" s="1545">
        <f t="shared" si="13"/>
        <v>0</v>
      </c>
      <c r="T35" s="1545">
        <f t="shared" si="14"/>
        <v>0</v>
      </c>
      <c r="U35" s="1389">
        <f>'Table 5C1A-Madison Prep'!U35</f>
        <v>5069</v>
      </c>
      <c r="V35" s="1515">
        <f t="shared" si="15"/>
        <v>0</v>
      </c>
      <c r="W35" s="1391"/>
      <c r="X35" s="1392">
        <f t="shared" si="16"/>
        <v>0</v>
      </c>
      <c r="Y35" s="1391"/>
      <c r="Z35" s="1392">
        <f t="shared" si="17"/>
        <v>0</v>
      </c>
      <c r="AA35" s="1390">
        <f t="shared" si="18"/>
        <v>0</v>
      </c>
      <c r="AB35" s="1510">
        <f t="shared" si="19"/>
        <v>0</v>
      </c>
      <c r="AC35" s="1394">
        <f t="shared" si="20"/>
        <v>0</v>
      </c>
      <c r="AD35" s="1510">
        <f t="shared" si="21"/>
        <v>0</v>
      </c>
      <c r="AE35" s="1395">
        <v>0</v>
      </c>
      <c r="AF35" s="1510">
        <f t="shared" si="22"/>
        <v>0</v>
      </c>
      <c r="AG35" s="1395"/>
      <c r="AH35" s="1395">
        <f t="shared" si="23"/>
        <v>0</v>
      </c>
      <c r="AI35" s="1510">
        <f t="shared" si="24"/>
        <v>0</v>
      </c>
      <c r="AJ35" s="1505">
        <f t="shared" si="25"/>
        <v>0</v>
      </c>
      <c r="AK35" s="1535">
        <f t="shared" si="26"/>
        <v>0</v>
      </c>
    </row>
    <row r="36" spans="1:37" ht="16.2" customHeight="1">
      <c r="A36" s="1168">
        <v>30</v>
      </c>
      <c r="B36" s="1169" t="s">
        <v>110</v>
      </c>
      <c r="C36" s="1170">
        <v>0</v>
      </c>
      <c r="D36" s="1171">
        <f>+'Table 5C1A-Madison Prep'!D36</f>
        <v>5804.5327273996763</v>
      </c>
      <c r="E36" s="1172">
        <f t="shared" si="5"/>
        <v>0</v>
      </c>
      <c r="F36" s="1172">
        <f>+'Table 5C1A-Madison Prep'!F36</f>
        <v>727.17</v>
      </c>
      <c r="G36" s="1172">
        <f t="shared" si="6"/>
        <v>0</v>
      </c>
      <c r="H36" s="1540">
        <f t="shared" si="7"/>
        <v>0</v>
      </c>
      <c r="I36" s="1173"/>
      <c r="J36" s="1173"/>
      <c r="K36" s="1174">
        <f t="shared" si="8"/>
        <v>0</v>
      </c>
      <c r="L36" s="1540">
        <f t="shared" si="9"/>
        <v>0</v>
      </c>
      <c r="M36" s="1399">
        <f t="shared" si="4"/>
        <v>0</v>
      </c>
      <c r="N36" s="1540">
        <f t="shared" si="10"/>
        <v>0</v>
      </c>
      <c r="O36" s="1171">
        <v>0</v>
      </c>
      <c r="P36" s="1546">
        <f t="shared" si="11"/>
        <v>0</v>
      </c>
      <c r="Q36" s="1173"/>
      <c r="R36" s="1173">
        <f t="shared" si="12"/>
        <v>0</v>
      </c>
      <c r="S36" s="1546">
        <f t="shared" si="13"/>
        <v>0</v>
      </c>
      <c r="T36" s="1546">
        <f t="shared" si="14"/>
        <v>0</v>
      </c>
      <c r="U36" s="1382">
        <f>'Table 5C1A-Madison Prep'!U36</f>
        <v>3609</v>
      </c>
      <c r="V36" s="1516">
        <f t="shared" si="15"/>
        <v>0</v>
      </c>
      <c r="W36" s="1400"/>
      <c r="X36" s="1383">
        <f t="shared" si="16"/>
        <v>0</v>
      </c>
      <c r="Y36" s="1400"/>
      <c r="Z36" s="1383">
        <f t="shared" si="17"/>
        <v>0</v>
      </c>
      <c r="AA36" s="1384">
        <f t="shared" si="18"/>
        <v>0</v>
      </c>
      <c r="AB36" s="1511">
        <f t="shared" si="19"/>
        <v>0</v>
      </c>
      <c r="AC36" s="1402">
        <f t="shared" si="20"/>
        <v>0</v>
      </c>
      <c r="AD36" s="1511">
        <f t="shared" si="21"/>
        <v>0</v>
      </c>
      <c r="AE36" s="1385">
        <v>0</v>
      </c>
      <c r="AF36" s="1511">
        <f t="shared" si="22"/>
        <v>0</v>
      </c>
      <c r="AG36" s="1385"/>
      <c r="AH36" s="1385">
        <f t="shared" si="23"/>
        <v>0</v>
      </c>
      <c r="AI36" s="1511">
        <f t="shared" si="24"/>
        <v>0</v>
      </c>
      <c r="AJ36" s="1531">
        <f t="shared" si="25"/>
        <v>0</v>
      </c>
      <c r="AK36" s="1536">
        <f t="shared" si="26"/>
        <v>0</v>
      </c>
    </row>
    <row r="37" spans="1:37" ht="16.2" customHeight="1">
      <c r="A37" s="1183">
        <v>31</v>
      </c>
      <c r="B37" s="1184" t="s">
        <v>111</v>
      </c>
      <c r="C37" s="1185">
        <v>0</v>
      </c>
      <c r="D37" s="1186">
        <f>+'Table 5C1A-Madison Prep'!D37</f>
        <v>4520.6176716868531</v>
      </c>
      <c r="E37" s="1187">
        <f t="shared" si="5"/>
        <v>0</v>
      </c>
      <c r="F37" s="1187">
        <f>+'Table 5C1A-Madison Prep'!F37</f>
        <v>620.83000000000004</v>
      </c>
      <c r="G37" s="1187">
        <f t="shared" si="6"/>
        <v>0</v>
      </c>
      <c r="H37" s="1538">
        <f t="shared" si="7"/>
        <v>0</v>
      </c>
      <c r="I37" s="1188"/>
      <c r="J37" s="1188"/>
      <c r="K37" s="1189">
        <f t="shared" si="8"/>
        <v>0</v>
      </c>
      <c r="L37" s="1538">
        <f t="shared" si="9"/>
        <v>0</v>
      </c>
      <c r="M37" s="1372">
        <f t="shared" si="4"/>
        <v>0</v>
      </c>
      <c r="N37" s="1538">
        <f t="shared" si="10"/>
        <v>0</v>
      </c>
      <c r="O37" s="1186">
        <v>0</v>
      </c>
      <c r="P37" s="1544">
        <f t="shared" si="11"/>
        <v>0</v>
      </c>
      <c r="Q37" s="1188"/>
      <c r="R37" s="1188">
        <f t="shared" si="12"/>
        <v>0</v>
      </c>
      <c r="S37" s="1544">
        <f t="shared" si="13"/>
        <v>0</v>
      </c>
      <c r="T37" s="1544">
        <f t="shared" si="14"/>
        <v>0</v>
      </c>
      <c r="U37" s="1373">
        <f>'Table 5C1A-Madison Prep'!U37</f>
        <v>5043</v>
      </c>
      <c r="V37" s="1514">
        <f t="shared" si="15"/>
        <v>0</v>
      </c>
      <c r="W37" s="1375"/>
      <c r="X37" s="1376">
        <f t="shared" si="16"/>
        <v>0</v>
      </c>
      <c r="Y37" s="1375"/>
      <c r="Z37" s="1376">
        <f t="shared" si="17"/>
        <v>0</v>
      </c>
      <c r="AA37" s="1374">
        <f t="shared" si="18"/>
        <v>0</v>
      </c>
      <c r="AB37" s="1509">
        <f t="shared" si="19"/>
        <v>0</v>
      </c>
      <c r="AC37" s="1378">
        <f t="shared" si="20"/>
        <v>0</v>
      </c>
      <c r="AD37" s="1509">
        <f t="shared" si="21"/>
        <v>0</v>
      </c>
      <c r="AE37" s="1379">
        <v>0</v>
      </c>
      <c r="AF37" s="1509">
        <f t="shared" si="22"/>
        <v>0</v>
      </c>
      <c r="AG37" s="1379"/>
      <c r="AH37" s="1379">
        <f t="shared" si="23"/>
        <v>0</v>
      </c>
      <c r="AI37" s="1509">
        <f t="shared" si="24"/>
        <v>0</v>
      </c>
      <c r="AJ37" s="1530">
        <f t="shared" si="25"/>
        <v>0</v>
      </c>
      <c r="AK37" s="1534">
        <f t="shared" si="26"/>
        <v>0</v>
      </c>
    </row>
    <row r="38" spans="1:37" ht="16.2" customHeight="1">
      <c r="A38" s="1176">
        <v>32</v>
      </c>
      <c r="B38" s="1177" t="s">
        <v>112</v>
      </c>
      <c r="C38" s="1178">
        <v>0</v>
      </c>
      <c r="D38" s="1179">
        <f>+'Table 5C1A-Madison Prep'!D38</f>
        <v>5652.819189061127</v>
      </c>
      <c r="E38" s="1180">
        <f t="shared" si="5"/>
        <v>0</v>
      </c>
      <c r="F38" s="1180">
        <f>+'Table 5C1A-Madison Prep'!F38</f>
        <v>559.77</v>
      </c>
      <c r="G38" s="1180">
        <f t="shared" si="6"/>
        <v>0</v>
      </c>
      <c r="H38" s="1539">
        <f t="shared" si="7"/>
        <v>0</v>
      </c>
      <c r="I38" s="1181"/>
      <c r="J38" s="1181"/>
      <c r="K38" s="1182">
        <f t="shared" si="8"/>
        <v>0</v>
      </c>
      <c r="L38" s="1539">
        <f t="shared" si="9"/>
        <v>0</v>
      </c>
      <c r="M38" s="1388">
        <f t="shared" si="4"/>
        <v>0</v>
      </c>
      <c r="N38" s="1539">
        <f t="shared" si="10"/>
        <v>0</v>
      </c>
      <c r="O38" s="1179">
        <v>0</v>
      </c>
      <c r="P38" s="1545">
        <f t="shared" si="11"/>
        <v>0</v>
      </c>
      <c r="Q38" s="1181"/>
      <c r="R38" s="1181">
        <f t="shared" si="12"/>
        <v>0</v>
      </c>
      <c r="S38" s="1545">
        <f t="shared" si="13"/>
        <v>0</v>
      </c>
      <c r="T38" s="1545">
        <f t="shared" si="14"/>
        <v>0</v>
      </c>
      <c r="U38" s="1389">
        <f>'Table 5C1A-Madison Prep'!U38</f>
        <v>2121</v>
      </c>
      <c r="V38" s="1515">
        <f t="shared" si="15"/>
        <v>0</v>
      </c>
      <c r="W38" s="1391"/>
      <c r="X38" s="1392">
        <f t="shared" si="16"/>
        <v>0</v>
      </c>
      <c r="Y38" s="1391"/>
      <c r="Z38" s="1392">
        <f t="shared" si="17"/>
        <v>0</v>
      </c>
      <c r="AA38" s="1390">
        <f t="shared" si="18"/>
        <v>0</v>
      </c>
      <c r="AB38" s="1510">
        <f t="shared" si="19"/>
        <v>0</v>
      </c>
      <c r="AC38" s="1394">
        <f t="shared" si="20"/>
        <v>0</v>
      </c>
      <c r="AD38" s="1510">
        <f t="shared" si="21"/>
        <v>0</v>
      </c>
      <c r="AE38" s="1395">
        <v>0</v>
      </c>
      <c r="AF38" s="1510">
        <f t="shared" si="22"/>
        <v>0</v>
      </c>
      <c r="AG38" s="1395"/>
      <c r="AH38" s="1395">
        <f t="shared" si="23"/>
        <v>0</v>
      </c>
      <c r="AI38" s="1510">
        <f t="shared" si="24"/>
        <v>0</v>
      </c>
      <c r="AJ38" s="1505">
        <f t="shared" si="25"/>
        <v>0</v>
      </c>
      <c r="AK38" s="1535">
        <f t="shared" si="26"/>
        <v>0</v>
      </c>
    </row>
    <row r="39" spans="1:37" ht="16.2" customHeight="1">
      <c r="A39" s="1176">
        <v>33</v>
      </c>
      <c r="B39" s="1177" t="s">
        <v>113</v>
      </c>
      <c r="C39" s="1178">
        <v>0</v>
      </c>
      <c r="D39" s="1179">
        <f>+'Table 5C1A-Madison Prep'!D39</f>
        <v>5456.2254558085233</v>
      </c>
      <c r="E39" s="1180">
        <f t="shared" si="5"/>
        <v>0</v>
      </c>
      <c r="F39" s="1180">
        <f>+'Table 5C1A-Madison Prep'!F39</f>
        <v>655.31000000000006</v>
      </c>
      <c r="G39" s="1180">
        <f t="shared" si="6"/>
        <v>0</v>
      </c>
      <c r="H39" s="1539">
        <f t="shared" si="7"/>
        <v>0</v>
      </c>
      <c r="I39" s="1181"/>
      <c r="J39" s="1181"/>
      <c r="K39" s="1182">
        <f t="shared" si="8"/>
        <v>0</v>
      </c>
      <c r="L39" s="1539">
        <f t="shared" si="9"/>
        <v>0</v>
      </c>
      <c r="M39" s="1388">
        <f t="shared" si="4"/>
        <v>0</v>
      </c>
      <c r="N39" s="1539">
        <f t="shared" si="10"/>
        <v>0</v>
      </c>
      <c r="O39" s="1179">
        <v>0</v>
      </c>
      <c r="P39" s="1545">
        <f t="shared" si="11"/>
        <v>0</v>
      </c>
      <c r="Q39" s="1181"/>
      <c r="R39" s="1181">
        <f t="shared" si="12"/>
        <v>0</v>
      </c>
      <c r="S39" s="1545">
        <f t="shared" si="13"/>
        <v>0</v>
      </c>
      <c r="T39" s="1545">
        <f t="shared" si="14"/>
        <v>0</v>
      </c>
      <c r="U39" s="1389">
        <f>'Table 5C1A-Madison Prep'!U39</f>
        <v>3616</v>
      </c>
      <c r="V39" s="1515">
        <f t="shared" si="15"/>
        <v>0</v>
      </c>
      <c r="W39" s="1391"/>
      <c r="X39" s="1392">
        <f t="shared" si="16"/>
        <v>0</v>
      </c>
      <c r="Y39" s="1391"/>
      <c r="Z39" s="1392">
        <f t="shared" si="17"/>
        <v>0</v>
      </c>
      <c r="AA39" s="1390">
        <f t="shared" si="18"/>
        <v>0</v>
      </c>
      <c r="AB39" s="1510">
        <f t="shared" si="19"/>
        <v>0</v>
      </c>
      <c r="AC39" s="1394">
        <f t="shared" si="20"/>
        <v>0</v>
      </c>
      <c r="AD39" s="1510">
        <f t="shared" si="21"/>
        <v>0</v>
      </c>
      <c r="AE39" s="1395">
        <v>0</v>
      </c>
      <c r="AF39" s="1510">
        <f t="shared" si="22"/>
        <v>0</v>
      </c>
      <c r="AG39" s="1395"/>
      <c r="AH39" s="1395">
        <f t="shared" si="23"/>
        <v>0</v>
      </c>
      <c r="AI39" s="1510">
        <f t="shared" si="24"/>
        <v>0</v>
      </c>
      <c r="AJ39" s="1505">
        <f t="shared" si="25"/>
        <v>0</v>
      </c>
      <c r="AK39" s="1535">
        <f t="shared" si="26"/>
        <v>0</v>
      </c>
    </row>
    <row r="40" spans="1:37" ht="16.2" customHeight="1">
      <c r="A40" s="1176">
        <v>34</v>
      </c>
      <c r="B40" s="1177" t="s">
        <v>114</v>
      </c>
      <c r="C40" s="1178">
        <v>0</v>
      </c>
      <c r="D40" s="1179">
        <f>+'Table 5C1A-Madison Prep'!D40</f>
        <v>6292.0976842789005</v>
      </c>
      <c r="E40" s="1180">
        <f t="shared" si="5"/>
        <v>0</v>
      </c>
      <c r="F40" s="1180">
        <f>+'Table 5C1A-Madison Prep'!F40</f>
        <v>644.11000000000013</v>
      </c>
      <c r="G40" s="1180">
        <f t="shared" si="6"/>
        <v>0</v>
      </c>
      <c r="H40" s="1539">
        <f t="shared" si="7"/>
        <v>0</v>
      </c>
      <c r="I40" s="1181"/>
      <c r="J40" s="1181"/>
      <c r="K40" s="1182">
        <f t="shared" si="8"/>
        <v>0</v>
      </c>
      <c r="L40" s="1539">
        <f t="shared" si="9"/>
        <v>0</v>
      </c>
      <c r="M40" s="1388">
        <f t="shared" si="4"/>
        <v>0</v>
      </c>
      <c r="N40" s="1539">
        <f t="shared" si="10"/>
        <v>0</v>
      </c>
      <c r="O40" s="1179">
        <v>0</v>
      </c>
      <c r="P40" s="1545">
        <f t="shared" si="11"/>
        <v>0</v>
      </c>
      <c r="Q40" s="1181"/>
      <c r="R40" s="1181">
        <f t="shared" si="12"/>
        <v>0</v>
      </c>
      <c r="S40" s="1545">
        <f t="shared" si="13"/>
        <v>0</v>
      </c>
      <c r="T40" s="1545">
        <f t="shared" si="14"/>
        <v>0</v>
      </c>
      <c r="U40" s="1389">
        <f>'Table 5C1A-Madison Prep'!U40</f>
        <v>2721</v>
      </c>
      <c r="V40" s="1515">
        <f t="shared" si="15"/>
        <v>0</v>
      </c>
      <c r="W40" s="1391"/>
      <c r="X40" s="1392">
        <f t="shared" si="16"/>
        <v>0</v>
      </c>
      <c r="Y40" s="1391"/>
      <c r="Z40" s="1392">
        <f t="shared" si="17"/>
        <v>0</v>
      </c>
      <c r="AA40" s="1390">
        <f t="shared" si="18"/>
        <v>0</v>
      </c>
      <c r="AB40" s="1510">
        <f t="shared" si="19"/>
        <v>0</v>
      </c>
      <c r="AC40" s="1394">
        <f t="shared" si="20"/>
        <v>0</v>
      </c>
      <c r="AD40" s="1510">
        <f t="shared" si="21"/>
        <v>0</v>
      </c>
      <c r="AE40" s="1395">
        <v>0</v>
      </c>
      <c r="AF40" s="1510">
        <f t="shared" si="22"/>
        <v>0</v>
      </c>
      <c r="AG40" s="1395"/>
      <c r="AH40" s="1395">
        <f t="shared" si="23"/>
        <v>0</v>
      </c>
      <c r="AI40" s="1510">
        <f t="shared" si="24"/>
        <v>0</v>
      </c>
      <c r="AJ40" s="1505">
        <f t="shared" si="25"/>
        <v>0</v>
      </c>
      <c r="AK40" s="1535">
        <f t="shared" si="26"/>
        <v>0</v>
      </c>
    </row>
    <row r="41" spans="1:37" ht="16.2" customHeight="1">
      <c r="A41" s="1168">
        <v>35</v>
      </c>
      <c r="B41" s="1169" t="s">
        <v>115</v>
      </c>
      <c r="C41" s="1170">
        <v>0</v>
      </c>
      <c r="D41" s="1171">
        <f>+'Table 5C1A-Madison Prep'!D41</f>
        <v>5166.2482060477605</v>
      </c>
      <c r="E41" s="1172">
        <f t="shared" si="5"/>
        <v>0</v>
      </c>
      <c r="F41" s="1172">
        <f>+'Table 5C1A-Madison Prep'!F41</f>
        <v>537.96</v>
      </c>
      <c r="G41" s="1172">
        <f t="shared" si="6"/>
        <v>0</v>
      </c>
      <c r="H41" s="1540">
        <f t="shared" si="7"/>
        <v>0</v>
      </c>
      <c r="I41" s="1173"/>
      <c r="J41" s="1173"/>
      <c r="K41" s="1174">
        <f t="shared" si="8"/>
        <v>0</v>
      </c>
      <c r="L41" s="1540">
        <f t="shared" si="9"/>
        <v>0</v>
      </c>
      <c r="M41" s="1399">
        <f t="shared" si="4"/>
        <v>0</v>
      </c>
      <c r="N41" s="1540">
        <f t="shared" si="10"/>
        <v>0</v>
      </c>
      <c r="O41" s="1171">
        <v>0</v>
      </c>
      <c r="P41" s="1546">
        <f t="shared" si="11"/>
        <v>0</v>
      </c>
      <c r="Q41" s="1173"/>
      <c r="R41" s="1173">
        <f t="shared" si="12"/>
        <v>0</v>
      </c>
      <c r="S41" s="1546">
        <f t="shared" si="13"/>
        <v>0</v>
      </c>
      <c r="T41" s="1546">
        <f t="shared" si="14"/>
        <v>0</v>
      </c>
      <c r="U41" s="1382">
        <f>'Table 5C1A-Madison Prep'!U41</f>
        <v>3255</v>
      </c>
      <c r="V41" s="1516">
        <f t="shared" si="15"/>
        <v>0</v>
      </c>
      <c r="W41" s="1400"/>
      <c r="X41" s="1383">
        <f t="shared" si="16"/>
        <v>0</v>
      </c>
      <c r="Y41" s="1400"/>
      <c r="Z41" s="1383">
        <f t="shared" si="17"/>
        <v>0</v>
      </c>
      <c r="AA41" s="1384">
        <f t="shared" si="18"/>
        <v>0</v>
      </c>
      <c r="AB41" s="1511">
        <f t="shared" si="19"/>
        <v>0</v>
      </c>
      <c r="AC41" s="1402">
        <f t="shared" si="20"/>
        <v>0</v>
      </c>
      <c r="AD41" s="1511">
        <f t="shared" si="21"/>
        <v>0</v>
      </c>
      <c r="AE41" s="1385">
        <v>0</v>
      </c>
      <c r="AF41" s="1511">
        <f t="shared" si="22"/>
        <v>0</v>
      </c>
      <c r="AG41" s="1385"/>
      <c r="AH41" s="1385">
        <f t="shared" si="23"/>
        <v>0</v>
      </c>
      <c r="AI41" s="1511">
        <f t="shared" si="24"/>
        <v>0</v>
      </c>
      <c r="AJ41" s="1531">
        <f t="shared" si="25"/>
        <v>0</v>
      </c>
      <c r="AK41" s="1536">
        <f t="shared" si="26"/>
        <v>0</v>
      </c>
    </row>
    <row r="42" spans="1:37" ht="16.2" customHeight="1">
      <c r="A42" s="1183">
        <v>36</v>
      </c>
      <c r="B42" s="1184" t="s">
        <v>116</v>
      </c>
      <c r="C42" s="1185">
        <v>0</v>
      </c>
      <c r="D42" s="1186">
        <f>+'Table 5C1A-Madison Prep'!D42</f>
        <v>3602.7009974327857</v>
      </c>
      <c r="E42" s="1187">
        <f t="shared" si="5"/>
        <v>0</v>
      </c>
      <c r="F42" s="1187">
        <f>+'Table 5C1A-Madison Prep'!F42</f>
        <v>746.0335616438357</v>
      </c>
      <c r="G42" s="1187">
        <f t="shared" si="6"/>
        <v>0</v>
      </c>
      <c r="H42" s="1538">
        <f t="shared" si="7"/>
        <v>0</v>
      </c>
      <c r="I42" s="1188"/>
      <c r="J42" s="1188"/>
      <c r="K42" s="1189">
        <f t="shared" si="8"/>
        <v>0</v>
      </c>
      <c r="L42" s="1538">
        <f t="shared" si="9"/>
        <v>0</v>
      </c>
      <c r="M42" s="1372">
        <f t="shared" si="4"/>
        <v>0</v>
      </c>
      <c r="N42" s="1538">
        <f t="shared" si="10"/>
        <v>0</v>
      </c>
      <c r="O42" s="1186">
        <v>0</v>
      </c>
      <c r="P42" s="1544">
        <f t="shared" si="11"/>
        <v>0</v>
      </c>
      <c r="Q42" s="1188"/>
      <c r="R42" s="1188">
        <f t="shared" si="12"/>
        <v>0</v>
      </c>
      <c r="S42" s="1544">
        <f t="shared" si="13"/>
        <v>0</v>
      </c>
      <c r="T42" s="1544">
        <f t="shared" si="14"/>
        <v>0</v>
      </c>
      <c r="U42" s="1373">
        <f>'Table 5C1A-Madison Prep'!U42</f>
        <v>5435</v>
      </c>
      <c r="V42" s="1514">
        <f t="shared" si="15"/>
        <v>0</v>
      </c>
      <c r="W42" s="1375"/>
      <c r="X42" s="1376">
        <f t="shared" si="16"/>
        <v>0</v>
      </c>
      <c r="Y42" s="1375"/>
      <c r="Z42" s="1376">
        <f t="shared" si="17"/>
        <v>0</v>
      </c>
      <c r="AA42" s="1374">
        <f t="shared" si="18"/>
        <v>0</v>
      </c>
      <c r="AB42" s="1509">
        <f t="shared" si="19"/>
        <v>0</v>
      </c>
      <c r="AC42" s="1378">
        <f t="shared" si="20"/>
        <v>0</v>
      </c>
      <c r="AD42" s="1509">
        <f t="shared" si="21"/>
        <v>0</v>
      </c>
      <c r="AE42" s="1379">
        <v>0</v>
      </c>
      <c r="AF42" s="1509">
        <f t="shared" si="22"/>
        <v>0</v>
      </c>
      <c r="AG42" s="1379"/>
      <c r="AH42" s="1379">
        <f t="shared" si="23"/>
        <v>0</v>
      </c>
      <c r="AI42" s="1509">
        <f t="shared" si="24"/>
        <v>0</v>
      </c>
      <c r="AJ42" s="1530">
        <f t="shared" si="25"/>
        <v>0</v>
      </c>
      <c r="AK42" s="1534">
        <f t="shared" si="26"/>
        <v>0</v>
      </c>
    </row>
    <row r="43" spans="1:37" ht="16.2" customHeight="1">
      <c r="A43" s="1176">
        <v>37</v>
      </c>
      <c r="B43" s="1177" t="s">
        <v>117</v>
      </c>
      <c r="C43" s="1178">
        <v>0</v>
      </c>
      <c r="D43" s="1179">
        <f>+'Table 5C1A-Madison Prep'!D43</f>
        <v>5665.3839260317691</v>
      </c>
      <c r="E43" s="1180">
        <f t="shared" si="5"/>
        <v>0</v>
      </c>
      <c r="F43" s="1180">
        <f>+'Table 5C1A-Madison Prep'!F43</f>
        <v>653.61</v>
      </c>
      <c r="G43" s="1180">
        <f t="shared" si="6"/>
        <v>0</v>
      </c>
      <c r="H43" s="1539">
        <f t="shared" si="7"/>
        <v>0</v>
      </c>
      <c r="I43" s="1181"/>
      <c r="J43" s="1181"/>
      <c r="K43" s="1182">
        <f t="shared" si="8"/>
        <v>0</v>
      </c>
      <c r="L43" s="1539">
        <f t="shared" si="9"/>
        <v>0</v>
      </c>
      <c r="M43" s="1388">
        <f t="shared" si="4"/>
        <v>0</v>
      </c>
      <c r="N43" s="1539">
        <f t="shared" si="10"/>
        <v>0</v>
      </c>
      <c r="O43" s="1179">
        <v>0</v>
      </c>
      <c r="P43" s="1545">
        <f t="shared" si="11"/>
        <v>0</v>
      </c>
      <c r="Q43" s="1181"/>
      <c r="R43" s="1181">
        <f t="shared" si="12"/>
        <v>0</v>
      </c>
      <c r="S43" s="1545">
        <f t="shared" si="13"/>
        <v>0</v>
      </c>
      <c r="T43" s="1545">
        <f t="shared" si="14"/>
        <v>0</v>
      </c>
      <c r="U43" s="1389">
        <f>'Table 5C1A-Madison Prep'!U43</f>
        <v>3520</v>
      </c>
      <c r="V43" s="1515">
        <f t="shared" si="15"/>
        <v>0</v>
      </c>
      <c r="W43" s="1391"/>
      <c r="X43" s="1392">
        <f t="shared" si="16"/>
        <v>0</v>
      </c>
      <c r="Y43" s="1391"/>
      <c r="Z43" s="1392">
        <f t="shared" si="17"/>
        <v>0</v>
      </c>
      <c r="AA43" s="1390">
        <f t="shared" si="18"/>
        <v>0</v>
      </c>
      <c r="AB43" s="1510">
        <f t="shared" si="19"/>
        <v>0</v>
      </c>
      <c r="AC43" s="1394">
        <f t="shared" si="20"/>
        <v>0</v>
      </c>
      <c r="AD43" s="1510">
        <f t="shared" si="21"/>
        <v>0</v>
      </c>
      <c r="AE43" s="1395">
        <v>0</v>
      </c>
      <c r="AF43" s="1510">
        <f t="shared" si="22"/>
        <v>0</v>
      </c>
      <c r="AG43" s="1395"/>
      <c r="AH43" s="1395">
        <f t="shared" si="23"/>
        <v>0</v>
      </c>
      <c r="AI43" s="1510">
        <f t="shared" si="24"/>
        <v>0</v>
      </c>
      <c r="AJ43" s="1505">
        <f t="shared" si="25"/>
        <v>0</v>
      </c>
      <c r="AK43" s="1535">
        <f t="shared" si="26"/>
        <v>0</v>
      </c>
    </row>
    <row r="44" spans="1:37" ht="16.2" customHeight="1">
      <c r="A44" s="1176">
        <v>38</v>
      </c>
      <c r="B44" s="1177" t="s">
        <v>118</v>
      </c>
      <c r="C44" s="1178">
        <v>0</v>
      </c>
      <c r="D44" s="1179">
        <f>+'Table 5C1A-Madison Prep'!D44</f>
        <v>2088.8017552916881</v>
      </c>
      <c r="E44" s="1180">
        <f t="shared" si="5"/>
        <v>0</v>
      </c>
      <c r="F44" s="1180">
        <f>+'Table 5C1A-Madison Prep'!F44</f>
        <v>829.92000000000007</v>
      </c>
      <c r="G44" s="1180">
        <f t="shared" si="6"/>
        <v>0</v>
      </c>
      <c r="H44" s="1539">
        <f t="shared" si="7"/>
        <v>0</v>
      </c>
      <c r="I44" s="1181"/>
      <c r="J44" s="1181"/>
      <c r="K44" s="1182">
        <f t="shared" si="8"/>
        <v>0</v>
      </c>
      <c r="L44" s="1539">
        <f t="shared" si="9"/>
        <v>0</v>
      </c>
      <c r="M44" s="1388">
        <f t="shared" si="4"/>
        <v>0</v>
      </c>
      <c r="N44" s="1539">
        <f t="shared" si="10"/>
        <v>0</v>
      </c>
      <c r="O44" s="1179">
        <v>0</v>
      </c>
      <c r="P44" s="1545">
        <f t="shared" si="11"/>
        <v>0</v>
      </c>
      <c r="Q44" s="1181"/>
      <c r="R44" s="1181">
        <f t="shared" si="12"/>
        <v>0</v>
      </c>
      <c r="S44" s="1545">
        <f t="shared" si="13"/>
        <v>0</v>
      </c>
      <c r="T44" s="1545">
        <f t="shared" si="14"/>
        <v>0</v>
      </c>
      <c r="U44" s="1389">
        <f>'Table 5C1A-Madison Prep'!U44</f>
        <v>11379</v>
      </c>
      <c r="V44" s="1515">
        <f t="shared" si="15"/>
        <v>0</v>
      </c>
      <c r="W44" s="1391"/>
      <c r="X44" s="1392">
        <f t="shared" si="16"/>
        <v>0</v>
      </c>
      <c r="Y44" s="1391"/>
      <c r="Z44" s="1392">
        <f t="shared" si="17"/>
        <v>0</v>
      </c>
      <c r="AA44" s="1390">
        <f t="shared" si="18"/>
        <v>0</v>
      </c>
      <c r="AB44" s="1510">
        <f t="shared" si="19"/>
        <v>0</v>
      </c>
      <c r="AC44" s="1394">
        <f t="shared" si="20"/>
        <v>0</v>
      </c>
      <c r="AD44" s="1510">
        <f t="shared" si="21"/>
        <v>0</v>
      </c>
      <c r="AE44" s="1395">
        <v>0</v>
      </c>
      <c r="AF44" s="1510">
        <f t="shared" si="22"/>
        <v>0</v>
      </c>
      <c r="AG44" s="1395"/>
      <c r="AH44" s="1395">
        <f t="shared" si="23"/>
        <v>0</v>
      </c>
      <c r="AI44" s="1510">
        <f t="shared" si="24"/>
        <v>0</v>
      </c>
      <c r="AJ44" s="1505">
        <f t="shared" si="25"/>
        <v>0</v>
      </c>
      <c r="AK44" s="1535">
        <f t="shared" si="26"/>
        <v>0</v>
      </c>
    </row>
    <row r="45" spans="1:37" ht="16.2" customHeight="1">
      <c r="A45" s="1176">
        <v>39</v>
      </c>
      <c r="B45" s="1177" t="s">
        <v>119</v>
      </c>
      <c r="C45" s="1178">
        <v>0</v>
      </c>
      <c r="D45" s="1179">
        <f>+'Table 5C1A-Madison Prep'!D45</f>
        <v>3656.9056809295676</v>
      </c>
      <c r="E45" s="1180">
        <f t="shared" si="5"/>
        <v>0</v>
      </c>
      <c r="F45" s="1180">
        <f>+'Table 5C1A-Madison Prep'!F45</f>
        <v>779.65573042776396</v>
      </c>
      <c r="G45" s="1180">
        <f t="shared" si="6"/>
        <v>0</v>
      </c>
      <c r="H45" s="1539">
        <f t="shared" si="7"/>
        <v>0</v>
      </c>
      <c r="I45" s="1181"/>
      <c r="J45" s="1181"/>
      <c r="K45" s="1182">
        <f t="shared" si="8"/>
        <v>0</v>
      </c>
      <c r="L45" s="1539">
        <f t="shared" si="9"/>
        <v>0</v>
      </c>
      <c r="M45" s="1388">
        <f t="shared" si="4"/>
        <v>0</v>
      </c>
      <c r="N45" s="1539">
        <f t="shared" si="10"/>
        <v>0</v>
      </c>
      <c r="O45" s="1179">
        <v>0</v>
      </c>
      <c r="P45" s="1545">
        <f t="shared" si="11"/>
        <v>0</v>
      </c>
      <c r="Q45" s="1181"/>
      <c r="R45" s="1181">
        <f t="shared" si="12"/>
        <v>0</v>
      </c>
      <c r="S45" s="1545">
        <f t="shared" si="13"/>
        <v>0</v>
      </c>
      <c r="T45" s="1545">
        <f t="shared" si="14"/>
        <v>0</v>
      </c>
      <c r="U45" s="1389">
        <f>'Table 5C1A-Madison Prep'!U45</f>
        <v>4955</v>
      </c>
      <c r="V45" s="1515">
        <f t="shared" si="15"/>
        <v>0</v>
      </c>
      <c r="W45" s="1391"/>
      <c r="X45" s="1392">
        <f t="shared" si="16"/>
        <v>0</v>
      </c>
      <c r="Y45" s="1391"/>
      <c r="Z45" s="1392">
        <f t="shared" si="17"/>
        <v>0</v>
      </c>
      <c r="AA45" s="1390">
        <f t="shared" si="18"/>
        <v>0</v>
      </c>
      <c r="AB45" s="1510">
        <f t="shared" si="19"/>
        <v>0</v>
      </c>
      <c r="AC45" s="1394">
        <f t="shared" si="20"/>
        <v>0</v>
      </c>
      <c r="AD45" s="1510">
        <f t="shared" si="21"/>
        <v>0</v>
      </c>
      <c r="AE45" s="1395">
        <v>0</v>
      </c>
      <c r="AF45" s="1510">
        <f t="shared" si="22"/>
        <v>0</v>
      </c>
      <c r="AG45" s="1395"/>
      <c r="AH45" s="1395">
        <f t="shared" si="23"/>
        <v>0</v>
      </c>
      <c r="AI45" s="1510">
        <f t="shared" si="24"/>
        <v>0</v>
      </c>
      <c r="AJ45" s="1505">
        <f t="shared" si="25"/>
        <v>0</v>
      </c>
      <c r="AK45" s="1535">
        <f t="shared" si="26"/>
        <v>0</v>
      </c>
    </row>
    <row r="46" spans="1:37" ht="16.2" customHeight="1">
      <c r="A46" s="1168">
        <v>40</v>
      </c>
      <c r="B46" s="1169" t="s">
        <v>120</v>
      </c>
      <c r="C46" s="1170">
        <v>0</v>
      </c>
      <c r="D46" s="1171">
        <f>+'Table 5C1A-Madison Prep'!D46</f>
        <v>5121.8110285698403</v>
      </c>
      <c r="E46" s="1172">
        <f t="shared" si="5"/>
        <v>0</v>
      </c>
      <c r="F46" s="1172">
        <f>+'Table 5C1A-Madison Prep'!F46</f>
        <v>700.2700000000001</v>
      </c>
      <c r="G46" s="1172">
        <f t="shared" si="6"/>
        <v>0</v>
      </c>
      <c r="H46" s="1540">
        <f t="shared" si="7"/>
        <v>0</v>
      </c>
      <c r="I46" s="1173"/>
      <c r="J46" s="1173"/>
      <c r="K46" s="1174">
        <f t="shared" si="8"/>
        <v>0</v>
      </c>
      <c r="L46" s="1540">
        <f t="shared" si="9"/>
        <v>0</v>
      </c>
      <c r="M46" s="1399">
        <f t="shared" si="4"/>
        <v>0</v>
      </c>
      <c r="N46" s="1540">
        <f t="shared" si="10"/>
        <v>0</v>
      </c>
      <c r="O46" s="1171">
        <v>0</v>
      </c>
      <c r="P46" s="1546">
        <f t="shared" si="11"/>
        <v>0</v>
      </c>
      <c r="Q46" s="1173"/>
      <c r="R46" s="1173">
        <f t="shared" si="12"/>
        <v>0</v>
      </c>
      <c r="S46" s="1546">
        <f t="shared" si="13"/>
        <v>0</v>
      </c>
      <c r="T46" s="1546">
        <f t="shared" si="14"/>
        <v>0</v>
      </c>
      <c r="U46" s="1382">
        <f>'Table 5C1A-Madison Prep'!U46</f>
        <v>3069</v>
      </c>
      <c r="V46" s="1516">
        <f t="shared" si="15"/>
        <v>0</v>
      </c>
      <c r="W46" s="1400"/>
      <c r="X46" s="1383">
        <f t="shared" si="16"/>
        <v>0</v>
      </c>
      <c r="Y46" s="1400"/>
      <c r="Z46" s="1383">
        <f t="shared" si="17"/>
        <v>0</v>
      </c>
      <c r="AA46" s="1384">
        <f t="shared" si="18"/>
        <v>0</v>
      </c>
      <c r="AB46" s="1511">
        <f t="shared" si="19"/>
        <v>0</v>
      </c>
      <c r="AC46" s="1402">
        <f t="shared" si="20"/>
        <v>0</v>
      </c>
      <c r="AD46" s="1511">
        <f t="shared" si="21"/>
        <v>0</v>
      </c>
      <c r="AE46" s="1385">
        <v>0</v>
      </c>
      <c r="AF46" s="1511">
        <f t="shared" si="22"/>
        <v>0</v>
      </c>
      <c r="AG46" s="1385"/>
      <c r="AH46" s="1385">
        <f t="shared" si="23"/>
        <v>0</v>
      </c>
      <c r="AI46" s="1511">
        <f t="shared" si="24"/>
        <v>0</v>
      </c>
      <c r="AJ46" s="1531">
        <f t="shared" si="25"/>
        <v>0</v>
      </c>
      <c r="AK46" s="1536">
        <f t="shared" si="26"/>
        <v>0</v>
      </c>
    </row>
    <row r="47" spans="1:37" ht="16.2" customHeight="1">
      <c r="A47" s="1183">
        <v>41</v>
      </c>
      <c r="B47" s="1184" t="s">
        <v>121</v>
      </c>
      <c r="C47" s="1185">
        <v>0</v>
      </c>
      <c r="D47" s="1186">
        <f>+'Table 5C1A-Madison Prep'!D47</f>
        <v>3291.1948574716475</v>
      </c>
      <c r="E47" s="1187">
        <f t="shared" si="5"/>
        <v>0</v>
      </c>
      <c r="F47" s="1187">
        <f>+'Table 5C1A-Madison Prep'!F47</f>
        <v>886.22</v>
      </c>
      <c r="G47" s="1187">
        <f t="shared" si="6"/>
        <v>0</v>
      </c>
      <c r="H47" s="1538">
        <f t="shared" si="7"/>
        <v>0</v>
      </c>
      <c r="I47" s="1188"/>
      <c r="J47" s="1188"/>
      <c r="K47" s="1189">
        <f t="shared" si="8"/>
        <v>0</v>
      </c>
      <c r="L47" s="1538">
        <f t="shared" si="9"/>
        <v>0</v>
      </c>
      <c r="M47" s="1372">
        <f t="shared" si="4"/>
        <v>0</v>
      </c>
      <c r="N47" s="1538">
        <f t="shared" si="10"/>
        <v>0</v>
      </c>
      <c r="O47" s="1186">
        <v>0</v>
      </c>
      <c r="P47" s="1544">
        <f t="shared" si="11"/>
        <v>0</v>
      </c>
      <c r="Q47" s="1188"/>
      <c r="R47" s="1188">
        <f t="shared" si="12"/>
        <v>0</v>
      </c>
      <c r="S47" s="1544">
        <f t="shared" si="13"/>
        <v>0</v>
      </c>
      <c r="T47" s="1544">
        <f t="shared" si="14"/>
        <v>0</v>
      </c>
      <c r="U47" s="1373">
        <f>'Table 5C1A-Madison Prep'!U47</f>
        <v>8478</v>
      </c>
      <c r="V47" s="1514">
        <f t="shared" si="15"/>
        <v>0</v>
      </c>
      <c r="W47" s="1375"/>
      <c r="X47" s="1376">
        <f t="shared" si="16"/>
        <v>0</v>
      </c>
      <c r="Y47" s="1375"/>
      <c r="Z47" s="1376">
        <f t="shared" si="17"/>
        <v>0</v>
      </c>
      <c r="AA47" s="1374">
        <f t="shared" si="18"/>
        <v>0</v>
      </c>
      <c r="AB47" s="1509">
        <f t="shared" si="19"/>
        <v>0</v>
      </c>
      <c r="AC47" s="1378">
        <f t="shared" si="20"/>
        <v>0</v>
      </c>
      <c r="AD47" s="1509">
        <f t="shared" si="21"/>
        <v>0</v>
      </c>
      <c r="AE47" s="1379">
        <v>0</v>
      </c>
      <c r="AF47" s="1509">
        <f t="shared" si="22"/>
        <v>0</v>
      </c>
      <c r="AG47" s="1379"/>
      <c r="AH47" s="1379">
        <f t="shared" si="23"/>
        <v>0</v>
      </c>
      <c r="AI47" s="1509">
        <f t="shared" si="24"/>
        <v>0</v>
      </c>
      <c r="AJ47" s="1530">
        <f t="shared" si="25"/>
        <v>0</v>
      </c>
      <c r="AK47" s="1534">
        <f t="shared" si="26"/>
        <v>0</v>
      </c>
    </row>
    <row r="48" spans="1:37" ht="16.2" customHeight="1">
      <c r="A48" s="1176">
        <v>42</v>
      </c>
      <c r="B48" s="1177" t="s">
        <v>122</v>
      </c>
      <c r="C48" s="1178">
        <v>0</v>
      </c>
      <c r="D48" s="1179">
        <f>+'Table 5C1A-Madison Prep'!D48</f>
        <v>5113.6077751368684</v>
      </c>
      <c r="E48" s="1180">
        <f t="shared" si="5"/>
        <v>0</v>
      </c>
      <c r="F48" s="1180">
        <f>+'Table 5C1A-Madison Prep'!F48</f>
        <v>534.28</v>
      </c>
      <c r="G48" s="1180">
        <f t="shared" si="6"/>
        <v>0</v>
      </c>
      <c r="H48" s="1539">
        <f t="shared" si="7"/>
        <v>0</v>
      </c>
      <c r="I48" s="1181"/>
      <c r="J48" s="1181"/>
      <c r="K48" s="1182">
        <f t="shared" si="8"/>
        <v>0</v>
      </c>
      <c r="L48" s="1539">
        <f t="shared" si="9"/>
        <v>0</v>
      </c>
      <c r="M48" s="1388">
        <f t="shared" si="4"/>
        <v>0</v>
      </c>
      <c r="N48" s="1539">
        <f t="shared" si="10"/>
        <v>0</v>
      </c>
      <c r="O48" s="1179">
        <v>0</v>
      </c>
      <c r="P48" s="1545">
        <f t="shared" si="11"/>
        <v>0</v>
      </c>
      <c r="Q48" s="1181"/>
      <c r="R48" s="1181">
        <f t="shared" si="12"/>
        <v>0</v>
      </c>
      <c r="S48" s="1545">
        <f t="shared" si="13"/>
        <v>0</v>
      </c>
      <c r="T48" s="1545">
        <f t="shared" si="14"/>
        <v>0</v>
      </c>
      <c r="U48" s="1389">
        <f>'Table 5C1A-Madison Prep'!U48</f>
        <v>3578</v>
      </c>
      <c r="V48" s="1515">
        <f t="shared" si="15"/>
        <v>0</v>
      </c>
      <c r="W48" s="1391"/>
      <c r="X48" s="1392">
        <f t="shared" si="16"/>
        <v>0</v>
      </c>
      <c r="Y48" s="1391"/>
      <c r="Z48" s="1392">
        <f t="shared" si="17"/>
        <v>0</v>
      </c>
      <c r="AA48" s="1390">
        <f t="shared" si="18"/>
        <v>0</v>
      </c>
      <c r="AB48" s="1510">
        <f t="shared" si="19"/>
        <v>0</v>
      </c>
      <c r="AC48" s="1394">
        <f t="shared" si="20"/>
        <v>0</v>
      </c>
      <c r="AD48" s="1510">
        <f t="shared" si="21"/>
        <v>0</v>
      </c>
      <c r="AE48" s="1395">
        <v>0</v>
      </c>
      <c r="AF48" s="1510">
        <f t="shared" si="22"/>
        <v>0</v>
      </c>
      <c r="AG48" s="1395"/>
      <c r="AH48" s="1395">
        <f t="shared" si="23"/>
        <v>0</v>
      </c>
      <c r="AI48" s="1510">
        <f t="shared" si="24"/>
        <v>0</v>
      </c>
      <c r="AJ48" s="1505">
        <f t="shared" si="25"/>
        <v>0</v>
      </c>
      <c r="AK48" s="1535">
        <f t="shared" si="26"/>
        <v>0</v>
      </c>
    </row>
    <row r="49" spans="1:37" ht="16.2" customHeight="1">
      <c r="A49" s="1176">
        <v>43</v>
      </c>
      <c r="B49" s="1177" t="s">
        <v>123</v>
      </c>
      <c r="C49" s="1178">
        <v>0</v>
      </c>
      <c r="D49" s="1179">
        <f>+'Table 5C1A-Madison Prep'!D49</f>
        <v>5788.74387205947</v>
      </c>
      <c r="E49" s="1180">
        <f t="shared" si="5"/>
        <v>0</v>
      </c>
      <c r="F49" s="1180">
        <f>+'Table 5C1A-Madison Prep'!F49</f>
        <v>574.6099999999999</v>
      </c>
      <c r="G49" s="1180">
        <f t="shared" si="6"/>
        <v>0</v>
      </c>
      <c r="H49" s="1539">
        <f t="shared" si="7"/>
        <v>0</v>
      </c>
      <c r="I49" s="1181"/>
      <c r="J49" s="1181"/>
      <c r="K49" s="1182">
        <f t="shared" si="8"/>
        <v>0</v>
      </c>
      <c r="L49" s="1539">
        <f t="shared" si="9"/>
        <v>0</v>
      </c>
      <c r="M49" s="1388">
        <f t="shared" si="4"/>
        <v>0</v>
      </c>
      <c r="N49" s="1539">
        <f t="shared" si="10"/>
        <v>0</v>
      </c>
      <c r="O49" s="1179">
        <v>0</v>
      </c>
      <c r="P49" s="1545">
        <f t="shared" si="11"/>
        <v>0</v>
      </c>
      <c r="Q49" s="1181"/>
      <c r="R49" s="1181">
        <f t="shared" si="12"/>
        <v>0</v>
      </c>
      <c r="S49" s="1545">
        <f t="shared" si="13"/>
        <v>0</v>
      </c>
      <c r="T49" s="1545">
        <f t="shared" si="14"/>
        <v>0</v>
      </c>
      <c r="U49" s="1389">
        <f>'Table 5C1A-Madison Prep'!U49</f>
        <v>3205</v>
      </c>
      <c r="V49" s="1515">
        <f t="shared" si="15"/>
        <v>0</v>
      </c>
      <c r="W49" s="1391"/>
      <c r="X49" s="1392">
        <f t="shared" si="16"/>
        <v>0</v>
      </c>
      <c r="Y49" s="1391"/>
      <c r="Z49" s="1392">
        <f t="shared" si="17"/>
        <v>0</v>
      </c>
      <c r="AA49" s="1390">
        <f t="shared" si="18"/>
        <v>0</v>
      </c>
      <c r="AB49" s="1510">
        <f t="shared" si="19"/>
        <v>0</v>
      </c>
      <c r="AC49" s="1394">
        <f t="shared" si="20"/>
        <v>0</v>
      </c>
      <c r="AD49" s="1510">
        <f t="shared" si="21"/>
        <v>0</v>
      </c>
      <c r="AE49" s="1395">
        <v>0</v>
      </c>
      <c r="AF49" s="1510">
        <f t="shared" si="22"/>
        <v>0</v>
      </c>
      <c r="AG49" s="1395"/>
      <c r="AH49" s="1395">
        <f t="shared" si="23"/>
        <v>0</v>
      </c>
      <c r="AI49" s="1510">
        <f t="shared" si="24"/>
        <v>0</v>
      </c>
      <c r="AJ49" s="1505">
        <f t="shared" si="25"/>
        <v>0</v>
      </c>
      <c r="AK49" s="1535">
        <f t="shared" si="26"/>
        <v>0</v>
      </c>
    </row>
    <row r="50" spans="1:37" ht="16.2" customHeight="1">
      <c r="A50" s="1176">
        <v>44</v>
      </c>
      <c r="B50" s="1177" t="s">
        <v>124</v>
      </c>
      <c r="C50" s="1178">
        <v>0</v>
      </c>
      <c r="D50" s="1179">
        <f>+'Table 5C1A-Madison Prep'!D50</f>
        <v>4897.5958151820359</v>
      </c>
      <c r="E50" s="1180">
        <f t="shared" si="5"/>
        <v>0</v>
      </c>
      <c r="F50" s="1180">
        <f>+'Table 5C1A-Madison Prep'!F50</f>
        <v>663.16000000000008</v>
      </c>
      <c r="G50" s="1180">
        <f t="shared" si="6"/>
        <v>0</v>
      </c>
      <c r="H50" s="1539">
        <f t="shared" si="7"/>
        <v>0</v>
      </c>
      <c r="I50" s="1181"/>
      <c r="J50" s="1181"/>
      <c r="K50" s="1182">
        <f t="shared" si="8"/>
        <v>0</v>
      </c>
      <c r="L50" s="1539">
        <f t="shared" si="9"/>
        <v>0</v>
      </c>
      <c r="M50" s="1388">
        <f t="shared" si="4"/>
        <v>0</v>
      </c>
      <c r="N50" s="1539">
        <f t="shared" si="10"/>
        <v>0</v>
      </c>
      <c r="O50" s="1179">
        <v>0</v>
      </c>
      <c r="P50" s="1545">
        <f t="shared" si="11"/>
        <v>0</v>
      </c>
      <c r="Q50" s="1181"/>
      <c r="R50" s="1181">
        <f t="shared" si="12"/>
        <v>0</v>
      </c>
      <c r="S50" s="1545">
        <f t="shared" si="13"/>
        <v>0</v>
      </c>
      <c r="T50" s="1545">
        <f t="shared" si="14"/>
        <v>0</v>
      </c>
      <c r="U50" s="1389">
        <f>'Table 5C1A-Madison Prep'!U50</f>
        <v>3719</v>
      </c>
      <c r="V50" s="1515">
        <f t="shared" si="15"/>
        <v>0</v>
      </c>
      <c r="W50" s="1391"/>
      <c r="X50" s="1392">
        <f t="shared" si="16"/>
        <v>0</v>
      </c>
      <c r="Y50" s="1391"/>
      <c r="Z50" s="1392">
        <f t="shared" si="17"/>
        <v>0</v>
      </c>
      <c r="AA50" s="1390">
        <f t="shared" si="18"/>
        <v>0</v>
      </c>
      <c r="AB50" s="1510">
        <f t="shared" si="19"/>
        <v>0</v>
      </c>
      <c r="AC50" s="1394">
        <f t="shared" si="20"/>
        <v>0</v>
      </c>
      <c r="AD50" s="1510">
        <f t="shared" si="21"/>
        <v>0</v>
      </c>
      <c r="AE50" s="1395">
        <v>0</v>
      </c>
      <c r="AF50" s="1510">
        <f t="shared" si="22"/>
        <v>0</v>
      </c>
      <c r="AG50" s="1395"/>
      <c r="AH50" s="1395">
        <f t="shared" si="23"/>
        <v>0</v>
      </c>
      <c r="AI50" s="1510">
        <f t="shared" si="24"/>
        <v>0</v>
      </c>
      <c r="AJ50" s="1505">
        <f t="shared" si="25"/>
        <v>0</v>
      </c>
      <c r="AK50" s="1535">
        <f t="shared" si="26"/>
        <v>0</v>
      </c>
    </row>
    <row r="51" spans="1:37" ht="16.2" customHeight="1">
      <c r="A51" s="1168">
        <v>45</v>
      </c>
      <c r="B51" s="1169" t="s">
        <v>125</v>
      </c>
      <c r="C51" s="1170">
        <v>0</v>
      </c>
      <c r="D51" s="1171">
        <f>+'Table 5C1A-Madison Prep'!D51</f>
        <v>2054.0472499469101</v>
      </c>
      <c r="E51" s="1172">
        <f t="shared" si="5"/>
        <v>0</v>
      </c>
      <c r="F51" s="1172">
        <f>+'Table 5C1A-Madison Prep'!F51</f>
        <v>753.96000000000015</v>
      </c>
      <c r="G51" s="1172">
        <f t="shared" si="6"/>
        <v>0</v>
      </c>
      <c r="H51" s="1540">
        <f t="shared" si="7"/>
        <v>0</v>
      </c>
      <c r="I51" s="1173"/>
      <c r="J51" s="1173"/>
      <c r="K51" s="1174">
        <f t="shared" si="8"/>
        <v>0</v>
      </c>
      <c r="L51" s="1540">
        <f t="shared" si="9"/>
        <v>0</v>
      </c>
      <c r="M51" s="1399">
        <f t="shared" si="4"/>
        <v>0</v>
      </c>
      <c r="N51" s="1540">
        <f t="shared" si="10"/>
        <v>0</v>
      </c>
      <c r="O51" s="1171">
        <v>0</v>
      </c>
      <c r="P51" s="1546">
        <f t="shared" si="11"/>
        <v>0</v>
      </c>
      <c r="Q51" s="1173"/>
      <c r="R51" s="1173">
        <f t="shared" si="12"/>
        <v>0</v>
      </c>
      <c r="S51" s="1546">
        <f t="shared" si="13"/>
        <v>0</v>
      </c>
      <c r="T51" s="1546">
        <f t="shared" si="14"/>
        <v>0</v>
      </c>
      <c r="U51" s="1382">
        <f>'Table 5C1A-Madison Prep'!U51</f>
        <v>12169</v>
      </c>
      <c r="V51" s="1516">
        <f t="shared" si="15"/>
        <v>0</v>
      </c>
      <c r="W51" s="1400"/>
      <c r="X51" s="1383">
        <f t="shared" si="16"/>
        <v>0</v>
      </c>
      <c r="Y51" s="1400"/>
      <c r="Z51" s="1383">
        <f t="shared" si="17"/>
        <v>0</v>
      </c>
      <c r="AA51" s="1384">
        <f t="shared" si="18"/>
        <v>0</v>
      </c>
      <c r="AB51" s="1511">
        <f t="shared" si="19"/>
        <v>0</v>
      </c>
      <c r="AC51" s="1402">
        <f t="shared" si="20"/>
        <v>0</v>
      </c>
      <c r="AD51" s="1511">
        <f t="shared" si="21"/>
        <v>0</v>
      </c>
      <c r="AE51" s="1385">
        <v>0</v>
      </c>
      <c r="AF51" s="1511">
        <f t="shared" si="22"/>
        <v>0</v>
      </c>
      <c r="AG51" s="1385"/>
      <c r="AH51" s="1385">
        <f t="shared" si="23"/>
        <v>0</v>
      </c>
      <c r="AI51" s="1511">
        <f t="shared" si="24"/>
        <v>0</v>
      </c>
      <c r="AJ51" s="1531">
        <f t="shared" si="25"/>
        <v>0</v>
      </c>
      <c r="AK51" s="1536">
        <f t="shared" si="26"/>
        <v>0</v>
      </c>
    </row>
    <row r="52" spans="1:37" ht="16.2" customHeight="1">
      <c r="A52" s="1183">
        <v>46</v>
      </c>
      <c r="B52" s="1184" t="s">
        <v>126</v>
      </c>
      <c r="C52" s="1185">
        <v>0</v>
      </c>
      <c r="D52" s="1186">
        <f>+'Table 5C1A-Madison Prep'!D52</f>
        <v>6051.2144468088381</v>
      </c>
      <c r="E52" s="1187">
        <f t="shared" si="5"/>
        <v>0</v>
      </c>
      <c r="F52" s="1187">
        <f>+'Table 5C1A-Madison Prep'!F52</f>
        <v>728.06</v>
      </c>
      <c r="G52" s="1187">
        <f t="shared" si="6"/>
        <v>0</v>
      </c>
      <c r="H52" s="1538">
        <f t="shared" si="7"/>
        <v>0</v>
      </c>
      <c r="I52" s="1188"/>
      <c r="J52" s="1188"/>
      <c r="K52" s="1189">
        <f t="shared" si="8"/>
        <v>0</v>
      </c>
      <c r="L52" s="1538">
        <f t="shared" si="9"/>
        <v>0</v>
      </c>
      <c r="M52" s="1372">
        <f t="shared" si="4"/>
        <v>0</v>
      </c>
      <c r="N52" s="1538">
        <f t="shared" si="10"/>
        <v>0</v>
      </c>
      <c r="O52" s="1186">
        <v>0</v>
      </c>
      <c r="P52" s="1544">
        <f t="shared" si="11"/>
        <v>0</v>
      </c>
      <c r="Q52" s="1188"/>
      <c r="R52" s="1188">
        <f t="shared" si="12"/>
        <v>0</v>
      </c>
      <c r="S52" s="1544">
        <f t="shared" si="13"/>
        <v>0</v>
      </c>
      <c r="T52" s="1544">
        <f t="shared" si="14"/>
        <v>0</v>
      </c>
      <c r="U52" s="1373">
        <f>'Table 5C1A-Madison Prep'!U52</f>
        <v>2713</v>
      </c>
      <c r="V52" s="1514">
        <f t="shared" si="15"/>
        <v>0</v>
      </c>
      <c r="W52" s="1375"/>
      <c r="X52" s="1376">
        <f t="shared" si="16"/>
        <v>0</v>
      </c>
      <c r="Y52" s="1375"/>
      <c r="Z52" s="1376">
        <f t="shared" si="17"/>
        <v>0</v>
      </c>
      <c r="AA52" s="1374">
        <f t="shared" si="18"/>
        <v>0</v>
      </c>
      <c r="AB52" s="1509">
        <f t="shared" si="19"/>
        <v>0</v>
      </c>
      <c r="AC52" s="1378">
        <f t="shared" si="20"/>
        <v>0</v>
      </c>
      <c r="AD52" s="1509">
        <f t="shared" si="21"/>
        <v>0</v>
      </c>
      <c r="AE52" s="1379">
        <v>0</v>
      </c>
      <c r="AF52" s="1509">
        <f t="shared" si="22"/>
        <v>0</v>
      </c>
      <c r="AG52" s="1379"/>
      <c r="AH52" s="1379">
        <f t="shared" si="23"/>
        <v>0</v>
      </c>
      <c r="AI52" s="1509">
        <f t="shared" si="24"/>
        <v>0</v>
      </c>
      <c r="AJ52" s="1530">
        <f t="shared" si="25"/>
        <v>0</v>
      </c>
      <c r="AK52" s="1534">
        <f t="shared" si="26"/>
        <v>0</v>
      </c>
    </row>
    <row r="53" spans="1:37" ht="16.2" customHeight="1">
      <c r="A53" s="1176">
        <v>47</v>
      </c>
      <c r="B53" s="1177" t="s">
        <v>127</v>
      </c>
      <c r="C53" s="1178">
        <v>0</v>
      </c>
      <c r="D53" s="1179">
        <f>+'Table 5C1A-Madison Prep'!D53</f>
        <v>2524.1485257646736</v>
      </c>
      <c r="E53" s="1180">
        <f t="shared" si="5"/>
        <v>0</v>
      </c>
      <c r="F53" s="1180">
        <f>+'Table 5C1A-Madison Prep'!F53</f>
        <v>910.76</v>
      </c>
      <c r="G53" s="1180">
        <f t="shared" si="6"/>
        <v>0</v>
      </c>
      <c r="H53" s="1539">
        <f t="shared" si="7"/>
        <v>0</v>
      </c>
      <c r="I53" s="1181"/>
      <c r="J53" s="1181"/>
      <c r="K53" s="1182">
        <f t="shared" si="8"/>
        <v>0</v>
      </c>
      <c r="L53" s="1539">
        <f t="shared" si="9"/>
        <v>0</v>
      </c>
      <c r="M53" s="1388">
        <f t="shared" si="4"/>
        <v>0</v>
      </c>
      <c r="N53" s="1539">
        <f t="shared" si="10"/>
        <v>0</v>
      </c>
      <c r="O53" s="1179">
        <v>0</v>
      </c>
      <c r="P53" s="1545">
        <f t="shared" si="11"/>
        <v>0</v>
      </c>
      <c r="Q53" s="1181"/>
      <c r="R53" s="1181">
        <f t="shared" si="12"/>
        <v>0</v>
      </c>
      <c r="S53" s="1545">
        <f t="shared" si="13"/>
        <v>0</v>
      </c>
      <c r="T53" s="1545">
        <f t="shared" si="14"/>
        <v>0</v>
      </c>
      <c r="U53" s="1389">
        <f>'Table 5C1A-Madison Prep'!U53</f>
        <v>11701</v>
      </c>
      <c r="V53" s="1515">
        <f t="shared" si="15"/>
        <v>0</v>
      </c>
      <c r="W53" s="1391"/>
      <c r="X53" s="1392">
        <f t="shared" si="16"/>
        <v>0</v>
      </c>
      <c r="Y53" s="1391"/>
      <c r="Z53" s="1392">
        <f t="shared" si="17"/>
        <v>0</v>
      </c>
      <c r="AA53" s="1390">
        <f t="shared" si="18"/>
        <v>0</v>
      </c>
      <c r="AB53" s="1510">
        <f t="shared" si="19"/>
        <v>0</v>
      </c>
      <c r="AC53" s="1394">
        <f t="shared" si="20"/>
        <v>0</v>
      </c>
      <c r="AD53" s="1510">
        <f t="shared" si="21"/>
        <v>0</v>
      </c>
      <c r="AE53" s="1395">
        <v>0</v>
      </c>
      <c r="AF53" s="1510">
        <f t="shared" si="22"/>
        <v>0</v>
      </c>
      <c r="AG53" s="1395"/>
      <c r="AH53" s="1395">
        <f t="shared" si="23"/>
        <v>0</v>
      </c>
      <c r="AI53" s="1510">
        <f t="shared" si="24"/>
        <v>0</v>
      </c>
      <c r="AJ53" s="1505">
        <f t="shared" si="25"/>
        <v>0</v>
      </c>
      <c r="AK53" s="1535">
        <f t="shared" si="26"/>
        <v>0</v>
      </c>
    </row>
    <row r="54" spans="1:37" ht="16.2" customHeight="1">
      <c r="A54" s="1176">
        <v>48</v>
      </c>
      <c r="B54" s="1177" t="s">
        <v>178</v>
      </c>
      <c r="C54" s="1178">
        <v>0</v>
      </c>
      <c r="D54" s="1179">
        <f>+'Table 5C1A-Madison Prep'!D54</f>
        <v>3983.3582529800719</v>
      </c>
      <c r="E54" s="1180">
        <f t="shared" si="5"/>
        <v>0</v>
      </c>
      <c r="F54" s="1180">
        <f>+'Table 5C1A-Madison Prep'!F54</f>
        <v>871.07</v>
      </c>
      <c r="G54" s="1180">
        <f t="shared" si="6"/>
        <v>0</v>
      </c>
      <c r="H54" s="1539">
        <f t="shared" si="7"/>
        <v>0</v>
      </c>
      <c r="I54" s="1181"/>
      <c r="J54" s="1181"/>
      <c r="K54" s="1182">
        <f t="shared" si="8"/>
        <v>0</v>
      </c>
      <c r="L54" s="1539">
        <f t="shared" si="9"/>
        <v>0</v>
      </c>
      <c r="M54" s="1388">
        <f t="shared" si="4"/>
        <v>0</v>
      </c>
      <c r="N54" s="1539">
        <f t="shared" si="10"/>
        <v>0</v>
      </c>
      <c r="O54" s="1179">
        <v>0</v>
      </c>
      <c r="P54" s="1545">
        <f t="shared" si="11"/>
        <v>0</v>
      </c>
      <c r="Q54" s="1181"/>
      <c r="R54" s="1181">
        <f t="shared" si="12"/>
        <v>0</v>
      </c>
      <c r="S54" s="1545">
        <f t="shared" si="13"/>
        <v>0</v>
      </c>
      <c r="T54" s="1545">
        <f t="shared" si="14"/>
        <v>0</v>
      </c>
      <c r="U54" s="1389">
        <f>'Table 5C1A-Madison Prep'!U54</f>
        <v>7338</v>
      </c>
      <c r="V54" s="1515">
        <f t="shared" si="15"/>
        <v>0</v>
      </c>
      <c r="W54" s="1391"/>
      <c r="X54" s="1392">
        <f t="shared" si="16"/>
        <v>0</v>
      </c>
      <c r="Y54" s="1391"/>
      <c r="Z54" s="1392">
        <f t="shared" si="17"/>
        <v>0</v>
      </c>
      <c r="AA54" s="1390">
        <f t="shared" si="18"/>
        <v>0</v>
      </c>
      <c r="AB54" s="1510">
        <f t="shared" si="19"/>
        <v>0</v>
      </c>
      <c r="AC54" s="1394">
        <f t="shared" si="20"/>
        <v>0</v>
      </c>
      <c r="AD54" s="1510">
        <f t="shared" si="21"/>
        <v>0</v>
      </c>
      <c r="AE54" s="1395">
        <v>0</v>
      </c>
      <c r="AF54" s="1510">
        <f t="shared" si="22"/>
        <v>0</v>
      </c>
      <c r="AG54" s="1395"/>
      <c r="AH54" s="1395">
        <f t="shared" si="23"/>
        <v>0</v>
      </c>
      <c r="AI54" s="1510">
        <f t="shared" si="24"/>
        <v>0</v>
      </c>
      <c r="AJ54" s="1505">
        <f t="shared" si="25"/>
        <v>0</v>
      </c>
      <c r="AK54" s="1535">
        <f t="shared" si="26"/>
        <v>0</v>
      </c>
    </row>
    <row r="55" spans="1:37" ht="16.2" customHeight="1">
      <c r="A55" s="1176">
        <v>49</v>
      </c>
      <c r="B55" s="1177" t="s">
        <v>128</v>
      </c>
      <c r="C55" s="1178">
        <v>0</v>
      </c>
      <c r="D55" s="1179">
        <f>+'Table 5C1A-Madison Prep'!D55</f>
        <v>4995.8755315659191</v>
      </c>
      <c r="E55" s="1180">
        <f t="shared" si="5"/>
        <v>0</v>
      </c>
      <c r="F55" s="1180">
        <f>+'Table 5C1A-Madison Prep'!F55</f>
        <v>574.43999999999994</v>
      </c>
      <c r="G55" s="1180">
        <f t="shared" si="6"/>
        <v>0</v>
      </c>
      <c r="H55" s="1539">
        <f t="shared" si="7"/>
        <v>0</v>
      </c>
      <c r="I55" s="1181"/>
      <c r="J55" s="1181"/>
      <c r="K55" s="1182">
        <f t="shared" si="8"/>
        <v>0</v>
      </c>
      <c r="L55" s="1539">
        <f t="shared" si="9"/>
        <v>0</v>
      </c>
      <c r="M55" s="1388">
        <f t="shared" si="4"/>
        <v>0</v>
      </c>
      <c r="N55" s="1539">
        <f t="shared" si="10"/>
        <v>0</v>
      </c>
      <c r="O55" s="1179">
        <v>0</v>
      </c>
      <c r="P55" s="1545">
        <f t="shared" si="11"/>
        <v>0</v>
      </c>
      <c r="Q55" s="1181"/>
      <c r="R55" s="1181">
        <f t="shared" si="12"/>
        <v>0</v>
      </c>
      <c r="S55" s="1545">
        <f t="shared" si="13"/>
        <v>0</v>
      </c>
      <c r="T55" s="1545">
        <f t="shared" si="14"/>
        <v>0</v>
      </c>
      <c r="U55" s="1389">
        <f>'Table 5C1A-Madison Prep'!U55</f>
        <v>2353</v>
      </c>
      <c r="V55" s="1515">
        <f t="shared" si="15"/>
        <v>0</v>
      </c>
      <c r="W55" s="1391"/>
      <c r="X55" s="1392">
        <f t="shared" si="16"/>
        <v>0</v>
      </c>
      <c r="Y55" s="1391"/>
      <c r="Z55" s="1392">
        <f t="shared" si="17"/>
        <v>0</v>
      </c>
      <c r="AA55" s="1390">
        <f t="shared" si="18"/>
        <v>0</v>
      </c>
      <c r="AB55" s="1510">
        <f t="shared" si="19"/>
        <v>0</v>
      </c>
      <c r="AC55" s="1394">
        <f t="shared" si="20"/>
        <v>0</v>
      </c>
      <c r="AD55" s="1510">
        <f t="shared" si="21"/>
        <v>0</v>
      </c>
      <c r="AE55" s="1395">
        <v>0</v>
      </c>
      <c r="AF55" s="1510">
        <f t="shared" si="22"/>
        <v>0</v>
      </c>
      <c r="AG55" s="1395"/>
      <c r="AH55" s="1395">
        <f t="shared" si="23"/>
        <v>0</v>
      </c>
      <c r="AI55" s="1510">
        <f t="shared" si="24"/>
        <v>0</v>
      </c>
      <c r="AJ55" s="1505">
        <f t="shared" si="25"/>
        <v>0</v>
      </c>
      <c r="AK55" s="1535">
        <f t="shared" si="26"/>
        <v>0</v>
      </c>
    </row>
    <row r="56" spans="1:37" ht="16.2" customHeight="1">
      <c r="A56" s="1168">
        <v>50</v>
      </c>
      <c r="B56" s="1169" t="s">
        <v>129</v>
      </c>
      <c r="C56" s="1170">
        <v>0</v>
      </c>
      <c r="D56" s="1171">
        <f>+'Table 5C1A-Madison Prep'!D56</f>
        <v>5177.6892722701677</v>
      </c>
      <c r="E56" s="1172">
        <f t="shared" si="5"/>
        <v>0</v>
      </c>
      <c r="F56" s="1172">
        <f>+'Table 5C1A-Madison Prep'!F56</f>
        <v>634.46</v>
      </c>
      <c r="G56" s="1172">
        <f t="shared" si="6"/>
        <v>0</v>
      </c>
      <c r="H56" s="1540">
        <f t="shared" si="7"/>
        <v>0</v>
      </c>
      <c r="I56" s="1173"/>
      <c r="J56" s="1173"/>
      <c r="K56" s="1174">
        <f t="shared" si="8"/>
        <v>0</v>
      </c>
      <c r="L56" s="1540">
        <f t="shared" si="9"/>
        <v>0</v>
      </c>
      <c r="M56" s="1399">
        <f t="shared" si="4"/>
        <v>0</v>
      </c>
      <c r="N56" s="1540">
        <f t="shared" si="10"/>
        <v>0</v>
      </c>
      <c r="O56" s="1171">
        <v>0</v>
      </c>
      <c r="P56" s="1546">
        <f t="shared" si="11"/>
        <v>0</v>
      </c>
      <c r="Q56" s="1173"/>
      <c r="R56" s="1173">
        <f t="shared" si="12"/>
        <v>0</v>
      </c>
      <c r="S56" s="1546">
        <f t="shared" si="13"/>
        <v>0</v>
      </c>
      <c r="T56" s="1546">
        <f t="shared" si="14"/>
        <v>0</v>
      </c>
      <c r="U56" s="1382">
        <f>'Table 5C1A-Madison Prep'!U56</f>
        <v>3510</v>
      </c>
      <c r="V56" s="1516">
        <f t="shared" si="15"/>
        <v>0</v>
      </c>
      <c r="W56" s="1400"/>
      <c r="X56" s="1383">
        <f t="shared" si="16"/>
        <v>0</v>
      </c>
      <c r="Y56" s="1400"/>
      <c r="Z56" s="1383">
        <f t="shared" si="17"/>
        <v>0</v>
      </c>
      <c r="AA56" s="1384">
        <f t="shared" si="18"/>
        <v>0</v>
      </c>
      <c r="AB56" s="1511">
        <f t="shared" si="19"/>
        <v>0</v>
      </c>
      <c r="AC56" s="1402">
        <f t="shared" si="20"/>
        <v>0</v>
      </c>
      <c r="AD56" s="1511">
        <f t="shared" si="21"/>
        <v>0</v>
      </c>
      <c r="AE56" s="1385">
        <v>0</v>
      </c>
      <c r="AF56" s="1511">
        <f t="shared" si="22"/>
        <v>0</v>
      </c>
      <c r="AG56" s="1385"/>
      <c r="AH56" s="1385">
        <f t="shared" si="23"/>
        <v>0</v>
      </c>
      <c r="AI56" s="1511">
        <f t="shared" si="24"/>
        <v>0</v>
      </c>
      <c r="AJ56" s="1531">
        <f t="shared" si="25"/>
        <v>0</v>
      </c>
      <c r="AK56" s="1536">
        <f t="shared" si="26"/>
        <v>0</v>
      </c>
    </row>
    <row r="57" spans="1:37" ht="16.2" customHeight="1">
      <c r="A57" s="1183">
        <v>51</v>
      </c>
      <c r="B57" s="1184" t="s">
        <v>130</v>
      </c>
      <c r="C57" s="1185">
        <v>0</v>
      </c>
      <c r="D57" s="1186">
        <f>+'Table 5C1A-Madison Prep'!D57</f>
        <v>4154.1928602178996</v>
      </c>
      <c r="E57" s="1187">
        <f t="shared" si="5"/>
        <v>0</v>
      </c>
      <c r="F57" s="1187">
        <f>+'Table 5C1A-Madison Prep'!F57</f>
        <v>706.66</v>
      </c>
      <c r="G57" s="1187">
        <f t="shared" si="6"/>
        <v>0</v>
      </c>
      <c r="H57" s="1538">
        <f t="shared" si="7"/>
        <v>0</v>
      </c>
      <c r="I57" s="1188"/>
      <c r="J57" s="1188"/>
      <c r="K57" s="1189">
        <f t="shared" si="8"/>
        <v>0</v>
      </c>
      <c r="L57" s="1538">
        <f t="shared" si="9"/>
        <v>0</v>
      </c>
      <c r="M57" s="1372">
        <f t="shared" si="4"/>
        <v>0</v>
      </c>
      <c r="N57" s="1538">
        <f t="shared" si="10"/>
        <v>0</v>
      </c>
      <c r="O57" s="1186">
        <v>0</v>
      </c>
      <c r="P57" s="1544">
        <f t="shared" si="11"/>
        <v>0</v>
      </c>
      <c r="Q57" s="1188"/>
      <c r="R57" s="1188">
        <f t="shared" si="12"/>
        <v>0</v>
      </c>
      <c r="S57" s="1544">
        <f t="shared" si="13"/>
        <v>0</v>
      </c>
      <c r="T57" s="1544">
        <f t="shared" si="14"/>
        <v>0</v>
      </c>
      <c r="U57" s="1373">
        <f>'Table 5C1A-Madison Prep'!U57</f>
        <v>4597</v>
      </c>
      <c r="V57" s="1514">
        <f t="shared" si="15"/>
        <v>0</v>
      </c>
      <c r="W57" s="1375"/>
      <c r="X57" s="1376">
        <f t="shared" si="16"/>
        <v>0</v>
      </c>
      <c r="Y57" s="1375"/>
      <c r="Z57" s="1376">
        <f t="shared" si="17"/>
        <v>0</v>
      </c>
      <c r="AA57" s="1374">
        <f t="shared" si="18"/>
        <v>0</v>
      </c>
      <c r="AB57" s="1509">
        <f t="shared" si="19"/>
        <v>0</v>
      </c>
      <c r="AC57" s="1378">
        <f t="shared" si="20"/>
        <v>0</v>
      </c>
      <c r="AD57" s="1509">
        <f t="shared" si="21"/>
        <v>0</v>
      </c>
      <c r="AE57" s="1379">
        <v>0</v>
      </c>
      <c r="AF57" s="1509">
        <f t="shared" si="22"/>
        <v>0</v>
      </c>
      <c r="AG57" s="1379"/>
      <c r="AH57" s="1379">
        <f t="shared" si="23"/>
        <v>0</v>
      </c>
      <c r="AI57" s="1509">
        <f t="shared" si="24"/>
        <v>0</v>
      </c>
      <c r="AJ57" s="1530">
        <f t="shared" si="25"/>
        <v>0</v>
      </c>
      <c r="AK57" s="1534">
        <f t="shared" si="26"/>
        <v>0</v>
      </c>
    </row>
    <row r="58" spans="1:37" ht="16.2" customHeight="1">
      <c r="A58" s="1176">
        <v>52</v>
      </c>
      <c r="B58" s="1177" t="s">
        <v>131</v>
      </c>
      <c r="C58" s="1178">
        <v>0</v>
      </c>
      <c r="D58" s="1179">
        <f>+'Table 5C1A-Madison Prep'!D58</f>
        <v>5062.2745845228173</v>
      </c>
      <c r="E58" s="1180">
        <f t="shared" si="5"/>
        <v>0</v>
      </c>
      <c r="F58" s="1180">
        <f>+'Table 5C1A-Madison Prep'!F58</f>
        <v>658.37</v>
      </c>
      <c r="G58" s="1180">
        <f t="shared" si="6"/>
        <v>0</v>
      </c>
      <c r="H58" s="1539">
        <f t="shared" si="7"/>
        <v>0</v>
      </c>
      <c r="I58" s="1181"/>
      <c r="J58" s="1181"/>
      <c r="K58" s="1182">
        <f t="shared" si="8"/>
        <v>0</v>
      </c>
      <c r="L58" s="1539">
        <f t="shared" si="9"/>
        <v>0</v>
      </c>
      <c r="M58" s="1388">
        <f t="shared" si="4"/>
        <v>0</v>
      </c>
      <c r="N58" s="1539">
        <f t="shared" si="10"/>
        <v>0</v>
      </c>
      <c r="O58" s="1179">
        <v>0</v>
      </c>
      <c r="P58" s="1545">
        <f t="shared" si="11"/>
        <v>0</v>
      </c>
      <c r="Q58" s="1181"/>
      <c r="R58" s="1181">
        <f t="shared" si="12"/>
        <v>0</v>
      </c>
      <c r="S58" s="1545">
        <f t="shared" si="13"/>
        <v>0</v>
      </c>
      <c r="T58" s="1545">
        <f t="shared" si="14"/>
        <v>0</v>
      </c>
      <c r="U58" s="1389">
        <f>'Table 5C1A-Madison Prep'!U58</f>
        <v>5212</v>
      </c>
      <c r="V58" s="1515">
        <f t="shared" si="15"/>
        <v>0</v>
      </c>
      <c r="W58" s="1391"/>
      <c r="X58" s="1392">
        <f t="shared" si="16"/>
        <v>0</v>
      </c>
      <c r="Y58" s="1391"/>
      <c r="Z58" s="1392">
        <f t="shared" si="17"/>
        <v>0</v>
      </c>
      <c r="AA58" s="1390">
        <f t="shared" si="18"/>
        <v>0</v>
      </c>
      <c r="AB58" s="1510">
        <f t="shared" si="19"/>
        <v>0</v>
      </c>
      <c r="AC58" s="1394">
        <f t="shared" si="20"/>
        <v>0</v>
      </c>
      <c r="AD58" s="1510">
        <f t="shared" si="21"/>
        <v>0</v>
      </c>
      <c r="AE58" s="1395">
        <v>0</v>
      </c>
      <c r="AF58" s="1510">
        <f t="shared" si="22"/>
        <v>0</v>
      </c>
      <c r="AG58" s="1395"/>
      <c r="AH58" s="1395">
        <f t="shared" si="23"/>
        <v>0</v>
      </c>
      <c r="AI58" s="1510">
        <f t="shared" si="24"/>
        <v>0</v>
      </c>
      <c r="AJ58" s="1505">
        <f t="shared" si="25"/>
        <v>0</v>
      </c>
      <c r="AK58" s="1535">
        <f t="shared" si="26"/>
        <v>0</v>
      </c>
    </row>
    <row r="59" spans="1:37" ht="16.2" customHeight="1">
      <c r="A59" s="1176">
        <v>53</v>
      </c>
      <c r="B59" s="1177" t="s">
        <v>132</v>
      </c>
      <c r="C59" s="1178">
        <v>0</v>
      </c>
      <c r="D59" s="1179">
        <f>+'Table 5C1A-Madison Prep'!D59</f>
        <v>5060.1508194045482</v>
      </c>
      <c r="E59" s="1180">
        <f t="shared" si="5"/>
        <v>0</v>
      </c>
      <c r="F59" s="1180">
        <f>+'Table 5C1A-Madison Prep'!F59</f>
        <v>689.74</v>
      </c>
      <c r="G59" s="1180">
        <f t="shared" si="6"/>
        <v>0</v>
      </c>
      <c r="H59" s="1539">
        <f t="shared" si="7"/>
        <v>0</v>
      </c>
      <c r="I59" s="1181"/>
      <c r="J59" s="1181"/>
      <c r="K59" s="1182">
        <f t="shared" si="8"/>
        <v>0</v>
      </c>
      <c r="L59" s="1539">
        <f t="shared" si="9"/>
        <v>0</v>
      </c>
      <c r="M59" s="1388">
        <f t="shared" si="4"/>
        <v>0</v>
      </c>
      <c r="N59" s="1539">
        <f t="shared" si="10"/>
        <v>0</v>
      </c>
      <c r="O59" s="1179">
        <v>0</v>
      </c>
      <c r="P59" s="1545">
        <f t="shared" si="11"/>
        <v>0</v>
      </c>
      <c r="Q59" s="1181"/>
      <c r="R59" s="1181">
        <f t="shared" si="12"/>
        <v>0</v>
      </c>
      <c r="S59" s="1545">
        <f t="shared" si="13"/>
        <v>0</v>
      </c>
      <c r="T59" s="1545">
        <f t="shared" si="14"/>
        <v>0</v>
      </c>
      <c r="U59" s="1389">
        <f>'Table 5C1A-Madison Prep'!U59</f>
        <v>2054</v>
      </c>
      <c r="V59" s="1515">
        <f t="shared" si="15"/>
        <v>0</v>
      </c>
      <c r="W59" s="1391"/>
      <c r="X59" s="1392">
        <f t="shared" si="16"/>
        <v>0</v>
      </c>
      <c r="Y59" s="1391"/>
      <c r="Z59" s="1392">
        <f t="shared" si="17"/>
        <v>0</v>
      </c>
      <c r="AA59" s="1390">
        <f t="shared" si="18"/>
        <v>0</v>
      </c>
      <c r="AB59" s="1510">
        <f t="shared" si="19"/>
        <v>0</v>
      </c>
      <c r="AC59" s="1394">
        <f t="shared" si="20"/>
        <v>0</v>
      </c>
      <c r="AD59" s="1510">
        <f t="shared" si="21"/>
        <v>0</v>
      </c>
      <c r="AE59" s="1395">
        <v>0</v>
      </c>
      <c r="AF59" s="1510">
        <f t="shared" si="22"/>
        <v>0</v>
      </c>
      <c r="AG59" s="1395"/>
      <c r="AH59" s="1395">
        <f t="shared" si="23"/>
        <v>0</v>
      </c>
      <c r="AI59" s="1510">
        <f t="shared" si="24"/>
        <v>0</v>
      </c>
      <c r="AJ59" s="1505">
        <f t="shared" si="25"/>
        <v>0</v>
      </c>
      <c r="AK59" s="1535">
        <f t="shared" si="26"/>
        <v>0</v>
      </c>
    </row>
    <row r="60" spans="1:37" ht="16.2" customHeight="1">
      <c r="A60" s="1176">
        <v>54</v>
      </c>
      <c r="B60" s="1177" t="s">
        <v>133</v>
      </c>
      <c r="C60" s="1178">
        <v>0</v>
      </c>
      <c r="D60" s="1179">
        <f>+'Table 5C1A-Madison Prep'!D60</f>
        <v>5867.0798370516713</v>
      </c>
      <c r="E60" s="1180">
        <f t="shared" si="5"/>
        <v>0</v>
      </c>
      <c r="F60" s="1180">
        <f>+'Table 5C1A-Madison Prep'!F60</f>
        <v>951.45</v>
      </c>
      <c r="G60" s="1180">
        <f t="shared" si="6"/>
        <v>0</v>
      </c>
      <c r="H60" s="1539">
        <f t="shared" si="7"/>
        <v>0</v>
      </c>
      <c r="I60" s="1181"/>
      <c r="J60" s="1181"/>
      <c r="K60" s="1182">
        <f t="shared" si="8"/>
        <v>0</v>
      </c>
      <c r="L60" s="1539">
        <f t="shared" si="9"/>
        <v>0</v>
      </c>
      <c r="M60" s="1388">
        <f t="shared" si="4"/>
        <v>0</v>
      </c>
      <c r="N60" s="1539">
        <f t="shared" si="10"/>
        <v>0</v>
      </c>
      <c r="O60" s="1179">
        <v>0</v>
      </c>
      <c r="P60" s="1545">
        <f t="shared" si="11"/>
        <v>0</v>
      </c>
      <c r="Q60" s="1181"/>
      <c r="R60" s="1181">
        <f t="shared" si="12"/>
        <v>0</v>
      </c>
      <c r="S60" s="1545">
        <f t="shared" si="13"/>
        <v>0</v>
      </c>
      <c r="T60" s="1545">
        <f t="shared" si="14"/>
        <v>0</v>
      </c>
      <c r="U60" s="1389">
        <f>'Table 5C1A-Madison Prep'!U60</f>
        <v>4116</v>
      </c>
      <c r="V60" s="1515">
        <f t="shared" si="15"/>
        <v>0</v>
      </c>
      <c r="W60" s="1391"/>
      <c r="X60" s="1392">
        <f t="shared" si="16"/>
        <v>0</v>
      </c>
      <c r="Y60" s="1391"/>
      <c r="Z60" s="1392">
        <f t="shared" si="17"/>
        <v>0</v>
      </c>
      <c r="AA60" s="1390">
        <f t="shared" si="18"/>
        <v>0</v>
      </c>
      <c r="AB60" s="1510">
        <f t="shared" si="19"/>
        <v>0</v>
      </c>
      <c r="AC60" s="1394">
        <f t="shared" si="20"/>
        <v>0</v>
      </c>
      <c r="AD60" s="1510">
        <f t="shared" si="21"/>
        <v>0</v>
      </c>
      <c r="AE60" s="1395">
        <v>0</v>
      </c>
      <c r="AF60" s="1510">
        <f t="shared" si="22"/>
        <v>0</v>
      </c>
      <c r="AG60" s="1395"/>
      <c r="AH60" s="1395">
        <f t="shared" si="23"/>
        <v>0</v>
      </c>
      <c r="AI60" s="1510">
        <f t="shared" si="24"/>
        <v>0</v>
      </c>
      <c r="AJ60" s="1505">
        <f t="shared" si="25"/>
        <v>0</v>
      </c>
      <c r="AK60" s="1535">
        <f t="shared" si="26"/>
        <v>0</v>
      </c>
    </row>
    <row r="61" spans="1:37" ht="16.2" customHeight="1">
      <c r="A61" s="1168">
        <v>55</v>
      </c>
      <c r="B61" s="1169" t="s">
        <v>134</v>
      </c>
      <c r="C61" s="1170">
        <v>0</v>
      </c>
      <c r="D61" s="1171">
        <f>+'Table 5C1A-Madison Prep'!D61</f>
        <v>4266.8225491298481</v>
      </c>
      <c r="E61" s="1172">
        <f t="shared" si="5"/>
        <v>0</v>
      </c>
      <c r="F61" s="1172">
        <f>+'Table 5C1A-Madison Prep'!F61</f>
        <v>795.14</v>
      </c>
      <c r="G61" s="1172">
        <f t="shared" si="6"/>
        <v>0</v>
      </c>
      <c r="H61" s="1540">
        <f t="shared" si="7"/>
        <v>0</v>
      </c>
      <c r="I61" s="1173"/>
      <c r="J61" s="1173"/>
      <c r="K61" s="1174">
        <f t="shared" si="8"/>
        <v>0</v>
      </c>
      <c r="L61" s="1540">
        <f t="shared" si="9"/>
        <v>0</v>
      </c>
      <c r="M61" s="1399">
        <f t="shared" si="4"/>
        <v>0</v>
      </c>
      <c r="N61" s="1540">
        <f t="shared" si="10"/>
        <v>0</v>
      </c>
      <c r="O61" s="1171">
        <v>0</v>
      </c>
      <c r="P61" s="1546">
        <f t="shared" si="11"/>
        <v>0</v>
      </c>
      <c r="Q61" s="1173"/>
      <c r="R61" s="1173">
        <f t="shared" si="12"/>
        <v>0</v>
      </c>
      <c r="S61" s="1546">
        <f t="shared" si="13"/>
        <v>0</v>
      </c>
      <c r="T61" s="1546">
        <f t="shared" si="14"/>
        <v>0</v>
      </c>
      <c r="U61" s="1382">
        <f>'Table 5C1A-Madison Prep'!U61</f>
        <v>3532</v>
      </c>
      <c r="V61" s="1516">
        <f t="shared" si="15"/>
        <v>0</v>
      </c>
      <c r="W61" s="1400"/>
      <c r="X61" s="1383">
        <f t="shared" si="16"/>
        <v>0</v>
      </c>
      <c r="Y61" s="1400"/>
      <c r="Z61" s="1383">
        <f t="shared" si="17"/>
        <v>0</v>
      </c>
      <c r="AA61" s="1384">
        <f t="shared" si="18"/>
        <v>0</v>
      </c>
      <c r="AB61" s="1511">
        <f t="shared" si="19"/>
        <v>0</v>
      </c>
      <c r="AC61" s="1402">
        <f t="shared" si="20"/>
        <v>0</v>
      </c>
      <c r="AD61" s="1511">
        <f t="shared" si="21"/>
        <v>0</v>
      </c>
      <c r="AE61" s="1385">
        <v>0</v>
      </c>
      <c r="AF61" s="1511">
        <f t="shared" si="22"/>
        <v>0</v>
      </c>
      <c r="AG61" s="1385"/>
      <c r="AH61" s="1385">
        <f t="shared" si="23"/>
        <v>0</v>
      </c>
      <c r="AI61" s="1511">
        <f t="shared" si="24"/>
        <v>0</v>
      </c>
      <c r="AJ61" s="1531">
        <f t="shared" si="25"/>
        <v>0</v>
      </c>
      <c r="AK61" s="1536">
        <f t="shared" si="26"/>
        <v>0</v>
      </c>
    </row>
    <row r="62" spans="1:37" ht="16.2" customHeight="1">
      <c r="A62" s="1183">
        <v>56</v>
      </c>
      <c r="B62" s="1184" t="s">
        <v>135</v>
      </c>
      <c r="C62" s="1185">
        <v>0</v>
      </c>
      <c r="D62" s="1186">
        <f>+'Table 5C1A-Madison Prep'!D62</f>
        <v>5028.4909408288286</v>
      </c>
      <c r="E62" s="1187">
        <f t="shared" si="5"/>
        <v>0</v>
      </c>
      <c r="F62" s="1187">
        <f>+'Table 5C1A-Madison Prep'!F62</f>
        <v>614.66000000000008</v>
      </c>
      <c r="G62" s="1187">
        <f t="shared" si="6"/>
        <v>0</v>
      </c>
      <c r="H62" s="1538">
        <f t="shared" si="7"/>
        <v>0</v>
      </c>
      <c r="I62" s="1188"/>
      <c r="J62" s="1188"/>
      <c r="K62" s="1189">
        <f t="shared" si="8"/>
        <v>0</v>
      </c>
      <c r="L62" s="1538">
        <f t="shared" si="9"/>
        <v>0</v>
      </c>
      <c r="M62" s="1372">
        <f t="shared" si="4"/>
        <v>0</v>
      </c>
      <c r="N62" s="1538">
        <f t="shared" si="10"/>
        <v>0</v>
      </c>
      <c r="O62" s="1186">
        <v>0</v>
      </c>
      <c r="P62" s="1544">
        <f t="shared" si="11"/>
        <v>0</v>
      </c>
      <c r="Q62" s="1188"/>
      <c r="R62" s="1188">
        <f t="shared" si="12"/>
        <v>0</v>
      </c>
      <c r="S62" s="1544">
        <f t="shared" si="13"/>
        <v>0</v>
      </c>
      <c r="T62" s="1544">
        <f t="shared" si="14"/>
        <v>0</v>
      </c>
      <c r="U62" s="1373">
        <f>'Table 5C1A-Madison Prep'!U62</f>
        <v>2865</v>
      </c>
      <c r="V62" s="1514">
        <f t="shared" si="15"/>
        <v>0</v>
      </c>
      <c r="W62" s="1375"/>
      <c r="X62" s="1376">
        <f t="shared" si="16"/>
        <v>0</v>
      </c>
      <c r="Y62" s="1375"/>
      <c r="Z62" s="1376">
        <f t="shared" si="17"/>
        <v>0</v>
      </c>
      <c r="AA62" s="1374">
        <f t="shared" si="18"/>
        <v>0</v>
      </c>
      <c r="AB62" s="1509">
        <f t="shared" si="19"/>
        <v>0</v>
      </c>
      <c r="AC62" s="1378">
        <f t="shared" si="20"/>
        <v>0</v>
      </c>
      <c r="AD62" s="1509">
        <f t="shared" si="21"/>
        <v>0</v>
      </c>
      <c r="AE62" s="1379">
        <v>0</v>
      </c>
      <c r="AF62" s="1509">
        <f t="shared" si="22"/>
        <v>0</v>
      </c>
      <c r="AG62" s="1379"/>
      <c r="AH62" s="1379">
        <f t="shared" si="23"/>
        <v>0</v>
      </c>
      <c r="AI62" s="1509">
        <f t="shared" si="24"/>
        <v>0</v>
      </c>
      <c r="AJ62" s="1530">
        <f t="shared" si="25"/>
        <v>0</v>
      </c>
      <c r="AK62" s="1534">
        <f t="shared" si="26"/>
        <v>0</v>
      </c>
    </row>
    <row r="63" spans="1:37" ht="16.2" customHeight="1">
      <c r="A63" s="1176">
        <v>57</v>
      </c>
      <c r="B63" s="1177" t="s">
        <v>136</v>
      </c>
      <c r="C63" s="1178">
        <v>0</v>
      </c>
      <c r="D63" s="1179">
        <f>+'Table 5C1A-Madison Prep'!D63</f>
        <v>4625.9922979230687</v>
      </c>
      <c r="E63" s="1180">
        <f t="shared" si="5"/>
        <v>0</v>
      </c>
      <c r="F63" s="1180">
        <f>+'Table 5C1A-Madison Prep'!F63</f>
        <v>764.51</v>
      </c>
      <c r="G63" s="1180">
        <f t="shared" si="6"/>
        <v>0</v>
      </c>
      <c r="H63" s="1539">
        <f t="shared" si="7"/>
        <v>0</v>
      </c>
      <c r="I63" s="1181"/>
      <c r="J63" s="1181"/>
      <c r="K63" s="1182">
        <f t="shared" si="8"/>
        <v>0</v>
      </c>
      <c r="L63" s="1539">
        <f t="shared" si="9"/>
        <v>0</v>
      </c>
      <c r="M63" s="1388">
        <f t="shared" si="4"/>
        <v>0</v>
      </c>
      <c r="N63" s="1539">
        <f t="shared" si="10"/>
        <v>0</v>
      </c>
      <c r="O63" s="1179">
        <v>0</v>
      </c>
      <c r="P63" s="1545">
        <f t="shared" si="11"/>
        <v>0</v>
      </c>
      <c r="Q63" s="1181"/>
      <c r="R63" s="1181">
        <f t="shared" si="12"/>
        <v>0</v>
      </c>
      <c r="S63" s="1545">
        <f t="shared" si="13"/>
        <v>0</v>
      </c>
      <c r="T63" s="1545">
        <f t="shared" si="14"/>
        <v>0</v>
      </c>
      <c r="U63" s="1389">
        <f>'Table 5C1A-Madison Prep'!U63</f>
        <v>3395</v>
      </c>
      <c r="V63" s="1515">
        <f t="shared" si="15"/>
        <v>0</v>
      </c>
      <c r="W63" s="1391"/>
      <c r="X63" s="1392">
        <f t="shared" si="16"/>
        <v>0</v>
      </c>
      <c r="Y63" s="1391"/>
      <c r="Z63" s="1392">
        <f t="shared" si="17"/>
        <v>0</v>
      </c>
      <c r="AA63" s="1390">
        <f t="shared" si="18"/>
        <v>0</v>
      </c>
      <c r="AB63" s="1510">
        <f t="shared" si="19"/>
        <v>0</v>
      </c>
      <c r="AC63" s="1394">
        <f t="shared" si="20"/>
        <v>0</v>
      </c>
      <c r="AD63" s="1510">
        <f t="shared" si="21"/>
        <v>0</v>
      </c>
      <c r="AE63" s="1395">
        <v>0</v>
      </c>
      <c r="AF63" s="1510">
        <f t="shared" si="22"/>
        <v>0</v>
      </c>
      <c r="AG63" s="1395"/>
      <c r="AH63" s="1395">
        <f t="shared" si="23"/>
        <v>0</v>
      </c>
      <c r="AI63" s="1510">
        <f t="shared" si="24"/>
        <v>0</v>
      </c>
      <c r="AJ63" s="1505">
        <f t="shared" si="25"/>
        <v>0</v>
      </c>
      <c r="AK63" s="1535">
        <f t="shared" si="26"/>
        <v>0</v>
      </c>
    </row>
    <row r="64" spans="1:37" ht="16.2" customHeight="1">
      <c r="A64" s="1176">
        <v>58</v>
      </c>
      <c r="B64" s="1177" t="s">
        <v>137</v>
      </c>
      <c r="C64" s="1178">
        <v>0</v>
      </c>
      <c r="D64" s="1179">
        <f>+'Table 5C1A-Madison Prep'!D64</f>
        <v>5673.1129637882123</v>
      </c>
      <c r="E64" s="1180">
        <f t="shared" si="5"/>
        <v>0</v>
      </c>
      <c r="F64" s="1180">
        <f>+'Table 5C1A-Madison Prep'!F64</f>
        <v>697.04</v>
      </c>
      <c r="G64" s="1180">
        <f t="shared" si="6"/>
        <v>0</v>
      </c>
      <c r="H64" s="1539">
        <f t="shared" si="7"/>
        <v>0</v>
      </c>
      <c r="I64" s="1181"/>
      <c r="J64" s="1181"/>
      <c r="K64" s="1182">
        <f t="shared" si="8"/>
        <v>0</v>
      </c>
      <c r="L64" s="1539">
        <f t="shared" si="9"/>
        <v>0</v>
      </c>
      <c r="M64" s="1388">
        <f t="shared" si="4"/>
        <v>0</v>
      </c>
      <c r="N64" s="1539">
        <f t="shared" si="10"/>
        <v>0</v>
      </c>
      <c r="O64" s="1179">
        <v>0</v>
      </c>
      <c r="P64" s="1545">
        <f t="shared" si="11"/>
        <v>0</v>
      </c>
      <c r="Q64" s="1181"/>
      <c r="R64" s="1181">
        <f t="shared" si="12"/>
        <v>0</v>
      </c>
      <c r="S64" s="1545">
        <f t="shared" si="13"/>
        <v>0</v>
      </c>
      <c r="T64" s="1545">
        <f t="shared" si="14"/>
        <v>0</v>
      </c>
      <c r="U64" s="1389">
        <f>'Table 5C1A-Madison Prep'!U64</f>
        <v>2084</v>
      </c>
      <c r="V64" s="1515">
        <f t="shared" si="15"/>
        <v>0</v>
      </c>
      <c r="W64" s="1391"/>
      <c r="X64" s="1392">
        <f t="shared" si="16"/>
        <v>0</v>
      </c>
      <c r="Y64" s="1391"/>
      <c r="Z64" s="1392">
        <f t="shared" si="17"/>
        <v>0</v>
      </c>
      <c r="AA64" s="1390">
        <f t="shared" si="18"/>
        <v>0</v>
      </c>
      <c r="AB64" s="1510">
        <f t="shared" si="19"/>
        <v>0</v>
      </c>
      <c r="AC64" s="1394">
        <f t="shared" si="20"/>
        <v>0</v>
      </c>
      <c r="AD64" s="1510">
        <f t="shared" si="21"/>
        <v>0</v>
      </c>
      <c r="AE64" s="1395">
        <v>0</v>
      </c>
      <c r="AF64" s="1510">
        <f t="shared" si="22"/>
        <v>0</v>
      </c>
      <c r="AG64" s="1395"/>
      <c r="AH64" s="1395">
        <f t="shared" si="23"/>
        <v>0</v>
      </c>
      <c r="AI64" s="1510">
        <f t="shared" si="24"/>
        <v>0</v>
      </c>
      <c r="AJ64" s="1505">
        <f t="shared" si="25"/>
        <v>0</v>
      </c>
      <c r="AK64" s="1535">
        <f t="shared" si="26"/>
        <v>0</v>
      </c>
    </row>
    <row r="65" spans="1:37" ht="16.2" customHeight="1">
      <c r="A65" s="1176">
        <v>59</v>
      </c>
      <c r="B65" s="1177" t="s">
        <v>138</v>
      </c>
      <c r="C65" s="1178">
        <v>0</v>
      </c>
      <c r="D65" s="1179">
        <f>+'Table 5C1A-Madison Prep'!D65</f>
        <v>6621.946293521848</v>
      </c>
      <c r="E65" s="1180">
        <f t="shared" si="5"/>
        <v>0</v>
      </c>
      <c r="F65" s="1180">
        <f>+'Table 5C1A-Madison Prep'!F65</f>
        <v>689.52</v>
      </c>
      <c r="G65" s="1180">
        <f t="shared" si="6"/>
        <v>0</v>
      </c>
      <c r="H65" s="1539">
        <f t="shared" si="7"/>
        <v>0</v>
      </c>
      <c r="I65" s="1181"/>
      <c r="J65" s="1181"/>
      <c r="K65" s="1182">
        <f t="shared" si="8"/>
        <v>0</v>
      </c>
      <c r="L65" s="1539">
        <f t="shared" si="9"/>
        <v>0</v>
      </c>
      <c r="M65" s="1388">
        <f t="shared" si="4"/>
        <v>0</v>
      </c>
      <c r="N65" s="1539">
        <f t="shared" si="10"/>
        <v>0</v>
      </c>
      <c r="O65" s="1179">
        <v>0</v>
      </c>
      <c r="P65" s="1545">
        <f t="shared" si="11"/>
        <v>0</v>
      </c>
      <c r="Q65" s="1181"/>
      <c r="R65" s="1181">
        <f t="shared" si="12"/>
        <v>0</v>
      </c>
      <c r="S65" s="1545">
        <f t="shared" si="13"/>
        <v>0</v>
      </c>
      <c r="T65" s="1545">
        <f t="shared" si="14"/>
        <v>0</v>
      </c>
      <c r="U65" s="1389">
        <f>'Table 5C1A-Madison Prep'!U65</f>
        <v>1577</v>
      </c>
      <c r="V65" s="1515">
        <f t="shared" si="15"/>
        <v>0</v>
      </c>
      <c r="W65" s="1391"/>
      <c r="X65" s="1392">
        <f t="shared" si="16"/>
        <v>0</v>
      </c>
      <c r="Y65" s="1391"/>
      <c r="Z65" s="1392">
        <f t="shared" si="17"/>
        <v>0</v>
      </c>
      <c r="AA65" s="1390">
        <f t="shared" si="18"/>
        <v>0</v>
      </c>
      <c r="AB65" s="1510">
        <f t="shared" si="19"/>
        <v>0</v>
      </c>
      <c r="AC65" s="1394">
        <f t="shared" si="20"/>
        <v>0</v>
      </c>
      <c r="AD65" s="1510">
        <f t="shared" si="21"/>
        <v>0</v>
      </c>
      <c r="AE65" s="1395">
        <v>0</v>
      </c>
      <c r="AF65" s="1510">
        <f t="shared" si="22"/>
        <v>0</v>
      </c>
      <c r="AG65" s="1395"/>
      <c r="AH65" s="1395">
        <f t="shared" si="23"/>
        <v>0</v>
      </c>
      <c r="AI65" s="1510">
        <f t="shared" si="24"/>
        <v>0</v>
      </c>
      <c r="AJ65" s="1505">
        <f t="shared" si="25"/>
        <v>0</v>
      </c>
      <c r="AK65" s="1535">
        <f t="shared" si="26"/>
        <v>0</v>
      </c>
    </row>
    <row r="66" spans="1:37" ht="16.2" customHeight="1">
      <c r="A66" s="1168">
        <v>60</v>
      </c>
      <c r="B66" s="1169" t="s">
        <v>139</v>
      </c>
      <c r="C66" s="1170">
        <v>0</v>
      </c>
      <c r="D66" s="1171">
        <f>+'Table 5C1A-Madison Prep'!D66</f>
        <v>5301.224090063828</v>
      </c>
      <c r="E66" s="1172">
        <f t="shared" si="5"/>
        <v>0</v>
      </c>
      <c r="F66" s="1172">
        <f>+'Table 5C1A-Madison Prep'!F66</f>
        <v>594.04</v>
      </c>
      <c r="G66" s="1172">
        <f t="shared" si="6"/>
        <v>0</v>
      </c>
      <c r="H66" s="1540">
        <f t="shared" si="7"/>
        <v>0</v>
      </c>
      <c r="I66" s="1173"/>
      <c r="J66" s="1173"/>
      <c r="K66" s="1174">
        <f t="shared" si="8"/>
        <v>0</v>
      </c>
      <c r="L66" s="1540">
        <f t="shared" si="9"/>
        <v>0</v>
      </c>
      <c r="M66" s="1399">
        <f t="shared" si="4"/>
        <v>0</v>
      </c>
      <c r="N66" s="1540">
        <f t="shared" si="10"/>
        <v>0</v>
      </c>
      <c r="O66" s="1171">
        <v>0</v>
      </c>
      <c r="P66" s="1546">
        <f t="shared" si="11"/>
        <v>0</v>
      </c>
      <c r="Q66" s="1173"/>
      <c r="R66" s="1173">
        <f t="shared" si="12"/>
        <v>0</v>
      </c>
      <c r="S66" s="1546">
        <f t="shared" si="13"/>
        <v>0</v>
      </c>
      <c r="T66" s="1546">
        <f t="shared" si="14"/>
        <v>0</v>
      </c>
      <c r="U66" s="1382">
        <f>'Table 5C1A-Madison Prep'!U66</f>
        <v>3922</v>
      </c>
      <c r="V66" s="1516">
        <f t="shared" si="15"/>
        <v>0</v>
      </c>
      <c r="W66" s="1400"/>
      <c r="X66" s="1383">
        <f t="shared" si="16"/>
        <v>0</v>
      </c>
      <c r="Y66" s="1400"/>
      <c r="Z66" s="1383">
        <f t="shared" si="17"/>
        <v>0</v>
      </c>
      <c r="AA66" s="1384">
        <f t="shared" si="18"/>
        <v>0</v>
      </c>
      <c r="AB66" s="1511">
        <f t="shared" si="19"/>
        <v>0</v>
      </c>
      <c r="AC66" s="1402">
        <f t="shared" si="20"/>
        <v>0</v>
      </c>
      <c r="AD66" s="1511">
        <f t="shared" si="21"/>
        <v>0</v>
      </c>
      <c r="AE66" s="1385">
        <v>0</v>
      </c>
      <c r="AF66" s="1511">
        <f t="shared" si="22"/>
        <v>0</v>
      </c>
      <c r="AG66" s="1385"/>
      <c r="AH66" s="1385">
        <f t="shared" si="23"/>
        <v>0</v>
      </c>
      <c r="AI66" s="1511">
        <f t="shared" si="24"/>
        <v>0</v>
      </c>
      <c r="AJ66" s="1531">
        <f t="shared" si="25"/>
        <v>0</v>
      </c>
      <c r="AK66" s="1536">
        <f t="shared" si="26"/>
        <v>0</v>
      </c>
    </row>
    <row r="67" spans="1:37" ht="16.2" customHeight="1">
      <c r="A67" s="1183">
        <v>61</v>
      </c>
      <c r="B67" s="1184" t="s">
        <v>140</v>
      </c>
      <c r="C67" s="1185">
        <v>0</v>
      </c>
      <c r="D67" s="1186">
        <f>+'Table 5C1A-Madison Prep'!D67</f>
        <v>2854.1575356369185</v>
      </c>
      <c r="E67" s="1187">
        <f t="shared" si="5"/>
        <v>0</v>
      </c>
      <c r="F67" s="1187">
        <f>+'Table 5C1A-Madison Prep'!F67</f>
        <v>833.70999999999992</v>
      </c>
      <c r="G67" s="1187">
        <f t="shared" si="6"/>
        <v>0</v>
      </c>
      <c r="H67" s="1538">
        <f t="shared" si="7"/>
        <v>0</v>
      </c>
      <c r="I67" s="1188"/>
      <c r="J67" s="1188"/>
      <c r="K67" s="1189">
        <f t="shared" si="8"/>
        <v>0</v>
      </c>
      <c r="L67" s="1538">
        <f t="shared" si="9"/>
        <v>0</v>
      </c>
      <c r="M67" s="1372">
        <f t="shared" si="4"/>
        <v>0</v>
      </c>
      <c r="N67" s="1538">
        <f t="shared" si="10"/>
        <v>0</v>
      </c>
      <c r="O67" s="1186">
        <v>0</v>
      </c>
      <c r="P67" s="1544">
        <f t="shared" si="11"/>
        <v>0</v>
      </c>
      <c r="Q67" s="1188"/>
      <c r="R67" s="1188">
        <f t="shared" si="12"/>
        <v>0</v>
      </c>
      <c r="S67" s="1544">
        <f t="shared" si="13"/>
        <v>0</v>
      </c>
      <c r="T67" s="1544">
        <f t="shared" si="14"/>
        <v>0</v>
      </c>
      <c r="U67" s="1373">
        <f>'Table 5C1A-Madison Prep'!U67</f>
        <v>6745</v>
      </c>
      <c r="V67" s="1514">
        <f t="shared" si="15"/>
        <v>0</v>
      </c>
      <c r="W67" s="1375"/>
      <c r="X67" s="1376">
        <f t="shared" si="16"/>
        <v>0</v>
      </c>
      <c r="Y67" s="1375"/>
      <c r="Z67" s="1376">
        <f t="shared" si="17"/>
        <v>0</v>
      </c>
      <c r="AA67" s="1374">
        <f t="shared" si="18"/>
        <v>0</v>
      </c>
      <c r="AB67" s="1509">
        <f t="shared" si="19"/>
        <v>0</v>
      </c>
      <c r="AC67" s="1378">
        <f t="shared" si="20"/>
        <v>0</v>
      </c>
      <c r="AD67" s="1509">
        <f t="shared" si="21"/>
        <v>0</v>
      </c>
      <c r="AE67" s="1379">
        <v>0</v>
      </c>
      <c r="AF67" s="1509">
        <f t="shared" si="22"/>
        <v>0</v>
      </c>
      <c r="AG67" s="1379"/>
      <c r="AH67" s="1379">
        <f t="shared" si="23"/>
        <v>0</v>
      </c>
      <c r="AI67" s="1509">
        <f t="shared" si="24"/>
        <v>0</v>
      </c>
      <c r="AJ67" s="1530">
        <f t="shared" si="25"/>
        <v>0</v>
      </c>
      <c r="AK67" s="1534">
        <f t="shared" si="26"/>
        <v>0</v>
      </c>
    </row>
    <row r="68" spans="1:37" ht="16.2" customHeight="1">
      <c r="A68" s="1176">
        <v>62</v>
      </c>
      <c r="B68" s="1177" t="s">
        <v>141</v>
      </c>
      <c r="C68" s="1178">
        <v>0</v>
      </c>
      <c r="D68" s="1179">
        <f>+'Table 5C1A-Madison Prep'!D68</f>
        <v>5901.074538516008</v>
      </c>
      <c r="E68" s="1180">
        <f t="shared" si="5"/>
        <v>0</v>
      </c>
      <c r="F68" s="1180">
        <f>+'Table 5C1A-Madison Prep'!F68</f>
        <v>516.08000000000004</v>
      </c>
      <c r="G68" s="1180">
        <f t="shared" si="6"/>
        <v>0</v>
      </c>
      <c r="H68" s="1539">
        <f t="shared" si="7"/>
        <v>0</v>
      </c>
      <c r="I68" s="1181"/>
      <c r="J68" s="1181"/>
      <c r="K68" s="1182">
        <f t="shared" si="8"/>
        <v>0</v>
      </c>
      <c r="L68" s="1539">
        <f t="shared" si="9"/>
        <v>0</v>
      </c>
      <c r="M68" s="1388">
        <f t="shared" si="4"/>
        <v>0</v>
      </c>
      <c r="N68" s="1539">
        <f t="shared" si="10"/>
        <v>0</v>
      </c>
      <c r="O68" s="1179">
        <v>0</v>
      </c>
      <c r="P68" s="1545">
        <f t="shared" si="11"/>
        <v>0</v>
      </c>
      <c r="Q68" s="1181"/>
      <c r="R68" s="1181">
        <f t="shared" si="12"/>
        <v>0</v>
      </c>
      <c r="S68" s="1545">
        <f t="shared" si="13"/>
        <v>0</v>
      </c>
      <c r="T68" s="1545">
        <f t="shared" si="14"/>
        <v>0</v>
      </c>
      <c r="U68" s="1389">
        <f>'Table 5C1A-Madison Prep'!U68</f>
        <v>1908</v>
      </c>
      <c r="V68" s="1515">
        <f t="shared" si="15"/>
        <v>0</v>
      </c>
      <c r="W68" s="1391"/>
      <c r="X68" s="1392">
        <f t="shared" si="16"/>
        <v>0</v>
      </c>
      <c r="Y68" s="1391"/>
      <c r="Z68" s="1392">
        <f t="shared" si="17"/>
        <v>0</v>
      </c>
      <c r="AA68" s="1390">
        <f t="shared" si="18"/>
        <v>0</v>
      </c>
      <c r="AB68" s="1510">
        <f t="shared" si="19"/>
        <v>0</v>
      </c>
      <c r="AC68" s="1394">
        <f t="shared" si="20"/>
        <v>0</v>
      </c>
      <c r="AD68" s="1510">
        <f t="shared" si="21"/>
        <v>0</v>
      </c>
      <c r="AE68" s="1395">
        <v>0</v>
      </c>
      <c r="AF68" s="1510">
        <f t="shared" si="22"/>
        <v>0</v>
      </c>
      <c r="AG68" s="1395"/>
      <c r="AH68" s="1395">
        <f t="shared" si="23"/>
        <v>0</v>
      </c>
      <c r="AI68" s="1510">
        <f t="shared" si="24"/>
        <v>0</v>
      </c>
      <c r="AJ68" s="1505">
        <f t="shared" si="25"/>
        <v>0</v>
      </c>
      <c r="AK68" s="1535">
        <f t="shared" si="26"/>
        <v>0</v>
      </c>
    </row>
    <row r="69" spans="1:37" ht="16.2" customHeight="1">
      <c r="A69" s="1176">
        <v>63</v>
      </c>
      <c r="B69" s="1177" t="s">
        <v>142</v>
      </c>
      <c r="C69" s="1178">
        <v>0</v>
      </c>
      <c r="D69" s="1179">
        <f>+'Table 5C1A-Madison Prep'!D69</f>
        <v>4124.3813481848092</v>
      </c>
      <c r="E69" s="1180">
        <f t="shared" si="5"/>
        <v>0</v>
      </c>
      <c r="F69" s="1180">
        <f>+'Table 5C1A-Madison Prep'!F69</f>
        <v>756.79</v>
      </c>
      <c r="G69" s="1180">
        <f t="shared" si="6"/>
        <v>0</v>
      </c>
      <c r="H69" s="1539">
        <f t="shared" si="7"/>
        <v>0</v>
      </c>
      <c r="I69" s="1181"/>
      <c r="J69" s="1181"/>
      <c r="K69" s="1182">
        <f t="shared" si="8"/>
        <v>0</v>
      </c>
      <c r="L69" s="1539">
        <f t="shared" si="9"/>
        <v>0</v>
      </c>
      <c r="M69" s="1388">
        <f t="shared" si="4"/>
        <v>0</v>
      </c>
      <c r="N69" s="1539">
        <f t="shared" si="10"/>
        <v>0</v>
      </c>
      <c r="O69" s="1179">
        <v>0</v>
      </c>
      <c r="P69" s="1545">
        <f t="shared" si="11"/>
        <v>0</v>
      </c>
      <c r="Q69" s="1181"/>
      <c r="R69" s="1181">
        <f t="shared" si="12"/>
        <v>0</v>
      </c>
      <c r="S69" s="1545">
        <f t="shared" si="13"/>
        <v>0</v>
      </c>
      <c r="T69" s="1545">
        <f t="shared" si="14"/>
        <v>0</v>
      </c>
      <c r="U69" s="1389">
        <f>'Table 5C1A-Madison Prep'!U69</f>
        <v>7290</v>
      </c>
      <c r="V69" s="1515">
        <f t="shared" si="15"/>
        <v>0</v>
      </c>
      <c r="W69" s="1391"/>
      <c r="X69" s="1392">
        <f t="shared" si="16"/>
        <v>0</v>
      </c>
      <c r="Y69" s="1391"/>
      <c r="Z69" s="1392">
        <f t="shared" si="17"/>
        <v>0</v>
      </c>
      <c r="AA69" s="1390">
        <f t="shared" si="18"/>
        <v>0</v>
      </c>
      <c r="AB69" s="1510">
        <f t="shared" si="19"/>
        <v>0</v>
      </c>
      <c r="AC69" s="1394">
        <f t="shared" si="20"/>
        <v>0</v>
      </c>
      <c r="AD69" s="1510">
        <f t="shared" si="21"/>
        <v>0</v>
      </c>
      <c r="AE69" s="1395">
        <v>0</v>
      </c>
      <c r="AF69" s="1510">
        <f t="shared" si="22"/>
        <v>0</v>
      </c>
      <c r="AG69" s="1395"/>
      <c r="AH69" s="1395">
        <f t="shared" si="23"/>
        <v>0</v>
      </c>
      <c r="AI69" s="1510">
        <f t="shared" si="24"/>
        <v>0</v>
      </c>
      <c r="AJ69" s="1505">
        <f t="shared" si="25"/>
        <v>0</v>
      </c>
      <c r="AK69" s="1535">
        <f t="shared" si="26"/>
        <v>0</v>
      </c>
    </row>
    <row r="70" spans="1:37" ht="16.2" customHeight="1">
      <c r="A70" s="1176">
        <v>64</v>
      </c>
      <c r="B70" s="1177" t="s">
        <v>143</v>
      </c>
      <c r="C70" s="1178">
        <v>0</v>
      </c>
      <c r="D70" s="1179">
        <f>+'Table 5C1A-Madison Prep'!D70</f>
        <v>6277.8307532778254</v>
      </c>
      <c r="E70" s="1180">
        <f t="shared" si="5"/>
        <v>0</v>
      </c>
      <c r="F70" s="1180">
        <f>+'Table 5C1A-Madison Prep'!F70</f>
        <v>592.66</v>
      </c>
      <c r="G70" s="1180">
        <f t="shared" si="6"/>
        <v>0</v>
      </c>
      <c r="H70" s="1539">
        <f t="shared" si="7"/>
        <v>0</v>
      </c>
      <c r="I70" s="1181"/>
      <c r="J70" s="1181"/>
      <c r="K70" s="1182">
        <f t="shared" si="8"/>
        <v>0</v>
      </c>
      <c r="L70" s="1539">
        <f t="shared" si="9"/>
        <v>0</v>
      </c>
      <c r="M70" s="1388">
        <f t="shared" si="4"/>
        <v>0</v>
      </c>
      <c r="N70" s="1539">
        <f t="shared" si="10"/>
        <v>0</v>
      </c>
      <c r="O70" s="1179">
        <v>0</v>
      </c>
      <c r="P70" s="1545">
        <f t="shared" si="11"/>
        <v>0</v>
      </c>
      <c r="Q70" s="1181"/>
      <c r="R70" s="1181">
        <f t="shared" si="12"/>
        <v>0</v>
      </c>
      <c r="S70" s="1545">
        <f t="shared" si="13"/>
        <v>0</v>
      </c>
      <c r="T70" s="1545">
        <f t="shared" si="14"/>
        <v>0</v>
      </c>
      <c r="U70" s="1389">
        <f>'Table 5C1A-Madison Prep'!U70</f>
        <v>2721</v>
      </c>
      <c r="V70" s="1515">
        <f t="shared" si="15"/>
        <v>0</v>
      </c>
      <c r="W70" s="1391"/>
      <c r="X70" s="1392">
        <f t="shared" si="16"/>
        <v>0</v>
      </c>
      <c r="Y70" s="1391"/>
      <c r="Z70" s="1392">
        <f t="shared" si="17"/>
        <v>0</v>
      </c>
      <c r="AA70" s="1390">
        <f t="shared" si="18"/>
        <v>0</v>
      </c>
      <c r="AB70" s="1510">
        <f t="shared" si="19"/>
        <v>0</v>
      </c>
      <c r="AC70" s="1394">
        <f t="shared" si="20"/>
        <v>0</v>
      </c>
      <c r="AD70" s="1510">
        <f t="shared" si="21"/>
        <v>0</v>
      </c>
      <c r="AE70" s="1395">
        <v>0</v>
      </c>
      <c r="AF70" s="1510">
        <f t="shared" si="22"/>
        <v>0</v>
      </c>
      <c r="AG70" s="1395"/>
      <c r="AH70" s="1395">
        <f t="shared" si="23"/>
        <v>0</v>
      </c>
      <c r="AI70" s="1510">
        <f t="shared" si="24"/>
        <v>0</v>
      </c>
      <c r="AJ70" s="1505">
        <f t="shared" si="25"/>
        <v>0</v>
      </c>
      <c r="AK70" s="1535">
        <f t="shared" si="26"/>
        <v>0</v>
      </c>
    </row>
    <row r="71" spans="1:37" ht="16.2" customHeight="1">
      <c r="A71" s="1168">
        <v>65</v>
      </c>
      <c r="B71" s="1169" t="s">
        <v>144</v>
      </c>
      <c r="C71" s="1170">
        <v>0</v>
      </c>
      <c r="D71" s="1171">
        <f>+'Table 5C1A-Madison Prep'!D71</f>
        <v>4775.1605543943642</v>
      </c>
      <c r="E71" s="1172">
        <f t="shared" si="5"/>
        <v>0</v>
      </c>
      <c r="F71" s="1172">
        <f>+'Table 5C1A-Madison Prep'!F71</f>
        <v>829.12</v>
      </c>
      <c r="G71" s="1172">
        <f t="shared" si="6"/>
        <v>0</v>
      </c>
      <c r="H71" s="1540">
        <f t="shared" si="7"/>
        <v>0</v>
      </c>
      <c r="I71" s="1173"/>
      <c r="J71" s="1173"/>
      <c r="K71" s="1174">
        <f t="shared" si="8"/>
        <v>0</v>
      </c>
      <c r="L71" s="1540">
        <f t="shared" si="9"/>
        <v>0</v>
      </c>
      <c r="M71" s="1399">
        <f t="shared" ref="M71:M74" si="27">-(0.25%*L71)</f>
        <v>0</v>
      </c>
      <c r="N71" s="1540">
        <f t="shared" si="10"/>
        <v>0</v>
      </c>
      <c r="O71" s="1171">
        <v>0</v>
      </c>
      <c r="P71" s="1546">
        <f t="shared" si="11"/>
        <v>0</v>
      </c>
      <c r="Q71" s="1173"/>
      <c r="R71" s="1173">
        <f t="shared" si="12"/>
        <v>0</v>
      </c>
      <c r="S71" s="1546">
        <f t="shared" si="13"/>
        <v>0</v>
      </c>
      <c r="T71" s="1546">
        <f t="shared" si="14"/>
        <v>0</v>
      </c>
      <c r="U71" s="1382">
        <f>'Table 5C1A-Madison Prep'!U71</f>
        <v>5110</v>
      </c>
      <c r="V71" s="1516">
        <f t="shared" si="15"/>
        <v>0</v>
      </c>
      <c r="W71" s="1400"/>
      <c r="X71" s="1383">
        <f t="shared" si="16"/>
        <v>0</v>
      </c>
      <c r="Y71" s="1400"/>
      <c r="Z71" s="1383">
        <f t="shared" si="17"/>
        <v>0</v>
      </c>
      <c r="AA71" s="1384">
        <f t="shared" si="18"/>
        <v>0</v>
      </c>
      <c r="AB71" s="1511">
        <f t="shared" si="19"/>
        <v>0</v>
      </c>
      <c r="AC71" s="1402">
        <f t="shared" si="20"/>
        <v>0</v>
      </c>
      <c r="AD71" s="1511">
        <f t="shared" si="21"/>
        <v>0</v>
      </c>
      <c r="AE71" s="1385">
        <v>0</v>
      </c>
      <c r="AF71" s="1511">
        <f t="shared" si="22"/>
        <v>0</v>
      </c>
      <c r="AG71" s="1385"/>
      <c r="AH71" s="1385">
        <f t="shared" si="23"/>
        <v>0</v>
      </c>
      <c r="AI71" s="1511">
        <f t="shared" si="24"/>
        <v>0</v>
      </c>
      <c r="AJ71" s="1531">
        <f t="shared" si="25"/>
        <v>0</v>
      </c>
      <c r="AK71" s="1536">
        <f t="shared" si="26"/>
        <v>0</v>
      </c>
    </row>
    <row r="72" spans="1:37" ht="16.2" customHeight="1">
      <c r="A72" s="1176">
        <v>66</v>
      </c>
      <c r="B72" s="1177" t="s">
        <v>145</v>
      </c>
      <c r="C72" s="1197">
        <v>0</v>
      </c>
      <c r="D72" s="1198">
        <f>+'Table 5C1A-Madison Prep'!D72</f>
        <v>6564.0085433910035</v>
      </c>
      <c r="E72" s="1199">
        <f t="shared" ref="E72:E75" si="28">C72*D72</f>
        <v>0</v>
      </c>
      <c r="F72" s="1199">
        <f>+'Table 5C1A-Madison Prep'!F72</f>
        <v>730.06</v>
      </c>
      <c r="G72" s="1199">
        <f t="shared" ref="G72:G75" si="29">C72*F72</f>
        <v>0</v>
      </c>
      <c r="H72" s="1403">
        <f t="shared" ref="H72:H75" si="30">E72+G72</f>
        <v>0</v>
      </c>
      <c r="I72" s="1200"/>
      <c r="J72" s="1200"/>
      <c r="K72" s="1201">
        <f t="shared" ref="K72:K75" si="31">+I72+J72</f>
        <v>0</v>
      </c>
      <c r="L72" s="1403">
        <f t="shared" ref="L72:L75" si="32">+H72+K72</f>
        <v>0</v>
      </c>
      <c r="M72" s="1423">
        <f t="shared" si="27"/>
        <v>0</v>
      </c>
      <c r="N72" s="1403">
        <f t="shared" ref="N72:N75" si="33">SUM(L72:M72)</f>
        <v>0</v>
      </c>
      <c r="O72" s="1198">
        <v>0</v>
      </c>
      <c r="P72" s="1398">
        <f t="shared" ref="P72:P75" si="34">SUM(N72:O72)</f>
        <v>0</v>
      </c>
      <c r="Q72" s="1200"/>
      <c r="R72" s="1200">
        <f t="shared" ref="R72:R75" si="35">+P72-Q72</f>
        <v>0</v>
      </c>
      <c r="S72" s="1398">
        <f t="shared" ref="S72:S75" si="36">ROUND(R72/12,0)</f>
        <v>0</v>
      </c>
      <c r="T72" s="1398">
        <f t="shared" ref="T72:T75" si="37">+P72</f>
        <v>0</v>
      </c>
      <c r="U72" s="1389">
        <f>'Table 5C1A-Madison Prep'!U72</f>
        <v>3369</v>
      </c>
      <c r="V72" s="1515">
        <f t="shared" ref="V72:V75" si="38">C72*U72</f>
        <v>0</v>
      </c>
      <c r="W72" s="1391"/>
      <c r="X72" s="1392">
        <f t="shared" ref="X72:X75" si="39">+U72*W72</f>
        <v>0</v>
      </c>
      <c r="Y72" s="1391"/>
      <c r="Z72" s="1392">
        <f t="shared" ref="Z72:Z75" si="40">+U72*Y72*0.5</f>
        <v>0</v>
      </c>
      <c r="AA72" s="1390">
        <f t="shared" ref="AA72:AA75" si="41">+X72+Z72</f>
        <v>0</v>
      </c>
      <c r="AB72" s="1510">
        <f t="shared" ref="AB72:AB75" si="42">+V72+AA72</f>
        <v>0</v>
      </c>
      <c r="AC72" s="1394">
        <f t="shared" ref="AC72:AC75" si="43">-(0.25%*AB72)</f>
        <v>0</v>
      </c>
      <c r="AD72" s="1510">
        <f t="shared" ref="AD72:AD75" si="44">SUM(AB72:AC72)</f>
        <v>0</v>
      </c>
      <c r="AE72" s="1395">
        <v>0</v>
      </c>
      <c r="AF72" s="1510">
        <f t="shared" ref="AF72:AF75" si="45">SUM(AD72:AE72)</f>
        <v>0</v>
      </c>
      <c r="AG72" s="1395"/>
      <c r="AH72" s="1395">
        <f t="shared" ref="AH72:AH75" si="46">+AF72-AG72</f>
        <v>0</v>
      </c>
      <c r="AI72" s="1510">
        <f t="shared" ref="AI72:AI75" si="47">ROUND(AH72/12,0)</f>
        <v>0</v>
      </c>
      <c r="AJ72" s="1505">
        <f t="shared" ref="AJ72:AJ75" si="48">T72+AF72</f>
        <v>0</v>
      </c>
      <c r="AK72" s="1505">
        <f t="shared" ref="AK72:AK75" si="49">S72+AI72</f>
        <v>0</v>
      </c>
    </row>
    <row r="73" spans="1:37" ht="16.2" customHeight="1">
      <c r="A73" s="1176">
        <v>67</v>
      </c>
      <c r="B73" s="1177" t="s">
        <v>30</v>
      </c>
      <c r="C73" s="1197">
        <v>0</v>
      </c>
      <c r="D73" s="1198">
        <f>+'Table 5C1A-Madison Prep'!D73</f>
        <v>5029.1467736134118</v>
      </c>
      <c r="E73" s="1199">
        <f t="shared" si="28"/>
        <v>0</v>
      </c>
      <c r="F73" s="1199">
        <f>+'Table 5C1A-Madison Prep'!F73</f>
        <v>715.61</v>
      </c>
      <c r="G73" s="1199">
        <f t="shared" si="29"/>
        <v>0</v>
      </c>
      <c r="H73" s="1403">
        <f t="shared" si="30"/>
        <v>0</v>
      </c>
      <c r="I73" s="1200"/>
      <c r="J73" s="1200"/>
      <c r="K73" s="1201">
        <f t="shared" si="31"/>
        <v>0</v>
      </c>
      <c r="L73" s="1403">
        <f t="shared" si="32"/>
        <v>0</v>
      </c>
      <c r="M73" s="1423">
        <f t="shared" si="27"/>
        <v>0</v>
      </c>
      <c r="N73" s="1403">
        <f t="shared" si="33"/>
        <v>0</v>
      </c>
      <c r="O73" s="1198">
        <v>0</v>
      </c>
      <c r="P73" s="1398">
        <f t="shared" si="34"/>
        <v>0</v>
      </c>
      <c r="Q73" s="1200"/>
      <c r="R73" s="1200">
        <f t="shared" si="35"/>
        <v>0</v>
      </c>
      <c r="S73" s="1398">
        <f t="shared" si="36"/>
        <v>0</v>
      </c>
      <c r="T73" s="1398">
        <f t="shared" si="37"/>
        <v>0</v>
      </c>
      <c r="U73" s="1389">
        <f>'Table 5C1A-Madison Prep'!U73</f>
        <v>5015</v>
      </c>
      <c r="V73" s="1515">
        <f t="shared" si="38"/>
        <v>0</v>
      </c>
      <c r="W73" s="1391"/>
      <c r="X73" s="1392">
        <f t="shared" si="39"/>
        <v>0</v>
      </c>
      <c r="Y73" s="1391"/>
      <c r="Z73" s="1392">
        <f t="shared" si="40"/>
        <v>0</v>
      </c>
      <c r="AA73" s="1390">
        <f t="shared" si="41"/>
        <v>0</v>
      </c>
      <c r="AB73" s="1510">
        <f t="shared" si="42"/>
        <v>0</v>
      </c>
      <c r="AC73" s="1394">
        <f t="shared" si="43"/>
        <v>0</v>
      </c>
      <c r="AD73" s="1510">
        <f t="shared" si="44"/>
        <v>0</v>
      </c>
      <c r="AE73" s="1395">
        <v>0</v>
      </c>
      <c r="AF73" s="1510">
        <f t="shared" si="45"/>
        <v>0</v>
      </c>
      <c r="AG73" s="1395"/>
      <c r="AH73" s="1395">
        <f t="shared" si="46"/>
        <v>0</v>
      </c>
      <c r="AI73" s="1510">
        <f t="shared" si="47"/>
        <v>0</v>
      </c>
      <c r="AJ73" s="1505">
        <f t="shared" si="48"/>
        <v>0</v>
      </c>
      <c r="AK73" s="1505">
        <f t="shared" si="49"/>
        <v>0</v>
      </c>
    </row>
    <row r="74" spans="1:37" ht="16.2" customHeight="1">
      <c r="A74" s="1176">
        <v>68</v>
      </c>
      <c r="B74" s="1177" t="s">
        <v>28</v>
      </c>
      <c r="C74" s="1197">
        <v>0</v>
      </c>
      <c r="D74" s="1198">
        <f>+'Table 5C1A-Madison Prep'!D74</f>
        <v>6390.1644202560601</v>
      </c>
      <c r="E74" s="1199">
        <f t="shared" si="28"/>
        <v>0</v>
      </c>
      <c r="F74" s="1199">
        <f>+'Table 5C1A-Madison Prep'!F74</f>
        <v>798.7</v>
      </c>
      <c r="G74" s="1199">
        <f t="shared" si="29"/>
        <v>0</v>
      </c>
      <c r="H74" s="1403">
        <f t="shared" si="30"/>
        <v>0</v>
      </c>
      <c r="I74" s="1200"/>
      <c r="J74" s="1200"/>
      <c r="K74" s="1201">
        <f t="shared" si="31"/>
        <v>0</v>
      </c>
      <c r="L74" s="1403">
        <f t="shared" si="32"/>
        <v>0</v>
      </c>
      <c r="M74" s="1423">
        <f t="shared" si="27"/>
        <v>0</v>
      </c>
      <c r="N74" s="1403">
        <f t="shared" si="33"/>
        <v>0</v>
      </c>
      <c r="O74" s="1198">
        <v>0</v>
      </c>
      <c r="P74" s="1398">
        <f t="shared" si="34"/>
        <v>0</v>
      </c>
      <c r="Q74" s="1200"/>
      <c r="R74" s="1200">
        <f t="shared" si="35"/>
        <v>0</v>
      </c>
      <c r="S74" s="1398">
        <f t="shared" si="36"/>
        <v>0</v>
      </c>
      <c r="T74" s="1398">
        <f t="shared" si="37"/>
        <v>0</v>
      </c>
      <c r="U74" s="1389">
        <f>'Table 5C1A-Madison Prep'!U74</f>
        <v>2669</v>
      </c>
      <c r="V74" s="1515">
        <f t="shared" si="38"/>
        <v>0</v>
      </c>
      <c r="W74" s="1391"/>
      <c r="X74" s="1392">
        <f t="shared" si="39"/>
        <v>0</v>
      </c>
      <c r="Y74" s="1391"/>
      <c r="Z74" s="1392">
        <f t="shared" si="40"/>
        <v>0</v>
      </c>
      <c r="AA74" s="1390">
        <f t="shared" si="41"/>
        <v>0</v>
      </c>
      <c r="AB74" s="1510">
        <f t="shared" si="42"/>
        <v>0</v>
      </c>
      <c r="AC74" s="1394">
        <f t="shared" si="43"/>
        <v>0</v>
      </c>
      <c r="AD74" s="1510">
        <f t="shared" si="44"/>
        <v>0</v>
      </c>
      <c r="AE74" s="1395">
        <v>0</v>
      </c>
      <c r="AF74" s="1510">
        <f t="shared" si="45"/>
        <v>0</v>
      </c>
      <c r="AG74" s="1395"/>
      <c r="AH74" s="1395">
        <f t="shared" si="46"/>
        <v>0</v>
      </c>
      <c r="AI74" s="1510">
        <f t="shared" si="47"/>
        <v>0</v>
      </c>
      <c r="AJ74" s="1505">
        <f t="shared" si="48"/>
        <v>0</v>
      </c>
      <c r="AK74" s="1505">
        <f t="shared" si="49"/>
        <v>0</v>
      </c>
    </row>
    <row r="75" spans="1:37" ht="16.2" customHeight="1">
      <c r="A75" s="1190">
        <v>69</v>
      </c>
      <c r="B75" s="1191" t="s">
        <v>183</v>
      </c>
      <c r="C75" s="1192">
        <v>0</v>
      </c>
      <c r="D75" s="1193">
        <f>+'Table 5C1A-Madison Prep'!D75</f>
        <v>5722.4947921281337</v>
      </c>
      <c r="E75" s="1194">
        <f t="shared" si="28"/>
        <v>0</v>
      </c>
      <c r="F75" s="1194">
        <f>+'Table 5C1A-Madison Prep'!F75</f>
        <v>705.67</v>
      </c>
      <c r="G75" s="1194">
        <f t="shared" si="29"/>
        <v>0</v>
      </c>
      <c r="H75" s="1541">
        <f t="shared" si="30"/>
        <v>0</v>
      </c>
      <c r="I75" s="1195"/>
      <c r="J75" s="1195"/>
      <c r="K75" s="1196">
        <f t="shared" si="31"/>
        <v>0</v>
      </c>
      <c r="L75" s="1541">
        <f t="shared" si="32"/>
        <v>0</v>
      </c>
      <c r="M75" s="1405">
        <f>-(0.25%*L75)</f>
        <v>0</v>
      </c>
      <c r="N75" s="1541">
        <f t="shared" si="33"/>
        <v>0</v>
      </c>
      <c r="O75" s="1193">
        <v>0</v>
      </c>
      <c r="P75" s="1547">
        <f t="shared" si="34"/>
        <v>0</v>
      </c>
      <c r="Q75" s="1195"/>
      <c r="R75" s="1195">
        <f t="shared" si="35"/>
        <v>0</v>
      </c>
      <c r="S75" s="1547">
        <f t="shared" si="36"/>
        <v>0</v>
      </c>
      <c r="T75" s="1547">
        <f t="shared" si="37"/>
        <v>0</v>
      </c>
      <c r="U75" s="653">
        <f>'Table 5C1A-Madison Prep'!U75</f>
        <v>3394</v>
      </c>
      <c r="V75" s="1517">
        <f t="shared" si="38"/>
        <v>0</v>
      </c>
      <c r="W75" s="1407"/>
      <c r="X75" s="1408">
        <f t="shared" si="39"/>
        <v>0</v>
      </c>
      <c r="Y75" s="1407"/>
      <c r="Z75" s="1408">
        <f t="shared" si="40"/>
        <v>0</v>
      </c>
      <c r="AA75" s="1406">
        <f t="shared" si="41"/>
        <v>0</v>
      </c>
      <c r="AB75" s="1512">
        <f t="shared" si="42"/>
        <v>0</v>
      </c>
      <c r="AC75" s="1410">
        <f t="shared" si="43"/>
        <v>0</v>
      </c>
      <c r="AD75" s="1512">
        <f t="shared" si="44"/>
        <v>0</v>
      </c>
      <c r="AE75" s="1416">
        <v>0</v>
      </c>
      <c r="AF75" s="1512">
        <f t="shared" si="45"/>
        <v>0</v>
      </c>
      <c r="AG75" s="1416"/>
      <c r="AH75" s="1416">
        <f t="shared" si="46"/>
        <v>0</v>
      </c>
      <c r="AI75" s="1512">
        <f t="shared" si="47"/>
        <v>0</v>
      </c>
      <c r="AJ75" s="1506">
        <f t="shared" si="48"/>
        <v>0</v>
      </c>
      <c r="AK75" s="1506">
        <f t="shared" si="49"/>
        <v>0</v>
      </c>
    </row>
    <row r="76" spans="1:37" ht="16.2" customHeight="1" thickBot="1">
      <c r="A76" s="2221" t="s">
        <v>1045</v>
      </c>
      <c r="B76" s="2194"/>
      <c r="C76" s="470">
        <f>SUM(C7:C75)</f>
        <v>110</v>
      </c>
      <c r="D76" s="471">
        <f>+'Table 5C1A-Madison Prep'!D76</f>
        <v>4479.9292126977662</v>
      </c>
      <c r="E76" s="480">
        <f>SUM(E7:E75)</f>
        <v>482281.22073103191</v>
      </c>
      <c r="F76" s="480">
        <f>+'Table 5C1A-Madison Prep'!F76</f>
        <v>704.64781030742063</v>
      </c>
      <c r="G76" s="480">
        <f t="shared" ref="G76:R76" si="50">SUM(G7:G75)</f>
        <v>66884.400000000009</v>
      </c>
      <c r="H76" s="1542">
        <f t="shared" si="50"/>
        <v>549165.62073103187</v>
      </c>
      <c r="I76" s="640">
        <f t="shared" si="50"/>
        <v>0</v>
      </c>
      <c r="J76" s="640">
        <f t="shared" si="50"/>
        <v>0</v>
      </c>
      <c r="K76" s="616">
        <f t="shared" si="50"/>
        <v>0</v>
      </c>
      <c r="L76" s="1560">
        <f t="shared" si="50"/>
        <v>549165.62073103187</v>
      </c>
      <c r="M76" s="481">
        <f t="shared" si="50"/>
        <v>-1372.9140518275797</v>
      </c>
      <c r="N76" s="1542">
        <f t="shared" si="50"/>
        <v>547792.70667920425</v>
      </c>
      <c r="O76" s="471">
        <f t="shared" si="50"/>
        <v>0</v>
      </c>
      <c r="P76" s="1548">
        <f t="shared" si="50"/>
        <v>547792.70667920425</v>
      </c>
      <c r="Q76" s="640"/>
      <c r="R76" s="640">
        <f t="shared" si="50"/>
        <v>547792.70667920425</v>
      </c>
      <c r="S76" s="1548">
        <f>SUM(S7:S75)</f>
        <v>45649</v>
      </c>
      <c r="T76" s="1548">
        <f>SUM(T7:T75)</f>
        <v>547792.70667920425</v>
      </c>
      <c r="U76" s="658">
        <f>'Table 5C1A-Madison Prep'!U76</f>
        <v>4663</v>
      </c>
      <c r="V76" s="1518">
        <f t="shared" ref="V76:AK76" si="51">SUM(V7:V75)</f>
        <v>502150</v>
      </c>
      <c r="W76" s="646">
        <f t="shared" si="51"/>
        <v>0</v>
      </c>
      <c r="X76" s="647">
        <f t="shared" si="51"/>
        <v>0</v>
      </c>
      <c r="Y76" s="646">
        <f t="shared" si="51"/>
        <v>0</v>
      </c>
      <c r="Z76" s="647">
        <f t="shared" si="51"/>
        <v>0</v>
      </c>
      <c r="AA76" s="633">
        <f t="shared" si="51"/>
        <v>0</v>
      </c>
      <c r="AB76" s="1520">
        <f t="shared" si="51"/>
        <v>502150</v>
      </c>
      <c r="AC76" s="482">
        <f t="shared" si="51"/>
        <v>-1255.375</v>
      </c>
      <c r="AD76" s="1518">
        <f t="shared" si="51"/>
        <v>500894.625</v>
      </c>
      <c r="AE76" s="660">
        <f t="shared" si="51"/>
        <v>0</v>
      </c>
      <c r="AF76" s="1518">
        <f t="shared" si="51"/>
        <v>500894.625</v>
      </c>
      <c r="AG76" s="647">
        <f t="shared" si="51"/>
        <v>0</v>
      </c>
      <c r="AH76" s="647">
        <f t="shared" si="51"/>
        <v>500894.625</v>
      </c>
      <c r="AI76" s="1518">
        <f t="shared" si="51"/>
        <v>41741</v>
      </c>
      <c r="AJ76" s="1532">
        <f t="shared" si="51"/>
        <v>1048687.3316792042</v>
      </c>
      <c r="AK76" s="1532">
        <f t="shared" si="51"/>
        <v>87390</v>
      </c>
    </row>
    <row r="77" spans="1:37" ht="16.2" customHeight="1" thickTop="1">
      <c r="A77" s="2330" t="s">
        <v>1039</v>
      </c>
      <c r="B77" s="2338"/>
      <c r="C77" s="1425"/>
      <c r="D77" s="1198"/>
      <c r="E77" s="1198"/>
      <c r="F77" s="1198"/>
      <c r="G77" s="1198"/>
      <c r="H77" s="1198"/>
      <c r="I77" s="1200"/>
      <c r="J77" s="1200"/>
      <c r="K77" s="1200"/>
      <c r="L77" s="1198"/>
      <c r="M77" s="1200"/>
      <c r="N77" s="1198"/>
      <c r="O77" s="1198"/>
      <c r="P77" s="1398">
        <f>'Table 4 Level 4'!$E95</f>
        <v>0</v>
      </c>
      <c r="Q77" s="1200"/>
      <c r="R77" s="1200">
        <f t="shared" ref="R77" si="52">+P77-Q77</f>
        <v>0</v>
      </c>
      <c r="S77" s="1398">
        <f t="shared" ref="S77" si="53">ROUND(R77/12,0)</f>
        <v>0</v>
      </c>
      <c r="T77" s="1398">
        <f>'Table 4 Level 4'!$E95</f>
        <v>0</v>
      </c>
      <c r="U77" s="1389"/>
      <c r="V77" s="1392"/>
      <c r="W77" s="1391"/>
      <c r="X77" s="1392"/>
      <c r="Y77" s="1391"/>
      <c r="Z77" s="1392"/>
      <c r="AA77" s="1392"/>
      <c r="AB77" s="1395"/>
      <c r="AC77" s="1392"/>
      <c r="AD77" s="1395"/>
      <c r="AE77" s="1395"/>
      <c r="AF77" s="1395"/>
      <c r="AG77" s="1395"/>
      <c r="AH77" s="1395"/>
      <c r="AI77" s="1395"/>
      <c r="AJ77" s="1505">
        <f t="shared" ref="AJ77:AJ81" si="54">T77+AF77</f>
        <v>0</v>
      </c>
      <c r="AK77" s="1505">
        <f t="shared" ref="AK77:AK81" si="55">S77+AI77</f>
        <v>0</v>
      </c>
    </row>
    <row r="78" spans="1:37" ht="16.2" customHeight="1">
      <c r="A78" s="2332" t="s">
        <v>1040</v>
      </c>
      <c r="B78" s="2339"/>
      <c r="C78" s="1425"/>
      <c r="D78" s="1198"/>
      <c r="E78" s="1198"/>
      <c r="F78" s="1198"/>
      <c r="G78" s="1198"/>
      <c r="H78" s="1198"/>
      <c r="I78" s="1200"/>
      <c r="J78" s="1200"/>
      <c r="K78" s="1200"/>
      <c r="L78" s="1198"/>
      <c r="M78" s="1200"/>
      <c r="N78" s="1198"/>
      <c r="O78" s="1198"/>
      <c r="P78" s="1200">
        <v>0</v>
      </c>
      <c r="Q78" s="1200"/>
      <c r="R78" s="1200"/>
      <c r="S78" s="1200">
        <v>0</v>
      </c>
      <c r="T78" s="1398">
        <f>'Table 4 Level 4'!$J95</f>
        <v>0</v>
      </c>
      <c r="U78" s="1389"/>
      <c r="V78" s="1392"/>
      <c r="W78" s="1391"/>
      <c r="X78" s="1392"/>
      <c r="Y78" s="1391"/>
      <c r="Z78" s="1392"/>
      <c r="AA78" s="1392"/>
      <c r="AB78" s="1395"/>
      <c r="AC78" s="1392"/>
      <c r="AD78" s="1395"/>
      <c r="AE78" s="1395"/>
      <c r="AF78" s="1395"/>
      <c r="AG78" s="1395"/>
      <c r="AH78" s="1395"/>
      <c r="AI78" s="1395"/>
      <c r="AJ78" s="1505">
        <f t="shared" si="54"/>
        <v>0</v>
      </c>
      <c r="AK78" s="1395"/>
    </row>
    <row r="79" spans="1:37" ht="16.2" customHeight="1">
      <c r="A79" s="2332" t="s">
        <v>1041</v>
      </c>
      <c r="B79" s="2339"/>
      <c r="C79" s="1425"/>
      <c r="D79" s="1198"/>
      <c r="E79" s="1198"/>
      <c r="F79" s="1198"/>
      <c r="G79" s="1198"/>
      <c r="H79" s="1198"/>
      <c r="I79" s="1200"/>
      <c r="J79" s="1200"/>
      <c r="K79" s="1200"/>
      <c r="L79" s="1198"/>
      <c r="M79" s="1200"/>
      <c r="N79" s="1198"/>
      <c r="O79" s="1198"/>
      <c r="P79" s="1200">
        <v>0</v>
      </c>
      <c r="Q79" s="1200"/>
      <c r="R79" s="1200"/>
      <c r="S79" s="1200">
        <v>0</v>
      </c>
      <c r="T79" s="1398">
        <f>'Table 4 Level 4'!$K95</f>
        <v>0</v>
      </c>
      <c r="U79" s="1389"/>
      <c r="V79" s="1392"/>
      <c r="W79" s="1391"/>
      <c r="X79" s="1392"/>
      <c r="Y79" s="1391"/>
      <c r="Z79" s="1392"/>
      <c r="AA79" s="1392"/>
      <c r="AB79" s="1395"/>
      <c r="AC79" s="1392"/>
      <c r="AD79" s="1395"/>
      <c r="AE79" s="1395"/>
      <c r="AF79" s="1395"/>
      <c r="AG79" s="1395"/>
      <c r="AH79" s="1395"/>
      <c r="AI79" s="1395"/>
      <c r="AJ79" s="1505">
        <f t="shared" si="54"/>
        <v>0</v>
      </c>
      <c r="AK79" s="1395"/>
    </row>
    <row r="80" spans="1:37" ht="16.2" customHeight="1">
      <c r="A80" s="2332" t="s">
        <v>1042</v>
      </c>
      <c r="B80" s="2339"/>
      <c r="C80" s="1425"/>
      <c r="D80" s="1198"/>
      <c r="E80" s="1198"/>
      <c r="F80" s="1198"/>
      <c r="G80" s="1198"/>
      <c r="H80" s="1198"/>
      <c r="I80" s="1200"/>
      <c r="J80" s="1200"/>
      <c r="K80" s="1200"/>
      <c r="L80" s="1198"/>
      <c r="M80" s="1200"/>
      <c r="N80" s="1198"/>
      <c r="O80" s="1198"/>
      <c r="P80" s="1200">
        <v>0</v>
      </c>
      <c r="Q80" s="1200"/>
      <c r="R80" s="1200"/>
      <c r="S80" s="1200">
        <v>0</v>
      </c>
      <c r="T80" s="1398">
        <f>'Table 4 Level 4'!$L95</f>
        <v>0</v>
      </c>
      <c r="U80" s="1389"/>
      <c r="V80" s="1392"/>
      <c r="W80" s="1391"/>
      <c r="X80" s="1392"/>
      <c r="Y80" s="1391"/>
      <c r="Z80" s="1392"/>
      <c r="AA80" s="1392"/>
      <c r="AB80" s="1395"/>
      <c r="AC80" s="1392"/>
      <c r="AD80" s="1395"/>
      <c r="AE80" s="1395"/>
      <c r="AF80" s="1395"/>
      <c r="AG80" s="1395"/>
      <c r="AH80" s="1395"/>
      <c r="AI80" s="1395"/>
      <c r="AJ80" s="1505">
        <f t="shared" si="54"/>
        <v>0</v>
      </c>
      <c r="AK80" s="1395"/>
    </row>
    <row r="81" spans="1:37" ht="16.2" customHeight="1">
      <c r="A81" s="2340" t="s">
        <v>1043</v>
      </c>
      <c r="B81" s="2341"/>
      <c r="C81" s="1417"/>
      <c r="D81" s="1193"/>
      <c r="E81" s="1193"/>
      <c r="F81" s="1193"/>
      <c r="G81" s="1193"/>
      <c r="H81" s="1193"/>
      <c r="I81" s="1195"/>
      <c r="J81" s="1195"/>
      <c r="K81" s="1195"/>
      <c r="L81" s="1193"/>
      <c r="M81" s="1195"/>
      <c r="N81" s="1193"/>
      <c r="O81" s="1193"/>
      <c r="P81" s="1547">
        <f>'Table 4 Level 4'!$N95</f>
        <v>2860</v>
      </c>
      <c r="Q81" s="1195"/>
      <c r="R81" s="1195">
        <f t="shared" ref="R81" si="56">+P81-Q81</f>
        <v>2860</v>
      </c>
      <c r="S81" s="1547">
        <f t="shared" ref="S81" si="57">ROUND(R81/12,0)</f>
        <v>238</v>
      </c>
      <c r="T81" s="1547">
        <f>'Table 4 Level 4'!$N95</f>
        <v>2860</v>
      </c>
      <c r="U81" s="1418"/>
      <c r="V81" s="1408"/>
      <c r="W81" s="1407"/>
      <c r="X81" s="1408"/>
      <c r="Y81" s="1407"/>
      <c r="Z81" s="1408"/>
      <c r="AA81" s="1408"/>
      <c r="AB81" s="1416"/>
      <c r="AC81" s="1408"/>
      <c r="AD81" s="1416"/>
      <c r="AE81" s="1416"/>
      <c r="AF81" s="1416"/>
      <c r="AG81" s="1416"/>
      <c r="AH81" s="1416"/>
      <c r="AI81" s="1416"/>
      <c r="AJ81" s="1506">
        <f t="shared" si="54"/>
        <v>2860</v>
      </c>
      <c r="AK81" s="1506">
        <f t="shared" si="55"/>
        <v>238</v>
      </c>
    </row>
    <row r="82" spans="1:37" ht="16.2" customHeight="1" thickBot="1">
      <c r="A82" s="2221" t="s">
        <v>1044</v>
      </c>
      <c r="B82" s="2194"/>
      <c r="C82" s="1052">
        <f>SUM(C76:C81)</f>
        <v>110</v>
      </c>
      <c r="D82" s="1046">
        <f t="shared" ref="D82:AK82" si="58">SUM(D76:D81)</f>
        <v>4479.9292126977662</v>
      </c>
      <c r="E82" s="1046">
        <f t="shared" si="58"/>
        <v>482281.22073103191</v>
      </c>
      <c r="F82" s="1046">
        <f t="shared" si="58"/>
        <v>704.64781030742063</v>
      </c>
      <c r="G82" s="1046">
        <f t="shared" si="58"/>
        <v>66884.400000000009</v>
      </c>
      <c r="H82" s="1046">
        <f t="shared" si="58"/>
        <v>549165.62073103187</v>
      </c>
      <c r="I82" s="1053">
        <f t="shared" si="58"/>
        <v>0</v>
      </c>
      <c r="J82" s="1053">
        <f t="shared" si="58"/>
        <v>0</v>
      </c>
      <c r="K82" s="1053">
        <f t="shared" si="58"/>
        <v>0</v>
      </c>
      <c r="L82" s="1046">
        <f t="shared" si="58"/>
        <v>549165.62073103187</v>
      </c>
      <c r="M82" s="1053">
        <f t="shared" si="58"/>
        <v>-1372.9140518275797</v>
      </c>
      <c r="N82" s="1046">
        <f t="shared" si="58"/>
        <v>547792.70667920425</v>
      </c>
      <c r="O82" s="1046">
        <f t="shared" si="58"/>
        <v>0</v>
      </c>
      <c r="P82" s="1549">
        <f t="shared" si="58"/>
        <v>550652.70667920425</v>
      </c>
      <c r="Q82" s="1053">
        <f t="shared" si="58"/>
        <v>0</v>
      </c>
      <c r="R82" s="1053">
        <f t="shared" si="58"/>
        <v>550652.70667920425</v>
      </c>
      <c r="S82" s="1549">
        <f t="shared" si="58"/>
        <v>45887</v>
      </c>
      <c r="T82" s="1549">
        <f t="shared" si="58"/>
        <v>550652.70667920425</v>
      </c>
      <c r="U82" s="1058">
        <f t="shared" si="58"/>
        <v>4663</v>
      </c>
      <c r="V82" s="1055">
        <f t="shared" si="58"/>
        <v>502150</v>
      </c>
      <c r="W82" s="1057">
        <f t="shared" si="58"/>
        <v>0</v>
      </c>
      <c r="X82" s="1055">
        <f t="shared" si="58"/>
        <v>0</v>
      </c>
      <c r="Y82" s="1057">
        <f t="shared" si="58"/>
        <v>0</v>
      </c>
      <c r="Z82" s="1055">
        <f t="shared" si="58"/>
        <v>0</v>
      </c>
      <c r="AA82" s="1055">
        <f t="shared" si="58"/>
        <v>0</v>
      </c>
      <c r="AB82" s="1055">
        <f t="shared" si="58"/>
        <v>502150</v>
      </c>
      <c r="AC82" s="1055">
        <f t="shared" si="58"/>
        <v>-1255.375</v>
      </c>
      <c r="AD82" s="1055">
        <f t="shared" si="58"/>
        <v>500894.625</v>
      </c>
      <c r="AE82" s="1055">
        <f t="shared" si="58"/>
        <v>0</v>
      </c>
      <c r="AF82" s="1055">
        <f t="shared" si="58"/>
        <v>500894.625</v>
      </c>
      <c r="AG82" s="1055">
        <f t="shared" si="58"/>
        <v>0</v>
      </c>
      <c r="AH82" s="1055">
        <f t="shared" si="58"/>
        <v>500894.625</v>
      </c>
      <c r="AI82" s="1055">
        <f t="shared" si="58"/>
        <v>41741</v>
      </c>
      <c r="AJ82" s="1504">
        <f t="shared" si="58"/>
        <v>1051547.3316792042</v>
      </c>
      <c r="AK82" s="1504">
        <f t="shared" si="58"/>
        <v>87628</v>
      </c>
    </row>
    <row r="83" spans="1:37" ht="16.2" customHeight="1" thickTop="1"/>
    <row r="84" spans="1:37" ht="16.2" customHeight="1"/>
    <row r="85" spans="1:37" ht="16.2" customHeight="1"/>
    <row r="86" spans="1:37" ht="16.2" customHeight="1"/>
  </sheetData>
  <mergeCells count="45">
    <mergeCell ref="A1:B4"/>
    <mergeCell ref="O3:O4"/>
    <mergeCell ref="P3:P4"/>
    <mergeCell ref="S3:S4"/>
    <mergeCell ref="AE3:AE4"/>
    <mergeCell ref="W3:W4"/>
    <mergeCell ref="X3:X4"/>
    <mergeCell ref="Y3:Y4"/>
    <mergeCell ref="Z3:Z4"/>
    <mergeCell ref="AB3:AB4"/>
    <mergeCell ref="AD3:AD4"/>
    <mergeCell ref="T3:T4"/>
    <mergeCell ref="C1:L1"/>
    <mergeCell ref="U1:AB1"/>
    <mergeCell ref="C2:H2"/>
    <mergeCell ref="U2:V2"/>
    <mergeCell ref="AJ1:AJ4"/>
    <mergeCell ref="AG3:AG4"/>
    <mergeCell ref="AH3:AH4"/>
    <mergeCell ref="AI3:AI4"/>
    <mergeCell ref="AF3:AF4"/>
    <mergeCell ref="AC1:AI1"/>
    <mergeCell ref="AK1:AK4"/>
    <mergeCell ref="I2:K2"/>
    <mergeCell ref="W2:AA2"/>
    <mergeCell ref="C3:C4"/>
    <mergeCell ref="D3:D4"/>
    <mergeCell ref="E3:E4"/>
    <mergeCell ref="U3:U4"/>
    <mergeCell ref="F3:F4"/>
    <mergeCell ref="G3:G4"/>
    <mergeCell ref="H3:H4"/>
    <mergeCell ref="I3:I4"/>
    <mergeCell ref="J3:J4"/>
    <mergeCell ref="K3:K4"/>
    <mergeCell ref="L3:L4"/>
    <mergeCell ref="N3:N4"/>
    <mergeCell ref="M1:T1"/>
    <mergeCell ref="A82:B82"/>
    <mergeCell ref="A76:B76"/>
    <mergeCell ref="A77:B77"/>
    <mergeCell ref="A78:B78"/>
    <mergeCell ref="A79:B79"/>
    <mergeCell ref="A80:B80"/>
    <mergeCell ref="A81:B81"/>
  </mergeCells>
  <printOptions horizontalCentered="1"/>
  <pageMargins left="0.32" right="0.32" top="0.75" bottom="0.75" header="0.3" footer="0.3"/>
  <pageSetup paperSize="5" scale="60" firstPageNumber="56" orientation="portrait" r:id="rId1"/>
  <headerFooter>
    <oddHeader>&amp;L&amp;"Arial,Bold"&amp;20&amp;K000000Table 5C1-S: FY2014-15 MFP Budget Letter 
Lake Charles College Prep School</oddHeader>
    <oddFooter>&amp;R&amp;P</oddFooter>
  </headerFooter>
  <colBreaks count="3" manualBreakCount="3">
    <brk id="12" max="1048575" man="1"/>
    <brk id="20" max="1048575" man="1"/>
    <brk id="28" max="81"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6"/>
  <sheetViews>
    <sheetView view="pageBreakPreview" zoomScale="80" zoomScaleNormal="100" zoomScaleSheetLayoutView="80" workbookViewId="0">
      <pane xSplit="2" ySplit="6" topLeftCell="C7" activePane="bottomRight" state="frozen"/>
      <selection sqref="A1:H1"/>
      <selection pane="topRight" sqref="A1:H1"/>
      <selection pane="bottomLeft" sqref="A1:H1"/>
      <selection pane="bottomRight" sqref="A1:H1"/>
    </sheetView>
  </sheetViews>
  <sheetFormatPr defaultColWidth="8.88671875" defaultRowHeight="13.2"/>
  <cols>
    <col min="1" max="1" width="5" style="608" customWidth="1"/>
    <col min="2" max="2" width="37.6640625" style="608" customWidth="1"/>
    <col min="3" max="3" width="12.109375" style="608" customWidth="1"/>
    <col min="4" max="4" width="13.6640625" style="608" customWidth="1"/>
    <col min="5" max="5" width="9.88671875" style="608" customWidth="1"/>
    <col min="6" max="7" width="12.33203125" style="608" customWidth="1"/>
    <col min="8" max="8" width="11.5546875" style="608" customWidth="1"/>
    <col min="9" max="12" width="12" style="608" customWidth="1"/>
    <col min="13" max="13" width="10.88671875" style="608" bestFit="1" customWidth="1"/>
    <col min="14" max="14" width="13.109375" style="608" customWidth="1"/>
    <col min="15" max="15" width="13.44140625" style="608" bestFit="1" customWidth="1"/>
    <col min="16" max="16" width="14.6640625" style="608" customWidth="1"/>
    <col min="17" max="18" width="14" style="608" customWidth="1"/>
    <col min="19" max="19" width="10.6640625" style="608" customWidth="1"/>
    <col min="20" max="20" width="14.88671875" style="608" customWidth="1"/>
    <col min="21" max="22" width="14.5546875" style="608" customWidth="1"/>
    <col min="23" max="27" width="11.6640625" style="608" customWidth="1"/>
    <col min="28" max="28" width="14.44140625" style="608" bestFit="1" customWidth="1"/>
    <col min="29" max="29" width="10.5546875" style="608" customWidth="1"/>
    <col min="30" max="30" width="14.44140625" style="608" bestFit="1" customWidth="1"/>
    <col min="31" max="31" width="11.88671875" style="608" bestFit="1" customWidth="1"/>
    <col min="32" max="32" width="14.44140625" style="608" bestFit="1" customWidth="1"/>
    <col min="33" max="33" width="9.5546875" style="608" bestFit="1" customWidth="1"/>
    <col min="34" max="34" width="9.33203125" style="608" bestFit="1" customWidth="1"/>
    <col min="35" max="35" width="14.44140625" style="608" bestFit="1" customWidth="1"/>
    <col min="36" max="36" width="14.33203125" style="608" customWidth="1"/>
    <col min="37" max="37" width="14.44140625" style="608" bestFit="1" customWidth="1"/>
    <col min="38" max="16384" width="8.88671875" style="608"/>
  </cols>
  <sheetData>
    <row r="1" spans="1:37" ht="21.6" customHeight="1">
      <c r="A1" s="2367" t="s">
        <v>999</v>
      </c>
      <c r="B1" s="2368"/>
      <c r="C1" s="2319" t="s">
        <v>1089</v>
      </c>
      <c r="D1" s="2320"/>
      <c r="E1" s="2320"/>
      <c r="F1" s="2320"/>
      <c r="G1" s="2320"/>
      <c r="H1" s="2320"/>
      <c r="I1" s="2320"/>
      <c r="J1" s="2320"/>
      <c r="K1" s="2320"/>
      <c r="L1" s="2321"/>
      <c r="M1" s="2349" t="s">
        <v>1089</v>
      </c>
      <c r="N1" s="2350"/>
      <c r="O1" s="2350"/>
      <c r="P1" s="2350"/>
      <c r="Q1" s="2350"/>
      <c r="R1" s="2350"/>
      <c r="S1" s="2350"/>
      <c r="T1" s="2351"/>
      <c r="U1" s="2268" t="s">
        <v>1247</v>
      </c>
      <c r="V1" s="2266"/>
      <c r="W1" s="2266"/>
      <c r="X1" s="2266"/>
      <c r="Y1" s="2266"/>
      <c r="Z1" s="2266"/>
      <c r="AA1" s="2266"/>
      <c r="AB1" s="2267"/>
      <c r="AC1" s="2268" t="s">
        <v>1247</v>
      </c>
      <c r="AD1" s="2266"/>
      <c r="AE1" s="2266"/>
      <c r="AF1" s="2266"/>
      <c r="AG1" s="2266"/>
      <c r="AH1" s="2266"/>
      <c r="AI1" s="2267"/>
      <c r="AJ1" s="2302" t="s">
        <v>1272</v>
      </c>
      <c r="AK1" s="2302" t="s">
        <v>1273</v>
      </c>
    </row>
    <row r="2" spans="1:37" ht="24.6" customHeight="1">
      <c r="A2" s="2369"/>
      <c r="B2" s="2370"/>
      <c r="C2" s="2379" t="s">
        <v>1284</v>
      </c>
      <c r="D2" s="2380"/>
      <c r="E2" s="2380"/>
      <c r="F2" s="2380"/>
      <c r="G2" s="2380"/>
      <c r="H2" s="2381"/>
      <c r="I2" s="2334" t="s">
        <v>531</v>
      </c>
      <c r="J2" s="2335"/>
      <c r="K2" s="2336"/>
      <c r="L2" s="1567"/>
      <c r="M2" s="1565"/>
      <c r="N2" s="1566"/>
      <c r="O2" s="1566"/>
      <c r="P2" s="1566"/>
      <c r="Q2" s="1566"/>
      <c r="R2" s="1566"/>
      <c r="S2" s="1566"/>
      <c r="T2" s="1567"/>
      <c r="U2" s="2377" t="s">
        <v>1284</v>
      </c>
      <c r="V2" s="2378"/>
      <c r="W2" s="2362" t="s">
        <v>531</v>
      </c>
      <c r="X2" s="2363"/>
      <c r="Y2" s="2363"/>
      <c r="Z2" s="2363"/>
      <c r="AA2" s="2364"/>
      <c r="AB2" s="1527"/>
      <c r="AC2" s="1525"/>
      <c r="AD2" s="1526"/>
      <c r="AE2" s="1526"/>
      <c r="AF2" s="1526"/>
      <c r="AG2" s="1526"/>
      <c r="AH2" s="1526"/>
      <c r="AI2" s="1527"/>
      <c r="AJ2" s="2303"/>
      <c r="AK2" s="2303"/>
    </row>
    <row r="3" spans="1:37" ht="148.94999999999999" customHeight="1">
      <c r="A3" s="2371"/>
      <c r="B3" s="2370"/>
      <c r="C3" s="2382" t="s">
        <v>1286</v>
      </c>
      <c r="D3" s="2318" t="s">
        <v>1110</v>
      </c>
      <c r="E3" s="2318" t="s">
        <v>384</v>
      </c>
      <c r="F3" s="2306" t="s">
        <v>546</v>
      </c>
      <c r="G3" s="2306" t="s">
        <v>330</v>
      </c>
      <c r="H3" s="2306" t="s">
        <v>547</v>
      </c>
      <c r="I3" s="2299" t="s">
        <v>770</v>
      </c>
      <c r="J3" s="2299" t="s">
        <v>769</v>
      </c>
      <c r="K3" s="2299" t="s">
        <v>538</v>
      </c>
      <c r="L3" s="2300" t="s">
        <v>548</v>
      </c>
      <c r="M3" s="1496" t="s">
        <v>333</v>
      </c>
      <c r="N3" s="2306" t="s">
        <v>545</v>
      </c>
      <c r="O3" s="2307" t="s">
        <v>1036</v>
      </c>
      <c r="P3" s="2306" t="s">
        <v>1056</v>
      </c>
      <c r="Q3" s="1537" t="s">
        <v>760</v>
      </c>
      <c r="R3" s="1537" t="s">
        <v>761</v>
      </c>
      <c r="S3" s="2308" t="s">
        <v>544</v>
      </c>
      <c r="T3" s="2308" t="s">
        <v>1057</v>
      </c>
      <c r="U3" s="2309" t="s">
        <v>1267</v>
      </c>
      <c r="V3" s="1507" t="s">
        <v>1268</v>
      </c>
      <c r="W3" s="2312" t="s">
        <v>1253</v>
      </c>
      <c r="X3" s="2312" t="s">
        <v>1251</v>
      </c>
      <c r="Y3" s="2312" t="s">
        <v>1254</v>
      </c>
      <c r="Z3" s="2312" t="s">
        <v>1252</v>
      </c>
      <c r="AA3" s="1498" t="s">
        <v>551</v>
      </c>
      <c r="AB3" s="2313" t="s">
        <v>1269</v>
      </c>
      <c r="AC3" s="1507" t="s">
        <v>1094</v>
      </c>
      <c r="AD3" s="2309" t="s">
        <v>1270</v>
      </c>
      <c r="AE3" s="2307" t="s">
        <v>1036</v>
      </c>
      <c r="AF3" s="2309" t="s">
        <v>1271</v>
      </c>
      <c r="AG3" s="2322" t="s">
        <v>981</v>
      </c>
      <c r="AH3" s="2322" t="s">
        <v>761</v>
      </c>
      <c r="AI3" s="2322" t="s">
        <v>1242</v>
      </c>
      <c r="AJ3" s="2304"/>
      <c r="AK3" s="2304"/>
    </row>
    <row r="4" spans="1:37" ht="19.95" customHeight="1">
      <c r="A4" s="2372"/>
      <c r="B4" s="2373"/>
      <c r="C4" s="2376"/>
      <c r="D4" s="2318"/>
      <c r="E4" s="2318"/>
      <c r="F4" s="2301"/>
      <c r="G4" s="2301"/>
      <c r="H4" s="2301"/>
      <c r="I4" s="2251"/>
      <c r="J4" s="2251"/>
      <c r="K4" s="2251"/>
      <c r="L4" s="2301"/>
      <c r="M4" s="1568">
        <v>2.5000000000000001E-3</v>
      </c>
      <c r="N4" s="2301"/>
      <c r="O4" s="2251"/>
      <c r="P4" s="2301"/>
      <c r="Q4" s="1497"/>
      <c r="R4" s="1497"/>
      <c r="S4" s="2301"/>
      <c r="T4" s="2301"/>
      <c r="U4" s="2280"/>
      <c r="V4" s="1508"/>
      <c r="W4" s="2251"/>
      <c r="X4" s="2251"/>
      <c r="Y4" s="2251"/>
      <c r="Z4" s="2251"/>
      <c r="AA4" s="1494"/>
      <c r="AB4" s="2280" t="s">
        <v>537</v>
      </c>
      <c r="AC4" s="1570">
        <v>2.5000000000000001E-3</v>
      </c>
      <c r="AD4" s="2280"/>
      <c r="AE4" s="2251"/>
      <c r="AF4" s="2280"/>
      <c r="AG4" s="2323"/>
      <c r="AH4" s="2323"/>
      <c r="AI4" s="2323"/>
      <c r="AJ4" s="2305"/>
      <c r="AK4" s="2305"/>
    </row>
    <row r="5" spans="1:37" ht="14.25" customHeight="1">
      <c r="A5" s="463"/>
      <c r="B5" s="464"/>
      <c r="C5" s="465">
        <v>1</v>
      </c>
      <c r="D5" s="465">
        <f t="shared" ref="D5" si="0">C5+1</f>
        <v>2</v>
      </c>
      <c r="E5" s="465">
        <f>D5+1</f>
        <v>3</v>
      </c>
      <c r="F5" s="465">
        <f t="shared" ref="F5:AK5" si="1">E5+1</f>
        <v>4</v>
      </c>
      <c r="G5" s="465">
        <f t="shared" si="1"/>
        <v>5</v>
      </c>
      <c r="H5" s="465">
        <f t="shared" si="1"/>
        <v>6</v>
      </c>
      <c r="I5" s="465">
        <f t="shared" si="1"/>
        <v>7</v>
      </c>
      <c r="J5" s="465">
        <f t="shared" si="1"/>
        <v>8</v>
      </c>
      <c r="K5" s="465">
        <f t="shared" si="1"/>
        <v>9</v>
      </c>
      <c r="L5" s="465">
        <f t="shared" si="1"/>
        <v>10</v>
      </c>
      <c r="M5" s="465">
        <f t="shared" si="1"/>
        <v>11</v>
      </c>
      <c r="N5" s="465">
        <f t="shared" si="1"/>
        <v>12</v>
      </c>
      <c r="O5" s="465">
        <f t="shared" si="1"/>
        <v>13</v>
      </c>
      <c r="P5" s="465">
        <f t="shared" si="1"/>
        <v>14</v>
      </c>
      <c r="Q5" s="465">
        <f t="shared" si="1"/>
        <v>15</v>
      </c>
      <c r="R5" s="465">
        <f t="shared" si="1"/>
        <v>16</v>
      </c>
      <c r="S5" s="465">
        <f t="shared" si="1"/>
        <v>17</v>
      </c>
      <c r="T5" s="465">
        <f t="shared" ref="T5" si="2">S5+1</f>
        <v>18</v>
      </c>
      <c r="U5" s="465">
        <f t="shared" ref="U5" si="3">T5+1</f>
        <v>19</v>
      </c>
      <c r="V5" s="465">
        <f t="shared" si="1"/>
        <v>20</v>
      </c>
      <c r="W5" s="465">
        <f t="shared" si="1"/>
        <v>21</v>
      </c>
      <c r="X5" s="465">
        <f t="shared" si="1"/>
        <v>22</v>
      </c>
      <c r="Y5" s="465">
        <f t="shared" si="1"/>
        <v>23</v>
      </c>
      <c r="Z5" s="465">
        <f t="shared" si="1"/>
        <v>24</v>
      </c>
      <c r="AA5" s="465">
        <f t="shared" si="1"/>
        <v>25</v>
      </c>
      <c r="AB5" s="465">
        <f t="shared" si="1"/>
        <v>26</v>
      </c>
      <c r="AC5" s="465">
        <f t="shared" si="1"/>
        <v>27</v>
      </c>
      <c r="AD5" s="465">
        <f t="shared" si="1"/>
        <v>28</v>
      </c>
      <c r="AE5" s="465">
        <f t="shared" si="1"/>
        <v>29</v>
      </c>
      <c r="AF5" s="465">
        <f t="shared" si="1"/>
        <v>30</v>
      </c>
      <c r="AG5" s="465">
        <f t="shared" si="1"/>
        <v>31</v>
      </c>
      <c r="AH5" s="465">
        <f t="shared" si="1"/>
        <v>32</v>
      </c>
      <c r="AI5" s="465">
        <f t="shared" si="1"/>
        <v>33</v>
      </c>
      <c r="AJ5" s="465">
        <f t="shared" si="1"/>
        <v>34</v>
      </c>
      <c r="AK5" s="465">
        <f t="shared" si="1"/>
        <v>35</v>
      </c>
    </row>
    <row r="6" spans="1:37" ht="27" hidden="1" customHeight="1">
      <c r="A6" s="472"/>
      <c r="B6" s="473"/>
      <c r="C6" s="473"/>
      <c r="D6" s="473"/>
      <c r="E6" s="473"/>
      <c r="F6" s="473"/>
      <c r="G6" s="473"/>
      <c r="H6" s="473"/>
      <c r="I6" s="615"/>
      <c r="J6" s="615"/>
      <c r="K6" s="615"/>
      <c r="L6" s="615"/>
      <c r="M6" s="473"/>
      <c r="N6" s="473"/>
      <c r="O6" s="473"/>
      <c r="P6" s="473"/>
      <c r="Q6" s="615"/>
      <c r="R6" s="615"/>
      <c r="S6" s="473"/>
      <c r="T6" s="473"/>
      <c r="U6" s="473"/>
      <c r="V6" s="473"/>
      <c r="W6" s="615"/>
      <c r="X6" s="615"/>
      <c r="Y6" s="615"/>
      <c r="Z6" s="615"/>
      <c r="AA6" s="615"/>
      <c r="AB6" s="615"/>
      <c r="AC6" s="473"/>
      <c r="AD6" s="473"/>
      <c r="AE6" s="473"/>
      <c r="AF6" s="473"/>
      <c r="AG6" s="615"/>
      <c r="AH6" s="615"/>
      <c r="AI6" s="473"/>
      <c r="AJ6" s="473"/>
      <c r="AK6" s="473"/>
    </row>
    <row r="7" spans="1:37" ht="16.2" customHeight="1">
      <c r="A7" s="1183">
        <v>1</v>
      </c>
      <c r="B7" s="1184" t="s">
        <v>81</v>
      </c>
      <c r="C7" s="1185">
        <v>0</v>
      </c>
      <c r="D7" s="1186">
        <f>+'Table 5C1A-Madison Prep'!D7</f>
        <v>4765.8584413349836</v>
      </c>
      <c r="E7" s="1187">
        <f>C7*D7</f>
        <v>0</v>
      </c>
      <c r="F7" s="1187">
        <f>+'Table 5C1A-Madison Prep'!F7</f>
        <v>777.48</v>
      </c>
      <c r="G7" s="1187">
        <f>C7*F7</f>
        <v>0</v>
      </c>
      <c r="H7" s="1538">
        <f>E7+G7</f>
        <v>0</v>
      </c>
      <c r="I7" s="1188"/>
      <c r="J7" s="1188"/>
      <c r="K7" s="1189">
        <f>+I7+J7</f>
        <v>0</v>
      </c>
      <c r="L7" s="1538">
        <f>+H7+K7</f>
        <v>0</v>
      </c>
      <c r="M7" s="1372">
        <f t="shared" ref="M7:M70" si="4">-(0.25%*L7)</f>
        <v>0</v>
      </c>
      <c r="N7" s="1538">
        <f>SUM(L7:M7)</f>
        <v>0</v>
      </c>
      <c r="O7" s="1186">
        <v>0</v>
      </c>
      <c r="P7" s="1544">
        <f>SUM(N7:O7)</f>
        <v>0</v>
      </c>
      <c r="Q7" s="1188"/>
      <c r="R7" s="1188">
        <f>+P7-Q7</f>
        <v>0</v>
      </c>
      <c r="S7" s="1544">
        <f>ROUND(R7/12,0)</f>
        <v>0</v>
      </c>
      <c r="T7" s="1544">
        <f>+P7</f>
        <v>0</v>
      </c>
      <c r="U7" s="1373">
        <f>'Table 5C1A-Madison Prep'!U7</f>
        <v>2409</v>
      </c>
      <c r="V7" s="1514">
        <f>C7*U7</f>
        <v>0</v>
      </c>
      <c r="W7" s="1375"/>
      <c r="X7" s="1376">
        <f>+U7*W7</f>
        <v>0</v>
      </c>
      <c r="Y7" s="1375"/>
      <c r="Z7" s="1376">
        <f>+U7*Y7*0.5</f>
        <v>0</v>
      </c>
      <c r="AA7" s="1374">
        <f>+X7+Z7</f>
        <v>0</v>
      </c>
      <c r="AB7" s="1509">
        <f>+V7+AA7</f>
        <v>0</v>
      </c>
      <c r="AC7" s="1378">
        <f>-(0.25%*AB7)</f>
        <v>0</v>
      </c>
      <c r="AD7" s="1509">
        <f>SUM(AB7:AC7)</f>
        <v>0</v>
      </c>
      <c r="AE7" s="1379">
        <v>0</v>
      </c>
      <c r="AF7" s="1509">
        <f>SUM(AD7:AE7)</f>
        <v>0</v>
      </c>
      <c r="AG7" s="1379"/>
      <c r="AH7" s="1379">
        <f>+AF7-AG7</f>
        <v>0</v>
      </c>
      <c r="AI7" s="1509">
        <f>ROUND(AH7/12,0)</f>
        <v>0</v>
      </c>
      <c r="AJ7" s="1530">
        <f>T7+AF7</f>
        <v>0</v>
      </c>
      <c r="AK7" s="1534">
        <f>S7+AI7</f>
        <v>0</v>
      </c>
    </row>
    <row r="8" spans="1:37" ht="16.2" customHeight="1">
      <c r="A8" s="1176">
        <v>2</v>
      </c>
      <c r="B8" s="1177" t="s">
        <v>82</v>
      </c>
      <c r="C8" s="1178">
        <v>0</v>
      </c>
      <c r="D8" s="1179">
        <f>+'Table 5C1A-Madison Prep'!D8</f>
        <v>6316.6266417386641</v>
      </c>
      <c r="E8" s="1180">
        <f t="shared" ref="E8:E71" si="5">C8*D8</f>
        <v>0</v>
      </c>
      <c r="F8" s="1180">
        <f>+'Table 5C1A-Madison Prep'!F8</f>
        <v>842.32</v>
      </c>
      <c r="G8" s="1180">
        <f t="shared" ref="G8:G71" si="6">C8*F8</f>
        <v>0</v>
      </c>
      <c r="H8" s="1539">
        <f t="shared" ref="H8:H71" si="7">E8+G8</f>
        <v>0</v>
      </c>
      <c r="I8" s="1181"/>
      <c r="J8" s="1181"/>
      <c r="K8" s="1182">
        <f t="shared" ref="K8:K71" si="8">+I8+J8</f>
        <v>0</v>
      </c>
      <c r="L8" s="1539">
        <f t="shared" ref="L8:L71" si="9">+H8+K8</f>
        <v>0</v>
      </c>
      <c r="M8" s="1388">
        <f t="shared" si="4"/>
        <v>0</v>
      </c>
      <c r="N8" s="1539">
        <f t="shared" ref="N8:N71" si="10">SUM(L8:M8)</f>
        <v>0</v>
      </c>
      <c r="O8" s="1179">
        <v>0</v>
      </c>
      <c r="P8" s="1545">
        <f t="shared" ref="P8:P71" si="11">SUM(N8:O8)</f>
        <v>0</v>
      </c>
      <c r="Q8" s="1181"/>
      <c r="R8" s="1181">
        <f t="shared" ref="R8:R71" si="12">+P8-Q8</f>
        <v>0</v>
      </c>
      <c r="S8" s="1545">
        <f t="shared" ref="S8:S71" si="13">ROUND(R8/12,0)</f>
        <v>0</v>
      </c>
      <c r="T8" s="1545">
        <f t="shared" ref="T8:T71" si="14">+P8</f>
        <v>0</v>
      </c>
      <c r="U8" s="1389">
        <f>'Table 5C1A-Madison Prep'!U8</f>
        <v>2829</v>
      </c>
      <c r="V8" s="1515">
        <f t="shared" ref="V8:V71" si="15">C8*U8</f>
        <v>0</v>
      </c>
      <c r="W8" s="1391"/>
      <c r="X8" s="1392">
        <f t="shared" ref="X8:X71" si="16">+U8*W8</f>
        <v>0</v>
      </c>
      <c r="Y8" s="1391"/>
      <c r="Z8" s="1392">
        <f t="shared" ref="Z8:Z71" si="17">+U8*Y8*0.5</f>
        <v>0</v>
      </c>
      <c r="AA8" s="1390">
        <f t="shared" ref="AA8:AA71" si="18">+X8+Z8</f>
        <v>0</v>
      </c>
      <c r="AB8" s="1510">
        <f t="shared" ref="AB8:AB71" si="19">+V8+AA8</f>
        <v>0</v>
      </c>
      <c r="AC8" s="1394">
        <f t="shared" ref="AC8:AC71" si="20">-(0.25%*AB8)</f>
        <v>0</v>
      </c>
      <c r="AD8" s="1510">
        <f t="shared" ref="AD8:AD71" si="21">SUM(AB8:AC8)</f>
        <v>0</v>
      </c>
      <c r="AE8" s="1395">
        <v>0</v>
      </c>
      <c r="AF8" s="1510">
        <f t="shared" ref="AF8:AF71" si="22">SUM(AD8:AE8)</f>
        <v>0</v>
      </c>
      <c r="AG8" s="1395"/>
      <c r="AH8" s="1395">
        <f t="shared" ref="AH8:AH71" si="23">+AF8-AG8</f>
        <v>0</v>
      </c>
      <c r="AI8" s="1510">
        <f t="shared" ref="AI8:AI71" si="24">ROUND(AH8/12,0)</f>
        <v>0</v>
      </c>
      <c r="AJ8" s="1505">
        <f t="shared" ref="AJ8:AJ71" si="25">T8+AF8</f>
        <v>0</v>
      </c>
      <c r="AK8" s="1535">
        <f t="shared" ref="AK8:AK71" si="26">S8+AI8</f>
        <v>0</v>
      </c>
    </row>
    <row r="9" spans="1:37" ht="16.2" customHeight="1">
      <c r="A9" s="1176">
        <v>3</v>
      </c>
      <c r="B9" s="1177" t="s">
        <v>83</v>
      </c>
      <c r="C9" s="1178">
        <v>0</v>
      </c>
      <c r="D9" s="1179">
        <f>+'Table 5C1A-Madison Prep'!D9</f>
        <v>4155.1862027396819</v>
      </c>
      <c r="E9" s="1180">
        <f t="shared" si="5"/>
        <v>0</v>
      </c>
      <c r="F9" s="1180">
        <f>+'Table 5C1A-Madison Prep'!F9</f>
        <v>596.84</v>
      </c>
      <c r="G9" s="1180">
        <f t="shared" si="6"/>
        <v>0</v>
      </c>
      <c r="H9" s="1539">
        <f t="shared" si="7"/>
        <v>0</v>
      </c>
      <c r="I9" s="1181"/>
      <c r="J9" s="1181"/>
      <c r="K9" s="1182">
        <f t="shared" si="8"/>
        <v>0</v>
      </c>
      <c r="L9" s="1539">
        <f t="shared" si="9"/>
        <v>0</v>
      </c>
      <c r="M9" s="1388">
        <f t="shared" si="4"/>
        <v>0</v>
      </c>
      <c r="N9" s="1539">
        <f t="shared" si="10"/>
        <v>0</v>
      </c>
      <c r="O9" s="1179">
        <v>0</v>
      </c>
      <c r="P9" s="1545">
        <f t="shared" si="11"/>
        <v>0</v>
      </c>
      <c r="Q9" s="1181"/>
      <c r="R9" s="1181">
        <f t="shared" si="12"/>
        <v>0</v>
      </c>
      <c r="S9" s="1545">
        <f t="shared" si="13"/>
        <v>0</v>
      </c>
      <c r="T9" s="1545">
        <f t="shared" si="14"/>
        <v>0</v>
      </c>
      <c r="U9" s="1389">
        <f>'Table 5C1A-Madison Prep'!U9</f>
        <v>5770</v>
      </c>
      <c r="V9" s="1515">
        <f t="shared" si="15"/>
        <v>0</v>
      </c>
      <c r="W9" s="1391"/>
      <c r="X9" s="1392">
        <f t="shared" si="16"/>
        <v>0</v>
      </c>
      <c r="Y9" s="1391"/>
      <c r="Z9" s="1392">
        <f t="shared" si="17"/>
        <v>0</v>
      </c>
      <c r="AA9" s="1390">
        <f t="shared" si="18"/>
        <v>0</v>
      </c>
      <c r="AB9" s="1510">
        <f t="shared" si="19"/>
        <v>0</v>
      </c>
      <c r="AC9" s="1394">
        <f t="shared" si="20"/>
        <v>0</v>
      </c>
      <c r="AD9" s="1510">
        <f t="shared" si="21"/>
        <v>0</v>
      </c>
      <c r="AE9" s="1395">
        <v>0</v>
      </c>
      <c r="AF9" s="1510">
        <f t="shared" si="22"/>
        <v>0</v>
      </c>
      <c r="AG9" s="1395"/>
      <c r="AH9" s="1395">
        <f t="shared" si="23"/>
        <v>0</v>
      </c>
      <c r="AI9" s="1510">
        <f t="shared" si="24"/>
        <v>0</v>
      </c>
      <c r="AJ9" s="1505">
        <f t="shared" si="25"/>
        <v>0</v>
      </c>
      <c r="AK9" s="1535">
        <f t="shared" si="26"/>
        <v>0</v>
      </c>
    </row>
    <row r="10" spans="1:37" ht="16.2" customHeight="1">
      <c r="A10" s="1176">
        <v>4</v>
      </c>
      <c r="B10" s="1177" t="s">
        <v>84</v>
      </c>
      <c r="C10" s="1178">
        <v>0</v>
      </c>
      <c r="D10" s="1179">
        <f>+'Table 5C1A-Madison Prep'!D10</f>
        <v>6119.0581446878568</v>
      </c>
      <c r="E10" s="1180">
        <f t="shared" si="5"/>
        <v>0</v>
      </c>
      <c r="F10" s="1180">
        <f>+'Table 5C1A-Madison Prep'!F10</f>
        <v>585.76</v>
      </c>
      <c r="G10" s="1180">
        <f t="shared" si="6"/>
        <v>0</v>
      </c>
      <c r="H10" s="1539">
        <f t="shared" si="7"/>
        <v>0</v>
      </c>
      <c r="I10" s="1181"/>
      <c r="J10" s="1181"/>
      <c r="K10" s="1182">
        <f t="shared" si="8"/>
        <v>0</v>
      </c>
      <c r="L10" s="1539">
        <f t="shared" si="9"/>
        <v>0</v>
      </c>
      <c r="M10" s="1388">
        <f t="shared" si="4"/>
        <v>0</v>
      </c>
      <c r="N10" s="1539">
        <f t="shared" si="10"/>
        <v>0</v>
      </c>
      <c r="O10" s="1179">
        <v>0</v>
      </c>
      <c r="P10" s="1545">
        <f t="shared" si="11"/>
        <v>0</v>
      </c>
      <c r="Q10" s="1181"/>
      <c r="R10" s="1181">
        <f t="shared" si="12"/>
        <v>0</v>
      </c>
      <c r="S10" s="1545">
        <f t="shared" si="13"/>
        <v>0</v>
      </c>
      <c r="T10" s="1545">
        <f t="shared" si="14"/>
        <v>0</v>
      </c>
      <c r="U10" s="1389">
        <f>'Table 5C1A-Madison Prep'!U10</f>
        <v>3287</v>
      </c>
      <c r="V10" s="1515">
        <f t="shared" si="15"/>
        <v>0</v>
      </c>
      <c r="W10" s="1391"/>
      <c r="X10" s="1392">
        <f t="shared" si="16"/>
        <v>0</v>
      </c>
      <c r="Y10" s="1391"/>
      <c r="Z10" s="1392">
        <f t="shared" si="17"/>
        <v>0</v>
      </c>
      <c r="AA10" s="1390">
        <f t="shared" si="18"/>
        <v>0</v>
      </c>
      <c r="AB10" s="1510">
        <f t="shared" si="19"/>
        <v>0</v>
      </c>
      <c r="AC10" s="1394">
        <f t="shared" si="20"/>
        <v>0</v>
      </c>
      <c r="AD10" s="1510">
        <f t="shared" si="21"/>
        <v>0</v>
      </c>
      <c r="AE10" s="1395">
        <v>0</v>
      </c>
      <c r="AF10" s="1510">
        <f t="shared" si="22"/>
        <v>0</v>
      </c>
      <c r="AG10" s="1395"/>
      <c r="AH10" s="1395">
        <f t="shared" si="23"/>
        <v>0</v>
      </c>
      <c r="AI10" s="1510">
        <f t="shared" si="24"/>
        <v>0</v>
      </c>
      <c r="AJ10" s="1505">
        <f t="shared" si="25"/>
        <v>0</v>
      </c>
      <c r="AK10" s="1535">
        <f t="shared" si="26"/>
        <v>0</v>
      </c>
    </row>
    <row r="11" spans="1:37" ht="16.2" customHeight="1">
      <c r="A11" s="1168">
        <v>5</v>
      </c>
      <c r="B11" s="1169" t="s">
        <v>85</v>
      </c>
      <c r="C11" s="1170">
        <v>0</v>
      </c>
      <c r="D11" s="1171">
        <f>+'Table 5C1A-Madison Prep'!D11</f>
        <v>5268.940566009911</v>
      </c>
      <c r="E11" s="1172">
        <f t="shared" si="5"/>
        <v>0</v>
      </c>
      <c r="F11" s="1172">
        <f>+'Table 5C1A-Madison Prep'!F11</f>
        <v>555.91</v>
      </c>
      <c r="G11" s="1172">
        <f t="shared" si="6"/>
        <v>0</v>
      </c>
      <c r="H11" s="1540">
        <f t="shared" si="7"/>
        <v>0</v>
      </c>
      <c r="I11" s="1173"/>
      <c r="J11" s="1173"/>
      <c r="K11" s="1174">
        <f t="shared" si="8"/>
        <v>0</v>
      </c>
      <c r="L11" s="1540">
        <f t="shared" si="9"/>
        <v>0</v>
      </c>
      <c r="M11" s="1399">
        <f t="shared" si="4"/>
        <v>0</v>
      </c>
      <c r="N11" s="1540">
        <f t="shared" si="10"/>
        <v>0</v>
      </c>
      <c r="O11" s="1171">
        <v>0</v>
      </c>
      <c r="P11" s="1546">
        <f t="shared" si="11"/>
        <v>0</v>
      </c>
      <c r="Q11" s="1173"/>
      <c r="R11" s="1173">
        <f t="shared" si="12"/>
        <v>0</v>
      </c>
      <c r="S11" s="1546">
        <f t="shared" si="13"/>
        <v>0</v>
      </c>
      <c r="T11" s="1546">
        <f t="shared" si="14"/>
        <v>0</v>
      </c>
      <c r="U11" s="1382">
        <f>'Table 5C1A-Madison Prep'!U11</f>
        <v>1921</v>
      </c>
      <c r="V11" s="1516">
        <f t="shared" si="15"/>
        <v>0</v>
      </c>
      <c r="W11" s="1400"/>
      <c r="X11" s="1383">
        <f t="shared" si="16"/>
        <v>0</v>
      </c>
      <c r="Y11" s="1400"/>
      <c r="Z11" s="1383">
        <f t="shared" si="17"/>
        <v>0</v>
      </c>
      <c r="AA11" s="1384">
        <f t="shared" si="18"/>
        <v>0</v>
      </c>
      <c r="AB11" s="1511">
        <f t="shared" si="19"/>
        <v>0</v>
      </c>
      <c r="AC11" s="1402">
        <f t="shared" si="20"/>
        <v>0</v>
      </c>
      <c r="AD11" s="1511">
        <f t="shared" si="21"/>
        <v>0</v>
      </c>
      <c r="AE11" s="1385">
        <v>0</v>
      </c>
      <c r="AF11" s="1511">
        <f t="shared" si="22"/>
        <v>0</v>
      </c>
      <c r="AG11" s="1385"/>
      <c r="AH11" s="1385">
        <f t="shared" si="23"/>
        <v>0</v>
      </c>
      <c r="AI11" s="1511">
        <f t="shared" si="24"/>
        <v>0</v>
      </c>
      <c r="AJ11" s="1531">
        <f t="shared" si="25"/>
        <v>0</v>
      </c>
      <c r="AK11" s="1536">
        <f t="shared" si="26"/>
        <v>0</v>
      </c>
    </row>
    <row r="12" spans="1:37" ht="16.2" customHeight="1">
      <c r="A12" s="1183">
        <v>6</v>
      </c>
      <c r="B12" s="1184" t="s">
        <v>86</v>
      </c>
      <c r="C12" s="1185">
        <v>0</v>
      </c>
      <c r="D12" s="1186">
        <f>+'Table 5C1A-Madison Prep'!D12</f>
        <v>5378.5086124955869</v>
      </c>
      <c r="E12" s="1187">
        <f t="shared" si="5"/>
        <v>0</v>
      </c>
      <c r="F12" s="1187">
        <f>+'Table 5C1A-Madison Prep'!F12</f>
        <v>545.4799999999999</v>
      </c>
      <c r="G12" s="1187">
        <f t="shared" si="6"/>
        <v>0</v>
      </c>
      <c r="H12" s="1538">
        <f t="shared" si="7"/>
        <v>0</v>
      </c>
      <c r="I12" s="1188"/>
      <c r="J12" s="1188"/>
      <c r="K12" s="1189">
        <f t="shared" si="8"/>
        <v>0</v>
      </c>
      <c r="L12" s="1538">
        <f t="shared" si="9"/>
        <v>0</v>
      </c>
      <c r="M12" s="1372">
        <f t="shared" si="4"/>
        <v>0</v>
      </c>
      <c r="N12" s="1538">
        <f t="shared" si="10"/>
        <v>0</v>
      </c>
      <c r="O12" s="1186">
        <v>0</v>
      </c>
      <c r="P12" s="1544">
        <f t="shared" si="11"/>
        <v>0</v>
      </c>
      <c r="Q12" s="1188"/>
      <c r="R12" s="1188">
        <f t="shared" si="12"/>
        <v>0</v>
      </c>
      <c r="S12" s="1544">
        <f t="shared" si="13"/>
        <v>0</v>
      </c>
      <c r="T12" s="1544">
        <f t="shared" si="14"/>
        <v>0</v>
      </c>
      <c r="U12" s="1373">
        <f>'Table 5C1A-Madison Prep'!U12</f>
        <v>3807</v>
      </c>
      <c r="V12" s="1514">
        <f t="shared" si="15"/>
        <v>0</v>
      </c>
      <c r="W12" s="1375"/>
      <c r="X12" s="1376">
        <f t="shared" si="16"/>
        <v>0</v>
      </c>
      <c r="Y12" s="1375"/>
      <c r="Z12" s="1376">
        <f t="shared" si="17"/>
        <v>0</v>
      </c>
      <c r="AA12" s="1374">
        <f t="shared" si="18"/>
        <v>0</v>
      </c>
      <c r="AB12" s="1509">
        <f t="shared" si="19"/>
        <v>0</v>
      </c>
      <c r="AC12" s="1378">
        <f t="shared" si="20"/>
        <v>0</v>
      </c>
      <c r="AD12" s="1509">
        <f t="shared" si="21"/>
        <v>0</v>
      </c>
      <c r="AE12" s="1379">
        <v>0</v>
      </c>
      <c r="AF12" s="1509">
        <f t="shared" si="22"/>
        <v>0</v>
      </c>
      <c r="AG12" s="1379"/>
      <c r="AH12" s="1379">
        <f t="shared" si="23"/>
        <v>0</v>
      </c>
      <c r="AI12" s="1509">
        <f t="shared" si="24"/>
        <v>0</v>
      </c>
      <c r="AJ12" s="1530">
        <f t="shared" si="25"/>
        <v>0</v>
      </c>
      <c r="AK12" s="1534">
        <f t="shared" si="26"/>
        <v>0</v>
      </c>
    </row>
    <row r="13" spans="1:37" ht="16.2" customHeight="1">
      <c r="A13" s="1176">
        <v>7</v>
      </c>
      <c r="B13" s="1177" t="s">
        <v>87</v>
      </c>
      <c r="C13" s="1178">
        <v>0</v>
      </c>
      <c r="D13" s="1179">
        <f>+'Table 5C1A-Madison Prep'!D13</f>
        <v>2243.0031963470319</v>
      </c>
      <c r="E13" s="1180">
        <f t="shared" si="5"/>
        <v>0</v>
      </c>
      <c r="F13" s="1180">
        <f>+'Table 5C1A-Madison Prep'!F13</f>
        <v>756.91999999999985</v>
      </c>
      <c r="G13" s="1180">
        <f t="shared" si="6"/>
        <v>0</v>
      </c>
      <c r="H13" s="1539">
        <f t="shared" si="7"/>
        <v>0</v>
      </c>
      <c r="I13" s="1181"/>
      <c r="J13" s="1181"/>
      <c r="K13" s="1182">
        <f t="shared" si="8"/>
        <v>0</v>
      </c>
      <c r="L13" s="1539">
        <f t="shared" si="9"/>
        <v>0</v>
      </c>
      <c r="M13" s="1388">
        <f t="shared" si="4"/>
        <v>0</v>
      </c>
      <c r="N13" s="1539">
        <f t="shared" si="10"/>
        <v>0</v>
      </c>
      <c r="O13" s="1179">
        <v>0</v>
      </c>
      <c r="P13" s="1545">
        <f t="shared" si="11"/>
        <v>0</v>
      </c>
      <c r="Q13" s="1181"/>
      <c r="R13" s="1181">
        <f t="shared" si="12"/>
        <v>0</v>
      </c>
      <c r="S13" s="1545">
        <f t="shared" si="13"/>
        <v>0</v>
      </c>
      <c r="T13" s="1545">
        <f t="shared" si="14"/>
        <v>0</v>
      </c>
      <c r="U13" s="1389">
        <f>'Table 5C1A-Madison Prep'!U13</f>
        <v>11888</v>
      </c>
      <c r="V13" s="1515">
        <f t="shared" si="15"/>
        <v>0</v>
      </c>
      <c r="W13" s="1391"/>
      <c r="X13" s="1392">
        <f t="shared" si="16"/>
        <v>0</v>
      </c>
      <c r="Y13" s="1391"/>
      <c r="Z13" s="1392">
        <f t="shared" si="17"/>
        <v>0</v>
      </c>
      <c r="AA13" s="1390">
        <f t="shared" si="18"/>
        <v>0</v>
      </c>
      <c r="AB13" s="1510">
        <f t="shared" si="19"/>
        <v>0</v>
      </c>
      <c r="AC13" s="1394">
        <f t="shared" si="20"/>
        <v>0</v>
      </c>
      <c r="AD13" s="1510">
        <f t="shared" si="21"/>
        <v>0</v>
      </c>
      <c r="AE13" s="1395">
        <v>0</v>
      </c>
      <c r="AF13" s="1510">
        <f t="shared" si="22"/>
        <v>0</v>
      </c>
      <c r="AG13" s="1395"/>
      <c r="AH13" s="1395">
        <f t="shared" si="23"/>
        <v>0</v>
      </c>
      <c r="AI13" s="1510">
        <f t="shared" si="24"/>
        <v>0</v>
      </c>
      <c r="AJ13" s="1505">
        <f t="shared" si="25"/>
        <v>0</v>
      </c>
      <c r="AK13" s="1535">
        <f t="shared" si="26"/>
        <v>0</v>
      </c>
    </row>
    <row r="14" spans="1:37" ht="16.2" customHeight="1">
      <c r="A14" s="1176">
        <v>8</v>
      </c>
      <c r="B14" s="1177" t="s">
        <v>88</v>
      </c>
      <c r="C14" s="1178">
        <v>0</v>
      </c>
      <c r="D14" s="1179">
        <f>+'Table 5C1A-Madison Prep'!D14</f>
        <v>4669.802459558854</v>
      </c>
      <c r="E14" s="1180">
        <f t="shared" si="5"/>
        <v>0</v>
      </c>
      <c r="F14" s="1180">
        <f>+'Table 5C1A-Madison Prep'!F14</f>
        <v>725.76</v>
      </c>
      <c r="G14" s="1180">
        <f t="shared" si="6"/>
        <v>0</v>
      </c>
      <c r="H14" s="1539">
        <f t="shared" si="7"/>
        <v>0</v>
      </c>
      <c r="I14" s="1181"/>
      <c r="J14" s="1181"/>
      <c r="K14" s="1182">
        <f t="shared" si="8"/>
        <v>0</v>
      </c>
      <c r="L14" s="1539">
        <f t="shared" si="9"/>
        <v>0</v>
      </c>
      <c r="M14" s="1388">
        <f t="shared" si="4"/>
        <v>0</v>
      </c>
      <c r="N14" s="1539">
        <f t="shared" si="10"/>
        <v>0</v>
      </c>
      <c r="O14" s="1179">
        <v>0</v>
      </c>
      <c r="P14" s="1545">
        <f t="shared" si="11"/>
        <v>0</v>
      </c>
      <c r="Q14" s="1181"/>
      <c r="R14" s="1181">
        <f t="shared" si="12"/>
        <v>0</v>
      </c>
      <c r="S14" s="1545">
        <f t="shared" si="13"/>
        <v>0</v>
      </c>
      <c r="T14" s="1545">
        <f t="shared" si="14"/>
        <v>0</v>
      </c>
      <c r="U14" s="1389">
        <f>'Table 5C1A-Madison Prep'!U14</f>
        <v>4024</v>
      </c>
      <c r="V14" s="1515">
        <f t="shared" si="15"/>
        <v>0</v>
      </c>
      <c r="W14" s="1391"/>
      <c r="X14" s="1392">
        <f t="shared" si="16"/>
        <v>0</v>
      </c>
      <c r="Y14" s="1391"/>
      <c r="Z14" s="1392">
        <f t="shared" si="17"/>
        <v>0</v>
      </c>
      <c r="AA14" s="1390">
        <f t="shared" si="18"/>
        <v>0</v>
      </c>
      <c r="AB14" s="1510">
        <f t="shared" si="19"/>
        <v>0</v>
      </c>
      <c r="AC14" s="1394">
        <f t="shared" si="20"/>
        <v>0</v>
      </c>
      <c r="AD14" s="1510">
        <f t="shared" si="21"/>
        <v>0</v>
      </c>
      <c r="AE14" s="1395">
        <v>0</v>
      </c>
      <c r="AF14" s="1510">
        <f t="shared" si="22"/>
        <v>0</v>
      </c>
      <c r="AG14" s="1395"/>
      <c r="AH14" s="1395">
        <f t="shared" si="23"/>
        <v>0</v>
      </c>
      <c r="AI14" s="1510">
        <f t="shared" si="24"/>
        <v>0</v>
      </c>
      <c r="AJ14" s="1505">
        <f t="shared" si="25"/>
        <v>0</v>
      </c>
      <c r="AK14" s="1535">
        <f t="shared" si="26"/>
        <v>0</v>
      </c>
    </row>
    <row r="15" spans="1:37" ht="16.2" customHeight="1">
      <c r="A15" s="1176">
        <v>9</v>
      </c>
      <c r="B15" s="1177" t="s">
        <v>89</v>
      </c>
      <c r="C15" s="1178">
        <v>0</v>
      </c>
      <c r="D15" s="1179">
        <f>+'Table 5C1A-Madison Prep'!D15</f>
        <v>4632.4615072045008</v>
      </c>
      <c r="E15" s="1180">
        <f t="shared" si="5"/>
        <v>0</v>
      </c>
      <c r="F15" s="1180">
        <f>+'Table 5C1A-Madison Prep'!F15</f>
        <v>744.76</v>
      </c>
      <c r="G15" s="1180">
        <f t="shared" si="6"/>
        <v>0</v>
      </c>
      <c r="H15" s="1539">
        <f t="shared" si="7"/>
        <v>0</v>
      </c>
      <c r="I15" s="1181"/>
      <c r="J15" s="1181"/>
      <c r="K15" s="1182">
        <f t="shared" si="8"/>
        <v>0</v>
      </c>
      <c r="L15" s="1539">
        <f t="shared" si="9"/>
        <v>0</v>
      </c>
      <c r="M15" s="1388">
        <f t="shared" si="4"/>
        <v>0</v>
      </c>
      <c r="N15" s="1539">
        <f t="shared" si="10"/>
        <v>0</v>
      </c>
      <c r="O15" s="1179">
        <v>0</v>
      </c>
      <c r="P15" s="1545">
        <f t="shared" si="11"/>
        <v>0</v>
      </c>
      <c r="Q15" s="1181"/>
      <c r="R15" s="1181">
        <f t="shared" si="12"/>
        <v>0</v>
      </c>
      <c r="S15" s="1545">
        <f t="shared" si="13"/>
        <v>0</v>
      </c>
      <c r="T15" s="1545">
        <f t="shared" si="14"/>
        <v>0</v>
      </c>
      <c r="U15" s="1389">
        <f>'Table 5C1A-Madison Prep'!U15</f>
        <v>4828</v>
      </c>
      <c r="V15" s="1515">
        <f t="shared" si="15"/>
        <v>0</v>
      </c>
      <c r="W15" s="1391"/>
      <c r="X15" s="1392">
        <f t="shared" si="16"/>
        <v>0</v>
      </c>
      <c r="Y15" s="1391"/>
      <c r="Z15" s="1392">
        <f t="shared" si="17"/>
        <v>0</v>
      </c>
      <c r="AA15" s="1390">
        <f t="shared" si="18"/>
        <v>0</v>
      </c>
      <c r="AB15" s="1510">
        <f t="shared" si="19"/>
        <v>0</v>
      </c>
      <c r="AC15" s="1394">
        <f t="shared" si="20"/>
        <v>0</v>
      </c>
      <c r="AD15" s="1510">
        <f t="shared" si="21"/>
        <v>0</v>
      </c>
      <c r="AE15" s="1395">
        <v>0</v>
      </c>
      <c r="AF15" s="1510">
        <f t="shared" si="22"/>
        <v>0</v>
      </c>
      <c r="AG15" s="1395"/>
      <c r="AH15" s="1395">
        <f t="shared" si="23"/>
        <v>0</v>
      </c>
      <c r="AI15" s="1510">
        <f t="shared" si="24"/>
        <v>0</v>
      </c>
      <c r="AJ15" s="1505">
        <f t="shared" si="25"/>
        <v>0</v>
      </c>
      <c r="AK15" s="1535">
        <f t="shared" si="26"/>
        <v>0</v>
      </c>
    </row>
    <row r="16" spans="1:37" ht="16.2" customHeight="1">
      <c r="A16" s="1168">
        <v>10</v>
      </c>
      <c r="B16" s="1169" t="s">
        <v>90</v>
      </c>
      <c r="C16" s="1170">
        <v>0</v>
      </c>
      <c r="D16" s="1171">
        <f>+'Table 5C1A-Madison Prep'!D16</f>
        <v>4384.374733918472</v>
      </c>
      <c r="E16" s="1172">
        <f t="shared" si="5"/>
        <v>0</v>
      </c>
      <c r="F16" s="1172">
        <f>+'Table 5C1A-Madison Prep'!F16</f>
        <v>608.04000000000008</v>
      </c>
      <c r="G16" s="1172">
        <f t="shared" si="6"/>
        <v>0</v>
      </c>
      <c r="H16" s="1540">
        <f t="shared" si="7"/>
        <v>0</v>
      </c>
      <c r="I16" s="1173"/>
      <c r="J16" s="1173"/>
      <c r="K16" s="1174">
        <f t="shared" si="8"/>
        <v>0</v>
      </c>
      <c r="L16" s="1540">
        <f t="shared" si="9"/>
        <v>0</v>
      </c>
      <c r="M16" s="1399">
        <f t="shared" si="4"/>
        <v>0</v>
      </c>
      <c r="N16" s="1540">
        <f t="shared" si="10"/>
        <v>0</v>
      </c>
      <c r="O16" s="1171">
        <v>0</v>
      </c>
      <c r="P16" s="1546">
        <f t="shared" si="11"/>
        <v>0</v>
      </c>
      <c r="Q16" s="1173"/>
      <c r="R16" s="1173">
        <f t="shared" si="12"/>
        <v>0</v>
      </c>
      <c r="S16" s="1546">
        <f t="shared" si="13"/>
        <v>0</v>
      </c>
      <c r="T16" s="1546">
        <f t="shared" si="14"/>
        <v>0</v>
      </c>
      <c r="U16" s="1382">
        <f>'Table 5C1A-Madison Prep'!U16</f>
        <v>4565</v>
      </c>
      <c r="V16" s="1516">
        <f t="shared" si="15"/>
        <v>0</v>
      </c>
      <c r="W16" s="1400"/>
      <c r="X16" s="1383">
        <f t="shared" si="16"/>
        <v>0</v>
      </c>
      <c r="Y16" s="1400"/>
      <c r="Z16" s="1383">
        <f t="shared" si="17"/>
        <v>0</v>
      </c>
      <c r="AA16" s="1384">
        <f t="shared" si="18"/>
        <v>0</v>
      </c>
      <c r="AB16" s="1511">
        <f t="shared" si="19"/>
        <v>0</v>
      </c>
      <c r="AC16" s="1402">
        <f t="shared" si="20"/>
        <v>0</v>
      </c>
      <c r="AD16" s="1511">
        <f t="shared" si="21"/>
        <v>0</v>
      </c>
      <c r="AE16" s="1385">
        <v>0</v>
      </c>
      <c r="AF16" s="1511">
        <f t="shared" si="22"/>
        <v>0</v>
      </c>
      <c r="AG16" s="1385"/>
      <c r="AH16" s="1385">
        <f t="shared" si="23"/>
        <v>0</v>
      </c>
      <c r="AI16" s="1511">
        <f t="shared" si="24"/>
        <v>0</v>
      </c>
      <c r="AJ16" s="1531">
        <f t="shared" si="25"/>
        <v>0</v>
      </c>
      <c r="AK16" s="1536">
        <f t="shared" si="26"/>
        <v>0</v>
      </c>
    </row>
    <row r="17" spans="1:37" ht="16.2" customHeight="1">
      <c r="A17" s="1183">
        <v>11</v>
      </c>
      <c r="B17" s="1184" t="s">
        <v>91</v>
      </c>
      <c r="C17" s="1185">
        <v>0</v>
      </c>
      <c r="D17" s="1186">
        <f>+'Table 5C1A-Madison Prep'!D17</f>
        <v>7098.5372236353351</v>
      </c>
      <c r="E17" s="1187">
        <f t="shared" si="5"/>
        <v>0</v>
      </c>
      <c r="F17" s="1187">
        <f>+'Table 5C1A-Madison Prep'!F17</f>
        <v>706.55</v>
      </c>
      <c r="G17" s="1187">
        <f t="shared" si="6"/>
        <v>0</v>
      </c>
      <c r="H17" s="1538">
        <f t="shared" si="7"/>
        <v>0</v>
      </c>
      <c r="I17" s="1188"/>
      <c r="J17" s="1188"/>
      <c r="K17" s="1189">
        <f t="shared" si="8"/>
        <v>0</v>
      </c>
      <c r="L17" s="1538">
        <f t="shared" si="9"/>
        <v>0</v>
      </c>
      <c r="M17" s="1372">
        <f t="shared" si="4"/>
        <v>0</v>
      </c>
      <c r="N17" s="1538">
        <f t="shared" si="10"/>
        <v>0</v>
      </c>
      <c r="O17" s="1186">
        <v>0</v>
      </c>
      <c r="P17" s="1544">
        <f t="shared" si="11"/>
        <v>0</v>
      </c>
      <c r="Q17" s="1188"/>
      <c r="R17" s="1188">
        <f t="shared" si="12"/>
        <v>0</v>
      </c>
      <c r="S17" s="1544">
        <f t="shared" si="13"/>
        <v>0</v>
      </c>
      <c r="T17" s="1544">
        <f t="shared" si="14"/>
        <v>0</v>
      </c>
      <c r="U17" s="1373">
        <f>'Table 5C1A-Madison Prep'!U17</f>
        <v>3587</v>
      </c>
      <c r="V17" s="1514">
        <f t="shared" si="15"/>
        <v>0</v>
      </c>
      <c r="W17" s="1375"/>
      <c r="X17" s="1376">
        <f t="shared" si="16"/>
        <v>0</v>
      </c>
      <c r="Y17" s="1375"/>
      <c r="Z17" s="1376">
        <f t="shared" si="17"/>
        <v>0</v>
      </c>
      <c r="AA17" s="1374">
        <f t="shared" si="18"/>
        <v>0</v>
      </c>
      <c r="AB17" s="1509">
        <f t="shared" si="19"/>
        <v>0</v>
      </c>
      <c r="AC17" s="1378">
        <f t="shared" si="20"/>
        <v>0</v>
      </c>
      <c r="AD17" s="1509">
        <f t="shared" si="21"/>
        <v>0</v>
      </c>
      <c r="AE17" s="1379">
        <v>0</v>
      </c>
      <c r="AF17" s="1509">
        <f t="shared" si="22"/>
        <v>0</v>
      </c>
      <c r="AG17" s="1379"/>
      <c r="AH17" s="1379">
        <f t="shared" si="23"/>
        <v>0</v>
      </c>
      <c r="AI17" s="1509">
        <f t="shared" si="24"/>
        <v>0</v>
      </c>
      <c r="AJ17" s="1530">
        <f t="shared" si="25"/>
        <v>0</v>
      </c>
      <c r="AK17" s="1534">
        <f t="shared" si="26"/>
        <v>0</v>
      </c>
    </row>
    <row r="18" spans="1:37" ht="16.2" customHeight="1">
      <c r="A18" s="1176">
        <v>12</v>
      </c>
      <c r="B18" s="1177" t="s">
        <v>92</v>
      </c>
      <c r="C18" s="1178">
        <v>0</v>
      </c>
      <c r="D18" s="1179">
        <f>+'Table 5C1A-Madison Prep'!D18</f>
        <v>1666.6040983606558</v>
      </c>
      <c r="E18" s="1180">
        <f t="shared" si="5"/>
        <v>0</v>
      </c>
      <c r="F18" s="1180">
        <f>+'Table 5C1A-Madison Prep'!F18</f>
        <v>1063.31</v>
      </c>
      <c r="G18" s="1180">
        <f t="shared" si="6"/>
        <v>0</v>
      </c>
      <c r="H18" s="1539">
        <f t="shared" si="7"/>
        <v>0</v>
      </c>
      <c r="I18" s="1181"/>
      <c r="J18" s="1181"/>
      <c r="K18" s="1182">
        <f t="shared" si="8"/>
        <v>0</v>
      </c>
      <c r="L18" s="1539">
        <f t="shared" si="9"/>
        <v>0</v>
      </c>
      <c r="M18" s="1388">
        <f t="shared" si="4"/>
        <v>0</v>
      </c>
      <c r="N18" s="1539">
        <f t="shared" si="10"/>
        <v>0</v>
      </c>
      <c r="O18" s="1179">
        <v>0</v>
      </c>
      <c r="P18" s="1545">
        <f t="shared" si="11"/>
        <v>0</v>
      </c>
      <c r="Q18" s="1181"/>
      <c r="R18" s="1181">
        <f t="shared" si="12"/>
        <v>0</v>
      </c>
      <c r="S18" s="1545">
        <f t="shared" si="13"/>
        <v>0</v>
      </c>
      <c r="T18" s="1545">
        <f t="shared" si="14"/>
        <v>0</v>
      </c>
      <c r="U18" s="1389">
        <f>'Table 5C1A-Madison Prep'!U18</f>
        <v>8094</v>
      </c>
      <c r="V18" s="1515">
        <f t="shared" si="15"/>
        <v>0</v>
      </c>
      <c r="W18" s="1391"/>
      <c r="X18" s="1392">
        <f t="shared" si="16"/>
        <v>0</v>
      </c>
      <c r="Y18" s="1391"/>
      <c r="Z18" s="1392">
        <f t="shared" si="17"/>
        <v>0</v>
      </c>
      <c r="AA18" s="1390">
        <f t="shared" si="18"/>
        <v>0</v>
      </c>
      <c r="AB18" s="1510">
        <f t="shared" si="19"/>
        <v>0</v>
      </c>
      <c r="AC18" s="1394">
        <f t="shared" si="20"/>
        <v>0</v>
      </c>
      <c r="AD18" s="1510">
        <f t="shared" si="21"/>
        <v>0</v>
      </c>
      <c r="AE18" s="1395">
        <v>0</v>
      </c>
      <c r="AF18" s="1510">
        <f t="shared" si="22"/>
        <v>0</v>
      </c>
      <c r="AG18" s="1395"/>
      <c r="AH18" s="1395">
        <f t="shared" si="23"/>
        <v>0</v>
      </c>
      <c r="AI18" s="1510">
        <f t="shared" si="24"/>
        <v>0</v>
      </c>
      <c r="AJ18" s="1505">
        <f t="shared" si="25"/>
        <v>0</v>
      </c>
      <c r="AK18" s="1535">
        <f t="shared" si="26"/>
        <v>0</v>
      </c>
    </row>
    <row r="19" spans="1:37" ht="16.2" customHeight="1">
      <c r="A19" s="1176">
        <v>13</v>
      </c>
      <c r="B19" s="1177" t="s">
        <v>93</v>
      </c>
      <c r="C19" s="1178">
        <v>0</v>
      </c>
      <c r="D19" s="1179">
        <f>+'Table 5C1A-Madison Prep'!D19</f>
        <v>6433.6297758332212</v>
      </c>
      <c r="E19" s="1180">
        <f t="shared" si="5"/>
        <v>0</v>
      </c>
      <c r="F19" s="1180">
        <f>+'Table 5C1A-Madison Prep'!F19</f>
        <v>749.43000000000006</v>
      </c>
      <c r="G19" s="1180">
        <f t="shared" si="6"/>
        <v>0</v>
      </c>
      <c r="H19" s="1539">
        <f t="shared" si="7"/>
        <v>0</v>
      </c>
      <c r="I19" s="1181"/>
      <c r="J19" s="1181"/>
      <c r="K19" s="1182">
        <f t="shared" si="8"/>
        <v>0</v>
      </c>
      <c r="L19" s="1539">
        <f t="shared" si="9"/>
        <v>0</v>
      </c>
      <c r="M19" s="1388">
        <f t="shared" si="4"/>
        <v>0</v>
      </c>
      <c r="N19" s="1539">
        <f t="shared" si="10"/>
        <v>0</v>
      </c>
      <c r="O19" s="1179">
        <v>0</v>
      </c>
      <c r="P19" s="1545">
        <f t="shared" si="11"/>
        <v>0</v>
      </c>
      <c r="Q19" s="1181"/>
      <c r="R19" s="1181">
        <f t="shared" si="12"/>
        <v>0</v>
      </c>
      <c r="S19" s="1545">
        <f t="shared" si="13"/>
        <v>0</v>
      </c>
      <c r="T19" s="1545">
        <f t="shared" si="14"/>
        <v>0</v>
      </c>
      <c r="U19" s="1389">
        <f>'Table 5C1A-Madison Prep'!U19</f>
        <v>2842</v>
      </c>
      <c r="V19" s="1515">
        <f t="shared" si="15"/>
        <v>0</v>
      </c>
      <c r="W19" s="1391"/>
      <c r="X19" s="1392">
        <f t="shared" si="16"/>
        <v>0</v>
      </c>
      <c r="Y19" s="1391"/>
      <c r="Z19" s="1392">
        <f t="shared" si="17"/>
        <v>0</v>
      </c>
      <c r="AA19" s="1390">
        <f t="shared" si="18"/>
        <v>0</v>
      </c>
      <c r="AB19" s="1510">
        <f t="shared" si="19"/>
        <v>0</v>
      </c>
      <c r="AC19" s="1394">
        <f t="shared" si="20"/>
        <v>0</v>
      </c>
      <c r="AD19" s="1510">
        <f t="shared" si="21"/>
        <v>0</v>
      </c>
      <c r="AE19" s="1395">
        <v>0</v>
      </c>
      <c r="AF19" s="1510">
        <f t="shared" si="22"/>
        <v>0</v>
      </c>
      <c r="AG19" s="1395"/>
      <c r="AH19" s="1395">
        <f t="shared" si="23"/>
        <v>0</v>
      </c>
      <c r="AI19" s="1510">
        <f t="shared" si="24"/>
        <v>0</v>
      </c>
      <c r="AJ19" s="1505">
        <f t="shared" si="25"/>
        <v>0</v>
      </c>
      <c r="AK19" s="1535">
        <f t="shared" si="26"/>
        <v>0</v>
      </c>
    </row>
    <row r="20" spans="1:37" ht="16.2" customHeight="1">
      <c r="A20" s="1176">
        <v>14</v>
      </c>
      <c r="B20" s="1177" t="s">
        <v>94</v>
      </c>
      <c r="C20" s="1178">
        <v>80</v>
      </c>
      <c r="D20" s="1179">
        <f>+'Table 5C1A-Madison Prep'!D20</f>
        <v>5334.9509412500001</v>
      </c>
      <c r="E20" s="1180">
        <f t="shared" si="5"/>
        <v>426796.07530000003</v>
      </c>
      <c r="F20" s="1180">
        <f>+'Table 5C1A-Madison Prep'!F20</f>
        <v>809.9799999999999</v>
      </c>
      <c r="G20" s="1180">
        <f t="shared" si="6"/>
        <v>64798.399999999994</v>
      </c>
      <c r="H20" s="1539">
        <f t="shared" si="7"/>
        <v>491594.47530000005</v>
      </c>
      <c r="I20" s="1181"/>
      <c r="J20" s="1181"/>
      <c r="K20" s="1182">
        <f t="shared" si="8"/>
        <v>0</v>
      </c>
      <c r="L20" s="1539">
        <f t="shared" si="9"/>
        <v>491594.47530000005</v>
      </c>
      <c r="M20" s="1388">
        <f t="shared" si="4"/>
        <v>-1228.9861882500002</v>
      </c>
      <c r="N20" s="1539">
        <f t="shared" si="10"/>
        <v>490365.48911175004</v>
      </c>
      <c r="O20" s="1179">
        <v>0</v>
      </c>
      <c r="P20" s="1545">
        <f t="shared" si="11"/>
        <v>490365.48911175004</v>
      </c>
      <c r="Q20" s="1181"/>
      <c r="R20" s="1181">
        <f t="shared" si="12"/>
        <v>490365.48911175004</v>
      </c>
      <c r="S20" s="1545">
        <f t="shared" si="13"/>
        <v>40864</v>
      </c>
      <c r="T20" s="1545">
        <f t="shared" si="14"/>
        <v>490365.48911175004</v>
      </c>
      <c r="U20" s="1389">
        <f>'Table 5C1A-Madison Prep'!U20</f>
        <v>4205</v>
      </c>
      <c r="V20" s="1515">
        <f t="shared" si="15"/>
        <v>336400</v>
      </c>
      <c r="W20" s="1391"/>
      <c r="X20" s="1392">
        <f t="shared" si="16"/>
        <v>0</v>
      </c>
      <c r="Y20" s="1391"/>
      <c r="Z20" s="1392">
        <f t="shared" si="17"/>
        <v>0</v>
      </c>
      <c r="AA20" s="1390">
        <f t="shared" si="18"/>
        <v>0</v>
      </c>
      <c r="AB20" s="1510">
        <f t="shared" si="19"/>
        <v>336400</v>
      </c>
      <c r="AC20" s="1394">
        <f t="shared" si="20"/>
        <v>-841</v>
      </c>
      <c r="AD20" s="1510">
        <f t="shared" si="21"/>
        <v>335559</v>
      </c>
      <c r="AE20" s="1395">
        <v>0</v>
      </c>
      <c r="AF20" s="1510">
        <f t="shared" si="22"/>
        <v>335559</v>
      </c>
      <c r="AG20" s="1395"/>
      <c r="AH20" s="1395">
        <f t="shared" si="23"/>
        <v>335559</v>
      </c>
      <c r="AI20" s="1510">
        <f t="shared" si="24"/>
        <v>27963</v>
      </c>
      <c r="AJ20" s="1505">
        <f t="shared" si="25"/>
        <v>825924.48911175004</v>
      </c>
      <c r="AK20" s="1535">
        <f t="shared" si="26"/>
        <v>68827</v>
      </c>
    </row>
    <row r="21" spans="1:37" ht="16.2" customHeight="1">
      <c r="A21" s="1168">
        <v>15</v>
      </c>
      <c r="B21" s="1169" t="s">
        <v>95</v>
      </c>
      <c r="C21" s="1170">
        <v>0</v>
      </c>
      <c r="D21" s="1171">
        <f>+'Table 5C1A-Madison Prep'!D21</f>
        <v>5749.8285214059952</v>
      </c>
      <c r="E21" s="1172">
        <f t="shared" si="5"/>
        <v>0</v>
      </c>
      <c r="F21" s="1172">
        <f>+'Table 5C1A-Madison Prep'!F21</f>
        <v>553.79999999999995</v>
      </c>
      <c r="G21" s="1172">
        <f t="shared" si="6"/>
        <v>0</v>
      </c>
      <c r="H21" s="1540">
        <f t="shared" si="7"/>
        <v>0</v>
      </c>
      <c r="I21" s="1173"/>
      <c r="J21" s="1173"/>
      <c r="K21" s="1174">
        <f t="shared" si="8"/>
        <v>0</v>
      </c>
      <c r="L21" s="1540">
        <f t="shared" si="9"/>
        <v>0</v>
      </c>
      <c r="M21" s="1399">
        <f t="shared" si="4"/>
        <v>0</v>
      </c>
      <c r="N21" s="1540">
        <f t="shared" si="10"/>
        <v>0</v>
      </c>
      <c r="O21" s="1171">
        <v>0</v>
      </c>
      <c r="P21" s="1546">
        <f t="shared" si="11"/>
        <v>0</v>
      </c>
      <c r="Q21" s="1173"/>
      <c r="R21" s="1173">
        <f t="shared" si="12"/>
        <v>0</v>
      </c>
      <c r="S21" s="1546">
        <f t="shared" si="13"/>
        <v>0</v>
      </c>
      <c r="T21" s="1546">
        <f t="shared" si="14"/>
        <v>0</v>
      </c>
      <c r="U21" s="1382">
        <f>'Table 5C1A-Madison Prep'!U21</f>
        <v>2535</v>
      </c>
      <c r="V21" s="1516">
        <f t="shared" si="15"/>
        <v>0</v>
      </c>
      <c r="W21" s="1400"/>
      <c r="X21" s="1383">
        <f t="shared" si="16"/>
        <v>0</v>
      </c>
      <c r="Y21" s="1400"/>
      <c r="Z21" s="1383">
        <f t="shared" si="17"/>
        <v>0</v>
      </c>
      <c r="AA21" s="1384">
        <f t="shared" si="18"/>
        <v>0</v>
      </c>
      <c r="AB21" s="1511">
        <f t="shared" si="19"/>
        <v>0</v>
      </c>
      <c r="AC21" s="1402">
        <f t="shared" si="20"/>
        <v>0</v>
      </c>
      <c r="AD21" s="1511">
        <f t="shared" si="21"/>
        <v>0</v>
      </c>
      <c r="AE21" s="1385">
        <v>0</v>
      </c>
      <c r="AF21" s="1511">
        <f t="shared" si="22"/>
        <v>0</v>
      </c>
      <c r="AG21" s="1385"/>
      <c r="AH21" s="1385">
        <f t="shared" si="23"/>
        <v>0</v>
      </c>
      <c r="AI21" s="1511">
        <f t="shared" si="24"/>
        <v>0</v>
      </c>
      <c r="AJ21" s="1531">
        <f t="shared" si="25"/>
        <v>0</v>
      </c>
      <c r="AK21" s="1536">
        <f t="shared" si="26"/>
        <v>0</v>
      </c>
    </row>
    <row r="22" spans="1:37" ht="16.2" customHeight="1">
      <c r="A22" s="1183">
        <v>16</v>
      </c>
      <c r="B22" s="1184" t="s">
        <v>96</v>
      </c>
      <c r="C22" s="1185">
        <v>0</v>
      </c>
      <c r="D22" s="1186">
        <f>+'Table 5C1A-Madison Prep'!D22</f>
        <v>1980.2494354342025</v>
      </c>
      <c r="E22" s="1187">
        <f t="shared" si="5"/>
        <v>0</v>
      </c>
      <c r="F22" s="1187">
        <f>+'Table 5C1A-Madison Prep'!F22</f>
        <v>686.73</v>
      </c>
      <c r="G22" s="1187">
        <f t="shared" si="6"/>
        <v>0</v>
      </c>
      <c r="H22" s="1538">
        <f t="shared" si="7"/>
        <v>0</v>
      </c>
      <c r="I22" s="1188"/>
      <c r="J22" s="1188"/>
      <c r="K22" s="1189">
        <f t="shared" si="8"/>
        <v>0</v>
      </c>
      <c r="L22" s="1538">
        <f t="shared" si="9"/>
        <v>0</v>
      </c>
      <c r="M22" s="1372">
        <f t="shared" si="4"/>
        <v>0</v>
      </c>
      <c r="N22" s="1538">
        <f t="shared" si="10"/>
        <v>0</v>
      </c>
      <c r="O22" s="1186">
        <v>0</v>
      </c>
      <c r="P22" s="1544">
        <f t="shared" si="11"/>
        <v>0</v>
      </c>
      <c r="Q22" s="1188"/>
      <c r="R22" s="1188">
        <f t="shared" si="12"/>
        <v>0</v>
      </c>
      <c r="S22" s="1544">
        <f t="shared" si="13"/>
        <v>0</v>
      </c>
      <c r="T22" s="1544">
        <f t="shared" si="14"/>
        <v>0</v>
      </c>
      <c r="U22" s="1373">
        <f>'Table 5C1A-Madison Prep'!U22</f>
        <v>12768</v>
      </c>
      <c r="V22" s="1514">
        <f t="shared" si="15"/>
        <v>0</v>
      </c>
      <c r="W22" s="1375"/>
      <c r="X22" s="1376">
        <f t="shared" si="16"/>
        <v>0</v>
      </c>
      <c r="Y22" s="1375"/>
      <c r="Z22" s="1376">
        <f t="shared" si="17"/>
        <v>0</v>
      </c>
      <c r="AA22" s="1374">
        <f t="shared" si="18"/>
        <v>0</v>
      </c>
      <c r="AB22" s="1509">
        <f t="shared" si="19"/>
        <v>0</v>
      </c>
      <c r="AC22" s="1378">
        <f t="shared" si="20"/>
        <v>0</v>
      </c>
      <c r="AD22" s="1509">
        <f t="shared" si="21"/>
        <v>0</v>
      </c>
      <c r="AE22" s="1379">
        <v>0</v>
      </c>
      <c r="AF22" s="1509">
        <f t="shared" si="22"/>
        <v>0</v>
      </c>
      <c r="AG22" s="1379"/>
      <c r="AH22" s="1379">
        <f t="shared" si="23"/>
        <v>0</v>
      </c>
      <c r="AI22" s="1509">
        <f t="shared" si="24"/>
        <v>0</v>
      </c>
      <c r="AJ22" s="1530">
        <f t="shared" si="25"/>
        <v>0</v>
      </c>
      <c r="AK22" s="1534">
        <f t="shared" si="26"/>
        <v>0</v>
      </c>
    </row>
    <row r="23" spans="1:37" ht="16.2" customHeight="1">
      <c r="A23" s="1176">
        <v>17</v>
      </c>
      <c r="B23" s="1177" t="s">
        <v>97</v>
      </c>
      <c r="C23" s="1178">
        <v>0</v>
      </c>
      <c r="D23" s="1179">
        <f>+'Table 5C1A-Madison Prep'!D23</f>
        <v>3363.5980368254495</v>
      </c>
      <c r="E23" s="1180">
        <f t="shared" si="5"/>
        <v>0</v>
      </c>
      <c r="F23" s="1180">
        <f>+'Table 5C1A-Madison Prep'!F23</f>
        <v>801.47762416806802</v>
      </c>
      <c r="G23" s="1180">
        <f t="shared" si="6"/>
        <v>0</v>
      </c>
      <c r="H23" s="1539">
        <f t="shared" si="7"/>
        <v>0</v>
      </c>
      <c r="I23" s="1181"/>
      <c r="J23" s="1181"/>
      <c r="K23" s="1182">
        <f t="shared" si="8"/>
        <v>0</v>
      </c>
      <c r="L23" s="1539">
        <f t="shared" si="9"/>
        <v>0</v>
      </c>
      <c r="M23" s="1388">
        <f t="shared" si="4"/>
        <v>0</v>
      </c>
      <c r="N23" s="1539">
        <f t="shared" si="10"/>
        <v>0</v>
      </c>
      <c r="O23" s="1179">
        <v>0</v>
      </c>
      <c r="P23" s="1545">
        <f t="shared" si="11"/>
        <v>0</v>
      </c>
      <c r="Q23" s="1181"/>
      <c r="R23" s="1181">
        <f t="shared" si="12"/>
        <v>0</v>
      </c>
      <c r="S23" s="1545">
        <f t="shared" si="13"/>
        <v>0</v>
      </c>
      <c r="T23" s="1545">
        <f t="shared" si="14"/>
        <v>0</v>
      </c>
      <c r="U23" s="1389">
        <f>'Table 5C1A-Madison Prep'!U23</f>
        <v>7050</v>
      </c>
      <c r="V23" s="1515">
        <f t="shared" si="15"/>
        <v>0</v>
      </c>
      <c r="W23" s="1391"/>
      <c r="X23" s="1392">
        <f t="shared" si="16"/>
        <v>0</v>
      </c>
      <c r="Y23" s="1391"/>
      <c r="Z23" s="1392">
        <f t="shared" si="17"/>
        <v>0</v>
      </c>
      <c r="AA23" s="1390">
        <f t="shared" si="18"/>
        <v>0</v>
      </c>
      <c r="AB23" s="1510">
        <f t="shared" si="19"/>
        <v>0</v>
      </c>
      <c r="AC23" s="1394">
        <f t="shared" si="20"/>
        <v>0</v>
      </c>
      <c r="AD23" s="1510">
        <f t="shared" si="21"/>
        <v>0</v>
      </c>
      <c r="AE23" s="1395">
        <v>0</v>
      </c>
      <c r="AF23" s="1510">
        <f t="shared" si="22"/>
        <v>0</v>
      </c>
      <c r="AG23" s="1395"/>
      <c r="AH23" s="1395">
        <f t="shared" si="23"/>
        <v>0</v>
      </c>
      <c r="AI23" s="1510">
        <f t="shared" si="24"/>
        <v>0</v>
      </c>
      <c r="AJ23" s="1505">
        <f t="shared" si="25"/>
        <v>0</v>
      </c>
      <c r="AK23" s="1535">
        <f t="shared" si="26"/>
        <v>0</v>
      </c>
    </row>
    <row r="24" spans="1:37" ht="16.2" customHeight="1">
      <c r="A24" s="1176">
        <v>18</v>
      </c>
      <c r="B24" s="1177" t="s">
        <v>98</v>
      </c>
      <c r="C24" s="1178">
        <v>0</v>
      </c>
      <c r="D24" s="1179">
        <f>+'Table 5C1A-Madison Prep'!D24</f>
        <v>6354.5533500475731</v>
      </c>
      <c r="E24" s="1180">
        <f t="shared" si="5"/>
        <v>0</v>
      </c>
      <c r="F24" s="1180">
        <f>+'Table 5C1A-Madison Prep'!F24</f>
        <v>845.94999999999993</v>
      </c>
      <c r="G24" s="1180">
        <f t="shared" si="6"/>
        <v>0</v>
      </c>
      <c r="H24" s="1539">
        <f t="shared" si="7"/>
        <v>0</v>
      </c>
      <c r="I24" s="1181"/>
      <c r="J24" s="1181"/>
      <c r="K24" s="1182">
        <f t="shared" si="8"/>
        <v>0</v>
      </c>
      <c r="L24" s="1539">
        <f t="shared" si="9"/>
        <v>0</v>
      </c>
      <c r="M24" s="1388">
        <f t="shared" si="4"/>
        <v>0</v>
      </c>
      <c r="N24" s="1539">
        <f t="shared" si="10"/>
        <v>0</v>
      </c>
      <c r="O24" s="1179">
        <v>0</v>
      </c>
      <c r="P24" s="1545">
        <f t="shared" si="11"/>
        <v>0</v>
      </c>
      <c r="Q24" s="1181"/>
      <c r="R24" s="1181">
        <f t="shared" si="12"/>
        <v>0</v>
      </c>
      <c r="S24" s="1545">
        <f t="shared" si="13"/>
        <v>0</v>
      </c>
      <c r="T24" s="1545">
        <f t="shared" si="14"/>
        <v>0</v>
      </c>
      <c r="U24" s="1389">
        <f>'Table 5C1A-Madison Prep'!U24</f>
        <v>2526</v>
      </c>
      <c r="V24" s="1515">
        <f t="shared" si="15"/>
        <v>0</v>
      </c>
      <c r="W24" s="1391"/>
      <c r="X24" s="1392">
        <f t="shared" si="16"/>
        <v>0</v>
      </c>
      <c r="Y24" s="1391"/>
      <c r="Z24" s="1392">
        <f t="shared" si="17"/>
        <v>0</v>
      </c>
      <c r="AA24" s="1390">
        <f t="shared" si="18"/>
        <v>0</v>
      </c>
      <c r="AB24" s="1510">
        <f t="shared" si="19"/>
        <v>0</v>
      </c>
      <c r="AC24" s="1394">
        <f t="shared" si="20"/>
        <v>0</v>
      </c>
      <c r="AD24" s="1510">
        <f t="shared" si="21"/>
        <v>0</v>
      </c>
      <c r="AE24" s="1395">
        <v>0</v>
      </c>
      <c r="AF24" s="1510">
        <f t="shared" si="22"/>
        <v>0</v>
      </c>
      <c r="AG24" s="1395"/>
      <c r="AH24" s="1395">
        <f t="shared" si="23"/>
        <v>0</v>
      </c>
      <c r="AI24" s="1510">
        <f t="shared" si="24"/>
        <v>0</v>
      </c>
      <c r="AJ24" s="1505">
        <f t="shared" si="25"/>
        <v>0</v>
      </c>
      <c r="AK24" s="1535">
        <f t="shared" si="26"/>
        <v>0</v>
      </c>
    </row>
    <row r="25" spans="1:37" ht="16.2" customHeight="1">
      <c r="A25" s="1176">
        <v>19</v>
      </c>
      <c r="B25" s="1177" t="s">
        <v>99</v>
      </c>
      <c r="C25" s="1178">
        <v>0</v>
      </c>
      <c r="D25" s="1179">
        <f>+'Table 5C1A-Madison Prep'!D25</f>
        <v>5314.3921869460446</v>
      </c>
      <c r="E25" s="1180">
        <f t="shared" si="5"/>
        <v>0</v>
      </c>
      <c r="F25" s="1180">
        <f>+'Table 5C1A-Madison Prep'!F25</f>
        <v>905.43</v>
      </c>
      <c r="G25" s="1180">
        <f t="shared" si="6"/>
        <v>0</v>
      </c>
      <c r="H25" s="1539">
        <f t="shared" si="7"/>
        <v>0</v>
      </c>
      <c r="I25" s="1181"/>
      <c r="J25" s="1181"/>
      <c r="K25" s="1182">
        <f t="shared" si="8"/>
        <v>0</v>
      </c>
      <c r="L25" s="1539">
        <f t="shared" si="9"/>
        <v>0</v>
      </c>
      <c r="M25" s="1388">
        <f t="shared" si="4"/>
        <v>0</v>
      </c>
      <c r="N25" s="1539">
        <f t="shared" si="10"/>
        <v>0</v>
      </c>
      <c r="O25" s="1179">
        <v>0</v>
      </c>
      <c r="P25" s="1545">
        <f t="shared" si="11"/>
        <v>0</v>
      </c>
      <c r="Q25" s="1181"/>
      <c r="R25" s="1181">
        <f t="shared" si="12"/>
        <v>0</v>
      </c>
      <c r="S25" s="1545">
        <f t="shared" si="13"/>
        <v>0</v>
      </c>
      <c r="T25" s="1545">
        <f t="shared" si="14"/>
        <v>0</v>
      </c>
      <c r="U25" s="1389">
        <f>'Table 5C1A-Madison Prep'!U25</f>
        <v>2908</v>
      </c>
      <c r="V25" s="1515">
        <f t="shared" si="15"/>
        <v>0</v>
      </c>
      <c r="W25" s="1391"/>
      <c r="X25" s="1392">
        <f t="shared" si="16"/>
        <v>0</v>
      </c>
      <c r="Y25" s="1391"/>
      <c r="Z25" s="1392">
        <f t="shared" si="17"/>
        <v>0</v>
      </c>
      <c r="AA25" s="1390">
        <f t="shared" si="18"/>
        <v>0</v>
      </c>
      <c r="AB25" s="1510">
        <f t="shared" si="19"/>
        <v>0</v>
      </c>
      <c r="AC25" s="1394">
        <f t="shared" si="20"/>
        <v>0</v>
      </c>
      <c r="AD25" s="1510">
        <f t="shared" si="21"/>
        <v>0</v>
      </c>
      <c r="AE25" s="1395">
        <v>0</v>
      </c>
      <c r="AF25" s="1510">
        <f t="shared" si="22"/>
        <v>0</v>
      </c>
      <c r="AG25" s="1395"/>
      <c r="AH25" s="1395">
        <f t="shared" si="23"/>
        <v>0</v>
      </c>
      <c r="AI25" s="1510">
        <f t="shared" si="24"/>
        <v>0</v>
      </c>
      <c r="AJ25" s="1505">
        <f t="shared" si="25"/>
        <v>0</v>
      </c>
      <c r="AK25" s="1535">
        <f t="shared" si="26"/>
        <v>0</v>
      </c>
    </row>
    <row r="26" spans="1:37" ht="16.2" customHeight="1">
      <c r="A26" s="1168">
        <v>20</v>
      </c>
      <c r="B26" s="1169" t="s">
        <v>100</v>
      </c>
      <c r="C26" s="1170">
        <v>0</v>
      </c>
      <c r="D26" s="1171">
        <f>+'Table 5C1A-Madison Prep'!D26</f>
        <v>5278.5201565562011</v>
      </c>
      <c r="E26" s="1172">
        <f t="shared" si="5"/>
        <v>0</v>
      </c>
      <c r="F26" s="1172">
        <f>+'Table 5C1A-Madison Prep'!F26</f>
        <v>586.16999999999996</v>
      </c>
      <c r="G26" s="1172">
        <f t="shared" si="6"/>
        <v>0</v>
      </c>
      <c r="H26" s="1540">
        <f t="shared" si="7"/>
        <v>0</v>
      </c>
      <c r="I26" s="1173"/>
      <c r="J26" s="1173"/>
      <c r="K26" s="1174">
        <f t="shared" si="8"/>
        <v>0</v>
      </c>
      <c r="L26" s="1540">
        <f t="shared" si="9"/>
        <v>0</v>
      </c>
      <c r="M26" s="1399">
        <f t="shared" si="4"/>
        <v>0</v>
      </c>
      <c r="N26" s="1540">
        <f t="shared" si="10"/>
        <v>0</v>
      </c>
      <c r="O26" s="1171">
        <v>0</v>
      </c>
      <c r="P26" s="1546">
        <f t="shared" si="11"/>
        <v>0</v>
      </c>
      <c r="Q26" s="1173"/>
      <c r="R26" s="1173">
        <f t="shared" si="12"/>
        <v>0</v>
      </c>
      <c r="S26" s="1546">
        <f t="shared" si="13"/>
        <v>0</v>
      </c>
      <c r="T26" s="1546">
        <f t="shared" si="14"/>
        <v>0</v>
      </c>
      <c r="U26" s="1382">
        <f>'Table 5C1A-Madison Prep'!U26</f>
        <v>2432</v>
      </c>
      <c r="V26" s="1516">
        <f t="shared" si="15"/>
        <v>0</v>
      </c>
      <c r="W26" s="1400"/>
      <c r="X26" s="1383">
        <f t="shared" si="16"/>
        <v>0</v>
      </c>
      <c r="Y26" s="1400"/>
      <c r="Z26" s="1383">
        <f t="shared" si="17"/>
        <v>0</v>
      </c>
      <c r="AA26" s="1384">
        <f t="shared" si="18"/>
        <v>0</v>
      </c>
      <c r="AB26" s="1511">
        <f t="shared" si="19"/>
        <v>0</v>
      </c>
      <c r="AC26" s="1402">
        <f t="shared" si="20"/>
        <v>0</v>
      </c>
      <c r="AD26" s="1511">
        <f t="shared" si="21"/>
        <v>0</v>
      </c>
      <c r="AE26" s="1385">
        <v>0</v>
      </c>
      <c r="AF26" s="1511">
        <f t="shared" si="22"/>
        <v>0</v>
      </c>
      <c r="AG26" s="1385"/>
      <c r="AH26" s="1385">
        <f t="shared" si="23"/>
        <v>0</v>
      </c>
      <c r="AI26" s="1511">
        <f t="shared" si="24"/>
        <v>0</v>
      </c>
      <c r="AJ26" s="1531">
        <f t="shared" si="25"/>
        <v>0</v>
      </c>
      <c r="AK26" s="1536">
        <f t="shared" si="26"/>
        <v>0</v>
      </c>
    </row>
    <row r="27" spans="1:37" ht="16.2" customHeight="1">
      <c r="A27" s="1183">
        <v>21</v>
      </c>
      <c r="B27" s="1184" t="s">
        <v>101</v>
      </c>
      <c r="C27" s="1185">
        <v>0</v>
      </c>
      <c r="D27" s="1186">
        <f>+'Table 5C1A-Madison Prep'!D27</f>
        <v>6082.3042295867763</v>
      </c>
      <c r="E27" s="1187">
        <f t="shared" si="5"/>
        <v>0</v>
      </c>
      <c r="F27" s="1187">
        <f>+'Table 5C1A-Madison Prep'!F27</f>
        <v>610.35</v>
      </c>
      <c r="G27" s="1187">
        <f t="shared" si="6"/>
        <v>0</v>
      </c>
      <c r="H27" s="1538">
        <f t="shared" si="7"/>
        <v>0</v>
      </c>
      <c r="I27" s="1188"/>
      <c r="J27" s="1188"/>
      <c r="K27" s="1189">
        <f t="shared" si="8"/>
        <v>0</v>
      </c>
      <c r="L27" s="1538">
        <f t="shared" si="9"/>
        <v>0</v>
      </c>
      <c r="M27" s="1372">
        <f t="shared" si="4"/>
        <v>0</v>
      </c>
      <c r="N27" s="1538">
        <f t="shared" si="10"/>
        <v>0</v>
      </c>
      <c r="O27" s="1186">
        <v>0</v>
      </c>
      <c r="P27" s="1544">
        <f t="shared" si="11"/>
        <v>0</v>
      </c>
      <c r="Q27" s="1188"/>
      <c r="R27" s="1188">
        <f t="shared" si="12"/>
        <v>0</v>
      </c>
      <c r="S27" s="1544">
        <f t="shared" si="13"/>
        <v>0</v>
      </c>
      <c r="T27" s="1544">
        <f t="shared" si="14"/>
        <v>0</v>
      </c>
      <c r="U27" s="1373">
        <f>'Table 5C1A-Madison Prep'!U27</f>
        <v>2460</v>
      </c>
      <c r="V27" s="1514">
        <f t="shared" si="15"/>
        <v>0</v>
      </c>
      <c r="W27" s="1375"/>
      <c r="X27" s="1376">
        <f t="shared" si="16"/>
        <v>0</v>
      </c>
      <c r="Y27" s="1375"/>
      <c r="Z27" s="1376">
        <f t="shared" si="17"/>
        <v>0</v>
      </c>
      <c r="AA27" s="1374">
        <f t="shared" si="18"/>
        <v>0</v>
      </c>
      <c r="AB27" s="1509">
        <f t="shared" si="19"/>
        <v>0</v>
      </c>
      <c r="AC27" s="1378">
        <f t="shared" si="20"/>
        <v>0</v>
      </c>
      <c r="AD27" s="1509">
        <f t="shared" si="21"/>
        <v>0</v>
      </c>
      <c r="AE27" s="1379">
        <v>0</v>
      </c>
      <c r="AF27" s="1509">
        <f t="shared" si="22"/>
        <v>0</v>
      </c>
      <c r="AG27" s="1379"/>
      <c r="AH27" s="1379">
        <f t="shared" si="23"/>
        <v>0</v>
      </c>
      <c r="AI27" s="1509">
        <f t="shared" si="24"/>
        <v>0</v>
      </c>
      <c r="AJ27" s="1530">
        <f t="shared" si="25"/>
        <v>0</v>
      </c>
      <c r="AK27" s="1534">
        <f t="shared" si="26"/>
        <v>0</v>
      </c>
    </row>
    <row r="28" spans="1:37" ht="16.2" customHeight="1">
      <c r="A28" s="1176">
        <v>22</v>
      </c>
      <c r="B28" s="1177" t="s">
        <v>102</v>
      </c>
      <c r="C28" s="1178">
        <v>0</v>
      </c>
      <c r="D28" s="1179">
        <f>+'Table 5C1A-Madison Prep'!D28</f>
        <v>6416.1099808195995</v>
      </c>
      <c r="E28" s="1180">
        <f t="shared" si="5"/>
        <v>0</v>
      </c>
      <c r="F28" s="1180">
        <f>+'Table 5C1A-Madison Prep'!F28</f>
        <v>496.36</v>
      </c>
      <c r="G28" s="1180">
        <f t="shared" si="6"/>
        <v>0</v>
      </c>
      <c r="H28" s="1539">
        <f t="shared" si="7"/>
        <v>0</v>
      </c>
      <c r="I28" s="1181"/>
      <c r="J28" s="1181"/>
      <c r="K28" s="1182">
        <f t="shared" si="8"/>
        <v>0</v>
      </c>
      <c r="L28" s="1539">
        <f t="shared" si="9"/>
        <v>0</v>
      </c>
      <c r="M28" s="1388">
        <f t="shared" si="4"/>
        <v>0</v>
      </c>
      <c r="N28" s="1539">
        <f t="shared" si="10"/>
        <v>0</v>
      </c>
      <c r="O28" s="1179">
        <v>0</v>
      </c>
      <c r="P28" s="1545">
        <f t="shared" si="11"/>
        <v>0</v>
      </c>
      <c r="Q28" s="1181"/>
      <c r="R28" s="1181">
        <f t="shared" si="12"/>
        <v>0</v>
      </c>
      <c r="S28" s="1545">
        <f t="shared" si="13"/>
        <v>0</v>
      </c>
      <c r="T28" s="1545">
        <f t="shared" si="14"/>
        <v>0</v>
      </c>
      <c r="U28" s="1389">
        <f>'Table 5C1A-Madison Prep'!U28</f>
        <v>1613</v>
      </c>
      <c r="V28" s="1515">
        <f t="shared" si="15"/>
        <v>0</v>
      </c>
      <c r="W28" s="1391"/>
      <c r="X28" s="1392">
        <f t="shared" si="16"/>
        <v>0</v>
      </c>
      <c r="Y28" s="1391"/>
      <c r="Z28" s="1392">
        <f t="shared" si="17"/>
        <v>0</v>
      </c>
      <c r="AA28" s="1390">
        <f t="shared" si="18"/>
        <v>0</v>
      </c>
      <c r="AB28" s="1510">
        <f t="shared" si="19"/>
        <v>0</v>
      </c>
      <c r="AC28" s="1394">
        <f t="shared" si="20"/>
        <v>0</v>
      </c>
      <c r="AD28" s="1510">
        <f t="shared" si="21"/>
        <v>0</v>
      </c>
      <c r="AE28" s="1395">
        <v>0</v>
      </c>
      <c r="AF28" s="1510">
        <f t="shared" si="22"/>
        <v>0</v>
      </c>
      <c r="AG28" s="1395"/>
      <c r="AH28" s="1395">
        <f t="shared" si="23"/>
        <v>0</v>
      </c>
      <c r="AI28" s="1510">
        <f t="shared" si="24"/>
        <v>0</v>
      </c>
      <c r="AJ28" s="1505">
        <f t="shared" si="25"/>
        <v>0</v>
      </c>
      <c r="AK28" s="1535">
        <f t="shared" si="26"/>
        <v>0</v>
      </c>
    </row>
    <row r="29" spans="1:37" ht="16.2" customHeight="1">
      <c r="A29" s="1176">
        <v>23</v>
      </c>
      <c r="B29" s="1177" t="s">
        <v>103</v>
      </c>
      <c r="C29" s="1178">
        <v>0</v>
      </c>
      <c r="D29" s="1179">
        <f>+'Table 5C1A-Madison Prep'!D29</f>
        <v>5011.0215265979159</v>
      </c>
      <c r="E29" s="1180">
        <f t="shared" si="5"/>
        <v>0</v>
      </c>
      <c r="F29" s="1180">
        <f>+'Table 5C1A-Madison Prep'!F29</f>
        <v>688.58</v>
      </c>
      <c r="G29" s="1180">
        <f t="shared" si="6"/>
        <v>0</v>
      </c>
      <c r="H29" s="1539">
        <f t="shared" si="7"/>
        <v>0</v>
      </c>
      <c r="I29" s="1181"/>
      <c r="J29" s="1181"/>
      <c r="K29" s="1182">
        <f t="shared" si="8"/>
        <v>0</v>
      </c>
      <c r="L29" s="1539">
        <f t="shared" si="9"/>
        <v>0</v>
      </c>
      <c r="M29" s="1388">
        <f t="shared" si="4"/>
        <v>0</v>
      </c>
      <c r="N29" s="1539">
        <f t="shared" si="10"/>
        <v>0</v>
      </c>
      <c r="O29" s="1179">
        <v>0</v>
      </c>
      <c r="P29" s="1545">
        <f t="shared" si="11"/>
        <v>0</v>
      </c>
      <c r="Q29" s="1181"/>
      <c r="R29" s="1181">
        <f t="shared" si="12"/>
        <v>0</v>
      </c>
      <c r="S29" s="1545">
        <f t="shared" si="13"/>
        <v>0</v>
      </c>
      <c r="T29" s="1545">
        <f t="shared" si="14"/>
        <v>0</v>
      </c>
      <c r="U29" s="1389">
        <f>'Table 5C1A-Madison Prep'!U29</f>
        <v>3473</v>
      </c>
      <c r="V29" s="1515">
        <f t="shared" si="15"/>
        <v>0</v>
      </c>
      <c r="W29" s="1391"/>
      <c r="X29" s="1392">
        <f t="shared" si="16"/>
        <v>0</v>
      </c>
      <c r="Y29" s="1391"/>
      <c r="Z29" s="1392">
        <f t="shared" si="17"/>
        <v>0</v>
      </c>
      <c r="AA29" s="1390">
        <f t="shared" si="18"/>
        <v>0</v>
      </c>
      <c r="AB29" s="1510">
        <f t="shared" si="19"/>
        <v>0</v>
      </c>
      <c r="AC29" s="1394">
        <f t="shared" si="20"/>
        <v>0</v>
      </c>
      <c r="AD29" s="1510">
        <f t="shared" si="21"/>
        <v>0</v>
      </c>
      <c r="AE29" s="1395">
        <v>0</v>
      </c>
      <c r="AF29" s="1510">
        <f t="shared" si="22"/>
        <v>0</v>
      </c>
      <c r="AG29" s="1395"/>
      <c r="AH29" s="1395">
        <f t="shared" si="23"/>
        <v>0</v>
      </c>
      <c r="AI29" s="1510">
        <f t="shared" si="24"/>
        <v>0</v>
      </c>
      <c r="AJ29" s="1505">
        <f t="shared" si="25"/>
        <v>0</v>
      </c>
      <c r="AK29" s="1535">
        <f t="shared" si="26"/>
        <v>0</v>
      </c>
    </row>
    <row r="30" spans="1:37" ht="16.2" customHeight="1">
      <c r="A30" s="1176">
        <v>24</v>
      </c>
      <c r="B30" s="1177" t="s">
        <v>104</v>
      </c>
      <c r="C30" s="1178">
        <v>0</v>
      </c>
      <c r="D30" s="1179">
        <f>+'Table 5C1A-Madison Prep'!D30</f>
        <v>2611.6740361576999</v>
      </c>
      <c r="E30" s="1180">
        <f t="shared" si="5"/>
        <v>0</v>
      </c>
      <c r="F30" s="1180">
        <f>+'Table 5C1A-Madison Prep'!F30</f>
        <v>854.24999999999989</v>
      </c>
      <c r="G30" s="1180">
        <f t="shared" si="6"/>
        <v>0</v>
      </c>
      <c r="H30" s="1539">
        <f t="shared" si="7"/>
        <v>0</v>
      </c>
      <c r="I30" s="1181"/>
      <c r="J30" s="1181"/>
      <c r="K30" s="1182">
        <f t="shared" si="8"/>
        <v>0</v>
      </c>
      <c r="L30" s="1539">
        <f t="shared" si="9"/>
        <v>0</v>
      </c>
      <c r="M30" s="1388">
        <f t="shared" si="4"/>
        <v>0</v>
      </c>
      <c r="N30" s="1539">
        <f t="shared" si="10"/>
        <v>0</v>
      </c>
      <c r="O30" s="1179">
        <v>0</v>
      </c>
      <c r="P30" s="1545">
        <f t="shared" si="11"/>
        <v>0</v>
      </c>
      <c r="Q30" s="1181"/>
      <c r="R30" s="1181">
        <f t="shared" si="12"/>
        <v>0</v>
      </c>
      <c r="S30" s="1545">
        <f t="shared" si="13"/>
        <v>0</v>
      </c>
      <c r="T30" s="1545">
        <f t="shared" si="14"/>
        <v>0</v>
      </c>
      <c r="U30" s="1389">
        <f>'Table 5C1A-Madison Prep'!U30</f>
        <v>10053</v>
      </c>
      <c r="V30" s="1515">
        <f t="shared" si="15"/>
        <v>0</v>
      </c>
      <c r="W30" s="1391"/>
      <c r="X30" s="1392">
        <f t="shared" si="16"/>
        <v>0</v>
      </c>
      <c r="Y30" s="1391"/>
      <c r="Z30" s="1392">
        <f t="shared" si="17"/>
        <v>0</v>
      </c>
      <c r="AA30" s="1390">
        <f t="shared" si="18"/>
        <v>0</v>
      </c>
      <c r="AB30" s="1510">
        <f t="shared" si="19"/>
        <v>0</v>
      </c>
      <c r="AC30" s="1394">
        <f t="shared" si="20"/>
        <v>0</v>
      </c>
      <c r="AD30" s="1510">
        <f t="shared" si="21"/>
        <v>0</v>
      </c>
      <c r="AE30" s="1395">
        <v>0</v>
      </c>
      <c r="AF30" s="1510">
        <f t="shared" si="22"/>
        <v>0</v>
      </c>
      <c r="AG30" s="1395"/>
      <c r="AH30" s="1395">
        <f t="shared" si="23"/>
        <v>0</v>
      </c>
      <c r="AI30" s="1510">
        <f t="shared" si="24"/>
        <v>0</v>
      </c>
      <c r="AJ30" s="1505">
        <f t="shared" si="25"/>
        <v>0</v>
      </c>
      <c r="AK30" s="1535">
        <f t="shared" si="26"/>
        <v>0</v>
      </c>
    </row>
    <row r="31" spans="1:37" ht="16.2" customHeight="1">
      <c r="A31" s="1168">
        <v>25</v>
      </c>
      <c r="B31" s="1169" t="s">
        <v>105</v>
      </c>
      <c r="C31" s="1170">
        <v>0</v>
      </c>
      <c r="D31" s="1171">
        <f>+'Table 5C1A-Madison Prep'!D31</f>
        <v>4173.0720274945697</v>
      </c>
      <c r="E31" s="1172">
        <f t="shared" si="5"/>
        <v>0</v>
      </c>
      <c r="F31" s="1172">
        <f>+'Table 5C1A-Madison Prep'!F31</f>
        <v>653.73</v>
      </c>
      <c r="G31" s="1172">
        <f t="shared" si="6"/>
        <v>0</v>
      </c>
      <c r="H31" s="1540">
        <f t="shared" si="7"/>
        <v>0</v>
      </c>
      <c r="I31" s="1173"/>
      <c r="J31" s="1173"/>
      <c r="K31" s="1174">
        <f t="shared" si="8"/>
        <v>0</v>
      </c>
      <c r="L31" s="1540">
        <f t="shared" si="9"/>
        <v>0</v>
      </c>
      <c r="M31" s="1399">
        <f t="shared" si="4"/>
        <v>0</v>
      </c>
      <c r="N31" s="1540">
        <f t="shared" si="10"/>
        <v>0</v>
      </c>
      <c r="O31" s="1171">
        <v>0</v>
      </c>
      <c r="P31" s="1546">
        <f t="shared" si="11"/>
        <v>0</v>
      </c>
      <c r="Q31" s="1173"/>
      <c r="R31" s="1173">
        <f t="shared" si="12"/>
        <v>0</v>
      </c>
      <c r="S31" s="1546">
        <f t="shared" si="13"/>
        <v>0</v>
      </c>
      <c r="T31" s="1546">
        <f t="shared" si="14"/>
        <v>0</v>
      </c>
      <c r="U31" s="1382">
        <f>'Table 5C1A-Madison Prep'!U31</f>
        <v>5073</v>
      </c>
      <c r="V31" s="1516">
        <f t="shared" si="15"/>
        <v>0</v>
      </c>
      <c r="W31" s="1400"/>
      <c r="X31" s="1383">
        <f t="shared" si="16"/>
        <v>0</v>
      </c>
      <c r="Y31" s="1400"/>
      <c r="Z31" s="1383">
        <f t="shared" si="17"/>
        <v>0</v>
      </c>
      <c r="AA31" s="1384">
        <f t="shared" si="18"/>
        <v>0</v>
      </c>
      <c r="AB31" s="1511">
        <f t="shared" si="19"/>
        <v>0</v>
      </c>
      <c r="AC31" s="1402">
        <f t="shared" si="20"/>
        <v>0</v>
      </c>
      <c r="AD31" s="1511">
        <f t="shared" si="21"/>
        <v>0</v>
      </c>
      <c r="AE31" s="1385">
        <v>0</v>
      </c>
      <c r="AF31" s="1511">
        <f t="shared" si="22"/>
        <v>0</v>
      </c>
      <c r="AG31" s="1385"/>
      <c r="AH31" s="1385">
        <f t="shared" si="23"/>
        <v>0</v>
      </c>
      <c r="AI31" s="1511">
        <f t="shared" si="24"/>
        <v>0</v>
      </c>
      <c r="AJ31" s="1531">
        <f t="shared" si="25"/>
        <v>0</v>
      </c>
      <c r="AK31" s="1536">
        <f t="shared" si="26"/>
        <v>0</v>
      </c>
    </row>
    <row r="32" spans="1:37" ht="16.2" customHeight="1">
      <c r="A32" s="1183">
        <v>26</v>
      </c>
      <c r="B32" s="1184" t="s">
        <v>106</v>
      </c>
      <c r="C32" s="1185">
        <v>0</v>
      </c>
      <c r="D32" s="1186">
        <f>+'Table 5C1A-Madison Prep'!D32</f>
        <v>3424.5649970570835</v>
      </c>
      <c r="E32" s="1187">
        <f t="shared" si="5"/>
        <v>0</v>
      </c>
      <c r="F32" s="1187">
        <f>+'Table 5C1A-Madison Prep'!F32</f>
        <v>836.83</v>
      </c>
      <c r="G32" s="1187">
        <f t="shared" si="6"/>
        <v>0</v>
      </c>
      <c r="H32" s="1538">
        <f t="shared" si="7"/>
        <v>0</v>
      </c>
      <c r="I32" s="1188"/>
      <c r="J32" s="1188"/>
      <c r="K32" s="1189">
        <f t="shared" si="8"/>
        <v>0</v>
      </c>
      <c r="L32" s="1538">
        <f t="shared" si="9"/>
        <v>0</v>
      </c>
      <c r="M32" s="1372">
        <f t="shared" si="4"/>
        <v>0</v>
      </c>
      <c r="N32" s="1538">
        <f t="shared" si="10"/>
        <v>0</v>
      </c>
      <c r="O32" s="1186">
        <v>0</v>
      </c>
      <c r="P32" s="1544">
        <f t="shared" si="11"/>
        <v>0</v>
      </c>
      <c r="Q32" s="1188"/>
      <c r="R32" s="1188">
        <f t="shared" si="12"/>
        <v>0</v>
      </c>
      <c r="S32" s="1544">
        <f t="shared" si="13"/>
        <v>0</v>
      </c>
      <c r="T32" s="1544">
        <f t="shared" si="14"/>
        <v>0</v>
      </c>
      <c r="U32" s="1373">
        <f>'Table 5C1A-Madison Prep'!U32</f>
        <v>5260</v>
      </c>
      <c r="V32" s="1514">
        <f t="shared" si="15"/>
        <v>0</v>
      </c>
      <c r="W32" s="1375"/>
      <c r="X32" s="1376">
        <f t="shared" si="16"/>
        <v>0</v>
      </c>
      <c r="Y32" s="1375"/>
      <c r="Z32" s="1376">
        <f t="shared" si="17"/>
        <v>0</v>
      </c>
      <c r="AA32" s="1374">
        <f t="shared" si="18"/>
        <v>0</v>
      </c>
      <c r="AB32" s="1509">
        <f t="shared" si="19"/>
        <v>0</v>
      </c>
      <c r="AC32" s="1378">
        <f t="shared" si="20"/>
        <v>0</v>
      </c>
      <c r="AD32" s="1509">
        <f t="shared" si="21"/>
        <v>0</v>
      </c>
      <c r="AE32" s="1379">
        <v>0</v>
      </c>
      <c r="AF32" s="1509">
        <f t="shared" si="22"/>
        <v>0</v>
      </c>
      <c r="AG32" s="1379"/>
      <c r="AH32" s="1379">
        <f t="shared" si="23"/>
        <v>0</v>
      </c>
      <c r="AI32" s="1509">
        <f t="shared" si="24"/>
        <v>0</v>
      </c>
      <c r="AJ32" s="1530">
        <f t="shared" si="25"/>
        <v>0</v>
      </c>
      <c r="AK32" s="1534">
        <f t="shared" si="26"/>
        <v>0</v>
      </c>
    </row>
    <row r="33" spans="1:37" ht="16.2" customHeight="1">
      <c r="A33" s="1176">
        <v>27</v>
      </c>
      <c r="B33" s="1177" t="s">
        <v>107</v>
      </c>
      <c r="C33" s="1178">
        <v>0</v>
      </c>
      <c r="D33" s="1179">
        <f>+'Table 5C1A-Madison Prep'!D33</f>
        <v>5804.9013839977006</v>
      </c>
      <c r="E33" s="1180">
        <f t="shared" si="5"/>
        <v>0</v>
      </c>
      <c r="F33" s="1180">
        <f>+'Table 5C1A-Madison Prep'!F33</f>
        <v>693.06</v>
      </c>
      <c r="G33" s="1180">
        <f t="shared" si="6"/>
        <v>0</v>
      </c>
      <c r="H33" s="1539">
        <f t="shared" si="7"/>
        <v>0</v>
      </c>
      <c r="I33" s="1181"/>
      <c r="J33" s="1181"/>
      <c r="K33" s="1182">
        <f t="shared" si="8"/>
        <v>0</v>
      </c>
      <c r="L33" s="1539">
        <f t="shared" si="9"/>
        <v>0</v>
      </c>
      <c r="M33" s="1388">
        <f t="shared" si="4"/>
        <v>0</v>
      </c>
      <c r="N33" s="1539">
        <f t="shared" si="10"/>
        <v>0</v>
      </c>
      <c r="O33" s="1179">
        <v>0</v>
      </c>
      <c r="P33" s="1545">
        <f t="shared" si="11"/>
        <v>0</v>
      </c>
      <c r="Q33" s="1181"/>
      <c r="R33" s="1181">
        <f t="shared" si="12"/>
        <v>0</v>
      </c>
      <c r="S33" s="1545">
        <f t="shared" si="13"/>
        <v>0</v>
      </c>
      <c r="T33" s="1545">
        <f t="shared" si="14"/>
        <v>0</v>
      </c>
      <c r="U33" s="1389">
        <f>'Table 5C1A-Madison Prep'!U33</f>
        <v>3169</v>
      </c>
      <c r="V33" s="1515">
        <f t="shared" si="15"/>
        <v>0</v>
      </c>
      <c r="W33" s="1391"/>
      <c r="X33" s="1392">
        <f t="shared" si="16"/>
        <v>0</v>
      </c>
      <c r="Y33" s="1391"/>
      <c r="Z33" s="1392">
        <f t="shared" si="17"/>
        <v>0</v>
      </c>
      <c r="AA33" s="1390">
        <f t="shared" si="18"/>
        <v>0</v>
      </c>
      <c r="AB33" s="1510">
        <f t="shared" si="19"/>
        <v>0</v>
      </c>
      <c r="AC33" s="1394">
        <f t="shared" si="20"/>
        <v>0</v>
      </c>
      <c r="AD33" s="1510">
        <f t="shared" si="21"/>
        <v>0</v>
      </c>
      <c r="AE33" s="1395">
        <v>0</v>
      </c>
      <c r="AF33" s="1510">
        <f t="shared" si="22"/>
        <v>0</v>
      </c>
      <c r="AG33" s="1395"/>
      <c r="AH33" s="1395">
        <f t="shared" si="23"/>
        <v>0</v>
      </c>
      <c r="AI33" s="1510">
        <f t="shared" si="24"/>
        <v>0</v>
      </c>
      <c r="AJ33" s="1505">
        <f t="shared" si="25"/>
        <v>0</v>
      </c>
      <c r="AK33" s="1535">
        <f t="shared" si="26"/>
        <v>0</v>
      </c>
    </row>
    <row r="34" spans="1:37" ht="16.2" customHeight="1">
      <c r="A34" s="1176">
        <v>28</v>
      </c>
      <c r="B34" s="1177" t="s">
        <v>108</v>
      </c>
      <c r="C34" s="1178">
        <v>0</v>
      </c>
      <c r="D34" s="1179">
        <f>+'Table 5C1A-Madison Prep'!D34</f>
        <v>3137.4158846568821</v>
      </c>
      <c r="E34" s="1180">
        <f t="shared" si="5"/>
        <v>0</v>
      </c>
      <c r="F34" s="1180">
        <f>+'Table 5C1A-Madison Prep'!F34</f>
        <v>694.4</v>
      </c>
      <c r="G34" s="1180">
        <f t="shared" si="6"/>
        <v>0</v>
      </c>
      <c r="H34" s="1539">
        <f t="shared" si="7"/>
        <v>0</v>
      </c>
      <c r="I34" s="1181"/>
      <c r="J34" s="1181"/>
      <c r="K34" s="1182">
        <f t="shared" si="8"/>
        <v>0</v>
      </c>
      <c r="L34" s="1539">
        <f t="shared" si="9"/>
        <v>0</v>
      </c>
      <c r="M34" s="1388">
        <f t="shared" si="4"/>
        <v>0</v>
      </c>
      <c r="N34" s="1539">
        <f t="shared" si="10"/>
        <v>0</v>
      </c>
      <c r="O34" s="1179">
        <v>0</v>
      </c>
      <c r="P34" s="1545">
        <f t="shared" si="11"/>
        <v>0</v>
      </c>
      <c r="Q34" s="1181"/>
      <c r="R34" s="1181">
        <f t="shared" si="12"/>
        <v>0</v>
      </c>
      <c r="S34" s="1545">
        <f t="shared" si="13"/>
        <v>0</v>
      </c>
      <c r="T34" s="1545">
        <f t="shared" si="14"/>
        <v>0</v>
      </c>
      <c r="U34" s="1389">
        <f>'Table 5C1A-Madison Prep'!U34</f>
        <v>5790</v>
      </c>
      <c r="V34" s="1515">
        <f t="shared" si="15"/>
        <v>0</v>
      </c>
      <c r="W34" s="1391"/>
      <c r="X34" s="1392">
        <f t="shared" si="16"/>
        <v>0</v>
      </c>
      <c r="Y34" s="1391"/>
      <c r="Z34" s="1392">
        <f t="shared" si="17"/>
        <v>0</v>
      </c>
      <c r="AA34" s="1390">
        <f t="shared" si="18"/>
        <v>0</v>
      </c>
      <c r="AB34" s="1510">
        <f t="shared" si="19"/>
        <v>0</v>
      </c>
      <c r="AC34" s="1394">
        <f t="shared" si="20"/>
        <v>0</v>
      </c>
      <c r="AD34" s="1510">
        <f t="shared" si="21"/>
        <v>0</v>
      </c>
      <c r="AE34" s="1395">
        <v>0</v>
      </c>
      <c r="AF34" s="1510">
        <f t="shared" si="22"/>
        <v>0</v>
      </c>
      <c r="AG34" s="1395"/>
      <c r="AH34" s="1395">
        <f t="shared" si="23"/>
        <v>0</v>
      </c>
      <c r="AI34" s="1510">
        <f t="shared" si="24"/>
        <v>0</v>
      </c>
      <c r="AJ34" s="1505">
        <f t="shared" si="25"/>
        <v>0</v>
      </c>
      <c r="AK34" s="1535">
        <f t="shared" si="26"/>
        <v>0</v>
      </c>
    </row>
    <row r="35" spans="1:37" ht="16.2" customHeight="1">
      <c r="A35" s="1176">
        <v>29</v>
      </c>
      <c r="B35" s="1177" t="s">
        <v>109</v>
      </c>
      <c r="C35" s="1178">
        <v>0</v>
      </c>
      <c r="D35" s="1179">
        <f>+'Table 5C1A-Madison Prep'!D35</f>
        <v>3839.0123210173724</v>
      </c>
      <c r="E35" s="1180">
        <f t="shared" si="5"/>
        <v>0</v>
      </c>
      <c r="F35" s="1180">
        <f>+'Table 5C1A-Madison Prep'!F35</f>
        <v>754.94999999999993</v>
      </c>
      <c r="G35" s="1180">
        <f t="shared" si="6"/>
        <v>0</v>
      </c>
      <c r="H35" s="1539">
        <f t="shared" si="7"/>
        <v>0</v>
      </c>
      <c r="I35" s="1181"/>
      <c r="J35" s="1181"/>
      <c r="K35" s="1182">
        <f t="shared" si="8"/>
        <v>0</v>
      </c>
      <c r="L35" s="1539">
        <f t="shared" si="9"/>
        <v>0</v>
      </c>
      <c r="M35" s="1388">
        <f t="shared" si="4"/>
        <v>0</v>
      </c>
      <c r="N35" s="1539">
        <f t="shared" si="10"/>
        <v>0</v>
      </c>
      <c r="O35" s="1179">
        <v>0</v>
      </c>
      <c r="P35" s="1545">
        <f t="shared" si="11"/>
        <v>0</v>
      </c>
      <c r="Q35" s="1181"/>
      <c r="R35" s="1181">
        <f t="shared" si="12"/>
        <v>0</v>
      </c>
      <c r="S35" s="1545">
        <f t="shared" si="13"/>
        <v>0</v>
      </c>
      <c r="T35" s="1545">
        <f t="shared" si="14"/>
        <v>0</v>
      </c>
      <c r="U35" s="1389">
        <f>'Table 5C1A-Madison Prep'!U35</f>
        <v>5069</v>
      </c>
      <c r="V35" s="1515">
        <f t="shared" si="15"/>
        <v>0</v>
      </c>
      <c r="W35" s="1391"/>
      <c r="X35" s="1392">
        <f t="shared" si="16"/>
        <v>0</v>
      </c>
      <c r="Y35" s="1391"/>
      <c r="Z35" s="1392">
        <f t="shared" si="17"/>
        <v>0</v>
      </c>
      <c r="AA35" s="1390">
        <f t="shared" si="18"/>
        <v>0</v>
      </c>
      <c r="AB35" s="1510">
        <f t="shared" si="19"/>
        <v>0</v>
      </c>
      <c r="AC35" s="1394">
        <f t="shared" si="20"/>
        <v>0</v>
      </c>
      <c r="AD35" s="1510">
        <f t="shared" si="21"/>
        <v>0</v>
      </c>
      <c r="AE35" s="1395">
        <v>0</v>
      </c>
      <c r="AF35" s="1510">
        <f t="shared" si="22"/>
        <v>0</v>
      </c>
      <c r="AG35" s="1395"/>
      <c r="AH35" s="1395">
        <f t="shared" si="23"/>
        <v>0</v>
      </c>
      <c r="AI35" s="1510">
        <f t="shared" si="24"/>
        <v>0</v>
      </c>
      <c r="AJ35" s="1505">
        <f t="shared" si="25"/>
        <v>0</v>
      </c>
      <c r="AK35" s="1535">
        <f t="shared" si="26"/>
        <v>0</v>
      </c>
    </row>
    <row r="36" spans="1:37" ht="16.2" customHeight="1">
      <c r="A36" s="1168">
        <v>30</v>
      </c>
      <c r="B36" s="1169" t="s">
        <v>110</v>
      </c>
      <c r="C36" s="1170">
        <v>0</v>
      </c>
      <c r="D36" s="1171">
        <f>+'Table 5C1A-Madison Prep'!D36</f>
        <v>5804.5327273996763</v>
      </c>
      <c r="E36" s="1172">
        <f t="shared" si="5"/>
        <v>0</v>
      </c>
      <c r="F36" s="1172">
        <f>+'Table 5C1A-Madison Prep'!F36</f>
        <v>727.17</v>
      </c>
      <c r="G36" s="1172">
        <f t="shared" si="6"/>
        <v>0</v>
      </c>
      <c r="H36" s="1540">
        <f t="shared" si="7"/>
        <v>0</v>
      </c>
      <c r="I36" s="1173"/>
      <c r="J36" s="1173"/>
      <c r="K36" s="1174">
        <f t="shared" si="8"/>
        <v>0</v>
      </c>
      <c r="L36" s="1540">
        <f t="shared" si="9"/>
        <v>0</v>
      </c>
      <c r="M36" s="1399">
        <f t="shared" si="4"/>
        <v>0</v>
      </c>
      <c r="N36" s="1540">
        <f t="shared" si="10"/>
        <v>0</v>
      </c>
      <c r="O36" s="1171">
        <v>0</v>
      </c>
      <c r="P36" s="1546">
        <f t="shared" si="11"/>
        <v>0</v>
      </c>
      <c r="Q36" s="1173"/>
      <c r="R36" s="1173">
        <f t="shared" si="12"/>
        <v>0</v>
      </c>
      <c r="S36" s="1546">
        <f t="shared" si="13"/>
        <v>0</v>
      </c>
      <c r="T36" s="1546">
        <f t="shared" si="14"/>
        <v>0</v>
      </c>
      <c r="U36" s="1382">
        <f>'Table 5C1A-Madison Prep'!U36</f>
        <v>3609</v>
      </c>
      <c r="V36" s="1516">
        <f t="shared" si="15"/>
        <v>0</v>
      </c>
      <c r="W36" s="1400"/>
      <c r="X36" s="1383">
        <f t="shared" si="16"/>
        <v>0</v>
      </c>
      <c r="Y36" s="1400"/>
      <c r="Z36" s="1383">
        <f t="shared" si="17"/>
        <v>0</v>
      </c>
      <c r="AA36" s="1384">
        <f t="shared" si="18"/>
        <v>0</v>
      </c>
      <c r="AB36" s="1511">
        <f t="shared" si="19"/>
        <v>0</v>
      </c>
      <c r="AC36" s="1402">
        <f t="shared" si="20"/>
        <v>0</v>
      </c>
      <c r="AD36" s="1511">
        <f t="shared" si="21"/>
        <v>0</v>
      </c>
      <c r="AE36" s="1385">
        <v>0</v>
      </c>
      <c r="AF36" s="1511">
        <f t="shared" si="22"/>
        <v>0</v>
      </c>
      <c r="AG36" s="1385"/>
      <c r="AH36" s="1385">
        <f t="shared" si="23"/>
        <v>0</v>
      </c>
      <c r="AI36" s="1511">
        <f t="shared" si="24"/>
        <v>0</v>
      </c>
      <c r="AJ36" s="1531">
        <f t="shared" si="25"/>
        <v>0</v>
      </c>
      <c r="AK36" s="1536">
        <f t="shared" si="26"/>
        <v>0</v>
      </c>
    </row>
    <row r="37" spans="1:37" ht="16.2" customHeight="1">
      <c r="A37" s="1183">
        <v>31</v>
      </c>
      <c r="B37" s="1184" t="s">
        <v>111</v>
      </c>
      <c r="C37" s="1185">
        <v>0</v>
      </c>
      <c r="D37" s="1186">
        <f>+'Table 5C1A-Madison Prep'!D37</f>
        <v>4520.6176716868531</v>
      </c>
      <c r="E37" s="1187">
        <f t="shared" si="5"/>
        <v>0</v>
      </c>
      <c r="F37" s="1187">
        <f>+'Table 5C1A-Madison Prep'!F37</f>
        <v>620.83000000000004</v>
      </c>
      <c r="G37" s="1187">
        <f t="shared" si="6"/>
        <v>0</v>
      </c>
      <c r="H37" s="1538">
        <f t="shared" si="7"/>
        <v>0</v>
      </c>
      <c r="I37" s="1188"/>
      <c r="J37" s="1188"/>
      <c r="K37" s="1189">
        <f t="shared" si="8"/>
        <v>0</v>
      </c>
      <c r="L37" s="1538">
        <f t="shared" si="9"/>
        <v>0</v>
      </c>
      <c r="M37" s="1372">
        <f t="shared" si="4"/>
        <v>0</v>
      </c>
      <c r="N37" s="1538">
        <f t="shared" si="10"/>
        <v>0</v>
      </c>
      <c r="O37" s="1186">
        <v>0</v>
      </c>
      <c r="P37" s="1544">
        <f t="shared" si="11"/>
        <v>0</v>
      </c>
      <c r="Q37" s="1188"/>
      <c r="R37" s="1188">
        <f t="shared" si="12"/>
        <v>0</v>
      </c>
      <c r="S37" s="1544">
        <f t="shared" si="13"/>
        <v>0</v>
      </c>
      <c r="T37" s="1544">
        <f t="shared" si="14"/>
        <v>0</v>
      </c>
      <c r="U37" s="1373">
        <f>'Table 5C1A-Madison Prep'!U37</f>
        <v>5043</v>
      </c>
      <c r="V37" s="1514">
        <f t="shared" si="15"/>
        <v>0</v>
      </c>
      <c r="W37" s="1375"/>
      <c r="X37" s="1376">
        <f t="shared" si="16"/>
        <v>0</v>
      </c>
      <c r="Y37" s="1375"/>
      <c r="Z37" s="1376">
        <f t="shared" si="17"/>
        <v>0</v>
      </c>
      <c r="AA37" s="1374">
        <f t="shared" si="18"/>
        <v>0</v>
      </c>
      <c r="AB37" s="1509">
        <f t="shared" si="19"/>
        <v>0</v>
      </c>
      <c r="AC37" s="1378">
        <f t="shared" si="20"/>
        <v>0</v>
      </c>
      <c r="AD37" s="1509">
        <f t="shared" si="21"/>
        <v>0</v>
      </c>
      <c r="AE37" s="1379">
        <v>0</v>
      </c>
      <c r="AF37" s="1509">
        <f t="shared" si="22"/>
        <v>0</v>
      </c>
      <c r="AG37" s="1379"/>
      <c r="AH37" s="1379">
        <f t="shared" si="23"/>
        <v>0</v>
      </c>
      <c r="AI37" s="1509">
        <f t="shared" si="24"/>
        <v>0</v>
      </c>
      <c r="AJ37" s="1530">
        <f t="shared" si="25"/>
        <v>0</v>
      </c>
      <c r="AK37" s="1534">
        <f t="shared" si="26"/>
        <v>0</v>
      </c>
    </row>
    <row r="38" spans="1:37" ht="16.2" customHeight="1">
      <c r="A38" s="1176">
        <v>32</v>
      </c>
      <c r="B38" s="1177" t="s">
        <v>112</v>
      </c>
      <c r="C38" s="1178">
        <v>0</v>
      </c>
      <c r="D38" s="1179">
        <f>+'Table 5C1A-Madison Prep'!D38</f>
        <v>5652.819189061127</v>
      </c>
      <c r="E38" s="1180">
        <f t="shared" si="5"/>
        <v>0</v>
      </c>
      <c r="F38" s="1180">
        <f>+'Table 5C1A-Madison Prep'!F38</f>
        <v>559.77</v>
      </c>
      <c r="G38" s="1180">
        <f t="shared" si="6"/>
        <v>0</v>
      </c>
      <c r="H38" s="1539">
        <f t="shared" si="7"/>
        <v>0</v>
      </c>
      <c r="I38" s="1181"/>
      <c r="J38" s="1181"/>
      <c r="K38" s="1182">
        <f t="shared" si="8"/>
        <v>0</v>
      </c>
      <c r="L38" s="1539">
        <f t="shared" si="9"/>
        <v>0</v>
      </c>
      <c r="M38" s="1388">
        <f t="shared" si="4"/>
        <v>0</v>
      </c>
      <c r="N38" s="1539">
        <f t="shared" si="10"/>
        <v>0</v>
      </c>
      <c r="O38" s="1179">
        <v>0</v>
      </c>
      <c r="P38" s="1545">
        <f t="shared" si="11"/>
        <v>0</v>
      </c>
      <c r="Q38" s="1181"/>
      <c r="R38" s="1181">
        <f t="shared" si="12"/>
        <v>0</v>
      </c>
      <c r="S38" s="1545">
        <f t="shared" si="13"/>
        <v>0</v>
      </c>
      <c r="T38" s="1545">
        <f t="shared" si="14"/>
        <v>0</v>
      </c>
      <c r="U38" s="1389">
        <f>'Table 5C1A-Madison Prep'!U38</f>
        <v>2121</v>
      </c>
      <c r="V38" s="1515">
        <f t="shared" si="15"/>
        <v>0</v>
      </c>
      <c r="W38" s="1391"/>
      <c r="X38" s="1392">
        <f t="shared" si="16"/>
        <v>0</v>
      </c>
      <c r="Y38" s="1391"/>
      <c r="Z38" s="1392">
        <f t="shared" si="17"/>
        <v>0</v>
      </c>
      <c r="AA38" s="1390">
        <f t="shared" si="18"/>
        <v>0</v>
      </c>
      <c r="AB38" s="1510">
        <f t="shared" si="19"/>
        <v>0</v>
      </c>
      <c r="AC38" s="1394">
        <f t="shared" si="20"/>
        <v>0</v>
      </c>
      <c r="AD38" s="1510">
        <f t="shared" si="21"/>
        <v>0</v>
      </c>
      <c r="AE38" s="1395">
        <v>0</v>
      </c>
      <c r="AF38" s="1510">
        <f t="shared" si="22"/>
        <v>0</v>
      </c>
      <c r="AG38" s="1395"/>
      <c r="AH38" s="1395">
        <f t="shared" si="23"/>
        <v>0</v>
      </c>
      <c r="AI38" s="1510">
        <f t="shared" si="24"/>
        <v>0</v>
      </c>
      <c r="AJ38" s="1505">
        <f t="shared" si="25"/>
        <v>0</v>
      </c>
      <c r="AK38" s="1535">
        <f t="shared" si="26"/>
        <v>0</v>
      </c>
    </row>
    <row r="39" spans="1:37" ht="16.2" customHeight="1">
      <c r="A39" s="1176">
        <v>33</v>
      </c>
      <c r="B39" s="1177" t="s">
        <v>113</v>
      </c>
      <c r="C39" s="1178">
        <v>0</v>
      </c>
      <c r="D39" s="1179">
        <f>+'Table 5C1A-Madison Prep'!D39</f>
        <v>5456.2254558085233</v>
      </c>
      <c r="E39" s="1180">
        <f t="shared" si="5"/>
        <v>0</v>
      </c>
      <c r="F39" s="1180">
        <f>+'Table 5C1A-Madison Prep'!F39</f>
        <v>655.31000000000006</v>
      </c>
      <c r="G39" s="1180">
        <f t="shared" si="6"/>
        <v>0</v>
      </c>
      <c r="H39" s="1539">
        <f t="shared" si="7"/>
        <v>0</v>
      </c>
      <c r="I39" s="1181"/>
      <c r="J39" s="1181"/>
      <c r="K39" s="1182">
        <f t="shared" si="8"/>
        <v>0</v>
      </c>
      <c r="L39" s="1539">
        <f t="shared" si="9"/>
        <v>0</v>
      </c>
      <c r="M39" s="1388">
        <f t="shared" si="4"/>
        <v>0</v>
      </c>
      <c r="N39" s="1539">
        <f t="shared" si="10"/>
        <v>0</v>
      </c>
      <c r="O39" s="1179">
        <v>0</v>
      </c>
      <c r="P39" s="1545">
        <f t="shared" si="11"/>
        <v>0</v>
      </c>
      <c r="Q39" s="1181"/>
      <c r="R39" s="1181">
        <f t="shared" si="12"/>
        <v>0</v>
      </c>
      <c r="S39" s="1545">
        <f t="shared" si="13"/>
        <v>0</v>
      </c>
      <c r="T39" s="1545">
        <f t="shared" si="14"/>
        <v>0</v>
      </c>
      <c r="U39" s="1389">
        <f>'Table 5C1A-Madison Prep'!U39</f>
        <v>3616</v>
      </c>
      <c r="V39" s="1515">
        <f t="shared" si="15"/>
        <v>0</v>
      </c>
      <c r="W39" s="1391"/>
      <c r="X39" s="1392">
        <f t="shared" si="16"/>
        <v>0</v>
      </c>
      <c r="Y39" s="1391"/>
      <c r="Z39" s="1392">
        <f t="shared" si="17"/>
        <v>0</v>
      </c>
      <c r="AA39" s="1390">
        <f t="shared" si="18"/>
        <v>0</v>
      </c>
      <c r="AB39" s="1510">
        <f t="shared" si="19"/>
        <v>0</v>
      </c>
      <c r="AC39" s="1394">
        <f t="shared" si="20"/>
        <v>0</v>
      </c>
      <c r="AD39" s="1510">
        <f t="shared" si="21"/>
        <v>0</v>
      </c>
      <c r="AE39" s="1395">
        <v>0</v>
      </c>
      <c r="AF39" s="1510">
        <f t="shared" si="22"/>
        <v>0</v>
      </c>
      <c r="AG39" s="1395"/>
      <c r="AH39" s="1395">
        <f t="shared" si="23"/>
        <v>0</v>
      </c>
      <c r="AI39" s="1510">
        <f t="shared" si="24"/>
        <v>0</v>
      </c>
      <c r="AJ39" s="1505">
        <f t="shared" si="25"/>
        <v>0</v>
      </c>
      <c r="AK39" s="1535">
        <f t="shared" si="26"/>
        <v>0</v>
      </c>
    </row>
    <row r="40" spans="1:37" ht="16.2" customHeight="1">
      <c r="A40" s="1176">
        <v>34</v>
      </c>
      <c r="B40" s="1177" t="s">
        <v>114</v>
      </c>
      <c r="C40" s="1178">
        <v>0</v>
      </c>
      <c r="D40" s="1179">
        <f>+'Table 5C1A-Madison Prep'!D40</f>
        <v>6292.0976842789005</v>
      </c>
      <c r="E40" s="1180">
        <f t="shared" si="5"/>
        <v>0</v>
      </c>
      <c r="F40" s="1180">
        <f>+'Table 5C1A-Madison Prep'!F40</f>
        <v>644.11000000000013</v>
      </c>
      <c r="G40" s="1180">
        <f t="shared" si="6"/>
        <v>0</v>
      </c>
      <c r="H40" s="1539">
        <f t="shared" si="7"/>
        <v>0</v>
      </c>
      <c r="I40" s="1181"/>
      <c r="J40" s="1181"/>
      <c r="K40" s="1182">
        <f t="shared" si="8"/>
        <v>0</v>
      </c>
      <c r="L40" s="1539">
        <f t="shared" si="9"/>
        <v>0</v>
      </c>
      <c r="M40" s="1388">
        <f t="shared" si="4"/>
        <v>0</v>
      </c>
      <c r="N40" s="1539">
        <f t="shared" si="10"/>
        <v>0</v>
      </c>
      <c r="O40" s="1179">
        <v>0</v>
      </c>
      <c r="P40" s="1545">
        <f t="shared" si="11"/>
        <v>0</v>
      </c>
      <c r="Q40" s="1181"/>
      <c r="R40" s="1181">
        <f t="shared" si="12"/>
        <v>0</v>
      </c>
      <c r="S40" s="1545">
        <f t="shared" si="13"/>
        <v>0</v>
      </c>
      <c r="T40" s="1545">
        <f t="shared" si="14"/>
        <v>0</v>
      </c>
      <c r="U40" s="1389">
        <f>'Table 5C1A-Madison Prep'!U40</f>
        <v>2721</v>
      </c>
      <c r="V40" s="1515">
        <f t="shared" si="15"/>
        <v>0</v>
      </c>
      <c r="W40" s="1391"/>
      <c r="X40" s="1392">
        <f t="shared" si="16"/>
        <v>0</v>
      </c>
      <c r="Y40" s="1391"/>
      <c r="Z40" s="1392">
        <f t="shared" si="17"/>
        <v>0</v>
      </c>
      <c r="AA40" s="1390">
        <f t="shared" si="18"/>
        <v>0</v>
      </c>
      <c r="AB40" s="1510">
        <f t="shared" si="19"/>
        <v>0</v>
      </c>
      <c r="AC40" s="1394">
        <f t="shared" si="20"/>
        <v>0</v>
      </c>
      <c r="AD40" s="1510">
        <f t="shared" si="21"/>
        <v>0</v>
      </c>
      <c r="AE40" s="1395">
        <v>0</v>
      </c>
      <c r="AF40" s="1510">
        <f t="shared" si="22"/>
        <v>0</v>
      </c>
      <c r="AG40" s="1395"/>
      <c r="AH40" s="1395">
        <f t="shared" si="23"/>
        <v>0</v>
      </c>
      <c r="AI40" s="1510">
        <f t="shared" si="24"/>
        <v>0</v>
      </c>
      <c r="AJ40" s="1505">
        <f t="shared" si="25"/>
        <v>0</v>
      </c>
      <c r="AK40" s="1535">
        <f t="shared" si="26"/>
        <v>0</v>
      </c>
    </row>
    <row r="41" spans="1:37" ht="16.2" customHeight="1">
      <c r="A41" s="1168">
        <v>35</v>
      </c>
      <c r="B41" s="1169" t="s">
        <v>115</v>
      </c>
      <c r="C41" s="1170">
        <v>0</v>
      </c>
      <c r="D41" s="1171">
        <f>+'Table 5C1A-Madison Prep'!D41</f>
        <v>5166.2482060477605</v>
      </c>
      <c r="E41" s="1172">
        <f t="shared" si="5"/>
        <v>0</v>
      </c>
      <c r="F41" s="1172">
        <f>+'Table 5C1A-Madison Prep'!F41</f>
        <v>537.96</v>
      </c>
      <c r="G41" s="1172">
        <f t="shared" si="6"/>
        <v>0</v>
      </c>
      <c r="H41" s="1540">
        <f t="shared" si="7"/>
        <v>0</v>
      </c>
      <c r="I41" s="1173"/>
      <c r="J41" s="1173"/>
      <c r="K41" s="1174">
        <f t="shared" si="8"/>
        <v>0</v>
      </c>
      <c r="L41" s="1540">
        <f t="shared" si="9"/>
        <v>0</v>
      </c>
      <c r="M41" s="1399">
        <f t="shared" si="4"/>
        <v>0</v>
      </c>
      <c r="N41" s="1540">
        <f t="shared" si="10"/>
        <v>0</v>
      </c>
      <c r="O41" s="1171">
        <v>0</v>
      </c>
      <c r="P41" s="1546">
        <f t="shared" si="11"/>
        <v>0</v>
      </c>
      <c r="Q41" s="1173"/>
      <c r="R41" s="1173">
        <f t="shared" si="12"/>
        <v>0</v>
      </c>
      <c r="S41" s="1546">
        <f t="shared" si="13"/>
        <v>0</v>
      </c>
      <c r="T41" s="1546">
        <f t="shared" si="14"/>
        <v>0</v>
      </c>
      <c r="U41" s="1382">
        <f>'Table 5C1A-Madison Prep'!U41</f>
        <v>3255</v>
      </c>
      <c r="V41" s="1516">
        <f t="shared" si="15"/>
        <v>0</v>
      </c>
      <c r="W41" s="1400"/>
      <c r="X41" s="1383">
        <f t="shared" si="16"/>
        <v>0</v>
      </c>
      <c r="Y41" s="1400"/>
      <c r="Z41" s="1383">
        <f t="shared" si="17"/>
        <v>0</v>
      </c>
      <c r="AA41" s="1384">
        <f t="shared" si="18"/>
        <v>0</v>
      </c>
      <c r="AB41" s="1511">
        <f t="shared" si="19"/>
        <v>0</v>
      </c>
      <c r="AC41" s="1402">
        <f t="shared" si="20"/>
        <v>0</v>
      </c>
      <c r="AD41" s="1511">
        <f t="shared" si="21"/>
        <v>0</v>
      </c>
      <c r="AE41" s="1385">
        <v>0</v>
      </c>
      <c r="AF41" s="1511">
        <f t="shared" si="22"/>
        <v>0</v>
      </c>
      <c r="AG41" s="1385"/>
      <c r="AH41" s="1385">
        <f t="shared" si="23"/>
        <v>0</v>
      </c>
      <c r="AI41" s="1511">
        <f t="shared" si="24"/>
        <v>0</v>
      </c>
      <c r="AJ41" s="1531">
        <f t="shared" si="25"/>
        <v>0</v>
      </c>
      <c r="AK41" s="1536">
        <f t="shared" si="26"/>
        <v>0</v>
      </c>
    </row>
    <row r="42" spans="1:37" ht="16.2" customHeight="1">
      <c r="A42" s="1183">
        <v>36</v>
      </c>
      <c r="B42" s="1184" t="s">
        <v>116</v>
      </c>
      <c r="C42" s="1185">
        <v>0</v>
      </c>
      <c r="D42" s="1186">
        <f>+'Table 5C1A-Madison Prep'!D42</f>
        <v>3602.7009974327857</v>
      </c>
      <c r="E42" s="1187">
        <f t="shared" si="5"/>
        <v>0</v>
      </c>
      <c r="F42" s="1187">
        <f>+'Table 5C1A-Madison Prep'!F42</f>
        <v>746.0335616438357</v>
      </c>
      <c r="G42" s="1187">
        <f t="shared" si="6"/>
        <v>0</v>
      </c>
      <c r="H42" s="1538">
        <f t="shared" si="7"/>
        <v>0</v>
      </c>
      <c r="I42" s="1188"/>
      <c r="J42" s="1188"/>
      <c r="K42" s="1189">
        <f t="shared" si="8"/>
        <v>0</v>
      </c>
      <c r="L42" s="1538">
        <f t="shared" si="9"/>
        <v>0</v>
      </c>
      <c r="M42" s="1372">
        <f t="shared" si="4"/>
        <v>0</v>
      </c>
      <c r="N42" s="1538">
        <f t="shared" si="10"/>
        <v>0</v>
      </c>
      <c r="O42" s="1186">
        <v>0</v>
      </c>
      <c r="P42" s="1544">
        <f t="shared" si="11"/>
        <v>0</v>
      </c>
      <c r="Q42" s="1188"/>
      <c r="R42" s="1188">
        <f t="shared" si="12"/>
        <v>0</v>
      </c>
      <c r="S42" s="1544">
        <f t="shared" si="13"/>
        <v>0</v>
      </c>
      <c r="T42" s="1544">
        <f t="shared" si="14"/>
        <v>0</v>
      </c>
      <c r="U42" s="1373">
        <f>'Table 5C1A-Madison Prep'!U42</f>
        <v>5435</v>
      </c>
      <c r="V42" s="1514">
        <f t="shared" si="15"/>
        <v>0</v>
      </c>
      <c r="W42" s="1375"/>
      <c r="X42" s="1376">
        <f t="shared" si="16"/>
        <v>0</v>
      </c>
      <c r="Y42" s="1375"/>
      <c r="Z42" s="1376">
        <f t="shared" si="17"/>
        <v>0</v>
      </c>
      <c r="AA42" s="1374">
        <f t="shared" si="18"/>
        <v>0</v>
      </c>
      <c r="AB42" s="1509">
        <f t="shared" si="19"/>
        <v>0</v>
      </c>
      <c r="AC42" s="1378">
        <f t="shared" si="20"/>
        <v>0</v>
      </c>
      <c r="AD42" s="1509">
        <f t="shared" si="21"/>
        <v>0</v>
      </c>
      <c r="AE42" s="1379">
        <v>0</v>
      </c>
      <c r="AF42" s="1509">
        <f t="shared" si="22"/>
        <v>0</v>
      </c>
      <c r="AG42" s="1379"/>
      <c r="AH42" s="1379">
        <f t="shared" si="23"/>
        <v>0</v>
      </c>
      <c r="AI42" s="1509">
        <f t="shared" si="24"/>
        <v>0</v>
      </c>
      <c r="AJ42" s="1530">
        <f t="shared" si="25"/>
        <v>0</v>
      </c>
      <c r="AK42" s="1534">
        <f t="shared" si="26"/>
        <v>0</v>
      </c>
    </row>
    <row r="43" spans="1:37" ht="16.2" customHeight="1">
      <c r="A43" s="1176">
        <v>37</v>
      </c>
      <c r="B43" s="1177" t="s">
        <v>117</v>
      </c>
      <c r="C43" s="1178">
        <v>0</v>
      </c>
      <c r="D43" s="1179">
        <f>+'Table 5C1A-Madison Prep'!D43</f>
        <v>5665.3839260317691</v>
      </c>
      <c r="E43" s="1180">
        <f t="shared" si="5"/>
        <v>0</v>
      </c>
      <c r="F43" s="1180">
        <f>+'Table 5C1A-Madison Prep'!F43</f>
        <v>653.61</v>
      </c>
      <c r="G43" s="1180">
        <f t="shared" si="6"/>
        <v>0</v>
      </c>
      <c r="H43" s="1539">
        <f t="shared" si="7"/>
        <v>0</v>
      </c>
      <c r="I43" s="1181"/>
      <c r="J43" s="1181"/>
      <c r="K43" s="1182">
        <f t="shared" si="8"/>
        <v>0</v>
      </c>
      <c r="L43" s="1539">
        <f t="shared" si="9"/>
        <v>0</v>
      </c>
      <c r="M43" s="1388">
        <f t="shared" si="4"/>
        <v>0</v>
      </c>
      <c r="N43" s="1539">
        <f t="shared" si="10"/>
        <v>0</v>
      </c>
      <c r="O43" s="1179">
        <v>0</v>
      </c>
      <c r="P43" s="1545">
        <f t="shared" si="11"/>
        <v>0</v>
      </c>
      <c r="Q43" s="1181"/>
      <c r="R43" s="1181">
        <f t="shared" si="12"/>
        <v>0</v>
      </c>
      <c r="S43" s="1545">
        <f t="shared" si="13"/>
        <v>0</v>
      </c>
      <c r="T43" s="1545">
        <f t="shared" si="14"/>
        <v>0</v>
      </c>
      <c r="U43" s="1389">
        <f>'Table 5C1A-Madison Prep'!U43</f>
        <v>3520</v>
      </c>
      <c r="V43" s="1515">
        <f t="shared" si="15"/>
        <v>0</v>
      </c>
      <c r="W43" s="1391"/>
      <c r="X43" s="1392">
        <f t="shared" si="16"/>
        <v>0</v>
      </c>
      <c r="Y43" s="1391"/>
      <c r="Z43" s="1392">
        <f t="shared" si="17"/>
        <v>0</v>
      </c>
      <c r="AA43" s="1390">
        <f t="shared" si="18"/>
        <v>0</v>
      </c>
      <c r="AB43" s="1510">
        <f t="shared" si="19"/>
        <v>0</v>
      </c>
      <c r="AC43" s="1394">
        <f t="shared" si="20"/>
        <v>0</v>
      </c>
      <c r="AD43" s="1510">
        <f t="shared" si="21"/>
        <v>0</v>
      </c>
      <c r="AE43" s="1395">
        <v>0</v>
      </c>
      <c r="AF43" s="1510">
        <f t="shared" si="22"/>
        <v>0</v>
      </c>
      <c r="AG43" s="1395"/>
      <c r="AH43" s="1395">
        <f t="shared" si="23"/>
        <v>0</v>
      </c>
      <c r="AI43" s="1510">
        <f t="shared" si="24"/>
        <v>0</v>
      </c>
      <c r="AJ43" s="1505">
        <f t="shared" si="25"/>
        <v>0</v>
      </c>
      <c r="AK43" s="1535">
        <f t="shared" si="26"/>
        <v>0</v>
      </c>
    </row>
    <row r="44" spans="1:37" ht="16.2" customHeight="1">
      <c r="A44" s="1176">
        <v>38</v>
      </c>
      <c r="B44" s="1177" t="s">
        <v>118</v>
      </c>
      <c r="C44" s="1178">
        <v>0</v>
      </c>
      <c r="D44" s="1179">
        <f>+'Table 5C1A-Madison Prep'!D44</f>
        <v>2088.8017552916881</v>
      </c>
      <c r="E44" s="1180">
        <f t="shared" si="5"/>
        <v>0</v>
      </c>
      <c r="F44" s="1180">
        <f>+'Table 5C1A-Madison Prep'!F44</f>
        <v>829.92000000000007</v>
      </c>
      <c r="G44" s="1180">
        <f t="shared" si="6"/>
        <v>0</v>
      </c>
      <c r="H44" s="1539">
        <f t="shared" si="7"/>
        <v>0</v>
      </c>
      <c r="I44" s="1181"/>
      <c r="J44" s="1181"/>
      <c r="K44" s="1182">
        <f t="shared" si="8"/>
        <v>0</v>
      </c>
      <c r="L44" s="1539">
        <f t="shared" si="9"/>
        <v>0</v>
      </c>
      <c r="M44" s="1388">
        <f t="shared" si="4"/>
        <v>0</v>
      </c>
      <c r="N44" s="1539">
        <f t="shared" si="10"/>
        <v>0</v>
      </c>
      <c r="O44" s="1179">
        <v>0</v>
      </c>
      <c r="P44" s="1545">
        <f t="shared" si="11"/>
        <v>0</v>
      </c>
      <c r="Q44" s="1181"/>
      <c r="R44" s="1181">
        <f t="shared" si="12"/>
        <v>0</v>
      </c>
      <c r="S44" s="1545">
        <f t="shared" si="13"/>
        <v>0</v>
      </c>
      <c r="T44" s="1545">
        <f t="shared" si="14"/>
        <v>0</v>
      </c>
      <c r="U44" s="1389">
        <f>'Table 5C1A-Madison Prep'!U44</f>
        <v>11379</v>
      </c>
      <c r="V44" s="1515">
        <f t="shared" si="15"/>
        <v>0</v>
      </c>
      <c r="W44" s="1391"/>
      <c r="X44" s="1392">
        <f t="shared" si="16"/>
        <v>0</v>
      </c>
      <c r="Y44" s="1391"/>
      <c r="Z44" s="1392">
        <f t="shared" si="17"/>
        <v>0</v>
      </c>
      <c r="AA44" s="1390">
        <f t="shared" si="18"/>
        <v>0</v>
      </c>
      <c r="AB44" s="1510">
        <f t="shared" si="19"/>
        <v>0</v>
      </c>
      <c r="AC44" s="1394">
        <f t="shared" si="20"/>
        <v>0</v>
      </c>
      <c r="AD44" s="1510">
        <f t="shared" si="21"/>
        <v>0</v>
      </c>
      <c r="AE44" s="1395">
        <v>0</v>
      </c>
      <c r="AF44" s="1510">
        <f t="shared" si="22"/>
        <v>0</v>
      </c>
      <c r="AG44" s="1395"/>
      <c r="AH44" s="1395">
        <f t="shared" si="23"/>
        <v>0</v>
      </c>
      <c r="AI44" s="1510">
        <f t="shared" si="24"/>
        <v>0</v>
      </c>
      <c r="AJ44" s="1505">
        <f t="shared" si="25"/>
        <v>0</v>
      </c>
      <c r="AK44" s="1535">
        <f t="shared" si="26"/>
        <v>0</v>
      </c>
    </row>
    <row r="45" spans="1:37" ht="16.2" customHeight="1">
      <c r="A45" s="1176">
        <v>39</v>
      </c>
      <c r="B45" s="1177" t="s">
        <v>119</v>
      </c>
      <c r="C45" s="1178">
        <v>0</v>
      </c>
      <c r="D45" s="1179">
        <f>+'Table 5C1A-Madison Prep'!D45</f>
        <v>3656.9056809295676</v>
      </c>
      <c r="E45" s="1180">
        <f t="shared" si="5"/>
        <v>0</v>
      </c>
      <c r="F45" s="1180">
        <f>+'Table 5C1A-Madison Prep'!F45</f>
        <v>779.65573042776396</v>
      </c>
      <c r="G45" s="1180">
        <f t="shared" si="6"/>
        <v>0</v>
      </c>
      <c r="H45" s="1539">
        <f t="shared" si="7"/>
        <v>0</v>
      </c>
      <c r="I45" s="1181"/>
      <c r="J45" s="1181"/>
      <c r="K45" s="1182">
        <f t="shared" si="8"/>
        <v>0</v>
      </c>
      <c r="L45" s="1539">
        <f t="shared" si="9"/>
        <v>0</v>
      </c>
      <c r="M45" s="1388">
        <f t="shared" si="4"/>
        <v>0</v>
      </c>
      <c r="N45" s="1539">
        <f t="shared" si="10"/>
        <v>0</v>
      </c>
      <c r="O45" s="1179">
        <v>0</v>
      </c>
      <c r="P45" s="1545">
        <f t="shared" si="11"/>
        <v>0</v>
      </c>
      <c r="Q45" s="1181"/>
      <c r="R45" s="1181">
        <f t="shared" si="12"/>
        <v>0</v>
      </c>
      <c r="S45" s="1545">
        <f t="shared" si="13"/>
        <v>0</v>
      </c>
      <c r="T45" s="1545">
        <f t="shared" si="14"/>
        <v>0</v>
      </c>
      <c r="U45" s="1389">
        <f>'Table 5C1A-Madison Prep'!U45</f>
        <v>4955</v>
      </c>
      <c r="V45" s="1515">
        <f t="shared" si="15"/>
        <v>0</v>
      </c>
      <c r="W45" s="1391"/>
      <c r="X45" s="1392">
        <f t="shared" si="16"/>
        <v>0</v>
      </c>
      <c r="Y45" s="1391"/>
      <c r="Z45" s="1392">
        <f t="shared" si="17"/>
        <v>0</v>
      </c>
      <c r="AA45" s="1390">
        <f t="shared" si="18"/>
        <v>0</v>
      </c>
      <c r="AB45" s="1510">
        <f t="shared" si="19"/>
        <v>0</v>
      </c>
      <c r="AC45" s="1394">
        <f t="shared" si="20"/>
        <v>0</v>
      </c>
      <c r="AD45" s="1510">
        <f t="shared" si="21"/>
        <v>0</v>
      </c>
      <c r="AE45" s="1395">
        <v>0</v>
      </c>
      <c r="AF45" s="1510">
        <f t="shared" si="22"/>
        <v>0</v>
      </c>
      <c r="AG45" s="1395"/>
      <c r="AH45" s="1395">
        <f t="shared" si="23"/>
        <v>0</v>
      </c>
      <c r="AI45" s="1510">
        <f t="shared" si="24"/>
        <v>0</v>
      </c>
      <c r="AJ45" s="1505">
        <f t="shared" si="25"/>
        <v>0</v>
      </c>
      <c r="AK45" s="1535">
        <f t="shared" si="26"/>
        <v>0</v>
      </c>
    </row>
    <row r="46" spans="1:37" ht="16.2" customHeight="1">
      <c r="A46" s="1168">
        <v>40</v>
      </c>
      <c r="B46" s="1169" t="s">
        <v>120</v>
      </c>
      <c r="C46" s="1170">
        <v>0</v>
      </c>
      <c r="D46" s="1171">
        <f>+'Table 5C1A-Madison Prep'!D46</f>
        <v>5121.8110285698403</v>
      </c>
      <c r="E46" s="1172">
        <f t="shared" si="5"/>
        <v>0</v>
      </c>
      <c r="F46" s="1172">
        <f>+'Table 5C1A-Madison Prep'!F46</f>
        <v>700.2700000000001</v>
      </c>
      <c r="G46" s="1172">
        <f t="shared" si="6"/>
        <v>0</v>
      </c>
      <c r="H46" s="1540">
        <f t="shared" si="7"/>
        <v>0</v>
      </c>
      <c r="I46" s="1173"/>
      <c r="J46" s="1173"/>
      <c r="K46" s="1174">
        <f t="shared" si="8"/>
        <v>0</v>
      </c>
      <c r="L46" s="1540">
        <f t="shared" si="9"/>
        <v>0</v>
      </c>
      <c r="M46" s="1399">
        <f t="shared" si="4"/>
        <v>0</v>
      </c>
      <c r="N46" s="1540">
        <f t="shared" si="10"/>
        <v>0</v>
      </c>
      <c r="O46" s="1171">
        <v>0</v>
      </c>
      <c r="P46" s="1546">
        <f t="shared" si="11"/>
        <v>0</v>
      </c>
      <c r="Q46" s="1173"/>
      <c r="R46" s="1173">
        <f t="shared" si="12"/>
        <v>0</v>
      </c>
      <c r="S46" s="1546">
        <f t="shared" si="13"/>
        <v>0</v>
      </c>
      <c r="T46" s="1546">
        <f t="shared" si="14"/>
        <v>0</v>
      </c>
      <c r="U46" s="1382">
        <f>'Table 5C1A-Madison Prep'!U46</f>
        <v>3069</v>
      </c>
      <c r="V46" s="1516">
        <f t="shared" si="15"/>
        <v>0</v>
      </c>
      <c r="W46" s="1400"/>
      <c r="X46" s="1383">
        <f t="shared" si="16"/>
        <v>0</v>
      </c>
      <c r="Y46" s="1400"/>
      <c r="Z46" s="1383">
        <f t="shared" si="17"/>
        <v>0</v>
      </c>
      <c r="AA46" s="1384">
        <f t="shared" si="18"/>
        <v>0</v>
      </c>
      <c r="AB46" s="1511">
        <f t="shared" si="19"/>
        <v>0</v>
      </c>
      <c r="AC46" s="1402">
        <f t="shared" si="20"/>
        <v>0</v>
      </c>
      <c r="AD46" s="1511">
        <f t="shared" si="21"/>
        <v>0</v>
      </c>
      <c r="AE46" s="1385">
        <v>0</v>
      </c>
      <c r="AF46" s="1511">
        <f t="shared" si="22"/>
        <v>0</v>
      </c>
      <c r="AG46" s="1385"/>
      <c r="AH46" s="1385">
        <f t="shared" si="23"/>
        <v>0</v>
      </c>
      <c r="AI46" s="1511">
        <f t="shared" si="24"/>
        <v>0</v>
      </c>
      <c r="AJ46" s="1531">
        <f t="shared" si="25"/>
        <v>0</v>
      </c>
      <c r="AK46" s="1536">
        <f t="shared" si="26"/>
        <v>0</v>
      </c>
    </row>
    <row r="47" spans="1:37" ht="16.2" customHeight="1">
      <c r="A47" s="1183">
        <v>41</v>
      </c>
      <c r="B47" s="1184" t="s">
        <v>121</v>
      </c>
      <c r="C47" s="1185">
        <v>0</v>
      </c>
      <c r="D47" s="1186">
        <f>+'Table 5C1A-Madison Prep'!D47</f>
        <v>3291.1948574716475</v>
      </c>
      <c r="E47" s="1187">
        <f t="shared" si="5"/>
        <v>0</v>
      </c>
      <c r="F47" s="1187">
        <f>+'Table 5C1A-Madison Prep'!F47</f>
        <v>886.22</v>
      </c>
      <c r="G47" s="1187">
        <f t="shared" si="6"/>
        <v>0</v>
      </c>
      <c r="H47" s="1538">
        <f t="shared" si="7"/>
        <v>0</v>
      </c>
      <c r="I47" s="1188"/>
      <c r="J47" s="1188"/>
      <c r="K47" s="1189">
        <f t="shared" si="8"/>
        <v>0</v>
      </c>
      <c r="L47" s="1538">
        <f t="shared" si="9"/>
        <v>0</v>
      </c>
      <c r="M47" s="1372">
        <f t="shared" si="4"/>
        <v>0</v>
      </c>
      <c r="N47" s="1538">
        <f t="shared" si="10"/>
        <v>0</v>
      </c>
      <c r="O47" s="1186">
        <v>0</v>
      </c>
      <c r="P47" s="1544">
        <f t="shared" si="11"/>
        <v>0</v>
      </c>
      <c r="Q47" s="1188"/>
      <c r="R47" s="1188">
        <f t="shared" si="12"/>
        <v>0</v>
      </c>
      <c r="S47" s="1544">
        <f t="shared" si="13"/>
        <v>0</v>
      </c>
      <c r="T47" s="1544">
        <f t="shared" si="14"/>
        <v>0</v>
      </c>
      <c r="U47" s="1373">
        <f>'Table 5C1A-Madison Prep'!U47</f>
        <v>8478</v>
      </c>
      <c r="V47" s="1514">
        <f t="shared" si="15"/>
        <v>0</v>
      </c>
      <c r="W47" s="1375"/>
      <c r="X47" s="1376">
        <f t="shared" si="16"/>
        <v>0</v>
      </c>
      <c r="Y47" s="1375"/>
      <c r="Z47" s="1376">
        <f t="shared" si="17"/>
        <v>0</v>
      </c>
      <c r="AA47" s="1374">
        <f t="shared" si="18"/>
        <v>0</v>
      </c>
      <c r="AB47" s="1509">
        <f t="shared" si="19"/>
        <v>0</v>
      </c>
      <c r="AC47" s="1378">
        <f t="shared" si="20"/>
        <v>0</v>
      </c>
      <c r="AD47" s="1509">
        <f t="shared" si="21"/>
        <v>0</v>
      </c>
      <c r="AE47" s="1379">
        <v>0</v>
      </c>
      <c r="AF47" s="1509">
        <f t="shared" si="22"/>
        <v>0</v>
      </c>
      <c r="AG47" s="1379"/>
      <c r="AH47" s="1379">
        <f t="shared" si="23"/>
        <v>0</v>
      </c>
      <c r="AI47" s="1509">
        <f t="shared" si="24"/>
        <v>0</v>
      </c>
      <c r="AJ47" s="1530">
        <f t="shared" si="25"/>
        <v>0</v>
      </c>
      <c r="AK47" s="1534">
        <f t="shared" si="26"/>
        <v>0</v>
      </c>
    </row>
    <row r="48" spans="1:37" ht="16.2" customHeight="1">
      <c r="A48" s="1176">
        <v>42</v>
      </c>
      <c r="B48" s="1177" t="s">
        <v>122</v>
      </c>
      <c r="C48" s="1178">
        <v>0</v>
      </c>
      <c r="D48" s="1179">
        <f>+'Table 5C1A-Madison Prep'!D48</f>
        <v>5113.6077751368684</v>
      </c>
      <c r="E48" s="1180">
        <f t="shared" si="5"/>
        <v>0</v>
      </c>
      <c r="F48" s="1180">
        <f>+'Table 5C1A-Madison Prep'!F48</f>
        <v>534.28</v>
      </c>
      <c r="G48" s="1180">
        <f t="shared" si="6"/>
        <v>0</v>
      </c>
      <c r="H48" s="1539">
        <f t="shared" si="7"/>
        <v>0</v>
      </c>
      <c r="I48" s="1181"/>
      <c r="J48" s="1181"/>
      <c r="K48" s="1182">
        <f t="shared" si="8"/>
        <v>0</v>
      </c>
      <c r="L48" s="1539">
        <f t="shared" si="9"/>
        <v>0</v>
      </c>
      <c r="M48" s="1388">
        <f t="shared" si="4"/>
        <v>0</v>
      </c>
      <c r="N48" s="1539">
        <f t="shared" si="10"/>
        <v>0</v>
      </c>
      <c r="O48" s="1179">
        <v>0</v>
      </c>
      <c r="P48" s="1545">
        <f t="shared" si="11"/>
        <v>0</v>
      </c>
      <c r="Q48" s="1181"/>
      <c r="R48" s="1181">
        <f t="shared" si="12"/>
        <v>0</v>
      </c>
      <c r="S48" s="1545">
        <f t="shared" si="13"/>
        <v>0</v>
      </c>
      <c r="T48" s="1545">
        <f t="shared" si="14"/>
        <v>0</v>
      </c>
      <c r="U48" s="1389">
        <f>'Table 5C1A-Madison Prep'!U48</f>
        <v>3578</v>
      </c>
      <c r="V48" s="1515">
        <f t="shared" si="15"/>
        <v>0</v>
      </c>
      <c r="W48" s="1391"/>
      <c r="X48" s="1392">
        <f t="shared" si="16"/>
        <v>0</v>
      </c>
      <c r="Y48" s="1391"/>
      <c r="Z48" s="1392">
        <f t="shared" si="17"/>
        <v>0</v>
      </c>
      <c r="AA48" s="1390">
        <f t="shared" si="18"/>
        <v>0</v>
      </c>
      <c r="AB48" s="1510">
        <f t="shared" si="19"/>
        <v>0</v>
      </c>
      <c r="AC48" s="1394">
        <f t="shared" si="20"/>
        <v>0</v>
      </c>
      <c r="AD48" s="1510">
        <f t="shared" si="21"/>
        <v>0</v>
      </c>
      <c r="AE48" s="1395">
        <v>0</v>
      </c>
      <c r="AF48" s="1510">
        <f t="shared" si="22"/>
        <v>0</v>
      </c>
      <c r="AG48" s="1395"/>
      <c r="AH48" s="1395">
        <f t="shared" si="23"/>
        <v>0</v>
      </c>
      <c r="AI48" s="1510">
        <f t="shared" si="24"/>
        <v>0</v>
      </c>
      <c r="AJ48" s="1505">
        <f t="shared" si="25"/>
        <v>0</v>
      </c>
      <c r="AK48" s="1535">
        <f t="shared" si="26"/>
        <v>0</v>
      </c>
    </row>
    <row r="49" spans="1:37" ht="16.2" customHeight="1">
      <c r="A49" s="1176">
        <v>43</v>
      </c>
      <c r="B49" s="1177" t="s">
        <v>123</v>
      </c>
      <c r="C49" s="1178">
        <v>0</v>
      </c>
      <c r="D49" s="1179">
        <f>+'Table 5C1A-Madison Prep'!D49</f>
        <v>5788.74387205947</v>
      </c>
      <c r="E49" s="1180">
        <f t="shared" si="5"/>
        <v>0</v>
      </c>
      <c r="F49" s="1180">
        <f>+'Table 5C1A-Madison Prep'!F49</f>
        <v>574.6099999999999</v>
      </c>
      <c r="G49" s="1180">
        <f t="shared" si="6"/>
        <v>0</v>
      </c>
      <c r="H49" s="1539">
        <f t="shared" si="7"/>
        <v>0</v>
      </c>
      <c r="I49" s="1181"/>
      <c r="J49" s="1181"/>
      <c r="K49" s="1182">
        <f t="shared" si="8"/>
        <v>0</v>
      </c>
      <c r="L49" s="1539">
        <f t="shared" si="9"/>
        <v>0</v>
      </c>
      <c r="M49" s="1388">
        <f t="shared" si="4"/>
        <v>0</v>
      </c>
      <c r="N49" s="1539">
        <f t="shared" si="10"/>
        <v>0</v>
      </c>
      <c r="O49" s="1179">
        <v>0</v>
      </c>
      <c r="P49" s="1545">
        <f t="shared" si="11"/>
        <v>0</v>
      </c>
      <c r="Q49" s="1181"/>
      <c r="R49" s="1181">
        <f t="shared" si="12"/>
        <v>0</v>
      </c>
      <c r="S49" s="1545">
        <f t="shared" si="13"/>
        <v>0</v>
      </c>
      <c r="T49" s="1545">
        <f t="shared" si="14"/>
        <v>0</v>
      </c>
      <c r="U49" s="1389">
        <f>'Table 5C1A-Madison Prep'!U49</f>
        <v>3205</v>
      </c>
      <c r="V49" s="1515">
        <f t="shared" si="15"/>
        <v>0</v>
      </c>
      <c r="W49" s="1391"/>
      <c r="X49" s="1392">
        <f t="shared" si="16"/>
        <v>0</v>
      </c>
      <c r="Y49" s="1391"/>
      <c r="Z49" s="1392">
        <f t="shared" si="17"/>
        <v>0</v>
      </c>
      <c r="AA49" s="1390">
        <f t="shared" si="18"/>
        <v>0</v>
      </c>
      <c r="AB49" s="1510">
        <f t="shared" si="19"/>
        <v>0</v>
      </c>
      <c r="AC49" s="1394">
        <f t="shared" si="20"/>
        <v>0</v>
      </c>
      <c r="AD49" s="1510">
        <f t="shared" si="21"/>
        <v>0</v>
      </c>
      <c r="AE49" s="1395">
        <v>0</v>
      </c>
      <c r="AF49" s="1510">
        <f t="shared" si="22"/>
        <v>0</v>
      </c>
      <c r="AG49" s="1395"/>
      <c r="AH49" s="1395">
        <f t="shared" si="23"/>
        <v>0</v>
      </c>
      <c r="AI49" s="1510">
        <f t="shared" si="24"/>
        <v>0</v>
      </c>
      <c r="AJ49" s="1505">
        <f t="shared" si="25"/>
        <v>0</v>
      </c>
      <c r="AK49" s="1535">
        <f t="shared" si="26"/>
        <v>0</v>
      </c>
    </row>
    <row r="50" spans="1:37" ht="16.2" customHeight="1">
      <c r="A50" s="1176">
        <v>44</v>
      </c>
      <c r="B50" s="1177" t="s">
        <v>124</v>
      </c>
      <c r="C50" s="1178">
        <v>0</v>
      </c>
      <c r="D50" s="1179">
        <f>+'Table 5C1A-Madison Prep'!D50</f>
        <v>4897.5958151820359</v>
      </c>
      <c r="E50" s="1180">
        <f t="shared" si="5"/>
        <v>0</v>
      </c>
      <c r="F50" s="1180">
        <f>+'Table 5C1A-Madison Prep'!F50</f>
        <v>663.16000000000008</v>
      </c>
      <c r="G50" s="1180">
        <f t="shared" si="6"/>
        <v>0</v>
      </c>
      <c r="H50" s="1539">
        <f t="shared" si="7"/>
        <v>0</v>
      </c>
      <c r="I50" s="1181"/>
      <c r="J50" s="1181"/>
      <c r="K50" s="1182">
        <f t="shared" si="8"/>
        <v>0</v>
      </c>
      <c r="L50" s="1539">
        <f t="shared" si="9"/>
        <v>0</v>
      </c>
      <c r="M50" s="1388">
        <f t="shared" si="4"/>
        <v>0</v>
      </c>
      <c r="N50" s="1539">
        <f t="shared" si="10"/>
        <v>0</v>
      </c>
      <c r="O50" s="1179">
        <v>0</v>
      </c>
      <c r="P50" s="1545">
        <f t="shared" si="11"/>
        <v>0</v>
      </c>
      <c r="Q50" s="1181"/>
      <c r="R50" s="1181">
        <f t="shared" si="12"/>
        <v>0</v>
      </c>
      <c r="S50" s="1545">
        <f t="shared" si="13"/>
        <v>0</v>
      </c>
      <c r="T50" s="1545">
        <f t="shared" si="14"/>
        <v>0</v>
      </c>
      <c r="U50" s="1389">
        <f>'Table 5C1A-Madison Prep'!U50</f>
        <v>3719</v>
      </c>
      <c r="V50" s="1515">
        <f t="shared" si="15"/>
        <v>0</v>
      </c>
      <c r="W50" s="1391"/>
      <c r="X50" s="1392">
        <f t="shared" si="16"/>
        <v>0</v>
      </c>
      <c r="Y50" s="1391"/>
      <c r="Z50" s="1392">
        <f t="shared" si="17"/>
        <v>0</v>
      </c>
      <c r="AA50" s="1390">
        <f t="shared" si="18"/>
        <v>0</v>
      </c>
      <c r="AB50" s="1510">
        <f t="shared" si="19"/>
        <v>0</v>
      </c>
      <c r="AC50" s="1394">
        <f t="shared" si="20"/>
        <v>0</v>
      </c>
      <c r="AD50" s="1510">
        <f t="shared" si="21"/>
        <v>0</v>
      </c>
      <c r="AE50" s="1395">
        <v>0</v>
      </c>
      <c r="AF50" s="1510">
        <f t="shared" si="22"/>
        <v>0</v>
      </c>
      <c r="AG50" s="1395"/>
      <c r="AH50" s="1395">
        <f t="shared" si="23"/>
        <v>0</v>
      </c>
      <c r="AI50" s="1510">
        <f t="shared" si="24"/>
        <v>0</v>
      </c>
      <c r="AJ50" s="1505">
        <f t="shared" si="25"/>
        <v>0</v>
      </c>
      <c r="AK50" s="1535">
        <f t="shared" si="26"/>
        <v>0</v>
      </c>
    </row>
    <row r="51" spans="1:37" ht="16.2" customHeight="1">
      <c r="A51" s="1168">
        <v>45</v>
      </c>
      <c r="B51" s="1169" t="s">
        <v>125</v>
      </c>
      <c r="C51" s="1170">
        <v>0</v>
      </c>
      <c r="D51" s="1171">
        <f>+'Table 5C1A-Madison Prep'!D51</f>
        <v>2054.0472499469101</v>
      </c>
      <c r="E51" s="1172">
        <f t="shared" si="5"/>
        <v>0</v>
      </c>
      <c r="F51" s="1172">
        <f>+'Table 5C1A-Madison Prep'!F51</f>
        <v>753.96000000000015</v>
      </c>
      <c r="G51" s="1172">
        <f t="shared" si="6"/>
        <v>0</v>
      </c>
      <c r="H51" s="1540">
        <f t="shared" si="7"/>
        <v>0</v>
      </c>
      <c r="I51" s="1173"/>
      <c r="J51" s="1173"/>
      <c r="K51" s="1174">
        <f t="shared" si="8"/>
        <v>0</v>
      </c>
      <c r="L51" s="1540">
        <f t="shared" si="9"/>
        <v>0</v>
      </c>
      <c r="M51" s="1399">
        <f t="shared" si="4"/>
        <v>0</v>
      </c>
      <c r="N51" s="1540">
        <f t="shared" si="10"/>
        <v>0</v>
      </c>
      <c r="O51" s="1171">
        <v>0</v>
      </c>
      <c r="P51" s="1546">
        <f t="shared" si="11"/>
        <v>0</v>
      </c>
      <c r="Q51" s="1173"/>
      <c r="R51" s="1173">
        <f t="shared" si="12"/>
        <v>0</v>
      </c>
      <c r="S51" s="1546">
        <f t="shared" si="13"/>
        <v>0</v>
      </c>
      <c r="T51" s="1546">
        <f t="shared" si="14"/>
        <v>0</v>
      </c>
      <c r="U51" s="1382">
        <f>'Table 5C1A-Madison Prep'!U51</f>
        <v>12169</v>
      </c>
      <c r="V51" s="1516">
        <f t="shared" si="15"/>
        <v>0</v>
      </c>
      <c r="W51" s="1400"/>
      <c r="X51" s="1383">
        <f t="shared" si="16"/>
        <v>0</v>
      </c>
      <c r="Y51" s="1400"/>
      <c r="Z51" s="1383">
        <f t="shared" si="17"/>
        <v>0</v>
      </c>
      <c r="AA51" s="1384">
        <f t="shared" si="18"/>
        <v>0</v>
      </c>
      <c r="AB51" s="1511">
        <f t="shared" si="19"/>
        <v>0</v>
      </c>
      <c r="AC51" s="1402">
        <f t="shared" si="20"/>
        <v>0</v>
      </c>
      <c r="AD51" s="1511">
        <f t="shared" si="21"/>
        <v>0</v>
      </c>
      <c r="AE51" s="1385">
        <v>0</v>
      </c>
      <c r="AF51" s="1511">
        <f t="shared" si="22"/>
        <v>0</v>
      </c>
      <c r="AG51" s="1385"/>
      <c r="AH51" s="1385">
        <f t="shared" si="23"/>
        <v>0</v>
      </c>
      <c r="AI51" s="1511">
        <f t="shared" si="24"/>
        <v>0</v>
      </c>
      <c r="AJ51" s="1531">
        <f t="shared" si="25"/>
        <v>0</v>
      </c>
      <c r="AK51" s="1536">
        <f t="shared" si="26"/>
        <v>0</v>
      </c>
    </row>
    <row r="52" spans="1:37" ht="16.2" customHeight="1">
      <c r="A52" s="1183">
        <v>46</v>
      </c>
      <c r="B52" s="1184" t="s">
        <v>126</v>
      </c>
      <c r="C52" s="1185">
        <v>0</v>
      </c>
      <c r="D52" s="1186">
        <f>+'Table 5C1A-Madison Prep'!D52</f>
        <v>6051.2144468088381</v>
      </c>
      <c r="E52" s="1187">
        <f t="shared" si="5"/>
        <v>0</v>
      </c>
      <c r="F52" s="1187">
        <f>+'Table 5C1A-Madison Prep'!F52</f>
        <v>728.06</v>
      </c>
      <c r="G52" s="1187">
        <f t="shared" si="6"/>
        <v>0</v>
      </c>
      <c r="H52" s="1538">
        <f t="shared" si="7"/>
        <v>0</v>
      </c>
      <c r="I52" s="1188"/>
      <c r="J52" s="1188"/>
      <c r="K52" s="1189">
        <f t="shared" si="8"/>
        <v>0</v>
      </c>
      <c r="L52" s="1538">
        <f t="shared" si="9"/>
        <v>0</v>
      </c>
      <c r="M52" s="1372">
        <f t="shared" si="4"/>
        <v>0</v>
      </c>
      <c r="N52" s="1538">
        <f t="shared" si="10"/>
        <v>0</v>
      </c>
      <c r="O52" s="1186">
        <v>0</v>
      </c>
      <c r="P52" s="1544">
        <f t="shared" si="11"/>
        <v>0</v>
      </c>
      <c r="Q52" s="1188"/>
      <c r="R52" s="1188">
        <f t="shared" si="12"/>
        <v>0</v>
      </c>
      <c r="S52" s="1544">
        <f t="shared" si="13"/>
        <v>0</v>
      </c>
      <c r="T52" s="1544">
        <f t="shared" si="14"/>
        <v>0</v>
      </c>
      <c r="U52" s="1373">
        <f>'Table 5C1A-Madison Prep'!U52</f>
        <v>2713</v>
      </c>
      <c r="V52" s="1514">
        <f t="shared" si="15"/>
        <v>0</v>
      </c>
      <c r="W52" s="1375"/>
      <c r="X52" s="1376">
        <f t="shared" si="16"/>
        <v>0</v>
      </c>
      <c r="Y52" s="1375"/>
      <c r="Z52" s="1376">
        <f t="shared" si="17"/>
        <v>0</v>
      </c>
      <c r="AA52" s="1374">
        <f t="shared" si="18"/>
        <v>0</v>
      </c>
      <c r="AB52" s="1509">
        <f t="shared" si="19"/>
        <v>0</v>
      </c>
      <c r="AC52" s="1378">
        <f t="shared" si="20"/>
        <v>0</v>
      </c>
      <c r="AD52" s="1509">
        <f t="shared" si="21"/>
        <v>0</v>
      </c>
      <c r="AE52" s="1379">
        <v>0</v>
      </c>
      <c r="AF52" s="1509">
        <f t="shared" si="22"/>
        <v>0</v>
      </c>
      <c r="AG52" s="1379"/>
      <c r="AH52" s="1379">
        <f t="shared" si="23"/>
        <v>0</v>
      </c>
      <c r="AI52" s="1509">
        <f t="shared" si="24"/>
        <v>0</v>
      </c>
      <c r="AJ52" s="1530">
        <f t="shared" si="25"/>
        <v>0</v>
      </c>
      <c r="AK52" s="1534">
        <f t="shared" si="26"/>
        <v>0</v>
      </c>
    </row>
    <row r="53" spans="1:37" ht="16.2" customHeight="1">
      <c r="A53" s="1176">
        <v>47</v>
      </c>
      <c r="B53" s="1177" t="s">
        <v>127</v>
      </c>
      <c r="C53" s="1178">
        <v>0</v>
      </c>
      <c r="D53" s="1179">
        <f>+'Table 5C1A-Madison Prep'!D53</f>
        <v>2524.1485257646736</v>
      </c>
      <c r="E53" s="1180">
        <f t="shared" si="5"/>
        <v>0</v>
      </c>
      <c r="F53" s="1180">
        <f>+'Table 5C1A-Madison Prep'!F53</f>
        <v>910.76</v>
      </c>
      <c r="G53" s="1180">
        <f t="shared" si="6"/>
        <v>0</v>
      </c>
      <c r="H53" s="1539">
        <f t="shared" si="7"/>
        <v>0</v>
      </c>
      <c r="I53" s="1181"/>
      <c r="J53" s="1181"/>
      <c r="K53" s="1182">
        <f t="shared" si="8"/>
        <v>0</v>
      </c>
      <c r="L53" s="1539">
        <f t="shared" si="9"/>
        <v>0</v>
      </c>
      <c r="M53" s="1388">
        <f t="shared" si="4"/>
        <v>0</v>
      </c>
      <c r="N53" s="1539">
        <f t="shared" si="10"/>
        <v>0</v>
      </c>
      <c r="O53" s="1179">
        <v>0</v>
      </c>
      <c r="P53" s="1545">
        <f t="shared" si="11"/>
        <v>0</v>
      </c>
      <c r="Q53" s="1181"/>
      <c r="R53" s="1181">
        <f t="shared" si="12"/>
        <v>0</v>
      </c>
      <c r="S53" s="1545">
        <f t="shared" si="13"/>
        <v>0</v>
      </c>
      <c r="T53" s="1545">
        <f t="shared" si="14"/>
        <v>0</v>
      </c>
      <c r="U53" s="1389">
        <f>'Table 5C1A-Madison Prep'!U53</f>
        <v>11701</v>
      </c>
      <c r="V53" s="1515">
        <f t="shared" si="15"/>
        <v>0</v>
      </c>
      <c r="W53" s="1391"/>
      <c r="X53" s="1392">
        <f t="shared" si="16"/>
        <v>0</v>
      </c>
      <c r="Y53" s="1391"/>
      <c r="Z53" s="1392">
        <f t="shared" si="17"/>
        <v>0</v>
      </c>
      <c r="AA53" s="1390">
        <f t="shared" si="18"/>
        <v>0</v>
      </c>
      <c r="AB53" s="1510">
        <f t="shared" si="19"/>
        <v>0</v>
      </c>
      <c r="AC53" s="1394">
        <f t="shared" si="20"/>
        <v>0</v>
      </c>
      <c r="AD53" s="1510">
        <f t="shared" si="21"/>
        <v>0</v>
      </c>
      <c r="AE53" s="1395">
        <v>0</v>
      </c>
      <c r="AF53" s="1510">
        <f t="shared" si="22"/>
        <v>0</v>
      </c>
      <c r="AG53" s="1395"/>
      <c r="AH53" s="1395">
        <f t="shared" si="23"/>
        <v>0</v>
      </c>
      <c r="AI53" s="1510">
        <f t="shared" si="24"/>
        <v>0</v>
      </c>
      <c r="AJ53" s="1505">
        <f t="shared" si="25"/>
        <v>0</v>
      </c>
      <c r="AK53" s="1535">
        <f t="shared" si="26"/>
        <v>0</v>
      </c>
    </row>
    <row r="54" spans="1:37" ht="16.2" customHeight="1">
      <c r="A54" s="1176">
        <v>48</v>
      </c>
      <c r="B54" s="1177" t="s">
        <v>178</v>
      </c>
      <c r="C54" s="1178">
        <v>0</v>
      </c>
      <c r="D54" s="1179">
        <f>+'Table 5C1A-Madison Prep'!D54</f>
        <v>3983.3582529800719</v>
      </c>
      <c r="E54" s="1180">
        <f t="shared" si="5"/>
        <v>0</v>
      </c>
      <c r="F54" s="1180">
        <f>+'Table 5C1A-Madison Prep'!F54</f>
        <v>871.07</v>
      </c>
      <c r="G54" s="1180">
        <f t="shared" si="6"/>
        <v>0</v>
      </c>
      <c r="H54" s="1539">
        <f t="shared" si="7"/>
        <v>0</v>
      </c>
      <c r="I54" s="1181"/>
      <c r="J54" s="1181"/>
      <c r="K54" s="1182">
        <f t="shared" si="8"/>
        <v>0</v>
      </c>
      <c r="L54" s="1539">
        <f t="shared" si="9"/>
        <v>0</v>
      </c>
      <c r="M54" s="1388">
        <f t="shared" si="4"/>
        <v>0</v>
      </c>
      <c r="N54" s="1539">
        <f t="shared" si="10"/>
        <v>0</v>
      </c>
      <c r="O54" s="1179">
        <v>0</v>
      </c>
      <c r="P54" s="1545">
        <f t="shared" si="11"/>
        <v>0</v>
      </c>
      <c r="Q54" s="1181"/>
      <c r="R54" s="1181">
        <f t="shared" si="12"/>
        <v>0</v>
      </c>
      <c r="S54" s="1545">
        <f t="shared" si="13"/>
        <v>0</v>
      </c>
      <c r="T54" s="1545">
        <f t="shared" si="14"/>
        <v>0</v>
      </c>
      <c r="U54" s="1389">
        <f>'Table 5C1A-Madison Prep'!U54</f>
        <v>7338</v>
      </c>
      <c r="V54" s="1515">
        <f t="shared" si="15"/>
        <v>0</v>
      </c>
      <c r="W54" s="1391"/>
      <c r="X54" s="1392">
        <f t="shared" si="16"/>
        <v>0</v>
      </c>
      <c r="Y54" s="1391"/>
      <c r="Z54" s="1392">
        <f t="shared" si="17"/>
        <v>0</v>
      </c>
      <c r="AA54" s="1390">
        <f t="shared" si="18"/>
        <v>0</v>
      </c>
      <c r="AB54" s="1510">
        <f t="shared" si="19"/>
        <v>0</v>
      </c>
      <c r="AC54" s="1394">
        <f t="shared" si="20"/>
        <v>0</v>
      </c>
      <c r="AD54" s="1510">
        <f t="shared" si="21"/>
        <v>0</v>
      </c>
      <c r="AE54" s="1395">
        <v>0</v>
      </c>
      <c r="AF54" s="1510">
        <f t="shared" si="22"/>
        <v>0</v>
      </c>
      <c r="AG54" s="1395"/>
      <c r="AH54" s="1395">
        <f t="shared" si="23"/>
        <v>0</v>
      </c>
      <c r="AI54" s="1510">
        <f t="shared" si="24"/>
        <v>0</v>
      </c>
      <c r="AJ54" s="1505">
        <f t="shared" si="25"/>
        <v>0</v>
      </c>
      <c r="AK54" s="1535">
        <f t="shared" si="26"/>
        <v>0</v>
      </c>
    </row>
    <row r="55" spans="1:37" ht="16.2" customHeight="1">
      <c r="A55" s="1176">
        <v>49</v>
      </c>
      <c r="B55" s="1177" t="s">
        <v>128</v>
      </c>
      <c r="C55" s="1178">
        <v>0</v>
      </c>
      <c r="D55" s="1179">
        <f>+'Table 5C1A-Madison Prep'!D55</f>
        <v>4995.8755315659191</v>
      </c>
      <c r="E55" s="1180">
        <f t="shared" si="5"/>
        <v>0</v>
      </c>
      <c r="F55" s="1180">
        <f>+'Table 5C1A-Madison Prep'!F55</f>
        <v>574.43999999999994</v>
      </c>
      <c r="G55" s="1180">
        <f t="shared" si="6"/>
        <v>0</v>
      </c>
      <c r="H55" s="1539">
        <f t="shared" si="7"/>
        <v>0</v>
      </c>
      <c r="I55" s="1181"/>
      <c r="J55" s="1181"/>
      <c r="K55" s="1182">
        <f t="shared" si="8"/>
        <v>0</v>
      </c>
      <c r="L55" s="1539">
        <f t="shared" si="9"/>
        <v>0</v>
      </c>
      <c r="M55" s="1388">
        <f t="shared" si="4"/>
        <v>0</v>
      </c>
      <c r="N55" s="1539">
        <f t="shared" si="10"/>
        <v>0</v>
      </c>
      <c r="O55" s="1179">
        <v>0</v>
      </c>
      <c r="P55" s="1545">
        <f t="shared" si="11"/>
        <v>0</v>
      </c>
      <c r="Q55" s="1181"/>
      <c r="R55" s="1181">
        <f t="shared" si="12"/>
        <v>0</v>
      </c>
      <c r="S55" s="1545">
        <f t="shared" si="13"/>
        <v>0</v>
      </c>
      <c r="T55" s="1545">
        <f t="shared" si="14"/>
        <v>0</v>
      </c>
      <c r="U55" s="1389">
        <f>'Table 5C1A-Madison Prep'!U55</f>
        <v>2353</v>
      </c>
      <c r="V55" s="1515">
        <f t="shared" si="15"/>
        <v>0</v>
      </c>
      <c r="W55" s="1391"/>
      <c r="X55" s="1392">
        <f t="shared" si="16"/>
        <v>0</v>
      </c>
      <c r="Y55" s="1391"/>
      <c r="Z55" s="1392">
        <f t="shared" si="17"/>
        <v>0</v>
      </c>
      <c r="AA55" s="1390">
        <f t="shared" si="18"/>
        <v>0</v>
      </c>
      <c r="AB55" s="1510">
        <f t="shared" si="19"/>
        <v>0</v>
      </c>
      <c r="AC55" s="1394">
        <f t="shared" si="20"/>
        <v>0</v>
      </c>
      <c r="AD55" s="1510">
        <f t="shared" si="21"/>
        <v>0</v>
      </c>
      <c r="AE55" s="1395">
        <v>0</v>
      </c>
      <c r="AF55" s="1510">
        <f t="shared" si="22"/>
        <v>0</v>
      </c>
      <c r="AG55" s="1395"/>
      <c r="AH55" s="1395">
        <f t="shared" si="23"/>
        <v>0</v>
      </c>
      <c r="AI55" s="1510">
        <f t="shared" si="24"/>
        <v>0</v>
      </c>
      <c r="AJ55" s="1505">
        <f t="shared" si="25"/>
        <v>0</v>
      </c>
      <c r="AK55" s="1535">
        <f t="shared" si="26"/>
        <v>0</v>
      </c>
    </row>
    <row r="56" spans="1:37" ht="16.2" customHeight="1">
      <c r="A56" s="1168">
        <v>50</v>
      </c>
      <c r="B56" s="1169" t="s">
        <v>129</v>
      </c>
      <c r="C56" s="1170">
        <v>0</v>
      </c>
      <c r="D56" s="1171">
        <f>+'Table 5C1A-Madison Prep'!D56</f>
        <v>5177.6892722701677</v>
      </c>
      <c r="E56" s="1172">
        <f t="shared" si="5"/>
        <v>0</v>
      </c>
      <c r="F56" s="1172">
        <f>+'Table 5C1A-Madison Prep'!F56</f>
        <v>634.46</v>
      </c>
      <c r="G56" s="1172">
        <f t="shared" si="6"/>
        <v>0</v>
      </c>
      <c r="H56" s="1540">
        <f t="shared" si="7"/>
        <v>0</v>
      </c>
      <c r="I56" s="1173"/>
      <c r="J56" s="1173"/>
      <c r="K56" s="1174">
        <f t="shared" si="8"/>
        <v>0</v>
      </c>
      <c r="L56" s="1540">
        <f t="shared" si="9"/>
        <v>0</v>
      </c>
      <c r="M56" s="1399">
        <f t="shared" si="4"/>
        <v>0</v>
      </c>
      <c r="N56" s="1540">
        <f t="shared" si="10"/>
        <v>0</v>
      </c>
      <c r="O56" s="1171">
        <v>0</v>
      </c>
      <c r="P56" s="1546">
        <f t="shared" si="11"/>
        <v>0</v>
      </c>
      <c r="Q56" s="1173"/>
      <c r="R56" s="1173">
        <f t="shared" si="12"/>
        <v>0</v>
      </c>
      <c r="S56" s="1546">
        <f t="shared" si="13"/>
        <v>0</v>
      </c>
      <c r="T56" s="1546">
        <f t="shared" si="14"/>
        <v>0</v>
      </c>
      <c r="U56" s="1382">
        <f>'Table 5C1A-Madison Prep'!U56</f>
        <v>3510</v>
      </c>
      <c r="V56" s="1516">
        <f t="shared" si="15"/>
        <v>0</v>
      </c>
      <c r="W56" s="1400"/>
      <c r="X56" s="1383">
        <f t="shared" si="16"/>
        <v>0</v>
      </c>
      <c r="Y56" s="1400"/>
      <c r="Z56" s="1383">
        <f t="shared" si="17"/>
        <v>0</v>
      </c>
      <c r="AA56" s="1384">
        <f t="shared" si="18"/>
        <v>0</v>
      </c>
      <c r="AB56" s="1511">
        <f t="shared" si="19"/>
        <v>0</v>
      </c>
      <c r="AC56" s="1402">
        <f t="shared" si="20"/>
        <v>0</v>
      </c>
      <c r="AD56" s="1511">
        <f t="shared" si="21"/>
        <v>0</v>
      </c>
      <c r="AE56" s="1385">
        <v>0</v>
      </c>
      <c r="AF56" s="1511">
        <f t="shared" si="22"/>
        <v>0</v>
      </c>
      <c r="AG56" s="1385"/>
      <c r="AH56" s="1385">
        <f t="shared" si="23"/>
        <v>0</v>
      </c>
      <c r="AI56" s="1511">
        <f t="shared" si="24"/>
        <v>0</v>
      </c>
      <c r="AJ56" s="1531">
        <f t="shared" si="25"/>
        <v>0</v>
      </c>
      <c r="AK56" s="1536">
        <f t="shared" si="26"/>
        <v>0</v>
      </c>
    </row>
    <row r="57" spans="1:37" ht="16.2" customHeight="1">
      <c r="A57" s="1183">
        <v>51</v>
      </c>
      <c r="B57" s="1184" t="s">
        <v>130</v>
      </c>
      <c r="C57" s="1185">
        <v>0</v>
      </c>
      <c r="D57" s="1186">
        <f>+'Table 5C1A-Madison Prep'!D57</f>
        <v>4154.1928602178996</v>
      </c>
      <c r="E57" s="1187">
        <f t="shared" si="5"/>
        <v>0</v>
      </c>
      <c r="F57" s="1187">
        <f>+'Table 5C1A-Madison Prep'!F57</f>
        <v>706.66</v>
      </c>
      <c r="G57" s="1187">
        <f t="shared" si="6"/>
        <v>0</v>
      </c>
      <c r="H57" s="1538">
        <f t="shared" si="7"/>
        <v>0</v>
      </c>
      <c r="I57" s="1188"/>
      <c r="J57" s="1188"/>
      <c r="K57" s="1189">
        <f t="shared" si="8"/>
        <v>0</v>
      </c>
      <c r="L57" s="1538">
        <f t="shared" si="9"/>
        <v>0</v>
      </c>
      <c r="M57" s="1372">
        <f t="shared" si="4"/>
        <v>0</v>
      </c>
      <c r="N57" s="1538">
        <f t="shared" si="10"/>
        <v>0</v>
      </c>
      <c r="O57" s="1186">
        <v>0</v>
      </c>
      <c r="P57" s="1544">
        <f t="shared" si="11"/>
        <v>0</v>
      </c>
      <c r="Q57" s="1188"/>
      <c r="R57" s="1188">
        <f t="shared" si="12"/>
        <v>0</v>
      </c>
      <c r="S57" s="1544">
        <f t="shared" si="13"/>
        <v>0</v>
      </c>
      <c r="T57" s="1544">
        <f t="shared" si="14"/>
        <v>0</v>
      </c>
      <c r="U57" s="1373">
        <f>'Table 5C1A-Madison Prep'!U57</f>
        <v>4597</v>
      </c>
      <c r="V57" s="1514">
        <f t="shared" si="15"/>
        <v>0</v>
      </c>
      <c r="W57" s="1375"/>
      <c r="X57" s="1376">
        <f t="shared" si="16"/>
        <v>0</v>
      </c>
      <c r="Y57" s="1375"/>
      <c r="Z57" s="1376">
        <f t="shared" si="17"/>
        <v>0</v>
      </c>
      <c r="AA57" s="1374">
        <f t="shared" si="18"/>
        <v>0</v>
      </c>
      <c r="AB57" s="1509">
        <f t="shared" si="19"/>
        <v>0</v>
      </c>
      <c r="AC57" s="1378">
        <f t="shared" si="20"/>
        <v>0</v>
      </c>
      <c r="AD57" s="1509">
        <f t="shared" si="21"/>
        <v>0</v>
      </c>
      <c r="AE57" s="1379">
        <v>0</v>
      </c>
      <c r="AF57" s="1509">
        <f t="shared" si="22"/>
        <v>0</v>
      </c>
      <c r="AG57" s="1379"/>
      <c r="AH57" s="1379">
        <f t="shared" si="23"/>
        <v>0</v>
      </c>
      <c r="AI57" s="1509">
        <f t="shared" si="24"/>
        <v>0</v>
      </c>
      <c r="AJ57" s="1530">
        <f t="shared" si="25"/>
        <v>0</v>
      </c>
      <c r="AK57" s="1534">
        <f t="shared" si="26"/>
        <v>0</v>
      </c>
    </row>
    <row r="58" spans="1:37" ht="16.2" customHeight="1">
      <c r="A58" s="1176">
        <v>52</v>
      </c>
      <c r="B58" s="1177" t="s">
        <v>131</v>
      </c>
      <c r="C58" s="1178">
        <v>0</v>
      </c>
      <c r="D58" s="1179">
        <f>+'Table 5C1A-Madison Prep'!D58</f>
        <v>5062.2745845228173</v>
      </c>
      <c r="E58" s="1180">
        <f t="shared" si="5"/>
        <v>0</v>
      </c>
      <c r="F58" s="1180">
        <f>+'Table 5C1A-Madison Prep'!F58</f>
        <v>658.37</v>
      </c>
      <c r="G58" s="1180">
        <f t="shared" si="6"/>
        <v>0</v>
      </c>
      <c r="H58" s="1539">
        <f t="shared" si="7"/>
        <v>0</v>
      </c>
      <c r="I58" s="1181"/>
      <c r="J58" s="1181"/>
      <c r="K58" s="1182">
        <f t="shared" si="8"/>
        <v>0</v>
      </c>
      <c r="L58" s="1539">
        <f t="shared" si="9"/>
        <v>0</v>
      </c>
      <c r="M58" s="1388">
        <f t="shared" si="4"/>
        <v>0</v>
      </c>
      <c r="N58" s="1539">
        <f t="shared" si="10"/>
        <v>0</v>
      </c>
      <c r="O58" s="1179">
        <v>0</v>
      </c>
      <c r="P58" s="1545">
        <f t="shared" si="11"/>
        <v>0</v>
      </c>
      <c r="Q58" s="1181"/>
      <c r="R58" s="1181">
        <f t="shared" si="12"/>
        <v>0</v>
      </c>
      <c r="S58" s="1545">
        <f t="shared" si="13"/>
        <v>0</v>
      </c>
      <c r="T58" s="1545">
        <f t="shared" si="14"/>
        <v>0</v>
      </c>
      <c r="U58" s="1389">
        <f>'Table 5C1A-Madison Prep'!U58</f>
        <v>5212</v>
      </c>
      <c r="V58" s="1515">
        <f t="shared" si="15"/>
        <v>0</v>
      </c>
      <c r="W58" s="1391"/>
      <c r="X58" s="1392">
        <f t="shared" si="16"/>
        <v>0</v>
      </c>
      <c r="Y58" s="1391"/>
      <c r="Z58" s="1392">
        <f t="shared" si="17"/>
        <v>0</v>
      </c>
      <c r="AA58" s="1390">
        <f t="shared" si="18"/>
        <v>0</v>
      </c>
      <c r="AB58" s="1510">
        <f t="shared" si="19"/>
        <v>0</v>
      </c>
      <c r="AC58" s="1394">
        <f t="shared" si="20"/>
        <v>0</v>
      </c>
      <c r="AD58" s="1510">
        <f t="shared" si="21"/>
        <v>0</v>
      </c>
      <c r="AE58" s="1395">
        <v>0</v>
      </c>
      <c r="AF58" s="1510">
        <f t="shared" si="22"/>
        <v>0</v>
      </c>
      <c r="AG58" s="1395"/>
      <c r="AH58" s="1395">
        <f t="shared" si="23"/>
        <v>0</v>
      </c>
      <c r="AI58" s="1510">
        <f t="shared" si="24"/>
        <v>0</v>
      </c>
      <c r="AJ58" s="1505">
        <f t="shared" si="25"/>
        <v>0</v>
      </c>
      <c r="AK58" s="1535">
        <f t="shared" si="26"/>
        <v>0</v>
      </c>
    </row>
    <row r="59" spans="1:37" ht="16.2" customHeight="1">
      <c r="A59" s="1176">
        <v>53</v>
      </c>
      <c r="B59" s="1177" t="s">
        <v>132</v>
      </c>
      <c r="C59" s="1178">
        <v>0</v>
      </c>
      <c r="D59" s="1179">
        <f>+'Table 5C1A-Madison Prep'!D59</f>
        <v>5060.1508194045482</v>
      </c>
      <c r="E59" s="1180">
        <f t="shared" si="5"/>
        <v>0</v>
      </c>
      <c r="F59" s="1180">
        <f>+'Table 5C1A-Madison Prep'!F59</f>
        <v>689.74</v>
      </c>
      <c r="G59" s="1180">
        <f t="shared" si="6"/>
        <v>0</v>
      </c>
      <c r="H59" s="1539">
        <f t="shared" si="7"/>
        <v>0</v>
      </c>
      <c r="I59" s="1181"/>
      <c r="J59" s="1181"/>
      <c r="K59" s="1182">
        <f t="shared" si="8"/>
        <v>0</v>
      </c>
      <c r="L59" s="1539">
        <f t="shared" si="9"/>
        <v>0</v>
      </c>
      <c r="M59" s="1388">
        <f t="shared" si="4"/>
        <v>0</v>
      </c>
      <c r="N59" s="1539">
        <f t="shared" si="10"/>
        <v>0</v>
      </c>
      <c r="O59" s="1179">
        <v>0</v>
      </c>
      <c r="P59" s="1545">
        <f t="shared" si="11"/>
        <v>0</v>
      </c>
      <c r="Q59" s="1181"/>
      <c r="R59" s="1181">
        <f t="shared" si="12"/>
        <v>0</v>
      </c>
      <c r="S59" s="1545">
        <f t="shared" si="13"/>
        <v>0</v>
      </c>
      <c r="T59" s="1545">
        <f t="shared" si="14"/>
        <v>0</v>
      </c>
      <c r="U59" s="1389">
        <f>'Table 5C1A-Madison Prep'!U59</f>
        <v>2054</v>
      </c>
      <c r="V59" s="1515">
        <f t="shared" si="15"/>
        <v>0</v>
      </c>
      <c r="W59" s="1391"/>
      <c r="X59" s="1392">
        <f t="shared" si="16"/>
        <v>0</v>
      </c>
      <c r="Y59" s="1391"/>
      <c r="Z59" s="1392">
        <f t="shared" si="17"/>
        <v>0</v>
      </c>
      <c r="AA59" s="1390">
        <f t="shared" si="18"/>
        <v>0</v>
      </c>
      <c r="AB59" s="1510">
        <f t="shared" si="19"/>
        <v>0</v>
      </c>
      <c r="AC59" s="1394">
        <f t="shared" si="20"/>
        <v>0</v>
      </c>
      <c r="AD59" s="1510">
        <f t="shared" si="21"/>
        <v>0</v>
      </c>
      <c r="AE59" s="1395">
        <v>0</v>
      </c>
      <c r="AF59" s="1510">
        <f t="shared" si="22"/>
        <v>0</v>
      </c>
      <c r="AG59" s="1395"/>
      <c r="AH59" s="1395">
        <f t="shared" si="23"/>
        <v>0</v>
      </c>
      <c r="AI59" s="1510">
        <f t="shared" si="24"/>
        <v>0</v>
      </c>
      <c r="AJ59" s="1505">
        <f t="shared" si="25"/>
        <v>0</v>
      </c>
      <c r="AK59" s="1535">
        <f t="shared" si="26"/>
        <v>0</v>
      </c>
    </row>
    <row r="60" spans="1:37" ht="16.2" customHeight="1">
      <c r="A60" s="1176">
        <v>54</v>
      </c>
      <c r="B60" s="1177" t="s">
        <v>133</v>
      </c>
      <c r="C60" s="1178">
        <v>0</v>
      </c>
      <c r="D60" s="1179">
        <f>+'Table 5C1A-Madison Prep'!D60</f>
        <v>5867.0798370516713</v>
      </c>
      <c r="E60" s="1180">
        <f t="shared" si="5"/>
        <v>0</v>
      </c>
      <c r="F60" s="1180">
        <f>+'Table 5C1A-Madison Prep'!F60</f>
        <v>951.45</v>
      </c>
      <c r="G60" s="1180">
        <f t="shared" si="6"/>
        <v>0</v>
      </c>
      <c r="H60" s="1539">
        <f t="shared" si="7"/>
        <v>0</v>
      </c>
      <c r="I60" s="1181"/>
      <c r="J60" s="1181"/>
      <c r="K60" s="1182">
        <f t="shared" si="8"/>
        <v>0</v>
      </c>
      <c r="L60" s="1539">
        <f t="shared" si="9"/>
        <v>0</v>
      </c>
      <c r="M60" s="1388">
        <f t="shared" si="4"/>
        <v>0</v>
      </c>
      <c r="N60" s="1539">
        <f t="shared" si="10"/>
        <v>0</v>
      </c>
      <c r="O60" s="1179">
        <v>0</v>
      </c>
      <c r="P60" s="1545">
        <f t="shared" si="11"/>
        <v>0</v>
      </c>
      <c r="Q60" s="1181"/>
      <c r="R60" s="1181">
        <f t="shared" si="12"/>
        <v>0</v>
      </c>
      <c r="S60" s="1545">
        <f t="shared" si="13"/>
        <v>0</v>
      </c>
      <c r="T60" s="1545">
        <f t="shared" si="14"/>
        <v>0</v>
      </c>
      <c r="U60" s="1389">
        <f>'Table 5C1A-Madison Prep'!U60</f>
        <v>4116</v>
      </c>
      <c r="V60" s="1515">
        <f t="shared" si="15"/>
        <v>0</v>
      </c>
      <c r="W60" s="1391"/>
      <c r="X60" s="1392">
        <f t="shared" si="16"/>
        <v>0</v>
      </c>
      <c r="Y60" s="1391"/>
      <c r="Z60" s="1392">
        <f t="shared" si="17"/>
        <v>0</v>
      </c>
      <c r="AA60" s="1390">
        <f t="shared" si="18"/>
        <v>0</v>
      </c>
      <c r="AB60" s="1510">
        <f t="shared" si="19"/>
        <v>0</v>
      </c>
      <c r="AC60" s="1394">
        <f t="shared" si="20"/>
        <v>0</v>
      </c>
      <c r="AD60" s="1510">
        <f t="shared" si="21"/>
        <v>0</v>
      </c>
      <c r="AE60" s="1395">
        <v>0</v>
      </c>
      <c r="AF60" s="1510">
        <f t="shared" si="22"/>
        <v>0</v>
      </c>
      <c r="AG60" s="1395"/>
      <c r="AH60" s="1395">
        <f t="shared" si="23"/>
        <v>0</v>
      </c>
      <c r="AI60" s="1510">
        <f t="shared" si="24"/>
        <v>0</v>
      </c>
      <c r="AJ60" s="1505">
        <f t="shared" si="25"/>
        <v>0</v>
      </c>
      <c r="AK60" s="1535">
        <f t="shared" si="26"/>
        <v>0</v>
      </c>
    </row>
    <row r="61" spans="1:37" ht="16.2" customHeight="1">
      <c r="A61" s="1168">
        <v>55</v>
      </c>
      <c r="B61" s="1169" t="s">
        <v>134</v>
      </c>
      <c r="C61" s="1170">
        <v>0</v>
      </c>
      <c r="D61" s="1171">
        <f>+'Table 5C1A-Madison Prep'!D61</f>
        <v>4266.8225491298481</v>
      </c>
      <c r="E61" s="1172">
        <f t="shared" si="5"/>
        <v>0</v>
      </c>
      <c r="F61" s="1172">
        <f>+'Table 5C1A-Madison Prep'!F61</f>
        <v>795.14</v>
      </c>
      <c r="G61" s="1172">
        <f t="shared" si="6"/>
        <v>0</v>
      </c>
      <c r="H61" s="1540">
        <f t="shared" si="7"/>
        <v>0</v>
      </c>
      <c r="I61" s="1173"/>
      <c r="J61" s="1173"/>
      <c r="K61" s="1174">
        <f t="shared" si="8"/>
        <v>0</v>
      </c>
      <c r="L61" s="1540">
        <f t="shared" si="9"/>
        <v>0</v>
      </c>
      <c r="M61" s="1399">
        <f t="shared" si="4"/>
        <v>0</v>
      </c>
      <c r="N61" s="1540">
        <f t="shared" si="10"/>
        <v>0</v>
      </c>
      <c r="O61" s="1171">
        <v>0</v>
      </c>
      <c r="P61" s="1546">
        <f t="shared" si="11"/>
        <v>0</v>
      </c>
      <c r="Q61" s="1173"/>
      <c r="R61" s="1173">
        <f t="shared" si="12"/>
        <v>0</v>
      </c>
      <c r="S61" s="1546">
        <f t="shared" si="13"/>
        <v>0</v>
      </c>
      <c r="T61" s="1546">
        <f t="shared" si="14"/>
        <v>0</v>
      </c>
      <c r="U61" s="1382">
        <f>'Table 5C1A-Madison Prep'!U61</f>
        <v>3532</v>
      </c>
      <c r="V61" s="1516">
        <f t="shared" si="15"/>
        <v>0</v>
      </c>
      <c r="W61" s="1400"/>
      <c r="X61" s="1383">
        <f t="shared" si="16"/>
        <v>0</v>
      </c>
      <c r="Y61" s="1400"/>
      <c r="Z61" s="1383">
        <f t="shared" si="17"/>
        <v>0</v>
      </c>
      <c r="AA61" s="1384">
        <f t="shared" si="18"/>
        <v>0</v>
      </c>
      <c r="AB61" s="1511">
        <f t="shared" si="19"/>
        <v>0</v>
      </c>
      <c r="AC61" s="1402">
        <f t="shared" si="20"/>
        <v>0</v>
      </c>
      <c r="AD61" s="1511">
        <f t="shared" si="21"/>
        <v>0</v>
      </c>
      <c r="AE61" s="1385">
        <v>0</v>
      </c>
      <c r="AF61" s="1511">
        <f t="shared" si="22"/>
        <v>0</v>
      </c>
      <c r="AG61" s="1385"/>
      <c r="AH61" s="1385">
        <f t="shared" si="23"/>
        <v>0</v>
      </c>
      <c r="AI61" s="1511">
        <f t="shared" si="24"/>
        <v>0</v>
      </c>
      <c r="AJ61" s="1531">
        <f t="shared" si="25"/>
        <v>0</v>
      </c>
      <c r="AK61" s="1536">
        <f t="shared" si="26"/>
        <v>0</v>
      </c>
    </row>
    <row r="62" spans="1:37" ht="16.2" customHeight="1">
      <c r="A62" s="1183">
        <v>56</v>
      </c>
      <c r="B62" s="1184" t="s">
        <v>135</v>
      </c>
      <c r="C62" s="1185">
        <v>40</v>
      </c>
      <c r="D62" s="1186">
        <f>+'Table 5C1A-Madison Prep'!D62</f>
        <v>5028.4909408288286</v>
      </c>
      <c r="E62" s="1187">
        <f t="shared" si="5"/>
        <v>201139.63763315315</v>
      </c>
      <c r="F62" s="1187">
        <f>+'Table 5C1A-Madison Prep'!F62</f>
        <v>614.66000000000008</v>
      </c>
      <c r="G62" s="1187">
        <f t="shared" si="6"/>
        <v>24586.400000000001</v>
      </c>
      <c r="H62" s="1538">
        <f t="shared" si="7"/>
        <v>225726.03763315314</v>
      </c>
      <c r="I62" s="1188"/>
      <c r="J62" s="1188"/>
      <c r="K62" s="1189">
        <f t="shared" si="8"/>
        <v>0</v>
      </c>
      <c r="L62" s="1538">
        <f t="shared" si="9"/>
        <v>225726.03763315314</v>
      </c>
      <c r="M62" s="1372">
        <f t="shared" si="4"/>
        <v>-564.31509408288287</v>
      </c>
      <c r="N62" s="1538">
        <f t="shared" si="10"/>
        <v>225161.72253907027</v>
      </c>
      <c r="O62" s="1186">
        <v>0</v>
      </c>
      <c r="P62" s="1544">
        <f t="shared" si="11"/>
        <v>225161.72253907027</v>
      </c>
      <c r="Q62" s="1188"/>
      <c r="R62" s="1188">
        <f t="shared" si="12"/>
        <v>225161.72253907027</v>
      </c>
      <c r="S62" s="1544">
        <f t="shared" si="13"/>
        <v>18763</v>
      </c>
      <c r="T62" s="1544">
        <f t="shared" si="14"/>
        <v>225161.72253907027</v>
      </c>
      <c r="U62" s="1373">
        <f>'Table 5C1A-Madison Prep'!U62</f>
        <v>2865</v>
      </c>
      <c r="V62" s="1514">
        <f t="shared" si="15"/>
        <v>114600</v>
      </c>
      <c r="W62" s="1375"/>
      <c r="X62" s="1376">
        <f t="shared" si="16"/>
        <v>0</v>
      </c>
      <c r="Y62" s="1375"/>
      <c r="Z62" s="1376">
        <f t="shared" si="17"/>
        <v>0</v>
      </c>
      <c r="AA62" s="1374">
        <f t="shared" si="18"/>
        <v>0</v>
      </c>
      <c r="AB62" s="1509">
        <f t="shared" si="19"/>
        <v>114600</v>
      </c>
      <c r="AC62" s="1378">
        <f t="shared" si="20"/>
        <v>-286.5</v>
      </c>
      <c r="AD62" s="1509">
        <f t="shared" si="21"/>
        <v>114313.5</v>
      </c>
      <c r="AE62" s="1379">
        <v>0</v>
      </c>
      <c r="AF62" s="1509">
        <f t="shared" si="22"/>
        <v>114313.5</v>
      </c>
      <c r="AG62" s="1379"/>
      <c r="AH62" s="1379">
        <f t="shared" si="23"/>
        <v>114313.5</v>
      </c>
      <c r="AI62" s="1509">
        <f t="shared" si="24"/>
        <v>9526</v>
      </c>
      <c r="AJ62" s="1530">
        <f t="shared" si="25"/>
        <v>339475.2225390703</v>
      </c>
      <c r="AK62" s="1534">
        <f t="shared" si="26"/>
        <v>28289</v>
      </c>
    </row>
    <row r="63" spans="1:37" ht="16.2" customHeight="1">
      <c r="A63" s="1176">
        <v>57</v>
      </c>
      <c r="B63" s="1177" t="s">
        <v>136</v>
      </c>
      <c r="C63" s="1178">
        <v>0</v>
      </c>
      <c r="D63" s="1179">
        <f>+'Table 5C1A-Madison Prep'!D63</f>
        <v>4625.9922979230687</v>
      </c>
      <c r="E63" s="1180">
        <f t="shared" si="5"/>
        <v>0</v>
      </c>
      <c r="F63" s="1180">
        <f>+'Table 5C1A-Madison Prep'!F63</f>
        <v>764.51</v>
      </c>
      <c r="G63" s="1180">
        <f t="shared" si="6"/>
        <v>0</v>
      </c>
      <c r="H63" s="1539">
        <f t="shared" si="7"/>
        <v>0</v>
      </c>
      <c r="I63" s="1181"/>
      <c r="J63" s="1181"/>
      <c r="K63" s="1182">
        <f t="shared" si="8"/>
        <v>0</v>
      </c>
      <c r="L63" s="1539">
        <f t="shared" si="9"/>
        <v>0</v>
      </c>
      <c r="M63" s="1388">
        <f t="shared" si="4"/>
        <v>0</v>
      </c>
      <c r="N63" s="1539">
        <f t="shared" si="10"/>
        <v>0</v>
      </c>
      <c r="O63" s="1179">
        <v>0</v>
      </c>
      <c r="P63" s="1545">
        <f t="shared" si="11"/>
        <v>0</v>
      </c>
      <c r="Q63" s="1181"/>
      <c r="R63" s="1181">
        <f t="shared" si="12"/>
        <v>0</v>
      </c>
      <c r="S63" s="1545">
        <f t="shared" si="13"/>
        <v>0</v>
      </c>
      <c r="T63" s="1545">
        <f t="shared" si="14"/>
        <v>0</v>
      </c>
      <c r="U63" s="1389">
        <f>'Table 5C1A-Madison Prep'!U63</f>
        <v>3395</v>
      </c>
      <c r="V63" s="1515">
        <f t="shared" si="15"/>
        <v>0</v>
      </c>
      <c r="W63" s="1391"/>
      <c r="X63" s="1392">
        <f t="shared" si="16"/>
        <v>0</v>
      </c>
      <c r="Y63" s="1391"/>
      <c r="Z63" s="1392">
        <f t="shared" si="17"/>
        <v>0</v>
      </c>
      <c r="AA63" s="1390">
        <f t="shared" si="18"/>
        <v>0</v>
      </c>
      <c r="AB63" s="1510">
        <f t="shared" si="19"/>
        <v>0</v>
      </c>
      <c r="AC63" s="1394">
        <f t="shared" si="20"/>
        <v>0</v>
      </c>
      <c r="AD63" s="1510">
        <f t="shared" si="21"/>
        <v>0</v>
      </c>
      <c r="AE63" s="1395">
        <v>0</v>
      </c>
      <c r="AF63" s="1510">
        <f t="shared" si="22"/>
        <v>0</v>
      </c>
      <c r="AG63" s="1395"/>
      <c r="AH63" s="1395">
        <f t="shared" si="23"/>
        <v>0</v>
      </c>
      <c r="AI63" s="1510">
        <f t="shared" si="24"/>
        <v>0</v>
      </c>
      <c r="AJ63" s="1505">
        <f t="shared" si="25"/>
        <v>0</v>
      </c>
      <c r="AK63" s="1535">
        <f t="shared" si="26"/>
        <v>0</v>
      </c>
    </row>
    <row r="64" spans="1:37" ht="16.2" customHeight="1">
      <c r="A64" s="1176">
        <v>58</v>
      </c>
      <c r="B64" s="1177" t="s">
        <v>137</v>
      </c>
      <c r="C64" s="1178">
        <v>0</v>
      </c>
      <c r="D64" s="1179">
        <f>+'Table 5C1A-Madison Prep'!D64</f>
        <v>5673.1129637882123</v>
      </c>
      <c r="E64" s="1180">
        <f t="shared" si="5"/>
        <v>0</v>
      </c>
      <c r="F64" s="1180">
        <f>+'Table 5C1A-Madison Prep'!F64</f>
        <v>697.04</v>
      </c>
      <c r="G64" s="1180">
        <f t="shared" si="6"/>
        <v>0</v>
      </c>
      <c r="H64" s="1539">
        <f t="shared" si="7"/>
        <v>0</v>
      </c>
      <c r="I64" s="1181"/>
      <c r="J64" s="1181"/>
      <c r="K64" s="1182">
        <f t="shared" si="8"/>
        <v>0</v>
      </c>
      <c r="L64" s="1539">
        <f t="shared" si="9"/>
        <v>0</v>
      </c>
      <c r="M64" s="1388">
        <f t="shared" si="4"/>
        <v>0</v>
      </c>
      <c r="N64" s="1539">
        <f t="shared" si="10"/>
        <v>0</v>
      </c>
      <c r="O64" s="1179">
        <v>0</v>
      </c>
      <c r="P64" s="1545">
        <f t="shared" si="11"/>
        <v>0</v>
      </c>
      <c r="Q64" s="1181"/>
      <c r="R64" s="1181">
        <f t="shared" si="12"/>
        <v>0</v>
      </c>
      <c r="S64" s="1545">
        <f t="shared" si="13"/>
        <v>0</v>
      </c>
      <c r="T64" s="1545">
        <f t="shared" si="14"/>
        <v>0</v>
      </c>
      <c r="U64" s="1389">
        <f>'Table 5C1A-Madison Prep'!U64</f>
        <v>2084</v>
      </c>
      <c r="V64" s="1515">
        <f t="shared" si="15"/>
        <v>0</v>
      </c>
      <c r="W64" s="1391"/>
      <c r="X64" s="1392">
        <f t="shared" si="16"/>
        <v>0</v>
      </c>
      <c r="Y64" s="1391"/>
      <c r="Z64" s="1392">
        <f t="shared" si="17"/>
        <v>0</v>
      </c>
      <c r="AA64" s="1390">
        <f t="shared" si="18"/>
        <v>0</v>
      </c>
      <c r="AB64" s="1510">
        <f t="shared" si="19"/>
        <v>0</v>
      </c>
      <c r="AC64" s="1394">
        <f t="shared" si="20"/>
        <v>0</v>
      </c>
      <c r="AD64" s="1510">
        <f t="shared" si="21"/>
        <v>0</v>
      </c>
      <c r="AE64" s="1395">
        <v>0</v>
      </c>
      <c r="AF64" s="1510">
        <f t="shared" si="22"/>
        <v>0</v>
      </c>
      <c r="AG64" s="1395"/>
      <c r="AH64" s="1395">
        <f t="shared" si="23"/>
        <v>0</v>
      </c>
      <c r="AI64" s="1510">
        <f t="shared" si="24"/>
        <v>0</v>
      </c>
      <c r="AJ64" s="1505">
        <f t="shared" si="25"/>
        <v>0</v>
      </c>
      <c r="AK64" s="1535">
        <f t="shared" si="26"/>
        <v>0</v>
      </c>
    </row>
    <row r="65" spans="1:37" ht="16.2" customHeight="1">
      <c r="A65" s="1176">
        <v>59</v>
      </c>
      <c r="B65" s="1177" t="s">
        <v>138</v>
      </c>
      <c r="C65" s="1178">
        <v>0</v>
      </c>
      <c r="D65" s="1179">
        <f>+'Table 5C1A-Madison Prep'!D65</f>
        <v>6621.946293521848</v>
      </c>
      <c r="E65" s="1180">
        <f t="shared" si="5"/>
        <v>0</v>
      </c>
      <c r="F65" s="1180">
        <f>+'Table 5C1A-Madison Prep'!F65</f>
        <v>689.52</v>
      </c>
      <c r="G65" s="1180">
        <f t="shared" si="6"/>
        <v>0</v>
      </c>
      <c r="H65" s="1539">
        <f t="shared" si="7"/>
        <v>0</v>
      </c>
      <c r="I65" s="1181"/>
      <c r="J65" s="1181"/>
      <c r="K65" s="1182">
        <f t="shared" si="8"/>
        <v>0</v>
      </c>
      <c r="L65" s="1539">
        <f t="shared" si="9"/>
        <v>0</v>
      </c>
      <c r="M65" s="1388">
        <f t="shared" si="4"/>
        <v>0</v>
      </c>
      <c r="N65" s="1539">
        <f t="shared" si="10"/>
        <v>0</v>
      </c>
      <c r="O65" s="1179">
        <v>0</v>
      </c>
      <c r="P65" s="1545">
        <f t="shared" si="11"/>
        <v>0</v>
      </c>
      <c r="Q65" s="1181"/>
      <c r="R65" s="1181">
        <f t="shared" si="12"/>
        <v>0</v>
      </c>
      <c r="S65" s="1545">
        <f t="shared" si="13"/>
        <v>0</v>
      </c>
      <c r="T65" s="1545">
        <f t="shared" si="14"/>
        <v>0</v>
      </c>
      <c r="U65" s="1389">
        <f>'Table 5C1A-Madison Prep'!U65</f>
        <v>1577</v>
      </c>
      <c r="V65" s="1515">
        <f t="shared" si="15"/>
        <v>0</v>
      </c>
      <c r="W65" s="1391"/>
      <c r="X65" s="1392">
        <f t="shared" si="16"/>
        <v>0</v>
      </c>
      <c r="Y65" s="1391"/>
      <c r="Z65" s="1392">
        <f t="shared" si="17"/>
        <v>0</v>
      </c>
      <c r="AA65" s="1390">
        <f t="shared" si="18"/>
        <v>0</v>
      </c>
      <c r="AB65" s="1510">
        <f t="shared" si="19"/>
        <v>0</v>
      </c>
      <c r="AC65" s="1394">
        <f t="shared" si="20"/>
        <v>0</v>
      </c>
      <c r="AD65" s="1510">
        <f t="shared" si="21"/>
        <v>0</v>
      </c>
      <c r="AE65" s="1395">
        <v>0</v>
      </c>
      <c r="AF65" s="1510">
        <f t="shared" si="22"/>
        <v>0</v>
      </c>
      <c r="AG65" s="1395"/>
      <c r="AH65" s="1395">
        <f t="shared" si="23"/>
        <v>0</v>
      </c>
      <c r="AI65" s="1510">
        <f t="shared" si="24"/>
        <v>0</v>
      </c>
      <c r="AJ65" s="1505">
        <f t="shared" si="25"/>
        <v>0</v>
      </c>
      <c r="AK65" s="1535">
        <f t="shared" si="26"/>
        <v>0</v>
      </c>
    </row>
    <row r="66" spans="1:37" ht="16.2" customHeight="1">
      <c r="A66" s="1168">
        <v>60</v>
      </c>
      <c r="B66" s="1169" t="s">
        <v>139</v>
      </c>
      <c r="C66" s="1170">
        <v>0</v>
      </c>
      <c r="D66" s="1171">
        <f>+'Table 5C1A-Madison Prep'!D66</f>
        <v>5301.224090063828</v>
      </c>
      <c r="E66" s="1172">
        <f t="shared" si="5"/>
        <v>0</v>
      </c>
      <c r="F66" s="1172">
        <f>+'Table 5C1A-Madison Prep'!F66</f>
        <v>594.04</v>
      </c>
      <c r="G66" s="1172">
        <f t="shared" si="6"/>
        <v>0</v>
      </c>
      <c r="H66" s="1540">
        <f t="shared" si="7"/>
        <v>0</v>
      </c>
      <c r="I66" s="1173"/>
      <c r="J66" s="1173"/>
      <c r="K66" s="1174">
        <f t="shared" si="8"/>
        <v>0</v>
      </c>
      <c r="L66" s="1540">
        <f t="shared" si="9"/>
        <v>0</v>
      </c>
      <c r="M66" s="1399">
        <f t="shared" si="4"/>
        <v>0</v>
      </c>
      <c r="N66" s="1540">
        <f t="shared" si="10"/>
        <v>0</v>
      </c>
      <c r="O66" s="1171">
        <v>0</v>
      </c>
      <c r="P66" s="1546">
        <f t="shared" si="11"/>
        <v>0</v>
      </c>
      <c r="Q66" s="1173"/>
      <c r="R66" s="1173">
        <f t="shared" si="12"/>
        <v>0</v>
      </c>
      <c r="S66" s="1546">
        <f t="shared" si="13"/>
        <v>0</v>
      </c>
      <c r="T66" s="1546">
        <f t="shared" si="14"/>
        <v>0</v>
      </c>
      <c r="U66" s="1382">
        <f>'Table 5C1A-Madison Prep'!U66</f>
        <v>3922</v>
      </c>
      <c r="V66" s="1516">
        <f t="shared" si="15"/>
        <v>0</v>
      </c>
      <c r="W66" s="1400"/>
      <c r="X66" s="1383">
        <f t="shared" si="16"/>
        <v>0</v>
      </c>
      <c r="Y66" s="1400"/>
      <c r="Z66" s="1383">
        <f t="shared" si="17"/>
        <v>0</v>
      </c>
      <c r="AA66" s="1384">
        <f t="shared" si="18"/>
        <v>0</v>
      </c>
      <c r="AB66" s="1511">
        <f t="shared" si="19"/>
        <v>0</v>
      </c>
      <c r="AC66" s="1402">
        <f t="shared" si="20"/>
        <v>0</v>
      </c>
      <c r="AD66" s="1511">
        <f t="shared" si="21"/>
        <v>0</v>
      </c>
      <c r="AE66" s="1385">
        <v>0</v>
      </c>
      <c r="AF66" s="1511">
        <f t="shared" si="22"/>
        <v>0</v>
      </c>
      <c r="AG66" s="1385"/>
      <c r="AH66" s="1385">
        <f t="shared" si="23"/>
        <v>0</v>
      </c>
      <c r="AI66" s="1511">
        <f t="shared" si="24"/>
        <v>0</v>
      </c>
      <c r="AJ66" s="1531">
        <f t="shared" si="25"/>
        <v>0</v>
      </c>
      <c r="AK66" s="1536">
        <f t="shared" si="26"/>
        <v>0</v>
      </c>
    </row>
    <row r="67" spans="1:37" ht="16.2" customHeight="1">
      <c r="A67" s="1183">
        <v>61</v>
      </c>
      <c r="B67" s="1184" t="s">
        <v>140</v>
      </c>
      <c r="C67" s="1185">
        <v>0</v>
      </c>
      <c r="D67" s="1186">
        <f>+'Table 5C1A-Madison Prep'!D67</f>
        <v>2854.1575356369185</v>
      </c>
      <c r="E67" s="1187">
        <f t="shared" si="5"/>
        <v>0</v>
      </c>
      <c r="F67" s="1187">
        <f>+'Table 5C1A-Madison Prep'!F67</f>
        <v>833.70999999999992</v>
      </c>
      <c r="G67" s="1187">
        <f t="shared" si="6"/>
        <v>0</v>
      </c>
      <c r="H67" s="1538">
        <f t="shared" si="7"/>
        <v>0</v>
      </c>
      <c r="I67" s="1188"/>
      <c r="J67" s="1188"/>
      <c r="K67" s="1189">
        <f t="shared" si="8"/>
        <v>0</v>
      </c>
      <c r="L67" s="1538">
        <f t="shared" si="9"/>
        <v>0</v>
      </c>
      <c r="M67" s="1372">
        <f t="shared" si="4"/>
        <v>0</v>
      </c>
      <c r="N67" s="1538">
        <f t="shared" si="10"/>
        <v>0</v>
      </c>
      <c r="O67" s="1186">
        <v>0</v>
      </c>
      <c r="P67" s="1544">
        <f t="shared" si="11"/>
        <v>0</v>
      </c>
      <c r="Q67" s="1188"/>
      <c r="R67" s="1188">
        <f t="shared" si="12"/>
        <v>0</v>
      </c>
      <c r="S67" s="1544">
        <f t="shared" si="13"/>
        <v>0</v>
      </c>
      <c r="T67" s="1544">
        <f t="shared" si="14"/>
        <v>0</v>
      </c>
      <c r="U67" s="1373">
        <f>'Table 5C1A-Madison Prep'!U67</f>
        <v>6745</v>
      </c>
      <c r="V67" s="1514">
        <f t="shared" si="15"/>
        <v>0</v>
      </c>
      <c r="W67" s="1375"/>
      <c r="X67" s="1376">
        <f t="shared" si="16"/>
        <v>0</v>
      </c>
      <c r="Y67" s="1375"/>
      <c r="Z67" s="1376">
        <f t="shared" si="17"/>
        <v>0</v>
      </c>
      <c r="AA67" s="1374">
        <f t="shared" si="18"/>
        <v>0</v>
      </c>
      <c r="AB67" s="1509">
        <f t="shared" si="19"/>
        <v>0</v>
      </c>
      <c r="AC67" s="1378">
        <f t="shared" si="20"/>
        <v>0</v>
      </c>
      <c r="AD67" s="1509">
        <f t="shared" si="21"/>
        <v>0</v>
      </c>
      <c r="AE67" s="1379">
        <v>0</v>
      </c>
      <c r="AF67" s="1509">
        <f t="shared" si="22"/>
        <v>0</v>
      </c>
      <c r="AG67" s="1379"/>
      <c r="AH67" s="1379">
        <f t="shared" si="23"/>
        <v>0</v>
      </c>
      <c r="AI67" s="1509">
        <f t="shared" si="24"/>
        <v>0</v>
      </c>
      <c r="AJ67" s="1530">
        <f t="shared" si="25"/>
        <v>0</v>
      </c>
      <c r="AK67" s="1534">
        <f t="shared" si="26"/>
        <v>0</v>
      </c>
    </row>
    <row r="68" spans="1:37" ht="16.2" customHeight="1">
      <c r="A68" s="1176">
        <v>62</v>
      </c>
      <c r="B68" s="1177" t="s">
        <v>141</v>
      </c>
      <c r="C68" s="1178">
        <v>0</v>
      </c>
      <c r="D68" s="1179">
        <f>+'Table 5C1A-Madison Prep'!D68</f>
        <v>5901.074538516008</v>
      </c>
      <c r="E68" s="1180">
        <f t="shared" si="5"/>
        <v>0</v>
      </c>
      <c r="F68" s="1180">
        <f>+'Table 5C1A-Madison Prep'!F68</f>
        <v>516.08000000000004</v>
      </c>
      <c r="G68" s="1180">
        <f t="shared" si="6"/>
        <v>0</v>
      </c>
      <c r="H68" s="1539">
        <f t="shared" si="7"/>
        <v>0</v>
      </c>
      <c r="I68" s="1181"/>
      <c r="J68" s="1181"/>
      <c r="K68" s="1182">
        <f t="shared" si="8"/>
        <v>0</v>
      </c>
      <c r="L68" s="1539">
        <f t="shared" si="9"/>
        <v>0</v>
      </c>
      <c r="M68" s="1388">
        <f t="shared" si="4"/>
        <v>0</v>
      </c>
      <c r="N68" s="1539">
        <f t="shared" si="10"/>
        <v>0</v>
      </c>
      <c r="O68" s="1179">
        <v>0</v>
      </c>
      <c r="P68" s="1545">
        <f t="shared" si="11"/>
        <v>0</v>
      </c>
      <c r="Q68" s="1181"/>
      <c r="R68" s="1181">
        <f t="shared" si="12"/>
        <v>0</v>
      </c>
      <c r="S68" s="1545">
        <f t="shared" si="13"/>
        <v>0</v>
      </c>
      <c r="T68" s="1545">
        <f t="shared" si="14"/>
        <v>0</v>
      </c>
      <c r="U68" s="1389">
        <f>'Table 5C1A-Madison Prep'!U68</f>
        <v>1908</v>
      </c>
      <c r="V68" s="1515">
        <f t="shared" si="15"/>
        <v>0</v>
      </c>
      <c r="W68" s="1391"/>
      <c r="X68" s="1392">
        <f t="shared" si="16"/>
        <v>0</v>
      </c>
      <c r="Y68" s="1391"/>
      <c r="Z68" s="1392">
        <f t="shared" si="17"/>
        <v>0</v>
      </c>
      <c r="AA68" s="1390">
        <f t="shared" si="18"/>
        <v>0</v>
      </c>
      <c r="AB68" s="1510">
        <f t="shared" si="19"/>
        <v>0</v>
      </c>
      <c r="AC68" s="1394">
        <f t="shared" si="20"/>
        <v>0</v>
      </c>
      <c r="AD68" s="1510">
        <f t="shared" si="21"/>
        <v>0</v>
      </c>
      <c r="AE68" s="1395">
        <v>0</v>
      </c>
      <c r="AF68" s="1510">
        <f t="shared" si="22"/>
        <v>0</v>
      </c>
      <c r="AG68" s="1395"/>
      <c r="AH68" s="1395">
        <f t="shared" si="23"/>
        <v>0</v>
      </c>
      <c r="AI68" s="1510">
        <f t="shared" si="24"/>
        <v>0</v>
      </c>
      <c r="AJ68" s="1505">
        <f t="shared" si="25"/>
        <v>0</v>
      </c>
      <c r="AK68" s="1535">
        <f t="shared" si="26"/>
        <v>0</v>
      </c>
    </row>
    <row r="69" spans="1:37" ht="16.2" customHeight="1">
      <c r="A69" s="1176">
        <v>63</v>
      </c>
      <c r="B69" s="1177" t="s">
        <v>142</v>
      </c>
      <c r="C69" s="1178">
        <v>0</v>
      </c>
      <c r="D69" s="1179">
        <f>+'Table 5C1A-Madison Prep'!D69</f>
        <v>4124.3813481848092</v>
      </c>
      <c r="E69" s="1180">
        <f t="shared" si="5"/>
        <v>0</v>
      </c>
      <c r="F69" s="1180">
        <f>+'Table 5C1A-Madison Prep'!F69</f>
        <v>756.79</v>
      </c>
      <c r="G69" s="1180">
        <f t="shared" si="6"/>
        <v>0</v>
      </c>
      <c r="H69" s="1539">
        <f t="shared" si="7"/>
        <v>0</v>
      </c>
      <c r="I69" s="1181"/>
      <c r="J69" s="1181"/>
      <c r="K69" s="1182">
        <f t="shared" si="8"/>
        <v>0</v>
      </c>
      <c r="L69" s="1539">
        <f t="shared" si="9"/>
        <v>0</v>
      </c>
      <c r="M69" s="1388">
        <f t="shared" si="4"/>
        <v>0</v>
      </c>
      <c r="N69" s="1539">
        <f t="shared" si="10"/>
        <v>0</v>
      </c>
      <c r="O69" s="1179">
        <v>0</v>
      </c>
      <c r="P69" s="1545">
        <f t="shared" si="11"/>
        <v>0</v>
      </c>
      <c r="Q69" s="1181"/>
      <c r="R69" s="1181">
        <f t="shared" si="12"/>
        <v>0</v>
      </c>
      <c r="S69" s="1545">
        <f t="shared" si="13"/>
        <v>0</v>
      </c>
      <c r="T69" s="1545">
        <f t="shared" si="14"/>
        <v>0</v>
      </c>
      <c r="U69" s="1389">
        <f>'Table 5C1A-Madison Prep'!U69</f>
        <v>7290</v>
      </c>
      <c r="V69" s="1515">
        <f t="shared" si="15"/>
        <v>0</v>
      </c>
      <c r="W69" s="1391"/>
      <c r="X69" s="1392">
        <f t="shared" si="16"/>
        <v>0</v>
      </c>
      <c r="Y69" s="1391"/>
      <c r="Z69" s="1392">
        <f t="shared" si="17"/>
        <v>0</v>
      </c>
      <c r="AA69" s="1390">
        <f t="shared" si="18"/>
        <v>0</v>
      </c>
      <c r="AB69" s="1510">
        <f t="shared" si="19"/>
        <v>0</v>
      </c>
      <c r="AC69" s="1394">
        <f t="shared" si="20"/>
        <v>0</v>
      </c>
      <c r="AD69" s="1510">
        <f t="shared" si="21"/>
        <v>0</v>
      </c>
      <c r="AE69" s="1395">
        <v>0</v>
      </c>
      <c r="AF69" s="1510">
        <f t="shared" si="22"/>
        <v>0</v>
      </c>
      <c r="AG69" s="1395"/>
      <c r="AH69" s="1395">
        <f t="shared" si="23"/>
        <v>0</v>
      </c>
      <c r="AI69" s="1510">
        <f t="shared" si="24"/>
        <v>0</v>
      </c>
      <c r="AJ69" s="1505">
        <f t="shared" si="25"/>
        <v>0</v>
      </c>
      <c r="AK69" s="1535">
        <f t="shared" si="26"/>
        <v>0</v>
      </c>
    </row>
    <row r="70" spans="1:37" ht="16.2" customHeight="1">
      <c r="A70" s="1176">
        <v>64</v>
      </c>
      <c r="B70" s="1177" t="s">
        <v>143</v>
      </c>
      <c r="C70" s="1178">
        <v>0</v>
      </c>
      <c r="D70" s="1179">
        <f>+'Table 5C1A-Madison Prep'!D70</f>
        <v>6277.8307532778254</v>
      </c>
      <c r="E70" s="1180">
        <f t="shared" si="5"/>
        <v>0</v>
      </c>
      <c r="F70" s="1180">
        <f>+'Table 5C1A-Madison Prep'!F70</f>
        <v>592.66</v>
      </c>
      <c r="G70" s="1180">
        <f t="shared" si="6"/>
        <v>0</v>
      </c>
      <c r="H70" s="1539">
        <f t="shared" si="7"/>
        <v>0</v>
      </c>
      <c r="I70" s="1181"/>
      <c r="J70" s="1181"/>
      <c r="K70" s="1182">
        <f t="shared" si="8"/>
        <v>0</v>
      </c>
      <c r="L70" s="1539">
        <f t="shared" si="9"/>
        <v>0</v>
      </c>
      <c r="M70" s="1388">
        <f t="shared" si="4"/>
        <v>0</v>
      </c>
      <c r="N70" s="1539">
        <f t="shared" si="10"/>
        <v>0</v>
      </c>
      <c r="O70" s="1179">
        <v>0</v>
      </c>
      <c r="P70" s="1545">
        <f t="shared" si="11"/>
        <v>0</v>
      </c>
      <c r="Q70" s="1181"/>
      <c r="R70" s="1181">
        <f t="shared" si="12"/>
        <v>0</v>
      </c>
      <c r="S70" s="1545">
        <f t="shared" si="13"/>
        <v>0</v>
      </c>
      <c r="T70" s="1545">
        <f t="shared" si="14"/>
        <v>0</v>
      </c>
      <c r="U70" s="1389">
        <f>'Table 5C1A-Madison Prep'!U70</f>
        <v>2721</v>
      </c>
      <c r="V70" s="1515">
        <f t="shared" si="15"/>
        <v>0</v>
      </c>
      <c r="W70" s="1391"/>
      <c r="X70" s="1392">
        <f t="shared" si="16"/>
        <v>0</v>
      </c>
      <c r="Y70" s="1391"/>
      <c r="Z70" s="1392">
        <f t="shared" si="17"/>
        <v>0</v>
      </c>
      <c r="AA70" s="1390">
        <f t="shared" si="18"/>
        <v>0</v>
      </c>
      <c r="AB70" s="1510">
        <f t="shared" si="19"/>
        <v>0</v>
      </c>
      <c r="AC70" s="1394">
        <f t="shared" si="20"/>
        <v>0</v>
      </c>
      <c r="AD70" s="1510">
        <f t="shared" si="21"/>
        <v>0</v>
      </c>
      <c r="AE70" s="1395">
        <v>0</v>
      </c>
      <c r="AF70" s="1510">
        <f t="shared" si="22"/>
        <v>0</v>
      </c>
      <c r="AG70" s="1395"/>
      <c r="AH70" s="1395">
        <f t="shared" si="23"/>
        <v>0</v>
      </c>
      <c r="AI70" s="1510">
        <f t="shared" si="24"/>
        <v>0</v>
      </c>
      <c r="AJ70" s="1505">
        <f t="shared" si="25"/>
        <v>0</v>
      </c>
      <c r="AK70" s="1535">
        <f t="shared" si="26"/>
        <v>0</v>
      </c>
    </row>
    <row r="71" spans="1:37" ht="16.2" customHeight="1">
      <c r="A71" s="1168">
        <v>65</v>
      </c>
      <c r="B71" s="1169" t="s">
        <v>144</v>
      </c>
      <c r="C71" s="1170">
        <v>0</v>
      </c>
      <c r="D71" s="1171">
        <f>+'Table 5C1A-Madison Prep'!D71</f>
        <v>4775.1605543943642</v>
      </c>
      <c r="E71" s="1172">
        <f t="shared" si="5"/>
        <v>0</v>
      </c>
      <c r="F71" s="1172">
        <f>+'Table 5C1A-Madison Prep'!F71</f>
        <v>829.12</v>
      </c>
      <c r="G71" s="1172">
        <f t="shared" si="6"/>
        <v>0</v>
      </c>
      <c r="H71" s="1540">
        <f t="shared" si="7"/>
        <v>0</v>
      </c>
      <c r="I71" s="1173"/>
      <c r="J71" s="1173"/>
      <c r="K71" s="1174">
        <f t="shared" si="8"/>
        <v>0</v>
      </c>
      <c r="L71" s="1540">
        <f t="shared" si="9"/>
        <v>0</v>
      </c>
      <c r="M71" s="1399">
        <f t="shared" ref="M71:M74" si="27">-(0.25%*L71)</f>
        <v>0</v>
      </c>
      <c r="N71" s="1540">
        <f t="shared" si="10"/>
        <v>0</v>
      </c>
      <c r="O71" s="1171">
        <v>0</v>
      </c>
      <c r="P71" s="1546">
        <f t="shared" si="11"/>
        <v>0</v>
      </c>
      <c r="Q71" s="1173"/>
      <c r="R71" s="1173">
        <f t="shared" si="12"/>
        <v>0</v>
      </c>
      <c r="S71" s="1546">
        <f t="shared" si="13"/>
        <v>0</v>
      </c>
      <c r="T71" s="1546">
        <f t="shared" si="14"/>
        <v>0</v>
      </c>
      <c r="U71" s="1382">
        <f>'Table 5C1A-Madison Prep'!U71</f>
        <v>5110</v>
      </c>
      <c r="V71" s="1516">
        <f t="shared" si="15"/>
        <v>0</v>
      </c>
      <c r="W71" s="1400"/>
      <c r="X71" s="1383">
        <f t="shared" si="16"/>
        <v>0</v>
      </c>
      <c r="Y71" s="1400"/>
      <c r="Z71" s="1383">
        <f t="shared" si="17"/>
        <v>0</v>
      </c>
      <c r="AA71" s="1384">
        <f t="shared" si="18"/>
        <v>0</v>
      </c>
      <c r="AB71" s="1511">
        <f t="shared" si="19"/>
        <v>0</v>
      </c>
      <c r="AC71" s="1402">
        <f t="shared" si="20"/>
        <v>0</v>
      </c>
      <c r="AD71" s="1511">
        <f t="shared" si="21"/>
        <v>0</v>
      </c>
      <c r="AE71" s="1385">
        <v>0</v>
      </c>
      <c r="AF71" s="1511">
        <f t="shared" si="22"/>
        <v>0</v>
      </c>
      <c r="AG71" s="1385"/>
      <c r="AH71" s="1385">
        <f t="shared" si="23"/>
        <v>0</v>
      </c>
      <c r="AI71" s="1511">
        <f t="shared" si="24"/>
        <v>0</v>
      </c>
      <c r="AJ71" s="1531">
        <f t="shared" si="25"/>
        <v>0</v>
      </c>
      <c r="AK71" s="1536">
        <f t="shared" si="26"/>
        <v>0</v>
      </c>
    </row>
    <row r="72" spans="1:37" ht="16.2" customHeight="1">
      <c r="A72" s="1176">
        <v>66</v>
      </c>
      <c r="B72" s="1177" t="s">
        <v>145</v>
      </c>
      <c r="C72" s="1197">
        <v>0</v>
      </c>
      <c r="D72" s="1198">
        <f>+'Table 5C1A-Madison Prep'!D72</f>
        <v>6564.0085433910035</v>
      </c>
      <c r="E72" s="1199">
        <f t="shared" ref="E72:E75" si="28">C72*D72</f>
        <v>0</v>
      </c>
      <c r="F72" s="1199">
        <f>+'Table 5C1A-Madison Prep'!F72</f>
        <v>730.06</v>
      </c>
      <c r="G72" s="1199">
        <f t="shared" ref="G72:G75" si="29">C72*F72</f>
        <v>0</v>
      </c>
      <c r="H72" s="1403">
        <f t="shared" ref="H72:H75" si="30">E72+G72</f>
        <v>0</v>
      </c>
      <c r="I72" s="1200"/>
      <c r="J72" s="1200"/>
      <c r="K72" s="1201">
        <f t="shared" ref="K72:K75" si="31">+I72+J72</f>
        <v>0</v>
      </c>
      <c r="L72" s="1403">
        <f t="shared" ref="L72:L75" si="32">+H72+K72</f>
        <v>0</v>
      </c>
      <c r="M72" s="1423">
        <f t="shared" si="27"/>
        <v>0</v>
      </c>
      <c r="N72" s="1403">
        <f t="shared" ref="N72:N75" si="33">SUM(L72:M72)</f>
        <v>0</v>
      </c>
      <c r="O72" s="1198">
        <v>0</v>
      </c>
      <c r="P72" s="1398">
        <f t="shared" ref="P72:P75" si="34">SUM(N72:O72)</f>
        <v>0</v>
      </c>
      <c r="Q72" s="1200"/>
      <c r="R72" s="1200">
        <f t="shared" ref="R72:R75" si="35">+P72-Q72</f>
        <v>0</v>
      </c>
      <c r="S72" s="1398">
        <f t="shared" ref="S72:S75" si="36">ROUND(R72/12,0)</f>
        <v>0</v>
      </c>
      <c r="T72" s="1398">
        <f t="shared" ref="T72:T75" si="37">+P72</f>
        <v>0</v>
      </c>
      <c r="U72" s="1389">
        <f>'Table 5C1A-Madison Prep'!U72</f>
        <v>3369</v>
      </c>
      <c r="V72" s="1515">
        <f t="shared" ref="V72:V75" si="38">C72*U72</f>
        <v>0</v>
      </c>
      <c r="W72" s="1391"/>
      <c r="X72" s="1392">
        <f t="shared" ref="X72:X75" si="39">+U72*W72</f>
        <v>0</v>
      </c>
      <c r="Y72" s="1391"/>
      <c r="Z72" s="1392">
        <f t="shared" ref="Z72:Z75" si="40">+U72*Y72*0.5</f>
        <v>0</v>
      </c>
      <c r="AA72" s="1390">
        <f t="shared" ref="AA72:AA75" si="41">+X72+Z72</f>
        <v>0</v>
      </c>
      <c r="AB72" s="1510">
        <f t="shared" ref="AB72:AB75" si="42">+V72+AA72</f>
        <v>0</v>
      </c>
      <c r="AC72" s="1394">
        <f t="shared" ref="AC72:AC75" si="43">-(0.25%*AB72)</f>
        <v>0</v>
      </c>
      <c r="AD72" s="1510">
        <f t="shared" ref="AD72:AD75" si="44">SUM(AB72:AC72)</f>
        <v>0</v>
      </c>
      <c r="AE72" s="1395">
        <v>0</v>
      </c>
      <c r="AF72" s="1510">
        <f t="shared" ref="AF72:AF75" si="45">SUM(AD72:AE72)</f>
        <v>0</v>
      </c>
      <c r="AG72" s="1395"/>
      <c r="AH72" s="1395">
        <f t="shared" ref="AH72:AH75" si="46">+AF72-AG72</f>
        <v>0</v>
      </c>
      <c r="AI72" s="1510">
        <f t="shared" ref="AI72:AI75" si="47">ROUND(AH72/12,0)</f>
        <v>0</v>
      </c>
      <c r="AJ72" s="1505">
        <f t="shared" ref="AJ72:AJ75" si="48">T72+AF72</f>
        <v>0</v>
      </c>
      <c r="AK72" s="1505">
        <f t="shared" ref="AK72:AK75" si="49">S72+AI72</f>
        <v>0</v>
      </c>
    </row>
    <row r="73" spans="1:37" ht="16.2" customHeight="1">
      <c r="A73" s="1176">
        <v>67</v>
      </c>
      <c r="B73" s="1177" t="s">
        <v>30</v>
      </c>
      <c r="C73" s="1197">
        <v>0</v>
      </c>
      <c r="D73" s="1198">
        <f>+'Table 5C1A-Madison Prep'!D73</f>
        <v>5029.1467736134118</v>
      </c>
      <c r="E73" s="1199">
        <f t="shared" si="28"/>
        <v>0</v>
      </c>
      <c r="F73" s="1199">
        <f>+'Table 5C1A-Madison Prep'!F73</f>
        <v>715.61</v>
      </c>
      <c r="G73" s="1199">
        <f t="shared" si="29"/>
        <v>0</v>
      </c>
      <c r="H73" s="1403">
        <f t="shared" si="30"/>
        <v>0</v>
      </c>
      <c r="I73" s="1200"/>
      <c r="J73" s="1200"/>
      <c r="K73" s="1201">
        <f t="shared" si="31"/>
        <v>0</v>
      </c>
      <c r="L73" s="1403">
        <f t="shared" si="32"/>
        <v>0</v>
      </c>
      <c r="M73" s="1423">
        <f t="shared" si="27"/>
        <v>0</v>
      </c>
      <c r="N73" s="1403">
        <f t="shared" si="33"/>
        <v>0</v>
      </c>
      <c r="O73" s="1198">
        <v>0</v>
      </c>
      <c r="P73" s="1398">
        <f t="shared" si="34"/>
        <v>0</v>
      </c>
      <c r="Q73" s="1200"/>
      <c r="R73" s="1200">
        <f t="shared" si="35"/>
        <v>0</v>
      </c>
      <c r="S73" s="1398">
        <f t="shared" si="36"/>
        <v>0</v>
      </c>
      <c r="T73" s="1398">
        <f t="shared" si="37"/>
        <v>0</v>
      </c>
      <c r="U73" s="1389">
        <f>'Table 5C1A-Madison Prep'!U73</f>
        <v>5015</v>
      </c>
      <c r="V73" s="1515">
        <f t="shared" si="38"/>
        <v>0</v>
      </c>
      <c r="W73" s="1391"/>
      <c r="X73" s="1392">
        <f t="shared" si="39"/>
        <v>0</v>
      </c>
      <c r="Y73" s="1391"/>
      <c r="Z73" s="1392">
        <f t="shared" si="40"/>
        <v>0</v>
      </c>
      <c r="AA73" s="1390">
        <f t="shared" si="41"/>
        <v>0</v>
      </c>
      <c r="AB73" s="1510">
        <f t="shared" si="42"/>
        <v>0</v>
      </c>
      <c r="AC73" s="1394">
        <f t="shared" si="43"/>
        <v>0</v>
      </c>
      <c r="AD73" s="1510">
        <f t="shared" si="44"/>
        <v>0</v>
      </c>
      <c r="AE73" s="1395">
        <v>0</v>
      </c>
      <c r="AF73" s="1510">
        <f t="shared" si="45"/>
        <v>0</v>
      </c>
      <c r="AG73" s="1395"/>
      <c r="AH73" s="1395">
        <f t="shared" si="46"/>
        <v>0</v>
      </c>
      <c r="AI73" s="1510">
        <f t="shared" si="47"/>
        <v>0</v>
      </c>
      <c r="AJ73" s="1505">
        <f t="shared" si="48"/>
        <v>0</v>
      </c>
      <c r="AK73" s="1505">
        <f t="shared" si="49"/>
        <v>0</v>
      </c>
    </row>
    <row r="74" spans="1:37" ht="16.2" customHeight="1">
      <c r="A74" s="1176">
        <v>68</v>
      </c>
      <c r="B74" s="1177" t="s">
        <v>28</v>
      </c>
      <c r="C74" s="1197">
        <v>0</v>
      </c>
      <c r="D74" s="1198">
        <f>+'Table 5C1A-Madison Prep'!D74</f>
        <v>6390.1644202560601</v>
      </c>
      <c r="E74" s="1199">
        <f t="shared" si="28"/>
        <v>0</v>
      </c>
      <c r="F74" s="1199">
        <f>+'Table 5C1A-Madison Prep'!F74</f>
        <v>798.7</v>
      </c>
      <c r="G74" s="1199">
        <f t="shared" si="29"/>
        <v>0</v>
      </c>
      <c r="H74" s="1403">
        <f t="shared" si="30"/>
        <v>0</v>
      </c>
      <c r="I74" s="1200"/>
      <c r="J74" s="1200"/>
      <c r="K74" s="1201">
        <f t="shared" si="31"/>
        <v>0</v>
      </c>
      <c r="L74" s="1403">
        <f t="shared" si="32"/>
        <v>0</v>
      </c>
      <c r="M74" s="1423">
        <f t="shared" si="27"/>
        <v>0</v>
      </c>
      <c r="N74" s="1403">
        <f t="shared" si="33"/>
        <v>0</v>
      </c>
      <c r="O74" s="1198">
        <v>0</v>
      </c>
      <c r="P74" s="1398">
        <f t="shared" si="34"/>
        <v>0</v>
      </c>
      <c r="Q74" s="1200"/>
      <c r="R74" s="1200">
        <f t="shared" si="35"/>
        <v>0</v>
      </c>
      <c r="S74" s="1398">
        <f t="shared" si="36"/>
        <v>0</v>
      </c>
      <c r="T74" s="1398">
        <f t="shared" si="37"/>
        <v>0</v>
      </c>
      <c r="U74" s="1389">
        <f>'Table 5C1A-Madison Prep'!U74</f>
        <v>2669</v>
      </c>
      <c r="V74" s="1515">
        <f t="shared" si="38"/>
        <v>0</v>
      </c>
      <c r="W74" s="1391"/>
      <c r="X74" s="1392">
        <f t="shared" si="39"/>
        <v>0</v>
      </c>
      <c r="Y74" s="1391"/>
      <c r="Z74" s="1392">
        <f t="shared" si="40"/>
        <v>0</v>
      </c>
      <c r="AA74" s="1390">
        <f t="shared" si="41"/>
        <v>0</v>
      </c>
      <c r="AB74" s="1510">
        <f t="shared" si="42"/>
        <v>0</v>
      </c>
      <c r="AC74" s="1394">
        <f t="shared" si="43"/>
        <v>0</v>
      </c>
      <c r="AD74" s="1510">
        <f t="shared" si="44"/>
        <v>0</v>
      </c>
      <c r="AE74" s="1395">
        <v>0</v>
      </c>
      <c r="AF74" s="1510">
        <f t="shared" si="45"/>
        <v>0</v>
      </c>
      <c r="AG74" s="1395"/>
      <c r="AH74" s="1395">
        <f t="shared" si="46"/>
        <v>0</v>
      </c>
      <c r="AI74" s="1510">
        <f t="shared" si="47"/>
        <v>0</v>
      </c>
      <c r="AJ74" s="1505">
        <f t="shared" si="48"/>
        <v>0</v>
      </c>
      <c r="AK74" s="1505">
        <f t="shared" si="49"/>
        <v>0</v>
      </c>
    </row>
    <row r="75" spans="1:37" ht="16.2" customHeight="1">
      <c r="A75" s="1190">
        <v>69</v>
      </c>
      <c r="B75" s="1191" t="s">
        <v>183</v>
      </c>
      <c r="C75" s="1192">
        <v>0</v>
      </c>
      <c r="D75" s="1193">
        <f>+'Table 5C1A-Madison Prep'!D75</f>
        <v>5722.4947921281337</v>
      </c>
      <c r="E75" s="1194">
        <f t="shared" si="28"/>
        <v>0</v>
      </c>
      <c r="F75" s="1194">
        <f>+'Table 5C1A-Madison Prep'!F75</f>
        <v>705.67</v>
      </c>
      <c r="G75" s="1194">
        <f t="shared" si="29"/>
        <v>0</v>
      </c>
      <c r="H75" s="1541">
        <f t="shared" si="30"/>
        <v>0</v>
      </c>
      <c r="I75" s="1195"/>
      <c r="J75" s="1195"/>
      <c r="K75" s="1196">
        <f t="shared" si="31"/>
        <v>0</v>
      </c>
      <c r="L75" s="1541">
        <f t="shared" si="32"/>
        <v>0</v>
      </c>
      <c r="M75" s="1405">
        <f>-(0.25%*L75)</f>
        <v>0</v>
      </c>
      <c r="N75" s="1541">
        <f t="shared" si="33"/>
        <v>0</v>
      </c>
      <c r="O75" s="1193">
        <v>0</v>
      </c>
      <c r="P75" s="1547">
        <f t="shared" si="34"/>
        <v>0</v>
      </c>
      <c r="Q75" s="1195"/>
      <c r="R75" s="1195">
        <f t="shared" si="35"/>
        <v>0</v>
      </c>
      <c r="S75" s="1547">
        <f t="shared" si="36"/>
        <v>0</v>
      </c>
      <c r="T75" s="1547">
        <f t="shared" si="37"/>
        <v>0</v>
      </c>
      <c r="U75" s="653">
        <f>'Table 5C1A-Madison Prep'!U75</f>
        <v>3394</v>
      </c>
      <c r="V75" s="1517">
        <f t="shared" si="38"/>
        <v>0</v>
      </c>
      <c r="W75" s="1407"/>
      <c r="X75" s="1408">
        <f t="shared" si="39"/>
        <v>0</v>
      </c>
      <c r="Y75" s="1407"/>
      <c r="Z75" s="1408">
        <f t="shared" si="40"/>
        <v>0</v>
      </c>
      <c r="AA75" s="1406">
        <f t="shared" si="41"/>
        <v>0</v>
      </c>
      <c r="AB75" s="1512">
        <f t="shared" si="42"/>
        <v>0</v>
      </c>
      <c r="AC75" s="1410">
        <f t="shared" si="43"/>
        <v>0</v>
      </c>
      <c r="AD75" s="1512">
        <f t="shared" si="44"/>
        <v>0</v>
      </c>
      <c r="AE75" s="1416">
        <v>0</v>
      </c>
      <c r="AF75" s="1512">
        <f t="shared" si="45"/>
        <v>0</v>
      </c>
      <c r="AG75" s="1416"/>
      <c r="AH75" s="1416">
        <f t="shared" si="46"/>
        <v>0</v>
      </c>
      <c r="AI75" s="1512">
        <f t="shared" si="47"/>
        <v>0</v>
      </c>
      <c r="AJ75" s="1506">
        <f t="shared" si="48"/>
        <v>0</v>
      </c>
      <c r="AK75" s="1506">
        <f t="shared" si="49"/>
        <v>0</v>
      </c>
    </row>
    <row r="76" spans="1:37" ht="16.2" customHeight="1" thickBot="1">
      <c r="A76" s="2221" t="s">
        <v>1045</v>
      </c>
      <c r="B76" s="2194"/>
      <c r="C76" s="470">
        <f>SUM(C7:C75)</f>
        <v>120</v>
      </c>
      <c r="D76" s="471">
        <f>+'Table 5C1A-Madison Prep'!D76</f>
        <v>4479.9292126977662</v>
      </c>
      <c r="E76" s="480">
        <f>SUM(E7:E75)</f>
        <v>627935.71293315315</v>
      </c>
      <c r="F76" s="480">
        <f>+'Table 5C1A-Madison Prep'!F76</f>
        <v>704.64781030742063</v>
      </c>
      <c r="G76" s="480">
        <f t="shared" ref="G76:R76" si="50">SUM(G7:G75)</f>
        <v>89384.799999999988</v>
      </c>
      <c r="H76" s="1542">
        <f t="shared" si="50"/>
        <v>717320.51293315319</v>
      </c>
      <c r="I76" s="640">
        <f t="shared" si="50"/>
        <v>0</v>
      </c>
      <c r="J76" s="640">
        <f t="shared" si="50"/>
        <v>0</v>
      </c>
      <c r="K76" s="616">
        <f t="shared" si="50"/>
        <v>0</v>
      </c>
      <c r="L76" s="1560">
        <f t="shared" si="50"/>
        <v>717320.51293315319</v>
      </c>
      <c r="M76" s="481">
        <f t="shared" si="50"/>
        <v>-1793.3012823328831</v>
      </c>
      <c r="N76" s="1542">
        <f t="shared" si="50"/>
        <v>715527.21165082033</v>
      </c>
      <c r="O76" s="471">
        <f t="shared" si="50"/>
        <v>0</v>
      </c>
      <c r="P76" s="1548">
        <f t="shared" si="50"/>
        <v>715527.21165082033</v>
      </c>
      <c r="Q76" s="640"/>
      <c r="R76" s="640">
        <f t="shared" si="50"/>
        <v>715527.21165082033</v>
      </c>
      <c r="S76" s="1548">
        <f>SUM(S7:S75)</f>
        <v>59627</v>
      </c>
      <c r="T76" s="1548">
        <f>SUM(T7:T75)</f>
        <v>715527.21165082033</v>
      </c>
      <c r="U76" s="658">
        <f>'Table 5C1A-Madison Prep'!U76</f>
        <v>4663</v>
      </c>
      <c r="V76" s="1518">
        <f t="shared" ref="V76:AK76" si="51">SUM(V7:V75)</f>
        <v>451000</v>
      </c>
      <c r="W76" s="646">
        <f t="shared" si="51"/>
        <v>0</v>
      </c>
      <c r="X76" s="647">
        <f t="shared" si="51"/>
        <v>0</v>
      </c>
      <c r="Y76" s="646">
        <f t="shared" si="51"/>
        <v>0</v>
      </c>
      <c r="Z76" s="647">
        <f t="shared" si="51"/>
        <v>0</v>
      </c>
      <c r="AA76" s="633">
        <f t="shared" si="51"/>
        <v>0</v>
      </c>
      <c r="AB76" s="1520">
        <f t="shared" si="51"/>
        <v>451000</v>
      </c>
      <c r="AC76" s="482">
        <f t="shared" si="51"/>
        <v>-1127.5</v>
      </c>
      <c r="AD76" s="1518">
        <f t="shared" si="51"/>
        <v>449872.5</v>
      </c>
      <c r="AE76" s="660">
        <f t="shared" si="51"/>
        <v>0</v>
      </c>
      <c r="AF76" s="1518">
        <f t="shared" si="51"/>
        <v>449872.5</v>
      </c>
      <c r="AG76" s="647">
        <f t="shared" si="51"/>
        <v>0</v>
      </c>
      <c r="AH76" s="647">
        <f t="shared" si="51"/>
        <v>449872.5</v>
      </c>
      <c r="AI76" s="1518">
        <f t="shared" si="51"/>
        <v>37489</v>
      </c>
      <c r="AJ76" s="1532">
        <f t="shared" si="51"/>
        <v>1165399.7116508204</v>
      </c>
      <c r="AK76" s="1532">
        <f t="shared" si="51"/>
        <v>97116</v>
      </c>
    </row>
    <row r="77" spans="1:37" ht="16.2" customHeight="1" thickTop="1">
      <c r="A77" s="2330" t="s">
        <v>1039</v>
      </c>
      <c r="B77" s="2338"/>
      <c r="C77" s="1425"/>
      <c r="D77" s="1198"/>
      <c r="E77" s="1198"/>
      <c r="F77" s="1198"/>
      <c r="G77" s="1198"/>
      <c r="H77" s="1198"/>
      <c r="I77" s="1200"/>
      <c r="J77" s="1200"/>
      <c r="K77" s="1200"/>
      <c r="L77" s="1198"/>
      <c r="M77" s="1200"/>
      <c r="N77" s="1198"/>
      <c r="O77" s="1198"/>
      <c r="P77" s="1398">
        <f>'Table 4 Level 4'!$E116</f>
        <v>0</v>
      </c>
      <c r="Q77" s="1200"/>
      <c r="R77" s="1200">
        <f t="shared" ref="R77" si="52">+P77-Q77</f>
        <v>0</v>
      </c>
      <c r="S77" s="1398">
        <f t="shared" ref="S77" si="53">ROUND(R77/12,0)</f>
        <v>0</v>
      </c>
      <c r="T77" s="1398">
        <f>'Table 4 Level 4'!$E116</f>
        <v>0</v>
      </c>
      <c r="U77" s="1389"/>
      <c r="V77" s="1392"/>
      <c r="W77" s="1391"/>
      <c r="X77" s="1392"/>
      <c r="Y77" s="1391"/>
      <c r="Z77" s="1392"/>
      <c r="AA77" s="1392"/>
      <c r="AB77" s="1395"/>
      <c r="AC77" s="1392"/>
      <c r="AD77" s="1395"/>
      <c r="AE77" s="1395"/>
      <c r="AF77" s="1395"/>
      <c r="AG77" s="1395"/>
      <c r="AH77" s="1395"/>
      <c r="AI77" s="1395"/>
      <c r="AJ77" s="1505">
        <f t="shared" ref="AJ77:AJ81" si="54">T77+AF77</f>
        <v>0</v>
      </c>
      <c r="AK77" s="1505">
        <f t="shared" ref="AK77:AK81" si="55">S77+AI77</f>
        <v>0</v>
      </c>
    </row>
    <row r="78" spans="1:37" ht="16.2" customHeight="1">
      <c r="A78" s="2332" t="s">
        <v>1040</v>
      </c>
      <c r="B78" s="2339"/>
      <c r="C78" s="1425"/>
      <c r="D78" s="1198"/>
      <c r="E78" s="1198"/>
      <c r="F78" s="1198"/>
      <c r="G78" s="1198"/>
      <c r="H78" s="1198"/>
      <c r="I78" s="1200"/>
      <c r="J78" s="1200"/>
      <c r="K78" s="1200"/>
      <c r="L78" s="1198"/>
      <c r="M78" s="1200"/>
      <c r="N78" s="1198"/>
      <c r="O78" s="1198"/>
      <c r="P78" s="1200">
        <v>0</v>
      </c>
      <c r="Q78" s="1200"/>
      <c r="R78" s="1200"/>
      <c r="S78" s="1200">
        <v>0</v>
      </c>
      <c r="T78" s="1398">
        <f>'Table 4 Level 4'!$J116</f>
        <v>0</v>
      </c>
      <c r="U78" s="1389"/>
      <c r="V78" s="1392"/>
      <c r="W78" s="1391"/>
      <c r="X78" s="1392"/>
      <c r="Y78" s="1391"/>
      <c r="Z78" s="1392"/>
      <c r="AA78" s="1392"/>
      <c r="AB78" s="1395"/>
      <c r="AC78" s="1392"/>
      <c r="AD78" s="1395"/>
      <c r="AE78" s="1395"/>
      <c r="AF78" s="1395"/>
      <c r="AG78" s="1395"/>
      <c r="AH78" s="1395"/>
      <c r="AI78" s="1395"/>
      <c r="AJ78" s="1505">
        <f t="shared" si="54"/>
        <v>0</v>
      </c>
      <c r="AK78" s="1395"/>
    </row>
    <row r="79" spans="1:37" ht="16.2" customHeight="1">
      <c r="A79" s="2332" t="s">
        <v>1041</v>
      </c>
      <c r="B79" s="2339"/>
      <c r="C79" s="1425"/>
      <c r="D79" s="1198"/>
      <c r="E79" s="1198"/>
      <c r="F79" s="1198"/>
      <c r="G79" s="1198"/>
      <c r="H79" s="1198"/>
      <c r="I79" s="1200"/>
      <c r="J79" s="1200"/>
      <c r="K79" s="1200"/>
      <c r="L79" s="1198"/>
      <c r="M79" s="1200"/>
      <c r="N79" s="1198"/>
      <c r="O79" s="1198"/>
      <c r="P79" s="1200">
        <v>0</v>
      </c>
      <c r="Q79" s="1200"/>
      <c r="R79" s="1200"/>
      <c r="S79" s="1200">
        <v>0</v>
      </c>
      <c r="T79" s="1398">
        <f>'Table 4 Level 4'!$K116</f>
        <v>0</v>
      </c>
      <c r="U79" s="1389"/>
      <c r="V79" s="1392"/>
      <c r="W79" s="1391"/>
      <c r="X79" s="1392"/>
      <c r="Y79" s="1391"/>
      <c r="Z79" s="1392"/>
      <c r="AA79" s="1392"/>
      <c r="AB79" s="1395"/>
      <c r="AC79" s="1392"/>
      <c r="AD79" s="1395"/>
      <c r="AE79" s="1395"/>
      <c r="AF79" s="1395"/>
      <c r="AG79" s="1395"/>
      <c r="AH79" s="1395"/>
      <c r="AI79" s="1395"/>
      <c r="AJ79" s="1505">
        <f t="shared" si="54"/>
        <v>0</v>
      </c>
      <c r="AK79" s="1395"/>
    </row>
    <row r="80" spans="1:37" ht="16.2" customHeight="1">
      <c r="A80" s="2332" t="s">
        <v>1042</v>
      </c>
      <c r="B80" s="2339"/>
      <c r="C80" s="1425"/>
      <c r="D80" s="1198"/>
      <c r="E80" s="1198"/>
      <c r="F80" s="1198"/>
      <c r="G80" s="1198"/>
      <c r="H80" s="1198"/>
      <c r="I80" s="1200"/>
      <c r="J80" s="1200"/>
      <c r="K80" s="1200"/>
      <c r="L80" s="1198"/>
      <c r="M80" s="1200"/>
      <c r="N80" s="1198"/>
      <c r="O80" s="1198"/>
      <c r="P80" s="1200">
        <v>0</v>
      </c>
      <c r="Q80" s="1200"/>
      <c r="R80" s="1200"/>
      <c r="S80" s="1200">
        <v>0</v>
      </c>
      <c r="T80" s="1398">
        <f>'Table 4 Level 4'!$L116</f>
        <v>0</v>
      </c>
      <c r="U80" s="1389"/>
      <c r="V80" s="1392"/>
      <c r="W80" s="1391"/>
      <c r="X80" s="1392"/>
      <c r="Y80" s="1391"/>
      <c r="Z80" s="1392"/>
      <c r="AA80" s="1392"/>
      <c r="AB80" s="1395"/>
      <c r="AC80" s="1392"/>
      <c r="AD80" s="1395"/>
      <c r="AE80" s="1395"/>
      <c r="AF80" s="1395"/>
      <c r="AG80" s="1395"/>
      <c r="AH80" s="1395"/>
      <c r="AI80" s="1395"/>
      <c r="AJ80" s="1505">
        <f t="shared" si="54"/>
        <v>0</v>
      </c>
      <c r="AK80" s="1395"/>
    </row>
    <row r="81" spans="1:37" ht="16.2" customHeight="1">
      <c r="A81" s="2340" t="s">
        <v>1043</v>
      </c>
      <c r="B81" s="2341"/>
      <c r="C81" s="1417"/>
      <c r="D81" s="1193"/>
      <c r="E81" s="1193"/>
      <c r="F81" s="1193"/>
      <c r="G81" s="1193"/>
      <c r="H81" s="1193"/>
      <c r="I81" s="1195"/>
      <c r="J81" s="1195"/>
      <c r="K81" s="1195"/>
      <c r="L81" s="1193"/>
      <c r="M81" s="1195"/>
      <c r="N81" s="1193"/>
      <c r="O81" s="1193"/>
      <c r="P81" s="1547">
        <f>'Table 4 Level 4'!$N116</f>
        <v>1664</v>
      </c>
      <c r="Q81" s="1195"/>
      <c r="R81" s="1195">
        <f t="shared" ref="R81" si="56">+P81-Q81</f>
        <v>1664</v>
      </c>
      <c r="S81" s="1547">
        <f t="shared" ref="S81" si="57">ROUND(R81/12,0)</f>
        <v>139</v>
      </c>
      <c r="T81" s="1547">
        <f>'Table 4 Level 4'!$N116</f>
        <v>1664</v>
      </c>
      <c r="U81" s="1418"/>
      <c r="V81" s="1408"/>
      <c r="W81" s="1407"/>
      <c r="X81" s="1408"/>
      <c r="Y81" s="1407"/>
      <c r="Z81" s="1408"/>
      <c r="AA81" s="1408"/>
      <c r="AB81" s="1416"/>
      <c r="AC81" s="1408"/>
      <c r="AD81" s="1416"/>
      <c r="AE81" s="1416"/>
      <c r="AF81" s="1416"/>
      <c r="AG81" s="1416"/>
      <c r="AH81" s="1416"/>
      <c r="AI81" s="1416"/>
      <c r="AJ81" s="1506">
        <f t="shared" si="54"/>
        <v>1664</v>
      </c>
      <c r="AK81" s="1506">
        <f t="shared" si="55"/>
        <v>139</v>
      </c>
    </row>
    <row r="82" spans="1:37" ht="16.2" customHeight="1" thickBot="1">
      <c r="A82" s="2221" t="s">
        <v>1044</v>
      </c>
      <c r="B82" s="2194"/>
      <c r="C82" s="1052">
        <f>SUM(C76:C81)</f>
        <v>120</v>
      </c>
      <c r="D82" s="1046">
        <f t="shared" ref="D82:AK82" si="58">SUM(D76:D81)</f>
        <v>4479.9292126977662</v>
      </c>
      <c r="E82" s="1046">
        <f t="shared" si="58"/>
        <v>627935.71293315315</v>
      </c>
      <c r="F82" s="1046">
        <f t="shared" si="58"/>
        <v>704.64781030742063</v>
      </c>
      <c r="G82" s="1046">
        <f t="shared" si="58"/>
        <v>89384.799999999988</v>
      </c>
      <c r="H82" s="1046">
        <f t="shared" si="58"/>
        <v>717320.51293315319</v>
      </c>
      <c r="I82" s="1053">
        <f t="shared" si="58"/>
        <v>0</v>
      </c>
      <c r="J82" s="1053">
        <f t="shared" si="58"/>
        <v>0</v>
      </c>
      <c r="K82" s="1053">
        <f t="shared" si="58"/>
        <v>0</v>
      </c>
      <c r="L82" s="1046">
        <f t="shared" si="58"/>
        <v>717320.51293315319</v>
      </c>
      <c r="M82" s="1053">
        <f t="shared" si="58"/>
        <v>-1793.3012823328831</v>
      </c>
      <c r="N82" s="1046">
        <f t="shared" si="58"/>
        <v>715527.21165082033</v>
      </c>
      <c r="O82" s="1046">
        <f t="shared" si="58"/>
        <v>0</v>
      </c>
      <c r="P82" s="1549">
        <f t="shared" si="58"/>
        <v>717191.21165082033</v>
      </c>
      <c r="Q82" s="1053">
        <f t="shared" si="58"/>
        <v>0</v>
      </c>
      <c r="R82" s="1053">
        <f t="shared" si="58"/>
        <v>717191.21165082033</v>
      </c>
      <c r="S82" s="1549">
        <f t="shared" si="58"/>
        <v>59766</v>
      </c>
      <c r="T82" s="1549">
        <f t="shared" si="58"/>
        <v>717191.21165082033</v>
      </c>
      <c r="U82" s="1058">
        <f t="shared" si="58"/>
        <v>4663</v>
      </c>
      <c r="V82" s="1055">
        <f t="shared" si="58"/>
        <v>451000</v>
      </c>
      <c r="W82" s="1057">
        <f t="shared" si="58"/>
        <v>0</v>
      </c>
      <c r="X82" s="1055">
        <f t="shared" si="58"/>
        <v>0</v>
      </c>
      <c r="Y82" s="1057">
        <f t="shared" si="58"/>
        <v>0</v>
      </c>
      <c r="Z82" s="1055">
        <f t="shared" si="58"/>
        <v>0</v>
      </c>
      <c r="AA82" s="1055">
        <f t="shared" si="58"/>
        <v>0</v>
      </c>
      <c r="AB82" s="1055">
        <f t="shared" si="58"/>
        <v>451000</v>
      </c>
      <c r="AC82" s="1055">
        <f t="shared" si="58"/>
        <v>-1127.5</v>
      </c>
      <c r="AD82" s="1055">
        <f t="shared" si="58"/>
        <v>449872.5</v>
      </c>
      <c r="AE82" s="1055">
        <f t="shared" si="58"/>
        <v>0</v>
      </c>
      <c r="AF82" s="1055">
        <f t="shared" si="58"/>
        <v>449872.5</v>
      </c>
      <c r="AG82" s="1055">
        <f t="shared" si="58"/>
        <v>0</v>
      </c>
      <c r="AH82" s="1055">
        <f t="shared" si="58"/>
        <v>449872.5</v>
      </c>
      <c r="AI82" s="1055">
        <f t="shared" si="58"/>
        <v>37489</v>
      </c>
      <c r="AJ82" s="1504">
        <f t="shared" si="58"/>
        <v>1167063.7116508204</v>
      </c>
      <c r="AK82" s="1504">
        <f t="shared" si="58"/>
        <v>97255</v>
      </c>
    </row>
    <row r="83" spans="1:37" ht="16.2" customHeight="1" thickTop="1"/>
    <row r="84" spans="1:37" ht="16.2" customHeight="1"/>
    <row r="85" spans="1:37" ht="16.2" customHeight="1"/>
    <row r="86" spans="1:37" ht="16.2" customHeight="1"/>
  </sheetData>
  <mergeCells count="45">
    <mergeCell ref="A1:B4"/>
    <mergeCell ref="O3:O4"/>
    <mergeCell ref="P3:P4"/>
    <mergeCell ref="S3:S4"/>
    <mergeCell ref="AE3:AE4"/>
    <mergeCell ref="W3:W4"/>
    <mergeCell ref="X3:X4"/>
    <mergeCell ref="Y3:Y4"/>
    <mergeCell ref="Z3:Z4"/>
    <mergeCell ref="AB3:AB4"/>
    <mergeCell ref="AD3:AD4"/>
    <mergeCell ref="T3:T4"/>
    <mergeCell ref="C1:L1"/>
    <mergeCell ref="U1:AB1"/>
    <mergeCell ref="C2:H2"/>
    <mergeCell ref="U2:V2"/>
    <mergeCell ref="AJ1:AJ4"/>
    <mergeCell ref="AG3:AG4"/>
    <mergeCell ref="AH3:AH4"/>
    <mergeCell ref="AI3:AI4"/>
    <mergeCell ref="AF3:AF4"/>
    <mergeCell ref="AC1:AI1"/>
    <mergeCell ref="AK1:AK4"/>
    <mergeCell ref="I2:K2"/>
    <mergeCell ref="W2:AA2"/>
    <mergeCell ref="C3:C4"/>
    <mergeCell ref="D3:D4"/>
    <mergeCell ref="E3:E4"/>
    <mergeCell ref="U3:U4"/>
    <mergeCell ref="F3:F4"/>
    <mergeCell ref="G3:G4"/>
    <mergeCell ref="H3:H4"/>
    <mergeCell ref="I3:I4"/>
    <mergeCell ref="J3:J4"/>
    <mergeCell ref="K3:K4"/>
    <mergeCell ref="L3:L4"/>
    <mergeCell ref="N3:N4"/>
    <mergeCell ref="M1:T1"/>
    <mergeCell ref="A82:B82"/>
    <mergeCell ref="A76:B76"/>
    <mergeCell ref="A77:B77"/>
    <mergeCell ref="A78:B78"/>
    <mergeCell ref="A79:B79"/>
    <mergeCell ref="A80:B80"/>
    <mergeCell ref="A81:B81"/>
  </mergeCells>
  <printOptions horizontalCentered="1"/>
  <pageMargins left="0.32" right="0.32" top="0.75" bottom="0.75" header="0.3" footer="0.3"/>
  <pageSetup paperSize="5" scale="60" firstPageNumber="56" orientation="portrait" r:id="rId1"/>
  <headerFooter>
    <oddHeader>&amp;L&amp;"Arial,Bold"&amp;20&amp;K000000Table 5C1-T: FY2014-15 MFP Budget Letter 
Northeast Claiborne Charter</oddHeader>
    <oddFooter>&amp;R&amp;P</oddFooter>
  </headerFooter>
  <colBreaks count="3" manualBreakCount="3">
    <brk id="12" max="1048575" man="1"/>
    <brk id="20" max="1048575" man="1"/>
    <brk id="28" max="81"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6"/>
  <sheetViews>
    <sheetView view="pageBreakPreview" zoomScale="80" zoomScaleNormal="100" zoomScaleSheetLayoutView="80" workbookViewId="0">
      <pane xSplit="2" ySplit="6" topLeftCell="C7" activePane="bottomRight" state="frozen"/>
      <selection sqref="A1:H1"/>
      <selection pane="topRight" sqref="A1:H1"/>
      <selection pane="bottomLeft" sqref="A1:H1"/>
      <selection pane="bottomRight" sqref="A1:H1"/>
    </sheetView>
  </sheetViews>
  <sheetFormatPr defaultColWidth="8.88671875" defaultRowHeight="13.2"/>
  <cols>
    <col min="1" max="1" width="5" style="608" customWidth="1"/>
    <col min="2" max="2" width="37.6640625" style="608" customWidth="1"/>
    <col min="3" max="3" width="12.109375" style="608" customWidth="1"/>
    <col min="4" max="4" width="13.6640625" style="608" customWidth="1"/>
    <col min="5" max="5" width="9.88671875" style="608" customWidth="1"/>
    <col min="6" max="7" width="12.33203125" style="608" customWidth="1"/>
    <col min="8" max="8" width="11.5546875" style="608" customWidth="1"/>
    <col min="9" max="12" width="12" style="608" customWidth="1"/>
    <col min="13" max="13" width="10.88671875" style="608" bestFit="1" customWidth="1"/>
    <col min="14" max="14" width="13.109375" style="608" customWidth="1"/>
    <col min="15" max="15" width="13.44140625" style="608" bestFit="1" customWidth="1"/>
    <col min="16" max="16" width="14.6640625" style="608" customWidth="1"/>
    <col min="17" max="18" width="14" style="608" customWidth="1"/>
    <col min="19" max="19" width="10.6640625" style="608" customWidth="1"/>
    <col min="20" max="20" width="14.88671875" style="608" customWidth="1"/>
    <col min="21" max="22" width="14.5546875" style="608" customWidth="1"/>
    <col min="23" max="27" width="11.6640625" style="608" customWidth="1"/>
    <col min="28" max="28" width="14.44140625" style="608" bestFit="1" customWidth="1"/>
    <col min="29" max="29" width="10.5546875" style="608" customWidth="1"/>
    <col min="30" max="30" width="14.44140625" style="608" bestFit="1" customWidth="1"/>
    <col min="31" max="31" width="11.88671875" style="608" bestFit="1" customWidth="1"/>
    <col min="32" max="32" width="14.44140625" style="608" bestFit="1" customWidth="1"/>
    <col min="33" max="33" width="9.5546875" style="608" bestFit="1" customWidth="1"/>
    <col min="34" max="34" width="10.6640625" style="608" bestFit="1" customWidth="1"/>
    <col min="35" max="35" width="14.44140625" style="608" bestFit="1" customWidth="1"/>
    <col min="36" max="36" width="14.33203125" style="608" customWidth="1"/>
    <col min="37" max="37" width="14.44140625" style="608" bestFit="1" customWidth="1"/>
    <col min="38" max="16384" width="8.88671875" style="608"/>
  </cols>
  <sheetData>
    <row r="1" spans="1:37" ht="21.6" customHeight="1">
      <c r="A1" s="2367" t="s">
        <v>998</v>
      </c>
      <c r="B1" s="2368"/>
      <c r="C1" s="2319" t="s">
        <v>1089</v>
      </c>
      <c r="D1" s="2320"/>
      <c r="E1" s="2320"/>
      <c r="F1" s="2320"/>
      <c r="G1" s="2320"/>
      <c r="H1" s="2320"/>
      <c r="I1" s="2320"/>
      <c r="J1" s="2320"/>
      <c r="K1" s="2320"/>
      <c r="L1" s="2321"/>
      <c r="M1" s="2349" t="s">
        <v>1089</v>
      </c>
      <c r="N1" s="2350"/>
      <c r="O1" s="2350"/>
      <c r="P1" s="2350"/>
      <c r="Q1" s="2350"/>
      <c r="R1" s="2350"/>
      <c r="S1" s="2350"/>
      <c r="T1" s="2351"/>
      <c r="U1" s="2268" t="s">
        <v>1247</v>
      </c>
      <c r="V1" s="2266"/>
      <c r="W1" s="2266"/>
      <c r="X1" s="2266"/>
      <c r="Y1" s="2266"/>
      <c r="Z1" s="2266"/>
      <c r="AA1" s="2266"/>
      <c r="AB1" s="2267"/>
      <c r="AC1" s="2268" t="s">
        <v>1247</v>
      </c>
      <c r="AD1" s="2266"/>
      <c r="AE1" s="2266"/>
      <c r="AF1" s="2266"/>
      <c r="AG1" s="2266"/>
      <c r="AH1" s="2266"/>
      <c r="AI1" s="2267"/>
      <c r="AJ1" s="2302" t="s">
        <v>1272</v>
      </c>
      <c r="AK1" s="2302" t="s">
        <v>1273</v>
      </c>
    </row>
    <row r="2" spans="1:37" ht="24.6" customHeight="1">
      <c r="A2" s="2369"/>
      <c r="B2" s="2370"/>
      <c r="C2" s="2379" t="s">
        <v>1284</v>
      </c>
      <c r="D2" s="2380"/>
      <c r="E2" s="2380"/>
      <c r="F2" s="2380"/>
      <c r="G2" s="2380"/>
      <c r="H2" s="2381"/>
      <c r="I2" s="2334" t="s">
        <v>531</v>
      </c>
      <c r="J2" s="2335"/>
      <c r="K2" s="2336"/>
      <c r="L2" s="1567"/>
      <c r="M2" s="1565"/>
      <c r="N2" s="1566"/>
      <c r="O2" s="1566"/>
      <c r="P2" s="1566"/>
      <c r="Q2" s="1566"/>
      <c r="R2" s="1566"/>
      <c r="S2" s="1566"/>
      <c r="T2" s="1567"/>
      <c r="U2" s="2377" t="s">
        <v>1284</v>
      </c>
      <c r="V2" s="2378"/>
      <c r="W2" s="2362" t="s">
        <v>531</v>
      </c>
      <c r="X2" s="2363"/>
      <c r="Y2" s="2363"/>
      <c r="Z2" s="2363"/>
      <c r="AA2" s="2364"/>
      <c r="AB2" s="1527"/>
      <c r="AC2" s="1525"/>
      <c r="AD2" s="1526"/>
      <c r="AE2" s="1526"/>
      <c r="AF2" s="1526"/>
      <c r="AG2" s="1526"/>
      <c r="AH2" s="1526"/>
      <c r="AI2" s="1527"/>
      <c r="AJ2" s="2303"/>
      <c r="AK2" s="2303"/>
    </row>
    <row r="3" spans="1:37" ht="148.94999999999999" customHeight="1">
      <c r="A3" s="2371"/>
      <c r="B3" s="2370"/>
      <c r="C3" s="2382" t="s">
        <v>1286</v>
      </c>
      <c r="D3" s="2318" t="s">
        <v>1110</v>
      </c>
      <c r="E3" s="2318" t="s">
        <v>384</v>
      </c>
      <c r="F3" s="2306" t="s">
        <v>546</v>
      </c>
      <c r="G3" s="2306" t="s">
        <v>330</v>
      </c>
      <c r="H3" s="2306" t="s">
        <v>547</v>
      </c>
      <c r="I3" s="2299" t="s">
        <v>770</v>
      </c>
      <c r="J3" s="2299" t="s">
        <v>769</v>
      </c>
      <c r="K3" s="2299" t="s">
        <v>538</v>
      </c>
      <c r="L3" s="2300" t="s">
        <v>548</v>
      </c>
      <c r="M3" s="1496" t="s">
        <v>333</v>
      </c>
      <c r="N3" s="2306" t="s">
        <v>545</v>
      </c>
      <c r="O3" s="2307" t="s">
        <v>1036</v>
      </c>
      <c r="P3" s="2306" t="s">
        <v>1056</v>
      </c>
      <c r="Q3" s="1537" t="s">
        <v>760</v>
      </c>
      <c r="R3" s="1537" t="s">
        <v>761</v>
      </c>
      <c r="S3" s="2308" t="s">
        <v>544</v>
      </c>
      <c r="T3" s="2308" t="s">
        <v>1057</v>
      </c>
      <c r="U3" s="2309" t="s">
        <v>1267</v>
      </c>
      <c r="V3" s="1507" t="s">
        <v>1268</v>
      </c>
      <c r="W3" s="2312" t="s">
        <v>1253</v>
      </c>
      <c r="X3" s="2312" t="s">
        <v>1251</v>
      </c>
      <c r="Y3" s="2312" t="s">
        <v>1254</v>
      </c>
      <c r="Z3" s="2312" t="s">
        <v>1252</v>
      </c>
      <c r="AA3" s="1498" t="s">
        <v>551</v>
      </c>
      <c r="AB3" s="2313" t="s">
        <v>1269</v>
      </c>
      <c r="AC3" s="1507" t="s">
        <v>1094</v>
      </c>
      <c r="AD3" s="2309" t="s">
        <v>1270</v>
      </c>
      <c r="AE3" s="2307" t="s">
        <v>1036</v>
      </c>
      <c r="AF3" s="2309" t="s">
        <v>1271</v>
      </c>
      <c r="AG3" s="2322" t="s">
        <v>981</v>
      </c>
      <c r="AH3" s="2322" t="s">
        <v>761</v>
      </c>
      <c r="AI3" s="2322" t="s">
        <v>1242</v>
      </c>
      <c r="AJ3" s="2304"/>
      <c r="AK3" s="2304"/>
    </row>
    <row r="4" spans="1:37" ht="19.95" customHeight="1">
      <c r="A4" s="2372"/>
      <c r="B4" s="2373"/>
      <c r="C4" s="2376"/>
      <c r="D4" s="2318"/>
      <c r="E4" s="2318"/>
      <c r="F4" s="2301"/>
      <c r="G4" s="2301"/>
      <c r="H4" s="2301"/>
      <c r="I4" s="2251"/>
      <c r="J4" s="2251"/>
      <c r="K4" s="2251"/>
      <c r="L4" s="2301"/>
      <c r="M4" s="1568">
        <v>2.5000000000000001E-3</v>
      </c>
      <c r="N4" s="2301"/>
      <c r="O4" s="2251"/>
      <c r="P4" s="2301"/>
      <c r="Q4" s="1497"/>
      <c r="R4" s="1497"/>
      <c r="S4" s="2301"/>
      <c r="T4" s="2301"/>
      <c r="U4" s="2280"/>
      <c r="V4" s="1508"/>
      <c r="W4" s="2251"/>
      <c r="X4" s="2251"/>
      <c r="Y4" s="2251"/>
      <c r="Z4" s="2251"/>
      <c r="AA4" s="1494"/>
      <c r="AB4" s="2280" t="s">
        <v>537</v>
      </c>
      <c r="AC4" s="1570">
        <v>2.5000000000000001E-3</v>
      </c>
      <c r="AD4" s="2280"/>
      <c r="AE4" s="2251"/>
      <c r="AF4" s="2280"/>
      <c r="AG4" s="2323"/>
      <c r="AH4" s="2323"/>
      <c r="AI4" s="2323"/>
      <c r="AJ4" s="2305"/>
      <c r="AK4" s="2305"/>
    </row>
    <row r="5" spans="1:37" ht="14.25" customHeight="1">
      <c r="A5" s="463"/>
      <c r="B5" s="464"/>
      <c r="C5" s="465">
        <v>1</v>
      </c>
      <c r="D5" s="465">
        <f t="shared" ref="D5" si="0">C5+1</f>
        <v>2</v>
      </c>
      <c r="E5" s="465">
        <f>D5+1</f>
        <v>3</v>
      </c>
      <c r="F5" s="465">
        <f t="shared" ref="F5:AK5" si="1">E5+1</f>
        <v>4</v>
      </c>
      <c r="G5" s="465">
        <f t="shared" si="1"/>
        <v>5</v>
      </c>
      <c r="H5" s="465">
        <f t="shared" si="1"/>
        <v>6</v>
      </c>
      <c r="I5" s="465">
        <f t="shared" si="1"/>
        <v>7</v>
      </c>
      <c r="J5" s="465">
        <f t="shared" si="1"/>
        <v>8</v>
      </c>
      <c r="K5" s="465">
        <f t="shared" si="1"/>
        <v>9</v>
      </c>
      <c r="L5" s="465">
        <f t="shared" si="1"/>
        <v>10</v>
      </c>
      <c r="M5" s="465">
        <f t="shared" si="1"/>
        <v>11</v>
      </c>
      <c r="N5" s="465">
        <f t="shared" si="1"/>
        <v>12</v>
      </c>
      <c r="O5" s="465">
        <f t="shared" si="1"/>
        <v>13</v>
      </c>
      <c r="P5" s="465">
        <f t="shared" si="1"/>
        <v>14</v>
      </c>
      <c r="Q5" s="465">
        <f t="shared" si="1"/>
        <v>15</v>
      </c>
      <c r="R5" s="465">
        <f t="shared" si="1"/>
        <v>16</v>
      </c>
      <c r="S5" s="465">
        <f t="shared" si="1"/>
        <v>17</v>
      </c>
      <c r="T5" s="465">
        <f t="shared" ref="T5" si="2">S5+1</f>
        <v>18</v>
      </c>
      <c r="U5" s="465">
        <f t="shared" ref="U5" si="3">T5+1</f>
        <v>19</v>
      </c>
      <c r="V5" s="465">
        <f t="shared" si="1"/>
        <v>20</v>
      </c>
      <c r="W5" s="465">
        <f t="shared" si="1"/>
        <v>21</v>
      </c>
      <c r="X5" s="465">
        <f t="shared" si="1"/>
        <v>22</v>
      </c>
      <c r="Y5" s="465">
        <f t="shared" si="1"/>
        <v>23</v>
      </c>
      <c r="Z5" s="465">
        <f t="shared" si="1"/>
        <v>24</v>
      </c>
      <c r="AA5" s="465">
        <f t="shared" si="1"/>
        <v>25</v>
      </c>
      <c r="AB5" s="465">
        <f t="shared" si="1"/>
        <v>26</v>
      </c>
      <c r="AC5" s="465">
        <f t="shared" si="1"/>
        <v>27</v>
      </c>
      <c r="AD5" s="465">
        <f t="shared" si="1"/>
        <v>28</v>
      </c>
      <c r="AE5" s="465">
        <f t="shared" si="1"/>
        <v>29</v>
      </c>
      <c r="AF5" s="465">
        <f t="shared" si="1"/>
        <v>30</v>
      </c>
      <c r="AG5" s="465">
        <f t="shared" si="1"/>
        <v>31</v>
      </c>
      <c r="AH5" s="465">
        <f t="shared" si="1"/>
        <v>32</v>
      </c>
      <c r="AI5" s="465">
        <f t="shared" si="1"/>
        <v>33</v>
      </c>
      <c r="AJ5" s="465">
        <f t="shared" si="1"/>
        <v>34</v>
      </c>
      <c r="AK5" s="465">
        <f t="shared" si="1"/>
        <v>35</v>
      </c>
    </row>
    <row r="6" spans="1:37" ht="27" hidden="1" customHeight="1">
      <c r="A6" s="472"/>
      <c r="B6" s="473"/>
      <c r="C6" s="473"/>
      <c r="D6" s="473"/>
      <c r="E6" s="473"/>
      <c r="F6" s="473"/>
      <c r="G6" s="473"/>
      <c r="H6" s="473"/>
      <c r="I6" s="615"/>
      <c r="J6" s="615"/>
      <c r="K6" s="615"/>
      <c r="L6" s="615"/>
      <c r="M6" s="473"/>
      <c r="N6" s="473"/>
      <c r="O6" s="473"/>
      <c r="P6" s="473"/>
      <c r="Q6" s="615"/>
      <c r="R6" s="615"/>
      <c r="S6" s="473"/>
      <c r="T6" s="473"/>
      <c r="U6" s="473"/>
      <c r="V6" s="473"/>
      <c r="W6" s="615"/>
      <c r="X6" s="615"/>
      <c r="Y6" s="615"/>
      <c r="Z6" s="615"/>
      <c r="AA6" s="615"/>
      <c r="AB6" s="615"/>
      <c r="AC6" s="473"/>
      <c r="AD6" s="473"/>
      <c r="AE6" s="473"/>
      <c r="AF6" s="473"/>
      <c r="AG6" s="615"/>
      <c r="AH6" s="615"/>
      <c r="AI6" s="473"/>
      <c r="AJ6" s="473"/>
      <c r="AK6" s="473"/>
    </row>
    <row r="7" spans="1:37" ht="16.2" customHeight="1">
      <c r="A7" s="1183">
        <v>1</v>
      </c>
      <c r="B7" s="1184" t="s">
        <v>81</v>
      </c>
      <c r="C7" s="1185">
        <v>12</v>
      </c>
      <c r="D7" s="1186">
        <f>+'Table 5C1A-Madison Prep'!D7</f>
        <v>4765.8584413349836</v>
      </c>
      <c r="E7" s="1187">
        <f>C7*D7</f>
        <v>57190.301296019803</v>
      </c>
      <c r="F7" s="1187">
        <f>+'Table 5C1A-Madison Prep'!F7</f>
        <v>777.48</v>
      </c>
      <c r="G7" s="1187">
        <f>C7*F7</f>
        <v>9329.76</v>
      </c>
      <c r="H7" s="1538">
        <f>E7+G7</f>
        <v>66520.061296019805</v>
      </c>
      <c r="I7" s="1188"/>
      <c r="J7" s="1188"/>
      <c r="K7" s="1189">
        <f>+I7+J7</f>
        <v>0</v>
      </c>
      <c r="L7" s="1538">
        <f>+H7+K7</f>
        <v>66520.061296019805</v>
      </c>
      <c r="M7" s="1372">
        <f t="shared" ref="M7:M70" si="4">-(0.25%*L7)</f>
        <v>-166.30015324004953</v>
      </c>
      <c r="N7" s="1538">
        <f>SUM(L7:M7)</f>
        <v>66353.761142779753</v>
      </c>
      <c r="O7" s="1186">
        <v>0</v>
      </c>
      <c r="P7" s="1544">
        <f>SUM(N7:O7)</f>
        <v>66353.761142779753</v>
      </c>
      <c r="Q7" s="1188"/>
      <c r="R7" s="1188">
        <f>+P7-Q7</f>
        <v>66353.761142779753</v>
      </c>
      <c r="S7" s="1544">
        <f>ROUND(R7/12,0)</f>
        <v>5529</v>
      </c>
      <c r="T7" s="1544">
        <f>+P7</f>
        <v>66353.761142779753</v>
      </c>
      <c r="U7" s="1373">
        <f>'Table 5C1A-Madison Prep'!U7</f>
        <v>2409</v>
      </c>
      <c r="V7" s="1514">
        <f>C7*U7</f>
        <v>28908</v>
      </c>
      <c r="W7" s="1375"/>
      <c r="X7" s="1376">
        <f>+U7*W7</f>
        <v>0</v>
      </c>
      <c r="Y7" s="1375"/>
      <c r="Z7" s="1376">
        <f>+U7*Y7*0.5</f>
        <v>0</v>
      </c>
      <c r="AA7" s="1374">
        <f>+X7+Z7</f>
        <v>0</v>
      </c>
      <c r="AB7" s="1509">
        <f>+V7+AA7</f>
        <v>28908</v>
      </c>
      <c r="AC7" s="1378">
        <f>-(0.25%*AB7)</f>
        <v>-72.27</v>
      </c>
      <c r="AD7" s="1509">
        <f>SUM(AB7:AC7)</f>
        <v>28835.73</v>
      </c>
      <c r="AE7" s="1379">
        <v>0</v>
      </c>
      <c r="AF7" s="1509">
        <f>SUM(AD7:AE7)</f>
        <v>28835.73</v>
      </c>
      <c r="AG7" s="1379"/>
      <c r="AH7" s="1379">
        <f>+AF7-AG7</f>
        <v>28835.73</v>
      </c>
      <c r="AI7" s="1509">
        <f>ROUND(AH7/12,0)</f>
        <v>2403</v>
      </c>
      <c r="AJ7" s="1530">
        <f>T7+AF7</f>
        <v>95189.491142779749</v>
      </c>
      <c r="AK7" s="1534">
        <f>S7+AI7</f>
        <v>7932</v>
      </c>
    </row>
    <row r="8" spans="1:37" ht="16.2" customHeight="1">
      <c r="A8" s="1176">
        <v>2</v>
      </c>
      <c r="B8" s="1177" t="s">
        <v>82</v>
      </c>
      <c r="C8" s="1178">
        <v>0</v>
      </c>
      <c r="D8" s="1179">
        <f>+'Table 5C1A-Madison Prep'!D8</f>
        <v>6316.6266417386641</v>
      </c>
      <c r="E8" s="1180">
        <f t="shared" ref="E8:E71" si="5">C8*D8</f>
        <v>0</v>
      </c>
      <c r="F8" s="1180">
        <f>+'Table 5C1A-Madison Prep'!F8</f>
        <v>842.32</v>
      </c>
      <c r="G8" s="1180">
        <f t="shared" ref="G8:G71" si="6">C8*F8</f>
        <v>0</v>
      </c>
      <c r="H8" s="1539">
        <f t="shared" ref="H8:H71" si="7">E8+G8</f>
        <v>0</v>
      </c>
      <c r="I8" s="1181"/>
      <c r="J8" s="1181"/>
      <c r="K8" s="1182">
        <f t="shared" ref="K8:K71" si="8">+I8+J8</f>
        <v>0</v>
      </c>
      <c r="L8" s="1539">
        <f t="shared" ref="L8:L71" si="9">+H8+K8</f>
        <v>0</v>
      </c>
      <c r="M8" s="1388">
        <f t="shared" si="4"/>
        <v>0</v>
      </c>
      <c r="N8" s="1539">
        <f t="shared" ref="N8:N71" si="10">SUM(L8:M8)</f>
        <v>0</v>
      </c>
      <c r="O8" s="1179">
        <v>0</v>
      </c>
      <c r="P8" s="1545">
        <f t="shared" ref="P8:P71" si="11">SUM(N8:O8)</f>
        <v>0</v>
      </c>
      <c r="Q8" s="1181"/>
      <c r="R8" s="1181">
        <f t="shared" ref="R8:R71" si="12">+P8-Q8</f>
        <v>0</v>
      </c>
      <c r="S8" s="1545">
        <f t="shared" ref="S8:S71" si="13">ROUND(R8/12,0)</f>
        <v>0</v>
      </c>
      <c r="T8" s="1545">
        <f t="shared" ref="T8:T71" si="14">+P8</f>
        <v>0</v>
      </c>
      <c r="U8" s="1389">
        <f>'Table 5C1A-Madison Prep'!U8</f>
        <v>2829</v>
      </c>
      <c r="V8" s="1515">
        <f t="shared" ref="V8:V71" si="15">C8*U8</f>
        <v>0</v>
      </c>
      <c r="W8" s="1391"/>
      <c r="X8" s="1392">
        <f t="shared" ref="X8:X71" si="16">+U8*W8</f>
        <v>0</v>
      </c>
      <c r="Y8" s="1391"/>
      <c r="Z8" s="1392">
        <f t="shared" ref="Z8:Z71" si="17">+U8*Y8*0.5</f>
        <v>0</v>
      </c>
      <c r="AA8" s="1390">
        <f t="shared" ref="AA8:AA71" si="18">+X8+Z8</f>
        <v>0</v>
      </c>
      <c r="AB8" s="1510">
        <f t="shared" ref="AB8:AB71" si="19">+V8+AA8</f>
        <v>0</v>
      </c>
      <c r="AC8" s="1394">
        <f t="shared" ref="AC8:AC71" si="20">-(0.25%*AB8)</f>
        <v>0</v>
      </c>
      <c r="AD8" s="1510">
        <f t="shared" ref="AD8:AD71" si="21">SUM(AB8:AC8)</f>
        <v>0</v>
      </c>
      <c r="AE8" s="1395">
        <v>0</v>
      </c>
      <c r="AF8" s="1510">
        <f t="shared" ref="AF8:AF71" si="22">SUM(AD8:AE8)</f>
        <v>0</v>
      </c>
      <c r="AG8" s="1395"/>
      <c r="AH8" s="1395">
        <f t="shared" ref="AH8:AH71" si="23">+AF8-AG8</f>
        <v>0</v>
      </c>
      <c r="AI8" s="1510">
        <f t="shared" ref="AI8:AI71" si="24">ROUND(AH8/12,0)</f>
        <v>0</v>
      </c>
      <c r="AJ8" s="1505">
        <f t="shared" ref="AJ8:AJ71" si="25">T8+AF8</f>
        <v>0</v>
      </c>
      <c r="AK8" s="1535">
        <f t="shared" ref="AK8:AK71" si="26">S8+AI8</f>
        <v>0</v>
      </c>
    </row>
    <row r="9" spans="1:37" ht="16.2" customHeight="1">
      <c r="A9" s="1176">
        <v>3</v>
      </c>
      <c r="B9" s="1177" t="s">
        <v>83</v>
      </c>
      <c r="C9" s="1178">
        <v>0</v>
      </c>
      <c r="D9" s="1179">
        <f>+'Table 5C1A-Madison Prep'!D9</f>
        <v>4155.1862027396819</v>
      </c>
      <c r="E9" s="1180">
        <f t="shared" si="5"/>
        <v>0</v>
      </c>
      <c r="F9" s="1180">
        <f>+'Table 5C1A-Madison Prep'!F9</f>
        <v>596.84</v>
      </c>
      <c r="G9" s="1180">
        <f t="shared" si="6"/>
        <v>0</v>
      </c>
      <c r="H9" s="1539">
        <f t="shared" si="7"/>
        <v>0</v>
      </c>
      <c r="I9" s="1181"/>
      <c r="J9" s="1181"/>
      <c r="K9" s="1182">
        <f t="shared" si="8"/>
        <v>0</v>
      </c>
      <c r="L9" s="1539">
        <f t="shared" si="9"/>
        <v>0</v>
      </c>
      <c r="M9" s="1388">
        <f t="shared" si="4"/>
        <v>0</v>
      </c>
      <c r="N9" s="1539">
        <f t="shared" si="10"/>
        <v>0</v>
      </c>
      <c r="O9" s="1179">
        <v>0</v>
      </c>
      <c r="P9" s="1545">
        <f t="shared" si="11"/>
        <v>0</v>
      </c>
      <c r="Q9" s="1181"/>
      <c r="R9" s="1181">
        <f t="shared" si="12"/>
        <v>0</v>
      </c>
      <c r="S9" s="1545">
        <f t="shared" si="13"/>
        <v>0</v>
      </c>
      <c r="T9" s="1545">
        <f t="shared" si="14"/>
        <v>0</v>
      </c>
      <c r="U9" s="1389">
        <f>'Table 5C1A-Madison Prep'!U9</f>
        <v>5770</v>
      </c>
      <c r="V9" s="1515">
        <f t="shared" si="15"/>
        <v>0</v>
      </c>
      <c r="W9" s="1391"/>
      <c r="X9" s="1392">
        <f t="shared" si="16"/>
        <v>0</v>
      </c>
      <c r="Y9" s="1391"/>
      <c r="Z9" s="1392">
        <f t="shared" si="17"/>
        <v>0</v>
      </c>
      <c r="AA9" s="1390">
        <f t="shared" si="18"/>
        <v>0</v>
      </c>
      <c r="AB9" s="1510">
        <f t="shared" si="19"/>
        <v>0</v>
      </c>
      <c r="AC9" s="1394">
        <f t="shared" si="20"/>
        <v>0</v>
      </c>
      <c r="AD9" s="1510">
        <f t="shared" si="21"/>
        <v>0</v>
      </c>
      <c r="AE9" s="1395">
        <v>0</v>
      </c>
      <c r="AF9" s="1510">
        <f t="shared" si="22"/>
        <v>0</v>
      </c>
      <c r="AG9" s="1395"/>
      <c r="AH9" s="1395">
        <f t="shared" si="23"/>
        <v>0</v>
      </c>
      <c r="AI9" s="1510">
        <f t="shared" si="24"/>
        <v>0</v>
      </c>
      <c r="AJ9" s="1505">
        <f t="shared" si="25"/>
        <v>0</v>
      </c>
      <c r="AK9" s="1535">
        <f t="shared" si="26"/>
        <v>0</v>
      </c>
    </row>
    <row r="10" spans="1:37" ht="16.2" customHeight="1">
      <c r="A10" s="1176">
        <v>4</v>
      </c>
      <c r="B10" s="1177" t="s">
        <v>84</v>
      </c>
      <c r="C10" s="1178">
        <v>0</v>
      </c>
      <c r="D10" s="1179">
        <f>+'Table 5C1A-Madison Prep'!D10</f>
        <v>6119.0581446878568</v>
      </c>
      <c r="E10" s="1180">
        <f t="shared" si="5"/>
        <v>0</v>
      </c>
      <c r="F10" s="1180">
        <f>+'Table 5C1A-Madison Prep'!F10</f>
        <v>585.76</v>
      </c>
      <c r="G10" s="1180">
        <f t="shared" si="6"/>
        <v>0</v>
      </c>
      <c r="H10" s="1539">
        <f t="shared" si="7"/>
        <v>0</v>
      </c>
      <c r="I10" s="1181"/>
      <c r="J10" s="1181"/>
      <c r="K10" s="1182">
        <f t="shared" si="8"/>
        <v>0</v>
      </c>
      <c r="L10" s="1539">
        <f t="shared" si="9"/>
        <v>0</v>
      </c>
      <c r="M10" s="1388">
        <f t="shared" si="4"/>
        <v>0</v>
      </c>
      <c r="N10" s="1539">
        <f t="shared" si="10"/>
        <v>0</v>
      </c>
      <c r="O10" s="1179">
        <v>0</v>
      </c>
      <c r="P10" s="1545">
        <f t="shared" si="11"/>
        <v>0</v>
      </c>
      <c r="Q10" s="1181"/>
      <c r="R10" s="1181">
        <f t="shared" si="12"/>
        <v>0</v>
      </c>
      <c r="S10" s="1545">
        <f t="shared" si="13"/>
        <v>0</v>
      </c>
      <c r="T10" s="1545">
        <f t="shared" si="14"/>
        <v>0</v>
      </c>
      <c r="U10" s="1389">
        <f>'Table 5C1A-Madison Prep'!U10</f>
        <v>3287</v>
      </c>
      <c r="V10" s="1515">
        <f t="shared" si="15"/>
        <v>0</v>
      </c>
      <c r="W10" s="1391"/>
      <c r="X10" s="1392">
        <f t="shared" si="16"/>
        <v>0</v>
      </c>
      <c r="Y10" s="1391"/>
      <c r="Z10" s="1392">
        <f t="shared" si="17"/>
        <v>0</v>
      </c>
      <c r="AA10" s="1390">
        <f t="shared" si="18"/>
        <v>0</v>
      </c>
      <c r="AB10" s="1510">
        <f t="shared" si="19"/>
        <v>0</v>
      </c>
      <c r="AC10" s="1394">
        <f t="shared" si="20"/>
        <v>0</v>
      </c>
      <c r="AD10" s="1510">
        <f t="shared" si="21"/>
        <v>0</v>
      </c>
      <c r="AE10" s="1395">
        <v>0</v>
      </c>
      <c r="AF10" s="1510">
        <f t="shared" si="22"/>
        <v>0</v>
      </c>
      <c r="AG10" s="1395"/>
      <c r="AH10" s="1395">
        <f t="shared" si="23"/>
        <v>0</v>
      </c>
      <c r="AI10" s="1510">
        <f t="shared" si="24"/>
        <v>0</v>
      </c>
      <c r="AJ10" s="1505">
        <f t="shared" si="25"/>
        <v>0</v>
      </c>
      <c r="AK10" s="1535">
        <f t="shared" si="26"/>
        <v>0</v>
      </c>
    </row>
    <row r="11" spans="1:37" ht="16.2" customHeight="1">
      <c r="A11" s="1168">
        <v>5</v>
      </c>
      <c r="B11" s="1169" t="s">
        <v>85</v>
      </c>
      <c r="C11" s="1170">
        <v>0</v>
      </c>
      <c r="D11" s="1171">
        <f>+'Table 5C1A-Madison Prep'!D11</f>
        <v>5268.940566009911</v>
      </c>
      <c r="E11" s="1172">
        <f t="shared" si="5"/>
        <v>0</v>
      </c>
      <c r="F11" s="1172">
        <f>+'Table 5C1A-Madison Prep'!F11</f>
        <v>555.91</v>
      </c>
      <c r="G11" s="1172">
        <f t="shared" si="6"/>
        <v>0</v>
      </c>
      <c r="H11" s="1540">
        <f t="shared" si="7"/>
        <v>0</v>
      </c>
      <c r="I11" s="1173"/>
      <c r="J11" s="1173"/>
      <c r="K11" s="1174">
        <f t="shared" si="8"/>
        <v>0</v>
      </c>
      <c r="L11" s="1540">
        <f t="shared" si="9"/>
        <v>0</v>
      </c>
      <c r="M11" s="1399">
        <f t="shared" si="4"/>
        <v>0</v>
      </c>
      <c r="N11" s="1540">
        <f t="shared" si="10"/>
        <v>0</v>
      </c>
      <c r="O11" s="1171">
        <v>0</v>
      </c>
      <c r="P11" s="1546">
        <f t="shared" si="11"/>
        <v>0</v>
      </c>
      <c r="Q11" s="1173"/>
      <c r="R11" s="1173">
        <f t="shared" si="12"/>
        <v>0</v>
      </c>
      <c r="S11" s="1546">
        <f t="shared" si="13"/>
        <v>0</v>
      </c>
      <c r="T11" s="1546">
        <f t="shared" si="14"/>
        <v>0</v>
      </c>
      <c r="U11" s="1382">
        <f>'Table 5C1A-Madison Prep'!U11</f>
        <v>1921</v>
      </c>
      <c r="V11" s="1516">
        <f t="shared" si="15"/>
        <v>0</v>
      </c>
      <c r="W11" s="1400"/>
      <c r="X11" s="1383">
        <f t="shared" si="16"/>
        <v>0</v>
      </c>
      <c r="Y11" s="1400"/>
      <c r="Z11" s="1383">
        <f t="shared" si="17"/>
        <v>0</v>
      </c>
      <c r="AA11" s="1384">
        <f t="shared" si="18"/>
        <v>0</v>
      </c>
      <c r="AB11" s="1511">
        <f t="shared" si="19"/>
        <v>0</v>
      </c>
      <c r="AC11" s="1402">
        <f t="shared" si="20"/>
        <v>0</v>
      </c>
      <c r="AD11" s="1511">
        <f t="shared" si="21"/>
        <v>0</v>
      </c>
      <c r="AE11" s="1385">
        <v>0</v>
      </c>
      <c r="AF11" s="1511">
        <f t="shared" si="22"/>
        <v>0</v>
      </c>
      <c r="AG11" s="1385"/>
      <c r="AH11" s="1385">
        <f t="shared" si="23"/>
        <v>0</v>
      </c>
      <c r="AI11" s="1511">
        <f t="shared" si="24"/>
        <v>0</v>
      </c>
      <c r="AJ11" s="1531">
        <f t="shared" si="25"/>
        <v>0</v>
      </c>
      <c r="AK11" s="1536">
        <f t="shared" si="26"/>
        <v>0</v>
      </c>
    </row>
    <row r="12" spans="1:37" ht="16.2" customHeight="1">
      <c r="A12" s="1183">
        <v>6</v>
      </c>
      <c r="B12" s="1184" t="s">
        <v>86</v>
      </c>
      <c r="C12" s="1185">
        <v>0</v>
      </c>
      <c r="D12" s="1186">
        <f>+'Table 5C1A-Madison Prep'!D12</f>
        <v>5378.5086124955869</v>
      </c>
      <c r="E12" s="1187">
        <f t="shared" si="5"/>
        <v>0</v>
      </c>
      <c r="F12" s="1187">
        <f>+'Table 5C1A-Madison Prep'!F12</f>
        <v>545.4799999999999</v>
      </c>
      <c r="G12" s="1187">
        <f t="shared" si="6"/>
        <v>0</v>
      </c>
      <c r="H12" s="1538">
        <f t="shared" si="7"/>
        <v>0</v>
      </c>
      <c r="I12" s="1188"/>
      <c r="J12" s="1188"/>
      <c r="K12" s="1189">
        <f t="shared" si="8"/>
        <v>0</v>
      </c>
      <c r="L12" s="1538">
        <f t="shared" si="9"/>
        <v>0</v>
      </c>
      <c r="M12" s="1372">
        <f t="shared" si="4"/>
        <v>0</v>
      </c>
      <c r="N12" s="1538">
        <f t="shared" si="10"/>
        <v>0</v>
      </c>
      <c r="O12" s="1186">
        <v>0</v>
      </c>
      <c r="P12" s="1544">
        <f t="shared" si="11"/>
        <v>0</v>
      </c>
      <c r="Q12" s="1188"/>
      <c r="R12" s="1188">
        <f t="shared" si="12"/>
        <v>0</v>
      </c>
      <c r="S12" s="1544">
        <f t="shared" si="13"/>
        <v>0</v>
      </c>
      <c r="T12" s="1544">
        <f t="shared" si="14"/>
        <v>0</v>
      </c>
      <c r="U12" s="1373">
        <f>'Table 5C1A-Madison Prep'!U12</f>
        <v>3807</v>
      </c>
      <c r="V12" s="1514">
        <f t="shared" si="15"/>
        <v>0</v>
      </c>
      <c r="W12" s="1375"/>
      <c r="X12" s="1376">
        <f t="shared" si="16"/>
        <v>0</v>
      </c>
      <c r="Y12" s="1375"/>
      <c r="Z12" s="1376">
        <f t="shared" si="17"/>
        <v>0</v>
      </c>
      <c r="AA12" s="1374">
        <f t="shared" si="18"/>
        <v>0</v>
      </c>
      <c r="AB12" s="1509">
        <f t="shared" si="19"/>
        <v>0</v>
      </c>
      <c r="AC12" s="1378">
        <f t="shared" si="20"/>
        <v>0</v>
      </c>
      <c r="AD12" s="1509">
        <f t="shared" si="21"/>
        <v>0</v>
      </c>
      <c r="AE12" s="1379">
        <v>0</v>
      </c>
      <c r="AF12" s="1509">
        <f t="shared" si="22"/>
        <v>0</v>
      </c>
      <c r="AG12" s="1379"/>
      <c r="AH12" s="1379">
        <f t="shared" si="23"/>
        <v>0</v>
      </c>
      <c r="AI12" s="1509">
        <f t="shared" si="24"/>
        <v>0</v>
      </c>
      <c r="AJ12" s="1530">
        <f t="shared" si="25"/>
        <v>0</v>
      </c>
      <c r="AK12" s="1534">
        <f t="shared" si="26"/>
        <v>0</v>
      </c>
    </row>
    <row r="13" spans="1:37" ht="16.2" customHeight="1">
      <c r="A13" s="1176">
        <v>7</v>
      </c>
      <c r="B13" s="1177" t="s">
        <v>87</v>
      </c>
      <c r="C13" s="1178">
        <v>0</v>
      </c>
      <c r="D13" s="1179">
        <f>+'Table 5C1A-Madison Prep'!D13</f>
        <v>2243.0031963470319</v>
      </c>
      <c r="E13" s="1180">
        <f t="shared" si="5"/>
        <v>0</v>
      </c>
      <c r="F13" s="1180">
        <f>+'Table 5C1A-Madison Prep'!F13</f>
        <v>756.91999999999985</v>
      </c>
      <c r="G13" s="1180">
        <f t="shared" si="6"/>
        <v>0</v>
      </c>
      <c r="H13" s="1539">
        <f t="shared" si="7"/>
        <v>0</v>
      </c>
      <c r="I13" s="1181"/>
      <c r="J13" s="1181"/>
      <c r="K13" s="1182">
        <f t="shared" si="8"/>
        <v>0</v>
      </c>
      <c r="L13" s="1539">
        <f t="shared" si="9"/>
        <v>0</v>
      </c>
      <c r="M13" s="1388">
        <f t="shared" si="4"/>
        <v>0</v>
      </c>
      <c r="N13" s="1539">
        <f t="shared" si="10"/>
        <v>0</v>
      </c>
      <c r="O13" s="1179">
        <v>0</v>
      </c>
      <c r="P13" s="1545">
        <f t="shared" si="11"/>
        <v>0</v>
      </c>
      <c r="Q13" s="1181"/>
      <c r="R13" s="1181">
        <f t="shared" si="12"/>
        <v>0</v>
      </c>
      <c r="S13" s="1545">
        <f t="shared" si="13"/>
        <v>0</v>
      </c>
      <c r="T13" s="1545">
        <f t="shared" si="14"/>
        <v>0</v>
      </c>
      <c r="U13" s="1389">
        <f>'Table 5C1A-Madison Prep'!U13</f>
        <v>11888</v>
      </c>
      <c r="V13" s="1515">
        <f t="shared" si="15"/>
        <v>0</v>
      </c>
      <c r="W13" s="1391"/>
      <c r="X13" s="1392">
        <f t="shared" si="16"/>
        <v>0</v>
      </c>
      <c r="Y13" s="1391"/>
      <c r="Z13" s="1392">
        <f t="shared" si="17"/>
        <v>0</v>
      </c>
      <c r="AA13" s="1390">
        <f t="shared" si="18"/>
        <v>0</v>
      </c>
      <c r="AB13" s="1510">
        <f t="shared" si="19"/>
        <v>0</v>
      </c>
      <c r="AC13" s="1394">
        <f t="shared" si="20"/>
        <v>0</v>
      </c>
      <c r="AD13" s="1510">
        <f t="shared" si="21"/>
        <v>0</v>
      </c>
      <c r="AE13" s="1395">
        <v>0</v>
      </c>
      <c r="AF13" s="1510">
        <f t="shared" si="22"/>
        <v>0</v>
      </c>
      <c r="AG13" s="1395"/>
      <c r="AH13" s="1395">
        <f t="shared" si="23"/>
        <v>0</v>
      </c>
      <c r="AI13" s="1510">
        <f t="shared" si="24"/>
        <v>0</v>
      </c>
      <c r="AJ13" s="1505">
        <f t="shared" si="25"/>
        <v>0</v>
      </c>
      <c r="AK13" s="1535">
        <f t="shared" si="26"/>
        <v>0</v>
      </c>
    </row>
    <row r="14" spans="1:37" ht="16.2" customHeight="1">
      <c r="A14" s="1176">
        <v>8</v>
      </c>
      <c r="B14" s="1177" t="s">
        <v>88</v>
      </c>
      <c r="C14" s="1178">
        <v>0</v>
      </c>
      <c r="D14" s="1179">
        <f>+'Table 5C1A-Madison Prep'!D14</f>
        <v>4669.802459558854</v>
      </c>
      <c r="E14" s="1180">
        <f t="shared" si="5"/>
        <v>0</v>
      </c>
      <c r="F14" s="1180">
        <f>+'Table 5C1A-Madison Prep'!F14</f>
        <v>725.76</v>
      </c>
      <c r="G14" s="1180">
        <f t="shared" si="6"/>
        <v>0</v>
      </c>
      <c r="H14" s="1539">
        <f t="shared" si="7"/>
        <v>0</v>
      </c>
      <c r="I14" s="1181"/>
      <c r="J14" s="1181"/>
      <c r="K14" s="1182">
        <f t="shared" si="8"/>
        <v>0</v>
      </c>
      <c r="L14" s="1539">
        <f t="shared" si="9"/>
        <v>0</v>
      </c>
      <c r="M14" s="1388">
        <f t="shared" si="4"/>
        <v>0</v>
      </c>
      <c r="N14" s="1539">
        <f t="shared" si="10"/>
        <v>0</v>
      </c>
      <c r="O14" s="1179">
        <v>0</v>
      </c>
      <c r="P14" s="1545">
        <f t="shared" si="11"/>
        <v>0</v>
      </c>
      <c r="Q14" s="1181"/>
      <c r="R14" s="1181">
        <f t="shared" si="12"/>
        <v>0</v>
      </c>
      <c r="S14" s="1545">
        <f t="shared" si="13"/>
        <v>0</v>
      </c>
      <c r="T14" s="1545">
        <f t="shared" si="14"/>
        <v>0</v>
      </c>
      <c r="U14" s="1389">
        <f>'Table 5C1A-Madison Prep'!U14</f>
        <v>4024</v>
      </c>
      <c r="V14" s="1515">
        <f t="shared" si="15"/>
        <v>0</v>
      </c>
      <c r="W14" s="1391"/>
      <c r="X14" s="1392">
        <f t="shared" si="16"/>
        <v>0</v>
      </c>
      <c r="Y14" s="1391"/>
      <c r="Z14" s="1392">
        <f t="shared" si="17"/>
        <v>0</v>
      </c>
      <c r="AA14" s="1390">
        <f t="shared" si="18"/>
        <v>0</v>
      </c>
      <c r="AB14" s="1510">
        <f t="shared" si="19"/>
        <v>0</v>
      </c>
      <c r="AC14" s="1394">
        <f t="shared" si="20"/>
        <v>0</v>
      </c>
      <c r="AD14" s="1510">
        <f t="shared" si="21"/>
        <v>0</v>
      </c>
      <c r="AE14" s="1395">
        <v>0</v>
      </c>
      <c r="AF14" s="1510">
        <f t="shared" si="22"/>
        <v>0</v>
      </c>
      <c r="AG14" s="1395"/>
      <c r="AH14" s="1395">
        <f t="shared" si="23"/>
        <v>0</v>
      </c>
      <c r="AI14" s="1510">
        <f t="shared" si="24"/>
        <v>0</v>
      </c>
      <c r="AJ14" s="1505">
        <f t="shared" si="25"/>
        <v>0</v>
      </c>
      <c r="AK14" s="1535">
        <f t="shared" si="26"/>
        <v>0</v>
      </c>
    </row>
    <row r="15" spans="1:37" ht="16.2" customHeight="1">
      <c r="A15" s="1176">
        <v>9</v>
      </c>
      <c r="B15" s="1177" t="s">
        <v>89</v>
      </c>
      <c r="C15" s="1178">
        <v>0</v>
      </c>
      <c r="D15" s="1179">
        <f>+'Table 5C1A-Madison Prep'!D15</f>
        <v>4632.4615072045008</v>
      </c>
      <c r="E15" s="1180">
        <f t="shared" si="5"/>
        <v>0</v>
      </c>
      <c r="F15" s="1180">
        <f>+'Table 5C1A-Madison Prep'!F15</f>
        <v>744.76</v>
      </c>
      <c r="G15" s="1180">
        <f t="shared" si="6"/>
        <v>0</v>
      </c>
      <c r="H15" s="1539">
        <f t="shared" si="7"/>
        <v>0</v>
      </c>
      <c r="I15" s="1181"/>
      <c r="J15" s="1181"/>
      <c r="K15" s="1182">
        <f t="shared" si="8"/>
        <v>0</v>
      </c>
      <c r="L15" s="1539">
        <f t="shared" si="9"/>
        <v>0</v>
      </c>
      <c r="M15" s="1388">
        <f t="shared" si="4"/>
        <v>0</v>
      </c>
      <c r="N15" s="1539">
        <f t="shared" si="10"/>
        <v>0</v>
      </c>
      <c r="O15" s="1179">
        <v>0</v>
      </c>
      <c r="P15" s="1545">
        <f t="shared" si="11"/>
        <v>0</v>
      </c>
      <c r="Q15" s="1181"/>
      <c r="R15" s="1181">
        <f t="shared" si="12"/>
        <v>0</v>
      </c>
      <c r="S15" s="1545">
        <f t="shared" si="13"/>
        <v>0</v>
      </c>
      <c r="T15" s="1545">
        <f t="shared" si="14"/>
        <v>0</v>
      </c>
      <c r="U15" s="1389">
        <f>'Table 5C1A-Madison Prep'!U15</f>
        <v>4828</v>
      </c>
      <c r="V15" s="1515">
        <f t="shared" si="15"/>
        <v>0</v>
      </c>
      <c r="W15" s="1391"/>
      <c r="X15" s="1392">
        <f t="shared" si="16"/>
        <v>0</v>
      </c>
      <c r="Y15" s="1391"/>
      <c r="Z15" s="1392">
        <f t="shared" si="17"/>
        <v>0</v>
      </c>
      <c r="AA15" s="1390">
        <f t="shared" si="18"/>
        <v>0</v>
      </c>
      <c r="AB15" s="1510">
        <f t="shared" si="19"/>
        <v>0</v>
      </c>
      <c r="AC15" s="1394">
        <f t="shared" si="20"/>
        <v>0</v>
      </c>
      <c r="AD15" s="1510">
        <f t="shared" si="21"/>
        <v>0</v>
      </c>
      <c r="AE15" s="1395">
        <v>0</v>
      </c>
      <c r="AF15" s="1510">
        <f t="shared" si="22"/>
        <v>0</v>
      </c>
      <c r="AG15" s="1395"/>
      <c r="AH15" s="1395">
        <f t="shared" si="23"/>
        <v>0</v>
      </c>
      <c r="AI15" s="1510">
        <f t="shared" si="24"/>
        <v>0</v>
      </c>
      <c r="AJ15" s="1505">
        <f t="shared" si="25"/>
        <v>0</v>
      </c>
      <c r="AK15" s="1535">
        <f t="shared" si="26"/>
        <v>0</v>
      </c>
    </row>
    <row r="16" spans="1:37" ht="16.2" customHeight="1">
      <c r="A16" s="1168">
        <v>10</v>
      </c>
      <c r="B16" s="1169" t="s">
        <v>90</v>
      </c>
      <c r="C16" s="1170">
        <v>0</v>
      </c>
      <c r="D16" s="1171">
        <f>+'Table 5C1A-Madison Prep'!D16</f>
        <v>4384.374733918472</v>
      </c>
      <c r="E16" s="1172">
        <f t="shared" si="5"/>
        <v>0</v>
      </c>
      <c r="F16" s="1172">
        <f>+'Table 5C1A-Madison Prep'!F16</f>
        <v>608.04000000000008</v>
      </c>
      <c r="G16" s="1172">
        <f t="shared" si="6"/>
        <v>0</v>
      </c>
      <c r="H16" s="1540">
        <f t="shared" si="7"/>
        <v>0</v>
      </c>
      <c r="I16" s="1173"/>
      <c r="J16" s="1173"/>
      <c r="K16" s="1174">
        <f t="shared" si="8"/>
        <v>0</v>
      </c>
      <c r="L16" s="1540">
        <f t="shared" si="9"/>
        <v>0</v>
      </c>
      <c r="M16" s="1399">
        <f t="shared" si="4"/>
        <v>0</v>
      </c>
      <c r="N16" s="1540">
        <f t="shared" si="10"/>
        <v>0</v>
      </c>
      <c r="O16" s="1171">
        <v>0</v>
      </c>
      <c r="P16" s="1546">
        <f t="shared" si="11"/>
        <v>0</v>
      </c>
      <c r="Q16" s="1173"/>
      <c r="R16" s="1173">
        <f t="shared" si="12"/>
        <v>0</v>
      </c>
      <c r="S16" s="1546">
        <f t="shared" si="13"/>
        <v>0</v>
      </c>
      <c r="T16" s="1546">
        <f t="shared" si="14"/>
        <v>0</v>
      </c>
      <c r="U16" s="1382">
        <f>'Table 5C1A-Madison Prep'!U16</f>
        <v>4565</v>
      </c>
      <c r="V16" s="1516">
        <f t="shared" si="15"/>
        <v>0</v>
      </c>
      <c r="W16" s="1400"/>
      <c r="X16" s="1383">
        <f t="shared" si="16"/>
        <v>0</v>
      </c>
      <c r="Y16" s="1400"/>
      <c r="Z16" s="1383">
        <f t="shared" si="17"/>
        <v>0</v>
      </c>
      <c r="AA16" s="1384">
        <f t="shared" si="18"/>
        <v>0</v>
      </c>
      <c r="AB16" s="1511">
        <f t="shared" si="19"/>
        <v>0</v>
      </c>
      <c r="AC16" s="1402">
        <f t="shared" si="20"/>
        <v>0</v>
      </c>
      <c r="AD16" s="1511">
        <f t="shared" si="21"/>
        <v>0</v>
      </c>
      <c r="AE16" s="1385">
        <v>0</v>
      </c>
      <c r="AF16" s="1511">
        <f t="shared" si="22"/>
        <v>0</v>
      </c>
      <c r="AG16" s="1385"/>
      <c r="AH16" s="1385">
        <f t="shared" si="23"/>
        <v>0</v>
      </c>
      <c r="AI16" s="1511">
        <f t="shared" si="24"/>
        <v>0</v>
      </c>
      <c r="AJ16" s="1531">
        <f t="shared" si="25"/>
        <v>0</v>
      </c>
      <c r="AK16" s="1536">
        <f t="shared" si="26"/>
        <v>0</v>
      </c>
    </row>
    <row r="17" spans="1:37" ht="16.2" customHeight="1">
      <c r="A17" s="1183">
        <v>11</v>
      </c>
      <c r="B17" s="1184" t="s">
        <v>91</v>
      </c>
      <c r="C17" s="1185">
        <v>0</v>
      </c>
      <c r="D17" s="1186">
        <f>+'Table 5C1A-Madison Prep'!D17</f>
        <v>7098.5372236353351</v>
      </c>
      <c r="E17" s="1187">
        <f t="shared" si="5"/>
        <v>0</v>
      </c>
      <c r="F17" s="1187">
        <f>+'Table 5C1A-Madison Prep'!F17</f>
        <v>706.55</v>
      </c>
      <c r="G17" s="1187">
        <f t="shared" si="6"/>
        <v>0</v>
      </c>
      <c r="H17" s="1538">
        <f t="shared" si="7"/>
        <v>0</v>
      </c>
      <c r="I17" s="1188"/>
      <c r="J17" s="1188"/>
      <c r="K17" s="1189">
        <f t="shared" si="8"/>
        <v>0</v>
      </c>
      <c r="L17" s="1538">
        <f t="shared" si="9"/>
        <v>0</v>
      </c>
      <c r="M17" s="1372">
        <f t="shared" si="4"/>
        <v>0</v>
      </c>
      <c r="N17" s="1538">
        <f t="shared" si="10"/>
        <v>0</v>
      </c>
      <c r="O17" s="1186">
        <v>0</v>
      </c>
      <c r="P17" s="1544">
        <f t="shared" si="11"/>
        <v>0</v>
      </c>
      <c r="Q17" s="1188"/>
      <c r="R17" s="1188">
        <f t="shared" si="12"/>
        <v>0</v>
      </c>
      <c r="S17" s="1544">
        <f t="shared" si="13"/>
        <v>0</v>
      </c>
      <c r="T17" s="1544">
        <f t="shared" si="14"/>
        <v>0</v>
      </c>
      <c r="U17" s="1373">
        <f>'Table 5C1A-Madison Prep'!U17</f>
        <v>3587</v>
      </c>
      <c r="V17" s="1514">
        <f t="shared" si="15"/>
        <v>0</v>
      </c>
      <c r="W17" s="1375"/>
      <c r="X17" s="1376">
        <f t="shared" si="16"/>
        <v>0</v>
      </c>
      <c r="Y17" s="1375"/>
      <c r="Z17" s="1376">
        <f t="shared" si="17"/>
        <v>0</v>
      </c>
      <c r="AA17" s="1374">
        <f t="shared" si="18"/>
        <v>0</v>
      </c>
      <c r="AB17" s="1509">
        <f t="shared" si="19"/>
        <v>0</v>
      </c>
      <c r="AC17" s="1378">
        <f t="shared" si="20"/>
        <v>0</v>
      </c>
      <c r="AD17" s="1509">
        <f t="shared" si="21"/>
        <v>0</v>
      </c>
      <c r="AE17" s="1379">
        <v>0</v>
      </c>
      <c r="AF17" s="1509">
        <f t="shared" si="22"/>
        <v>0</v>
      </c>
      <c r="AG17" s="1379"/>
      <c r="AH17" s="1379">
        <f t="shared" si="23"/>
        <v>0</v>
      </c>
      <c r="AI17" s="1509">
        <f t="shared" si="24"/>
        <v>0</v>
      </c>
      <c r="AJ17" s="1530">
        <f t="shared" si="25"/>
        <v>0</v>
      </c>
      <c r="AK17" s="1534">
        <f t="shared" si="26"/>
        <v>0</v>
      </c>
    </row>
    <row r="18" spans="1:37" ht="16.2" customHeight="1">
      <c r="A18" s="1176">
        <v>12</v>
      </c>
      <c r="B18" s="1177" t="s">
        <v>92</v>
      </c>
      <c r="C18" s="1178">
        <v>0</v>
      </c>
      <c r="D18" s="1179">
        <f>+'Table 5C1A-Madison Prep'!D18</f>
        <v>1666.6040983606558</v>
      </c>
      <c r="E18" s="1180">
        <f t="shared" si="5"/>
        <v>0</v>
      </c>
      <c r="F18" s="1180">
        <f>+'Table 5C1A-Madison Prep'!F18</f>
        <v>1063.31</v>
      </c>
      <c r="G18" s="1180">
        <f t="shared" si="6"/>
        <v>0</v>
      </c>
      <c r="H18" s="1539">
        <f t="shared" si="7"/>
        <v>0</v>
      </c>
      <c r="I18" s="1181"/>
      <c r="J18" s="1181"/>
      <c r="K18" s="1182">
        <f t="shared" si="8"/>
        <v>0</v>
      </c>
      <c r="L18" s="1539">
        <f t="shared" si="9"/>
        <v>0</v>
      </c>
      <c r="M18" s="1388">
        <f t="shared" si="4"/>
        <v>0</v>
      </c>
      <c r="N18" s="1539">
        <f t="shared" si="10"/>
        <v>0</v>
      </c>
      <c r="O18" s="1179">
        <v>0</v>
      </c>
      <c r="P18" s="1545">
        <f t="shared" si="11"/>
        <v>0</v>
      </c>
      <c r="Q18" s="1181"/>
      <c r="R18" s="1181">
        <f t="shared" si="12"/>
        <v>0</v>
      </c>
      <c r="S18" s="1545">
        <f t="shared" si="13"/>
        <v>0</v>
      </c>
      <c r="T18" s="1545">
        <f t="shared" si="14"/>
        <v>0</v>
      </c>
      <c r="U18" s="1389">
        <f>'Table 5C1A-Madison Prep'!U18</f>
        <v>8094</v>
      </c>
      <c r="V18" s="1515">
        <f t="shared" si="15"/>
        <v>0</v>
      </c>
      <c r="W18" s="1391"/>
      <c r="X18" s="1392">
        <f t="shared" si="16"/>
        <v>0</v>
      </c>
      <c r="Y18" s="1391"/>
      <c r="Z18" s="1392">
        <f t="shared" si="17"/>
        <v>0</v>
      </c>
      <c r="AA18" s="1390">
        <f t="shared" si="18"/>
        <v>0</v>
      </c>
      <c r="AB18" s="1510">
        <f t="shared" si="19"/>
        <v>0</v>
      </c>
      <c r="AC18" s="1394">
        <f t="shared" si="20"/>
        <v>0</v>
      </c>
      <c r="AD18" s="1510">
        <f t="shared" si="21"/>
        <v>0</v>
      </c>
      <c r="AE18" s="1395">
        <v>0</v>
      </c>
      <c r="AF18" s="1510">
        <f t="shared" si="22"/>
        <v>0</v>
      </c>
      <c r="AG18" s="1395"/>
      <c r="AH18" s="1395">
        <f t="shared" si="23"/>
        <v>0</v>
      </c>
      <c r="AI18" s="1510">
        <f t="shared" si="24"/>
        <v>0</v>
      </c>
      <c r="AJ18" s="1505">
        <f t="shared" si="25"/>
        <v>0</v>
      </c>
      <c r="AK18" s="1535">
        <f t="shared" si="26"/>
        <v>0</v>
      </c>
    </row>
    <row r="19" spans="1:37" ht="16.2" customHeight="1">
      <c r="A19" s="1176">
        <v>13</v>
      </c>
      <c r="B19" s="1177" t="s">
        <v>93</v>
      </c>
      <c r="C19" s="1178">
        <v>0</v>
      </c>
      <c r="D19" s="1179">
        <f>+'Table 5C1A-Madison Prep'!D19</f>
        <v>6433.6297758332212</v>
      </c>
      <c r="E19" s="1180">
        <f t="shared" si="5"/>
        <v>0</v>
      </c>
      <c r="F19" s="1180">
        <f>+'Table 5C1A-Madison Prep'!F19</f>
        <v>749.43000000000006</v>
      </c>
      <c r="G19" s="1180">
        <f t="shared" si="6"/>
        <v>0</v>
      </c>
      <c r="H19" s="1539">
        <f t="shared" si="7"/>
        <v>0</v>
      </c>
      <c r="I19" s="1181"/>
      <c r="J19" s="1181"/>
      <c r="K19" s="1182">
        <f t="shared" si="8"/>
        <v>0</v>
      </c>
      <c r="L19" s="1539">
        <f t="shared" si="9"/>
        <v>0</v>
      </c>
      <c r="M19" s="1388">
        <f t="shared" si="4"/>
        <v>0</v>
      </c>
      <c r="N19" s="1539">
        <f t="shared" si="10"/>
        <v>0</v>
      </c>
      <c r="O19" s="1179">
        <v>0</v>
      </c>
      <c r="P19" s="1545">
        <f t="shared" si="11"/>
        <v>0</v>
      </c>
      <c r="Q19" s="1181"/>
      <c r="R19" s="1181">
        <f t="shared" si="12"/>
        <v>0</v>
      </c>
      <c r="S19" s="1545">
        <f t="shared" si="13"/>
        <v>0</v>
      </c>
      <c r="T19" s="1545">
        <f t="shared" si="14"/>
        <v>0</v>
      </c>
      <c r="U19" s="1389">
        <f>'Table 5C1A-Madison Prep'!U19</f>
        <v>2842</v>
      </c>
      <c r="V19" s="1515">
        <f t="shared" si="15"/>
        <v>0</v>
      </c>
      <c r="W19" s="1391"/>
      <c r="X19" s="1392">
        <f t="shared" si="16"/>
        <v>0</v>
      </c>
      <c r="Y19" s="1391"/>
      <c r="Z19" s="1392">
        <f t="shared" si="17"/>
        <v>0</v>
      </c>
      <c r="AA19" s="1390">
        <f t="shared" si="18"/>
        <v>0</v>
      </c>
      <c r="AB19" s="1510">
        <f t="shared" si="19"/>
        <v>0</v>
      </c>
      <c r="AC19" s="1394">
        <f t="shared" si="20"/>
        <v>0</v>
      </c>
      <c r="AD19" s="1510">
        <f t="shared" si="21"/>
        <v>0</v>
      </c>
      <c r="AE19" s="1395">
        <v>0</v>
      </c>
      <c r="AF19" s="1510">
        <f t="shared" si="22"/>
        <v>0</v>
      </c>
      <c r="AG19" s="1395"/>
      <c r="AH19" s="1395">
        <f t="shared" si="23"/>
        <v>0</v>
      </c>
      <c r="AI19" s="1510">
        <f t="shared" si="24"/>
        <v>0</v>
      </c>
      <c r="AJ19" s="1505">
        <f t="shared" si="25"/>
        <v>0</v>
      </c>
      <c r="AK19" s="1535">
        <f t="shared" si="26"/>
        <v>0</v>
      </c>
    </row>
    <row r="20" spans="1:37" ht="16.2" customHeight="1">
      <c r="A20" s="1176">
        <v>14</v>
      </c>
      <c r="B20" s="1177" t="s">
        <v>94</v>
      </c>
      <c r="C20" s="1178">
        <v>0</v>
      </c>
      <c r="D20" s="1179">
        <f>+'Table 5C1A-Madison Prep'!D20</f>
        <v>5334.9509412500001</v>
      </c>
      <c r="E20" s="1180">
        <f t="shared" si="5"/>
        <v>0</v>
      </c>
      <c r="F20" s="1180">
        <f>+'Table 5C1A-Madison Prep'!F20</f>
        <v>809.9799999999999</v>
      </c>
      <c r="G20" s="1180">
        <f t="shared" si="6"/>
        <v>0</v>
      </c>
      <c r="H20" s="1539">
        <f t="shared" si="7"/>
        <v>0</v>
      </c>
      <c r="I20" s="1181"/>
      <c r="J20" s="1181"/>
      <c r="K20" s="1182">
        <f t="shared" si="8"/>
        <v>0</v>
      </c>
      <c r="L20" s="1539">
        <f t="shared" si="9"/>
        <v>0</v>
      </c>
      <c r="M20" s="1388">
        <f t="shared" si="4"/>
        <v>0</v>
      </c>
      <c r="N20" s="1539">
        <f t="shared" si="10"/>
        <v>0</v>
      </c>
      <c r="O20" s="1179">
        <v>0</v>
      </c>
      <c r="P20" s="1545">
        <f t="shared" si="11"/>
        <v>0</v>
      </c>
      <c r="Q20" s="1181"/>
      <c r="R20" s="1181">
        <f t="shared" si="12"/>
        <v>0</v>
      </c>
      <c r="S20" s="1545">
        <f t="shared" si="13"/>
        <v>0</v>
      </c>
      <c r="T20" s="1545">
        <f t="shared" si="14"/>
        <v>0</v>
      </c>
      <c r="U20" s="1389">
        <f>'Table 5C1A-Madison Prep'!U20</f>
        <v>4205</v>
      </c>
      <c r="V20" s="1515">
        <f t="shared" si="15"/>
        <v>0</v>
      </c>
      <c r="W20" s="1391"/>
      <c r="X20" s="1392">
        <f t="shared" si="16"/>
        <v>0</v>
      </c>
      <c r="Y20" s="1391"/>
      <c r="Z20" s="1392">
        <f t="shared" si="17"/>
        <v>0</v>
      </c>
      <c r="AA20" s="1390">
        <f t="shared" si="18"/>
        <v>0</v>
      </c>
      <c r="AB20" s="1510">
        <f t="shared" si="19"/>
        <v>0</v>
      </c>
      <c r="AC20" s="1394">
        <f t="shared" si="20"/>
        <v>0</v>
      </c>
      <c r="AD20" s="1510">
        <f t="shared" si="21"/>
        <v>0</v>
      </c>
      <c r="AE20" s="1395">
        <v>0</v>
      </c>
      <c r="AF20" s="1510">
        <f t="shared" si="22"/>
        <v>0</v>
      </c>
      <c r="AG20" s="1395"/>
      <c r="AH20" s="1395">
        <f t="shared" si="23"/>
        <v>0</v>
      </c>
      <c r="AI20" s="1510">
        <f t="shared" si="24"/>
        <v>0</v>
      </c>
      <c r="AJ20" s="1505">
        <f t="shared" si="25"/>
        <v>0</v>
      </c>
      <c r="AK20" s="1535">
        <f t="shared" si="26"/>
        <v>0</v>
      </c>
    </row>
    <row r="21" spans="1:37" ht="16.2" customHeight="1">
      <c r="A21" s="1168">
        <v>15</v>
      </c>
      <c r="B21" s="1169" t="s">
        <v>95</v>
      </c>
      <c r="C21" s="1170">
        <v>0</v>
      </c>
      <c r="D21" s="1171">
        <f>+'Table 5C1A-Madison Prep'!D21</f>
        <v>5749.8285214059952</v>
      </c>
      <c r="E21" s="1172">
        <f t="shared" si="5"/>
        <v>0</v>
      </c>
      <c r="F21" s="1172">
        <f>+'Table 5C1A-Madison Prep'!F21</f>
        <v>553.79999999999995</v>
      </c>
      <c r="G21" s="1172">
        <f t="shared" si="6"/>
        <v>0</v>
      </c>
      <c r="H21" s="1540">
        <f t="shared" si="7"/>
        <v>0</v>
      </c>
      <c r="I21" s="1173"/>
      <c r="J21" s="1173"/>
      <c r="K21" s="1174">
        <f t="shared" si="8"/>
        <v>0</v>
      </c>
      <c r="L21" s="1540">
        <f t="shared" si="9"/>
        <v>0</v>
      </c>
      <c r="M21" s="1399">
        <f t="shared" si="4"/>
        <v>0</v>
      </c>
      <c r="N21" s="1540">
        <f t="shared" si="10"/>
        <v>0</v>
      </c>
      <c r="O21" s="1171">
        <v>0</v>
      </c>
      <c r="P21" s="1546">
        <f t="shared" si="11"/>
        <v>0</v>
      </c>
      <c r="Q21" s="1173"/>
      <c r="R21" s="1173">
        <f t="shared" si="12"/>
        <v>0</v>
      </c>
      <c r="S21" s="1546">
        <f t="shared" si="13"/>
        <v>0</v>
      </c>
      <c r="T21" s="1546">
        <f t="shared" si="14"/>
        <v>0</v>
      </c>
      <c r="U21" s="1382">
        <f>'Table 5C1A-Madison Prep'!U21</f>
        <v>2535</v>
      </c>
      <c r="V21" s="1516">
        <f t="shared" si="15"/>
        <v>0</v>
      </c>
      <c r="W21" s="1400"/>
      <c r="X21" s="1383">
        <f t="shared" si="16"/>
        <v>0</v>
      </c>
      <c r="Y21" s="1400"/>
      <c r="Z21" s="1383">
        <f t="shared" si="17"/>
        <v>0</v>
      </c>
      <c r="AA21" s="1384">
        <f t="shared" si="18"/>
        <v>0</v>
      </c>
      <c r="AB21" s="1511">
        <f t="shared" si="19"/>
        <v>0</v>
      </c>
      <c r="AC21" s="1402">
        <f t="shared" si="20"/>
        <v>0</v>
      </c>
      <c r="AD21" s="1511">
        <f t="shared" si="21"/>
        <v>0</v>
      </c>
      <c r="AE21" s="1385">
        <v>0</v>
      </c>
      <c r="AF21" s="1511">
        <f t="shared" si="22"/>
        <v>0</v>
      </c>
      <c r="AG21" s="1385"/>
      <c r="AH21" s="1385">
        <f t="shared" si="23"/>
        <v>0</v>
      </c>
      <c r="AI21" s="1511">
        <f t="shared" si="24"/>
        <v>0</v>
      </c>
      <c r="AJ21" s="1531">
        <f t="shared" si="25"/>
        <v>0</v>
      </c>
      <c r="AK21" s="1536">
        <f t="shared" si="26"/>
        <v>0</v>
      </c>
    </row>
    <row r="22" spans="1:37" ht="16.2" customHeight="1">
      <c r="A22" s="1183">
        <v>16</v>
      </c>
      <c r="B22" s="1184" t="s">
        <v>96</v>
      </c>
      <c r="C22" s="1185">
        <v>0</v>
      </c>
      <c r="D22" s="1186">
        <f>+'Table 5C1A-Madison Prep'!D22</f>
        <v>1980.2494354342025</v>
      </c>
      <c r="E22" s="1187">
        <f t="shared" si="5"/>
        <v>0</v>
      </c>
      <c r="F22" s="1187">
        <f>+'Table 5C1A-Madison Prep'!F22</f>
        <v>686.73</v>
      </c>
      <c r="G22" s="1187">
        <f t="shared" si="6"/>
        <v>0</v>
      </c>
      <c r="H22" s="1538">
        <f t="shared" si="7"/>
        <v>0</v>
      </c>
      <c r="I22" s="1188"/>
      <c r="J22" s="1188"/>
      <c r="K22" s="1189">
        <f t="shared" si="8"/>
        <v>0</v>
      </c>
      <c r="L22" s="1538">
        <f t="shared" si="9"/>
        <v>0</v>
      </c>
      <c r="M22" s="1372">
        <f t="shared" si="4"/>
        <v>0</v>
      </c>
      <c r="N22" s="1538">
        <f t="shared" si="10"/>
        <v>0</v>
      </c>
      <c r="O22" s="1186">
        <v>0</v>
      </c>
      <c r="P22" s="1544">
        <f t="shared" si="11"/>
        <v>0</v>
      </c>
      <c r="Q22" s="1188"/>
      <c r="R22" s="1188">
        <f t="shared" si="12"/>
        <v>0</v>
      </c>
      <c r="S22" s="1544">
        <f t="shared" si="13"/>
        <v>0</v>
      </c>
      <c r="T22" s="1544">
        <f t="shared" si="14"/>
        <v>0</v>
      </c>
      <c r="U22" s="1373">
        <f>'Table 5C1A-Madison Prep'!U22</f>
        <v>12768</v>
      </c>
      <c r="V22" s="1514">
        <f t="shared" si="15"/>
        <v>0</v>
      </c>
      <c r="W22" s="1375"/>
      <c r="X22" s="1376">
        <f t="shared" si="16"/>
        <v>0</v>
      </c>
      <c r="Y22" s="1375"/>
      <c r="Z22" s="1376">
        <f t="shared" si="17"/>
        <v>0</v>
      </c>
      <c r="AA22" s="1374">
        <f t="shared" si="18"/>
        <v>0</v>
      </c>
      <c r="AB22" s="1509">
        <f t="shared" si="19"/>
        <v>0</v>
      </c>
      <c r="AC22" s="1378">
        <f t="shared" si="20"/>
        <v>0</v>
      </c>
      <c r="AD22" s="1509">
        <f t="shared" si="21"/>
        <v>0</v>
      </c>
      <c r="AE22" s="1379">
        <v>0</v>
      </c>
      <c r="AF22" s="1509">
        <f t="shared" si="22"/>
        <v>0</v>
      </c>
      <c r="AG22" s="1379"/>
      <c r="AH22" s="1379">
        <f t="shared" si="23"/>
        <v>0</v>
      </c>
      <c r="AI22" s="1509">
        <f t="shared" si="24"/>
        <v>0</v>
      </c>
      <c r="AJ22" s="1530">
        <f t="shared" si="25"/>
        <v>0</v>
      </c>
      <c r="AK22" s="1534">
        <f t="shared" si="26"/>
        <v>0</v>
      </c>
    </row>
    <row r="23" spans="1:37" ht="16.2" customHeight="1">
      <c r="A23" s="1176">
        <v>17</v>
      </c>
      <c r="B23" s="1177" t="s">
        <v>97</v>
      </c>
      <c r="C23" s="1178">
        <v>0</v>
      </c>
      <c r="D23" s="1179">
        <f>+'Table 5C1A-Madison Prep'!D23</f>
        <v>3363.5980368254495</v>
      </c>
      <c r="E23" s="1180">
        <f t="shared" si="5"/>
        <v>0</v>
      </c>
      <c r="F23" s="1180">
        <f>+'Table 5C1A-Madison Prep'!F23</f>
        <v>801.47762416806802</v>
      </c>
      <c r="G23" s="1180">
        <f t="shared" si="6"/>
        <v>0</v>
      </c>
      <c r="H23" s="1539">
        <f t="shared" si="7"/>
        <v>0</v>
      </c>
      <c r="I23" s="1181"/>
      <c r="J23" s="1181"/>
      <c r="K23" s="1182">
        <f t="shared" si="8"/>
        <v>0</v>
      </c>
      <c r="L23" s="1539">
        <f t="shared" si="9"/>
        <v>0</v>
      </c>
      <c r="M23" s="1388">
        <f t="shared" si="4"/>
        <v>0</v>
      </c>
      <c r="N23" s="1539">
        <f t="shared" si="10"/>
        <v>0</v>
      </c>
      <c r="O23" s="1179">
        <v>0</v>
      </c>
      <c r="P23" s="1545">
        <f t="shared" si="11"/>
        <v>0</v>
      </c>
      <c r="Q23" s="1181"/>
      <c r="R23" s="1181">
        <f t="shared" si="12"/>
        <v>0</v>
      </c>
      <c r="S23" s="1545">
        <f t="shared" si="13"/>
        <v>0</v>
      </c>
      <c r="T23" s="1545">
        <f t="shared" si="14"/>
        <v>0</v>
      </c>
      <c r="U23" s="1389">
        <f>'Table 5C1A-Madison Prep'!U23</f>
        <v>7050</v>
      </c>
      <c r="V23" s="1515">
        <f t="shared" si="15"/>
        <v>0</v>
      </c>
      <c r="W23" s="1391"/>
      <c r="X23" s="1392">
        <f t="shared" si="16"/>
        <v>0</v>
      </c>
      <c r="Y23" s="1391"/>
      <c r="Z23" s="1392">
        <f t="shared" si="17"/>
        <v>0</v>
      </c>
      <c r="AA23" s="1390">
        <f t="shared" si="18"/>
        <v>0</v>
      </c>
      <c r="AB23" s="1510">
        <f t="shared" si="19"/>
        <v>0</v>
      </c>
      <c r="AC23" s="1394">
        <f t="shared" si="20"/>
        <v>0</v>
      </c>
      <c r="AD23" s="1510">
        <f t="shared" si="21"/>
        <v>0</v>
      </c>
      <c r="AE23" s="1395">
        <v>0</v>
      </c>
      <c r="AF23" s="1510">
        <f t="shared" si="22"/>
        <v>0</v>
      </c>
      <c r="AG23" s="1395"/>
      <c r="AH23" s="1395">
        <f t="shared" si="23"/>
        <v>0</v>
      </c>
      <c r="AI23" s="1510">
        <f t="shared" si="24"/>
        <v>0</v>
      </c>
      <c r="AJ23" s="1505">
        <f t="shared" si="25"/>
        <v>0</v>
      </c>
      <c r="AK23" s="1535">
        <f t="shared" si="26"/>
        <v>0</v>
      </c>
    </row>
    <row r="24" spans="1:37" ht="16.2" customHeight="1">
      <c r="A24" s="1176">
        <v>18</v>
      </c>
      <c r="B24" s="1177" t="s">
        <v>98</v>
      </c>
      <c r="C24" s="1178">
        <v>0</v>
      </c>
      <c r="D24" s="1179">
        <f>+'Table 5C1A-Madison Prep'!D24</f>
        <v>6354.5533500475731</v>
      </c>
      <c r="E24" s="1180">
        <f t="shared" si="5"/>
        <v>0</v>
      </c>
      <c r="F24" s="1180">
        <f>+'Table 5C1A-Madison Prep'!F24</f>
        <v>845.94999999999993</v>
      </c>
      <c r="G24" s="1180">
        <f t="shared" si="6"/>
        <v>0</v>
      </c>
      <c r="H24" s="1539">
        <f t="shared" si="7"/>
        <v>0</v>
      </c>
      <c r="I24" s="1181"/>
      <c r="J24" s="1181"/>
      <c r="K24" s="1182">
        <f t="shared" si="8"/>
        <v>0</v>
      </c>
      <c r="L24" s="1539">
        <f t="shared" si="9"/>
        <v>0</v>
      </c>
      <c r="M24" s="1388">
        <f t="shared" si="4"/>
        <v>0</v>
      </c>
      <c r="N24" s="1539">
        <f t="shared" si="10"/>
        <v>0</v>
      </c>
      <c r="O24" s="1179">
        <v>0</v>
      </c>
      <c r="P24" s="1545">
        <f t="shared" si="11"/>
        <v>0</v>
      </c>
      <c r="Q24" s="1181"/>
      <c r="R24" s="1181">
        <f t="shared" si="12"/>
        <v>0</v>
      </c>
      <c r="S24" s="1545">
        <f t="shared" si="13"/>
        <v>0</v>
      </c>
      <c r="T24" s="1545">
        <f t="shared" si="14"/>
        <v>0</v>
      </c>
      <c r="U24" s="1389">
        <f>'Table 5C1A-Madison Prep'!U24</f>
        <v>2526</v>
      </c>
      <c r="V24" s="1515">
        <f t="shared" si="15"/>
        <v>0</v>
      </c>
      <c r="W24" s="1391"/>
      <c r="X24" s="1392">
        <f t="shared" si="16"/>
        <v>0</v>
      </c>
      <c r="Y24" s="1391"/>
      <c r="Z24" s="1392">
        <f t="shared" si="17"/>
        <v>0</v>
      </c>
      <c r="AA24" s="1390">
        <f t="shared" si="18"/>
        <v>0</v>
      </c>
      <c r="AB24" s="1510">
        <f t="shared" si="19"/>
        <v>0</v>
      </c>
      <c r="AC24" s="1394">
        <f t="shared" si="20"/>
        <v>0</v>
      </c>
      <c r="AD24" s="1510">
        <f t="shared" si="21"/>
        <v>0</v>
      </c>
      <c r="AE24" s="1395">
        <v>0</v>
      </c>
      <c r="AF24" s="1510">
        <f t="shared" si="22"/>
        <v>0</v>
      </c>
      <c r="AG24" s="1395"/>
      <c r="AH24" s="1395">
        <f t="shared" si="23"/>
        <v>0</v>
      </c>
      <c r="AI24" s="1510">
        <f t="shared" si="24"/>
        <v>0</v>
      </c>
      <c r="AJ24" s="1505">
        <f t="shared" si="25"/>
        <v>0</v>
      </c>
      <c r="AK24" s="1535">
        <f t="shared" si="26"/>
        <v>0</v>
      </c>
    </row>
    <row r="25" spans="1:37" ht="16.2" customHeight="1">
      <c r="A25" s="1176">
        <v>19</v>
      </c>
      <c r="B25" s="1177" t="s">
        <v>99</v>
      </c>
      <c r="C25" s="1178">
        <v>0</v>
      </c>
      <c r="D25" s="1179">
        <f>+'Table 5C1A-Madison Prep'!D25</f>
        <v>5314.3921869460446</v>
      </c>
      <c r="E25" s="1180">
        <f t="shared" si="5"/>
        <v>0</v>
      </c>
      <c r="F25" s="1180">
        <f>+'Table 5C1A-Madison Prep'!F25</f>
        <v>905.43</v>
      </c>
      <c r="G25" s="1180">
        <f t="shared" si="6"/>
        <v>0</v>
      </c>
      <c r="H25" s="1539">
        <f t="shared" si="7"/>
        <v>0</v>
      </c>
      <c r="I25" s="1181"/>
      <c r="J25" s="1181"/>
      <c r="K25" s="1182">
        <f t="shared" si="8"/>
        <v>0</v>
      </c>
      <c r="L25" s="1539">
        <f t="shared" si="9"/>
        <v>0</v>
      </c>
      <c r="M25" s="1388">
        <f t="shared" si="4"/>
        <v>0</v>
      </c>
      <c r="N25" s="1539">
        <f t="shared" si="10"/>
        <v>0</v>
      </c>
      <c r="O25" s="1179">
        <v>0</v>
      </c>
      <c r="P25" s="1545">
        <f t="shared" si="11"/>
        <v>0</v>
      </c>
      <c r="Q25" s="1181"/>
      <c r="R25" s="1181">
        <f t="shared" si="12"/>
        <v>0</v>
      </c>
      <c r="S25" s="1545">
        <f t="shared" si="13"/>
        <v>0</v>
      </c>
      <c r="T25" s="1545">
        <f t="shared" si="14"/>
        <v>0</v>
      </c>
      <c r="U25" s="1389">
        <f>'Table 5C1A-Madison Prep'!U25</f>
        <v>2908</v>
      </c>
      <c r="V25" s="1515">
        <f t="shared" si="15"/>
        <v>0</v>
      </c>
      <c r="W25" s="1391"/>
      <c r="X25" s="1392">
        <f t="shared" si="16"/>
        <v>0</v>
      </c>
      <c r="Y25" s="1391"/>
      <c r="Z25" s="1392">
        <f t="shared" si="17"/>
        <v>0</v>
      </c>
      <c r="AA25" s="1390">
        <f t="shared" si="18"/>
        <v>0</v>
      </c>
      <c r="AB25" s="1510">
        <f t="shared" si="19"/>
        <v>0</v>
      </c>
      <c r="AC25" s="1394">
        <f t="shared" si="20"/>
        <v>0</v>
      </c>
      <c r="AD25" s="1510">
        <f t="shared" si="21"/>
        <v>0</v>
      </c>
      <c r="AE25" s="1395">
        <v>0</v>
      </c>
      <c r="AF25" s="1510">
        <f t="shared" si="22"/>
        <v>0</v>
      </c>
      <c r="AG25" s="1395"/>
      <c r="AH25" s="1395">
        <f t="shared" si="23"/>
        <v>0</v>
      </c>
      <c r="AI25" s="1510">
        <f t="shared" si="24"/>
        <v>0</v>
      </c>
      <c r="AJ25" s="1505">
        <f t="shared" si="25"/>
        <v>0</v>
      </c>
      <c r="AK25" s="1535">
        <f t="shared" si="26"/>
        <v>0</v>
      </c>
    </row>
    <row r="26" spans="1:37" ht="16.2" customHeight="1">
      <c r="A26" s="1168">
        <v>20</v>
      </c>
      <c r="B26" s="1169" t="s">
        <v>100</v>
      </c>
      <c r="C26" s="1170">
        <v>0</v>
      </c>
      <c r="D26" s="1171">
        <f>+'Table 5C1A-Madison Prep'!D26</f>
        <v>5278.5201565562011</v>
      </c>
      <c r="E26" s="1172">
        <f t="shared" si="5"/>
        <v>0</v>
      </c>
      <c r="F26" s="1172">
        <f>+'Table 5C1A-Madison Prep'!F26</f>
        <v>586.16999999999996</v>
      </c>
      <c r="G26" s="1172">
        <f t="shared" si="6"/>
        <v>0</v>
      </c>
      <c r="H26" s="1540">
        <f t="shared" si="7"/>
        <v>0</v>
      </c>
      <c r="I26" s="1173"/>
      <c r="J26" s="1173"/>
      <c r="K26" s="1174">
        <f t="shared" si="8"/>
        <v>0</v>
      </c>
      <c r="L26" s="1540">
        <f t="shared" si="9"/>
        <v>0</v>
      </c>
      <c r="M26" s="1399">
        <f t="shared" si="4"/>
        <v>0</v>
      </c>
      <c r="N26" s="1540">
        <f t="shared" si="10"/>
        <v>0</v>
      </c>
      <c r="O26" s="1171">
        <v>0</v>
      </c>
      <c r="P26" s="1546">
        <f t="shared" si="11"/>
        <v>0</v>
      </c>
      <c r="Q26" s="1173"/>
      <c r="R26" s="1173">
        <f t="shared" si="12"/>
        <v>0</v>
      </c>
      <c r="S26" s="1546">
        <f t="shared" si="13"/>
        <v>0</v>
      </c>
      <c r="T26" s="1546">
        <f t="shared" si="14"/>
        <v>0</v>
      </c>
      <c r="U26" s="1382">
        <f>'Table 5C1A-Madison Prep'!U26</f>
        <v>2432</v>
      </c>
      <c r="V26" s="1516">
        <f t="shared" si="15"/>
        <v>0</v>
      </c>
      <c r="W26" s="1400"/>
      <c r="X26" s="1383">
        <f t="shared" si="16"/>
        <v>0</v>
      </c>
      <c r="Y26" s="1400"/>
      <c r="Z26" s="1383">
        <f t="shared" si="17"/>
        <v>0</v>
      </c>
      <c r="AA26" s="1384">
        <f t="shared" si="18"/>
        <v>0</v>
      </c>
      <c r="AB26" s="1511">
        <f t="shared" si="19"/>
        <v>0</v>
      </c>
      <c r="AC26" s="1402">
        <f t="shared" si="20"/>
        <v>0</v>
      </c>
      <c r="AD26" s="1511">
        <f t="shared" si="21"/>
        <v>0</v>
      </c>
      <c r="AE26" s="1385">
        <v>0</v>
      </c>
      <c r="AF26" s="1511">
        <f t="shared" si="22"/>
        <v>0</v>
      </c>
      <c r="AG26" s="1385"/>
      <c r="AH26" s="1385">
        <f t="shared" si="23"/>
        <v>0</v>
      </c>
      <c r="AI26" s="1511">
        <f t="shared" si="24"/>
        <v>0</v>
      </c>
      <c r="AJ26" s="1531">
        <f t="shared" si="25"/>
        <v>0</v>
      </c>
      <c r="AK26" s="1536">
        <f t="shared" si="26"/>
        <v>0</v>
      </c>
    </row>
    <row r="27" spans="1:37" ht="16.2" customHeight="1">
      <c r="A27" s="1183">
        <v>21</v>
      </c>
      <c r="B27" s="1184" t="s">
        <v>101</v>
      </c>
      <c r="C27" s="1185">
        <v>0</v>
      </c>
      <c r="D27" s="1186">
        <f>+'Table 5C1A-Madison Prep'!D27</f>
        <v>6082.3042295867763</v>
      </c>
      <c r="E27" s="1187">
        <f t="shared" si="5"/>
        <v>0</v>
      </c>
      <c r="F27" s="1187">
        <f>+'Table 5C1A-Madison Prep'!F27</f>
        <v>610.35</v>
      </c>
      <c r="G27" s="1187">
        <f t="shared" si="6"/>
        <v>0</v>
      </c>
      <c r="H27" s="1538">
        <f t="shared" si="7"/>
        <v>0</v>
      </c>
      <c r="I27" s="1188"/>
      <c r="J27" s="1188"/>
      <c r="K27" s="1189">
        <f t="shared" si="8"/>
        <v>0</v>
      </c>
      <c r="L27" s="1538">
        <f t="shared" si="9"/>
        <v>0</v>
      </c>
      <c r="M27" s="1372">
        <f t="shared" si="4"/>
        <v>0</v>
      </c>
      <c r="N27" s="1538">
        <f t="shared" si="10"/>
        <v>0</v>
      </c>
      <c r="O27" s="1186">
        <v>0</v>
      </c>
      <c r="P27" s="1544">
        <f t="shared" si="11"/>
        <v>0</v>
      </c>
      <c r="Q27" s="1188"/>
      <c r="R27" s="1188">
        <f t="shared" si="12"/>
        <v>0</v>
      </c>
      <c r="S27" s="1544">
        <f t="shared" si="13"/>
        <v>0</v>
      </c>
      <c r="T27" s="1544">
        <f t="shared" si="14"/>
        <v>0</v>
      </c>
      <c r="U27" s="1373">
        <f>'Table 5C1A-Madison Prep'!U27</f>
        <v>2460</v>
      </c>
      <c r="V27" s="1514">
        <f t="shared" si="15"/>
        <v>0</v>
      </c>
      <c r="W27" s="1375"/>
      <c r="X27" s="1376">
        <f t="shared" si="16"/>
        <v>0</v>
      </c>
      <c r="Y27" s="1375"/>
      <c r="Z27" s="1376">
        <f t="shared" si="17"/>
        <v>0</v>
      </c>
      <c r="AA27" s="1374">
        <f t="shared" si="18"/>
        <v>0</v>
      </c>
      <c r="AB27" s="1509">
        <f t="shared" si="19"/>
        <v>0</v>
      </c>
      <c r="AC27" s="1378">
        <f t="shared" si="20"/>
        <v>0</v>
      </c>
      <c r="AD27" s="1509">
        <f t="shared" si="21"/>
        <v>0</v>
      </c>
      <c r="AE27" s="1379">
        <v>0</v>
      </c>
      <c r="AF27" s="1509">
        <f t="shared" si="22"/>
        <v>0</v>
      </c>
      <c r="AG27" s="1379"/>
      <c r="AH27" s="1379">
        <f t="shared" si="23"/>
        <v>0</v>
      </c>
      <c r="AI27" s="1509">
        <f t="shared" si="24"/>
        <v>0</v>
      </c>
      <c r="AJ27" s="1530">
        <f t="shared" si="25"/>
        <v>0</v>
      </c>
      <c r="AK27" s="1534">
        <f t="shared" si="26"/>
        <v>0</v>
      </c>
    </row>
    <row r="28" spans="1:37" ht="16.2" customHeight="1">
      <c r="A28" s="1176">
        <v>22</v>
      </c>
      <c r="B28" s="1177" t="s">
        <v>102</v>
      </c>
      <c r="C28" s="1178">
        <v>0</v>
      </c>
      <c r="D28" s="1179">
        <f>+'Table 5C1A-Madison Prep'!D28</f>
        <v>6416.1099808195995</v>
      </c>
      <c r="E28" s="1180">
        <f t="shared" si="5"/>
        <v>0</v>
      </c>
      <c r="F28" s="1180">
        <f>+'Table 5C1A-Madison Prep'!F28</f>
        <v>496.36</v>
      </c>
      <c r="G28" s="1180">
        <f t="shared" si="6"/>
        <v>0</v>
      </c>
      <c r="H28" s="1539">
        <f t="shared" si="7"/>
        <v>0</v>
      </c>
      <c r="I28" s="1181"/>
      <c r="J28" s="1181"/>
      <c r="K28" s="1182">
        <f t="shared" si="8"/>
        <v>0</v>
      </c>
      <c r="L28" s="1539">
        <f t="shared" si="9"/>
        <v>0</v>
      </c>
      <c r="M28" s="1388">
        <f t="shared" si="4"/>
        <v>0</v>
      </c>
      <c r="N28" s="1539">
        <f t="shared" si="10"/>
        <v>0</v>
      </c>
      <c r="O28" s="1179">
        <v>0</v>
      </c>
      <c r="P28" s="1545">
        <f t="shared" si="11"/>
        <v>0</v>
      </c>
      <c r="Q28" s="1181"/>
      <c r="R28" s="1181">
        <f t="shared" si="12"/>
        <v>0</v>
      </c>
      <c r="S28" s="1545">
        <f t="shared" si="13"/>
        <v>0</v>
      </c>
      <c r="T28" s="1545">
        <f t="shared" si="14"/>
        <v>0</v>
      </c>
      <c r="U28" s="1389">
        <f>'Table 5C1A-Madison Prep'!U28</f>
        <v>1613</v>
      </c>
      <c r="V28" s="1515">
        <f t="shared" si="15"/>
        <v>0</v>
      </c>
      <c r="W28" s="1391"/>
      <c r="X28" s="1392">
        <f t="shared" si="16"/>
        <v>0</v>
      </c>
      <c r="Y28" s="1391"/>
      <c r="Z28" s="1392">
        <f t="shared" si="17"/>
        <v>0</v>
      </c>
      <c r="AA28" s="1390">
        <f t="shared" si="18"/>
        <v>0</v>
      </c>
      <c r="AB28" s="1510">
        <f t="shared" si="19"/>
        <v>0</v>
      </c>
      <c r="AC28" s="1394">
        <f t="shared" si="20"/>
        <v>0</v>
      </c>
      <c r="AD28" s="1510">
        <f t="shared" si="21"/>
        <v>0</v>
      </c>
      <c r="AE28" s="1395">
        <v>0</v>
      </c>
      <c r="AF28" s="1510">
        <f t="shared" si="22"/>
        <v>0</v>
      </c>
      <c r="AG28" s="1395"/>
      <c r="AH28" s="1395">
        <f t="shared" si="23"/>
        <v>0</v>
      </c>
      <c r="AI28" s="1510">
        <f t="shared" si="24"/>
        <v>0</v>
      </c>
      <c r="AJ28" s="1505">
        <f t="shared" si="25"/>
        <v>0</v>
      </c>
      <c r="AK28" s="1535">
        <f t="shared" si="26"/>
        <v>0</v>
      </c>
    </row>
    <row r="29" spans="1:37" ht="16.2" customHeight="1">
      <c r="A29" s="1176">
        <v>23</v>
      </c>
      <c r="B29" s="1177" t="s">
        <v>103</v>
      </c>
      <c r="C29" s="1178">
        <v>12</v>
      </c>
      <c r="D29" s="1179">
        <f>+'Table 5C1A-Madison Prep'!D29</f>
        <v>5011.0215265979159</v>
      </c>
      <c r="E29" s="1180">
        <f t="shared" si="5"/>
        <v>60132.258319174987</v>
      </c>
      <c r="F29" s="1180">
        <f>+'Table 5C1A-Madison Prep'!F29</f>
        <v>688.58</v>
      </c>
      <c r="G29" s="1180">
        <f t="shared" si="6"/>
        <v>8262.9600000000009</v>
      </c>
      <c r="H29" s="1539">
        <f t="shared" si="7"/>
        <v>68395.218319174994</v>
      </c>
      <c r="I29" s="1181"/>
      <c r="J29" s="1181"/>
      <c r="K29" s="1182">
        <f t="shared" si="8"/>
        <v>0</v>
      </c>
      <c r="L29" s="1539">
        <f t="shared" si="9"/>
        <v>68395.218319174994</v>
      </c>
      <c r="M29" s="1388">
        <f t="shared" si="4"/>
        <v>-170.98804579793747</v>
      </c>
      <c r="N29" s="1539">
        <f t="shared" si="10"/>
        <v>68224.230273377063</v>
      </c>
      <c r="O29" s="1179">
        <v>0</v>
      </c>
      <c r="P29" s="1545">
        <f t="shared" si="11"/>
        <v>68224.230273377063</v>
      </c>
      <c r="Q29" s="1181"/>
      <c r="R29" s="1181">
        <f t="shared" si="12"/>
        <v>68224.230273377063</v>
      </c>
      <c r="S29" s="1545">
        <f t="shared" si="13"/>
        <v>5685</v>
      </c>
      <c r="T29" s="1545">
        <f t="shared" si="14"/>
        <v>68224.230273377063</v>
      </c>
      <c r="U29" s="1389">
        <f>'Table 5C1A-Madison Prep'!U29</f>
        <v>3473</v>
      </c>
      <c r="V29" s="1515">
        <f t="shared" si="15"/>
        <v>41676</v>
      </c>
      <c r="W29" s="1391"/>
      <c r="X29" s="1392">
        <f t="shared" si="16"/>
        <v>0</v>
      </c>
      <c r="Y29" s="1391"/>
      <c r="Z29" s="1392">
        <f t="shared" si="17"/>
        <v>0</v>
      </c>
      <c r="AA29" s="1390">
        <f t="shared" si="18"/>
        <v>0</v>
      </c>
      <c r="AB29" s="1510">
        <f t="shared" si="19"/>
        <v>41676</v>
      </c>
      <c r="AC29" s="1394">
        <f t="shared" si="20"/>
        <v>-104.19</v>
      </c>
      <c r="AD29" s="1510">
        <f t="shared" si="21"/>
        <v>41571.81</v>
      </c>
      <c r="AE29" s="1395">
        <v>0</v>
      </c>
      <c r="AF29" s="1510">
        <f t="shared" si="22"/>
        <v>41571.81</v>
      </c>
      <c r="AG29" s="1395"/>
      <c r="AH29" s="1395">
        <f t="shared" si="23"/>
        <v>41571.81</v>
      </c>
      <c r="AI29" s="1510">
        <f t="shared" si="24"/>
        <v>3464</v>
      </c>
      <c r="AJ29" s="1505">
        <f t="shared" si="25"/>
        <v>109796.04027337706</v>
      </c>
      <c r="AK29" s="1535">
        <f t="shared" si="26"/>
        <v>9149</v>
      </c>
    </row>
    <row r="30" spans="1:37" ht="16.2" customHeight="1">
      <c r="A30" s="1176">
        <v>24</v>
      </c>
      <c r="B30" s="1177" t="s">
        <v>104</v>
      </c>
      <c r="C30" s="1178">
        <v>0</v>
      </c>
      <c r="D30" s="1179">
        <f>+'Table 5C1A-Madison Prep'!D30</f>
        <v>2611.6740361576999</v>
      </c>
      <c r="E30" s="1180">
        <f t="shared" si="5"/>
        <v>0</v>
      </c>
      <c r="F30" s="1180">
        <f>+'Table 5C1A-Madison Prep'!F30</f>
        <v>854.24999999999989</v>
      </c>
      <c r="G30" s="1180">
        <f t="shared" si="6"/>
        <v>0</v>
      </c>
      <c r="H30" s="1539">
        <f t="shared" si="7"/>
        <v>0</v>
      </c>
      <c r="I30" s="1181"/>
      <c r="J30" s="1181"/>
      <c r="K30" s="1182">
        <f t="shared" si="8"/>
        <v>0</v>
      </c>
      <c r="L30" s="1539">
        <f t="shared" si="9"/>
        <v>0</v>
      </c>
      <c r="M30" s="1388">
        <f t="shared" si="4"/>
        <v>0</v>
      </c>
      <c r="N30" s="1539">
        <f t="shared" si="10"/>
        <v>0</v>
      </c>
      <c r="O30" s="1179">
        <v>0</v>
      </c>
      <c r="P30" s="1545">
        <f t="shared" si="11"/>
        <v>0</v>
      </c>
      <c r="Q30" s="1181"/>
      <c r="R30" s="1181">
        <f t="shared" si="12"/>
        <v>0</v>
      </c>
      <c r="S30" s="1545">
        <f t="shared" si="13"/>
        <v>0</v>
      </c>
      <c r="T30" s="1545">
        <f t="shared" si="14"/>
        <v>0</v>
      </c>
      <c r="U30" s="1389">
        <f>'Table 5C1A-Madison Prep'!U30</f>
        <v>10053</v>
      </c>
      <c r="V30" s="1515">
        <f t="shared" si="15"/>
        <v>0</v>
      </c>
      <c r="W30" s="1391"/>
      <c r="X30" s="1392">
        <f t="shared" si="16"/>
        <v>0</v>
      </c>
      <c r="Y30" s="1391"/>
      <c r="Z30" s="1392">
        <f t="shared" si="17"/>
        <v>0</v>
      </c>
      <c r="AA30" s="1390">
        <f t="shared" si="18"/>
        <v>0</v>
      </c>
      <c r="AB30" s="1510">
        <f t="shared" si="19"/>
        <v>0</v>
      </c>
      <c r="AC30" s="1394">
        <f t="shared" si="20"/>
        <v>0</v>
      </c>
      <c r="AD30" s="1510">
        <f t="shared" si="21"/>
        <v>0</v>
      </c>
      <c r="AE30" s="1395">
        <v>0</v>
      </c>
      <c r="AF30" s="1510">
        <f t="shared" si="22"/>
        <v>0</v>
      </c>
      <c r="AG30" s="1395"/>
      <c r="AH30" s="1395">
        <f t="shared" si="23"/>
        <v>0</v>
      </c>
      <c r="AI30" s="1510">
        <f t="shared" si="24"/>
        <v>0</v>
      </c>
      <c r="AJ30" s="1505">
        <f t="shared" si="25"/>
        <v>0</v>
      </c>
      <c r="AK30" s="1535">
        <f t="shared" si="26"/>
        <v>0</v>
      </c>
    </row>
    <row r="31" spans="1:37" ht="16.2" customHeight="1">
      <c r="A31" s="1168">
        <v>25</v>
      </c>
      <c r="B31" s="1169" t="s">
        <v>105</v>
      </c>
      <c r="C31" s="1170">
        <v>0</v>
      </c>
      <c r="D31" s="1171">
        <f>+'Table 5C1A-Madison Prep'!D31</f>
        <v>4173.0720274945697</v>
      </c>
      <c r="E31" s="1172">
        <f t="shared" si="5"/>
        <v>0</v>
      </c>
      <c r="F31" s="1172">
        <f>+'Table 5C1A-Madison Prep'!F31</f>
        <v>653.73</v>
      </c>
      <c r="G31" s="1172">
        <f t="shared" si="6"/>
        <v>0</v>
      </c>
      <c r="H31" s="1540">
        <f t="shared" si="7"/>
        <v>0</v>
      </c>
      <c r="I31" s="1173"/>
      <c r="J31" s="1173"/>
      <c r="K31" s="1174">
        <f t="shared" si="8"/>
        <v>0</v>
      </c>
      <c r="L31" s="1540">
        <f t="shared" si="9"/>
        <v>0</v>
      </c>
      <c r="M31" s="1399">
        <f t="shared" si="4"/>
        <v>0</v>
      </c>
      <c r="N31" s="1540">
        <f t="shared" si="10"/>
        <v>0</v>
      </c>
      <c r="O31" s="1171">
        <v>0</v>
      </c>
      <c r="P31" s="1546">
        <f t="shared" si="11"/>
        <v>0</v>
      </c>
      <c r="Q31" s="1173"/>
      <c r="R31" s="1173">
        <f t="shared" si="12"/>
        <v>0</v>
      </c>
      <c r="S31" s="1546">
        <f t="shared" si="13"/>
        <v>0</v>
      </c>
      <c r="T31" s="1546">
        <f t="shared" si="14"/>
        <v>0</v>
      </c>
      <c r="U31" s="1382">
        <f>'Table 5C1A-Madison Prep'!U31</f>
        <v>5073</v>
      </c>
      <c r="V31" s="1516">
        <f t="shared" si="15"/>
        <v>0</v>
      </c>
      <c r="W31" s="1400"/>
      <c r="X31" s="1383">
        <f t="shared" si="16"/>
        <v>0</v>
      </c>
      <c r="Y31" s="1400"/>
      <c r="Z31" s="1383">
        <f t="shared" si="17"/>
        <v>0</v>
      </c>
      <c r="AA31" s="1384">
        <f t="shared" si="18"/>
        <v>0</v>
      </c>
      <c r="AB31" s="1511">
        <f t="shared" si="19"/>
        <v>0</v>
      </c>
      <c r="AC31" s="1402">
        <f t="shared" si="20"/>
        <v>0</v>
      </c>
      <c r="AD31" s="1511">
        <f t="shared" si="21"/>
        <v>0</v>
      </c>
      <c r="AE31" s="1385">
        <v>0</v>
      </c>
      <c r="AF31" s="1511">
        <f t="shared" si="22"/>
        <v>0</v>
      </c>
      <c r="AG31" s="1385"/>
      <c r="AH31" s="1385">
        <f t="shared" si="23"/>
        <v>0</v>
      </c>
      <c r="AI31" s="1511">
        <f t="shared" si="24"/>
        <v>0</v>
      </c>
      <c r="AJ31" s="1531">
        <f t="shared" si="25"/>
        <v>0</v>
      </c>
      <c r="AK31" s="1536">
        <f t="shared" si="26"/>
        <v>0</v>
      </c>
    </row>
    <row r="32" spans="1:37" ht="16.2" customHeight="1">
      <c r="A32" s="1183">
        <v>26</v>
      </c>
      <c r="B32" s="1184" t="s">
        <v>106</v>
      </c>
      <c r="C32" s="1185">
        <v>0</v>
      </c>
      <c r="D32" s="1186">
        <f>+'Table 5C1A-Madison Prep'!D32</f>
        <v>3424.5649970570835</v>
      </c>
      <c r="E32" s="1187">
        <f t="shared" si="5"/>
        <v>0</v>
      </c>
      <c r="F32" s="1187">
        <f>+'Table 5C1A-Madison Prep'!F32</f>
        <v>836.83</v>
      </c>
      <c r="G32" s="1187">
        <f t="shared" si="6"/>
        <v>0</v>
      </c>
      <c r="H32" s="1538">
        <f t="shared" si="7"/>
        <v>0</v>
      </c>
      <c r="I32" s="1188"/>
      <c r="J32" s="1188"/>
      <c r="K32" s="1189">
        <f t="shared" si="8"/>
        <v>0</v>
      </c>
      <c r="L32" s="1538">
        <f t="shared" si="9"/>
        <v>0</v>
      </c>
      <c r="M32" s="1372">
        <f t="shared" si="4"/>
        <v>0</v>
      </c>
      <c r="N32" s="1538">
        <f t="shared" si="10"/>
        <v>0</v>
      </c>
      <c r="O32" s="1186">
        <v>0</v>
      </c>
      <c r="P32" s="1544">
        <f t="shared" si="11"/>
        <v>0</v>
      </c>
      <c r="Q32" s="1188"/>
      <c r="R32" s="1188">
        <f t="shared" si="12"/>
        <v>0</v>
      </c>
      <c r="S32" s="1544">
        <f t="shared" si="13"/>
        <v>0</v>
      </c>
      <c r="T32" s="1544">
        <f t="shared" si="14"/>
        <v>0</v>
      </c>
      <c r="U32" s="1373">
        <f>'Table 5C1A-Madison Prep'!U32</f>
        <v>5260</v>
      </c>
      <c r="V32" s="1514">
        <f t="shared" si="15"/>
        <v>0</v>
      </c>
      <c r="W32" s="1375"/>
      <c r="X32" s="1376">
        <f t="shared" si="16"/>
        <v>0</v>
      </c>
      <c r="Y32" s="1375"/>
      <c r="Z32" s="1376">
        <f t="shared" si="17"/>
        <v>0</v>
      </c>
      <c r="AA32" s="1374">
        <f t="shared" si="18"/>
        <v>0</v>
      </c>
      <c r="AB32" s="1509">
        <f t="shared" si="19"/>
        <v>0</v>
      </c>
      <c r="AC32" s="1378">
        <f t="shared" si="20"/>
        <v>0</v>
      </c>
      <c r="AD32" s="1509">
        <f t="shared" si="21"/>
        <v>0</v>
      </c>
      <c r="AE32" s="1379">
        <v>0</v>
      </c>
      <c r="AF32" s="1509">
        <f t="shared" si="22"/>
        <v>0</v>
      </c>
      <c r="AG32" s="1379"/>
      <c r="AH32" s="1379">
        <f t="shared" si="23"/>
        <v>0</v>
      </c>
      <c r="AI32" s="1509">
        <f t="shared" si="24"/>
        <v>0</v>
      </c>
      <c r="AJ32" s="1530">
        <f t="shared" si="25"/>
        <v>0</v>
      </c>
      <c r="AK32" s="1534">
        <f t="shared" si="26"/>
        <v>0</v>
      </c>
    </row>
    <row r="33" spans="1:37" ht="16.2" customHeight="1">
      <c r="A33" s="1176">
        <v>27</v>
      </c>
      <c r="B33" s="1177" t="s">
        <v>107</v>
      </c>
      <c r="C33" s="1178">
        <v>0</v>
      </c>
      <c r="D33" s="1179">
        <f>+'Table 5C1A-Madison Prep'!D33</f>
        <v>5804.9013839977006</v>
      </c>
      <c r="E33" s="1180">
        <f t="shared" si="5"/>
        <v>0</v>
      </c>
      <c r="F33" s="1180">
        <f>+'Table 5C1A-Madison Prep'!F33</f>
        <v>693.06</v>
      </c>
      <c r="G33" s="1180">
        <f t="shared" si="6"/>
        <v>0</v>
      </c>
      <c r="H33" s="1539">
        <f t="shared" si="7"/>
        <v>0</v>
      </c>
      <c r="I33" s="1181"/>
      <c r="J33" s="1181"/>
      <c r="K33" s="1182">
        <f t="shared" si="8"/>
        <v>0</v>
      </c>
      <c r="L33" s="1539">
        <f t="shared" si="9"/>
        <v>0</v>
      </c>
      <c r="M33" s="1388">
        <f t="shared" si="4"/>
        <v>0</v>
      </c>
      <c r="N33" s="1539">
        <f t="shared" si="10"/>
        <v>0</v>
      </c>
      <c r="O33" s="1179">
        <v>0</v>
      </c>
      <c r="P33" s="1545">
        <f t="shared" si="11"/>
        <v>0</v>
      </c>
      <c r="Q33" s="1181"/>
      <c r="R33" s="1181">
        <f t="shared" si="12"/>
        <v>0</v>
      </c>
      <c r="S33" s="1545">
        <f t="shared" si="13"/>
        <v>0</v>
      </c>
      <c r="T33" s="1545">
        <f t="shared" si="14"/>
        <v>0</v>
      </c>
      <c r="U33" s="1389">
        <f>'Table 5C1A-Madison Prep'!U33</f>
        <v>3169</v>
      </c>
      <c r="V33" s="1515">
        <f t="shared" si="15"/>
        <v>0</v>
      </c>
      <c r="W33" s="1391"/>
      <c r="X33" s="1392">
        <f t="shared" si="16"/>
        <v>0</v>
      </c>
      <c r="Y33" s="1391"/>
      <c r="Z33" s="1392">
        <f t="shared" si="17"/>
        <v>0</v>
      </c>
      <c r="AA33" s="1390">
        <f t="shared" si="18"/>
        <v>0</v>
      </c>
      <c r="AB33" s="1510">
        <f t="shared" si="19"/>
        <v>0</v>
      </c>
      <c r="AC33" s="1394">
        <f t="shared" si="20"/>
        <v>0</v>
      </c>
      <c r="AD33" s="1510">
        <f t="shared" si="21"/>
        <v>0</v>
      </c>
      <c r="AE33" s="1395">
        <v>0</v>
      </c>
      <c r="AF33" s="1510">
        <f t="shared" si="22"/>
        <v>0</v>
      </c>
      <c r="AG33" s="1395"/>
      <c r="AH33" s="1395">
        <f t="shared" si="23"/>
        <v>0</v>
      </c>
      <c r="AI33" s="1510">
        <f t="shared" si="24"/>
        <v>0</v>
      </c>
      <c r="AJ33" s="1505">
        <f t="shared" si="25"/>
        <v>0</v>
      </c>
      <c r="AK33" s="1535">
        <f t="shared" si="26"/>
        <v>0</v>
      </c>
    </row>
    <row r="34" spans="1:37" ht="16.2" customHeight="1">
      <c r="A34" s="1176">
        <v>28</v>
      </c>
      <c r="B34" s="1177" t="s">
        <v>108</v>
      </c>
      <c r="C34" s="1178">
        <v>555</v>
      </c>
      <c r="D34" s="1179">
        <f>+'Table 5C1A-Madison Prep'!D34</f>
        <v>3137.4158846568821</v>
      </c>
      <c r="E34" s="1180">
        <f t="shared" si="5"/>
        <v>1741265.8159845695</v>
      </c>
      <c r="F34" s="1180">
        <f>+'Table 5C1A-Madison Prep'!F34</f>
        <v>694.4</v>
      </c>
      <c r="G34" s="1180">
        <f t="shared" si="6"/>
        <v>385392</v>
      </c>
      <c r="H34" s="1539">
        <f t="shared" si="7"/>
        <v>2126657.8159845695</v>
      </c>
      <c r="I34" s="1181"/>
      <c r="J34" s="1181"/>
      <c r="K34" s="1182">
        <f t="shared" si="8"/>
        <v>0</v>
      </c>
      <c r="L34" s="1539">
        <f t="shared" si="9"/>
        <v>2126657.8159845695</v>
      </c>
      <c r="M34" s="1388">
        <f t="shared" si="4"/>
        <v>-5316.644539961424</v>
      </c>
      <c r="N34" s="1539">
        <f t="shared" si="10"/>
        <v>2121341.1714446079</v>
      </c>
      <c r="O34" s="1179">
        <v>0</v>
      </c>
      <c r="P34" s="1545">
        <f t="shared" si="11"/>
        <v>2121341.1714446079</v>
      </c>
      <c r="Q34" s="1181"/>
      <c r="R34" s="1181">
        <f t="shared" si="12"/>
        <v>2121341.1714446079</v>
      </c>
      <c r="S34" s="1545">
        <f t="shared" si="13"/>
        <v>176778</v>
      </c>
      <c r="T34" s="1545">
        <f t="shared" si="14"/>
        <v>2121341.1714446079</v>
      </c>
      <c r="U34" s="1389">
        <f>'Table 5C1A-Madison Prep'!U34</f>
        <v>5790</v>
      </c>
      <c r="V34" s="1515">
        <f t="shared" si="15"/>
        <v>3213450</v>
      </c>
      <c r="W34" s="1391"/>
      <c r="X34" s="1392">
        <f t="shared" si="16"/>
        <v>0</v>
      </c>
      <c r="Y34" s="1391"/>
      <c r="Z34" s="1392">
        <f t="shared" si="17"/>
        <v>0</v>
      </c>
      <c r="AA34" s="1390">
        <f t="shared" si="18"/>
        <v>0</v>
      </c>
      <c r="AB34" s="1510">
        <f t="shared" si="19"/>
        <v>3213450</v>
      </c>
      <c r="AC34" s="1394">
        <f t="shared" si="20"/>
        <v>-8033.625</v>
      </c>
      <c r="AD34" s="1510">
        <f t="shared" si="21"/>
        <v>3205416.375</v>
      </c>
      <c r="AE34" s="1395">
        <v>0</v>
      </c>
      <c r="AF34" s="1510">
        <f t="shared" si="22"/>
        <v>3205416.375</v>
      </c>
      <c r="AG34" s="1395"/>
      <c r="AH34" s="1395">
        <f t="shared" si="23"/>
        <v>3205416.375</v>
      </c>
      <c r="AI34" s="1510">
        <f t="shared" si="24"/>
        <v>267118</v>
      </c>
      <c r="AJ34" s="1505">
        <f t="shared" si="25"/>
        <v>5326757.5464446079</v>
      </c>
      <c r="AK34" s="1535">
        <f t="shared" si="26"/>
        <v>443896</v>
      </c>
    </row>
    <row r="35" spans="1:37" ht="16.2" customHeight="1">
      <c r="A35" s="1176">
        <v>29</v>
      </c>
      <c r="B35" s="1177" t="s">
        <v>109</v>
      </c>
      <c r="C35" s="1178">
        <v>0</v>
      </c>
      <c r="D35" s="1179">
        <f>+'Table 5C1A-Madison Prep'!D35</f>
        <v>3839.0123210173724</v>
      </c>
      <c r="E35" s="1180">
        <f t="shared" si="5"/>
        <v>0</v>
      </c>
      <c r="F35" s="1180">
        <f>+'Table 5C1A-Madison Prep'!F35</f>
        <v>754.94999999999993</v>
      </c>
      <c r="G35" s="1180">
        <f t="shared" si="6"/>
        <v>0</v>
      </c>
      <c r="H35" s="1539">
        <f t="shared" si="7"/>
        <v>0</v>
      </c>
      <c r="I35" s="1181"/>
      <c r="J35" s="1181"/>
      <c r="K35" s="1182">
        <f t="shared" si="8"/>
        <v>0</v>
      </c>
      <c r="L35" s="1539">
        <f t="shared" si="9"/>
        <v>0</v>
      </c>
      <c r="M35" s="1388">
        <f t="shared" si="4"/>
        <v>0</v>
      </c>
      <c r="N35" s="1539">
        <f t="shared" si="10"/>
        <v>0</v>
      </c>
      <c r="O35" s="1179">
        <v>0</v>
      </c>
      <c r="P35" s="1545">
        <f t="shared" si="11"/>
        <v>0</v>
      </c>
      <c r="Q35" s="1181"/>
      <c r="R35" s="1181">
        <f t="shared" si="12"/>
        <v>0</v>
      </c>
      <c r="S35" s="1545">
        <f t="shared" si="13"/>
        <v>0</v>
      </c>
      <c r="T35" s="1545">
        <f t="shared" si="14"/>
        <v>0</v>
      </c>
      <c r="U35" s="1389">
        <f>'Table 5C1A-Madison Prep'!U35</f>
        <v>5069</v>
      </c>
      <c r="V35" s="1515">
        <f t="shared" si="15"/>
        <v>0</v>
      </c>
      <c r="W35" s="1391"/>
      <c r="X35" s="1392">
        <f t="shared" si="16"/>
        <v>0</v>
      </c>
      <c r="Y35" s="1391"/>
      <c r="Z35" s="1392">
        <f t="shared" si="17"/>
        <v>0</v>
      </c>
      <c r="AA35" s="1390">
        <f t="shared" si="18"/>
        <v>0</v>
      </c>
      <c r="AB35" s="1510">
        <f t="shared" si="19"/>
        <v>0</v>
      </c>
      <c r="AC35" s="1394">
        <f t="shared" si="20"/>
        <v>0</v>
      </c>
      <c r="AD35" s="1510">
        <f t="shared" si="21"/>
        <v>0</v>
      </c>
      <c r="AE35" s="1395">
        <v>0</v>
      </c>
      <c r="AF35" s="1510">
        <f t="shared" si="22"/>
        <v>0</v>
      </c>
      <c r="AG35" s="1395"/>
      <c r="AH35" s="1395">
        <f t="shared" si="23"/>
        <v>0</v>
      </c>
      <c r="AI35" s="1510">
        <f t="shared" si="24"/>
        <v>0</v>
      </c>
      <c r="AJ35" s="1505">
        <f t="shared" si="25"/>
        <v>0</v>
      </c>
      <c r="AK35" s="1535">
        <f t="shared" si="26"/>
        <v>0</v>
      </c>
    </row>
    <row r="36" spans="1:37" ht="16.2" customHeight="1">
      <c r="A36" s="1168">
        <v>30</v>
      </c>
      <c r="B36" s="1169" t="s">
        <v>110</v>
      </c>
      <c r="C36" s="1170">
        <v>0</v>
      </c>
      <c r="D36" s="1171">
        <f>+'Table 5C1A-Madison Prep'!D36</f>
        <v>5804.5327273996763</v>
      </c>
      <c r="E36" s="1172">
        <f t="shared" si="5"/>
        <v>0</v>
      </c>
      <c r="F36" s="1172">
        <f>+'Table 5C1A-Madison Prep'!F36</f>
        <v>727.17</v>
      </c>
      <c r="G36" s="1172">
        <f t="shared" si="6"/>
        <v>0</v>
      </c>
      <c r="H36" s="1540">
        <f t="shared" si="7"/>
        <v>0</v>
      </c>
      <c r="I36" s="1173"/>
      <c r="J36" s="1173"/>
      <c r="K36" s="1174">
        <f t="shared" si="8"/>
        <v>0</v>
      </c>
      <c r="L36" s="1540">
        <f t="shared" si="9"/>
        <v>0</v>
      </c>
      <c r="M36" s="1399">
        <f t="shared" si="4"/>
        <v>0</v>
      </c>
      <c r="N36" s="1540">
        <f t="shared" si="10"/>
        <v>0</v>
      </c>
      <c r="O36" s="1171">
        <v>0</v>
      </c>
      <c r="P36" s="1546">
        <f t="shared" si="11"/>
        <v>0</v>
      </c>
      <c r="Q36" s="1173"/>
      <c r="R36" s="1173">
        <f t="shared" si="12"/>
        <v>0</v>
      </c>
      <c r="S36" s="1546">
        <f t="shared" si="13"/>
        <v>0</v>
      </c>
      <c r="T36" s="1546">
        <f t="shared" si="14"/>
        <v>0</v>
      </c>
      <c r="U36" s="1382">
        <f>'Table 5C1A-Madison Prep'!U36</f>
        <v>3609</v>
      </c>
      <c r="V36" s="1516">
        <f t="shared" si="15"/>
        <v>0</v>
      </c>
      <c r="W36" s="1400"/>
      <c r="X36" s="1383">
        <f t="shared" si="16"/>
        <v>0</v>
      </c>
      <c r="Y36" s="1400"/>
      <c r="Z36" s="1383">
        <f t="shared" si="17"/>
        <v>0</v>
      </c>
      <c r="AA36" s="1384">
        <f t="shared" si="18"/>
        <v>0</v>
      </c>
      <c r="AB36" s="1511">
        <f t="shared" si="19"/>
        <v>0</v>
      </c>
      <c r="AC36" s="1402">
        <f t="shared" si="20"/>
        <v>0</v>
      </c>
      <c r="AD36" s="1511">
        <f t="shared" si="21"/>
        <v>0</v>
      </c>
      <c r="AE36" s="1385">
        <v>0</v>
      </c>
      <c r="AF36" s="1511">
        <f t="shared" si="22"/>
        <v>0</v>
      </c>
      <c r="AG36" s="1385"/>
      <c r="AH36" s="1385">
        <f t="shared" si="23"/>
        <v>0</v>
      </c>
      <c r="AI36" s="1511">
        <f t="shared" si="24"/>
        <v>0</v>
      </c>
      <c r="AJ36" s="1531">
        <f t="shared" si="25"/>
        <v>0</v>
      </c>
      <c r="AK36" s="1536">
        <f t="shared" si="26"/>
        <v>0</v>
      </c>
    </row>
    <row r="37" spans="1:37" ht="16.2" customHeight="1">
      <c r="A37" s="1183">
        <v>31</v>
      </c>
      <c r="B37" s="1184" t="s">
        <v>111</v>
      </c>
      <c r="C37" s="1185">
        <v>0</v>
      </c>
      <c r="D37" s="1186">
        <f>+'Table 5C1A-Madison Prep'!D37</f>
        <v>4520.6176716868531</v>
      </c>
      <c r="E37" s="1187">
        <f t="shared" si="5"/>
        <v>0</v>
      </c>
      <c r="F37" s="1187">
        <f>+'Table 5C1A-Madison Prep'!F37</f>
        <v>620.83000000000004</v>
      </c>
      <c r="G37" s="1187">
        <f t="shared" si="6"/>
        <v>0</v>
      </c>
      <c r="H37" s="1538">
        <f t="shared" si="7"/>
        <v>0</v>
      </c>
      <c r="I37" s="1188"/>
      <c r="J37" s="1188"/>
      <c r="K37" s="1189">
        <f t="shared" si="8"/>
        <v>0</v>
      </c>
      <c r="L37" s="1538">
        <f t="shared" si="9"/>
        <v>0</v>
      </c>
      <c r="M37" s="1372">
        <f t="shared" si="4"/>
        <v>0</v>
      </c>
      <c r="N37" s="1538">
        <f t="shared" si="10"/>
        <v>0</v>
      </c>
      <c r="O37" s="1186">
        <v>0</v>
      </c>
      <c r="P37" s="1544">
        <f t="shared" si="11"/>
        <v>0</v>
      </c>
      <c r="Q37" s="1188"/>
      <c r="R37" s="1188">
        <f t="shared" si="12"/>
        <v>0</v>
      </c>
      <c r="S37" s="1544">
        <f t="shared" si="13"/>
        <v>0</v>
      </c>
      <c r="T37" s="1544">
        <f t="shared" si="14"/>
        <v>0</v>
      </c>
      <c r="U37" s="1373">
        <f>'Table 5C1A-Madison Prep'!U37</f>
        <v>5043</v>
      </c>
      <c r="V37" s="1514">
        <f t="shared" si="15"/>
        <v>0</v>
      </c>
      <c r="W37" s="1375"/>
      <c r="X37" s="1376">
        <f t="shared" si="16"/>
        <v>0</v>
      </c>
      <c r="Y37" s="1375"/>
      <c r="Z37" s="1376">
        <f t="shared" si="17"/>
        <v>0</v>
      </c>
      <c r="AA37" s="1374">
        <f t="shared" si="18"/>
        <v>0</v>
      </c>
      <c r="AB37" s="1509">
        <f t="shared" si="19"/>
        <v>0</v>
      </c>
      <c r="AC37" s="1378">
        <f t="shared" si="20"/>
        <v>0</v>
      </c>
      <c r="AD37" s="1509">
        <f t="shared" si="21"/>
        <v>0</v>
      </c>
      <c r="AE37" s="1379">
        <v>0</v>
      </c>
      <c r="AF37" s="1509">
        <f t="shared" si="22"/>
        <v>0</v>
      </c>
      <c r="AG37" s="1379"/>
      <c r="AH37" s="1379">
        <f t="shared" si="23"/>
        <v>0</v>
      </c>
      <c r="AI37" s="1509">
        <f t="shared" si="24"/>
        <v>0</v>
      </c>
      <c r="AJ37" s="1530">
        <f t="shared" si="25"/>
        <v>0</v>
      </c>
      <c r="AK37" s="1534">
        <f t="shared" si="26"/>
        <v>0</v>
      </c>
    </row>
    <row r="38" spans="1:37" ht="16.2" customHeight="1">
      <c r="A38" s="1176">
        <v>32</v>
      </c>
      <c r="B38" s="1177" t="s">
        <v>112</v>
      </c>
      <c r="C38" s="1178">
        <v>0</v>
      </c>
      <c r="D38" s="1179">
        <f>+'Table 5C1A-Madison Prep'!D38</f>
        <v>5652.819189061127</v>
      </c>
      <c r="E38" s="1180">
        <f t="shared" si="5"/>
        <v>0</v>
      </c>
      <c r="F38" s="1180">
        <f>+'Table 5C1A-Madison Prep'!F38</f>
        <v>559.77</v>
      </c>
      <c r="G38" s="1180">
        <f t="shared" si="6"/>
        <v>0</v>
      </c>
      <c r="H38" s="1539">
        <f t="shared" si="7"/>
        <v>0</v>
      </c>
      <c r="I38" s="1181"/>
      <c r="J38" s="1181"/>
      <c r="K38" s="1182">
        <f t="shared" si="8"/>
        <v>0</v>
      </c>
      <c r="L38" s="1539">
        <f t="shared" si="9"/>
        <v>0</v>
      </c>
      <c r="M38" s="1388">
        <f t="shared" si="4"/>
        <v>0</v>
      </c>
      <c r="N38" s="1539">
        <f t="shared" si="10"/>
        <v>0</v>
      </c>
      <c r="O38" s="1179">
        <v>0</v>
      </c>
      <c r="P38" s="1545">
        <f t="shared" si="11"/>
        <v>0</v>
      </c>
      <c r="Q38" s="1181"/>
      <c r="R38" s="1181">
        <f t="shared" si="12"/>
        <v>0</v>
      </c>
      <c r="S38" s="1545">
        <f t="shared" si="13"/>
        <v>0</v>
      </c>
      <c r="T38" s="1545">
        <f t="shared" si="14"/>
        <v>0</v>
      </c>
      <c r="U38" s="1389">
        <f>'Table 5C1A-Madison Prep'!U38</f>
        <v>2121</v>
      </c>
      <c r="V38" s="1515">
        <f t="shared" si="15"/>
        <v>0</v>
      </c>
      <c r="W38" s="1391"/>
      <c r="X38" s="1392">
        <f t="shared" si="16"/>
        <v>0</v>
      </c>
      <c r="Y38" s="1391"/>
      <c r="Z38" s="1392">
        <f t="shared" si="17"/>
        <v>0</v>
      </c>
      <c r="AA38" s="1390">
        <f t="shared" si="18"/>
        <v>0</v>
      </c>
      <c r="AB38" s="1510">
        <f t="shared" si="19"/>
        <v>0</v>
      </c>
      <c r="AC38" s="1394">
        <f t="shared" si="20"/>
        <v>0</v>
      </c>
      <c r="AD38" s="1510">
        <f t="shared" si="21"/>
        <v>0</v>
      </c>
      <c r="AE38" s="1395">
        <v>0</v>
      </c>
      <c r="AF38" s="1510">
        <f t="shared" si="22"/>
        <v>0</v>
      </c>
      <c r="AG38" s="1395"/>
      <c r="AH38" s="1395">
        <f t="shared" si="23"/>
        <v>0</v>
      </c>
      <c r="AI38" s="1510">
        <f t="shared" si="24"/>
        <v>0</v>
      </c>
      <c r="AJ38" s="1505">
        <f t="shared" si="25"/>
        <v>0</v>
      </c>
      <c r="AK38" s="1535">
        <f t="shared" si="26"/>
        <v>0</v>
      </c>
    </row>
    <row r="39" spans="1:37" ht="16.2" customHeight="1">
      <c r="A39" s="1176">
        <v>33</v>
      </c>
      <c r="B39" s="1177" t="s">
        <v>113</v>
      </c>
      <c r="C39" s="1178">
        <v>0</v>
      </c>
      <c r="D39" s="1179">
        <f>+'Table 5C1A-Madison Prep'!D39</f>
        <v>5456.2254558085233</v>
      </c>
      <c r="E39" s="1180">
        <f t="shared" si="5"/>
        <v>0</v>
      </c>
      <c r="F39" s="1180">
        <f>+'Table 5C1A-Madison Prep'!F39</f>
        <v>655.31000000000006</v>
      </c>
      <c r="G39" s="1180">
        <f t="shared" si="6"/>
        <v>0</v>
      </c>
      <c r="H39" s="1539">
        <f t="shared" si="7"/>
        <v>0</v>
      </c>
      <c r="I39" s="1181"/>
      <c r="J39" s="1181"/>
      <c r="K39" s="1182">
        <f t="shared" si="8"/>
        <v>0</v>
      </c>
      <c r="L39" s="1539">
        <f t="shared" si="9"/>
        <v>0</v>
      </c>
      <c r="M39" s="1388">
        <f t="shared" si="4"/>
        <v>0</v>
      </c>
      <c r="N39" s="1539">
        <f t="shared" si="10"/>
        <v>0</v>
      </c>
      <c r="O39" s="1179">
        <v>0</v>
      </c>
      <c r="P39" s="1545">
        <f t="shared" si="11"/>
        <v>0</v>
      </c>
      <c r="Q39" s="1181"/>
      <c r="R39" s="1181">
        <f t="shared" si="12"/>
        <v>0</v>
      </c>
      <c r="S39" s="1545">
        <f t="shared" si="13"/>
        <v>0</v>
      </c>
      <c r="T39" s="1545">
        <f t="shared" si="14"/>
        <v>0</v>
      </c>
      <c r="U39" s="1389">
        <f>'Table 5C1A-Madison Prep'!U39</f>
        <v>3616</v>
      </c>
      <c r="V39" s="1515">
        <f t="shared" si="15"/>
        <v>0</v>
      </c>
      <c r="W39" s="1391"/>
      <c r="X39" s="1392">
        <f t="shared" si="16"/>
        <v>0</v>
      </c>
      <c r="Y39" s="1391"/>
      <c r="Z39" s="1392">
        <f t="shared" si="17"/>
        <v>0</v>
      </c>
      <c r="AA39" s="1390">
        <f t="shared" si="18"/>
        <v>0</v>
      </c>
      <c r="AB39" s="1510">
        <f t="shared" si="19"/>
        <v>0</v>
      </c>
      <c r="AC39" s="1394">
        <f t="shared" si="20"/>
        <v>0</v>
      </c>
      <c r="AD39" s="1510">
        <f t="shared" si="21"/>
        <v>0</v>
      </c>
      <c r="AE39" s="1395">
        <v>0</v>
      </c>
      <c r="AF39" s="1510">
        <f t="shared" si="22"/>
        <v>0</v>
      </c>
      <c r="AG39" s="1395"/>
      <c r="AH39" s="1395">
        <f t="shared" si="23"/>
        <v>0</v>
      </c>
      <c r="AI39" s="1510">
        <f t="shared" si="24"/>
        <v>0</v>
      </c>
      <c r="AJ39" s="1505">
        <f t="shared" si="25"/>
        <v>0</v>
      </c>
      <c r="AK39" s="1535">
        <f t="shared" si="26"/>
        <v>0</v>
      </c>
    </row>
    <row r="40" spans="1:37" ht="16.2" customHeight="1">
      <c r="A40" s="1176">
        <v>34</v>
      </c>
      <c r="B40" s="1177" t="s">
        <v>114</v>
      </c>
      <c r="C40" s="1178">
        <v>0</v>
      </c>
      <c r="D40" s="1179">
        <f>+'Table 5C1A-Madison Prep'!D40</f>
        <v>6292.0976842789005</v>
      </c>
      <c r="E40" s="1180">
        <f t="shared" si="5"/>
        <v>0</v>
      </c>
      <c r="F40" s="1180">
        <f>+'Table 5C1A-Madison Prep'!F40</f>
        <v>644.11000000000013</v>
      </c>
      <c r="G40" s="1180">
        <f t="shared" si="6"/>
        <v>0</v>
      </c>
      <c r="H40" s="1539">
        <f t="shared" si="7"/>
        <v>0</v>
      </c>
      <c r="I40" s="1181"/>
      <c r="J40" s="1181"/>
      <c r="K40" s="1182">
        <f t="shared" si="8"/>
        <v>0</v>
      </c>
      <c r="L40" s="1539">
        <f t="shared" si="9"/>
        <v>0</v>
      </c>
      <c r="M40" s="1388">
        <f t="shared" si="4"/>
        <v>0</v>
      </c>
      <c r="N40" s="1539">
        <f t="shared" si="10"/>
        <v>0</v>
      </c>
      <c r="O40" s="1179">
        <v>0</v>
      </c>
      <c r="P40" s="1545">
        <f t="shared" si="11"/>
        <v>0</v>
      </c>
      <c r="Q40" s="1181"/>
      <c r="R40" s="1181">
        <f t="shared" si="12"/>
        <v>0</v>
      </c>
      <c r="S40" s="1545">
        <f t="shared" si="13"/>
        <v>0</v>
      </c>
      <c r="T40" s="1545">
        <f t="shared" si="14"/>
        <v>0</v>
      </c>
      <c r="U40" s="1389">
        <f>'Table 5C1A-Madison Prep'!U40</f>
        <v>2721</v>
      </c>
      <c r="V40" s="1515">
        <f t="shared" si="15"/>
        <v>0</v>
      </c>
      <c r="W40" s="1391"/>
      <c r="X40" s="1392">
        <f t="shared" si="16"/>
        <v>0</v>
      </c>
      <c r="Y40" s="1391"/>
      <c r="Z40" s="1392">
        <f t="shared" si="17"/>
        <v>0</v>
      </c>
      <c r="AA40" s="1390">
        <f t="shared" si="18"/>
        <v>0</v>
      </c>
      <c r="AB40" s="1510">
        <f t="shared" si="19"/>
        <v>0</v>
      </c>
      <c r="AC40" s="1394">
        <f t="shared" si="20"/>
        <v>0</v>
      </c>
      <c r="AD40" s="1510">
        <f t="shared" si="21"/>
        <v>0</v>
      </c>
      <c r="AE40" s="1395">
        <v>0</v>
      </c>
      <c r="AF40" s="1510">
        <f t="shared" si="22"/>
        <v>0</v>
      </c>
      <c r="AG40" s="1395"/>
      <c r="AH40" s="1395">
        <f t="shared" si="23"/>
        <v>0</v>
      </c>
      <c r="AI40" s="1510">
        <f t="shared" si="24"/>
        <v>0</v>
      </c>
      <c r="AJ40" s="1505">
        <f t="shared" si="25"/>
        <v>0</v>
      </c>
      <c r="AK40" s="1535">
        <f t="shared" si="26"/>
        <v>0</v>
      </c>
    </row>
    <row r="41" spans="1:37" ht="16.2" customHeight="1">
      <c r="A41" s="1168">
        <v>35</v>
      </c>
      <c r="B41" s="1169" t="s">
        <v>115</v>
      </c>
      <c r="C41" s="1170">
        <v>0</v>
      </c>
      <c r="D41" s="1171">
        <f>+'Table 5C1A-Madison Prep'!D41</f>
        <v>5166.2482060477605</v>
      </c>
      <c r="E41" s="1172">
        <f t="shared" si="5"/>
        <v>0</v>
      </c>
      <c r="F41" s="1172">
        <f>+'Table 5C1A-Madison Prep'!F41</f>
        <v>537.96</v>
      </c>
      <c r="G41" s="1172">
        <f t="shared" si="6"/>
        <v>0</v>
      </c>
      <c r="H41" s="1540">
        <f t="shared" si="7"/>
        <v>0</v>
      </c>
      <c r="I41" s="1173"/>
      <c r="J41" s="1173"/>
      <c r="K41" s="1174">
        <f t="shared" si="8"/>
        <v>0</v>
      </c>
      <c r="L41" s="1540">
        <f t="shared" si="9"/>
        <v>0</v>
      </c>
      <c r="M41" s="1399">
        <f t="shared" si="4"/>
        <v>0</v>
      </c>
      <c r="N41" s="1540">
        <f t="shared" si="10"/>
        <v>0</v>
      </c>
      <c r="O41" s="1171">
        <v>0</v>
      </c>
      <c r="P41" s="1546">
        <f t="shared" si="11"/>
        <v>0</v>
      </c>
      <c r="Q41" s="1173"/>
      <c r="R41" s="1173">
        <f t="shared" si="12"/>
        <v>0</v>
      </c>
      <c r="S41" s="1546">
        <f t="shared" si="13"/>
        <v>0</v>
      </c>
      <c r="T41" s="1546">
        <f t="shared" si="14"/>
        <v>0</v>
      </c>
      <c r="U41" s="1382">
        <f>'Table 5C1A-Madison Prep'!U41</f>
        <v>3255</v>
      </c>
      <c r="V41" s="1516">
        <f t="shared" si="15"/>
        <v>0</v>
      </c>
      <c r="W41" s="1400"/>
      <c r="X41" s="1383">
        <f t="shared" si="16"/>
        <v>0</v>
      </c>
      <c r="Y41" s="1400"/>
      <c r="Z41" s="1383">
        <f t="shared" si="17"/>
        <v>0</v>
      </c>
      <c r="AA41" s="1384">
        <f t="shared" si="18"/>
        <v>0</v>
      </c>
      <c r="AB41" s="1511">
        <f t="shared" si="19"/>
        <v>0</v>
      </c>
      <c r="AC41" s="1402">
        <f t="shared" si="20"/>
        <v>0</v>
      </c>
      <c r="AD41" s="1511">
        <f t="shared" si="21"/>
        <v>0</v>
      </c>
      <c r="AE41" s="1385">
        <v>0</v>
      </c>
      <c r="AF41" s="1511">
        <f t="shared" si="22"/>
        <v>0</v>
      </c>
      <c r="AG41" s="1385"/>
      <c r="AH41" s="1385">
        <f t="shared" si="23"/>
        <v>0</v>
      </c>
      <c r="AI41" s="1511">
        <f t="shared" si="24"/>
        <v>0</v>
      </c>
      <c r="AJ41" s="1531">
        <f t="shared" si="25"/>
        <v>0</v>
      </c>
      <c r="AK41" s="1536">
        <f t="shared" si="26"/>
        <v>0</v>
      </c>
    </row>
    <row r="42" spans="1:37" ht="16.2" customHeight="1">
      <c r="A42" s="1183">
        <v>36</v>
      </c>
      <c r="B42" s="1184" t="s">
        <v>116</v>
      </c>
      <c r="C42" s="1185">
        <v>0</v>
      </c>
      <c r="D42" s="1186">
        <f>+'Table 5C1A-Madison Prep'!D42</f>
        <v>3602.7009974327857</v>
      </c>
      <c r="E42" s="1187">
        <f t="shared" si="5"/>
        <v>0</v>
      </c>
      <c r="F42" s="1187">
        <f>+'Table 5C1A-Madison Prep'!F42</f>
        <v>746.0335616438357</v>
      </c>
      <c r="G42" s="1187">
        <f t="shared" si="6"/>
        <v>0</v>
      </c>
      <c r="H42" s="1538">
        <f t="shared" si="7"/>
        <v>0</v>
      </c>
      <c r="I42" s="1188"/>
      <c r="J42" s="1188"/>
      <c r="K42" s="1189">
        <f t="shared" si="8"/>
        <v>0</v>
      </c>
      <c r="L42" s="1538">
        <f t="shared" si="9"/>
        <v>0</v>
      </c>
      <c r="M42" s="1372">
        <f t="shared" si="4"/>
        <v>0</v>
      </c>
      <c r="N42" s="1538">
        <f t="shared" si="10"/>
        <v>0</v>
      </c>
      <c r="O42" s="1186">
        <v>0</v>
      </c>
      <c r="P42" s="1544">
        <f t="shared" si="11"/>
        <v>0</v>
      </c>
      <c r="Q42" s="1188"/>
      <c r="R42" s="1188">
        <f t="shared" si="12"/>
        <v>0</v>
      </c>
      <c r="S42" s="1544">
        <f t="shared" si="13"/>
        <v>0</v>
      </c>
      <c r="T42" s="1544">
        <f t="shared" si="14"/>
        <v>0</v>
      </c>
      <c r="U42" s="1373">
        <f>'Table 5C1A-Madison Prep'!U42</f>
        <v>5435</v>
      </c>
      <c r="V42" s="1514">
        <f t="shared" si="15"/>
        <v>0</v>
      </c>
      <c r="W42" s="1375"/>
      <c r="X42" s="1376">
        <f t="shared" si="16"/>
        <v>0</v>
      </c>
      <c r="Y42" s="1375"/>
      <c r="Z42" s="1376">
        <f t="shared" si="17"/>
        <v>0</v>
      </c>
      <c r="AA42" s="1374">
        <f t="shared" si="18"/>
        <v>0</v>
      </c>
      <c r="AB42" s="1509">
        <f t="shared" si="19"/>
        <v>0</v>
      </c>
      <c r="AC42" s="1378">
        <f t="shared" si="20"/>
        <v>0</v>
      </c>
      <c r="AD42" s="1509">
        <f t="shared" si="21"/>
        <v>0</v>
      </c>
      <c r="AE42" s="1379">
        <v>0</v>
      </c>
      <c r="AF42" s="1509">
        <f t="shared" si="22"/>
        <v>0</v>
      </c>
      <c r="AG42" s="1379"/>
      <c r="AH42" s="1379">
        <f t="shared" si="23"/>
        <v>0</v>
      </c>
      <c r="AI42" s="1509">
        <f t="shared" si="24"/>
        <v>0</v>
      </c>
      <c r="AJ42" s="1530">
        <f t="shared" si="25"/>
        <v>0</v>
      </c>
      <c r="AK42" s="1534">
        <f t="shared" si="26"/>
        <v>0</v>
      </c>
    </row>
    <row r="43" spans="1:37" ht="16.2" customHeight="1">
      <c r="A43" s="1176">
        <v>37</v>
      </c>
      <c r="B43" s="1177" t="s">
        <v>117</v>
      </c>
      <c r="C43" s="1178">
        <v>0</v>
      </c>
      <c r="D43" s="1179">
        <f>+'Table 5C1A-Madison Prep'!D43</f>
        <v>5665.3839260317691</v>
      </c>
      <c r="E43" s="1180">
        <f t="shared" si="5"/>
        <v>0</v>
      </c>
      <c r="F43" s="1180">
        <f>+'Table 5C1A-Madison Prep'!F43</f>
        <v>653.61</v>
      </c>
      <c r="G43" s="1180">
        <f t="shared" si="6"/>
        <v>0</v>
      </c>
      <c r="H43" s="1539">
        <f t="shared" si="7"/>
        <v>0</v>
      </c>
      <c r="I43" s="1181"/>
      <c r="J43" s="1181"/>
      <c r="K43" s="1182">
        <f t="shared" si="8"/>
        <v>0</v>
      </c>
      <c r="L43" s="1539">
        <f t="shared" si="9"/>
        <v>0</v>
      </c>
      <c r="M43" s="1388">
        <f t="shared" si="4"/>
        <v>0</v>
      </c>
      <c r="N43" s="1539">
        <f t="shared" si="10"/>
        <v>0</v>
      </c>
      <c r="O43" s="1179">
        <v>0</v>
      </c>
      <c r="P43" s="1545">
        <f t="shared" si="11"/>
        <v>0</v>
      </c>
      <c r="Q43" s="1181"/>
      <c r="R43" s="1181">
        <f t="shared" si="12"/>
        <v>0</v>
      </c>
      <c r="S43" s="1545">
        <f t="shared" si="13"/>
        <v>0</v>
      </c>
      <c r="T43" s="1545">
        <f t="shared" si="14"/>
        <v>0</v>
      </c>
      <c r="U43" s="1389">
        <f>'Table 5C1A-Madison Prep'!U43</f>
        <v>3520</v>
      </c>
      <c r="V43" s="1515">
        <f t="shared" si="15"/>
        <v>0</v>
      </c>
      <c r="W43" s="1391"/>
      <c r="X43" s="1392">
        <f t="shared" si="16"/>
        <v>0</v>
      </c>
      <c r="Y43" s="1391"/>
      <c r="Z43" s="1392">
        <f t="shared" si="17"/>
        <v>0</v>
      </c>
      <c r="AA43" s="1390">
        <f t="shared" si="18"/>
        <v>0</v>
      </c>
      <c r="AB43" s="1510">
        <f t="shared" si="19"/>
        <v>0</v>
      </c>
      <c r="AC43" s="1394">
        <f t="shared" si="20"/>
        <v>0</v>
      </c>
      <c r="AD43" s="1510">
        <f t="shared" si="21"/>
        <v>0</v>
      </c>
      <c r="AE43" s="1395">
        <v>0</v>
      </c>
      <c r="AF43" s="1510">
        <f t="shared" si="22"/>
        <v>0</v>
      </c>
      <c r="AG43" s="1395"/>
      <c r="AH43" s="1395">
        <f t="shared" si="23"/>
        <v>0</v>
      </c>
      <c r="AI43" s="1510">
        <f t="shared" si="24"/>
        <v>0</v>
      </c>
      <c r="AJ43" s="1505">
        <f t="shared" si="25"/>
        <v>0</v>
      </c>
      <c r="AK43" s="1535">
        <f t="shared" si="26"/>
        <v>0</v>
      </c>
    </row>
    <row r="44" spans="1:37" ht="16.2" customHeight="1">
      <c r="A44" s="1176">
        <v>38</v>
      </c>
      <c r="B44" s="1177" t="s">
        <v>118</v>
      </c>
      <c r="C44" s="1178">
        <v>0</v>
      </c>
      <c r="D44" s="1179">
        <f>+'Table 5C1A-Madison Prep'!D44</f>
        <v>2088.8017552916881</v>
      </c>
      <c r="E44" s="1180">
        <f t="shared" si="5"/>
        <v>0</v>
      </c>
      <c r="F44" s="1180">
        <f>+'Table 5C1A-Madison Prep'!F44</f>
        <v>829.92000000000007</v>
      </c>
      <c r="G44" s="1180">
        <f t="shared" si="6"/>
        <v>0</v>
      </c>
      <c r="H44" s="1539">
        <f t="shared" si="7"/>
        <v>0</v>
      </c>
      <c r="I44" s="1181"/>
      <c r="J44" s="1181"/>
      <c r="K44" s="1182">
        <f t="shared" si="8"/>
        <v>0</v>
      </c>
      <c r="L44" s="1539">
        <f t="shared" si="9"/>
        <v>0</v>
      </c>
      <c r="M44" s="1388">
        <f t="shared" si="4"/>
        <v>0</v>
      </c>
      <c r="N44" s="1539">
        <f t="shared" si="10"/>
        <v>0</v>
      </c>
      <c r="O44" s="1179">
        <v>0</v>
      </c>
      <c r="P44" s="1545">
        <f t="shared" si="11"/>
        <v>0</v>
      </c>
      <c r="Q44" s="1181"/>
      <c r="R44" s="1181">
        <f t="shared" si="12"/>
        <v>0</v>
      </c>
      <c r="S44" s="1545">
        <f t="shared" si="13"/>
        <v>0</v>
      </c>
      <c r="T44" s="1545">
        <f t="shared" si="14"/>
        <v>0</v>
      </c>
      <c r="U44" s="1389">
        <f>'Table 5C1A-Madison Prep'!U44</f>
        <v>11379</v>
      </c>
      <c r="V44" s="1515">
        <f t="shared" si="15"/>
        <v>0</v>
      </c>
      <c r="W44" s="1391"/>
      <c r="X44" s="1392">
        <f t="shared" si="16"/>
        <v>0</v>
      </c>
      <c r="Y44" s="1391"/>
      <c r="Z44" s="1392">
        <f t="shared" si="17"/>
        <v>0</v>
      </c>
      <c r="AA44" s="1390">
        <f t="shared" si="18"/>
        <v>0</v>
      </c>
      <c r="AB44" s="1510">
        <f t="shared" si="19"/>
        <v>0</v>
      </c>
      <c r="AC44" s="1394">
        <f t="shared" si="20"/>
        <v>0</v>
      </c>
      <c r="AD44" s="1510">
        <f t="shared" si="21"/>
        <v>0</v>
      </c>
      <c r="AE44" s="1395">
        <v>0</v>
      </c>
      <c r="AF44" s="1510">
        <f t="shared" si="22"/>
        <v>0</v>
      </c>
      <c r="AG44" s="1395"/>
      <c r="AH44" s="1395">
        <f t="shared" si="23"/>
        <v>0</v>
      </c>
      <c r="AI44" s="1510">
        <f t="shared" si="24"/>
        <v>0</v>
      </c>
      <c r="AJ44" s="1505">
        <f t="shared" si="25"/>
        <v>0</v>
      </c>
      <c r="AK44" s="1535">
        <f t="shared" si="26"/>
        <v>0</v>
      </c>
    </row>
    <row r="45" spans="1:37" ht="16.2" customHeight="1">
      <c r="A45" s="1176">
        <v>39</v>
      </c>
      <c r="B45" s="1177" t="s">
        <v>119</v>
      </c>
      <c r="C45" s="1178">
        <v>0</v>
      </c>
      <c r="D45" s="1179">
        <f>+'Table 5C1A-Madison Prep'!D45</f>
        <v>3656.9056809295676</v>
      </c>
      <c r="E45" s="1180">
        <f t="shared" si="5"/>
        <v>0</v>
      </c>
      <c r="F45" s="1180">
        <f>+'Table 5C1A-Madison Prep'!F45</f>
        <v>779.65573042776396</v>
      </c>
      <c r="G45" s="1180">
        <f t="shared" si="6"/>
        <v>0</v>
      </c>
      <c r="H45" s="1539">
        <f t="shared" si="7"/>
        <v>0</v>
      </c>
      <c r="I45" s="1181"/>
      <c r="J45" s="1181"/>
      <c r="K45" s="1182">
        <f t="shared" si="8"/>
        <v>0</v>
      </c>
      <c r="L45" s="1539">
        <f t="shared" si="9"/>
        <v>0</v>
      </c>
      <c r="M45" s="1388">
        <f t="shared" si="4"/>
        <v>0</v>
      </c>
      <c r="N45" s="1539">
        <f t="shared" si="10"/>
        <v>0</v>
      </c>
      <c r="O45" s="1179">
        <v>0</v>
      </c>
      <c r="P45" s="1545">
        <f t="shared" si="11"/>
        <v>0</v>
      </c>
      <c r="Q45" s="1181"/>
      <c r="R45" s="1181">
        <f t="shared" si="12"/>
        <v>0</v>
      </c>
      <c r="S45" s="1545">
        <f t="shared" si="13"/>
        <v>0</v>
      </c>
      <c r="T45" s="1545">
        <f t="shared" si="14"/>
        <v>0</v>
      </c>
      <c r="U45" s="1389">
        <f>'Table 5C1A-Madison Prep'!U45</f>
        <v>4955</v>
      </c>
      <c r="V45" s="1515">
        <f t="shared" si="15"/>
        <v>0</v>
      </c>
      <c r="W45" s="1391"/>
      <c r="X45" s="1392">
        <f t="shared" si="16"/>
        <v>0</v>
      </c>
      <c r="Y45" s="1391"/>
      <c r="Z45" s="1392">
        <f t="shared" si="17"/>
        <v>0</v>
      </c>
      <c r="AA45" s="1390">
        <f t="shared" si="18"/>
        <v>0</v>
      </c>
      <c r="AB45" s="1510">
        <f t="shared" si="19"/>
        <v>0</v>
      </c>
      <c r="AC45" s="1394">
        <f t="shared" si="20"/>
        <v>0</v>
      </c>
      <c r="AD45" s="1510">
        <f t="shared" si="21"/>
        <v>0</v>
      </c>
      <c r="AE45" s="1395">
        <v>0</v>
      </c>
      <c r="AF45" s="1510">
        <f t="shared" si="22"/>
        <v>0</v>
      </c>
      <c r="AG45" s="1395"/>
      <c r="AH45" s="1395">
        <f t="shared" si="23"/>
        <v>0</v>
      </c>
      <c r="AI45" s="1510">
        <f t="shared" si="24"/>
        <v>0</v>
      </c>
      <c r="AJ45" s="1505">
        <f t="shared" si="25"/>
        <v>0</v>
      </c>
      <c r="AK45" s="1535">
        <f t="shared" si="26"/>
        <v>0</v>
      </c>
    </row>
    <row r="46" spans="1:37" ht="16.2" customHeight="1">
      <c r="A46" s="1168">
        <v>40</v>
      </c>
      <c r="B46" s="1169" t="s">
        <v>120</v>
      </c>
      <c r="C46" s="1170">
        <v>0</v>
      </c>
      <c r="D46" s="1171">
        <f>+'Table 5C1A-Madison Prep'!D46</f>
        <v>5121.8110285698403</v>
      </c>
      <c r="E46" s="1172">
        <f t="shared" si="5"/>
        <v>0</v>
      </c>
      <c r="F46" s="1172">
        <f>+'Table 5C1A-Madison Prep'!F46</f>
        <v>700.2700000000001</v>
      </c>
      <c r="G46" s="1172">
        <f t="shared" si="6"/>
        <v>0</v>
      </c>
      <c r="H46" s="1540">
        <f t="shared" si="7"/>
        <v>0</v>
      </c>
      <c r="I46" s="1173"/>
      <c r="J46" s="1173"/>
      <c r="K46" s="1174">
        <f t="shared" si="8"/>
        <v>0</v>
      </c>
      <c r="L46" s="1540">
        <f t="shared" si="9"/>
        <v>0</v>
      </c>
      <c r="M46" s="1399">
        <f t="shared" si="4"/>
        <v>0</v>
      </c>
      <c r="N46" s="1540">
        <f t="shared" si="10"/>
        <v>0</v>
      </c>
      <c r="O46" s="1171">
        <v>0</v>
      </c>
      <c r="P46" s="1546">
        <f t="shared" si="11"/>
        <v>0</v>
      </c>
      <c r="Q46" s="1173"/>
      <c r="R46" s="1173">
        <f t="shared" si="12"/>
        <v>0</v>
      </c>
      <c r="S46" s="1546">
        <f t="shared" si="13"/>
        <v>0</v>
      </c>
      <c r="T46" s="1546">
        <f t="shared" si="14"/>
        <v>0</v>
      </c>
      <c r="U46" s="1382">
        <f>'Table 5C1A-Madison Prep'!U46</f>
        <v>3069</v>
      </c>
      <c r="V46" s="1516">
        <f t="shared" si="15"/>
        <v>0</v>
      </c>
      <c r="W46" s="1400"/>
      <c r="X46" s="1383">
        <f t="shared" si="16"/>
        <v>0</v>
      </c>
      <c r="Y46" s="1400"/>
      <c r="Z46" s="1383">
        <f t="shared" si="17"/>
        <v>0</v>
      </c>
      <c r="AA46" s="1384">
        <f t="shared" si="18"/>
        <v>0</v>
      </c>
      <c r="AB46" s="1511">
        <f t="shared" si="19"/>
        <v>0</v>
      </c>
      <c r="AC46" s="1402">
        <f t="shared" si="20"/>
        <v>0</v>
      </c>
      <c r="AD46" s="1511">
        <f t="shared" si="21"/>
        <v>0</v>
      </c>
      <c r="AE46" s="1385">
        <v>0</v>
      </c>
      <c r="AF46" s="1511">
        <f t="shared" si="22"/>
        <v>0</v>
      </c>
      <c r="AG46" s="1385"/>
      <c r="AH46" s="1385">
        <f t="shared" si="23"/>
        <v>0</v>
      </c>
      <c r="AI46" s="1511">
        <f t="shared" si="24"/>
        <v>0</v>
      </c>
      <c r="AJ46" s="1531">
        <f t="shared" si="25"/>
        <v>0</v>
      </c>
      <c r="AK46" s="1536">
        <f t="shared" si="26"/>
        <v>0</v>
      </c>
    </row>
    <row r="47" spans="1:37" ht="16.2" customHeight="1">
      <c r="A47" s="1183">
        <v>41</v>
      </c>
      <c r="B47" s="1184" t="s">
        <v>121</v>
      </c>
      <c r="C47" s="1185">
        <v>0</v>
      </c>
      <c r="D47" s="1186">
        <f>+'Table 5C1A-Madison Prep'!D47</f>
        <v>3291.1948574716475</v>
      </c>
      <c r="E47" s="1187">
        <f t="shared" si="5"/>
        <v>0</v>
      </c>
      <c r="F47" s="1187">
        <f>+'Table 5C1A-Madison Prep'!F47</f>
        <v>886.22</v>
      </c>
      <c r="G47" s="1187">
        <f t="shared" si="6"/>
        <v>0</v>
      </c>
      <c r="H47" s="1538">
        <f t="shared" si="7"/>
        <v>0</v>
      </c>
      <c r="I47" s="1188"/>
      <c r="J47" s="1188"/>
      <c r="K47" s="1189">
        <f t="shared" si="8"/>
        <v>0</v>
      </c>
      <c r="L47" s="1538">
        <f t="shared" si="9"/>
        <v>0</v>
      </c>
      <c r="M47" s="1372">
        <f t="shared" si="4"/>
        <v>0</v>
      </c>
      <c r="N47" s="1538">
        <f t="shared" si="10"/>
        <v>0</v>
      </c>
      <c r="O47" s="1186">
        <v>0</v>
      </c>
      <c r="P47" s="1544">
        <f t="shared" si="11"/>
        <v>0</v>
      </c>
      <c r="Q47" s="1188"/>
      <c r="R47" s="1188">
        <f t="shared" si="12"/>
        <v>0</v>
      </c>
      <c r="S47" s="1544">
        <f t="shared" si="13"/>
        <v>0</v>
      </c>
      <c r="T47" s="1544">
        <f t="shared" si="14"/>
        <v>0</v>
      </c>
      <c r="U47" s="1373">
        <f>'Table 5C1A-Madison Prep'!U47</f>
        <v>8478</v>
      </c>
      <c r="V47" s="1514">
        <f t="shared" si="15"/>
        <v>0</v>
      </c>
      <c r="W47" s="1375"/>
      <c r="X47" s="1376">
        <f t="shared" si="16"/>
        <v>0</v>
      </c>
      <c r="Y47" s="1375"/>
      <c r="Z47" s="1376">
        <f t="shared" si="17"/>
        <v>0</v>
      </c>
      <c r="AA47" s="1374">
        <f t="shared" si="18"/>
        <v>0</v>
      </c>
      <c r="AB47" s="1509">
        <f t="shared" si="19"/>
        <v>0</v>
      </c>
      <c r="AC47" s="1378">
        <f t="shared" si="20"/>
        <v>0</v>
      </c>
      <c r="AD47" s="1509">
        <f t="shared" si="21"/>
        <v>0</v>
      </c>
      <c r="AE47" s="1379">
        <v>0</v>
      </c>
      <c r="AF47" s="1509">
        <f t="shared" si="22"/>
        <v>0</v>
      </c>
      <c r="AG47" s="1379"/>
      <c r="AH47" s="1379">
        <f t="shared" si="23"/>
        <v>0</v>
      </c>
      <c r="AI47" s="1509">
        <f t="shared" si="24"/>
        <v>0</v>
      </c>
      <c r="AJ47" s="1530">
        <f t="shared" si="25"/>
        <v>0</v>
      </c>
      <c r="AK47" s="1534">
        <f t="shared" si="26"/>
        <v>0</v>
      </c>
    </row>
    <row r="48" spans="1:37" ht="16.2" customHeight="1">
      <c r="A48" s="1176">
        <v>42</v>
      </c>
      <c r="B48" s="1177" t="s">
        <v>122</v>
      </c>
      <c r="C48" s="1178">
        <v>0</v>
      </c>
      <c r="D48" s="1179">
        <f>+'Table 5C1A-Madison Prep'!D48</f>
        <v>5113.6077751368684</v>
      </c>
      <c r="E48" s="1180">
        <f t="shared" si="5"/>
        <v>0</v>
      </c>
      <c r="F48" s="1180">
        <f>+'Table 5C1A-Madison Prep'!F48</f>
        <v>534.28</v>
      </c>
      <c r="G48" s="1180">
        <f t="shared" si="6"/>
        <v>0</v>
      </c>
      <c r="H48" s="1539">
        <f t="shared" si="7"/>
        <v>0</v>
      </c>
      <c r="I48" s="1181"/>
      <c r="J48" s="1181"/>
      <c r="K48" s="1182">
        <f t="shared" si="8"/>
        <v>0</v>
      </c>
      <c r="L48" s="1539">
        <f t="shared" si="9"/>
        <v>0</v>
      </c>
      <c r="M48" s="1388">
        <f t="shared" si="4"/>
        <v>0</v>
      </c>
      <c r="N48" s="1539">
        <f t="shared" si="10"/>
        <v>0</v>
      </c>
      <c r="O48" s="1179">
        <v>0</v>
      </c>
      <c r="P48" s="1545">
        <f t="shared" si="11"/>
        <v>0</v>
      </c>
      <c r="Q48" s="1181"/>
      <c r="R48" s="1181">
        <f t="shared" si="12"/>
        <v>0</v>
      </c>
      <c r="S48" s="1545">
        <f t="shared" si="13"/>
        <v>0</v>
      </c>
      <c r="T48" s="1545">
        <f t="shared" si="14"/>
        <v>0</v>
      </c>
      <c r="U48" s="1389">
        <f>'Table 5C1A-Madison Prep'!U48</f>
        <v>3578</v>
      </c>
      <c r="V48" s="1515">
        <f t="shared" si="15"/>
        <v>0</v>
      </c>
      <c r="W48" s="1391"/>
      <c r="X48" s="1392">
        <f t="shared" si="16"/>
        <v>0</v>
      </c>
      <c r="Y48" s="1391"/>
      <c r="Z48" s="1392">
        <f t="shared" si="17"/>
        <v>0</v>
      </c>
      <c r="AA48" s="1390">
        <f t="shared" si="18"/>
        <v>0</v>
      </c>
      <c r="AB48" s="1510">
        <f t="shared" si="19"/>
        <v>0</v>
      </c>
      <c r="AC48" s="1394">
        <f t="shared" si="20"/>
        <v>0</v>
      </c>
      <c r="AD48" s="1510">
        <f t="shared" si="21"/>
        <v>0</v>
      </c>
      <c r="AE48" s="1395">
        <v>0</v>
      </c>
      <c r="AF48" s="1510">
        <f t="shared" si="22"/>
        <v>0</v>
      </c>
      <c r="AG48" s="1395"/>
      <c r="AH48" s="1395">
        <f t="shared" si="23"/>
        <v>0</v>
      </c>
      <c r="AI48" s="1510">
        <f t="shared" si="24"/>
        <v>0</v>
      </c>
      <c r="AJ48" s="1505">
        <f t="shared" si="25"/>
        <v>0</v>
      </c>
      <c r="AK48" s="1535">
        <f t="shared" si="26"/>
        <v>0</v>
      </c>
    </row>
    <row r="49" spans="1:37" ht="16.2" customHeight="1">
      <c r="A49" s="1176">
        <v>43</v>
      </c>
      <c r="B49" s="1177" t="s">
        <v>123</v>
      </c>
      <c r="C49" s="1178">
        <v>0</v>
      </c>
      <c r="D49" s="1179">
        <f>+'Table 5C1A-Madison Prep'!D49</f>
        <v>5788.74387205947</v>
      </c>
      <c r="E49" s="1180">
        <f t="shared" si="5"/>
        <v>0</v>
      </c>
      <c r="F49" s="1180">
        <f>+'Table 5C1A-Madison Prep'!F49</f>
        <v>574.6099999999999</v>
      </c>
      <c r="G49" s="1180">
        <f t="shared" si="6"/>
        <v>0</v>
      </c>
      <c r="H49" s="1539">
        <f t="shared" si="7"/>
        <v>0</v>
      </c>
      <c r="I49" s="1181"/>
      <c r="J49" s="1181"/>
      <c r="K49" s="1182">
        <f t="shared" si="8"/>
        <v>0</v>
      </c>
      <c r="L49" s="1539">
        <f t="shared" si="9"/>
        <v>0</v>
      </c>
      <c r="M49" s="1388">
        <f t="shared" si="4"/>
        <v>0</v>
      </c>
      <c r="N49" s="1539">
        <f t="shared" si="10"/>
        <v>0</v>
      </c>
      <c r="O49" s="1179">
        <v>0</v>
      </c>
      <c r="P49" s="1545">
        <f t="shared" si="11"/>
        <v>0</v>
      </c>
      <c r="Q49" s="1181"/>
      <c r="R49" s="1181">
        <f t="shared" si="12"/>
        <v>0</v>
      </c>
      <c r="S49" s="1545">
        <f t="shared" si="13"/>
        <v>0</v>
      </c>
      <c r="T49" s="1545">
        <f t="shared" si="14"/>
        <v>0</v>
      </c>
      <c r="U49" s="1389">
        <f>'Table 5C1A-Madison Prep'!U49</f>
        <v>3205</v>
      </c>
      <c r="V49" s="1515">
        <f t="shared" si="15"/>
        <v>0</v>
      </c>
      <c r="W49" s="1391"/>
      <c r="X49" s="1392">
        <f t="shared" si="16"/>
        <v>0</v>
      </c>
      <c r="Y49" s="1391"/>
      <c r="Z49" s="1392">
        <f t="shared" si="17"/>
        <v>0</v>
      </c>
      <c r="AA49" s="1390">
        <f t="shared" si="18"/>
        <v>0</v>
      </c>
      <c r="AB49" s="1510">
        <f t="shared" si="19"/>
        <v>0</v>
      </c>
      <c r="AC49" s="1394">
        <f t="shared" si="20"/>
        <v>0</v>
      </c>
      <c r="AD49" s="1510">
        <f t="shared" si="21"/>
        <v>0</v>
      </c>
      <c r="AE49" s="1395">
        <v>0</v>
      </c>
      <c r="AF49" s="1510">
        <f t="shared" si="22"/>
        <v>0</v>
      </c>
      <c r="AG49" s="1395"/>
      <c r="AH49" s="1395">
        <f t="shared" si="23"/>
        <v>0</v>
      </c>
      <c r="AI49" s="1510">
        <f t="shared" si="24"/>
        <v>0</v>
      </c>
      <c r="AJ49" s="1505">
        <f t="shared" si="25"/>
        <v>0</v>
      </c>
      <c r="AK49" s="1535">
        <f t="shared" si="26"/>
        <v>0</v>
      </c>
    </row>
    <row r="50" spans="1:37" ht="16.2" customHeight="1">
      <c r="A50" s="1176">
        <v>44</v>
      </c>
      <c r="B50" s="1177" t="s">
        <v>124</v>
      </c>
      <c r="C50" s="1178">
        <v>0</v>
      </c>
      <c r="D50" s="1179">
        <f>+'Table 5C1A-Madison Prep'!D50</f>
        <v>4897.5958151820359</v>
      </c>
      <c r="E50" s="1180">
        <f t="shared" si="5"/>
        <v>0</v>
      </c>
      <c r="F50" s="1180">
        <f>+'Table 5C1A-Madison Prep'!F50</f>
        <v>663.16000000000008</v>
      </c>
      <c r="G50" s="1180">
        <f t="shared" si="6"/>
        <v>0</v>
      </c>
      <c r="H50" s="1539">
        <f t="shared" si="7"/>
        <v>0</v>
      </c>
      <c r="I50" s="1181"/>
      <c r="J50" s="1181"/>
      <c r="K50" s="1182">
        <f t="shared" si="8"/>
        <v>0</v>
      </c>
      <c r="L50" s="1539">
        <f t="shared" si="9"/>
        <v>0</v>
      </c>
      <c r="M50" s="1388">
        <f t="shared" si="4"/>
        <v>0</v>
      </c>
      <c r="N50" s="1539">
        <f t="shared" si="10"/>
        <v>0</v>
      </c>
      <c r="O50" s="1179">
        <v>0</v>
      </c>
      <c r="P50" s="1545">
        <f t="shared" si="11"/>
        <v>0</v>
      </c>
      <c r="Q50" s="1181"/>
      <c r="R50" s="1181">
        <f t="shared" si="12"/>
        <v>0</v>
      </c>
      <c r="S50" s="1545">
        <f t="shared" si="13"/>
        <v>0</v>
      </c>
      <c r="T50" s="1545">
        <f t="shared" si="14"/>
        <v>0</v>
      </c>
      <c r="U50" s="1389">
        <f>'Table 5C1A-Madison Prep'!U50</f>
        <v>3719</v>
      </c>
      <c r="V50" s="1515">
        <f t="shared" si="15"/>
        <v>0</v>
      </c>
      <c r="W50" s="1391"/>
      <c r="X50" s="1392">
        <f t="shared" si="16"/>
        <v>0</v>
      </c>
      <c r="Y50" s="1391"/>
      <c r="Z50" s="1392">
        <f t="shared" si="17"/>
        <v>0</v>
      </c>
      <c r="AA50" s="1390">
        <f t="shared" si="18"/>
        <v>0</v>
      </c>
      <c r="AB50" s="1510">
        <f t="shared" si="19"/>
        <v>0</v>
      </c>
      <c r="AC50" s="1394">
        <f t="shared" si="20"/>
        <v>0</v>
      </c>
      <c r="AD50" s="1510">
        <f t="shared" si="21"/>
        <v>0</v>
      </c>
      <c r="AE50" s="1395">
        <v>0</v>
      </c>
      <c r="AF50" s="1510">
        <f t="shared" si="22"/>
        <v>0</v>
      </c>
      <c r="AG50" s="1395"/>
      <c r="AH50" s="1395">
        <f t="shared" si="23"/>
        <v>0</v>
      </c>
      <c r="AI50" s="1510">
        <f t="shared" si="24"/>
        <v>0</v>
      </c>
      <c r="AJ50" s="1505">
        <f t="shared" si="25"/>
        <v>0</v>
      </c>
      <c r="AK50" s="1535">
        <f t="shared" si="26"/>
        <v>0</v>
      </c>
    </row>
    <row r="51" spans="1:37" ht="16.2" customHeight="1">
      <c r="A51" s="1168">
        <v>45</v>
      </c>
      <c r="B51" s="1169" t="s">
        <v>125</v>
      </c>
      <c r="C51" s="1170">
        <v>0</v>
      </c>
      <c r="D51" s="1171">
        <f>+'Table 5C1A-Madison Prep'!D51</f>
        <v>2054.0472499469101</v>
      </c>
      <c r="E51" s="1172">
        <f t="shared" si="5"/>
        <v>0</v>
      </c>
      <c r="F51" s="1172">
        <f>+'Table 5C1A-Madison Prep'!F51</f>
        <v>753.96000000000015</v>
      </c>
      <c r="G51" s="1172">
        <f t="shared" si="6"/>
        <v>0</v>
      </c>
      <c r="H51" s="1540">
        <f t="shared" si="7"/>
        <v>0</v>
      </c>
      <c r="I51" s="1173"/>
      <c r="J51" s="1173"/>
      <c r="K51" s="1174">
        <f t="shared" si="8"/>
        <v>0</v>
      </c>
      <c r="L51" s="1540">
        <f t="shared" si="9"/>
        <v>0</v>
      </c>
      <c r="M51" s="1399">
        <f t="shared" si="4"/>
        <v>0</v>
      </c>
      <c r="N51" s="1540">
        <f t="shared" si="10"/>
        <v>0</v>
      </c>
      <c r="O51" s="1171">
        <v>0</v>
      </c>
      <c r="P51" s="1546">
        <f t="shared" si="11"/>
        <v>0</v>
      </c>
      <c r="Q51" s="1173"/>
      <c r="R51" s="1173">
        <f t="shared" si="12"/>
        <v>0</v>
      </c>
      <c r="S51" s="1546">
        <f t="shared" si="13"/>
        <v>0</v>
      </c>
      <c r="T51" s="1546">
        <f t="shared" si="14"/>
        <v>0</v>
      </c>
      <c r="U51" s="1382">
        <f>'Table 5C1A-Madison Prep'!U51</f>
        <v>12169</v>
      </c>
      <c r="V51" s="1516">
        <f t="shared" si="15"/>
        <v>0</v>
      </c>
      <c r="W51" s="1400"/>
      <c r="X51" s="1383">
        <f t="shared" si="16"/>
        <v>0</v>
      </c>
      <c r="Y51" s="1400"/>
      <c r="Z51" s="1383">
        <f t="shared" si="17"/>
        <v>0</v>
      </c>
      <c r="AA51" s="1384">
        <f t="shared" si="18"/>
        <v>0</v>
      </c>
      <c r="AB51" s="1511">
        <f t="shared" si="19"/>
        <v>0</v>
      </c>
      <c r="AC51" s="1402">
        <f t="shared" si="20"/>
        <v>0</v>
      </c>
      <c r="AD51" s="1511">
        <f t="shared" si="21"/>
        <v>0</v>
      </c>
      <c r="AE51" s="1385">
        <v>0</v>
      </c>
      <c r="AF51" s="1511">
        <f t="shared" si="22"/>
        <v>0</v>
      </c>
      <c r="AG51" s="1385"/>
      <c r="AH51" s="1385">
        <f t="shared" si="23"/>
        <v>0</v>
      </c>
      <c r="AI51" s="1511">
        <f t="shared" si="24"/>
        <v>0</v>
      </c>
      <c r="AJ51" s="1531">
        <f t="shared" si="25"/>
        <v>0</v>
      </c>
      <c r="AK51" s="1536">
        <f t="shared" si="26"/>
        <v>0</v>
      </c>
    </row>
    <row r="52" spans="1:37" ht="16.2" customHeight="1">
      <c r="A52" s="1183">
        <v>46</v>
      </c>
      <c r="B52" s="1184" t="s">
        <v>126</v>
      </c>
      <c r="C52" s="1185">
        <v>0</v>
      </c>
      <c r="D52" s="1186">
        <f>+'Table 5C1A-Madison Prep'!D52</f>
        <v>6051.2144468088381</v>
      </c>
      <c r="E52" s="1187">
        <f t="shared" si="5"/>
        <v>0</v>
      </c>
      <c r="F52" s="1187">
        <f>+'Table 5C1A-Madison Prep'!F52</f>
        <v>728.06</v>
      </c>
      <c r="G52" s="1187">
        <f t="shared" si="6"/>
        <v>0</v>
      </c>
      <c r="H52" s="1538">
        <f t="shared" si="7"/>
        <v>0</v>
      </c>
      <c r="I52" s="1188"/>
      <c r="J52" s="1188"/>
      <c r="K52" s="1189">
        <f t="shared" si="8"/>
        <v>0</v>
      </c>
      <c r="L52" s="1538">
        <f t="shared" si="9"/>
        <v>0</v>
      </c>
      <c r="M52" s="1372">
        <f t="shared" si="4"/>
        <v>0</v>
      </c>
      <c r="N52" s="1538">
        <f t="shared" si="10"/>
        <v>0</v>
      </c>
      <c r="O52" s="1186">
        <v>0</v>
      </c>
      <c r="P52" s="1544">
        <f t="shared" si="11"/>
        <v>0</v>
      </c>
      <c r="Q52" s="1188"/>
      <c r="R52" s="1188">
        <f t="shared" si="12"/>
        <v>0</v>
      </c>
      <c r="S52" s="1544">
        <f t="shared" si="13"/>
        <v>0</v>
      </c>
      <c r="T52" s="1544">
        <f t="shared" si="14"/>
        <v>0</v>
      </c>
      <c r="U52" s="1373">
        <f>'Table 5C1A-Madison Prep'!U52</f>
        <v>2713</v>
      </c>
      <c r="V52" s="1514">
        <f t="shared" si="15"/>
        <v>0</v>
      </c>
      <c r="W52" s="1375"/>
      <c r="X52" s="1376">
        <f t="shared" si="16"/>
        <v>0</v>
      </c>
      <c r="Y52" s="1375"/>
      <c r="Z52" s="1376">
        <f t="shared" si="17"/>
        <v>0</v>
      </c>
      <c r="AA52" s="1374">
        <f t="shared" si="18"/>
        <v>0</v>
      </c>
      <c r="AB52" s="1509">
        <f t="shared" si="19"/>
        <v>0</v>
      </c>
      <c r="AC52" s="1378">
        <f t="shared" si="20"/>
        <v>0</v>
      </c>
      <c r="AD52" s="1509">
        <f t="shared" si="21"/>
        <v>0</v>
      </c>
      <c r="AE52" s="1379">
        <v>0</v>
      </c>
      <c r="AF52" s="1509">
        <f t="shared" si="22"/>
        <v>0</v>
      </c>
      <c r="AG52" s="1379"/>
      <c r="AH52" s="1379">
        <f t="shared" si="23"/>
        <v>0</v>
      </c>
      <c r="AI52" s="1509">
        <f t="shared" si="24"/>
        <v>0</v>
      </c>
      <c r="AJ52" s="1530">
        <f t="shared" si="25"/>
        <v>0</v>
      </c>
      <c r="AK52" s="1534">
        <f t="shared" si="26"/>
        <v>0</v>
      </c>
    </row>
    <row r="53" spans="1:37" ht="16.2" customHeight="1">
      <c r="A53" s="1176">
        <v>47</v>
      </c>
      <c r="B53" s="1177" t="s">
        <v>127</v>
      </c>
      <c r="C53" s="1178">
        <v>0</v>
      </c>
      <c r="D53" s="1179">
        <f>+'Table 5C1A-Madison Prep'!D53</f>
        <v>2524.1485257646736</v>
      </c>
      <c r="E53" s="1180">
        <f t="shared" si="5"/>
        <v>0</v>
      </c>
      <c r="F53" s="1180">
        <f>+'Table 5C1A-Madison Prep'!F53</f>
        <v>910.76</v>
      </c>
      <c r="G53" s="1180">
        <f t="shared" si="6"/>
        <v>0</v>
      </c>
      <c r="H53" s="1539">
        <f t="shared" si="7"/>
        <v>0</v>
      </c>
      <c r="I53" s="1181"/>
      <c r="J53" s="1181"/>
      <c r="K53" s="1182">
        <f t="shared" si="8"/>
        <v>0</v>
      </c>
      <c r="L53" s="1539">
        <f t="shared" si="9"/>
        <v>0</v>
      </c>
      <c r="M53" s="1388">
        <f t="shared" si="4"/>
        <v>0</v>
      </c>
      <c r="N53" s="1539">
        <f t="shared" si="10"/>
        <v>0</v>
      </c>
      <c r="O53" s="1179">
        <v>0</v>
      </c>
      <c r="P53" s="1545">
        <f t="shared" si="11"/>
        <v>0</v>
      </c>
      <c r="Q53" s="1181"/>
      <c r="R53" s="1181">
        <f t="shared" si="12"/>
        <v>0</v>
      </c>
      <c r="S53" s="1545">
        <f t="shared" si="13"/>
        <v>0</v>
      </c>
      <c r="T53" s="1545">
        <f t="shared" si="14"/>
        <v>0</v>
      </c>
      <c r="U53" s="1389">
        <f>'Table 5C1A-Madison Prep'!U53</f>
        <v>11701</v>
      </c>
      <c r="V53" s="1515">
        <f t="shared" si="15"/>
        <v>0</v>
      </c>
      <c r="W53" s="1391"/>
      <c r="X53" s="1392">
        <f t="shared" si="16"/>
        <v>0</v>
      </c>
      <c r="Y53" s="1391"/>
      <c r="Z53" s="1392">
        <f t="shared" si="17"/>
        <v>0</v>
      </c>
      <c r="AA53" s="1390">
        <f t="shared" si="18"/>
        <v>0</v>
      </c>
      <c r="AB53" s="1510">
        <f t="shared" si="19"/>
        <v>0</v>
      </c>
      <c r="AC53" s="1394">
        <f t="shared" si="20"/>
        <v>0</v>
      </c>
      <c r="AD53" s="1510">
        <f t="shared" si="21"/>
        <v>0</v>
      </c>
      <c r="AE53" s="1395">
        <v>0</v>
      </c>
      <c r="AF53" s="1510">
        <f t="shared" si="22"/>
        <v>0</v>
      </c>
      <c r="AG53" s="1395"/>
      <c r="AH53" s="1395">
        <f t="shared" si="23"/>
        <v>0</v>
      </c>
      <c r="AI53" s="1510">
        <f t="shared" si="24"/>
        <v>0</v>
      </c>
      <c r="AJ53" s="1505">
        <f t="shared" si="25"/>
        <v>0</v>
      </c>
      <c r="AK53" s="1535">
        <f t="shared" si="26"/>
        <v>0</v>
      </c>
    </row>
    <row r="54" spans="1:37" ht="16.2" customHeight="1">
      <c r="A54" s="1176">
        <v>48</v>
      </c>
      <c r="B54" s="1177" t="s">
        <v>178</v>
      </c>
      <c r="C54" s="1178">
        <v>0</v>
      </c>
      <c r="D54" s="1179">
        <f>+'Table 5C1A-Madison Prep'!D54</f>
        <v>3983.3582529800719</v>
      </c>
      <c r="E54" s="1180">
        <f t="shared" si="5"/>
        <v>0</v>
      </c>
      <c r="F54" s="1180">
        <f>+'Table 5C1A-Madison Prep'!F54</f>
        <v>871.07</v>
      </c>
      <c r="G54" s="1180">
        <f t="shared" si="6"/>
        <v>0</v>
      </c>
      <c r="H54" s="1539">
        <f t="shared" si="7"/>
        <v>0</v>
      </c>
      <c r="I54" s="1181"/>
      <c r="J54" s="1181"/>
      <c r="K54" s="1182">
        <f t="shared" si="8"/>
        <v>0</v>
      </c>
      <c r="L54" s="1539">
        <f t="shared" si="9"/>
        <v>0</v>
      </c>
      <c r="M54" s="1388">
        <f t="shared" si="4"/>
        <v>0</v>
      </c>
      <c r="N54" s="1539">
        <f t="shared" si="10"/>
        <v>0</v>
      </c>
      <c r="O54" s="1179">
        <v>0</v>
      </c>
      <c r="P54" s="1545">
        <f t="shared" si="11"/>
        <v>0</v>
      </c>
      <c r="Q54" s="1181"/>
      <c r="R54" s="1181">
        <f t="shared" si="12"/>
        <v>0</v>
      </c>
      <c r="S54" s="1545">
        <f t="shared" si="13"/>
        <v>0</v>
      </c>
      <c r="T54" s="1545">
        <f t="shared" si="14"/>
        <v>0</v>
      </c>
      <c r="U54" s="1389">
        <f>'Table 5C1A-Madison Prep'!U54</f>
        <v>7338</v>
      </c>
      <c r="V54" s="1515">
        <f t="shared" si="15"/>
        <v>0</v>
      </c>
      <c r="W54" s="1391"/>
      <c r="X54" s="1392">
        <f t="shared" si="16"/>
        <v>0</v>
      </c>
      <c r="Y54" s="1391"/>
      <c r="Z54" s="1392">
        <f t="shared" si="17"/>
        <v>0</v>
      </c>
      <c r="AA54" s="1390">
        <f t="shared" si="18"/>
        <v>0</v>
      </c>
      <c r="AB54" s="1510">
        <f t="shared" si="19"/>
        <v>0</v>
      </c>
      <c r="AC54" s="1394">
        <f t="shared" si="20"/>
        <v>0</v>
      </c>
      <c r="AD54" s="1510">
        <f t="shared" si="21"/>
        <v>0</v>
      </c>
      <c r="AE54" s="1395">
        <v>0</v>
      </c>
      <c r="AF54" s="1510">
        <f t="shared" si="22"/>
        <v>0</v>
      </c>
      <c r="AG54" s="1395"/>
      <c r="AH54" s="1395">
        <f t="shared" si="23"/>
        <v>0</v>
      </c>
      <c r="AI54" s="1510">
        <f t="shared" si="24"/>
        <v>0</v>
      </c>
      <c r="AJ54" s="1505">
        <f t="shared" si="25"/>
        <v>0</v>
      </c>
      <c r="AK54" s="1535">
        <f t="shared" si="26"/>
        <v>0</v>
      </c>
    </row>
    <row r="55" spans="1:37" ht="16.2" customHeight="1">
      <c r="A55" s="1176">
        <v>49</v>
      </c>
      <c r="B55" s="1177" t="s">
        <v>128</v>
      </c>
      <c r="C55" s="1178">
        <v>0</v>
      </c>
      <c r="D55" s="1179">
        <f>+'Table 5C1A-Madison Prep'!D55</f>
        <v>4995.8755315659191</v>
      </c>
      <c r="E55" s="1180">
        <f t="shared" si="5"/>
        <v>0</v>
      </c>
      <c r="F55" s="1180">
        <f>+'Table 5C1A-Madison Prep'!F55</f>
        <v>574.43999999999994</v>
      </c>
      <c r="G55" s="1180">
        <f t="shared" si="6"/>
        <v>0</v>
      </c>
      <c r="H55" s="1539">
        <f t="shared" si="7"/>
        <v>0</v>
      </c>
      <c r="I55" s="1181"/>
      <c r="J55" s="1181"/>
      <c r="K55" s="1182">
        <f t="shared" si="8"/>
        <v>0</v>
      </c>
      <c r="L55" s="1539">
        <f t="shared" si="9"/>
        <v>0</v>
      </c>
      <c r="M55" s="1388">
        <f t="shared" si="4"/>
        <v>0</v>
      </c>
      <c r="N55" s="1539">
        <f t="shared" si="10"/>
        <v>0</v>
      </c>
      <c r="O55" s="1179">
        <v>0</v>
      </c>
      <c r="P55" s="1545">
        <f t="shared" si="11"/>
        <v>0</v>
      </c>
      <c r="Q55" s="1181"/>
      <c r="R55" s="1181">
        <f t="shared" si="12"/>
        <v>0</v>
      </c>
      <c r="S55" s="1545">
        <f t="shared" si="13"/>
        <v>0</v>
      </c>
      <c r="T55" s="1545">
        <f t="shared" si="14"/>
        <v>0</v>
      </c>
      <c r="U55" s="1389">
        <f>'Table 5C1A-Madison Prep'!U55</f>
        <v>2353</v>
      </c>
      <c r="V55" s="1515">
        <f t="shared" si="15"/>
        <v>0</v>
      </c>
      <c r="W55" s="1391"/>
      <c r="X55" s="1392">
        <f t="shared" si="16"/>
        <v>0</v>
      </c>
      <c r="Y55" s="1391"/>
      <c r="Z55" s="1392">
        <f t="shared" si="17"/>
        <v>0</v>
      </c>
      <c r="AA55" s="1390">
        <f t="shared" si="18"/>
        <v>0</v>
      </c>
      <c r="AB55" s="1510">
        <f t="shared" si="19"/>
        <v>0</v>
      </c>
      <c r="AC55" s="1394">
        <f t="shared" si="20"/>
        <v>0</v>
      </c>
      <c r="AD55" s="1510">
        <f t="shared" si="21"/>
        <v>0</v>
      </c>
      <c r="AE55" s="1395">
        <v>0</v>
      </c>
      <c r="AF55" s="1510">
        <f t="shared" si="22"/>
        <v>0</v>
      </c>
      <c r="AG55" s="1395"/>
      <c r="AH55" s="1395">
        <f t="shared" si="23"/>
        <v>0</v>
      </c>
      <c r="AI55" s="1510">
        <f t="shared" si="24"/>
        <v>0</v>
      </c>
      <c r="AJ55" s="1505">
        <f t="shared" si="25"/>
        <v>0</v>
      </c>
      <c r="AK55" s="1535">
        <f t="shared" si="26"/>
        <v>0</v>
      </c>
    </row>
    <row r="56" spans="1:37" ht="16.2" customHeight="1">
      <c r="A56" s="1168">
        <v>50</v>
      </c>
      <c r="B56" s="1169" t="s">
        <v>129</v>
      </c>
      <c r="C56" s="1170">
        <v>0</v>
      </c>
      <c r="D56" s="1171">
        <f>+'Table 5C1A-Madison Prep'!D56</f>
        <v>5177.6892722701677</v>
      </c>
      <c r="E56" s="1172">
        <f t="shared" si="5"/>
        <v>0</v>
      </c>
      <c r="F56" s="1172">
        <f>+'Table 5C1A-Madison Prep'!F56</f>
        <v>634.46</v>
      </c>
      <c r="G56" s="1172">
        <f t="shared" si="6"/>
        <v>0</v>
      </c>
      <c r="H56" s="1540">
        <f t="shared" si="7"/>
        <v>0</v>
      </c>
      <c r="I56" s="1173"/>
      <c r="J56" s="1173"/>
      <c r="K56" s="1174">
        <f t="shared" si="8"/>
        <v>0</v>
      </c>
      <c r="L56" s="1540">
        <f t="shared" si="9"/>
        <v>0</v>
      </c>
      <c r="M56" s="1399">
        <f t="shared" si="4"/>
        <v>0</v>
      </c>
      <c r="N56" s="1540">
        <f t="shared" si="10"/>
        <v>0</v>
      </c>
      <c r="O56" s="1171">
        <v>0</v>
      </c>
      <c r="P56" s="1546">
        <f t="shared" si="11"/>
        <v>0</v>
      </c>
      <c r="Q56" s="1173"/>
      <c r="R56" s="1173">
        <f t="shared" si="12"/>
        <v>0</v>
      </c>
      <c r="S56" s="1546">
        <f t="shared" si="13"/>
        <v>0</v>
      </c>
      <c r="T56" s="1546">
        <f t="shared" si="14"/>
        <v>0</v>
      </c>
      <c r="U56" s="1382">
        <f>'Table 5C1A-Madison Prep'!U56</f>
        <v>3510</v>
      </c>
      <c r="V56" s="1516">
        <f t="shared" si="15"/>
        <v>0</v>
      </c>
      <c r="W56" s="1400"/>
      <c r="X56" s="1383">
        <f t="shared" si="16"/>
        <v>0</v>
      </c>
      <c r="Y56" s="1400"/>
      <c r="Z56" s="1383">
        <f t="shared" si="17"/>
        <v>0</v>
      </c>
      <c r="AA56" s="1384">
        <f t="shared" si="18"/>
        <v>0</v>
      </c>
      <c r="AB56" s="1511">
        <f t="shared" si="19"/>
        <v>0</v>
      </c>
      <c r="AC56" s="1402">
        <f t="shared" si="20"/>
        <v>0</v>
      </c>
      <c r="AD56" s="1511">
        <f t="shared" si="21"/>
        <v>0</v>
      </c>
      <c r="AE56" s="1385">
        <v>0</v>
      </c>
      <c r="AF56" s="1511">
        <f t="shared" si="22"/>
        <v>0</v>
      </c>
      <c r="AG56" s="1385"/>
      <c r="AH56" s="1385">
        <f t="shared" si="23"/>
        <v>0</v>
      </c>
      <c r="AI56" s="1511">
        <f t="shared" si="24"/>
        <v>0</v>
      </c>
      <c r="AJ56" s="1531">
        <f t="shared" si="25"/>
        <v>0</v>
      </c>
      <c r="AK56" s="1536">
        <f t="shared" si="26"/>
        <v>0</v>
      </c>
    </row>
    <row r="57" spans="1:37" ht="16.2" customHeight="1">
      <c r="A57" s="1183">
        <v>51</v>
      </c>
      <c r="B57" s="1184" t="s">
        <v>130</v>
      </c>
      <c r="C57" s="1185">
        <v>0</v>
      </c>
      <c r="D57" s="1186">
        <f>+'Table 5C1A-Madison Prep'!D57</f>
        <v>4154.1928602178996</v>
      </c>
      <c r="E57" s="1187">
        <f t="shared" si="5"/>
        <v>0</v>
      </c>
      <c r="F57" s="1187">
        <f>+'Table 5C1A-Madison Prep'!F57</f>
        <v>706.66</v>
      </c>
      <c r="G57" s="1187">
        <f t="shared" si="6"/>
        <v>0</v>
      </c>
      <c r="H57" s="1538">
        <f t="shared" si="7"/>
        <v>0</v>
      </c>
      <c r="I57" s="1188"/>
      <c r="J57" s="1188"/>
      <c r="K57" s="1189">
        <f t="shared" si="8"/>
        <v>0</v>
      </c>
      <c r="L57" s="1538">
        <f t="shared" si="9"/>
        <v>0</v>
      </c>
      <c r="M57" s="1372">
        <f t="shared" si="4"/>
        <v>0</v>
      </c>
      <c r="N57" s="1538">
        <f t="shared" si="10"/>
        <v>0</v>
      </c>
      <c r="O57" s="1186">
        <v>0</v>
      </c>
      <c r="P57" s="1544">
        <f t="shared" si="11"/>
        <v>0</v>
      </c>
      <c r="Q57" s="1188"/>
      <c r="R57" s="1188">
        <f t="shared" si="12"/>
        <v>0</v>
      </c>
      <c r="S57" s="1544">
        <f t="shared" si="13"/>
        <v>0</v>
      </c>
      <c r="T57" s="1544">
        <f t="shared" si="14"/>
        <v>0</v>
      </c>
      <c r="U57" s="1373">
        <f>'Table 5C1A-Madison Prep'!U57</f>
        <v>4597</v>
      </c>
      <c r="V57" s="1514">
        <f t="shared" si="15"/>
        <v>0</v>
      </c>
      <c r="W57" s="1375"/>
      <c r="X57" s="1376">
        <f t="shared" si="16"/>
        <v>0</v>
      </c>
      <c r="Y57" s="1375"/>
      <c r="Z57" s="1376">
        <f t="shared" si="17"/>
        <v>0</v>
      </c>
      <c r="AA57" s="1374">
        <f t="shared" si="18"/>
        <v>0</v>
      </c>
      <c r="AB57" s="1509">
        <f t="shared" si="19"/>
        <v>0</v>
      </c>
      <c r="AC57" s="1378">
        <f t="shared" si="20"/>
        <v>0</v>
      </c>
      <c r="AD57" s="1509">
        <f t="shared" si="21"/>
        <v>0</v>
      </c>
      <c r="AE57" s="1379">
        <v>0</v>
      </c>
      <c r="AF57" s="1509">
        <f t="shared" si="22"/>
        <v>0</v>
      </c>
      <c r="AG57" s="1379"/>
      <c r="AH57" s="1379">
        <f t="shared" si="23"/>
        <v>0</v>
      </c>
      <c r="AI57" s="1509">
        <f t="shared" si="24"/>
        <v>0</v>
      </c>
      <c r="AJ57" s="1530">
        <f t="shared" si="25"/>
        <v>0</v>
      </c>
      <c r="AK57" s="1534">
        <f t="shared" si="26"/>
        <v>0</v>
      </c>
    </row>
    <row r="58" spans="1:37" ht="16.2" customHeight="1">
      <c r="A58" s="1176">
        <v>52</v>
      </c>
      <c r="B58" s="1177" t="s">
        <v>131</v>
      </c>
      <c r="C58" s="1178">
        <v>0</v>
      </c>
      <c r="D58" s="1179">
        <f>+'Table 5C1A-Madison Prep'!D58</f>
        <v>5062.2745845228173</v>
      </c>
      <c r="E58" s="1180">
        <f t="shared" si="5"/>
        <v>0</v>
      </c>
      <c r="F58" s="1180">
        <f>+'Table 5C1A-Madison Prep'!F58</f>
        <v>658.37</v>
      </c>
      <c r="G58" s="1180">
        <f t="shared" si="6"/>
        <v>0</v>
      </c>
      <c r="H58" s="1539">
        <f t="shared" si="7"/>
        <v>0</v>
      </c>
      <c r="I58" s="1181"/>
      <c r="J58" s="1181"/>
      <c r="K58" s="1182">
        <f t="shared" si="8"/>
        <v>0</v>
      </c>
      <c r="L58" s="1539">
        <f t="shared" si="9"/>
        <v>0</v>
      </c>
      <c r="M58" s="1388">
        <f t="shared" si="4"/>
        <v>0</v>
      </c>
      <c r="N58" s="1539">
        <f t="shared" si="10"/>
        <v>0</v>
      </c>
      <c r="O58" s="1179">
        <v>0</v>
      </c>
      <c r="P58" s="1545">
        <f t="shared" si="11"/>
        <v>0</v>
      </c>
      <c r="Q58" s="1181"/>
      <c r="R58" s="1181">
        <f t="shared" si="12"/>
        <v>0</v>
      </c>
      <c r="S58" s="1545">
        <f t="shared" si="13"/>
        <v>0</v>
      </c>
      <c r="T58" s="1545">
        <f t="shared" si="14"/>
        <v>0</v>
      </c>
      <c r="U58" s="1389">
        <f>'Table 5C1A-Madison Prep'!U58</f>
        <v>5212</v>
      </c>
      <c r="V58" s="1515">
        <f t="shared" si="15"/>
        <v>0</v>
      </c>
      <c r="W58" s="1391"/>
      <c r="X58" s="1392">
        <f t="shared" si="16"/>
        <v>0</v>
      </c>
      <c r="Y58" s="1391"/>
      <c r="Z58" s="1392">
        <f t="shared" si="17"/>
        <v>0</v>
      </c>
      <c r="AA58" s="1390">
        <f t="shared" si="18"/>
        <v>0</v>
      </c>
      <c r="AB58" s="1510">
        <f t="shared" si="19"/>
        <v>0</v>
      </c>
      <c r="AC58" s="1394">
        <f t="shared" si="20"/>
        <v>0</v>
      </c>
      <c r="AD58" s="1510">
        <f t="shared" si="21"/>
        <v>0</v>
      </c>
      <c r="AE58" s="1395">
        <v>0</v>
      </c>
      <c r="AF58" s="1510">
        <f t="shared" si="22"/>
        <v>0</v>
      </c>
      <c r="AG58" s="1395"/>
      <c r="AH58" s="1395">
        <f t="shared" si="23"/>
        <v>0</v>
      </c>
      <c r="AI58" s="1510">
        <f t="shared" si="24"/>
        <v>0</v>
      </c>
      <c r="AJ58" s="1505">
        <f t="shared" si="25"/>
        <v>0</v>
      </c>
      <c r="AK58" s="1535">
        <f t="shared" si="26"/>
        <v>0</v>
      </c>
    </row>
    <row r="59" spans="1:37" ht="16.2" customHeight="1">
      <c r="A59" s="1176">
        <v>53</v>
      </c>
      <c r="B59" s="1177" t="s">
        <v>132</v>
      </c>
      <c r="C59" s="1178">
        <v>0</v>
      </c>
      <c r="D59" s="1179">
        <f>+'Table 5C1A-Madison Prep'!D59</f>
        <v>5060.1508194045482</v>
      </c>
      <c r="E59" s="1180">
        <f t="shared" si="5"/>
        <v>0</v>
      </c>
      <c r="F59" s="1180">
        <f>+'Table 5C1A-Madison Prep'!F59</f>
        <v>689.74</v>
      </c>
      <c r="G59" s="1180">
        <f t="shared" si="6"/>
        <v>0</v>
      </c>
      <c r="H59" s="1539">
        <f t="shared" si="7"/>
        <v>0</v>
      </c>
      <c r="I59" s="1181"/>
      <c r="J59" s="1181"/>
      <c r="K59" s="1182">
        <f t="shared" si="8"/>
        <v>0</v>
      </c>
      <c r="L59" s="1539">
        <f t="shared" si="9"/>
        <v>0</v>
      </c>
      <c r="M59" s="1388">
        <f t="shared" si="4"/>
        <v>0</v>
      </c>
      <c r="N59" s="1539">
        <f t="shared" si="10"/>
        <v>0</v>
      </c>
      <c r="O59" s="1179">
        <v>0</v>
      </c>
      <c r="P59" s="1545">
        <f t="shared" si="11"/>
        <v>0</v>
      </c>
      <c r="Q59" s="1181"/>
      <c r="R59" s="1181">
        <f t="shared" si="12"/>
        <v>0</v>
      </c>
      <c r="S59" s="1545">
        <f t="shared" si="13"/>
        <v>0</v>
      </c>
      <c r="T59" s="1545">
        <f t="shared" si="14"/>
        <v>0</v>
      </c>
      <c r="U59" s="1389">
        <f>'Table 5C1A-Madison Prep'!U59</f>
        <v>2054</v>
      </c>
      <c r="V59" s="1515">
        <f t="shared" si="15"/>
        <v>0</v>
      </c>
      <c r="W59" s="1391"/>
      <c r="X59" s="1392">
        <f t="shared" si="16"/>
        <v>0</v>
      </c>
      <c r="Y59" s="1391"/>
      <c r="Z59" s="1392">
        <f t="shared" si="17"/>
        <v>0</v>
      </c>
      <c r="AA59" s="1390">
        <f t="shared" si="18"/>
        <v>0</v>
      </c>
      <c r="AB59" s="1510">
        <f t="shared" si="19"/>
        <v>0</v>
      </c>
      <c r="AC59" s="1394">
        <f t="shared" si="20"/>
        <v>0</v>
      </c>
      <c r="AD59" s="1510">
        <f t="shared" si="21"/>
        <v>0</v>
      </c>
      <c r="AE59" s="1395">
        <v>0</v>
      </c>
      <c r="AF59" s="1510">
        <f t="shared" si="22"/>
        <v>0</v>
      </c>
      <c r="AG59" s="1395"/>
      <c r="AH59" s="1395">
        <f t="shared" si="23"/>
        <v>0</v>
      </c>
      <c r="AI59" s="1510">
        <f t="shared" si="24"/>
        <v>0</v>
      </c>
      <c r="AJ59" s="1505">
        <f t="shared" si="25"/>
        <v>0</v>
      </c>
      <c r="AK59" s="1535">
        <f t="shared" si="26"/>
        <v>0</v>
      </c>
    </row>
    <row r="60" spans="1:37" ht="16.2" customHeight="1">
      <c r="A60" s="1176">
        <v>54</v>
      </c>
      <c r="B60" s="1177" t="s">
        <v>133</v>
      </c>
      <c r="C60" s="1178">
        <v>0</v>
      </c>
      <c r="D60" s="1179">
        <f>+'Table 5C1A-Madison Prep'!D60</f>
        <v>5867.0798370516713</v>
      </c>
      <c r="E60" s="1180">
        <f t="shared" si="5"/>
        <v>0</v>
      </c>
      <c r="F60" s="1180">
        <f>+'Table 5C1A-Madison Prep'!F60</f>
        <v>951.45</v>
      </c>
      <c r="G60" s="1180">
        <f t="shared" si="6"/>
        <v>0</v>
      </c>
      <c r="H60" s="1539">
        <f t="shared" si="7"/>
        <v>0</v>
      </c>
      <c r="I60" s="1181"/>
      <c r="J60" s="1181"/>
      <c r="K60" s="1182">
        <f t="shared" si="8"/>
        <v>0</v>
      </c>
      <c r="L60" s="1539">
        <f t="shared" si="9"/>
        <v>0</v>
      </c>
      <c r="M60" s="1388">
        <f t="shared" si="4"/>
        <v>0</v>
      </c>
      <c r="N60" s="1539">
        <f t="shared" si="10"/>
        <v>0</v>
      </c>
      <c r="O60" s="1179">
        <v>0</v>
      </c>
      <c r="P60" s="1545">
        <f t="shared" si="11"/>
        <v>0</v>
      </c>
      <c r="Q60" s="1181"/>
      <c r="R60" s="1181">
        <f t="shared" si="12"/>
        <v>0</v>
      </c>
      <c r="S60" s="1545">
        <f t="shared" si="13"/>
        <v>0</v>
      </c>
      <c r="T60" s="1545">
        <f t="shared" si="14"/>
        <v>0</v>
      </c>
      <c r="U60" s="1389">
        <f>'Table 5C1A-Madison Prep'!U60</f>
        <v>4116</v>
      </c>
      <c r="V60" s="1515">
        <f t="shared" si="15"/>
        <v>0</v>
      </c>
      <c r="W60" s="1391"/>
      <c r="X60" s="1392">
        <f t="shared" si="16"/>
        <v>0</v>
      </c>
      <c r="Y60" s="1391"/>
      <c r="Z60" s="1392">
        <f t="shared" si="17"/>
        <v>0</v>
      </c>
      <c r="AA60" s="1390">
        <f t="shared" si="18"/>
        <v>0</v>
      </c>
      <c r="AB60" s="1510">
        <f t="shared" si="19"/>
        <v>0</v>
      </c>
      <c r="AC60" s="1394">
        <f t="shared" si="20"/>
        <v>0</v>
      </c>
      <c r="AD60" s="1510">
        <f t="shared" si="21"/>
        <v>0</v>
      </c>
      <c r="AE60" s="1395">
        <v>0</v>
      </c>
      <c r="AF60" s="1510">
        <f t="shared" si="22"/>
        <v>0</v>
      </c>
      <c r="AG60" s="1395"/>
      <c r="AH60" s="1395">
        <f t="shared" si="23"/>
        <v>0</v>
      </c>
      <c r="AI60" s="1510">
        <f t="shared" si="24"/>
        <v>0</v>
      </c>
      <c r="AJ60" s="1505">
        <f t="shared" si="25"/>
        <v>0</v>
      </c>
      <c r="AK60" s="1535">
        <f t="shared" si="26"/>
        <v>0</v>
      </c>
    </row>
    <row r="61" spans="1:37" ht="16.2" customHeight="1">
      <c r="A61" s="1168">
        <v>55</v>
      </c>
      <c r="B61" s="1169" t="s">
        <v>134</v>
      </c>
      <c r="C61" s="1170">
        <v>0</v>
      </c>
      <c r="D61" s="1171">
        <f>+'Table 5C1A-Madison Prep'!D61</f>
        <v>4266.8225491298481</v>
      </c>
      <c r="E61" s="1172">
        <f t="shared" si="5"/>
        <v>0</v>
      </c>
      <c r="F61" s="1172">
        <f>+'Table 5C1A-Madison Prep'!F61</f>
        <v>795.14</v>
      </c>
      <c r="G61" s="1172">
        <f t="shared" si="6"/>
        <v>0</v>
      </c>
      <c r="H61" s="1540">
        <f t="shared" si="7"/>
        <v>0</v>
      </c>
      <c r="I61" s="1173"/>
      <c r="J61" s="1173"/>
      <c r="K61" s="1174">
        <f t="shared" si="8"/>
        <v>0</v>
      </c>
      <c r="L61" s="1540">
        <f t="shared" si="9"/>
        <v>0</v>
      </c>
      <c r="M61" s="1399">
        <f t="shared" si="4"/>
        <v>0</v>
      </c>
      <c r="N61" s="1540">
        <f t="shared" si="10"/>
        <v>0</v>
      </c>
      <c r="O61" s="1171">
        <v>0</v>
      </c>
      <c r="P61" s="1546">
        <f t="shared" si="11"/>
        <v>0</v>
      </c>
      <c r="Q61" s="1173"/>
      <c r="R61" s="1173">
        <f t="shared" si="12"/>
        <v>0</v>
      </c>
      <c r="S61" s="1546">
        <f t="shared" si="13"/>
        <v>0</v>
      </c>
      <c r="T61" s="1546">
        <f t="shared" si="14"/>
        <v>0</v>
      </c>
      <c r="U61" s="1382">
        <f>'Table 5C1A-Madison Prep'!U61</f>
        <v>3532</v>
      </c>
      <c r="V61" s="1516">
        <f t="shared" si="15"/>
        <v>0</v>
      </c>
      <c r="W61" s="1400"/>
      <c r="X61" s="1383">
        <f t="shared" si="16"/>
        <v>0</v>
      </c>
      <c r="Y61" s="1400"/>
      <c r="Z61" s="1383">
        <f t="shared" si="17"/>
        <v>0</v>
      </c>
      <c r="AA61" s="1384">
        <f t="shared" si="18"/>
        <v>0</v>
      </c>
      <c r="AB61" s="1511">
        <f t="shared" si="19"/>
        <v>0</v>
      </c>
      <c r="AC61" s="1402">
        <f t="shared" si="20"/>
        <v>0</v>
      </c>
      <c r="AD61" s="1511">
        <f t="shared" si="21"/>
        <v>0</v>
      </c>
      <c r="AE61" s="1385">
        <v>0</v>
      </c>
      <c r="AF61" s="1511">
        <f t="shared" si="22"/>
        <v>0</v>
      </c>
      <c r="AG61" s="1385"/>
      <c r="AH61" s="1385">
        <f t="shared" si="23"/>
        <v>0</v>
      </c>
      <c r="AI61" s="1511">
        <f t="shared" si="24"/>
        <v>0</v>
      </c>
      <c r="AJ61" s="1531">
        <f t="shared" si="25"/>
        <v>0</v>
      </c>
      <c r="AK61" s="1536">
        <f t="shared" si="26"/>
        <v>0</v>
      </c>
    </row>
    <row r="62" spans="1:37" ht="16.2" customHeight="1">
      <c r="A62" s="1183">
        <v>56</v>
      </c>
      <c r="B62" s="1184" t="s">
        <v>135</v>
      </c>
      <c r="C62" s="1185">
        <v>0</v>
      </c>
      <c r="D62" s="1186">
        <f>+'Table 5C1A-Madison Prep'!D62</f>
        <v>5028.4909408288286</v>
      </c>
      <c r="E62" s="1187">
        <f t="shared" si="5"/>
        <v>0</v>
      </c>
      <c r="F62" s="1187">
        <f>+'Table 5C1A-Madison Prep'!F62</f>
        <v>614.66000000000008</v>
      </c>
      <c r="G62" s="1187">
        <f t="shared" si="6"/>
        <v>0</v>
      </c>
      <c r="H62" s="1538">
        <f t="shared" si="7"/>
        <v>0</v>
      </c>
      <c r="I62" s="1188"/>
      <c r="J62" s="1188"/>
      <c r="K62" s="1189">
        <f t="shared" si="8"/>
        <v>0</v>
      </c>
      <c r="L62" s="1538">
        <f t="shared" si="9"/>
        <v>0</v>
      </c>
      <c r="M62" s="1372">
        <f t="shared" si="4"/>
        <v>0</v>
      </c>
      <c r="N62" s="1538">
        <f t="shared" si="10"/>
        <v>0</v>
      </c>
      <c r="O62" s="1186">
        <v>0</v>
      </c>
      <c r="P62" s="1544">
        <f t="shared" si="11"/>
        <v>0</v>
      </c>
      <c r="Q62" s="1188"/>
      <c r="R62" s="1188">
        <f t="shared" si="12"/>
        <v>0</v>
      </c>
      <c r="S62" s="1544">
        <f t="shared" si="13"/>
        <v>0</v>
      </c>
      <c r="T62" s="1544">
        <f t="shared" si="14"/>
        <v>0</v>
      </c>
      <c r="U62" s="1373">
        <f>'Table 5C1A-Madison Prep'!U62</f>
        <v>2865</v>
      </c>
      <c r="V62" s="1514">
        <f t="shared" si="15"/>
        <v>0</v>
      </c>
      <c r="W62" s="1375"/>
      <c r="X62" s="1376">
        <f t="shared" si="16"/>
        <v>0</v>
      </c>
      <c r="Y62" s="1375"/>
      <c r="Z62" s="1376">
        <f t="shared" si="17"/>
        <v>0</v>
      </c>
      <c r="AA62" s="1374">
        <f t="shared" si="18"/>
        <v>0</v>
      </c>
      <c r="AB62" s="1509">
        <f t="shared" si="19"/>
        <v>0</v>
      </c>
      <c r="AC62" s="1378">
        <f t="shared" si="20"/>
        <v>0</v>
      </c>
      <c r="AD62" s="1509">
        <f t="shared" si="21"/>
        <v>0</v>
      </c>
      <c r="AE62" s="1379">
        <v>0</v>
      </c>
      <c r="AF62" s="1509">
        <f t="shared" si="22"/>
        <v>0</v>
      </c>
      <c r="AG62" s="1379"/>
      <c r="AH62" s="1379">
        <f t="shared" si="23"/>
        <v>0</v>
      </c>
      <c r="AI62" s="1509">
        <f t="shared" si="24"/>
        <v>0</v>
      </c>
      <c r="AJ62" s="1530">
        <f t="shared" si="25"/>
        <v>0</v>
      </c>
      <c r="AK62" s="1534">
        <f t="shared" si="26"/>
        <v>0</v>
      </c>
    </row>
    <row r="63" spans="1:37" ht="16.2" customHeight="1">
      <c r="A63" s="1176">
        <v>57</v>
      </c>
      <c r="B63" s="1177" t="s">
        <v>136</v>
      </c>
      <c r="C63" s="1178">
        <v>12</v>
      </c>
      <c r="D63" s="1179">
        <f>+'Table 5C1A-Madison Prep'!D63</f>
        <v>4625.9922979230687</v>
      </c>
      <c r="E63" s="1180">
        <f t="shared" si="5"/>
        <v>55511.907575076824</v>
      </c>
      <c r="F63" s="1180">
        <f>+'Table 5C1A-Madison Prep'!F63</f>
        <v>764.51</v>
      </c>
      <c r="G63" s="1180">
        <f t="shared" si="6"/>
        <v>9174.119999999999</v>
      </c>
      <c r="H63" s="1539">
        <f t="shared" si="7"/>
        <v>64686.02757507682</v>
      </c>
      <c r="I63" s="1181"/>
      <c r="J63" s="1181"/>
      <c r="K63" s="1182">
        <f t="shared" si="8"/>
        <v>0</v>
      </c>
      <c r="L63" s="1539">
        <f t="shared" si="9"/>
        <v>64686.02757507682</v>
      </c>
      <c r="M63" s="1388">
        <f t="shared" si="4"/>
        <v>-161.71506893769205</v>
      </c>
      <c r="N63" s="1539">
        <f t="shared" si="10"/>
        <v>64524.312506139126</v>
      </c>
      <c r="O63" s="1179">
        <v>0</v>
      </c>
      <c r="P63" s="1545">
        <f t="shared" si="11"/>
        <v>64524.312506139126</v>
      </c>
      <c r="Q63" s="1181"/>
      <c r="R63" s="1181">
        <f t="shared" si="12"/>
        <v>64524.312506139126</v>
      </c>
      <c r="S63" s="1545">
        <f t="shared" si="13"/>
        <v>5377</v>
      </c>
      <c r="T63" s="1545">
        <f t="shared" si="14"/>
        <v>64524.312506139126</v>
      </c>
      <c r="U63" s="1389">
        <f>'Table 5C1A-Madison Prep'!U63</f>
        <v>3395</v>
      </c>
      <c r="V63" s="1515">
        <f t="shared" si="15"/>
        <v>40740</v>
      </c>
      <c r="W63" s="1391"/>
      <c r="X63" s="1392">
        <f t="shared" si="16"/>
        <v>0</v>
      </c>
      <c r="Y63" s="1391"/>
      <c r="Z63" s="1392">
        <f t="shared" si="17"/>
        <v>0</v>
      </c>
      <c r="AA63" s="1390">
        <f t="shared" si="18"/>
        <v>0</v>
      </c>
      <c r="AB63" s="1510">
        <f t="shared" si="19"/>
        <v>40740</v>
      </c>
      <c r="AC63" s="1394">
        <f t="shared" si="20"/>
        <v>-101.85000000000001</v>
      </c>
      <c r="AD63" s="1510">
        <f t="shared" si="21"/>
        <v>40638.15</v>
      </c>
      <c r="AE63" s="1395">
        <v>0</v>
      </c>
      <c r="AF63" s="1510">
        <f t="shared" si="22"/>
        <v>40638.15</v>
      </c>
      <c r="AG63" s="1395"/>
      <c r="AH63" s="1395">
        <f t="shared" si="23"/>
        <v>40638.15</v>
      </c>
      <c r="AI63" s="1510">
        <f t="shared" si="24"/>
        <v>3387</v>
      </c>
      <c r="AJ63" s="1505">
        <f t="shared" si="25"/>
        <v>105162.46250613913</v>
      </c>
      <c r="AK63" s="1535">
        <f t="shared" si="26"/>
        <v>8764</v>
      </c>
    </row>
    <row r="64" spans="1:37" ht="16.2" customHeight="1">
      <c r="A64" s="1176">
        <v>58</v>
      </c>
      <c r="B64" s="1177" t="s">
        <v>137</v>
      </c>
      <c r="C64" s="1178">
        <v>0</v>
      </c>
      <c r="D64" s="1179">
        <f>+'Table 5C1A-Madison Prep'!D64</f>
        <v>5673.1129637882123</v>
      </c>
      <c r="E64" s="1180">
        <f t="shared" si="5"/>
        <v>0</v>
      </c>
      <c r="F64" s="1180">
        <f>+'Table 5C1A-Madison Prep'!F64</f>
        <v>697.04</v>
      </c>
      <c r="G64" s="1180">
        <f t="shared" si="6"/>
        <v>0</v>
      </c>
      <c r="H64" s="1539">
        <f t="shared" si="7"/>
        <v>0</v>
      </c>
      <c r="I64" s="1181"/>
      <c r="J64" s="1181"/>
      <c r="K64" s="1182">
        <f t="shared" si="8"/>
        <v>0</v>
      </c>
      <c r="L64" s="1539">
        <f t="shared" si="9"/>
        <v>0</v>
      </c>
      <c r="M64" s="1388">
        <f t="shared" si="4"/>
        <v>0</v>
      </c>
      <c r="N64" s="1539">
        <f t="shared" si="10"/>
        <v>0</v>
      </c>
      <c r="O64" s="1179">
        <v>0</v>
      </c>
      <c r="P64" s="1545">
        <f t="shared" si="11"/>
        <v>0</v>
      </c>
      <c r="Q64" s="1181"/>
      <c r="R64" s="1181">
        <f t="shared" si="12"/>
        <v>0</v>
      </c>
      <c r="S64" s="1545">
        <f t="shared" si="13"/>
        <v>0</v>
      </c>
      <c r="T64" s="1545">
        <f t="shared" si="14"/>
        <v>0</v>
      </c>
      <c r="U64" s="1389">
        <f>'Table 5C1A-Madison Prep'!U64</f>
        <v>2084</v>
      </c>
      <c r="V64" s="1515">
        <f t="shared" si="15"/>
        <v>0</v>
      </c>
      <c r="W64" s="1391"/>
      <c r="X64" s="1392">
        <f t="shared" si="16"/>
        <v>0</v>
      </c>
      <c r="Y64" s="1391"/>
      <c r="Z64" s="1392">
        <f t="shared" si="17"/>
        <v>0</v>
      </c>
      <c r="AA64" s="1390">
        <f t="shared" si="18"/>
        <v>0</v>
      </c>
      <c r="AB64" s="1510">
        <f t="shared" si="19"/>
        <v>0</v>
      </c>
      <c r="AC64" s="1394">
        <f t="shared" si="20"/>
        <v>0</v>
      </c>
      <c r="AD64" s="1510">
        <f t="shared" si="21"/>
        <v>0</v>
      </c>
      <c r="AE64" s="1395">
        <v>0</v>
      </c>
      <c r="AF64" s="1510">
        <f t="shared" si="22"/>
        <v>0</v>
      </c>
      <c r="AG64" s="1395"/>
      <c r="AH64" s="1395">
        <f t="shared" si="23"/>
        <v>0</v>
      </c>
      <c r="AI64" s="1510">
        <f t="shared" si="24"/>
        <v>0</v>
      </c>
      <c r="AJ64" s="1505">
        <f t="shared" si="25"/>
        <v>0</v>
      </c>
      <c r="AK64" s="1535">
        <f t="shared" si="26"/>
        <v>0</v>
      </c>
    </row>
    <row r="65" spans="1:37" ht="16.2" customHeight="1">
      <c r="A65" s="1176">
        <v>59</v>
      </c>
      <c r="B65" s="1177" t="s">
        <v>138</v>
      </c>
      <c r="C65" s="1178">
        <v>0</v>
      </c>
      <c r="D65" s="1179">
        <f>+'Table 5C1A-Madison Prep'!D65</f>
        <v>6621.946293521848</v>
      </c>
      <c r="E65" s="1180">
        <f t="shared" si="5"/>
        <v>0</v>
      </c>
      <c r="F65" s="1180">
        <f>+'Table 5C1A-Madison Prep'!F65</f>
        <v>689.52</v>
      </c>
      <c r="G65" s="1180">
        <f t="shared" si="6"/>
        <v>0</v>
      </c>
      <c r="H65" s="1539">
        <f t="shared" si="7"/>
        <v>0</v>
      </c>
      <c r="I65" s="1181"/>
      <c r="J65" s="1181"/>
      <c r="K65" s="1182">
        <f t="shared" si="8"/>
        <v>0</v>
      </c>
      <c r="L65" s="1539">
        <f t="shared" si="9"/>
        <v>0</v>
      </c>
      <c r="M65" s="1388">
        <f t="shared" si="4"/>
        <v>0</v>
      </c>
      <c r="N65" s="1539">
        <f t="shared" si="10"/>
        <v>0</v>
      </c>
      <c r="O65" s="1179">
        <v>0</v>
      </c>
      <c r="P65" s="1545">
        <f t="shared" si="11"/>
        <v>0</v>
      </c>
      <c r="Q65" s="1181"/>
      <c r="R65" s="1181">
        <f t="shared" si="12"/>
        <v>0</v>
      </c>
      <c r="S65" s="1545">
        <f t="shared" si="13"/>
        <v>0</v>
      </c>
      <c r="T65" s="1545">
        <f t="shared" si="14"/>
        <v>0</v>
      </c>
      <c r="U65" s="1389">
        <f>'Table 5C1A-Madison Prep'!U65</f>
        <v>1577</v>
      </c>
      <c r="V65" s="1515">
        <f t="shared" si="15"/>
        <v>0</v>
      </c>
      <c r="W65" s="1391"/>
      <c r="X65" s="1392">
        <f t="shared" si="16"/>
        <v>0</v>
      </c>
      <c r="Y65" s="1391"/>
      <c r="Z65" s="1392">
        <f t="shared" si="17"/>
        <v>0</v>
      </c>
      <c r="AA65" s="1390">
        <f t="shared" si="18"/>
        <v>0</v>
      </c>
      <c r="AB65" s="1510">
        <f t="shared" si="19"/>
        <v>0</v>
      </c>
      <c r="AC65" s="1394">
        <f t="shared" si="20"/>
        <v>0</v>
      </c>
      <c r="AD65" s="1510">
        <f t="shared" si="21"/>
        <v>0</v>
      </c>
      <c r="AE65" s="1395">
        <v>0</v>
      </c>
      <c r="AF65" s="1510">
        <f t="shared" si="22"/>
        <v>0</v>
      </c>
      <c r="AG65" s="1395"/>
      <c r="AH65" s="1395">
        <f t="shared" si="23"/>
        <v>0</v>
      </c>
      <c r="AI65" s="1510">
        <f t="shared" si="24"/>
        <v>0</v>
      </c>
      <c r="AJ65" s="1505">
        <f t="shared" si="25"/>
        <v>0</v>
      </c>
      <c r="AK65" s="1535">
        <f t="shared" si="26"/>
        <v>0</v>
      </c>
    </row>
    <row r="66" spans="1:37" ht="16.2" customHeight="1">
      <c r="A66" s="1168">
        <v>60</v>
      </c>
      <c r="B66" s="1169" t="s">
        <v>139</v>
      </c>
      <c r="C66" s="1170">
        <v>0</v>
      </c>
      <c r="D66" s="1171">
        <f>+'Table 5C1A-Madison Prep'!D66</f>
        <v>5301.224090063828</v>
      </c>
      <c r="E66" s="1172">
        <f t="shared" si="5"/>
        <v>0</v>
      </c>
      <c r="F66" s="1172">
        <f>+'Table 5C1A-Madison Prep'!F66</f>
        <v>594.04</v>
      </c>
      <c r="G66" s="1172">
        <f t="shared" si="6"/>
        <v>0</v>
      </c>
      <c r="H66" s="1540">
        <f t="shared" si="7"/>
        <v>0</v>
      </c>
      <c r="I66" s="1173"/>
      <c r="J66" s="1173"/>
      <c r="K66" s="1174">
        <f t="shared" si="8"/>
        <v>0</v>
      </c>
      <c r="L66" s="1540">
        <f t="shared" si="9"/>
        <v>0</v>
      </c>
      <c r="M66" s="1399">
        <f t="shared" si="4"/>
        <v>0</v>
      </c>
      <c r="N66" s="1540">
        <f t="shared" si="10"/>
        <v>0</v>
      </c>
      <c r="O66" s="1171">
        <v>0</v>
      </c>
      <c r="P66" s="1546">
        <f t="shared" si="11"/>
        <v>0</v>
      </c>
      <c r="Q66" s="1173"/>
      <c r="R66" s="1173">
        <f t="shared" si="12"/>
        <v>0</v>
      </c>
      <c r="S66" s="1546">
        <f t="shared" si="13"/>
        <v>0</v>
      </c>
      <c r="T66" s="1546">
        <f t="shared" si="14"/>
        <v>0</v>
      </c>
      <c r="U66" s="1382">
        <f>'Table 5C1A-Madison Prep'!U66</f>
        <v>3922</v>
      </c>
      <c r="V66" s="1516">
        <f t="shared" si="15"/>
        <v>0</v>
      </c>
      <c r="W66" s="1400"/>
      <c r="X66" s="1383">
        <f t="shared" si="16"/>
        <v>0</v>
      </c>
      <c r="Y66" s="1400"/>
      <c r="Z66" s="1383">
        <f t="shared" si="17"/>
        <v>0</v>
      </c>
      <c r="AA66" s="1384">
        <f t="shared" si="18"/>
        <v>0</v>
      </c>
      <c r="AB66" s="1511">
        <f t="shared" si="19"/>
        <v>0</v>
      </c>
      <c r="AC66" s="1402">
        <f t="shared" si="20"/>
        <v>0</v>
      </c>
      <c r="AD66" s="1511">
        <f t="shared" si="21"/>
        <v>0</v>
      </c>
      <c r="AE66" s="1385">
        <v>0</v>
      </c>
      <c r="AF66" s="1511">
        <f t="shared" si="22"/>
        <v>0</v>
      </c>
      <c r="AG66" s="1385"/>
      <c r="AH66" s="1385">
        <f t="shared" si="23"/>
        <v>0</v>
      </c>
      <c r="AI66" s="1511">
        <f t="shared" si="24"/>
        <v>0</v>
      </c>
      <c r="AJ66" s="1531">
        <f t="shared" si="25"/>
        <v>0</v>
      </c>
      <c r="AK66" s="1536">
        <f t="shared" si="26"/>
        <v>0</v>
      </c>
    </row>
    <row r="67" spans="1:37" ht="16.2" customHeight="1">
      <c r="A67" s="1183">
        <v>61</v>
      </c>
      <c r="B67" s="1184" t="s">
        <v>140</v>
      </c>
      <c r="C67" s="1185">
        <v>0</v>
      </c>
      <c r="D67" s="1186">
        <f>+'Table 5C1A-Madison Prep'!D67</f>
        <v>2854.1575356369185</v>
      </c>
      <c r="E67" s="1187">
        <f t="shared" si="5"/>
        <v>0</v>
      </c>
      <c r="F67" s="1187">
        <f>+'Table 5C1A-Madison Prep'!F67</f>
        <v>833.70999999999992</v>
      </c>
      <c r="G67" s="1187">
        <f t="shared" si="6"/>
        <v>0</v>
      </c>
      <c r="H67" s="1538">
        <f t="shared" si="7"/>
        <v>0</v>
      </c>
      <c r="I67" s="1188"/>
      <c r="J67" s="1188"/>
      <c r="K67" s="1189">
        <f t="shared" si="8"/>
        <v>0</v>
      </c>
      <c r="L67" s="1538">
        <f t="shared" si="9"/>
        <v>0</v>
      </c>
      <c r="M67" s="1372">
        <f t="shared" si="4"/>
        <v>0</v>
      </c>
      <c r="N67" s="1538">
        <f t="shared" si="10"/>
        <v>0</v>
      </c>
      <c r="O67" s="1186">
        <v>0</v>
      </c>
      <c r="P67" s="1544">
        <f t="shared" si="11"/>
        <v>0</v>
      </c>
      <c r="Q67" s="1188"/>
      <c r="R67" s="1188">
        <f t="shared" si="12"/>
        <v>0</v>
      </c>
      <c r="S67" s="1544">
        <f t="shared" si="13"/>
        <v>0</v>
      </c>
      <c r="T67" s="1544">
        <f t="shared" si="14"/>
        <v>0</v>
      </c>
      <c r="U67" s="1373">
        <f>'Table 5C1A-Madison Prep'!U67</f>
        <v>6745</v>
      </c>
      <c r="V67" s="1514">
        <f t="shared" si="15"/>
        <v>0</v>
      </c>
      <c r="W67" s="1375"/>
      <c r="X67" s="1376">
        <f t="shared" si="16"/>
        <v>0</v>
      </c>
      <c r="Y67" s="1375"/>
      <c r="Z67" s="1376">
        <f t="shared" si="17"/>
        <v>0</v>
      </c>
      <c r="AA67" s="1374">
        <f t="shared" si="18"/>
        <v>0</v>
      </c>
      <c r="AB67" s="1509">
        <f t="shared" si="19"/>
        <v>0</v>
      </c>
      <c r="AC67" s="1378">
        <f t="shared" si="20"/>
        <v>0</v>
      </c>
      <c r="AD67" s="1509">
        <f t="shared" si="21"/>
        <v>0</v>
      </c>
      <c r="AE67" s="1379">
        <v>0</v>
      </c>
      <c r="AF67" s="1509">
        <f t="shared" si="22"/>
        <v>0</v>
      </c>
      <c r="AG67" s="1379"/>
      <c r="AH67" s="1379">
        <f t="shared" si="23"/>
        <v>0</v>
      </c>
      <c r="AI67" s="1509">
        <f t="shared" si="24"/>
        <v>0</v>
      </c>
      <c r="AJ67" s="1530">
        <f t="shared" si="25"/>
        <v>0</v>
      </c>
      <c r="AK67" s="1534">
        <f t="shared" si="26"/>
        <v>0</v>
      </c>
    </row>
    <row r="68" spans="1:37" ht="16.2" customHeight="1">
      <c r="A68" s="1176">
        <v>62</v>
      </c>
      <c r="B68" s="1177" t="s">
        <v>141</v>
      </c>
      <c r="C68" s="1178">
        <v>0</v>
      </c>
      <c r="D68" s="1179">
        <f>+'Table 5C1A-Madison Prep'!D68</f>
        <v>5901.074538516008</v>
      </c>
      <c r="E68" s="1180">
        <f t="shared" si="5"/>
        <v>0</v>
      </c>
      <c r="F68" s="1180">
        <f>+'Table 5C1A-Madison Prep'!F68</f>
        <v>516.08000000000004</v>
      </c>
      <c r="G68" s="1180">
        <f t="shared" si="6"/>
        <v>0</v>
      </c>
      <c r="H68" s="1539">
        <f t="shared" si="7"/>
        <v>0</v>
      </c>
      <c r="I68" s="1181"/>
      <c r="J68" s="1181"/>
      <c r="K68" s="1182">
        <f t="shared" si="8"/>
        <v>0</v>
      </c>
      <c r="L68" s="1539">
        <f t="shared" si="9"/>
        <v>0</v>
      </c>
      <c r="M68" s="1388">
        <f t="shared" si="4"/>
        <v>0</v>
      </c>
      <c r="N68" s="1539">
        <f t="shared" si="10"/>
        <v>0</v>
      </c>
      <c r="O68" s="1179">
        <v>0</v>
      </c>
      <c r="P68" s="1545">
        <f t="shared" si="11"/>
        <v>0</v>
      </c>
      <c r="Q68" s="1181"/>
      <c r="R68" s="1181">
        <f t="shared" si="12"/>
        <v>0</v>
      </c>
      <c r="S68" s="1545">
        <f t="shared" si="13"/>
        <v>0</v>
      </c>
      <c r="T68" s="1545">
        <f t="shared" si="14"/>
        <v>0</v>
      </c>
      <c r="U68" s="1389">
        <f>'Table 5C1A-Madison Prep'!U68</f>
        <v>1908</v>
      </c>
      <c r="V68" s="1515">
        <f t="shared" si="15"/>
        <v>0</v>
      </c>
      <c r="W68" s="1391"/>
      <c r="X68" s="1392">
        <f t="shared" si="16"/>
        <v>0</v>
      </c>
      <c r="Y68" s="1391"/>
      <c r="Z68" s="1392">
        <f t="shared" si="17"/>
        <v>0</v>
      </c>
      <c r="AA68" s="1390">
        <f t="shared" si="18"/>
        <v>0</v>
      </c>
      <c r="AB68" s="1510">
        <f t="shared" si="19"/>
        <v>0</v>
      </c>
      <c r="AC68" s="1394">
        <f t="shared" si="20"/>
        <v>0</v>
      </c>
      <c r="AD68" s="1510">
        <f t="shared" si="21"/>
        <v>0</v>
      </c>
      <c r="AE68" s="1395">
        <v>0</v>
      </c>
      <c r="AF68" s="1510">
        <f t="shared" si="22"/>
        <v>0</v>
      </c>
      <c r="AG68" s="1395"/>
      <c r="AH68" s="1395">
        <f t="shared" si="23"/>
        <v>0</v>
      </c>
      <c r="AI68" s="1510">
        <f t="shared" si="24"/>
        <v>0</v>
      </c>
      <c r="AJ68" s="1505">
        <f t="shared" si="25"/>
        <v>0</v>
      </c>
      <c r="AK68" s="1535">
        <f t="shared" si="26"/>
        <v>0</v>
      </c>
    </row>
    <row r="69" spans="1:37" ht="16.2" customHeight="1">
      <c r="A69" s="1176">
        <v>63</v>
      </c>
      <c r="B69" s="1177" t="s">
        <v>142</v>
      </c>
      <c r="C69" s="1178">
        <v>0</v>
      </c>
      <c r="D69" s="1179">
        <f>+'Table 5C1A-Madison Prep'!D69</f>
        <v>4124.3813481848092</v>
      </c>
      <c r="E69" s="1180">
        <f t="shared" si="5"/>
        <v>0</v>
      </c>
      <c r="F69" s="1180">
        <f>+'Table 5C1A-Madison Prep'!F69</f>
        <v>756.79</v>
      </c>
      <c r="G69" s="1180">
        <f t="shared" si="6"/>
        <v>0</v>
      </c>
      <c r="H69" s="1539">
        <f t="shared" si="7"/>
        <v>0</v>
      </c>
      <c r="I69" s="1181"/>
      <c r="J69" s="1181"/>
      <c r="K69" s="1182">
        <f t="shared" si="8"/>
        <v>0</v>
      </c>
      <c r="L69" s="1539">
        <f t="shared" si="9"/>
        <v>0</v>
      </c>
      <c r="M69" s="1388">
        <f t="shared" si="4"/>
        <v>0</v>
      </c>
      <c r="N69" s="1539">
        <f t="shared" si="10"/>
        <v>0</v>
      </c>
      <c r="O69" s="1179">
        <v>0</v>
      </c>
      <c r="P69" s="1545">
        <f t="shared" si="11"/>
        <v>0</v>
      </c>
      <c r="Q69" s="1181"/>
      <c r="R69" s="1181">
        <f t="shared" si="12"/>
        <v>0</v>
      </c>
      <c r="S69" s="1545">
        <f t="shared" si="13"/>
        <v>0</v>
      </c>
      <c r="T69" s="1545">
        <f t="shared" si="14"/>
        <v>0</v>
      </c>
      <c r="U69" s="1389">
        <f>'Table 5C1A-Madison Prep'!U69</f>
        <v>7290</v>
      </c>
      <c r="V69" s="1515">
        <f t="shared" si="15"/>
        <v>0</v>
      </c>
      <c r="W69" s="1391"/>
      <c r="X69" s="1392">
        <f t="shared" si="16"/>
        <v>0</v>
      </c>
      <c r="Y69" s="1391"/>
      <c r="Z69" s="1392">
        <f t="shared" si="17"/>
        <v>0</v>
      </c>
      <c r="AA69" s="1390">
        <f t="shared" si="18"/>
        <v>0</v>
      </c>
      <c r="AB69" s="1510">
        <f t="shared" si="19"/>
        <v>0</v>
      </c>
      <c r="AC69" s="1394">
        <f t="shared" si="20"/>
        <v>0</v>
      </c>
      <c r="AD69" s="1510">
        <f t="shared" si="21"/>
        <v>0</v>
      </c>
      <c r="AE69" s="1395">
        <v>0</v>
      </c>
      <c r="AF69" s="1510">
        <f t="shared" si="22"/>
        <v>0</v>
      </c>
      <c r="AG69" s="1395"/>
      <c r="AH69" s="1395">
        <f t="shared" si="23"/>
        <v>0</v>
      </c>
      <c r="AI69" s="1510">
        <f t="shared" si="24"/>
        <v>0</v>
      </c>
      <c r="AJ69" s="1505">
        <f t="shared" si="25"/>
        <v>0</v>
      </c>
      <c r="AK69" s="1535">
        <f t="shared" si="26"/>
        <v>0</v>
      </c>
    </row>
    <row r="70" spans="1:37" ht="16.2" customHeight="1">
      <c r="A70" s="1176">
        <v>64</v>
      </c>
      <c r="B70" s="1177" t="s">
        <v>143</v>
      </c>
      <c r="C70" s="1178">
        <v>0</v>
      </c>
      <c r="D70" s="1179">
        <f>+'Table 5C1A-Madison Prep'!D70</f>
        <v>6277.8307532778254</v>
      </c>
      <c r="E70" s="1180">
        <f t="shared" si="5"/>
        <v>0</v>
      </c>
      <c r="F70" s="1180">
        <f>+'Table 5C1A-Madison Prep'!F70</f>
        <v>592.66</v>
      </c>
      <c r="G70" s="1180">
        <f t="shared" si="6"/>
        <v>0</v>
      </c>
      <c r="H70" s="1539">
        <f t="shared" si="7"/>
        <v>0</v>
      </c>
      <c r="I70" s="1181"/>
      <c r="J70" s="1181"/>
      <c r="K70" s="1182">
        <f t="shared" si="8"/>
        <v>0</v>
      </c>
      <c r="L70" s="1539">
        <f t="shared" si="9"/>
        <v>0</v>
      </c>
      <c r="M70" s="1388">
        <f t="shared" si="4"/>
        <v>0</v>
      </c>
      <c r="N70" s="1539">
        <f t="shared" si="10"/>
        <v>0</v>
      </c>
      <c r="O70" s="1179">
        <v>0</v>
      </c>
      <c r="P70" s="1545">
        <f t="shared" si="11"/>
        <v>0</v>
      </c>
      <c r="Q70" s="1181"/>
      <c r="R70" s="1181">
        <f t="shared" si="12"/>
        <v>0</v>
      </c>
      <c r="S70" s="1545">
        <f t="shared" si="13"/>
        <v>0</v>
      </c>
      <c r="T70" s="1545">
        <f t="shared" si="14"/>
        <v>0</v>
      </c>
      <c r="U70" s="1389">
        <f>'Table 5C1A-Madison Prep'!U70</f>
        <v>2721</v>
      </c>
      <c r="V70" s="1515">
        <f t="shared" si="15"/>
        <v>0</v>
      </c>
      <c r="W70" s="1391"/>
      <c r="X70" s="1392">
        <f t="shared" si="16"/>
        <v>0</v>
      </c>
      <c r="Y70" s="1391"/>
      <c r="Z70" s="1392">
        <f t="shared" si="17"/>
        <v>0</v>
      </c>
      <c r="AA70" s="1390">
        <f t="shared" si="18"/>
        <v>0</v>
      </c>
      <c r="AB70" s="1510">
        <f t="shared" si="19"/>
        <v>0</v>
      </c>
      <c r="AC70" s="1394">
        <f t="shared" si="20"/>
        <v>0</v>
      </c>
      <c r="AD70" s="1510">
        <f t="shared" si="21"/>
        <v>0</v>
      </c>
      <c r="AE70" s="1395">
        <v>0</v>
      </c>
      <c r="AF70" s="1510">
        <f t="shared" si="22"/>
        <v>0</v>
      </c>
      <c r="AG70" s="1395"/>
      <c r="AH70" s="1395">
        <f t="shared" si="23"/>
        <v>0</v>
      </c>
      <c r="AI70" s="1510">
        <f t="shared" si="24"/>
        <v>0</v>
      </c>
      <c r="AJ70" s="1505">
        <f t="shared" si="25"/>
        <v>0</v>
      </c>
      <c r="AK70" s="1535">
        <f t="shared" si="26"/>
        <v>0</v>
      </c>
    </row>
    <row r="71" spans="1:37" ht="16.2" customHeight="1">
      <c r="A71" s="1168">
        <v>65</v>
      </c>
      <c r="B71" s="1169" t="s">
        <v>144</v>
      </c>
      <c r="C71" s="1170">
        <v>0</v>
      </c>
      <c r="D71" s="1171">
        <f>+'Table 5C1A-Madison Prep'!D71</f>
        <v>4775.1605543943642</v>
      </c>
      <c r="E71" s="1172">
        <f t="shared" si="5"/>
        <v>0</v>
      </c>
      <c r="F71" s="1172">
        <f>+'Table 5C1A-Madison Prep'!F71</f>
        <v>829.12</v>
      </c>
      <c r="G71" s="1172">
        <f t="shared" si="6"/>
        <v>0</v>
      </c>
      <c r="H71" s="1540">
        <f t="shared" si="7"/>
        <v>0</v>
      </c>
      <c r="I71" s="1173"/>
      <c r="J71" s="1173"/>
      <c r="K71" s="1174">
        <f t="shared" si="8"/>
        <v>0</v>
      </c>
      <c r="L71" s="1540">
        <f t="shared" si="9"/>
        <v>0</v>
      </c>
      <c r="M71" s="1399">
        <f t="shared" ref="M71:M73" si="27">-(0.25%*L71)</f>
        <v>0</v>
      </c>
      <c r="N71" s="1540">
        <f t="shared" si="10"/>
        <v>0</v>
      </c>
      <c r="O71" s="1171">
        <v>0</v>
      </c>
      <c r="P71" s="1546">
        <f t="shared" si="11"/>
        <v>0</v>
      </c>
      <c r="Q71" s="1173"/>
      <c r="R71" s="1173">
        <f t="shared" si="12"/>
        <v>0</v>
      </c>
      <c r="S71" s="1546">
        <f t="shared" si="13"/>
        <v>0</v>
      </c>
      <c r="T71" s="1546">
        <f t="shared" si="14"/>
        <v>0</v>
      </c>
      <c r="U71" s="1382">
        <f>'Table 5C1A-Madison Prep'!U71</f>
        <v>5110</v>
      </c>
      <c r="V71" s="1516">
        <f t="shared" si="15"/>
        <v>0</v>
      </c>
      <c r="W71" s="1400"/>
      <c r="X71" s="1383">
        <f t="shared" si="16"/>
        <v>0</v>
      </c>
      <c r="Y71" s="1400"/>
      <c r="Z71" s="1383">
        <f t="shared" si="17"/>
        <v>0</v>
      </c>
      <c r="AA71" s="1384">
        <f t="shared" si="18"/>
        <v>0</v>
      </c>
      <c r="AB71" s="1511">
        <f t="shared" si="19"/>
        <v>0</v>
      </c>
      <c r="AC71" s="1402">
        <f t="shared" si="20"/>
        <v>0</v>
      </c>
      <c r="AD71" s="1511">
        <f t="shared" si="21"/>
        <v>0</v>
      </c>
      <c r="AE71" s="1385">
        <v>0</v>
      </c>
      <c r="AF71" s="1511">
        <f t="shared" si="22"/>
        <v>0</v>
      </c>
      <c r="AG71" s="1385"/>
      <c r="AH71" s="1385">
        <f t="shared" si="23"/>
        <v>0</v>
      </c>
      <c r="AI71" s="1511">
        <f t="shared" si="24"/>
        <v>0</v>
      </c>
      <c r="AJ71" s="1531">
        <f t="shared" si="25"/>
        <v>0</v>
      </c>
      <c r="AK71" s="1536">
        <f t="shared" si="26"/>
        <v>0</v>
      </c>
    </row>
    <row r="72" spans="1:37" ht="16.2" customHeight="1">
      <c r="A72" s="1176">
        <v>66</v>
      </c>
      <c r="B72" s="1177" t="s">
        <v>145</v>
      </c>
      <c r="C72" s="1197">
        <v>0</v>
      </c>
      <c r="D72" s="1198">
        <f>+'Table 5C1A-Madison Prep'!D72</f>
        <v>6564.0085433910035</v>
      </c>
      <c r="E72" s="1199">
        <f t="shared" ref="E72:E75" si="28">C72*D72</f>
        <v>0</v>
      </c>
      <c r="F72" s="1199">
        <f>+'Table 5C1A-Madison Prep'!F72</f>
        <v>730.06</v>
      </c>
      <c r="G72" s="1199">
        <f t="shared" ref="G72:G75" si="29">C72*F72</f>
        <v>0</v>
      </c>
      <c r="H72" s="1403">
        <f t="shared" ref="H72:H75" si="30">E72+G72</f>
        <v>0</v>
      </c>
      <c r="I72" s="1200"/>
      <c r="J72" s="1200"/>
      <c r="K72" s="1201">
        <f t="shared" ref="K72:K75" si="31">+I72+J72</f>
        <v>0</v>
      </c>
      <c r="L72" s="1403">
        <f t="shared" ref="L72:L75" si="32">+H72+K72</f>
        <v>0</v>
      </c>
      <c r="M72" s="1423">
        <f t="shared" si="27"/>
        <v>0</v>
      </c>
      <c r="N72" s="1403">
        <f t="shared" ref="N72:N75" si="33">SUM(L72:M72)</f>
        <v>0</v>
      </c>
      <c r="O72" s="1198">
        <v>0</v>
      </c>
      <c r="P72" s="1398">
        <f t="shared" ref="P72:P75" si="34">SUM(N72:O72)</f>
        <v>0</v>
      </c>
      <c r="Q72" s="1200"/>
      <c r="R72" s="1200">
        <f t="shared" ref="R72:R75" si="35">+P72-Q72</f>
        <v>0</v>
      </c>
      <c r="S72" s="1398">
        <f t="shared" ref="S72:S75" si="36">ROUND(R72/12,0)</f>
        <v>0</v>
      </c>
      <c r="T72" s="1398">
        <f t="shared" ref="T72:T75" si="37">+P72</f>
        <v>0</v>
      </c>
      <c r="U72" s="1389">
        <f>'Table 5C1A-Madison Prep'!U72</f>
        <v>3369</v>
      </c>
      <c r="V72" s="1515">
        <f t="shared" ref="V72:V75" si="38">C72*U72</f>
        <v>0</v>
      </c>
      <c r="W72" s="1391"/>
      <c r="X72" s="1392">
        <f t="shared" ref="X72:X75" si="39">+U72*W72</f>
        <v>0</v>
      </c>
      <c r="Y72" s="1391"/>
      <c r="Z72" s="1392">
        <f t="shared" ref="Z72:Z75" si="40">+U72*Y72*0.5</f>
        <v>0</v>
      </c>
      <c r="AA72" s="1390">
        <f t="shared" ref="AA72:AA75" si="41">+X72+Z72</f>
        <v>0</v>
      </c>
      <c r="AB72" s="1510">
        <f t="shared" ref="AB72:AB75" si="42">+V72+AA72</f>
        <v>0</v>
      </c>
      <c r="AC72" s="1394">
        <f t="shared" ref="AC72:AC75" si="43">-(0.25%*AB72)</f>
        <v>0</v>
      </c>
      <c r="AD72" s="1510">
        <f t="shared" ref="AD72:AD75" si="44">SUM(AB72:AC72)</f>
        <v>0</v>
      </c>
      <c r="AE72" s="1395">
        <v>0</v>
      </c>
      <c r="AF72" s="1510">
        <f t="shared" ref="AF72:AF75" si="45">SUM(AD72:AE72)</f>
        <v>0</v>
      </c>
      <c r="AG72" s="1395"/>
      <c r="AH72" s="1395">
        <f t="shared" ref="AH72:AH75" si="46">+AF72-AG72</f>
        <v>0</v>
      </c>
      <c r="AI72" s="1510">
        <f t="shared" ref="AI72:AI75" si="47">ROUND(AH72/12,0)</f>
        <v>0</v>
      </c>
      <c r="AJ72" s="1505">
        <f t="shared" ref="AJ72:AJ75" si="48">T72+AF72</f>
        <v>0</v>
      </c>
      <c r="AK72" s="1505">
        <f t="shared" ref="AK72:AK75" si="49">S72+AI72</f>
        <v>0</v>
      </c>
    </row>
    <row r="73" spans="1:37" ht="16.2" customHeight="1">
      <c r="A73" s="1176">
        <v>67</v>
      </c>
      <c r="B73" s="1177" t="s">
        <v>30</v>
      </c>
      <c r="C73" s="1197">
        <v>0</v>
      </c>
      <c r="D73" s="1198">
        <f>+'Table 5C1A-Madison Prep'!D73</f>
        <v>5029.1467736134118</v>
      </c>
      <c r="E73" s="1199">
        <f t="shared" si="28"/>
        <v>0</v>
      </c>
      <c r="F73" s="1199">
        <f>+'Table 5C1A-Madison Prep'!F73</f>
        <v>715.61</v>
      </c>
      <c r="G73" s="1199">
        <f t="shared" si="29"/>
        <v>0</v>
      </c>
      <c r="H73" s="1403">
        <f t="shared" si="30"/>
        <v>0</v>
      </c>
      <c r="I73" s="1200"/>
      <c r="J73" s="1200"/>
      <c r="K73" s="1201">
        <f t="shared" si="31"/>
        <v>0</v>
      </c>
      <c r="L73" s="1403">
        <f t="shared" si="32"/>
        <v>0</v>
      </c>
      <c r="M73" s="1423">
        <f t="shared" si="27"/>
        <v>0</v>
      </c>
      <c r="N73" s="1403">
        <f t="shared" si="33"/>
        <v>0</v>
      </c>
      <c r="O73" s="1198">
        <v>0</v>
      </c>
      <c r="P73" s="1398">
        <f t="shared" si="34"/>
        <v>0</v>
      </c>
      <c r="Q73" s="1200"/>
      <c r="R73" s="1200">
        <f t="shared" si="35"/>
        <v>0</v>
      </c>
      <c r="S73" s="1398">
        <f t="shared" si="36"/>
        <v>0</v>
      </c>
      <c r="T73" s="1398">
        <f t="shared" si="37"/>
        <v>0</v>
      </c>
      <c r="U73" s="1389">
        <f>'Table 5C1A-Madison Prep'!U73</f>
        <v>5015</v>
      </c>
      <c r="V73" s="1515">
        <f t="shared" si="38"/>
        <v>0</v>
      </c>
      <c r="W73" s="1391"/>
      <c r="X73" s="1392">
        <f t="shared" si="39"/>
        <v>0</v>
      </c>
      <c r="Y73" s="1391"/>
      <c r="Z73" s="1392">
        <f t="shared" si="40"/>
        <v>0</v>
      </c>
      <c r="AA73" s="1390">
        <f t="shared" si="41"/>
        <v>0</v>
      </c>
      <c r="AB73" s="1510">
        <f t="shared" si="42"/>
        <v>0</v>
      </c>
      <c r="AC73" s="1394">
        <f t="shared" si="43"/>
        <v>0</v>
      </c>
      <c r="AD73" s="1510">
        <f t="shared" si="44"/>
        <v>0</v>
      </c>
      <c r="AE73" s="1395">
        <v>0</v>
      </c>
      <c r="AF73" s="1510">
        <f t="shared" si="45"/>
        <v>0</v>
      </c>
      <c r="AG73" s="1395"/>
      <c r="AH73" s="1395">
        <f t="shared" si="46"/>
        <v>0</v>
      </c>
      <c r="AI73" s="1510">
        <f t="shared" si="47"/>
        <v>0</v>
      </c>
      <c r="AJ73" s="1505">
        <f t="shared" si="48"/>
        <v>0</v>
      </c>
      <c r="AK73" s="1505">
        <f t="shared" si="49"/>
        <v>0</v>
      </c>
    </row>
    <row r="74" spans="1:37" ht="16.2" customHeight="1">
      <c r="A74" s="1176">
        <v>68</v>
      </c>
      <c r="B74" s="1177" t="s">
        <v>28</v>
      </c>
      <c r="C74" s="1197">
        <v>0</v>
      </c>
      <c r="D74" s="1198">
        <f>+'Table 5C1A-Madison Prep'!D74</f>
        <v>6390.1644202560601</v>
      </c>
      <c r="E74" s="1199">
        <f t="shared" si="28"/>
        <v>0</v>
      </c>
      <c r="F74" s="1199">
        <f>+'Table 5C1A-Madison Prep'!F74</f>
        <v>798.7</v>
      </c>
      <c r="G74" s="1199">
        <f t="shared" si="29"/>
        <v>0</v>
      </c>
      <c r="H74" s="1403">
        <f t="shared" si="30"/>
        <v>0</v>
      </c>
      <c r="I74" s="1200"/>
      <c r="J74" s="1200"/>
      <c r="K74" s="1201">
        <f t="shared" si="31"/>
        <v>0</v>
      </c>
      <c r="L74" s="1403">
        <f t="shared" si="32"/>
        <v>0</v>
      </c>
      <c r="M74" s="1423">
        <f t="shared" ref="M74" si="50">-(0.25%*H74)</f>
        <v>0</v>
      </c>
      <c r="N74" s="1403">
        <f t="shared" si="33"/>
        <v>0</v>
      </c>
      <c r="O74" s="1198">
        <v>0</v>
      </c>
      <c r="P74" s="1398">
        <f t="shared" si="34"/>
        <v>0</v>
      </c>
      <c r="Q74" s="1200"/>
      <c r="R74" s="1200">
        <f t="shared" si="35"/>
        <v>0</v>
      </c>
      <c r="S74" s="1398">
        <f t="shared" si="36"/>
        <v>0</v>
      </c>
      <c r="T74" s="1398">
        <f t="shared" si="37"/>
        <v>0</v>
      </c>
      <c r="U74" s="1389">
        <f>'Table 5C1A-Madison Prep'!U74</f>
        <v>2669</v>
      </c>
      <c r="V74" s="1515">
        <f t="shared" si="38"/>
        <v>0</v>
      </c>
      <c r="W74" s="1391"/>
      <c r="X74" s="1392">
        <f t="shared" si="39"/>
        <v>0</v>
      </c>
      <c r="Y74" s="1391"/>
      <c r="Z74" s="1392">
        <f t="shared" si="40"/>
        <v>0</v>
      </c>
      <c r="AA74" s="1390">
        <f t="shared" si="41"/>
        <v>0</v>
      </c>
      <c r="AB74" s="1510">
        <f t="shared" si="42"/>
        <v>0</v>
      </c>
      <c r="AC74" s="1394">
        <f t="shared" si="43"/>
        <v>0</v>
      </c>
      <c r="AD74" s="1510">
        <f t="shared" si="44"/>
        <v>0</v>
      </c>
      <c r="AE74" s="1395">
        <v>0</v>
      </c>
      <c r="AF74" s="1510">
        <f t="shared" si="45"/>
        <v>0</v>
      </c>
      <c r="AG74" s="1395"/>
      <c r="AH74" s="1395">
        <f t="shared" si="46"/>
        <v>0</v>
      </c>
      <c r="AI74" s="1510">
        <f t="shared" si="47"/>
        <v>0</v>
      </c>
      <c r="AJ74" s="1505">
        <f t="shared" si="48"/>
        <v>0</v>
      </c>
      <c r="AK74" s="1505">
        <f t="shared" si="49"/>
        <v>0</v>
      </c>
    </row>
    <row r="75" spans="1:37" ht="16.2" customHeight="1">
      <c r="A75" s="1190">
        <v>69</v>
      </c>
      <c r="B75" s="1191" t="s">
        <v>183</v>
      </c>
      <c r="C75" s="1192">
        <v>0</v>
      </c>
      <c r="D75" s="1193">
        <f>+'Table 5C1A-Madison Prep'!D75</f>
        <v>5722.4947921281337</v>
      </c>
      <c r="E75" s="1194">
        <f t="shared" si="28"/>
        <v>0</v>
      </c>
      <c r="F75" s="1194">
        <f>+'Table 5C1A-Madison Prep'!F75</f>
        <v>705.67</v>
      </c>
      <c r="G75" s="1194">
        <f t="shared" si="29"/>
        <v>0</v>
      </c>
      <c r="H75" s="1541">
        <f t="shared" si="30"/>
        <v>0</v>
      </c>
      <c r="I75" s="1195"/>
      <c r="J75" s="1195"/>
      <c r="K75" s="1196">
        <f t="shared" si="31"/>
        <v>0</v>
      </c>
      <c r="L75" s="1541">
        <f t="shared" si="32"/>
        <v>0</v>
      </c>
      <c r="M75" s="1405">
        <f>-(0.25%*L75)</f>
        <v>0</v>
      </c>
      <c r="N75" s="1541">
        <f t="shared" si="33"/>
        <v>0</v>
      </c>
      <c r="O75" s="1193">
        <v>0</v>
      </c>
      <c r="P75" s="1547">
        <f t="shared" si="34"/>
        <v>0</v>
      </c>
      <c r="Q75" s="1195"/>
      <c r="R75" s="1195">
        <f t="shared" si="35"/>
        <v>0</v>
      </c>
      <c r="S75" s="1547">
        <f t="shared" si="36"/>
        <v>0</v>
      </c>
      <c r="T75" s="1547">
        <f t="shared" si="37"/>
        <v>0</v>
      </c>
      <c r="U75" s="653">
        <f>'Table 5C1A-Madison Prep'!U75</f>
        <v>3394</v>
      </c>
      <c r="V75" s="1517">
        <f t="shared" si="38"/>
        <v>0</v>
      </c>
      <c r="W75" s="1407"/>
      <c r="X75" s="1408">
        <f t="shared" si="39"/>
        <v>0</v>
      </c>
      <c r="Y75" s="1407"/>
      <c r="Z75" s="1408">
        <f t="shared" si="40"/>
        <v>0</v>
      </c>
      <c r="AA75" s="1406">
        <f t="shared" si="41"/>
        <v>0</v>
      </c>
      <c r="AB75" s="1512">
        <f t="shared" si="42"/>
        <v>0</v>
      </c>
      <c r="AC75" s="1410">
        <f t="shared" si="43"/>
        <v>0</v>
      </c>
      <c r="AD75" s="1512">
        <f t="shared" si="44"/>
        <v>0</v>
      </c>
      <c r="AE75" s="1416">
        <v>0</v>
      </c>
      <c r="AF75" s="1512">
        <f t="shared" si="45"/>
        <v>0</v>
      </c>
      <c r="AG75" s="1416"/>
      <c r="AH75" s="1416">
        <f t="shared" si="46"/>
        <v>0</v>
      </c>
      <c r="AI75" s="1512">
        <f t="shared" si="47"/>
        <v>0</v>
      </c>
      <c r="AJ75" s="1506">
        <f t="shared" si="48"/>
        <v>0</v>
      </c>
      <c r="AK75" s="1506">
        <f t="shared" si="49"/>
        <v>0</v>
      </c>
    </row>
    <row r="76" spans="1:37" ht="16.2" customHeight="1" thickBot="1">
      <c r="A76" s="2221" t="s">
        <v>1045</v>
      </c>
      <c r="B76" s="2194"/>
      <c r="C76" s="470">
        <f>SUM(C7:C75)</f>
        <v>591</v>
      </c>
      <c r="D76" s="471">
        <f>+'Table 5C1A-Madison Prep'!D76</f>
        <v>4479.9292126977662</v>
      </c>
      <c r="E76" s="480">
        <f>SUM(E7:E75)</f>
        <v>1914100.2831748412</v>
      </c>
      <c r="F76" s="480">
        <f>+'Table 5C1A-Madison Prep'!F76</f>
        <v>704.64781030742063</v>
      </c>
      <c r="G76" s="480">
        <f t="shared" ref="G76:R76" si="51">SUM(G7:G75)</f>
        <v>412158.83999999997</v>
      </c>
      <c r="H76" s="1542">
        <f t="shared" si="51"/>
        <v>2326259.1231748415</v>
      </c>
      <c r="I76" s="640">
        <f t="shared" si="51"/>
        <v>0</v>
      </c>
      <c r="J76" s="640">
        <f t="shared" si="51"/>
        <v>0</v>
      </c>
      <c r="K76" s="616">
        <f t="shared" si="51"/>
        <v>0</v>
      </c>
      <c r="L76" s="1560">
        <f t="shared" si="51"/>
        <v>2326259.1231748415</v>
      </c>
      <c r="M76" s="481">
        <f t="shared" si="51"/>
        <v>-5815.6478079371036</v>
      </c>
      <c r="N76" s="1542">
        <f t="shared" si="51"/>
        <v>2320443.4753669039</v>
      </c>
      <c r="O76" s="471">
        <f t="shared" si="51"/>
        <v>0</v>
      </c>
      <c r="P76" s="1548">
        <f t="shared" si="51"/>
        <v>2320443.4753669039</v>
      </c>
      <c r="Q76" s="640"/>
      <c r="R76" s="640">
        <f t="shared" si="51"/>
        <v>2320443.4753669039</v>
      </c>
      <c r="S76" s="1548">
        <f>SUM(S7:S75)</f>
        <v>193369</v>
      </c>
      <c r="T76" s="1548">
        <f>SUM(T7:T75)</f>
        <v>2320443.4753669039</v>
      </c>
      <c r="U76" s="658">
        <f>'Table 5C1A-Madison Prep'!U76</f>
        <v>4663</v>
      </c>
      <c r="V76" s="1518">
        <f t="shared" ref="V76:AK76" si="52">SUM(V7:V75)</f>
        <v>3324774</v>
      </c>
      <c r="W76" s="646">
        <f t="shared" si="52"/>
        <v>0</v>
      </c>
      <c r="X76" s="647">
        <f t="shared" si="52"/>
        <v>0</v>
      </c>
      <c r="Y76" s="646">
        <f t="shared" si="52"/>
        <v>0</v>
      </c>
      <c r="Z76" s="647">
        <f t="shared" si="52"/>
        <v>0</v>
      </c>
      <c r="AA76" s="633">
        <f t="shared" si="52"/>
        <v>0</v>
      </c>
      <c r="AB76" s="1520">
        <f t="shared" si="52"/>
        <v>3324774</v>
      </c>
      <c r="AC76" s="482">
        <f t="shared" si="52"/>
        <v>-8311.9349999999995</v>
      </c>
      <c r="AD76" s="1518">
        <f t="shared" si="52"/>
        <v>3316462.0649999999</v>
      </c>
      <c r="AE76" s="660">
        <f t="shared" si="52"/>
        <v>0</v>
      </c>
      <c r="AF76" s="1518">
        <f t="shared" si="52"/>
        <v>3316462.0649999999</v>
      </c>
      <c r="AG76" s="647">
        <f t="shared" si="52"/>
        <v>0</v>
      </c>
      <c r="AH76" s="647">
        <f t="shared" si="52"/>
        <v>3316462.0649999999</v>
      </c>
      <c r="AI76" s="1518">
        <f t="shared" si="52"/>
        <v>276372</v>
      </c>
      <c r="AJ76" s="1532">
        <f t="shared" si="52"/>
        <v>5636905.5403669039</v>
      </c>
      <c r="AK76" s="1532">
        <f t="shared" si="52"/>
        <v>469741</v>
      </c>
    </row>
    <row r="77" spans="1:37" ht="16.2" customHeight="1" thickTop="1">
      <c r="A77" s="2330" t="s">
        <v>1039</v>
      </c>
      <c r="B77" s="2338"/>
      <c r="C77" s="1425"/>
      <c r="D77" s="1198"/>
      <c r="E77" s="1198"/>
      <c r="F77" s="1198"/>
      <c r="G77" s="1198"/>
      <c r="H77" s="1198"/>
      <c r="I77" s="1200"/>
      <c r="J77" s="1200"/>
      <c r="K77" s="1200"/>
      <c r="L77" s="1198"/>
      <c r="M77" s="1200"/>
      <c r="N77" s="1198"/>
      <c r="O77" s="1198"/>
      <c r="P77" s="1398">
        <f>'Table 4 Level 4'!$E117</f>
        <v>0</v>
      </c>
      <c r="Q77" s="1200"/>
      <c r="R77" s="1200">
        <f t="shared" ref="R77" si="53">+P77-Q77</f>
        <v>0</v>
      </c>
      <c r="S77" s="1398">
        <f t="shared" ref="S77" si="54">ROUND(R77/12,0)</f>
        <v>0</v>
      </c>
      <c r="T77" s="1398">
        <f>'Table 4 Level 4'!$E117</f>
        <v>0</v>
      </c>
      <c r="U77" s="1389"/>
      <c r="V77" s="1392"/>
      <c r="W77" s="1391"/>
      <c r="X77" s="1392"/>
      <c r="Y77" s="1391"/>
      <c r="Z77" s="1392"/>
      <c r="AA77" s="1392"/>
      <c r="AB77" s="1395"/>
      <c r="AC77" s="1392"/>
      <c r="AD77" s="1395"/>
      <c r="AE77" s="1395"/>
      <c r="AF77" s="1395"/>
      <c r="AG77" s="1395"/>
      <c r="AH77" s="1395"/>
      <c r="AI77" s="1395"/>
      <c r="AJ77" s="1505">
        <f t="shared" ref="AJ77:AJ81" si="55">T77+AF77</f>
        <v>0</v>
      </c>
      <c r="AK77" s="1505">
        <f t="shared" ref="AK77:AK81" si="56">S77+AI77</f>
        <v>0</v>
      </c>
    </row>
    <row r="78" spans="1:37" ht="16.2" customHeight="1">
      <c r="A78" s="2332" t="s">
        <v>1040</v>
      </c>
      <c r="B78" s="2339"/>
      <c r="C78" s="1425"/>
      <c r="D78" s="1198"/>
      <c r="E78" s="1198"/>
      <c r="F78" s="1198"/>
      <c r="G78" s="1198"/>
      <c r="H78" s="1198"/>
      <c r="I78" s="1200"/>
      <c r="J78" s="1200"/>
      <c r="K78" s="1200"/>
      <c r="L78" s="1198"/>
      <c r="M78" s="1200"/>
      <c r="N78" s="1198"/>
      <c r="O78" s="1198"/>
      <c r="P78" s="1200">
        <v>0</v>
      </c>
      <c r="Q78" s="1200"/>
      <c r="R78" s="1200"/>
      <c r="S78" s="1200">
        <v>0</v>
      </c>
      <c r="T78" s="1398">
        <f>'Table 4 Level 4'!$J117</f>
        <v>0</v>
      </c>
      <c r="U78" s="1389"/>
      <c r="V78" s="1392"/>
      <c r="W78" s="1391"/>
      <c r="X78" s="1392"/>
      <c r="Y78" s="1391"/>
      <c r="Z78" s="1392"/>
      <c r="AA78" s="1392"/>
      <c r="AB78" s="1395"/>
      <c r="AC78" s="1392"/>
      <c r="AD78" s="1395"/>
      <c r="AE78" s="1395"/>
      <c r="AF78" s="1395"/>
      <c r="AG78" s="1395"/>
      <c r="AH78" s="1395"/>
      <c r="AI78" s="1395"/>
      <c r="AJ78" s="1505">
        <f t="shared" si="55"/>
        <v>0</v>
      </c>
      <c r="AK78" s="1395"/>
    </row>
    <row r="79" spans="1:37" ht="16.2" customHeight="1">
      <c r="A79" s="2332" t="s">
        <v>1041</v>
      </c>
      <c r="B79" s="2339"/>
      <c r="C79" s="1425"/>
      <c r="D79" s="1198"/>
      <c r="E79" s="1198"/>
      <c r="F79" s="1198"/>
      <c r="G79" s="1198"/>
      <c r="H79" s="1198"/>
      <c r="I79" s="1200"/>
      <c r="J79" s="1200"/>
      <c r="K79" s="1200"/>
      <c r="L79" s="1198"/>
      <c r="M79" s="1200"/>
      <c r="N79" s="1198"/>
      <c r="O79" s="1198"/>
      <c r="P79" s="1200">
        <v>0</v>
      </c>
      <c r="Q79" s="1200"/>
      <c r="R79" s="1200"/>
      <c r="S79" s="1200">
        <v>0</v>
      </c>
      <c r="T79" s="1398">
        <f>'Table 4 Level 4'!$K117</f>
        <v>0</v>
      </c>
      <c r="U79" s="1389"/>
      <c r="V79" s="1392"/>
      <c r="W79" s="1391"/>
      <c r="X79" s="1392"/>
      <c r="Y79" s="1391"/>
      <c r="Z79" s="1392"/>
      <c r="AA79" s="1392"/>
      <c r="AB79" s="1395"/>
      <c r="AC79" s="1392"/>
      <c r="AD79" s="1395"/>
      <c r="AE79" s="1395"/>
      <c r="AF79" s="1395"/>
      <c r="AG79" s="1395"/>
      <c r="AH79" s="1395"/>
      <c r="AI79" s="1395"/>
      <c r="AJ79" s="1505">
        <f t="shared" si="55"/>
        <v>0</v>
      </c>
      <c r="AK79" s="1395"/>
    </row>
    <row r="80" spans="1:37" ht="16.2" customHeight="1">
      <c r="A80" s="2332" t="s">
        <v>1042</v>
      </c>
      <c r="B80" s="2339"/>
      <c r="C80" s="1425"/>
      <c r="D80" s="1198"/>
      <c r="E80" s="1198"/>
      <c r="F80" s="1198"/>
      <c r="G80" s="1198"/>
      <c r="H80" s="1198"/>
      <c r="I80" s="1200"/>
      <c r="J80" s="1200"/>
      <c r="K80" s="1200"/>
      <c r="L80" s="1198"/>
      <c r="M80" s="1200"/>
      <c r="N80" s="1198"/>
      <c r="O80" s="1198"/>
      <c r="P80" s="1200">
        <v>0</v>
      </c>
      <c r="Q80" s="1200"/>
      <c r="R80" s="1200"/>
      <c r="S80" s="1200">
        <v>0</v>
      </c>
      <c r="T80" s="1398">
        <f>'Table 4 Level 4'!$L117</f>
        <v>0</v>
      </c>
      <c r="U80" s="1389"/>
      <c r="V80" s="1392"/>
      <c r="W80" s="1391"/>
      <c r="X80" s="1392"/>
      <c r="Y80" s="1391"/>
      <c r="Z80" s="1392"/>
      <c r="AA80" s="1392"/>
      <c r="AB80" s="1395"/>
      <c r="AC80" s="1392"/>
      <c r="AD80" s="1395"/>
      <c r="AE80" s="1395"/>
      <c r="AF80" s="1395"/>
      <c r="AG80" s="1395"/>
      <c r="AH80" s="1395"/>
      <c r="AI80" s="1395"/>
      <c r="AJ80" s="1505">
        <f t="shared" si="55"/>
        <v>0</v>
      </c>
      <c r="AK80" s="1395"/>
    </row>
    <row r="81" spans="1:37" ht="16.2" customHeight="1">
      <c r="A81" s="2340" t="s">
        <v>1043</v>
      </c>
      <c r="B81" s="2341"/>
      <c r="C81" s="1417"/>
      <c r="D81" s="1193"/>
      <c r="E81" s="1193"/>
      <c r="F81" s="1193"/>
      <c r="G81" s="1193"/>
      <c r="H81" s="1193"/>
      <c r="I81" s="1195"/>
      <c r="J81" s="1195"/>
      <c r="K81" s="1195"/>
      <c r="L81" s="1193"/>
      <c r="M81" s="1195"/>
      <c r="N81" s="1193"/>
      <c r="O81" s="1193"/>
      <c r="P81" s="1547">
        <f>'Table 4 Level 4'!$N117</f>
        <v>0</v>
      </c>
      <c r="Q81" s="1195"/>
      <c r="R81" s="1195">
        <f t="shared" ref="R81" si="57">+P81-Q81</f>
        <v>0</v>
      </c>
      <c r="S81" s="1547">
        <f t="shared" ref="S81" si="58">ROUND(R81/12,0)</f>
        <v>0</v>
      </c>
      <c r="T81" s="1547">
        <f>'Table 4 Level 4'!$N117</f>
        <v>0</v>
      </c>
      <c r="U81" s="1418"/>
      <c r="V81" s="1408"/>
      <c r="W81" s="1407"/>
      <c r="X81" s="1408"/>
      <c r="Y81" s="1407"/>
      <c r="Z81" s="1408"/>
      <c r="AA81" s="1408"/>
      <c r="AB81" s="1416"/>
      <c r="AC81" s="1408"/>
      <c r="AD81" s="1416"/>
      <c r="AE81" s="1416"/>
      <c r="AF81" s="1416"/>
      <c r="AG81" s="1416"/>
      <c r="AH81" s="1416"/>
      <c r="AI81" s="1416"/>
      <c r="AJ81" s="1506">
        <f t="shared" si="55"/>
        <v>0</v>
      </c>
      <c r="AK81" s="1506">
        <f t="shared" si="56"/>
        <v>0</v>
      </c>
    </row>
    <row r="82" spans="1:37" ht="16.2" customHeight="1" thickBot="1">
      <c r="A82" s="2221" t="s">
        <v>1044</v>
      </c>
      <c r="B82" s="2194"/>
      <c r="C82" s="1052">
        <f>SUM(C76:C81)</f>
        <v>591</v>
      </c>
      <c r="D82" s="1046">
        <f t="shared" ref="D82:AK82" si="59">SUM(D76:D81)</f>
        <v>4479.9292126977662</v>
      </c>
      <c r="E82" s="1046">
        <f t="shared" si="59"/>
        <v>1914100.2831748412</v>
      </c>
      <c r="F82" s="1046">
        <f t="shared" si="59"/>
        <v>704.64781030742063</v>
      </c>
      <c r="G82" s="1046">
        <f t="shared" si="59"/>
        <v>412158.83999999997</v>
      </c>
      <c r="H82" s="1046">
        <f t="shared" si="59"/>
        <v>2326259.1231748415</v>
      </c>
      <c r="I82" s="1053">
        <f t="shared" si="59"/>
        <v>0</v>
      </c>
      <c r="J82" s="1053">
        <f t="shared" si="59"/>
        <v>0</v>
      </c>
      <c r="K82" s="1053">
        <f t="shared" si="59"/>
        <v>0</v>
      </c>
      <c r="L82" s="1046">
        <f t="shared" si="59"/>
        <v>2326259.1231748415</v>
      </c>
      <c r="M82" s="1053">
        <f t="shared" si="59"/>
        <v>-5815.6478079371036</v>
      </c>
      <c r="N82" s="1046">
        <f t="shared" si="59"/>
        <v>2320443.4753669039</v>
      </c>
      <c r="O82" s="1046">
        <f t="shared" si="59"/>
        <v>0</v>
      </c>
      <c r="P82" s="1549">
        <f t="shared" si="59"/>
        <v>2320443.4753669039</v>
      </c>
      <c r="Q82" s="1053">
        <f t="shared" si="59"/>
        <v>0</v>
      </c>
      <c r="R82" s="1053">
        <f t="shared" si="59"/>
        <v>2320443.4753669039</v>
      </c>
      <c r="S82" s="1549">
        <f t="shared" si="59"/>
        <v>193369</v>
      </c>
      <c r="T82" s="1549">
        <f t="shared" si="59"/>
        <v>2320443.4753669039</v>
      </c>
      <c r="U82" s="1058">
        <f t="shared" si="59"/>
        <v>4663</v>
      </c>
      <c r="V82" s="1055">
        <f t="shared" si="59"/>
        <v>3324774</v>
      </c>
      <c r="W82" s="1057">
        <f t="shared" si="59"/>
        <v>0</v>
      </c>
      <c r="X82" s="1055">
        <f t="shared" si="59"/>
        <v>0</v>
      </c>
      <c r="Y82" s="1057">
        <f t="shared" si="59"/>
        <v>0</v>
      </c>
      <c r="Z82" s="1055">
        <f t="shared" si="59"/>
        <v>0</v>
      </c>
      <c r="AA82" s="1055">
        <f t="shared" si="59"/>
        <v>0</v>
      </c>
      <c r="AB82" s="1055">
        <f t="shared" si="59"/>
        <v>3324774</v>
      </c>
      <c r="AC82" s="1055">
        <f t="shared" si="59"/>
        <v>-8311.9349999999995</v>
      </c>
      <c r="AD82" s="1055">
        <f t="shared" si="59"/>
        <v>3316462.0649999999</v>
      </c>
      <c r="AE82" s="1055">
        <f t="shared" si="59"/>
        <v>0</v>
      </c>
      <c r="AF82" s="1055">
        <f t="shared" si="59"/>
        <v>3316462.0649999999</v>
      </c>
      <c r="AG82" s="1055">
        <f t="shared" si="59"/>
        <v>0</v>
      </c>
      <c r="AH82" s="1055">
        <f t="shared" si="59"/>
        <v>3316462.0649999999</v>
      </c>
      <c r="AI82" s="1055">
        <f t="shared" si="59"/>
        <v>276372</v>
      </c>
      <c r="AJ82" s="1504">
        <f t="shared" si="59"/>
        <v>5636905.5403669039</v>
      </c>
      <c r="AK82" s="1504">
        <f t="shared" si="59"/>
        <v>469741</v>
      </c>
    </row>
    <row r="83" spans="1:37" ht="16.2" customHeight="1" thickTop="1"/>
    <row r="84" spans="1:37" ht="16.2" customHeight="1"/>
    <row r="85" spans="1:37" ht="16.2" customHeight="1"/>
    <row r="86" spans="1:37" ht="16.2" customHeight="1"/>
  </sheetData>
  <mergeCells count="45">
    <mergeCell ref="A1:B4"/>
    <mergeCell ref="O3:O4"/>
    <mergeCell ref="P3:P4"/>
    <mergeCell ref="S3:S4"/>
    <mergeCell ref="AE3:AE4"/>
    <mergeCell ref="W3:W4"/>
    <mergeCell ref="X3:X4"/>
    <mergeCell ref="Y3:Y4"/>
    <mergeCell ref="Z3:Z4"/>
    <mergeCell ref="AB3:AB4"/>
    <mergeCell ref="AD3:AD4"/>
    <mergeCell ref="T3:T4"/>
    <mergeCell ref="C1:L1"/>
    <mergeCell ref="U1:AB1"/>
    <mergeCell ref="C2:H2"/>
    <mergeCell ref="U2:V2"/>
    <mergeCell ref="AJ1:AJ4"/>
    <mergeCell ref="AG3:AG4"/>
    <mergeCell ref="AH3:AH4"/>
    <mergeCell ref="AI3:AI4"/>
    <mergeCell ref="AF3:AF4"/>
    <mergeCell ref="AC1:AI1"/>
    <mergeCell ref="AK1:AK4"/>
    <mergeCell ref="I2:K2"/>
    <mergeCell ref="W2:AA2"/>
    <mergeCell ref="C3:C4"/>
    <mergeCell ref="D3:D4"/>
    <mergeCell ref="E3:E4"/>
    <mergeCell ref="U3:U4"/>
    <mergeCell ref="F3:F4"/>
    <mergeCell ref="G3:G4"/>
    <mergeCell ref="H3:H4"/>
    <mergeCell ref="I3:I4"/>
    <mergeCell ref="J3:J4"/>
    <mergeCell ref="K3:K4"/>
    <mergeCell ref="L3:L4"/>
    <mergeCell ref="N3:N4"/>
    <mergeCell ref="M1:T1"/>
    <mergeCell ref="A82:B82"/>
    <mergeCell ref="A76:B76"/>
    <mergeCell ref="A77:B77"/>
    <mergeCell ref="A78:B78"/>
    <mergeCell ref="A79:B79"/>
    <mergeCell ref="A80:B80"/>
    <mergeCell ref="A81:B81"/>
  </mergeCells>
  <printOptions horizontalCentered="1"/>
  <pageMargins left="0.32" right="0.32" top="0.75" bottom="0.75" header="0.3" footer="0.3"/>
  <pageSetup paperSize="5" scale="60" firstPageNumber="56" orientation="portrait" r:id="rId1"/>
  <headerFooter>
    <oddHeader>&amp;L&amp;"Arial,Bold"&amp;20&amp;K000000Table 5C1-U: FY2014-15 MFP Budget Letter 
Acadiana Renaissance</oddHeader>
    <oddFooter>&amp;R&amp;P</oddFooter>
  </headerFooter>
  <colBreaks count="3" manualBreakCount="3">
    <brk id="12" max="1048575" man="1"/>
    <brk id="20" max="1048575" man="1"/>
    <brk id="28" max="81"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6"/>
  <sheetViews>
    <sheetView view="pageBreakPreview" zoomScale="80" zoomScaleNormal="100" zoomScaleSheetLayoutView="80" workbookViewId="0">
      <pane xSplit="2" ySplit="6" topLeftCell="C7" activePane="bottomRight" state="frozen"/>
      <selection sqref="A1:H1"/>
      <selection pane="topRight" sqref="A1:H1"/>
      <selection pane="bottomLeft" sqref="A1:H1"/>
      <selection pane="bottomRight" sqref="A1:H1"/>
    </sheetView>
  </sheetViews>
  <sheetFormatPr defaultColWidth="8.88671875" defaultRowHeight="13.2"/>
  <cols>
    <col min="1" max="1" width="5" style="608" customWidth="1"/>
    <col min="2" max="2" width="37.6640625" style="608" customWidth="1"/>
    <col min="3" max="3" width="12.109375" style="608" customWidth="1"/>
    <col min="4" max="4" width="13.6640625" style="608" customWidth="1"/>
    <col min="5" max="5" width="9.88671875" style="608" customWidth="1"/>
    <col min="6" max="7" width="12.33203125" style="608" customWidth="1"/>
    <col min="8" max="8" width="11.5546875" style="608" customWidth="1"/>
    <col min="9" max="12" width="12" style="608" customWidth="1"/>
    <col min="13" max="13" width="10.88671875" style="608" bestFit="1" customWidth="1"/>
    <col min="14" max="14" width="13.109375" style="608" customWidth="1"/>
    <col min="15" max="15" width="13.44140625" style="608" bestFit="1" customWidth="1"/>
    <col min="16" max="16" width="14.6640625" style="608" customWidth="1"/>
    <col min="17" max="18" width="14" style="608" customWidth="1"/>
    <col min="19" max="19" width="10.6640625" style="608" customWidth="1"/>
    <col min="20" max="20" width="14.88671875" style="608" customWidth="1"/>
    <col min="21" max="22" width="14.5546875" style="608" customWidth="1"/>
    <col min="23" max="27" width="11.6640625" style="608" customWidth="1"/>
    <col min="28" max="28" width="14.44140625" style="608" bestFit="1" customWidth="1"/>
    <col min="29" max="29" width="10.5546875" style="608" customWidth="1"/>
    <col min="30" max="30" width="14.44140625" style="608" bestFit="1" customWidth="1"/>
    <col min="31" max="31" width="11.88671875" style="608" bestFit="1" customWidth="1"/>
    <col min="32" max="32" width="14.44140625" style="608" bestFit="1" customWidth="1"/>
    <col min="33" max="33" width="9.5546875" style="608" bestFit="1" customWidth="1"/>
    <col min="34" max="34" width="10.6640625" style="608" bestFit="1" customWidth="1"/>
    <col min="35" max="35" width="14.44140625" style="608" bestFit="1" customWidth="1"/>
    <col min="36" max="36" width="14.33203125" style="608" customWidth="1"/>
    <col min="37" max="37" width="14.44140625" style="608" bestFit="1" customWidth="1"/>
    <col min="38" max="16384" width="8.88671875" style="608"/>
  </cols>
  <sheetData>
    <row r="1" spans="1:37" ht="21.6" customHeight="1">
      <c r="A1" s="2367" t="s">
        <v>997</v>
      </c>
      <c r="B1" s="2368"/>
      <c r="C1" s="2319" t="s">
        <v>1089</v>
      </c>
      <c r="D1" s="2320"/>
      <c r="E1" s="2320"/>
      <c r="F1" s="2320"/>
      <c r="G1" s="2320"/>
      <c r="H1" s="2320"/>
      <c r="I1" s="2320"/>
      <c r="J1" s="2320"/>
      <c r="K1" s="2320"/>
      <c r="L1" s="2321"/>
      <c r="M1" s="2349" t="s">
        <v>1089</v>
      </c>
      <c r="N1" s="2350"/>
      <c r="O1" s="2350"/>
      <c r="P1" s="2350"/>
      <c r="Q1" s="2350"/>
      <c r="R1" s="2350"/>
      <c r="S1" s="2350"/>
      <c r="T1" s="2351"/>
      <c r="U1" s="2268" t="s">
        <v>1247</v>
      </c>
      <c r="V1" s="2266"/>
      <c r="W1" s="2266"/>
      <c r="X1" s="2266"/>
      <c r="Y1" s="2266"/>
      <c r="Z1" s="2266"/>
      <c r="AA1" s="2266"/>
      <c r="AB1" s="2267"/>
      <c r="AC1" s="2268" t="s">
        <v>1247</v>
      </c>
      <c r="AD1" s="2266"/>
      <c r="AE1" s="2266"/>
      <c r="AF1" s="2266"/>
      <c r="AG1" s="2266"/>
      <c r="AH1" s="2266"/>
      <c r="AI1" s="2267"/>
      <c r="AJ1" s="2302" t="s">
        <v>1272</v>
      </c>
      <c r="AK1" s="2302" t="s">
        <v>1273</v>
      </c>
    </row>
    <row r="2" spans="1:37" ht="24.6" customHeight="1">
      <c r="A2" s="2369"/>
      <c r="B2" s="2370"/>
      <c r="C2" s="2379" t="s">
        <v>1284</v>
      </c>
      <c r="D2" s="2380"/>
      <c r="E2" s="2380"/>
      <c r="F2" s="2380"/>
      <c r="G2" s="2380"/>
      <c r="H2" s="2381"/>
      <c r="I2" s="2334" t="s">
        <v>531</v>
      </c>
      <c r="J2" s="2335"/>
      <c r="K2" s="2336"/>
      <c r="L2" s="1567"/>
      <c r="M2" s="1565"/>
      <c r="N2" s="1566"/>
      <c r="O2" s="1566"/>
      <c r="P2" s="1566"/>
      <c r="Q2" s="1566"/>
      <c r="R2" s="1566"/>
      <c r="S2" s="1566"/>
      <c r="T2" s="1567"/>
      <c r="U2" s="2377" t="s">
        <v>1284</v>
      </c>
      <c r="V2" s="2378"/>
      <c r="W2" s="2362" t="s">
        <v>531</v>
      </c>
      <c r="X2" s="2363"/>
      <c r="Y2" s="2363"/>
      <c r="Z2" s="2363"/>
      <c r="AA2" s="2364"/>
      <c r="AB2" s="1527"/>
      <c r="AC2" s="1525"/>
      <c r="AD2" s="1526"/>
      <c r="AE2" s="1526"/>
      <c r="AF2" s="1526"/>
      <c r="AG2" s="1526"/>
      <c r="AH2" s="1526"/>
      <c r="AI2" s="1527"/>
      <c r="AJ2" s="2303"/>
      <c r="AK2" s="2303"/>
    </row>
    <row r="3" spans="1:37" ht="148.94999999999999" customHeight="1">
      <c r="A3" s="2371"/>
      <c r="B3" s="2370"/>
      <c r="C3" s="2382" t="s">
        <v>1286</v>
      </c>
      <c r="D3" s="2318" t="s">
        <v>1110</v>
      </c>
      <c r="E3" s="2318" t="s">
        <v>384</v>
      </c>
      <c r="F3" s="2306" t="s">
        <v>546</v>
      </c>
      <c r="G3" s="2306" t="s">
        <v>330</v>
      </c>
      <c r="H3" s="2306" t="s">
        <v>547</v>
      </c>
      <c r="I3" s="2299" t="s">
        <v>770</v>
      </c>
      <c r="J3" s="2299" t="s">
        <v>769</v>
      </c>
      <c r="K3" s="2299" t="s">
        <v>538</v>
      </c>
      <c r="L3" s="2300" t="s">
        <v>548</v>
      </c>
      <c r="M3" s="1496" t="s">
        <v>333</v>
      </c>
      <c r="N3" s="2306" t="s">
        <v>545</v>
      </c>
      <c r="O3" s="2307" t="s">
        <v>1036</v>
      </c>
      <c r="P3" s="2306" t="s">
        <v>1056</v>
      </c>
      <c r="Q3" s="1537" t="s">
        <v>760</v>
      </c>
      <c r="R3" s="1537" t="s">
        <v>761</v>
      </c>
      <c r="S3" s="2308" t="s">
        <v>544</v>
      </c>
      <c r="T3" s="2308" t="s">
        <v>1057</v>
      </c>
      <c r="U3" s="2309" t="s">
        <v>1267</v>
      </c>
      <c r="V3" s="1507" t="s">
        <v>1268</v>
      </c>
      <c r="W3" s="2312" t="s">
        <v>1253</v>
      </c>
      <c r="X3" s="2312" t="s">
        <v>1251</v>
      </c>
      <c r="Y3" s="2312" t="s">
        <v>1254</v>
      </c>
      <c r="Z3" s="2312" t="s">
        <v>1252</v>
      </c>
      <c r="AA3" s="1498" t="s">
        <v>551</v>
      </c>
      <c r="AB3" s="2313" t="s">
        <v>1269</v>
      </c>
      <c r="AC3" s="1507" t="s">
        <v>1094</v>
      </c>
      <c r="AD3" s="2309" t="s">
        <v>1270</v>
      </c>
      <c r="AE3" s="2307" t="s">
        <v>1036</v>
      </c>
      <c r="AF3" s="2309" t="s">
        <v>1271</v>
      </c>
      <c r="AG3" s="2322" t="s">
        <v>981</v>
      </c>
      <c r="AH3" s="2322" t="s">
        <v>761</v>
      </c>
      <c r="AI3" s="2322" t="s">
        <v>1242</v>
      </c>
      <c r="AJ3" s="2304"/>
      <c r="AK3" s="2304"/>
    </row>
    <row r="4" spans="1:37" ht="19.95" customHeight="1">
      <c r="A4" s="2372"/>
      <c r="B4" s="2373"/>
      <c r="C4" s="2376"/>
      <c r="D4" s="2318"/>
      <c r="E4" s="2318"/>
      <c r="F4" s="2301"/>
      <c r="G4" s="2301"/>
      <c r="H4" s="2301"/>
      <c r="I4" s="2251"/>
      <c r="J4" s="2251"/>
      <c r="K4" s="2251"/>
      <c r="L4" s="2301"/>
      <c r="M4" s="1568">
        <v>2.5000000000000001E-3</v>
      </c>
      <c r="N4" s="2301"/>
      <c r="O4" s="2251"/>
      <c r="P4" s="2301"/>
      <c r="Q4" s="1497"/>
      <c r="R4" s="1497"/>
      <c r="S4" s="2301"/>
      <c r="T4" s="2301"/>
      <c r="U4" s="2280"/>
      <c r="V4" s="1508"/>
      <c r="W4" s="2251"/>
      <c r="X4" s="2251"/>
      <c r="Y4" s="2251"/>
      <c r="Z4" s="2251"/>
      <c r="AA4" s="1494"/>
      <c r="AB4" s="2280" t="s">
        <v>537</v>
      </c>
      <c r="AC4" s="1570">
        <v>2.5000000000000001E-3</v>
      </c>
      <c r="AD4" s="2280"/>
      <c r="AE4" s="2251"/>
      <c r="AF4" s="2280"/>
      <c r="AG4" s="2323"/>
      <c r="AH4" s="2323"/>
      <c r="AI4" s="2323"/>
      <c r="AJ4" s="2305"/>
      <c r="AK4" s="2305"/>
    </row>
    <row r="5" spans="1:37" ht="14.25" customHeight="1">
      <c r="A5" s="463"/>
      <c r="B5" s="464"/>
      <c r="C5" s="465">
        <v>1</v>
      </c>
      <c r="D5" s="465">
        <f t="shared" ref="D5" si="0">C5+1</f>
        <v>2</v>
      </c>
      <c r="E5" s="465">
        <f>D5+1</f>
        <v>3</v>
      </c>
      <c r="F5" s="465">
        <f t="shared" ref="F5:AK5" si="1">E5+1</f>
        <v>4</v>
      </c>
      <c r="G5" s="465">
        <f t="shared" si="1"/>
        <v>5</v>
      </c>
      <c r="H5" s="465">
        <f t="shared" si="1"/>
        <v>6</v>
      </c>
      <c r="I5" s="465">
        <f t="shared" si="1"/>
        <v>7</v>
      </c>
      <c r="J5" s="465">
        <f t="shared" si="1"/>
        <v>8</v>
      </c>
      <c r="K5" s="465">
        <f t="shared" si="1"/>
        <v>9</v>
      </c>
      <c r="L5" s="465">
        <f t="shared" si="1"/>
        <v>10</v>
      </c>
      <c r="M5" s="465">
        <f t="shared" si="1"/>
        <v>11</v>
      </c>
      <c r="N5" s="465">
        <f t="shared" si="1"/>
        <v>12</v>
      </c>
      <c r="O5" s="465">
        <f t="shared" si="1"/>
        <v>13</v>
      </c>
      <c r="P5" s="465">
        <f t="shared" si="1"/>
        <v>14</v>
      </c>
      <c r="Q5" s="465">
        <f t="shared" si="1"/>
        <v>15</v>
      </c>
      <c r="R5" s="465">
        <f t="shared" si="1"/>
        <v>16</v>
      </c>
      <c r="S5" s="465">
        <f t="shared" si="1"/>
        <v>17</v>
      </c>
      <c r="T5" s="465">
        <f t="shared" ref="T5" si="2">S5+1</f>
        <v>18</v>
      </c>
      <c r="U5" s="465">
        <f t="shared" ref="U5" si="3">T5+1</f>
        <v>19</v>
      </c>
      <c r="V5" s="465">
        <f t="shared" si="1"/>
        <v>20</v>
      </c>
      <c r="W5" s="465">
        <f t="shared" si="1"/>
        <v>21</v>
      </c>
      <c r="X5" s="465">
        <f t="shared" si="1"/>
        <v>22</v>
      </c>
      <c r="Y5" s="465">
        <f t="shared" si="1"/>
        <v>23</v>
      </c>
      <c r="Z5" s="465">
        <f t="shared" si="1"/>
        <v>24</v>
      </c>
      <c r="AA5" s="465">
        <f t="shared" si="1"/>
        <v>25</v>
      </c>
      <c r="AB5" s="465">
        <f t="shared" si="1"/>
        <v>26</v>
      </c>
      <c r="AC5" s="465">
        <f t="shared" si="1"/>
        <v>27</v>
      </c>
      <c r="AD5" s="465">
        <f t="shared" si="1"/>
        <v>28</v>
      </c>
      <c r="AE5" s="465">
        <f t="shared" si="1"/>
        <v>29</v>
      </c>
      <c r="AF5" s="465">
        <f t="shared" si="1"/>
        <v>30</v>
      </c>
      <c r="AG5" s="465">
        <f t="shared" si="1"/>
        <v>31</v>
      </c>
      <c r="AH5" s="465">
        <f t="shared" si="1"/>
        <v>32</v>
      </c>
      <c r="AI5" s="465">
        <f t="shared" si="1"/>
        <v>33</v>
      </c>
      <c r="AJ5" s="465">
        <f t="shared" si="1"/>
        <v>34</v>
      </c>
      <c r="AK5" s="465">
        <f t="shared" si="1"/>
        <v>35</v>
      </c>
    </row>
    <row r="6" spans="1:37" ht="27" hidden="1" customHeight="1">
      <c r="A6" s="472"/>
      <c r="B6" s="473"/>
      <c r="C6" s="473"/>
      <c r="D6" s="473"/>
      <c r="E6" s="473"/>
      <c r="F6" s="473"/>
      <c r="G6" s="473"/>
      <c r="H6" s="473"/>
      <c r="I6" s="615"/>
      <c r="J6" s="615"/>
      <c r="K6" s="615"/>
      <c r="L6" s="615"/>
      <c r="M6" s="473"/>
      <c r="N6" s="473"/>
      <c r="O6" s="473"/>
      <c r="P6" s="473"/>
      <c r="Q6" s="615"/>
      <c r="R6" s="615"/>
      <c r="S6" s="473"/>
      <c r="T6" s="473"/>
      <c r="U6" s="473"/>
      <c r="V6" s="473"/>
      <c r="W6" s="615"/>
      <c r="X6" s="615"/>
      <c r="Y6" s="615"/>
      <c r="Z6" s="615"/>
      <c r="AA6" s="615"/>
      <c r="AB6" s="615"/>
      <c r="AC6" s="473"/>
      <c r="AD6" s="473"/>
      <c r="AE6" s="473"/>
      <c r="AF6" s="473"/>
      <c r="AG6" s="615"/>
      <c r="AH6" s="615"/>
      <c r="AI6" s="473"/>
      <c r="AJ6" s="473"/>
      <c r="AK6" s="473"/>
    </row>
    <row r="7" spans="1:37" ht="16.2" customHeight="1">
      <c r="A7" s="1183">
        <v>1</v>
      </c>
      <c r="B7" s="1184" t="s">
        <v>81</v>
      </c>
      <c r="C7" s="1185">
        <v>12</v>
      </c>
      <c r="D7" s="1186">
        <f>+'Table 5C1A-Madison Prep'!D7</f>
        <v>4765.8584413349836</v>
      </c>
      <c r="E7" s="1187">
        <f>C7*D7</f>
        <v>57190.301296019803</v>
      </c>
      <c r="F7" s="1187">
        <f>+'Table 5C1A-Madison Prep'!F7</f>
        <v>777.48</v>
      </c>
      <c r="G7" s="1187">
        <f>C7*F7</f>
        <v>9329.76</v>
      </c>
      <c r="H7" s="1538">
        <f>E7+G7</f>
        <v>66520.061296019805</v>
      </c>
      <c r="I7" s="1188"/>
      <c r="J7" s="1188"/>
      <c r="K7" s="1189">
        <f>+I7+J7</f>
        <v>0</v>
      </c>
      <c r="L7" s="1538">
        <f>+H7+K7</f>
        <v>66520.061296019805</v>
      </c>
      <c r="M7" s="1372">
        <f t="shared" ref="M7:M70" si="4">-(0.25%*L7)</f>
        <v>-166.30015324004953</v>
      </c>
      <c r="N7" s="1538">
        <f>SUM(L7:M7)</f>
        <v>66353.761142779753</v>
      </c>
      <c r="O7" s="1186">
        <v>0</v>
      </c>
      <c r="P7" s="1544">
        <f>SUM(N7:O7)</f>
        <v>66353.761142779753</v>
      </c>
      <c r="Q7" s="1188"/>
      <c r="R7" s="1188">
        <f>+P7-Q7</f>
        <v>66353.761142779753</v>
      </c>
      <c r="S7" s="1544">
        <f>ROUND(R7/12,0)</f>
        <v>5529</v>
      </c>
      <c r="T7" s="1544">
        <f>+P7</f>
        <v>66353.761142779753</v>
      </c>
      <c r="U7" s="1373">
        <f>'Table 5C1A-Madison Prep'!U7</f>
        <v>2409</v>
      </c>
      <c r="V7" s="1514">
        <f>C7*U7</f>
        <v>28908</v>
      </c>
      <c r="W7" s="1375"/>
      <c r="X7" s="1376">
        <f>+U7*W7</f>
        <v>0</v>
      </c>
      <c r="Y7" s="1375"/>
      <c r="Z7" s="1376">
        <f>+U7*Y7*0.5</f>
        <v>0</v>
      </c>
      <c r="AA7" s="1374">
        <f>+X7+Z7</f>
        <v>0</v>
      </c>
      <c r="AB7" s="1509">
        <f>+V7+AA7</f>
        <v>28908</v>
      </c>
      <c r="AC7" s="1378">
        <f>-(0.25%*AB7)</f>
        <v>-72.27</v>
      </c>
      <c r="AD7" s="1509">
        <f>SUM(AB7:AC7)</f>
        <v>28835.73</v>
      </c>
      <c r="AE7" s="1379">
        <v>0</v>
      </c>
      <c r="AF7" s="1509">
        <f>SUM(AD7:AE7)</f>
        <v>28835.73</v>
      </c>
      <c r="AG7" s="1379"/>
      <c r="AH7" s="1379">
        <f>+AF7-AG7</f>
        <v>28835.73</v>
      </c>
      <c r="AI7" s="1509">
        <f>ROUND(AH7/12,0)</f>
        <v>2403</v>
      </c>
      <c r="AJ7" s="1530">
        <f>T7+AF7</f>
        <v>95189.491142779749</v>
      </c>
      <c r="AK7" s="1534">
        <f>S7+AI7</f>
        <v>7932</v>
      </c>
    </row>
    <row r="8" spans="1:37" ht="16.2" customHeight="1">
      <c r="A8" s="1176">
        <v>2</v>
      </c>
      <c r="B8" s="1177" t="s">
        <v>82</v>
      </c>
      <c r="C8" s="1178">
        <v>0</v>
      </c>
      <c r="D8" s="1179">
        <f>+'Table 5C1A-Madison Prep'!D8</f>
        <v>6316.6266417386641</v>
      </c>
      <c r="E8" s="1180">
        <f t="shared" ref="E8:E71" si="5">C8*D8</f>
        <v>0</v>
      </c>
      <c r="F8" s="1180">
        <f>+'Table 5C1A-Madison Prep'!F8</f>
        <v>842.32</v>
      </c>
      <c r="G8" s="1180">
        <f t="shared" ref="G8:G71" si="6">C8*F8</f>
        <v>0</v>
      </c>
      <c r="H8" s="1539">
        <f t="shared" ref="H8:H71" si="7">E8+G8</f>
        <v>0</v>
      </c>
      <c r="I8" s="1181"/>
      <c r="J8" s="1181"/>
      <c r="K8" s="1182">
        <f t="shared" ref="K8:K71" si="8">+I8+J8</f>
        <v>0</v>
      </c>
      <c r="L8" s="1539">
        <f t="shared" ref="L8:L71" si="9">+H8+K8</f>
        <v>0</v>
      </c>
      <c r="M8" s="1388">
        <f t="shared" si="4"/>
        <v>0</v>
      </c>
      <c r="N8" s="1539">
        <f t="shared" ref="N8:N71" si="10">SUM(L8:M8)</f>
        <v>0</v>
      </c>
      <c r="O8" s="1179">
        <v>0</v>
      </c>
      <c r="P8" s="1545">
        <f t="shared" ref="P8:P71" si="11">SUM(N8:O8)</f>
        <v>0</v>
      </c>
      <c r="Q8" s="1181"/>
      <c r="R8" s="1181">
        <f t="shared" ref="R8:R71" si="12">+P8-Q8</f>
        <v>0</v>
      </c>
      <c r="S8" s="1545">
        <f t="shared" ref="S8:S71" si="13">ROUND(R8/12,0)</f>
        <v>0</v>
      </c>
      <c r="T8" s="1545">
        <f t="shared" ref="T8:T71" si="14">+P8</f>
        <v>0</v>
      </c>
      <c r="U8" s="1389">
        <f>'Table 5C1A-Madison Prep'!U8</f>
        <v>2829</v>
      </c>
      <c r="V8" s="1515">
        <f t="shared" ref="V8:V71" si="15">C8*U8</f>
        <v>0</v>
      </c>
      <c r="W8" s="1391"/>
      <c r="X8" s="1392">
        <f t="shared" ref="X8:X71" si="16">+U8*W8</f>
        <v>0</v>
      </c>
      <c r="Y8" s="1391"/>
      <c r="Z8" s="1392">
        <f t="shared" ref="Z8:Z71" si="17">+U8*Y8*0.5</f>
        <v>0</v>
      </c>
      <c r="AA8" s="1390">
        <f t="shared" ref="AA8:AA71" si="18">+X8+Z8</f>
        <v>0</v>
      </c>
      <c r="AB8" s="1510">
        <f t="shared" ref="AB8:AB71" si="19">+V8+AA8</f>
        <v>0</v>
      </c>
      <c r="AC8" s="1394">
        <f t="shared" ref="AC8:AC71" si="20">-(0.25%*AB8)</f>
        <v>0</v>
      </c>
      <c r="AD8" s="1510">
        <f t="shared" ref="AD8:AD71" si="21">SUM(AB8:AC8)</f>
        <v>0</v>
      </c>
      <c r="AE8" s="1395">
        <v>0</v>
      </c>
      <c r="AF8" s="1510">
        <f t="shared" ref="AF8:AF71" si="22">SUM(AD8:AE8)</f>
        <v>0</v>
      </c>
      <c r="AG8" s="1395"/>
      <c r="AH8" s="1395">
        <f t="shared" ref="AH8:AH71" si="23">+AF8-AG8</f>
        <v>0</v>
      </c>
      <c r="AI8" s="1510">
        <f t="shared" ref="AI8:AI71" si="24">ROUND(AH8/12,0)</f>
        <v>0</v>
      </c>
      <c r="AJ8" s="1505">
        <f t="shared" ref="AJ8:AJ71" si="25">T8+AF8</f>
        <v>0</v>
      </c>
      <c r="AK8" s="1535">
        <f t="shared" ref="AK8:AK71" si="26">S8+AI8</f>
        <v>0</v>
      </c>
    </row>
    <row r="9" spans="1:37" ht="16.2" customHeight="1">
      <c r="A9" s="1176">
        <v>3</v>
      </c>
      <c r="B9" s="1177" t="s">
        <v>83</v>
      </c>
      <c r="C9" s="1178">
        <v>0</v>
      </c>
      <c r="D9" s="1179">
        <f>+'Table 5C1A-Madison Prep'!D9</f>
        <v>4155.1862027396819</v>
      </c>
      <c r="E9" s="1180">
        <f t="shared" si="5"/>
        <v>0</v>
      </c>
      <c r="F9" s="1180">
        <f>+'Table 5C1A-Madison Prep'!F9</f>
        <v>596.84</v>
      </c>
      <c r="G9" s="1180">
        <f t="shared" si="6"/>
        <v>0</v>
      </c>
      <c r="H9" s="1539">
        <f t="shared" si="7"/>
        <v>0</v>
      </c>
      <c r="I9" s="1181"/>
      <c r="J9" s="1181"/>
      <c r="K9" s="1182">
        <f t="shared" si="8"/>
        <v>0</v>
      </c>
      <c r="L9" s="1539">
        <f t="shared" si="9"/>
        <v>0</v>
      </c>
      <c r="M9" s="1388">
        <f t="shared" si="4"/>
        <v>0</v>
      </c>
      <c r="N9" s="1539">
        <f t="shared" si="10"/>
        <v>0</v>
      </c>
      <c r="O9" s="1179">
        <v>0</v>
      </c>
      <c r="P9" s="1545">
        <f t="shared" si="11"/>
        <v>0</v>
      </c>
      <c r="Q9" s="1181"/>
      <c r="R9" s="1181">
        <f t="shared" si="12"/>
        <v>0</v>
      </c>
      <c r="S9" s="1545">
        <f t="shared" si="13"/>
        <v>0</v>
      </c>
      <c r="T9" s="1545">
        <f t="shared" si="14"/>
        <v>0</v>
      </c>
      <c r="U9" s="1389">
        <f>'Table 5C1A-Madison Prep'!U9</f>
        <v>5770</v>
      </c>
      <c r="V9" s="1515">
        <f t="shared" si="15"/>
        <v>0</v>
      </c>
      <c r="W9" s="1391"/>
      <c r="X9" s="1392">
        <f t="shared" si="16"/>
        <v>0</v>
      </c>
      <c r="Y9" s="1391"/>
      <c r="Z9" s="1392">
        <f t="shared" si="17"/>
        <v>0</v>
      </c>
      <c r="AA9" s="1390">
        <f t="shared" si="18"/>
        <v>0</v>
      </c>
      <c r="AB9" s="1510">
        <f t="shared" si="19"/>
        <v>0</v>
      </c>
      <c r="AC9" s="1394">
        <f t="shared" si="20"/>
        <v>0</v>
      </c>
      <c r="AD9" s="1510">
        <f t="shared" si="21"/>
        <v>0</v>
      </c>
      <c r="AE9" s="1395">
        <v>0</v>
      </c>
      <c r="AF9" s="1510">
        <f t="shared" si="22"/>
        <v>0</v>
      </c>
      <c r="AG9" s="1395"/>
      <c r="AH9" s="1395">
        <f t="shared" si="23"/>
        <v>0</v>
      </c>
      <c r="AI9" s="1510">
        <f t="shared" si="24"/>
        <v>0</v>
      </c>
      <c r="AJ9" s="1505">
        <f t="shared" si="25"/>
        <v>0</v>
      </c>
      <c r="AK9" s="1535">
        <f t="shared" si="26"/>
        <v>0</v>
      </c>
    </row>
    <row r="10" spans="1:37" ht="16.2" customHeight="1">
      <c r="A10" s="1176">
        <v>4</v>
      </c>
      <c r="B10" s="1177" t="s">
        <v>84</v>
      </c>
      <c r="C10" s="1178">
        <v>0</v>
      </c>
      <c r="D10" s="1179">
        <f>+'Table 5C1A-Madison Prep'!D10</f>
        <v>6119.0581446878568</v>
      </c>
      <c r="E10" s="1180">
        <f t="shared" si="5"/>
        <v>0</v>
      </c>
      <c r="F10" s="1180">
        <f>+'Table 5C1A-Madison Prep'!F10</f>
        <v>585.76</v>
      </c>
      <c r="G10" s="1180">
        <f t="shared" si="6"/>
        <v>0</v>
      </c>
      <c r="H10" s="1539">
        <f t="shared" si="7"/>
        <v>0</v>
      </c>
      <c r="I10" s="1181"/>
      <c r="J10" s="1181"/>
      <c r="K10" s="1182">
        <f t="shared" si="8"/>
        <v>0</v>
      </c>
      <c r="L10" s="1539">
        <f t="shared" si="9"/>
        <v>0</v>
      </c>
      <c r="M10" s="1388">
        <f t="shared" si="4"/>
        <v>0</v>
      </c>
      <c r="N10" s="1539">
        <f t="shared" si="10"/>
        <v>0</v>
      </c>
      <c r="O10" s="1179">
        <v>0</v>
      </c>
      <c r="P10" s="1545">
        <f t="shared" si="11"/>
        <v>0</v>
      </c>
      <c r="Q10" s="1181"/>
      <c r="R10" s="1181">
        <f t="shared" si="12"/>
        <v>0</v>
      </c>
      <c r="S10" s="1545">
        <f t="shared" si="13"/>
        <v>0</v>
      </c>
      <c r="T10" s="1545">
        <f t="shared" si="14"/>
        <v>0</v>
      </c>
      <c r="U10" s="1389">
        <f>'Table 5C1A-Madison Prep'!U10</f>
        <v>3287</v>
      </c>
      <c r="V10" s="1515">
        <f t="shared" si="15"/>
        <v>0</v>
      </c>
      <c r="W10" s="1391"/>
      <c r="X10" s="1392">
        <f t="shared" si="16"/>
        <v>0</v>
      </c>
      <c r="Y10" s="1391"/>
      <c r="Z10" s="1392">
        <f t="shared" si="17"/>
        <v>0</v>
      </c>
      <c r="AA10" s="1390">
        <f t="shared" si="18"/>
        <v>0</v>
      </c>
      <c r="AB10" s="1510">
        <f t="shared" si="19"/>
        <v>0</v>
      </c>
      <c r="AC10" s="1394">
        <f t="shared" si="20"/>
        <v>0</v>
      </c>
      <c r="AD10" s="1510">
        <f t="shared" si="21"/>
        <v>0</v>
      </c>
      <c r="AE10" s="1395">
        <v>0</v>
      </c>
      <c r="AF10" s="1510">
        <f t="shared" si="22"/>
        <v>0</v>
      </c>
      <c r="AG10" s="1395"/>
      <c r="AH10" s="1395">
        <f t="shared" si="23"/>
        <v>0</v>
      </c>
      <c r="AI10" s="1510">
        <f t="shared" si="24"/>
        <v>0</v>
      </c>
      <c r="AJ10" s="1505">
        <f t="shared" si="25"/>
        <v>0</v>
      </c>
      <c r="AK10" s="1535">
        <f t="shared" si="26"/>
        <v>0</v>
      </c>
    </row>
    <row r="11" spans="1:37" ht="16.2" customHeight="1">
      <c r="A11" s="1168">
        <v>5</v>
      </c>
      <c r="B11" s="1169" t="s">
        <v>85</v>
      </c>
      <c r="C11" s="1170">
        <v>0</v>
      </c>
      <c r="D11" s="1171">
        <f>+'Table 5C1A-Madison Prep'!D11</f>
        <v>5268.940566009911</v>
      </c>
      <c r="E11" s="1172">
        <f t="shared" si="5"/>
        <v>0</v>
      </c>
      <c r="F11" s="1172">
        <f>+'Table 5C1A-Madison Prep'!F11</f>
        <v>555.91</v>
      </c>
      <c r="G11" s="1172">
        <f t="shared" si="6"/>
        <v>0</v>
      </c>
      <c r="H11" s="1540">
        <f t="shared" si="7"/>
        <v>0</v>
      </c>
      <c r="I11" s="1173"/>
      <c r="J11" s="1173"/>
      <c r="K11" s="1174">
        <f t="shared" si="8"/>
        <v>0</v>
      </c>
      <c r="L11" s="1540">
        <f t="shared" si="9"/>
        <v>0</v>
      </c>
      <c r="M11" s="1399">
        <f t="shared" si="4"/>
        <v>0</v>
      </c>
      <c r="N11" s="1540">
        <f t="shared" si="10"/>
        <v>0</v>
      </c>
      <c r="O11" s="1171">
        <v>0</v>
      </c>
      <c r="P11" s="1546">
        <f t="shared" si="11"/>
        <v>0</v>
      </c>
      <c r="Q11" s="1173"/>
      <c r="R11" s="1173">
        <f t="shared" si="12"/>
        <v>0</v>
      </c>
      <c r="S11" s="1546">
        <f t="shared" si="13"/>
        <v>0</v>
      </c>
      <c r="T11" s="1546">
        <f t="shared" si="14"/>
        <v>0</v>
      </c>
      <c r="U11" s="1382">
        <f>'Table 5C1A-Madison Prep'!U11</f>
        <v>1921</v>
      </c>
      <c r="V11" s="1516">
        <f t="shared" si="15"/>
        <v>0</v>
      </c>
      <c r="W11" s="1400"/>
      <c r="X11" s="1383">
        <f t="shared" si="16"/>
        <v>0</v>
      </c>
      <c r="Y11" s="1400"/>
      <c r="Z11" s="1383">
        <f t="shared" si="17"/>
        <v>0</v>
      </c>
      <c r="AA11" s="1384">
        <f t="shared" si="18"/>
        <v>0</v>
      </c>
      <c r="AB11" s="1511">
        <f t="shared" si="19"/>
        <v>0</v>
      </c>
      <c r="AC11" s="1402">
        <f t="shared" si="20"/>
        <v>0</v>
      </c>
      <c r="AD11" s="1511">
        <f t="shared" si="21"/>
        <v>0</v>
      </c>
      <c r="AE11" s="1385">
        <v>0</v>
      </c>
      <c r="AF11" s="1511">
        <f t="shared" si="22"/>
        <v>0</v>
      </c>
      <c r="AG11" s="1385"/>
      <c r="AH11" s="1385">
        <f t="shared" si="23"/>
        <v>0</v>
      </c>
      <c r="AI11" s="1511">
        <f t="shared" si="24"/>
        <v>0</v>
      </c>
      <c r="AJ11" s="1531">
        <f t="shared" si="25"/>
        <v>0</v>
      </c>
      <c r="AK11" s="1536">
        <f t="shared" si="26"/>
        <v>0</v>
      </c>
    </row>
    <row r="12" spans="1:37" ht="16.2" customHeight="1">
      <c r="A12" s="1183">
        <v>6</v>
      </c>
      <c r="B12" s="1184" t="s">
        <v>86</v>
      </c>
      <c r="C12" s="1185">
        <v>0</v>
      </c>
      <c r="D12" s="1186">
        <f>+'Table 5C1A-Madison Prep'!D12</f>
        <v>5378.5086124955869</v>
      </c>
      <c r="E12" s="1187">
        <f t="shared" si="5"/>
        <v>0</v>
      </c>
      <c r="F12" s="1187">
        <f>+'Table 5C1A-Madison Prep'!F12</f>
        <v>545.4799999999999</v>
      </c>
      <c r="G12" s="1187">
        <f t="shared" si="6"/>
        <v>0</v>
      </c>
      <c r="H12" s="1538">
        <f t="shared" si="7"/>
        <v>0</v>
      </c>
      <c r="I12" s="1188"/>
      <c r="J12" s="1188"/>
      <c r="K12" s="1189">
        <f t="shared" si="8"/>
        <v>0</v>
      </c>
      <c r="L12" s="1538">
        <f t="shared" si="9"/>
        <v>0</v>
      </c>
      <c r="M12" s="1372">
        <f t="shared" si="4"/>
        <v>0</v>
      </c>
      <c r="N12" s="1538">
        <f t="shared" si="10"/>
        <v>0</v>
      </c>
      <c r="O12" s="1186">
        <v>0</v>
      </c>
      <c r="P12" s="1544">
        <f t="shared" si="11"/>
        <v>0</v>
      </c>
      <c r="Q12" s="1188"/>
      <c r="R12" s="1188">
        <f t="shared" si="12"/>
        <v>0</v>
      </c>
      <c r="S12" s="1544">
        <f t="shared" si="13"/>
        <v>0</v>
      </c>
      <c r="T12" s="1544">
        <f t="shared" si="14"/>
        <v>0</v>
      </c>
      <c r="U12" s="1373">
        <f>'Table 5C1A-Madison Prep'!U12</f>
        <v>3807</v>
      </c>
      <c r="V12" s="1514">
        <f t="shared" si="15"/>
        <v>0</v>
      </c>
      <c r="W12" s="1375"/>
      <c r="X12" s="1376">
        <f t="shared" si="16"/>
        <v>0</v>
      </c>
      <c r="Y12" s="1375"/>
      <c r="Z12" s="1376">
        <f t="shared" si="17"/>
        <v>0</v>
      </c>
      <c r="AA12" s="1374">
        <f t="shared" si="18"/>
        <v>0</v>
      </c>
      <c r="AB12" s="1509">
        <f t="shared" si="19"/>
        <v>0</v>
      </c>
      <c r="AC12" s="1378">
        <f t="shared" si="20"/>
        <v>0</v>
      </c>
      <c r="AD12" s="1509">
        <f t="shared" si="21"/>
        <v>0</v>
      </c>
      <c r="AE12" s="1379">
        <v>0</v>
      </c>
      <c r="AF12" s="1509">
        <f t="shared" si="22"/>
        <v>0</v>
      </c>
      <c r="AG12" s="1379"/>
      <c r="AH12" s="1379">
        <f t="shared" si="23"/>
        <v>0</v>
      </c>
      <c r="AI12" s="1509">
        <f t="shared" si="24"/>
        <v>0</v>
      </c>
      <c r="AJ12" s="1530">
        <f t="shared" si="25"/>
        <v>0</v>
      </c>
      <c r="AK12" s="1534">
        <f t="shared" si="26"/>
        <v>0</v>
      </c>
    </row>
    <row r="13" spans="1:37" ht="16.2" customHeight="1">
      <c r="A13" s="1176">
        <v>7</v>
      </c>
      <c r="B13" s="1177" t="s">
        <v>87</v>
      </c>
      <c r="C13" s="1178">
        <v>0</v>
      </c>
      <c r="D13" s="1179">
        <f>+'Table 5C1A-Madison Prep'!D13</f>
        <v>2243.0031963470319</v>
      </c>
      <c r="E13" s="1180">
        <f t="shared" si="5"/>
        <v>0</v>
      </c>
      <c r="F13" s="1180">
        <f>+'Table 5C1A-Madison Prep'!F13</f>
        <v>756.91999999999985</v>
      </c>
      <c r="G13" s="1180">
        <f t="shared" si="6"/>
        <v>0</v>
      </c>
      <c r="H13" s="1539">
        <f t="shared" si="7"/>
        <v>0</v>
      </c>
      <c r="I13" s="1181"/>
      <c r="J13" s="1181"/>
      <c r="K13" s="1182">
        <f t="shared" si="8"/>
        <v>0</v>
      </c>
      <c r="L13" s="1539">
        <f t="shared" si="9"/>
        <v>0</v>
      </c>
      <c r="M13" s="1388">
        <f t="shared" si="4"/>
        <v>0</v>
      </c>
      <c r="N13" s="1539">
        <f t="shared" si="10"/>
        <v>0</v>
      </c>
      <c r="O13" s="1179">
        <v>0</v>
      </c>
      <c r="P13" s="1545">
        <f t="shared" si="11"/>
        <v>0</v>
      </c>
      <c r="Q13" s="1181"/>
      <c r="R13" s="1181">
        <f t="shared" si="12"/>
        <v>0</v>
      </c>
      <c r="S13" s="1545">
        <f t="shared" si="13"/>
        <v>0</v>
      </c>
      <c r="T13" s="1545">
        <f t="shared" si="14"/>
        <v>0</v>
      </c>
      <c r="U13" s="1389">
        <f>'Table 5C1A-Madison Prep'!U13</f>
        <v>11888</v>
      </c>
      <c r="V13" s="1515">
        <f t="shared" si="15"/>
        <v>0</v>
      </c>
      <c r="W13" s="1391"/>
      <c r="X13" s="1392">
        <f t="shared" si="16"/>
        <v>0</v>
      </c>
      <c r="Y13" s="1391"/>
      <c r="Z13" s="1392">
        <f t="shared" si="17"/>
        <v>0</v>
      </c>
      <c r="AA13" s="1390">
        <f t="shared" si="18"/>
        <v>0</v>
      </c>
      <c r="AB13" s="1510">
        <f t="shared" si="19"/>
        <v>0</v>
      </c>
      <c r="AC13" s="1394">
        <f t="shared" si="20"/>
        <v>0</v>
      </c>
      <c r="AD13" s="1510">
        <f t="shared" si="21"/>
        <v>0</v>
      </c>
      <c r="AE13" s="1395">
        <v>0</v>
      </c>
      <c r="AF13" s="1510">
        <f t="shared" si="22"/>
        <v>0</v>
      </c>
      <c r="AG13" s="1395"/>
      <c r="AH13" s="1395">
        <f t="shared" si="23"/>
        <v>0</v>
      </c>
      <c r="AI13" s="1510">
        <f t="shared" si="24"/>
        <v>0</v>
      </c>
      <c r="AJ13" s="1505">
        <f t="shared" si="25"/>
        <v>0</v>
      </c>
      <c r="AK13" s="1535">
        <f t="shared" si="26"/>
        <v>0</v>
      </c>
    </row>
    <row r="14" spans="1:37" ht="16.2" customHeight="1">
      <c r="A14" s="1176">
        <v>8</v>
      </c>
      <c r="B14" s="1177" t="s">
        <v>88</v>
      </c>
      <c r="C14" s="1178">
        <v>0</v>
      </c>
      <c r="D14" s="1179">
        <f>+'Table 5C1A-Madison Prep'!D14</f>
        <v>4669.802459558854</v>
      </c>
      <c r="E14" s="1180">
        <f t="shared" si="5"/>
        <v>0</v>
      </c>
      <c r="F14" s="1180">
        <f>+'Table 5C1A-Madison Prep'!F14</f>
        <v>725.76</v>
      </c>
      <c r="G14" s="1180">
        <f t="shared" si="6"/>
        <v>0</v>
      </c>
      <c r="H14" s="1539">
        <f t="shared" si="7"/>
        <v>0</v>
      </c>
      <c r="I14" s="1181"/>
      <c r="J14" s="1181"/>
      <c r="K14" s="1182">
        <f t="shared" si="8"/>
        <v>0</v>
      </c>
      <c r="L14" s="1539">
        <f t="shared" si="9"/>
        <v>0</v>
      </c>
      <c r="M14" s="1388">
        <f t="shared" si="4"/>
        <v>0</v>
      </c>
      <c r="N14" s="1539">
        <f t="shared" si="10"/>
        <v>0</v>
      </c>
      <c r="O14" s="1179">
        <v>0</v>
      </c>
      <c r="P14" s="1545">
        <f t="shared" si="11"/>
        <v>0</v>
      </c>
      <c r="Q14" s="1181"/>
      <c r="R14" s="1181">
        <f t="shared" si="12"/>
        <v>0</v>
      </c>
      <c r="S14" s="1545">
        <f t="shared" si="13"/>
        <v>0</v>
      </c>
      <c r="T14" s="1545">
        <f t="shared" si="14"/>
        <v>0</v>
      </c>
      <c r="U14" s="1389">
        <f>'Table 5C1A-Madison Prep'!U14</f>
        <v>4024</v>
      </c>
      <c r="V14" s="1515">
        <f t="shared" si="15"/>
        <v>0</v>
      </c>
      <c r="W14" s="1391"/>
      <c r="X14" s="1392">
        <f t="shared" si="16"/>
        <v>0</v>
      </c>
      <c r="Y14" s="1391"/>
      <c r="Z14" s="1392">
        <f t="shared" si="17"/>
        <v>0</v>
      </c>
      <c r="AA14" s="1390">
        <f t="shared" si="18"/>
        <v>0</v>
      </c>
      <c r="AB14" s="1510">
        <f t="shared" si="19"/>
        <v>0</v>
      </c>
      <c r="AC14" s="1394">
        <f t="shared" si="20"/>
        <v>0</v>
      </c>
      <c r="AD14" s="1510">
        <f t="shared" si="21"/>
        <v>0</v>
      </c>
      <c r="AE14" s="1395">
        <v>0</v>
      </c>
      <c r="AF14" s="1510">
        <f t="shared" si="22"/>
        <v>0</v>
      </c>
      <c r="AG14" s="1395"/>
      <c r="AH14" s="1395">
        <f t="shared" si="23"/>
        <v>0</v>
      </c>
      <c r="AI14" s="1510">
        <f t="shared" si="24"/>
        <v>0</v>
      </c>
      <c r="AJ14" s="1505">
        <f t="shared" si="25"/>
        <v>0</v>
      </c>
      <c r="AK14" s="1535">
        <f t="shared" si="26"/>
        <v>0</v>
      </c>
    </row>
    <row r="15" spans="1:37" ht="16.2" customHeight="1">
      <c r="A15" s="1176">
        <v>9</v>
      </c>
      <c r="B15" s="1177" t="s">
        <v>89</v>
      </c>
      <c r="C15" s="1178">
        <v>0</v>
      </c>
      <c r="D15" s="1179">
        <f>+'Table 5C1A-Madison Prep'!D15</f>
        <v>4632.4615072045008</v>
      </c>
      <c r="E15" s="1180">
        <f t="shared" si="5"/>
        <v>0</v>
      </c>
      <c r="F15" s="1180">
        <f>+'Table 5C1A-Madison Prep'!F15</f>
        <v>744.76</v>
      </c>
      <c r="G15" s="1180">
        <f t="shared" si="6"/>
        <v>0</v>
      </c>
      <c r="H15" s="1539">
        <f t="shared" si="7"/>
        <v>0</v>
      </c>
      <c r="I15" s="1181"/>
      <c r="J15" s="1181"/>
      <c r="K15" s="1182">
        <f t="shared" si="8"/>
        <v>0</v>
      </c>
      <c r="L15" s="1539">
        <f t="shared" si="9"/>
        <v>0</v>
      </c>
      <c r="M15" s="1388">
        <f t="shared" si="4"/>
        <v>0</v>
      </c>
      <c r="N15" s="1539">
        <f t="shared" si="10"/>
        <v>0</v>
      </c>
      <c r="O15" s="1179">
        <v>0</v>
      </c>
      <c r="P15" s="1545">
        <f t="shared" si="11"/>
        <v>0</v>
      </c>
      <c r="Q15" s="1181"/>
      <c r="R15" s="1181">
        <f t="shared" si="12"/>
        <v>0</v>
      </c>
      <c r="S15" s="1545">
        <f t="shared" si="13"/>
        <v>0</v>
      </c>
      <c r="T15" s="1545">
        <f t="shared" si="14"/>
        <v>0</v>
      </c>
      <c r="U15" s="1389">
        <f>'Table 5C1A-Madison Prep'!U15</f>
        <v>4828</v>
      </c>
      <c r="V15" s="1515">
        <f t="shared" si="15"/>
        <v>0</v>
      </c>
      <c r="W15" s="1391"/>
      <c r="X15" s="1392">
        <f t="shared" si="16"/>
        <v>0</v>
      </c>
      <c r="Y15" s="1391"/>
      <c r="Z15" s="1392">
        <f t="shared" si="17"/>
        <v>0</v>
      </c>
      <c r="AA15" s="1390">
        <f t="shared" si="18"/>
        <v>0</v>
      </c>
      <c r="AB15" s="1510">
        <f t="shared" si="19"/>
        <v>0</v>
      </c>
      <c r="AC15" s="1394">
        <f t="shared" si="20"/>
        <v>0</v>
      </c>
      <c r="AD15" s="1510">
        <f t="shared" si="21"/>
        <v>0</v>
      </c>
      <c r="AE15" s="1395">
        <v>0</v>
      </c>
      <c r="AF15" s="1510">
        <f t="shared" si="22"/>
        <v>0</v>
      </c>
      <c r="AG15" s="1395"/>
      <c r="AH15" s="1395">
        <f t="shared" si="23"/>
        <v>0</v>
      </c>
      <c r="AI15" s="1510">
        <f t="shared" si="24"/>
        <v>0</v>
      </c>
      <c r="AJ15" s="1505">
        <f t="shared" si="25"/>
        <v>0</v>
      </c>
      <c r="AK15" s="1535">
        <f t="shared" si="26"/>
        <v>0</v>
      </c>
    </row>
    <row r="16" spans="1:37" ht="16.2" customHeight="1">
      <c r="A16" s="1168">
        <v>10</v>
      </c>
      <c r="B16" s="1169" t="s">
        <v>90</v>
      </c>
      <c r="C16" s="1170">
        <v>0</v>
      </c>
      <c r="D16" s="1171">
        <f>+'Table 5C1A-Madison Prep'!D16</f>
        <v>4384.374733918472</v>
      </c>
      <c r="E16" s="1172">
        <f t="shared" si="5"/>
        <v>0</v>
      </c>
      <c r="F16" s="1172">
        <f>+'Table 5C1A-Madison Prep'!F16</f>
        <v>608.04000000000008</v>
      </c>
      <c r="G16" s="1172">
        <f t="shared" si="6"/>
        <v>0</v>
      </c>
      <c r="H16" s="1540">
        <f t="shared" si="7"/>
        <v>0</v>
      </c>
      <c r="I16" s="1173"/>
      <c r="J16" s="1173"/>
      <c r="K16" s="1174">
        <f t="shared" si="8"/>
        <v>0</v>
      </c>
      <c r="L16" s="1540">
        <f t="shared" si="9"/>
        <v>0</v>
      </c>
      <c r="M16" s="1399">
        <f t="shared" si="4"/>
        <v>0</v>
      </c>
      <c r="N16" s="1540">
        <f t="shared" si="10"/>
        <v>0</v>
      </c>
      <c r="O16" s="1171">
        <v>0</v>
      </c>
      <c r="P16" s="1546">
        <f t="shared" si="11"/>
        <v>0</v>
      </c>
      <c r="Q16" s="1173"/>
      <c r="R16" s="1173">
        <f t="shared" si="12"/>
        <v>0</v>
      </c>
      <c r="S16" s="1546">
        <f t="shared" si="13"/>
        <v>0</v>
      </c>
      <c r="T16" s="1546">
        <f t="shared" si="14"/>
        <v>0</v>
      </c>
      <c r="U16" s="1382">
        <f>'Table 5C1A-Madison Prep'!U16</f>
        <v>4565</v>
      </c>
      <c r="V16" s="1516">
        <f t="shared" si="15"/>
        <v>0</v>
      </c>
      <c r="W16" s="1400"/>
      <c r="X16" s="1383">
        <f t="shared" si="16"/>
        <v>0</v>
      </c>
      <c r="Y16" s="1400"/>
      <c r="Z16" s="1383">
        <f t="shared" si="17"/>
        <v>0</v>
      </c>
      <c r="AA16" s="1384">
        <f t="shared" si="18"/>
        <v>0</v>
      </c>
      <c r="AB16" s="1511">
        <f t="shared" si="19"/>
        <v>0</v>
      </c>
      <c r="AC16" s="1402">
        <f t="shared" si="20"/>
        <v>0</v>
      </c>
      <c r="AD16" s="1511">
        <f t="shared" si="21"/>
        <v>0</v>
      </c>
      <c r="AE16" s="1385">
        <v>0</v>
      </c>
      <c r="AF16" s="1511">
        <f t="shared" si="22"/>
        <v>0</v>
      </c>
      <c r="AG16" s="1385"/>
      <c r="AH16" s="1385">
        <f t="shared" si="23"/>
        <v>0</v>
      </c>
      <c r="AI16" s="1511">
        <f t="shared" si="24"/>
        <v>0</v>
      </c>
      <c r="AJ16" s="1531">
        <f t="shared" si="25"/>
        <v>0</v>
      </c>
      <c r="AK16" s="1536">
        <f t="shared" si="26"/>
        <v>0</v>
      </c>
    </row>
    <row r="17" spans="1:37" ht="16.2" customHeight="1">
      <c r="A17" s="1183">
        <v>11</v>
      </c>
      <c r="B17" s="1184" t="s">
        <v>91</v>
      </c>
      <c r="C17" s="1185">
        <v>0</v>
      </c>
      <c r="D17" s="1186">
        <f>+'Table 5C1A-Madison Prep'!D17</f>
        <v>7098.5372236353351</v>
      </c>
      <c r="E17" s="1187">
        <f t="shared" si="5"/>
        <v>0</v>
      </c>
      <c r="F17" s="1187">
        <f>+'Table 5C1A-Madison Prep'!F17</f>
        <v>706.55</v>
      </c>
      <c r="G17" s="1187">
        <f t="shared" si="6"/>
        <v>0</v>
      </c>
      <c r="H17" s="1538">
        <f t="shared" si="7"/>
        <v>0</v>
      </c>
      <c r="I17" s="1188"/>
      <c r="J17" s="1188"/>
      <c r="K17" s="1189">
        <f t="shared" si="8"/>
        <v>0</v>
      </c>
      <c r="L17" s="1538">
        <f t="shared" si="9"/>
        <v>0</v>
      </c>
      <c r="M17" s="1372">
        <f t="shared" si="4"/>
        <v>0</v>
      </c>
      <c r="N17" s="1538">
        <f t="shared" si="10"/>
        <v>0</v>
      </c>
      <c r="O17" s="1186">
        <v>0</v>
      </c>
      <c r="P17" s="1544">
        <f t="shared" si="11"/>
        <v>0</v>
      </c>
      <c r="Q17" s="1188"/>
      <c r="R17" s="1188">
        <f t="shared" si="12"/>
        <v>0</v>
      </c>
      <c r="S17" s="1544">
        <f t="shared" si="13"/>
        <v>0</v>
      </c>
      <c r="T17" s="1544">
        <f t="shared" si="14"/>
        <v>0</v>
      </c>
      <c r="U17" s="1373">
        <f>'Table 5C1A-Madison Prep'!U17</f>
        <v>3587</v>
      </c>
      <c r="V17" s="1514">
        <f t="shared" si="15"/>
        <v>0</v>
      </c>
      <c r="W17" s="1375"/>
      <c r="X17" s="1376">
        <f t="shared" si="16"/>
        <v>0</v>
      </c>
      <c r="Y17" s="1375"/>
      <c r="Z17" s="1376">
        <f t="shared" si="17"/>
        <v>0</v>
      </c>
      <c r="AA17" s="1374">
        <f t="shared" si="18"/>
        <v>0</v>
      </c>
      <c r="AB17" s="1509">
        <f t="shared" si="19"/>
        <v>0</v>
      </c>
      <c r="AC17" s="1378">
        <f t="shared" si="20"/>
        <v>0</v>
      </c>
      <c r="AD17" s="1509">
        <f t="shared" si="21"/>
        <v>0</v>
      </c>
      <c r="AE17" s="1379">
        <v>0</v>
      </c>
      <c r="AF17" s="1509">
        <f t="shared" si="22"/>
        <v>0</v>
      </c>
      <c r="AG17" s="1379"/>
      <c r="AH17" s="1379">
        <f t="shared" si="23"/>
        <v>0</v>
      </c>
      <c r="AI17" s="1509">
        <f t="shared" si="24"/>
        <v>0</v>
      </c>
      <c r="AJ17" s="1530">
        <f t="shared" si="25"/>
        <v>0</v>
      </c>
      <c r="AK17" s="1534">
        <f t="shared" si="26"/>
        <v>0</v>
      </c>
    </row>
    <row r="18" spans="1:37" ht="16.2" customHeight="1">
      <c r="A18" s="1176">
        <v>12</v>
      </c>
      <c r="B18" s="1177" t="s">
        <v>92</v>
      </c>
      <c r="C18" s="1178">
        <v>0</v>
      </c>
      <c r="D18" s="1179">
        <f>+'Table 5C1A-Madison Prep'!D18</f>
        <v>1666.6040983606558</v>
      </c>
      <c r="E18" s="1180">
        <f t="shared" si="5"/>
        <v>0</v>
      </c>
      <c r="F18" s="1180">
        <f>+'Table 5C1A-Madison Prep'!F18</f>
        <v>1063.31</v>
      </c>
      <c r="G18" s="1180">
        <f t="shared" si="6"/>
        <v>0</v>
      </c>
      <c r="H18" s="1539">
        <f t="shared" si="7"/>
        <v>0</v>
      </c>
      <c r="I18" s="1181"/>
      <c r="J18" s="1181"/>
      <c r="K18" s="1182">
        <f t="shared" si="8"/>
        <v>0</v>
      </c>
      <c r="L18" s="1539">
        <f t="shared" si="9"/>
        <v>0</v>
      </c>
      <c r="M18" s="1388">
        <f t="shared" si="4"/>
        <v>0</v>
      </c>
      <c r="N18" s="1539">
        <f t="shared" si="10"/>
        <v>0</v>
      </c>
      <c r="O18" s="1179">
        <v>0</v>
      </c>
      <c r="P18" s="1545">
        <f t="shared" si="11"/>
        <v>0</v>
      </c>
      <c r="Q18" s="1181"/>
      <c r="R18" s="1181">
        <f t="shared" si="12"/>
        <v>0</v>
      </c>
      <c r="S18" s="1545">
        <f t="shared" si="13"/>
        <v>0</v>
      </c>
      <c r="T18" s="1545">
        <f t="shared" si="14"/>
        <v>0</v>
      </c>
      <c r="U18" s="1389">
        <f>'Table 5C1A-Madison Prep'!U18</f>
        <v>8094</v>
      </c>
      <c r="V18" s="1515">
        <f t="shared" si="15"/>
        <v>0</v>
      </c>
      <c r="W18" s="1391"/>
      <c r="X18" s="1392">
        <f t="shared" si="16"/>
        <v>0</v>
      </c>
      <c r="Y18" s="1391"/>
      <c r="Z18" s="1392">
        <f t="shared" si="17"/>
        <v>0</v>
      </c>
      <c r="AA18" s="1390">
        <f t="shared" si="18"/>
        <v>0</v>
      </c>
      <c r="AB18" s="1510">
        <f t="shared" si="19"/>
        <v>0</v>
      </c>
      <c r="AC18" s="1394">
        <f t="shared" si="20"/>
        <v>0</v>
      </c>
      <c r="AD18" s="1510">
        <f t="shared" si="21"/>
        <v>0</v>
      </c>
      <c r="AE18" s="1395">
        <v>0</v>
      </c>
      <c r="AF18" s="1510">
        <f t="shared" si="22"/>
        <v>0</v>
      </c>
      <c r="AG18" s="1395"/>
      <c r="AH18" s="1395">
        <f t="shared" si="23"/>
        <v>0</v>
      </c>
      <c r="AI18" s="1510">
        <f t="shared" si="24"/>
        <v>0</v>
      </c>
      <c r="AJ18" s="1505">
        <f t="shared" si="25"/>
        <v>0</v>
      </c>
      <c r="AK18" s="1535">
        <f t="shared" si="26"/>
        <v>0</v>
      </c>
    </row>
    <row r="19" spans="1:37" ht="16.2" customHeight="1">
      <c r="A19" s="1176">
        <v>13</v>
      </c>
      <c r="B19" s="1177" t="s">
        <v>93</v>
      </c>
      <c r="C19" s="1178">
        <v>0</v>
      </c>
      <c r="D19" s="1179">
        <f>+'Table 5C1A-Madison Prep'!D19</f>
        <v>6433.6297758332212</v>
      </c>
      <c r="E19" s="1180">
        <f t="shared" si="5"/>
        <v>0</v>
      </c>
      <c r="F19" s="1180">
        <f>+'Table 5C1A-Madison Prep'!F19</f>
        <v>749.43000000000006</v>
      </c>
      <c r="G19" s="1180">
        <f t="shared" si="6"/>
        <v>0</v>
      </c>
      <c r="H19" s="1539">
        <f t="shared" si="7"/>
        <v>0</v>
      </c>
      <c r="I19" s="1181"/>
      <c r="J19" s="1181"/>
      <c r="K19" s="1182">
        <f t="shared" si="8"/>
        <v>0</v>
      </c>
      <c r="L19" s="1539">
        <f t="shared" si="9"/>
        <v>0</v>
      </c>
      <c r="M19" s="1388">
        <f t="shared" si="4"/>
        <v>0</v>
      </c>
      <c r="N19" s="1539">
        <f t="shared" si="10"/>
        <v>0</v>
      </c>
      <c r="O19" s="1179">
        <v>0</v>
      </c>
      <c r="P19" s="1545">
        <f t="shared" si="11"/>
        <v>0</v>
      </c>
      <c r="Q19" s="1181"/>
      <c r="R19" s="1181">
        <f t="shared" si="12"/>
        <v>0</v>
      </c>
      <c r="S19" s="1545">
        <f t="shared" si="13"/>
        <v>0</v>
      </c>
      <c r="T19" s="1545">
        <f t="shared" si="14"/>
        <v>0</v>
      </c>
      <c r="U19" s="1389">
        <f>'Table 5C1A-Madison Prep'!U19</f>
        <v>2842</v>
      </c>
      <c r="V19" s="1515">
        <f t="shared" si="15"/>
        <v>0</v>
      </c>
      <c r="W19" s="1391"/>
      <c r="X19" s="1392">
        <f t="shared" si="16"/>
        <v>0</v>
      </c>
      <c r="Y19" s="1391"/>
      <c r="Z19" s="1392">
        <f t="shared" si="17"/>
        <v>0</v>
      </c>
      <c r="AA19" s="1390">
        <f t="shared" si="18"/>
        <v>0</v>
      </c>
      <c r="AB19" s="1510">
        <f t="shared" si="19"/>
        <v>0</v>
      </c>
      <c r="AC19" s="1394">
        <f t="shared" si="20"/>
        <v>0</v>
      </c>
      <c r="AD19" s="1510">
        <f t="shared" si="21"/>
        <v>0</v>
      </c>
      <c r="AE19" s="1395">
        <v>0</v>
      </c>
      <c r="AF19" s="1510">
        <f t="shared" si="22"/>
        <v>0</v>
      </c>
      <c r="AG19" s="1395"/>
      <c r="AH19" s="1395">
        <f t="shared" si="23"/>
        <v>0</v>
      </c>
      <c r="AI19" s="1510">
        <f t="shared" si="24"/>
        <v>0</v>
      </c>
      <c r="AJ19" s="1505">
        <f t="shared" si="25"/>
        <v>0</v>
      </c>
      <c r="AK19" s="1535">
        <f t="shared" si="26"/>
        <v>0</v>
      </c>
    </row>
    <row r="20" spans="1:37" ht="16.2" customHeight="1">
      <c r="A20" s="1176">
        <v>14</v>
      </c>
      <c r="B20" s="1177" t="s">
        <v>94</v>
      </c>
      <c r="C20" s="1178">
        <v>0</v>
      </c>
      <c r="D20" s="1179">
        <f>+'Table 5C1A-Madison Prep'!D20</f>
        <v>5334.9509412500001</v>
      </c>
      <c r="E20" s="1180">
        <f t="shared" si="5"/>
        <v>0</v>
      </c>
      <c r="F20" s="1180">
        <f>+'Table 5C1A-Madison Prep'!F20</f>
        <v>809.9799999999999</v>
      </c>
      <c r="G20" s="1180">
        <f t="shared" si="6"/>
        <v>0</v>
      </c>
      <c r="H20" s="1539">
        <f t="shared" si="7"/>
        <v>0</v>
      </c>
      <c r="I20" s="1181"/>
      <c r="J20" s="1181"/>
      <c r="K20" s="1182">
        <f t="shared" si="8"/>
        <v>0</v>
      </c>
      <c r="L20" s="1539">
        <f t="shared" si="9"/>
        <v>0</v>
      </c>
      <c r="M20" s="1388">
        <f t="shared" si="4"/>
        <v>0</v>
      </c>
      <c r="N20" s="1539">
        <f t="shared" si="10"/>
        <v>0</v>
      </c>
      <c r="O20" s="1179">
        <v>0</v>
      </c>
      <c r="P20" s="1545">
        <f t="shared" si="11"/>
        <v>0</v>
      </c>
      <c r="Q20" s="1181"/>
      <c r="R20" s="1181">
        <f t="shared" si="12"/>
        <v>0</v>
      </c>
      <c r="S20" s="1545">
        <f t="shared" si="13"/>
        <v>0</v>
      </c>
      <c r="T20" s="1545">
        <f t="shared" si="14"/>
        <v>0</v>
      </c>
      <c r="U20" s="1389">
        <f>'Table 5C1A-Madison Prep'!U20</f>
        <v>4205</v>
      </c>
      <c r="V20" s="1515">
        <f t="shared" si="15"/>
        <v>0</v>
      </c>
      <c r="W20" s="1391"/>
      <c r="X20" s="1392">
        <f t="shared" si="16"/>
        <v>0</v>
      </c>
      <c r="Y20" s="1391"/>
      <c r="Z20" s="1392">
        <f t="shared" si="17"/>
        <v>0</v>
      </c>
      <c r="AA20" s="1390">
        <f t="shared" si="18"/>
        <v>0</v>
      </c>
      <c r="AB20" s="1510">
        <f t="shared" si="19"/>
        <v>0</v>
      </c>
      <c r="AC20" s="1394">
        <f t="shared" si="20"/>
        <v>0</v>
      </c>
      <c r="AD20" s="1510">
        <f t="shared" si="21"/>
        <v>0</v>
      </c>
      <c r="AE20" s="1395">
        <v>0</v>
      </c>
      <c r="AF20" s="1510">
        <f t="shared" si="22"/>
        <v>0</v>
      </c>
      <c r="AG20" s="1395"/>
      <c r="AH20" s="1395">
        <f t="shared" si="23"/>
        <v>0</v>
      </c>
      <c r="AI20" s="1510">
        <f t="shared" si="24"/>
        <v>0</v>
      </c>
      <c r="AJ20" s="1505">
        <f t="shared" si="25"/>
        <v>0</v>
      </c>
      <c r="AK20" s="1535">
        <f t="shared" si="26"/>
        <v>0</v>
      </c>
    </row>
    <row r="21" spans="1:37" ht="16.2" customHeight="1">
      <c r="A21" s="1168">
        <v>15</v>
      </c>
      <c r="B21" s="1169" t="s">
        <v>95</v>
      </c>
      <c r="C21" s="1170">
        <v>0</v>
      </c>
      <c r="D21" s="1171">
        <f>+'Table 5C1A-Madison Prep'!D21</f>
        <v>5749.8285214059952</v>
      </c>
      <c r="E21" s="1172">
        <f t="shared" si="5"/>
        <v>0</v>
      </c>
      <c r="F21" s="1172">
        <f>+'Table 5C1A-Madison Prep'!F21</f>
        <v>553.79999999999995</v>
      </c>
      <c r="G21" s="1172">
        <f t="shared" si="6"/>
        <v>0</v>
      </c>
      <c r="H21" s="1540">
        <f t="shared" si="7"/>
        <v>0</v>
      </c>
      <c r="I21" s="1173"/>
      <c r="J21" s="1173"/>
      <c r="K21" s="1174">
        <f t="shared" si="8"/>
        <v>0</v>
      </c>
      <c r="L21" s="1540">
        <f t="shared" si="9"/>
        <v>0</v>
      </c>
      <c r="M21" s="1399">
        <f t="shared" si="4"/>
        <v>0</v>
      </c>
      <c r="N21" s="1540">
        <f t="shared" si="10"/>
        <v>0</v>
      </c>
      <c r="O21" s="1171">
        <v>0</v>
      </c>
      <c r="P21" s="1546">
        <f t="shared" si="11"/>
        <v>0</v>
      </c>
      <c r="Q21" s="1173"/>
      <c r="R21" s="1173">
        <f t="shared" si="12"/>
        <v>0</v>
      </c>
      <c r="S21" s="1546">
        <f t="shared" si="13"/>
        <v>0</v>
      </c>
      <c r="T21" s="1546">
        <f t="shared" si="14"/>
        <v>0</v>
      </c>
      <c r="U21" s="1382">
        <f>'Table 5C1A-Madison Prep'!U21</f>
        <v>2535</v>
      </c>
      <c r="V21" s="1516">
        <f t="shared" si="15"/>
        <v>0</v>
      </c>
      <c r="W21" s="1400"/>
      <c r="X21" s="1383">
        <f t="shared" si="16"/>
        <v>0</v>
      </c>
      <c r="Y21" s="1400"/>
      <c r="Z21" s="1383">
        <f t="shared" si="17"/>
        <v>0</v>
      </c>
      <c r="AA21" s="1384">
        <f t="shared" si="18"/>
        <v>0</v>
      </c>
      <c r="AB21" s="1511">
        <f t="shared" si="19"/>
        <v>0</v>
      </c>
      <c r="AC21" s="1402">
        <f t="shared" si="20"/>
        <v>0</v>
      </c>
      <c r="AD21" s="1511">
        <f t="shared" si="21"/>
        <v>0</v>
      </c>
      <c r="AE21" s="1385">
        <v>0</v>
      </c>
      <c r="AF21" s="1511">
        <f t="shared" si="22"/>
        <v>0</v>
      </c>
      <c r="AG21" s="1385"/>
      <c r="AH21" s="1385">
        <f t="shared" si="23"/>
        <v>0</v>
      </c>
      <c r="AI21" s="1511">
        <f t="shared" si="24"/>
        <v>0</v>
      </c>
      <c r="AJ21" s="1531">
        <f t="shared" si="25"/>
        <v>0</v>
      </c>
      <c r="AK21" s="1536">
        <f t="shared" si="26"/>
        <v>0</v>
      </c>
    </row>
    <row r="22" spans="1:37" ht="16.2" customHeight="1">
      <c r="A22" s="1183">
        <v>16</v>
      </c>
      <c r="B22" s="1184" t="s">
        <v>96</v>
      </c>
      <c r="C22" s="1185">
        <v>0</v>
      </c>
      <c r="D22" s="1186">
        <f>+'Table 5C1A-Madison Prep'!D22</f>
        <v>1980.2494354342025</v>
      </c>
      <c r="E22" s="1187">
        <f t="shared" si="5"/>
        <v>0</v>
      </c>
      <c r="F22" s="1187">
        <f>+'Table 5C1A-Madison Prep'!F22</f>
        <v>686.73</v>
      </c>
      <c r="G22" s="1187">
        <f t="shared" si="6"/>
        <v>0</v>
      </c>
      <c r="H22" s="1538">
        <f t="shared" si="7"/>
        <v>0</v>
      </c>
      <c r="I22" s="1188"/>
      <c r="J22" s="1188"/>
      <c r="K22" s="1189">
        <f t="shared" si="8"/>
        <v>0</v>
      </c>
      <c r="L22" s="1538">
        <f t="shared" si="9"/>
        <v>0</v>
      </c>
      <c r="M22" s="1372">
        <f t="shared" si="4"/>
        <v>0</v>
      </c>
      <c r="N22" s="1538">
        <f t="shared" si="10"/>
        <v>0</v>
      </c>
      <c r="O22" s="1186">
        <v>0</v>
      </c>
      <c r="P22" s="1544">
        <f t="shared" si="11"/>
        <v>0</v>
      </c>
      <c r="Q22" s="1188"/>
      <c r="R22" s="1188">
        <f t="shared" si="12"/>
        <v>0</v>
      </c>
      <c r="S22" s="1544">
        <f t="shared" si="13"/>
        <v>0</v>
      </c>
      <c r="T22" s="1544">
        <f t="shared" si="14"/>
        <v>0</v>
      </c>
      <c r="U22" s="1373">
        <f>'Table 5C1A-Madison Prep'!U22</f>
        <v>12768</v>
      </c>
      <c r="V22" s="1514">
        <f t="shared" si="15"/>
        <v>0</v>
      </c>
      <c r="W22" s="1375"/>
      <c r="X22" s="1376">
        <f t="shared" si="16"/>
        <v>0</v>
      </c>
      <c r="Y22" s="1375"/>
      <c r="Z22" s="1376">
        <f t="shared" si="17"/>
        <v>0</v>
      </c>
      <c r="AA22" s="1374">
        <f t="shared" si="18"/>
        <v>0</v>
      </c>
      <c r="AB22" s="1509">
        <f t="shared" si="19"/>
        <v>0</v>
      </c>
      <c r="AC22" s="1378">
        <f t="shared" si="20"/>
        <v>0</v>
      </c>
      <c r="AD22" s="1509">
        <f t="shared" si="21"/>
        <v>0</v>
      </c>
      <c r="AE22" s="1379">
        <v>0</v>
      </c>
      <c r="AF22" s="1509">
        <f t="shared" si="22"/>
        <v>0</v>
      </c>
      <c r="AG22" s="1379"/>
      <c r="AH22" s="1379">
        <f t="shared" si="23"/>
        <v>0</v>
      </c>
      <c r="AI22" s="1509">
        <f t="shared" si="24"/>
        <v>0</v>
      </c>
      <c r="AJ22" s="1530">
        <f t="shared" si="25"/>
        <v>0</v>
      </c>
      <c r="AK22" s="1534">
        <f t="shared" si="26"/>
        <v>0</v>
      </c>
    </row>
    <row r="23" spans="1:37" ht="16.2" customHeight="1">
      <c r="A23" s="1176">
        <v>17</v>
      </c>
      <c r="B23" s="1177" t="s">
        <v>97</v>
      </c>
      <c r="C23" s="1178">
        <v>0</v>
      </c>
      <c r="D23" s="1179">
        <f>+'Table 5C1A-Madison Prep'!D23</f>
        <v>3363.5980368254495</v>
      </c>
      <c r="E23" s="1180">
        <f t="shared" si="5"/>
        <v>0</v>
      </c>
      <c r="F23" s="1180">
        <f>+'Table 5C1A-Madison Prep'!F23</f>
        <v>801.47762416806802</v>
      </c>
      <c r="G23" s="1180">
        <f t="shared" si="6"/>
        <v>0</v>
      </c>
      <c r="H23" s="1539">
        <f t="shared" si="7"/>
        <v>0</v>
      </c>
      <c r="I23" s="1181"/>
      <c r="J23" s="1181"/>
      <c r="K23" s="1182">
        <f t="shared" si="8"/>
        <v>0</v>
      </c>
      <c r="L23" s="1539">
        <f t="shared" si="9"/>
        <v>0</v>
      </c>
      <c r="M23" s="1388">
        <f t="shared" si="4"/>
        <v>0</v>
      </c>
      <c r="N23" s="1539">
        <f t="shared" si="10"/>
        <v>0</v>
      </c>
      <c r="O23" s="1179">
        <v>0</v>
      </c>
      <c r="P23" s="1545">
        <f t="shared" si="11"/>
        <v>0</v>
      </c>
      <c r="Q23" s="1181"/>
      <c r="R23" s="1181">
        <f t="shared" si="12"/>
        <v>0</v>
      </c>
      <c r="S23" s="1545">
        <f t="shared" si="13"/>
        <v>0</v>
      </c>
      <c r="T23" s="1545">
        <f t="shared" si="14"/>
        <v>0</v>
      </c>
      <c r="U23" s="1389">
        <f>'Table 5C1A-Madison Prep'!U23</f>
        <v>7050</v>
      </c>
      <c r="V23" s="1515">
        <f t="shared" si="15"/>
        <v>0</v>
      </c>
      <c r="W23" s="1391"/>
      <c r="X23" s="1392">
        <f t="shared" si="16"/>
        <v>0</v>
      </c>
      <c r="Y23" s="1391"/>
      <c r="Z23" s="1392">
        <f t="shared" si="17"/>
        <v>0</v>
      </c>
      <c r="AA23" s="1390">
        <f t="shared" si="18"/>
        <v>0</v>
      </c>
      <c r="AB23" s="1510">
        <f t="shared" si="19"/>
        <v>0</v>
      </c>
      <c r="AC23" s="1394">
        <f t="shared" si="20"/>
        <v>0</v>
      </c>
      <c r="AD23" s="1510">
        <f t="shared" si="21"/>
        <v>0</v>
      </c>
      <c r="AE23" s="1395">
        <v>0</v>
      </c>
      <c r="AF23" s="1510">
        <f t="shared" si="22"/>
        <v>0</v>
      </c>
      <c r="AG23" s="1395"/>
      <c r="AH23" s="1395">
        <f t="shared" si="23"/>
        <v>0</v>
      </c>
      <c r="AI23" s="1510">
        <f t="shared" si="24"/>
        <v>0</v>
      </c>
      <c r="AJ23" s="1505">
        <f t="shared" si="25"/>
        <v>0</v>
      </c>
      <c r="AK23" s="1535">
        <f t="shared" si="26"/>
        <v>0</v>
      </c>
    </row>
    <row r="24" spans="1:37" ht="16.2" customHeight="1">
      <c r="A24" s="1176">
        <v>18</v>
      </c>
      <c r="B24" s="1177" t="s">
        <v>98</v>
      </c>
      <c r="C24" s="1178">
        <v>0</v>
      </c>
      <c r="D24" s="1179">
        <f>+'Table 5C1A-Madison Prep'!D24</f>
        <v>6354.5533500475731</v>
      </c>
      <c r="E24" s="1180">
        <f t="shared" si="5"/>
        <v>0</v>
      </c>
      <c r="F24" s="1180">
        <f>+'Table 5C1A-Madison Prep'!F24</f>
        <v>845.94999999999993</v>
      </c>
      <c r="G24" s="1180">
        <f t="shared" si="6"/>
        <v>0</v>
      </c>
      <c r="H24" s="1539">
        <f t="shared" si="7"/>
        <v>0</v>
      </c>
      <c r="I24" s="1181"/>
      <c r="J24" s="1181"/>
      <c r="K24" s="1182">
        <f t="shared" si="8"/>
        <v>0</v>
      </c>
      <c r="L24" s="1539">
        <f t="shared" si="9"/>
        <v>0</v>
      </c>
      <c r="M24" s="1388">
        <f t="shared" si="4"/>
        <v>0</v>
      </c>
      <c r="N24" s="1539">
        <f t="shared" si="10"/>
        <v>0</v>
      </c>
      <c r="O24" s="1179">
        <v>0</v>
      </c>
      <c r="P24" s="1545">
        <f t="shared" si="11"/>
        <v>0</v>
      </c>
      <c r="Q24" s="1181"/>
      <c r="R24" s="1181">
        <f t="shared" si="12"/>
        <v>0</v>
      </c>
      <c r="S24" s="1545">
        <f t="shared" si="13"/>
        <v>0</v>
      </c>
      <c r="T24" s="1545">
        <f t="shared" si="14"/>
        <v>0</v>
      </c>
      <c r="U24" s="1389">
        <f>'Table 5C1A-Madison Prep'!U24</f>
        <v>2526</v>
      </c>
      <c r="V24" s="1515">
        <f t="shared" si="15"/>
        <v>0</v>
      </c>
      <c r="W24" s="1391"/>
      <c r="X24" s="1392">
        <f t="shared" si="16"/>
        <v>0</v>
      </c>
      <c r="Y24" s="1391"/>
      <c r="Z24" s="1392">
        <f t="shared" si="17"/>
        <v>0</v>
      </c>
      <c r="AA24" s="1390">
        <f t="shared" si="18"/>
        <v>0</v>
      </c>
      <c r="AB24" s="1510">
        <f t="shared" si="19"/>
        <v>0</v>
      </c>
      <c r="AC24" s="1394">
        <f t="shared" si="20"/>
        <v>0</v>
      </c>
      <c r="AD24" s="1510">
        <f t="shared" si="21"/>
        <v>0</v>
      </c>
      <c r="AE24" s="1395">
        <v>0</v>
      </c>
      <c r="AF24" s="1510">
        <f t="shared" si="22"/>
        <v>0</v>
      </c>
      <c r="AG24" s="1395"/>
      <c r="AH24" s="1395">
        <f t="shared" si="23"/>
        <v>0</v>
      </c>
      <c r="AI24" s="1510">
        <f t="shared" si="24"/>
        <v>0</v>
      </c>
      <c r="AJ24" s="1505">
        <f t="shared" si="25"/>
        <v>0</v>
      </c>
      <c r="AK24" s="1535">
        <f t="shared" si="26"/>
        <v>0</v>
      </c>
    </row>
    <row r="25" spans="1:37" ht="16.2" customHeight="1">
      <c r="A25" s="1176">
        <v>19</v>
      </c>
      <c r="B25" s="1177" t="s">
        <v>99</v>
      </c>
      <c r="C25" s="1178">
        <v>0</v>
      </c>
      <c r="D25" s="1179">
        <f>+'Table 5C1A-Madison Prep'!D25</f>
        <v>5314.3921869460446</v>
      </c>
      <c r="E25" s="1180">
        <f t="shared" si="5"/>
        <v>0</v>
      </c>
      <c r="F25" s="1180">
        <f>+'Table 5C1A-Madison Prep'!F25</f>
        <v>905.43</v>
      </c>
      <c r="G25" s="1180">
        <f t="shared" si="6"/>
        <v>0</v>
      </c>
      <c r="H25" s="1539">
        <f t="shared" si="7"/>
        <v>0</v>
      </c>
      <c r="I25" s="1181"/>
      <c r="J25" s="1181"/>
      <c r="K25" s="1182">
        <f t="shared" si="8"/>
        <v>0</v>
      </c>
      <c r="L25" s="1539">
        <f t="shared" si="9"/>
        <v>0</v>
      </c>
      <c r="M25" s="1388">
        <f t="shared" si="4"/>
        <v>0</v>
      </c>
      <c r="N25" s="1539">
        <f t="shared" si="10"/>
        <v>0</v>
      </c>
      <c r="O25" s="1179">
        <v>0</v>
      </c>
      <c r="P25" s="1545">
        <f t="shared" si="11"/>
        <v>0</v>
      </c>
      <c r="Q25" s="1181"/>
      <c r="R25" s="1181">
        <f t="shared" si="12"/>
        <v>0</v>
      </c>
      <c r="S25" s="1545">
        <f t="shared" si="13"/>
        <v>0</v>
      </c>
      <c r="T25" s="1545">
        <f t="shared" si="14"/>
        <v>0</v>
      </c>
      <c r="U25" s="1389">
        <f>'Table 5C1A-Madison Prep'!U25</f>
        <v>2908</v>
      </c>
      <c r="V25" s="1515">
        <f t="shared" si="15"/>
        <v>0</v>
      </c>
      <c r="W25" s="1391"/>
      <c r="X25" s="1392">
        <f t="shared" si="16"/>
        <v>0</v>
      </c>
      <c r="Y25" s="1391"/>
      <c r="Z25" s="1392">
        <f t="shared" si="17"/>
        <v>0</v>
      </c>
      <c r="AA25" s="1390">
        <f t="shared" si="18"/>
        <v>0</v>
      </c>
      <c r="AB25" s="1510">
        <f t="shared" si="19"/>
        <v>0</v>
      </c>
      <c r="AC25" s="1394">
        <f t="shared" si="20"/>
        <v>0</v>
      </c>
      <c r="AD25" s="1510">
        <f t="shared" si="21"/>
        <v>0</v>
      </c>
      <c r="AE25" s="1395">
        <v>0</v>
      </c>
      <c r="AF25" s="1510">
        <f t="shared" si="22"/>
        <v>0</v>
      </c>
      <c r="AG25" s="1395"/>
      <c r="AH25" s="1395">
        <f t="shared" si="23"/>
        <v>0</v>
      </c>
      <c r="AI25" s="1510">
        <f t="shared" si="24"/>
        <v>0</v>
      </c>
      <c r="AJ25" s="1505">
        <f t="shared" si="25"/>
        <v>0</v>
      </c>
      <c r="AK25" s="1535">
        <f t="shared" si="26"/>
        <v>0</v>
      </c>
    </row>
    <row r="26" spans="1:37" ht="16.2" customHeight="1">
      <c r="A26" s="1168">
        <v>20</v>
      </c>
      <c r="B26" s="1169" t="s">
        <v>100</v>
      </c>
      <c r="C26" s="1170">
        <v>0</v>
      </c>
      <c r="D26" s="1171">
        <f>+'Table 5C1A-Madison Prep'!D26</f>
        <v>5278.5201565562011</v>
      </c>
      <c r="E26" s="1172">
        <f t="shared" si="5"/>
        <v>0</v>
      </c>
      <c r="F26" s="1172">
        <f>+'Table 5C1A-Madison Prep'!F26</f>
        <v>586.16999999999996</v>
      </c>
      <c r="G26" s="1172">
        <f t="shared" si="6"/>
        <v>0</v>
      </c>
      <c r="H26" s="1540">
        <f t="shared" si="7"/>
        <v>0</v>
      </c>
      <c r="I26" s="1173"/>
      <c r="J26" s="1173"/>
      <c r="K26" s="1174">
        <f t="shared" si="8"/>
        <v>0</v>
      </c>
      <c r="L26" s="1540">
        <f t="shared" si="9"/>
        <v>0</v>
      </c>
      <c r="M26" s="1399">
        <f t="shared" si="4"/>
        <v>0</v>
      </c>
      <c r="N26" s="1540">
        <f t="shared" si="10"/>
        <v>0</v>
      </c>
      <c r="O26" s="1171">
        <v>0</v>
      </c>
      <c r="P26" s="1546">
        <f t="shared" si="11"/>
        <v>0</v>
      </c>
      <c r="Q26" s="1173"/>
      <c r="R26" s="1173">
        <f t="shared" si="12"/>
        <v>0</v>
      </c>
      <c r="S26" s="1546">
        <f t="shared" si="13"/>
        <v>0</v>
      </c>
      <c r="T26" s="1546">
        <f t="shared" si="14"/>
        <v>0</v>
      </c>
      <c r="U26" s="1382">
        <f>'Table 5C1A-Madison Prep'!U26</f>
        <v>2432</v>
      </c>
      <c r="V26" s="1516">
        <f t="shared" si="15"/>
        <v>0</v>
      </c>
      <c r="W26" s="1400"/>
      <c r="X26" s="1383">
        <f t="shared" si="16"/>
        <v>0</v>
      </c>
      <c r="Y26" s="1400"/>
      <c r="Z26" s="1383">
        <f t="shared" si="17"/>
        <v>0</v>
      </c>
      <c r="AA26" s="1384">
        <f t="shared" si="18"/>
        <v>0</v>
      </c>
      <c r="AB26" s="1511">
        <f t="shared" si="19"/>
        <v>0</v>
      </c>
      <c r="AC26" s="1402">
        <f t="shared" si="20"/>
        <v>0</v>
      </c>
      <c r="AD26" s="1511">
        <f t="shared" si="21"/>
        <v>0</v>
      </c>
      <c r="AE26" s="1385">
        <v>0</v>
      </c>
      <c r="AF26" s="1511">
        <f t="shared" si="22"/>
        <v>0</v>
      </c>
      <c r="AG26" s="1385"/>
      <c r="AH26" s="1385">
        <f t="shared" si="23"/>
        <v>0</v>
      </c>
      <c r="AI26" s="1511">
        <f t="shared" si="24"/>
        <v>0</v>
      </c>
      <c r="AJ26" s="1531">
        <f t="shared" si="25"/>
        <v>0</v>
      </c>
      <c r="AK26" s="1536">
        <f t="shared" si="26"/>
        <v>0</v>
      </c>
    </row>
    <row r="27" spans="1:37" ht="16.2" customHeight="1">
      <c r="A27" s="1183">
        <v>21</v>
      </c>
      <c r="B27" s="1184" t="s">
        <v>101</v>
      </c>
      <c r="C27" s="1185">
        <v>0</v>
      </c>
      <c r="D27" s="1186">
        <f>+'Table 5C1A-Madison Prep'!D27</f>
        <v>6082.3042295867763</v>
      </c>
      <c r="E27" s="1187">
        <f t="shared" si="5"/>
        <v>0</v>
      </c>
      <c r="F27" s="1187">
        <f>+'Table 5C1A-Madison Prep'!F27</f>
        <v>610.35</v>
      </c>
      <c r="G27" s="1187">
        <f t="shared" si="6"/>
        <v>0</v>
      </c>
      <c r="H27" s="1538">
        <f t="shared" si="7"/>
        <v>0</v>
      </c>
      <c r="I27" s="1188"/>
      <c r="J27" s="1188"/>
      <c r="K27" s="1189">
        <f t="shared" si="8"/>
        <v>0</v>
      </c>
      <c r="L27" s="1538">
        <f t="shared" si="9"/>
        <v>0</v>
      </c>
      <c r="M27" s="1372">
        <f t="shared" si="4"/>
        <v>0</v>
      </c>
      <c r="N27" s="1538">
        <f t="shared" si="10"/>
        <v>0</v>
      </c>
      <c r="O27" s="1186">
        <v>0</v>
      </c>
      <c r="P27" s="1544">
        <f t="shared" si="11"/>
        <v>0</v>
      </c>
      <c r="Q27" s="1188"/>
      <c r="R27" s="1188">
        <f t="shared" si="12"/>
        <v>0</v>
      </c>
      <c r="S27" s="1544">
        <f t="shared" si="13"/>
        <v>0</v>
      </c>
      <c r="T27" s="1544">
        <f t="shared" si="14"/>
        <v>0</v>
      </c>
      <c r="U27" s="1373">
        <f>'Table 5C1A-Madison Prep'!U27</f>
        <v>2460</v>
      </c>
      <c r="V27" s="1514">
        <f t="shared" si="15"/>
        <v>0</v>
      </c>
      <c r="W27" s="1375"/>
      <c r="X27" s="1376">
        <f t="shared" si="16"/>
        <v>0</v>
      </c>
      <c r="Y27" s="1375"/>
      <c r="Z27" s="1376">
        <f t="shared" si="17"/>
        <v>0</v>
      </c>
      <c r="AA27" s="1374">
        <f t="shared" si="18"/>
        <v>0</v>
      </c>
      <c r="AB27" s="1509">
        <f t="shared" si="19"/>
        <v>0</v>
      </c>
      <c r="AC27" s="1378">
        <f t="shared" si="20"/>
        <v>0</v>
      </c>
      <c r="AD27" s="1509">
        <f t="shared" si="21"/>
        <v>0</v>
      </c>
      <c r="AE27" s="1379">
        <v>0</v>
      </c>
      <c r="AF27" s="1509">
        <f t="shared" si="22"/>
        <v>0</v>
      </c>
      <c r="AG27" s="1379"/>
      <c r="AH27" s="1379">
        <f t="shared" si="23"/>
        <v>0</v>
      </c>
      <c r="AI27" s="1509">
        <f t="shared" si="24"/>
        <v>0</v>
      </c>
      <c r="AJ27" s="1530">
        <f t="shared" si="25"/>
        <v>0</v>
      </c>
      <c r="AK27" s="1534">
        <f t="shared" si="26"/>
        <v>0</v>
      </c>
    </row>
    <row r="28" spans="1:37" ht="16.2" customHeight="1">
      <c r="A28" s="1176">
        <v>22</v>
      </c>
      <c r="B28" s="1177" t="s">
        <v>102</v>
      </c>
      <c r="C28" s="1178">
        <v>0</v>
      </c>
      <c r="D28" s="1179">
        <f>+'Table 5C1A-Madison Prep'!D28</f>
        <v>6416.1099808195995</v>
      </c>
      <c r="E28" s="1180">
        <f t="shared" si="5"/>
        <v>0</v>
      </c>
      <c r="F28" s="1180">
        <f>+'Table 5C1A-Madison Prep'!F28</f>
        <v>496.36</v>
      </c>
      <c r="G28" s="1180">
        <f t="shared" si="6"/>
        <v>0</v>
      </c>
      <c r="H28" s="1539">
        <f t="shared" si="7"/>
        <v>0</v>
      </c>
      <c r="I28" s="1181"/>
      <c r="J28" s="1181"/>
      <c r="K28" s="1182">
        <f t="shared" si="8"/>
        <v>0</v>
      </c>
      <c r="L28" s="1539">
        <f t="shared" si="9"/>
        <v>0</v>
      </c>
      <c r="M28" s="1388">
        <f t="shared" si="4"/>
        <v>0</v>
      </c>
      <c r="N28" s="1539">
        <f t="shared" si="10"/>
        <v>0</v>
      </c>
      <c r="O28" s="1179">
        <v>0</v>
      </c>
      <c r="P28" s="1545">
        <f t="shared" si="11"/>
        <v>0</v>
      </c>
      <c r="Q28" s="1181"/>
      <c r="R28" s="1181">
        <f t="shared" si="12"/>
        <v>0</v>
      </c>
      <c r="S28" s="1545">
        <f t="shared" si="13"/>
        <v>0</v>
      </c>
      <c r="T28" s="1545">
        <f t="shared" si="14"/>
        <v>0</v>
      </c>
      <c r="U28" s="1389">
        <f>'Table 5C1A-Madison Prep'!U28</f>
        <v>1613</v>
      </c>
      <c r="V28" s="1515">
        <f t="shared" si="15"/>
        <v>0</v>
      </c>
      <c r="W28" s="1391"/>
      <c r="X28" s="1392">
        <f t="shared" si="16"/>
        <v>0</v>
      </c>
      <c r="Y28" s="1391"/>
      <c r="Z28" s="1392">
        <f t="shared" si="17"/>
        <v>0</v>
      </c>
      <c r="AA28" s="1390">
        <f t="shared" si="18"/>
        <v>0</v>
      </c>
      <c r="AB28" s="1510">
        <f t="shared" si="19"/>
        <v>0</v>
      </c>
      <c r="AC28" s="1394">
        <f t="shared" si="20"/>
        <v>0</v>
      </c>
      <c r="AD28" s="1510">
        <f t="shared" si="21"/>
        <v>0</v>
      </c>
      <c r="AE28" s="1395">
        <v>0</v>
      </c>
      <c r="AF28" s="1510">
        <f t="shared" si="22"/>
        <v>0</v>
      </c>
      <c r="AG28" s="1395"/>
      <c r="AH28" s="1395">
        <f t="shared" si="23"/>
        <v>0</v>
      </c>
      <c r="AI28" s="1510">
        <f t="shared" si="24"/>
        <v>0</v>
      </c>
      <c r="AJ28" s="1505">
        <f t="shared" si="25"/>
        <v>0</v>
      </c>
      <c r="AK28" s="1535">
        <f t="shared" si="26"/>
        <v>0</v>
      </c>
    </row>
    <row r="29" spans="1:37" ht="16.2" customHeight="1">
      <c r="A29" s="1176">
        <v>23</v>
      </c>
      <c r="B29" s="1177" t="s">
        <v>103</v>
      </c>
      <c r="C29" s="1178">
        <v>17</v>
      </c>
      <c r="D29" s="1179">
        <f>+'Table 5C1A-Madison Prep'!D29</f>
        <v>5011.0215265979159</v>
      </c>
      <c r="E29" s="1180">
        <f t="shared" si="5"/>
        <v>85187.365952164575</v>
      </c>
      <c r="F29" s="1180">
        <f>+'Table 5C1A-Madison Prep'!F29</f>
        <v>688.58</v>
      </c>
      <c r="G29" s="1180">
        <f t="shared" si="6"/>
        <v>11705.86</v>
      </c>
      <c r="H29" s="1539">
        <f t="shared" si="7"/>
        <v>96893.225952164576</v>
      </c>
      <c r="I29" s="1181"/>
      <c r="J29" s="1181"/>
      <c r="K29" s="1182">
        <f t="shared" si="8"/>
        <v>0</v>
      </c>
      <c r="L29" s="1539">
        <f t="shared" si="9"/>
        <v>96893.225952164576</v>
      </c>
      <c r="M29" s="1388">
        <f t="shared" si="4"/>
        <v>-242.23306488041143</v>
      </c>
      <c r="N29" s="1539">
        <f t="shared" si="10"/>
        <v>96650.99288728417</v>
      </c>
      <c r="O29" s="1179">
        <v>0</v>
      </c>
      <c r="P29" s="1545">
        <f t="shared" si="11"/>
        <v>96650.99288728417</v>
      </c>
      <c r="Q29" s="1181"/>
      <c r="R29" s="1181">
        <f t="shared" si="12"/>
        <v>96650.99288728417</v>
      </c>
      <c r="S29" s="1545">
        <f t="shared" si="13"/>
        <v>8054</v>
      </c>
      <c r="T29" s="1545">
        <f t="shared" si="14"/>
        <v>96650.99288728417</v>
      </c>
      <c r="U29" s="1389">
        <f>'Table 5C1A-Madison Prep'!U29</f>
        <v>3473</v>
      </c>
      <c r="V29" s="1515">
        <f t="shared" si="15"/>
        <v>59041</v>
      </c>
      <c r="W29" s="1391"/>
      <c r="X29" s="1392">
        <f t="shared" si="16"/>
        <v>0</v>
      </c>
      <c r="Y29" s="1391"/>
      <c r="Z29" s="1392">
        <f t="shared" si="17"/>
        <v>0</v>
      </c>
      <c r="AA29" s="1390">
        <f t="shared" si="18"/>
        <v>0</v>
      </c>
      <c r="AB29" s="1510">
        <f t="shared" si="19"/>
        <v>59041</v>
      </c>
      <c r="AC29" s="1394">
        <f t="shared" si="20"/>
        <v>-147.60249999999999</v>
      </c>
      <c r="AD29" s="1510">
        <f t="shared" si="21"/>
        <v>58893.397499999999</v>
      </c>
      <c r="AE29" s="1395">
        <v>0</v>
      </c>
      <c r="AF29" s="1510">
        <f t="shared" si="22"/>
        <v>58893.397499999999</v>
      </c>
      <c r="AG29" s="1395"/>
      <c r="AH29" s="1395">
        <f t="shared" si="23"/>
        <v>58893.397499999999</v>
      </c>
      <c r="AI29" s="1510">
        <f t="shared" si="24"/>
        <v>4908</v>
      </c>
      <c r="AJ29" s="1505">
        <f t="shared" si="25"/>
        <v>155544.39038728416</v>
      </c>
      <c r="AK29" s="1535">
        <f t="shared" si="26"/>
        <v>12962</v>
      </c>
    </row>
    <row r="30" spans="1:37" ht="16.2" customHeight="1">
      <c r="A30" s="1176">
        <v>24</v>
      </c>
      <c r="B30" s="1177" t="s">
        <v>104</v>
      </c>
      <c r="C30" s="1178">
        <v>0</v>
      </c>
      <c r="D30" s="1179">
        <f>+'Table 5C1A-Madison Prep'!D30</f>
        <v>2611.6740361576999</v>
      </c>
      <c r="E30" s="1180">
        <f t="shared" si="5"/>
        <v>0</v>
      </c>
      <c r="F30" s="1180">
        <f>+'Table 5C1A-Madison Prep'!F30</f>
        <v>854.24999999999989</v>
      </c>
      <c r="G30" s="1180">
        <f t="shared" si="6"/>
        <v>0</v>
      </c>
      <c r="H30" s="1539">
        <f t="shared" si="7"/>
        <v>0</v>
      </c>
      <c r="I30" s="1181"/>
      <c r="J30" s="1181"/>
      <c r="K30" s="1182">
        <f t="shared" si="8"/>
        <v>0</v>
      </c>
      <c r="L30" s="1539">
        <f t="shared" si="9"/>
        <v>0</v>
      </c>
      <c r="M30" s="1388">
        <f t="shared" si="4"/>
        <v>0</v>
      </c>
      <c r="N30" s="1539">
        <f t="shared" si="10"/>
        <v>0</v>
      </c>
      <c r="O30" s="1179">
        <v>0</v>
      </c>
      <c r="P30" s="1545">
        <f t="shared" si="11"/>
        <v>0</v>
      </c>
      <c r="Q30" s="1181"/>
      <c r="R30" s="1181">
        <f t="shared" si="12"/>
        <v>0</v>
      </c>
      <c r="S30" s="1545">
        <f t="shared" si="13"/>
        <v>0</v>
      </c>
      <c r="T30" s="1545">
        <f t="shared" si="14"/>
        <v>0</v>
      </c>
      <c r="U30" s="1389">
        <f>'Table 5C1A-Madison Prep'!U30</f>
        <v>10053</v>
      </c>
      <c r="V30" s="1515">
        <f t="shared" si="15"/>
        <v>0</v>
      </c>
      <c r="W30" s="1391"/>
      <c r="X30" s="1392">
        <f t="shared" si="16"/>
        <v>0</v>
      </c>
      <c r="Y30" s="1391"/>
      <c r="Z30" s="1392">
        <f t="shared" si="17"/>
        <v>0</v>
      </c>
      <c r="AA30" s="1390">
        <f t="shared" si="18"/>
        <v>0</v>
      </c>
      <c r="AB30" s="1510">
        <f t="shared" si="19"/>
        <v>0</v>
      </c>
      <c r="AC30" s="1394">
        <f t="shared" si="20"/>
        <v>0</v>
      </c>
      <c r="AD30" s="1510">
        <f t="shared" si="21"/>
        <v>0</v>
      </c>
      <c r="AE30" s="1395">
        <v>0</v>
      </c>
      <c r="AF30" s="1510">
        <f t="shared" si="22"/>
        <v>0</v>
      </c>
      <c r="AG30" s="1395"/>
      <c r="AH30" s="1395">
        <f t="shared" si="23"/>
        <v>0</v>
      </c>
      <c r="AI30" s="1510">
        <f t="shared" si="24"/>
        <v>0</v>
      </c>
      <c r="AJ30" s="1505">
        <f t="shared" si="25"/>
        <v>0</v>
      </c>
      <c r="AK30" s="1535">
        <f t="shared" si="26"/>
        <v>0</v>
      </c>
    </row>
    <row r="31" spans="1:37" ht="16.2" customHeight="1">
      <c r="A31" s="1168">
        <v>25</v>
      </c>
      <c r="B31" s="1169" t="s">
        <v>105</v>
      </c>
      <c r="C31" s="1170">
        <v>0</v>
      </c>
      <c r="D31" s="1171">
        <f>+'Table 5C1A-Madison Prep'!D31</f>
        <v>4173.0720274945697</v>
      </c>
      <c r="E31" s="1172">
        <f t="shared" si="5"/>
        <v>0</v>
      </c>
      <c r="F31" s="1172">
        <f>+'Table 5C1A-Madison Prep'!F31</f>
        <v>653.73</v>
      </c>
      <c r="G31" s="1172">
        <f t="shared" si="6"/>
        <v>0</v>
      </c>
      <c r="H31" s="1540">
        <f t="shared" si="7"/>
        <v>0</v>
      </c>
      <c r="I31" s="1173"/>
      <c r="J31" s="1173"/>
      <c r="K31" s="1174">
        <f t="shared" si="8"/>
        <v>0</v>
      </c>
      <c r="L31" s="1540">
        <f t="shared" si="9"/>
        <v>0</v>
      </c>
      <c r="M31" s="1399">
        <f t="shared" si="4"/>
        <v>0</v>
      </c>
      <c r="N31" s="1540">
        <f t="shared" si="10"/>
        <v>0</v>
      </c>
      <c r="O31" s="1171">
        <v>0</v>
      </c>
      <c r="P31" s="1546">
        <f t="shared" si="11"/>
        <v>0</v>
      </c>
      <c r="Q31" s="1173"/>
      <c r="R31" s="1173">
        <f t="shared" si="12"/>
        <v>0</v>
      </c>
      <c r="S31" s="1546">
        <f t="shared" si="13"/>
        <v>0</v>
      </c>
      <c r="T31" s="1546">
        <f t="shared" si="14"/>
        <v>0</v>
      </c>
      <c r="U31" s="1382">
        <f>'Table 5C1A-Madison Prep'!U31</f>
        <v>5073</v>
      </c>
      <c r="V31" s="1516">
        <f t="shared" si="15"/>
        <v>0</v>
      </c>
      <c r="W31" s="1400"/>
      <c r="X31" s="1383">
        <f t="shared" si="16"/>
        <v>0</v>
      </c>
      <c r="Y31" s="1400"/>
      <c r="Z31" s="1383">
        <f t="shared" si="17"/>
        <v>0</v>
      </c>
      <c r="AA31" s="1384">
        <f t="shared" si="18"/>
        <v>0</v>
      </c>
      <c r="AB31" s="1511">
        <f t="shared" si="19"/>
        <v>0</v>
      </c>
      <c r="AC31" s="1402">
        <f t="shared" si="20"/>
        <v>0</v>
      </c>
      <c r="AD31" s="1511">
        <f t="shared" si="21"/>
        <v>0</v>
      </c>
      <c r="AE31" s="1385">
        <v>0</v>
      </c>
      <c r="AF31" s="1511">
        <f t="shared" si="22"/>
        <v>0</v>
      </c>
      <c r="AG31" s="1385"/>
      <c r="AH31" s="1385">
        <f t="shared" si="23"/>
        <v>0</v>
      </c>
      <c r="AI31" s="1511">
        <f t="shared" si="24"/>
        <v>0</v>
      </c>
      <c r="AJ31" s="1531">
        <f t="shared" si="25"/>
        <v>0</v>
      </c>
      <c r="AK31" s="1536">
        <f t="shared" si="26"/>
        <v>0</v>
      </c>
    </row>
    <row r="32" spans="1:37" ht="16.2" customHeight="1">
      <c r="A32" s="1183">
        <v>26</v>
      </c>
      <c r="B32" s="1184" t="s">
        <v>106</v>
      </c>
      <c r="C32" s="1185">
        <v>0</v>
      </c>
      <c r="D32" s="1186">
        <f>+'Table 5C1A-Madison Prep'!D32</f>
        <v>3424.5649970570835</v>
      </c>
      <c r="E32" s="1187">
        <f t="shared" si="5"/>
        <v>0</v>
      </c>
      <c r="F32" s="1187">
        <f>+'Table 5C1A-Madison Prep'!F32</f>
        <v>836.83</v>
      </c>
      <c r="G32" s="1187">
        <f t="shared" si="6"/>
        <v>0</v>
      </c>
      <c r="H32" s="1538">
        <f t="shared" si="7"/>
        <v>0</v>
      </c>
      <c r="I32" s="1188"/>
      <c r="J32" s="1188"/>
      <c r="K32" s="1189">
        <f t="shared" si="8"/>
        <v>0</v>
      </c>
      <c r="L32" s="1538">
        <f t="shared" si="9"/>
        <v>0</v>
      </c>
      <c r="M32" s="1372">
        <f t="shared" si="4"/>
        <v>0</v>
      </c>
      <c r="N32" s="1538">
        <f t="shared" si="10"/>
        <v>0</v>
      </c>
      <c r="O32" s="1186">
        <v>0</v>
      </c>
      <c r="P32" s="1544">
        <f t="shared" si="11"/>
        <v>0</v>
      </c>
      <c r="Q32" s="1188"/>
      <c r="R32" s="1188">
        <f t="shared" si="12"/>
        <v>0</v>
      </c>
      <c r="S32" s="1544">
        <f t="shared" si="13"/>
        <v>0</v>
      </c>
      <c r="T32" s="1544">
        <f t="shared" si="14"/>
        <v>0</v>
      </c>
      <c r="U32" s="1373">
        <f>'Table 5C1A-Madison Prep'!U32</f>
        <v>5260</v>
      </c>
      <c r="V32" s="1514">
        <f t="shared" si="15"/>
        <v>0</v>
      </c>
      <c r="W32" s="1375"/>
      <c r="X32" s="1376">
        <f t="shared" si="16"/>
        <v>0</v>
      </c>
      <c r="Y32" s="1375"/>
      <c r="Z32" s="1376">
        <f t="shared" si="17"/>
        <v>0</v>
      </c>
      <c r="AA32" s="1374">
        <f t="shared" si="18"/>
        <v>0</v>
      </c>
      <c r="AB32" s="1509">
        <f t="shared" si="19"/>
        <v>0</v>
      </c>
      <c r="AC32" s="1378">
        <f t="shared" si="20"/>
        <v>0</v>
      </c>
      <c r="AD32" s="1509">
        <f t="shared" si="21"/>
        <v>0</v>
      </c>
      <c r="AE32" s="1379">
        <v>0</v>
      </c>
      <c r="AF32" s="1509">
        <f t="shared" si="22"/>
        <v>0</v>
      </c>
      <c r="AG32" s="1379"/>
      <c r="AH32" s="1379">
        <f t="shared" si="23"/>
        <v>0</v>
      </c>
      <c r="AI32" s="1509">
        <f t="shared" si="24"/>
        <v>0</v>
      </c>
      <c r="AJ32" s="1530">
        <f t="shared" si="25"/>
        <v>0</v>
      </c>
      <c r="AK32" s="1534">
        <f t="shared" si="26"/>
        <v>0</v>
      </c>
    </row>
    <row r="33" spans="1:37" ht="16.2" customHeight="1">
      <c r="A33" s="1176">
        <v>27</v>
      </c>
      <c r="B33" s="1177" t="s">
        <v>107</v>
      </c>
      <c r="C33" s="1178">
        <v>0</v>
      </c>
      <c r="D33" s="1179">
        <f>+'Table 5C1A-Madison Prep'!D33</f>
        <v>5804.9013839977006</v>
      </c>
      <c r="E33" s="1180">
        <f t="shared" si="5"/>
        <v>0</v>
      </c>
      <c r="F33" s="1180">
        <f>+'Table 5C1A-Madison Prep'!F33</f>
        <v>693.06</v>
      </c>
      <c r="G33" s="1180">
        <f t="shared" si="6"/>
        <v>0</v>
      </c>
      <c r="H33" s="1539">
        <f t="shared" si="7"/>
        <v>0</v>
      </c>
      <c r="I33" s="1181"/>
      <c r="J33" s="1181"/>
      <c r="K33" s="1182">
        <f t="shared" si="8"/>
        <v>0</v>
      </c>
      <c r="L33" s="1539">
        <f t="shared" si="9"/>
        <v>0</v>
      </c>
      <c r="M33" s="1388">
        <f t="shared" si="4"/>
        <v>0</v>
      </c>
      <c r="N33" s="1539">
        <f t="shared" si="10"/>
        <v>0</v>
      </c>
      <c r="O33" s="1179">
        <v>0</v>
      </c>
      <c r="P33" s="1545">
        <f t="shared" si="11"/>
        <v>0</v>
      </c>
      <c r="Q33" s="1181"/>
      <c r="R33" s="1181">
        <f t="shared" si="12"/>
        <v>0</v>
      </c>
      <c r="S33" s="1545">
        <f t="shared" si="13"/>
        <v>0</v>
      </c>
      <c r="T33" s="1545">
        <f t="shared" si="14"/>
        <v>0</v>
      </c>
      <c r="U33" s="1389">
        <f>'Table 5C1A-Madison Prep'!U33</f>
        <v>3169</v>
      </c>
      <c r="V33" s="1515">
        <f t="shared" si="15"/>
        <v>0</v>
      </c>
      <c r="W33" s="1391"/>
      <c r="X33" s="1392">
        <f t="shared" si="16"/>
        <v>0</v>
      </c>
      <c r="Y33" s="1391"/>
      <c r="Z33" s="1392">
        <f t="shared" si="17"/>
        <v>0</v>
      </c>
      <c r="AA33" s="1390">
        <f t="shared" si="18"/>
        <v>0</v>
      </c>
      <c r="AB33" s="1510">
        <f t="shared" si="19"/>
        <v>0</v>
      </c>
      <c r="AC33" s="1394">
        <f t="shared" si="20"/>
        <v>0</v>
      </c>
      <c r="AD33" s="1510">
        <f t="shared" si="21"/>
        <v>0</v>
      </c>
      <c r="AE33" s="1395">
        <v>0</v>
      </c>
      <c r="AF33" s="1510">
        <f t="shared" si="22"/>
        <v>0</v>
      </c>
      <c r="AG33" s="1395"/>
      <c r="AH33" s="1395">
        <f t="shared" si="23"/>
        <v>0</v>
      </c>
      <c r="AI33" s="1510">
        <f t="shared" si="24"/>
        <v>0</v>
      </c>
      <c r="AJ33" s="1505">
        <f t="shared" si="25"/>
        <v>0</v>
      </c>
      <c r="AK33" s="1535">
        <f t="shared" si="26"/>
        <v>0</v>
      </c>
    </row>
    <row r="34" spans="1:37" ht="16.2" customHeight="1">
      <c r="A34" s="1176">
        <v>28</v>
      </c>
      <c r="B34" s="1177" t="s">
        <v>108</v>
      </c>
      <c r="C34" s="1178">
        <v>529</v>
      </c>
      <c r="D34" s="1179">
        <f>+'Table 5C1A-Madison Prep'!D34</f>
        <v>3137.4158846568821</v>
      </c>
      <c r="E34" s="1180">
        <f t="shared" si="5"/>
        <v>1659693.0029834907</v>
      </c>
      <c r="F34" s="1180">
        <f>+'Table 5C1A-Madison Prep'!F34</f>
        <v>694.4</v>
      </c>
      <c r="G34" s="1180">
        <f t="shared" si="6"/>
        <v>367337.6</v>
      </c>
      <c r="H34" s="1539">
        <f t="shared" si="7"/>
        <v>2027030.6029834906</v>
      </c>
      <c r="I34" s="1181"/>
      <c r="J34" s="1181"/>
      <c r="K34" s="1182">
        <f t="shared" si="8"/>
        <v>0</v>
      </c>
      <c r="L34" s="1539">
        <f t="shared" si="9"/>
        <v>2027030.6029834906</v>
      </c>
      <c r="M34" s="1388">
        <f t="shared" si="4"/>
        <v>-5067.5765074587262</v>
      </c>
      <c r="N34" s="1539">
        <f t="shared" si="10"/>
        <v>2021963.0264760319</v>
      </c>
      <c r="O34" s="1179">
        <v>0</v>
      </c>
      <c r="P34" s="1545">
        <f t="shared" si="11"/>
        <v>2021963.0264760319</v>
      </c>
      <c r="Q34" s="1181"/>
      <c r="R34" s="1181">
        <f t="shared" si="12"/>
        <v>2021963.0264760319</v>
      </c>
      <c r="S34" s="1545">
        <f t="shared" si="13"/>
        <v>168497</v>
      </c>
      <c r="T34" s="1545">
        <f t="shared" si="14"/>
        <v>2021963.0264760319</v>
      </c>
      <c r="U34" s="1389">
        <f>'Table 5C1A-Madison Prep'!U34</f>
        <v>5790</v>
      </c>
      <c r="V34" s="1515">
        <f t="shared" si="15"/>
        <v>3062910</v>
      </c>
      <c r="W34" s="1391"/>
      <c r="X34" s="1392">
        <f t="shared" si="16"/>
        <v>0</v>
      </c>
      <c r="Y34" s="1391"/>
      <c r="Z34" s="1392">
        <f t="shared" si="17"/>
        <v>0</v>
      </c>
      <c r="AA34" s="1390">
        <f t="shared" si="18"/>
        <v>0</v>
      </c>
      <c r="AB34" s="1510">
        <f t="shared" si="19"/>
        <v>3062910</v>
      </c>
      <c r="AC34" s="1394">
        <f t="shared" si="20"/>
        <v>-7657.2750000000005</v>
      </c>
      <c r="AD34" s="1510">
        <f t="shared" si="21"/>
        <v>3055252.7250000001</v>
      </c>
      <c r="AE34" s="1395">
        <v>0</v>
      </c>
      <c r="AF34" s="1510">
        <f t="shared" si="22"/>
        <v>3055252.7250000001</v>
      </c>
      <c r="AG34" s="1395"/>
      <c r="AH34" s="1395">
        <f t="shared" si="23"/>
        <v>3055252.7250000001</v>
      </c>
      <c r="AI34" s="1510">
        <f t="shared" si="24"/>
        <v>254604</v>
      </c>
      <c r="AJ34" s="1505">
        <f t="shared" si="25"/>
        <v>5077215.7514760317</v>
      </c>
      <c r="AK34" s="1535">
        <f t="shared" si="26"/>
        <v>423101</v>
      </c>
    </row>
    <row r="35" spans="1:37" ht="16.2" customHeight="1">
      <c r="A35" s="1176">
        <v>29</v>
      </c>
      <c r="B35" s="1177" t="s">
        <v>109</v>
      </c>
      <c r="C35" s="1178">
        <v>0</v>
      </c>
      <c r="D35" s="1179">
        <f>+'Table 5C1A-Madison Prep'!D35</f>
        <v>3839.0123210173724</v>
      </c>
      <c r="E35" s="1180">
        <f t="shared" si="5"/>
        <v>0</v>
      </c>
      <c r="F35" s="1180">
        <f>+'Table 5C1A-Madison Prep'!F35</f>
        <v>754.94999999999993</v>
      </c>
      <c r="G35" s="1180">
        <f t="shared" si="6"/>
        <v>0</v>
      </c>
      <c r="H35" s="1539">
        <f t="shared" si="7"/>
        <v>0</v>
      </c>
      <c r="I35" s="1181"/>
      <c r="J35" s="1181"/>
      <c r="K35" s="1182">
        <f t="shared" si="8"/>
        <v>0</v>
      </c>
      <c r="L35" s="1539">
        <f t="shared" si="9"/>
        <v>0</v>
      </c>
      <c r="M35" s="1388">
        <f t="shared" si="4"/>
        <v>0</v>
      </c>
      <c r="N35" s="1539">
        <f t="shared" si="10"/>
        <v>0</v>
      </c>
      <c r="O35" s="1179">
        <v>0</v>
      </c>
      <c r="P35" s="1545">
        <f t="shared" si="11"/>
        <v>0</v>
      </c>
      <c r="Q35" s="1181"/>
      <c r="R35" s="1181">
        <f t="shared" si="12"/>
        <v>0</v>
      </c>
      <c r="S35" s="1545">
        <f t="shared" si="13"/>
        <v>0</v>
      </c>
      <c r="T35" s="1545">
        <f t="shared" si="14"/>
        <v>0</v>
      </c>
      <c r="U35" s="1389">
        <f>'Table 5C1A-Madison Prep'!U35</f>
        <v>5069</v>
      </c>
      <c r="V35" s="1515">
        <f t="shared" si="15"/>
        <v>0</v>
      </c>
      <c r="W35" s="1391"/>
      <c r="X35" s="1392">
        <f t="shared" si="16"/>
        <v>0</v>
      </c>
      <c r="Y35" s="1391"/>
      <c r="Z35" s="1392">
        <f t="shared" si="17"/>
        <v>0</v>
      </c>
      <c r="AA35" s="1390">
        <f t="shared" si="18"/>
        <v>0</v>
      </c>
      <c r="AB35" s="1510">
        <f t="shared" si="19"/>
        <v>0</v>
      </c>
      <c r="AC35" s="1394">
        <f t="shared" si="20"/>
        <v>0</v>
      </c>
      <c r="AD35" s="1510">
        <f t="shared" si="21"/>
        <v>0</v>
      </c>
      <c r="AE35" s="1395">
        <v>0</v>
      </c>
      <c r="AF35" s="1510">
        <f t="shared" si="22"/>
        <v>0</v>
      </c>
      <c r="AG35" s="1395"/>
      <c r="AH35" s="1395">
        <f t="shared" si="23"/>
        <v>0</v>
      </c>
      <c r="AI35" s="1510">
        <f t="shared" si="24"/>
        <v>0</v>
      </c>
      <c r="AJ35" s="1505">
        <f t="shared" si="25"/>
        <v>0</v>
      </c>
      <c r="AK35" s="1535">
        <f t="shared" si="26"/>
        <v>0</v>
      </c>
    </row>
    <row r="36" spans="1:37" ht="16.2" customHeight="1">
      <c r="A36" s="1168">
        <v>30</v>
      </c>
      <c r="B36" s="1169" t="s">
        <v>110</v>
      </c>
      <c r="C36" s="1170">
        <v>0</v>
      </c>
      <c r="D36" s="1171">
        <f>+'Table 5C1A-Madison Prep'!D36</f>
        <v>5804.5327273996763</v>
      </c>
      <c r="E36" s="1172">
        <f t="shared" si="5"/>
        <v>0</v>
      </c>
      <c r="F36" s="1172">
        <f>+'Table 5C1A-Madison Prep'!F36</f>
        <v>727.17</v>
      </c>
      <c r="G36" s="1172">
        <f t="shared" si="6"/>
        <v>0</v>
      </c>
      <c r="H36" s="1540">
        <f t="shared" si="7"/>
        <v>0</v>
      </c>
      <c r="I36" s="1173"/>
      <c r="J36" s="1173"/>
      <c r="K36" s="1174">
        <f t="shared" si="8"/>
        <v>0</v>
      </c>
      <c r="L36" s="1540">
        <f t="shared" si="9"/>
        <v>0</v>
      </c>
      <c r="M36" s="1399">
        <f t="shared" si="4"/>
        <v>0</v>
      </c>
      <c r="N36" s="1540">
        <f t="shared" si="10"/>
        <v>0</v>
      </c>
      <c r="O36" s="1171">
        <v>0</v>
      </c>
      <c r="P36" s="1546">
        <f t="shared" si="11"/>
        <v>0</v>
      </c>
      <c r="Q36" s="1173"/>
      <c r="R36" s="1173">
        <f t="shared" si="12"/>
        <v>0</v>
      </c>
      <c r="S36" s="1546">
        <f t="shared" si="13"/>
        <v>0</v>
      </c>
      <c r="T36" s="1546">
        <f t="shared" si="14"/>
        <v>0</v>
      </c>
      <c r="U36" s="1382">
        <f>'Table 5C1A-Madison Prep'!U36</f>
        <v>3609</v>
      </c>
      <c r="V36" s="1516">
        <f t="shared" si="15"/>
        <v>0</v>
      </c>
      <c r="W36" s="1400"/>
      <c r="X36" s="1383">
        <f t="shared" si="16"/>
        <v>0</v>
      </c>
      <c r="Y36" s="1400"/>
      <c r="Z36" s="1383">
        <f t="shared" si="17"/>
        <v>0</v>
      </c>
      <c r="AA36" s="1384">
        <f t="shared" si="18"/>
        <v>0</v>
      </c>
      <c r="AB36" s="1511">
        <f t="shared" si="19"/>
        <v>0</v>
      </c>
      <c r="AC36" s="1402">
        <f t="shared" si="20"/>
        <v>0</v>
      </c>
      <c r="AD36" s="1511">
        <f t="shared" si="21"/>
        <v>0</v>
      </c>
      <c r="AE36" s="1385">
        <v>0</v>
      </c>
      <c r="AF36" s="1511">
        <f t="shared" si="22"/>
        <v>0</v>
      </c>
      <c r="AG36" s="1385"/>
      <c r="AH36" s="1385">
        <f t="shared" si="23"/>
        <v>0</v>
      </c>
      <c r="AI36" s="1511">
        <f t="shared" si="24"/>
        <v>0</v>
      </c>
      <c r="AJ36" s="1531">
        <f t="shared" si="25"/>
        <v>0</v>
      </c>
      <c r="AK36" s="1536">
        <f t="shared" si="26"/>
        <v>0</v>
      </c>
    </row>
    <row r="37" spans="1:37" ht="16.2" customHeight="1">
      <c r="A37" s="1183">
        <v>31</v>
      </c>
      <c r="B37" s="1184" t="s">
        <v>111</v>
      </c>
      <c r="C37" s="1185">
        <v>0</v>
      </c>
      <c r="D37" s="1186">
        <f>+'Table 5C1A-Madison Prep'!D37</f>
        <v>4520.6176716868531</v>
      </c>
      <c r="E37" s="1187">
        <f t="shared" si="5"/>
        <v>0</v>
      </c>
      <c r="F37" s="1187">
        <f>+'Table 5C1A-Madison Prep'!F37</f>
        <v>620.83000000000004</v>
      </c>
      <c r="G37" s="1187">
        <f t="shared" si="6"/>
        <v>0</v>
      </c>
      <c r="H37" s="1538">
        <f t="shared" si="7"/>
        <v>0</v>
      </c>
      <c r="I37" s="1188"/>
      <c r="J37" s="1188"/>
      <c r="K37" s="1189">
        <f t="shared" si="8"/>
        <v>0</v>
      </c>
      <c r="L37" s="1538">
        <f t="shared" si="9"/>
        <v>0</v>
      </c>
      <c r="M37" s="1372">
        <f t="shared" si="4"/>
        <v>0</v>
      </c>
      <c r="N37" s="1538">
        <f t="shared" si="10"/>
        <v>0</v>
      </c>
      <c r="O37" s="1186">
        <v>0</v>
      </c>
      <c r="P37" s="1544">
        <f t="shared" si="11"/>
        <v>0</v>
      </c>
      <c r="Q37" s="1188"/>
      <c r="R37" s="1188">
        <f t="shared" si="12"/>
        <v>0</v>
      </c>
      <c r="S37" s="1544">
        <f t="shared" si="13"/>
        <v>0</v>
      </c>
      <c r="T37" s="1544">
        <f t="shared" si="14"/>
        <v>0</v>
      </c>
      <c r="U37" s="1373">
        <f>'Table 5C1A-Madison Prep'!U37</f>
        <v>5043</v>
      </c>
      <c r="V37" s="1514">
        <f t="shared" si="15"/>
        <v>0</v>
      </c>
      <c r="W37" s="1375"/>
      <c r="X37" s="1376">
        <f t="shared" si="16"/>
        <v>0</v>
      </c>
      <c r="Y37" s="1375"/>
      <c r="Z37" s="1376">
        <f t="shared" si="17"/>
        <v>0</v>
      </c>
      <c r="AA37" s="1374">
        <f t="shared" si="18"/>
        <v>0</v>
      </c>
      <c r="AB37" s="1509">
        <f t="shared" si="19"/>
        <v>0</v>
      </c>
      <c r="AC37" s="1378">
        <f t="shared" si="20"/>
        <v>0</v>
      </c>
      <c r="AD37" s="1509">
        <f t="shared" si="21"/>
        <v>0</v>
      </c>
      <c r="AE37" s="1379">
        <v>0</v>
      </c>
      <c r="AF37" s="1509">
        <f t="shared" si="22"/>
        <v>0</v>
      </c>
      <c r="AG37" s="1379"/>
      <c r="AH37" s="1379">
        <f t="shared" si="23"/>
        <v>0</v>
      </c>
      <c r="AI37" s="1509">
        <f t="shared" si="24"/>
        <v>0</v>
      </c>
      <c r="AJ37" s="1530">
        <f t="shared" si="25"/>
        <v>0</v>
      </c>
      <c r="AK37" s="1534">
        <f t="shared" si="26"/>
        <v>0</v>
      </c>
    </row>
    <row r="38" spans="1:37" ht="16.2" customHeight="1">
      <c r="A38" s="1176">
        <v>32</v>
      </c>
      <c r="B38" s="1177" t="s">
        <v>112</v>
      </c>
      <c r="C38" s="1178">
        <v>0</v>
      </c>
      <c r="D38" s="1179">
        <f>+'Table 5C1A-Madison Prep'!D38</f>
        <v>5652.819189061127</v>
      </c>
      <c r="E38" s="1180">
        <f t="shared" si="5"/>
        <v>0</v>
      </c>
      <c r="F38" s="1180">
        <f>+'Table 5C1A-Madison Prep'!F38</f>
        <v>559.77</v>
      </c>
      <c r="G38" s="1180">
        <f t="shared" si="6"/>
        <v>0</v>
      </c>
      <c r="H38" s="1539">
        <f t="shared" si="7"/>
        <v>0</v>
      </c>
      <c r="I38" s="1181"/>
      <c r="J38" s="1181"/>
      <c r="K38" s="1182">
        <f t="shared" si="8"/>
        <v>0</v>
      </c>
      <c r="L38" s="1539">
        <f t="shared" si="9"/>
        <v>0</v>
      </c>
      <c r="M38" s="1388">
        <f t="shared" si="4"/>
        <v>0</v>
      </c>
      <c r="N38" s="1539">
        <f t="shared" si="10"/>
        <v>0</v>
      </c>
      <c r="O38" s="1179">
        <v>0</v>
      </c>
      <c r="P38" s="1545">
        <f t="shared" si="11"/>
        <v>0</v>
      </c>
      <c r="Q38" s="1181"/>
      <c r="R38" s="1181">
        <f t="shared" si="12"/>
        <v>0</v>
      </c>
      <c r="S38" s="1545">
        <f t="shared" si="13"/>
        <v>0</v>
      </c>
      <c r="T38" s="1545">
        <f t="shared" si="14"/>
        <v>0</v>
      </c>
      <c r="U38" s="1389">
        <f>'Table 5C1A-Madison Prep'!U38</f>
        <v>2121</v>
      </c>
      <c r="V38" s="1515">
        <f t="shared" si="15"/>
        <v>0</v>
      </c>
      <c r="W38" s="1391"/>
      <c r="X38" s="1392">
        <f t="shared" si="16"/>
        <v>0</v>
      </c>
      <c r="Y38" s="1391"/>
      <c r="Z38" s="1392">
        <f t="shared" si="17"/>
        <v>0</v>
      </c>
      <c r="AA38" s="1390">
        <f t="shared" si="18"/>
        <v>0</v>
      </c>
      <c r="AB38" s="1510">
        <f t="shared" si="19"/>
        <v>0</v>
      </c>
      <c r="AC38" s="1394">
        <f t="shared" si="20"/>
        <v>0</v>
      </c>
      <c r="AD38" s="1510">
        <f t="shared" si="21"/>
        <v>0</v>
      </c>
      <c r="AE38" s="1395">
        <v>0</v>
      </c>
      <c r="AF38" s="1510">
        <f t="shared" si="22"/>
        <v>0</v>
      </c>
      <c r="AG38" s="1395"/>
      <c r="AH38" s="1395">
        <f t="shared" si="23"/>
        <v>0</v>
      </c>
      <c r="AI38" s="1510">
        <f t="shared" si="24"/>
        <v>0</v>
      </c>
      <c r="AJ38" s="1505">
        <f t="shared" si="25"/>
        <v>0</v>
      </c>
      <c r="AK38" s="1535">
        <f t="shared" si="26"/>
        <v>0</v>
      </c>
    </row>
    <row r="39" spans="1:37" ht="16.2" customHeight="1">
      <c r="A39" s="1176">
        <v>33</v>
      </c>
      <c r="B39" s="1177" t="s">
        <v>113</v>
      </c>
      <c r="C39" s="1178">
        <v>0</v>
      </c>
      <c r="D39" s="1179">
        <f>+'Table 5C1A-Madison Prep'!D39</f>
        <v>5456.2254558085233</v>
      </c>
      <c r="E39" s="1180">
        <f t="shared" si="5"/>
        <v>0</v>
      </c>
      <c r="F39" s="1180">
        <f>+'Table 5C1A-Madison Prep'!F39</f>
        <v>655.31000000000006</v>
      </c>
      <c r="G39" s="1180">
        <f t="shared" si="6"/>
        <v>0</v>
      </c>
      <c r="H39" s="1539">
        <f t="shared" si="7"/>
        <v>0</v>
      </c>
      <c r="I39" s="1181"/>
      <c r="J39" s="1181"/>
      <c r="K39" s="1182">
        <f t="shared" si="8"/>
        <v>0</v>
      </c>
      <c r="L39" s="1539">
        <f t="shared" si="9"/>
        <v>0</v>
      </c>
      <c r="M39" s="1388">
        <f t="shared" si="4"/>
        <v>0</v>
      </c>
      <c r="N39" s="1539">
        <f t="shared" si="10"/>
        <v>0</v>
      </c>
      <c r="O39" s="1179">
        <v>0</v>
      </c>
      <c r="P39" s="1545">
        <f t="shared" si="11"/>
        <v>0</v>
      </c>
      <c r="Q39" s="1181"/>
      <c r="R39" s="1181">
        <f t="shared" si="12"/>
        <v>0</v>
      </c>
      <c r="S39" s="1545">
        <f t="shared" si="13"/>
        <v>0</v>
      </c>
      <c r="T39" s="1545">
        <f t="shared" si="14"/>
        <v>0</v>
      </c>
      <c r="U39" s="1389">
        <f>'Table 5C1A-Madison Prep'!U39</f>
        <v>3616</v>
      </c>
      <c r="V39" s="1515">
        <f t="shared" si="15"/>
        <v>0</v>
      </c>
      <c r="W39" s="1391"/>
      <c r="X39" s="1392">
        <f t="shared" si="16"/>
        <v>0</v>
      </c>
      <c r="Y39" s="1391"/>
      <c r="Z39" s="1392">
        <f t="shared" si="17"/>
        <v>0</v>
      </c>
      <c r="AA39" s="1390">
        <f t="shared" si="18"/>
        <v>0</v>
      </c>
      <c r="AB39" s="1510">
        <f t="shared" si="19"/>
        <v>0</v>
      </c>
      <c r="AC39" s="1394">
        <f t="shared" si="20"/>
        <v>0</v>
      </c>
      <c r="AD39" s="1510">
        <f t="shared" si="21"/>
        <v>0</v>
      </c>
      <c r="AE39" s="1395">
        <v>0</v>
      </c>
      <c r="AF39" s="1510">
        <f t="shared" si="22"/>
        <v>0</v>
      </c>
      <c r="AG39" s="1395"/>
      <c r="AH39" s="1395">
        <f t="shared" si="23"/>
        <v>0</v>
      </c>
      <c r="AI39" s="1510">
        <f t="shared" si="24"/>
        <v>0</v>
      </c>
      <c r="AJ39" s="1505">
        <f t="shared" si="25"/>
        <v>0</v>
      </c>
      <c r="AK39" s="1535">
        <f t="shared" si="26"/>
        <v>0</v>
      </c>
    </row>
    <row r="40" spans="1:37" ht="16.2" customHeight="1">
      <c r="A40" s="1176">
        <v>34</v>
      </c>
      <c r="B40" s="1177" t="s">
        <v>114</v>
      </c>
      <c r="C40" s="1178">
        <v>0</v>
      </c>
      <c r="D40" s="1179">
        <f>+'Table 5C1A-Madison Prep'!D40</f>
        <v>6292.0976842789005</v>
      </c>
      <c r="E40" s="1180">
        <f t="shared" si="5"/>
        <v>0</v>
      </c>
      <c r="F40" s="1180">
        <f>+'Table 5C1A-Madison Prep'!F40</f>
        <v>644.11000000000013</v>
      </c>
      <c r="G40" s="1180">
        <f t="shared" si="6"/>
        <v>0</v>
      </c>
      <c r="H40" s="1539">
        <f t="shared" si="7"/>
        <v>0</v>
      </c>
      <c r="I40" s="1181"/>
      <c r="J40" s="1181"/>
      <c r="K40" s="1182">
        <f t="shared" si="8"/>
        <v>0</v>
      </c>
      <c r="L40" s="1539">
        <f t="shared" si="9"/>
        <v>0</v>
      </c>
      <c r="M40" s="1388">
        <f t="shared" si="4"/>
        <v>0</v>
      </c>
      <c r="N40" s="1539">
        <f t="shared" si="10"/>
        <v>0</v>
      </c>
      <c r="O40" s="1179">
        <v>0</v>
      </c>
      <c r="P40" s="1545">
        <f t="shared" si="11"/>
        <v>0</v>
      </c>
      <c r="Q40" s="1181"/>
      <c r="R40" s="1181">
        <f t="shared" si="12"/>
        <v>0</v>
      </c>
      <c r="S40" s="1545">
        <f t="shared" si="13"/>
        <v>0</v>
      </c>
      <c r="T40" s="1545">
        <f t="shared" si="14"/>
        <v>0</v>
      </c>
      <c r="U40" s="1389">
        <f>'Table 5C1A-Madison Prep'!U40</f>
        <v>2721</v>
      </c>
      <c r="V40" s="1515">
        <f t="shared" si="15"/>
        <v>0</v>
      </c>
      <c r="W40" s="1391"/>
      <c r="X40" s="1392">
        <f t="shared" si="16"/>
        <v>0</v>
      </c>
      <c r="Y40" s="1391"/>
      <c r="Z40" s="1392">
        <f t="shared" si="17"/>
        <v>0</v>
      </c>
      <c r="AA40" s="1390">
        <f t="shared" si="18"/>
        <v>0</v>
      </c>
      <c r="AB40" s="1510">
        <f t="shared" si="19"/>
        <v>0</v>
      </c>
      <c r="AC40" s="1394">
        <f t="shared" si="20"/>
        <v>0</v>
      </c>
      <c r="AD40" s="1510">
        <f t="shared" si="21"/>
        <v>0</v>
      </c>
      <c r="AE40" s="1395">
        <v>0</v>
      </c>
      <c r="AF40" s="1510">
        <f t="shared" si="22"/>
        <v>0</v>
      </c>
      <c r="AG40" s="1395"/>
      <c r="AH40" s="1395">
        <f t="shared" si="23"/>
        <v>0</v>
      </c>
      <c r="AI40" s="1510">
        <f t="shared" si="24"/>
        <v>0</v>
      </c>
      <c r="AJ40" s="1505">
        <f t="shared" si="25"/>
        <v>0</v>
      </c>
      <c r="AK40" s="1535">
        <f t="shared" si="26"/>
        <v>0</v>
      </c>
    </row>
    <row r="41" spans="1:37" ht="16.2" customHeight="1">
      <c r="A41" s="1168">
        <v>35</v>
      </c>
      <c r="B41" s="1169" t="s">
        <v>115</v>
      </c>
      <c r="C41" s="1170">
        <v>0</v>
      </c>
      <c r="D41" s="1171">
        <f>+'Table 5C1A-Madison Prep'!D41</f>
        <v>5166.2482060477605</v>
      </c>
      <c r="E41" s="1172">
        <f t="shared" si="5"/>
        <v>0</v>
      </c>
      <c r="F41" s="1172">
        <f>+'Table 5C1A-Madison Prep'!F41</f>
        <v>537.96</v>
      </c>
      <c r="G41" s="1172">
        <f t="shared" si="6"/>
        <v>0</v>
      </c>
      <c r="H41" s="1540">
        <f t="shared" si="7"/>
        <v>0</v>
      </c>
      <c r="I41" s="1173"/>
      <c r="J41" s="1173"/>
      <c r="K41" s="1174">
        <f t="shared" si="8"/>
        <v>0</v>
      </c>
      <c r="L41" s="1540">
        <f t="shared" si="9"/>
        <v>0</v>
      </c>
      <c r="M41" s="1399">
        <f t="shared" si="4"/>
        <v>0</v>
      </c>
      <c r="N41" s="1540">
        <f t="shared" si="10"/>
        <v>0</v>
      </c>
      <c r="O41" s="1171">
        <v>0</v>
      </c>
      <c r="P41" s="1546">
        <f t="shared" si="11"/>
        <v>0</v>
      </c>
      <c r="Q41" s="1173"/>
      <c r="R41" s="1173">
        <f t="shared" si="12"/>
        <v>0</v>
      </c>
      <c r="S41" s="1546">
        <f t="shared" si="13"/>
        <v>0</v>
      </c>
      <c r="T41" s="1546">
        <f t="shared" si="14"/>
        <v>0</v>
      </c>
      <c r="U41" s="1382">
        <f>'Table 5C1A-Madison Prep'!U41</f>
        <v>3255</v>
      </c>
      <c r="V41" s="1516">
        <f t="shared" si="15"/>
        <v>0</v>
      </c>
      <c r="W41" s="1400"/>
      <c r="X41" s="1383">
        <f t="shared" si="16"/>
        <v>0</v>
      </c>
      <c r="Y41" s="1400"/>
      <c r="Z41" s="1383">
        <f t="shared" si="17"/>
        <v>0</v>
      </c>
      <c r="AA41" s="1384">
        <f t="shared" si="18"/>
        <v>0</v>
      </c>
      <c r="AB41" s="1511">
        <f t="shared" si="19"/>
        <v>0</v>
      </c>
      <c r="AC41" s="1402">
        <f t="shared" si="20"/>
        <v>0</v>
      </c>
      <c r="AD41" s="1511">
        <f t="shared" si="21"/>
        <v>0</v>
      </c>
      <c r="AE41" s="1385">
        <v>0</v>
      </c>
      <c r="AF41" s="1511">
        <f t="shared" si="22"/>
        <v>0</v>
      </c>
      <c r="AG41" s="1385"/>
      <c r="AH41" s="1385">
        <f t="shared" si="23"/>
        <v>0</v>
      </c>
      <c r="AI41" s="1511">
        <f t="shared" si="24"/>
        <v>0</v>
      </c>
      <c r="AJ41" s="1531">
        <f t="shared" si="25"/>
        <v>0</v>
      </c>
      <c r="AK41" s="1536">
        <f t="shared" si="26"/>
        <v>0</v>
      </c>
    </row>
    <row r="42" spans="1:37" ht="16.2" customHeight="1">
      <c r="A42" s="1183">
        <v>36</v>
      </c>
      <c r="B42" s="1184" t="s">
        <v>116</v>
      </c>
      <c r="C42" s="1185">
        <v>0</v>
      </c>
      <c r="D42" s="1186">
        <f>+'Table 5C1A-Madison Prep'!D42</f>
        <v>3602.7009974327857</v>
      </c>
      <c r="E42" s="1187">
        <f t="shared" si="5"/>
        <v>0</v>
      </c>
      <c r="F42" s="1187">
        <f>+'Table 5C1A-Madison Prep'!F42</f>
        <v>746.0335616438357</v>
      </c>
      <c r="G42" s="1187">
        <f t="shared" si="6"/>
        <v>0</v>
      </c>
      <c r="H42" s="1538">
        <f t="shared" si="7"/>
        <v>0</v>
      </c>
      <c r="I42" s="1188"/>
      <c r="J42" s="1188"/>
      <c r="K42" s="1189">
        <f t="shared" si="8"/>
        <v>0</v>
      </c>
      <c r="L42" s="1538">
        <f t="shared" si="9"/>
        <v>0</v>
      </c>
      <c r="M42" s="1372">
        <f t="shared" si="4"/>
        <v>0</v>
      </c>
      <c r="N42" s="1538">
        <f t="shared" si="10"/>
        <v>0</v>
      </c>
      <c r="O42" s="1186">
        <v>0</v>
      </c>
      <c r="P42" s="1544">
        <f t="shared" si="11"/>
        <v>0</v>
      </c>
      <c r="Q42" s="1188"/>
      <c r="R42" s="1188">
        <f t="shared" si="12"/>
        <v>0</v>
      </c>
      <c r="S42" s="1544">
        <f t="shared" si="13"/>
        <v>0</v>
      </c>
      <c r="T42" s="1544">
        <f t="shared" si="14"/>
        <v>0</v>
      </c>
      <c r="U42" s="1373">
        <f>'Table 5C1A-Madison Prep'!U42</f>
        <v>5435</v>
      </c>
      <c r="V42" s="1514">
        <f t="shared" si="15"/>
        <v>0</v>
      </c>
      <c r="W42" s="1375"/>
      <c r="X42" s="1376">
        <f t="shared" si="16"/>
        <v>0</v>
      </c>
      <c r="Y42" s="1375"/>
      <c r="Z42" s="1376">
        <f t="shared" si="17"/>
        <v>0</v>
      </c>
      <c r="AA42" s="1374">
        <f t="shared" si="18"/>
        <v>0</v>
      </c>
      <c r="AB42" s="1509">
        <f t="shared" si="19"/>
        <v>0</v>
      </c>
      <c r="AC42" s="1378">
        <f t="shared" si="20"/>
        <v>0</v>
      </c>
      <c r="AD42" s="1509">
        <f t="shared" si="21"/>
        <v>0</v>
      </c>
      <c r="AE42" s="1379">
        <v>0</v>
      </c>
      <c r="AF42" s="1509">
        <f t="shared" si="22"/>
        <v>0</v>
      </c>
      <c r="AG42" s="1379"/>
      <c r="AH42" s="1379">
        <f t="shared" si="23"/>
        <v>0</v>
      </c>
      <c r="AI42" s="1509">
        <f t="shared" si="24"/>
        <v>0</v>
      </c>
      <c r="AJ42" s="1530">
        <f t="shared" si="25"/>
        <v>0</v>
      </c>
      <c r="AK42" s="1534">
        <f t="shared" si="26"/>
        <v>0</v>
      </c>
    </row>
    <row r="43" spans="1:37" ht="16.2" customHeight="1">
      <c r="A43" s="1176">
        <v>37</v>
      </c>
      <c r="B43" s="1177" t="s">
        <v>117</v>
      </c>
      <c r="C43" s="1178">
        <v>0</v>
      </c>
      <c r="D43" s="1179">
        <f>+'Table 5C1A-Madison Prep'!D43</f>
        <v>5665.3839260317691</v>
      </c>
      <c r="E43" s="1180">
        <f t="shared" si="5"/>
        <v>0</v>
      </c>
      <c r="F43" s="1180">
        <f>+'Table 5C1A-Madison Prep'!F43</f>
        <v>653.61</v>
      </c>
      <c r="G43" s="1180">
        <f t="shared" si="6"/>
        <v>0</v>
      </c>
      <c r="H43" s="1539">
        <f t="shared" si="7"/>
        <v>0</v>
      </c>
      <c r="I43" s="1181"/>
      <c r="J43" s="1181"/>
      <c r="K43" s="1182">
        <f t="shared" si="8"/>
        <v>0</v>
      </c>
      <c r="L43" s="1539">
        <f t="shared" si="9"/>
        <v>0</v>
      </c>
      <c r="M43" s="1388">
        <f t="shared" si="4"/>
        <v>0</v>
      </c>
      <c r="N43" s="1539">
        <f t="shared" si="10"/>
        <v>0</v>
      </c>
      <c r="O43" s="1179">
        <v>0</v>
      </c>
      <c r="P43" s="1545">
        <f t="shared" si="11"/>
        <v>0</v>
      </c>
      <c r="Q43" s="1181"/>
      <c r="R43" s="1181">
        <f t="shared" si="12"/>
        <v>0</v>
      </c>
      <c r="S43" s="1545">
        <f t="shared" si="13"/>
        <v>0</v>
      </c>
      <c r="T43" s="1545">
        <f t="shared" si="14"/>
        <v>0</v>
      </c>
      <c r="U43" s="1389">
        <f>'Table 5C1A-Madison Prep'!U43</f>
        <v>3520</v>
      </c>
      <c r="V43" s="1515">
        <f t="shared" si="15"/>
        <v>0</v>
      </c>
      <c r="W43" s="1391"/>
      <c r="X43" s="1392">
        <f t="shared" si="16"/>
        <v>0</v>
      </c>
      <c r="Y43" s="1391"/>
      <c r="Z43" s="1392">
        <f t="shared" si="17"/>
        <v>0</v>
      </c>
      <c r="AA43" s="1390">
        <f t="shared" si="18"/>
        <v>0</v>
      </c>
      <c r="AB43" s="1510">
        <f t="shared" si="19"/>
        <v>0</v>
      </c>
      <c r="AC43" s="1394">
        <f t="shared" si="20"/>
        <v>0</v>
      </c>
      <c r="AD43" s="1510">
        <f t="shared" si="21"/>
        <v>0</v>
      </c>
      <c r="AE43" s="1395">
        <v>0</v>
      </c>
      <c r="AF43" s="1510">
        <f t="shared" si="22"/>
        <v>0</v>
      </c>
      <c r="AG43" s="1395"/>
      <c r="AH43" s="1395">
        <f t="shared" si="23"/>
        <v>0</v>
      </c>
      <c r="AI43" s="1510">
        <f t="shared" si="24"/>
        <v>0</v>
      </c>
      <c r="AJ43" s="1505">
        <f t="shared" si="25"/>
        <v>0</v>
      </c>
      <c r="AK43" s="1535">
        <f t="shared" si="26"/>
        <v>0</v>
      </c>
    </row>
    <row r="44" spans="1:37" ht="16.2" customHeight="1">
      <c r="A44" s="1176">
        <v>38</v>
      </c>
      <c r="B44" s="1177" t="s">
        <v>118</v>
      </c>
      <c r="C44" s="1178">
        <v>0</v>
      </c>
      <c r="D44" s="1179">
        <f>+'Table 5C1A-Madison Prep'!D44</f>
        <v>2088.8017552916881</v>
      </c>
      <c r="E44" s="1180">
        <f t="shared" si="5"/>
        <v>0</v>
      </c>
      <c r="F44" s="1180">
        <f>+'Table 5C1A-Madison Prep'!F44</f>
        <v>829.92000000000007</v>
      </c>
      <c r="G44" s="1180">
        <f t="shared" si="6"/>
        <v>0</v>
      </c>
      <c r="H44" s="1539">
        <f t="shared" si="7"/>
        <v>0</v>
      </c>
      <c r="I44" s="1181"/>
      <c r="J44" s="1181"/>
      <c r="K44" s="1182">
        <f t="shared" si="8"/>
        <v>0</v>
      </c>
      <c r="L44" s="1539">
        <f t="shared" si="9"/>
        <v>0</v>
      </c>
      <c r="M44" s="1388">
        <f t="shared" si="4"/>
        <v>0</v>
      </c>
      <c r="N44" s="1539">
        <f t="shared" si="10"/>
        <v>0</v>
      </c>
      <c r="O44" s="1179">
        <v>0</v>
      </c>
      <c r="P44" s="1545">
        <f t="shared" si="11"/>
        <v>0</v>
      </c>
      <c r="Q44" s="1181"/>
      <c r="R44" s="1181">
        <f t="shared" si="12"/>
        <v>0</v>
      </c>
      <c r="S44" s="1545">
        <f t="shared" si="13"/>
        <v>0</v>
      </c>
      <c r="T44" s="1545">
        <f t="shared" si="14"/>
        <v>0</v>
      </c>
      <c r="U44" s="1389">
        <f>'Table 5C1A-Madison Prep'!U44</f>
        <v>11379</v>
      </c>
      <c r="V44" s="1515">
        <f t="shared" si="15"/>
        <v>0</v>
      </c>
      <c r="W44" s="1391"/>
      <c r="X44" s="1392">
        <f t="shared" si="16"/>
        <v>0</v>
      </c>
      <c r="Y44" s="1391"/>
      <c r="Z44" s="1392">
        <f t="shared" si="17"/>
        <v>0</v>
      </c>
      <c r="AA44" s="1390">
        <f t="shared" si="18"/>
        <v>0</v>
      </c>
      <c r="AB44" s="1510">
        <f t="shared" si="19"/>
        <v>0</v>
      </c>
      <c r="AC44" s="1394">
        <f t="shared" si="20"/>
        <v>0</v>
      </c>
      <c r="AD44" s="1510">
        <f t="shared" si="21"/>
        <v>0</v>
      </c>
      <c r="AE44" s="1395">
        <v>0</v>
      </c>
      <c r="AF44" s="1510">
        <f t="shared" si="22"/>
        <v>0</v>
      </c>
      <c r="AG44" s="1395"/>
      <c r="AH44" s="1395">
        <f t="shared" si="23"/>
        <v>0</v>
      </c>
      <c r="AI44" s="1510">
        <f t="shared" si="24"/>
        <v>0</v>
      </c>
      <c r="AJ44" s="1505">
        <f t="shared" si="25"/>
        <v>0</v>
      </c>
      <c r="AK44" s="1535">
        <f t="shared" si="26"/>
        <v>0</v>
      </c>
    </row>
    <row r="45" spans="1:37" ht="16.2" customHeight="1">
      <c r="A45" s="1176">
        <v>39</v>
      </c>
      <c r="B45" s="1177" t="s">
        <v>119</v>
      </c>
      <c r="C45" s="1178">
        <v>0</v>
      </c>
      <c r="D45" s="1179">
        <f>+'Table 5C1A-Madison Prep'!D45</f>
        <v>3656.9056809295676</v>
      </c>
      <c r="E45" s="1180">
        <f t="shared" si="5"/>
        <v>0</v>
      </c>
      <c r="F45" s="1180">
        <f>+'Table 5C1A-Madison Prep'!F45</f>
        <v>779.65573042776396</v>
      </c>
      <c r="G45" s="1180">
        <f t="shared" si="6"/>
        <v>0</v>
      </c>
      <c r="H45" s="1539">
        <f t="shared" si="7"/>
        <v>0</v>
      </c>
      <c r="I45" s="1181"/>
      <c r="J45" s="1181"/>
      <c r="K45" s="1182">
        <f t="shared" si="8"/>
        <v>0</v>
      </c>
      <c r="L45" s="1539">
        <f t="shared" si="9"/>
        <v>0</v>
      </c>
      <c r="M45" s="1388">
        <f t="shared" si="4"/>
        <v>0</v>
      </c>
      <c r="N45" s="1539">
        <f t="shared" si="10"/>
        <v>0</v>
      </c>
      <c r="O45" s="1179">
        <v>0</v>
      </c>
      <c r="P45" s="1545">
        <f t="shared" si="11"/>
        <v>0</v>
      </c>
      <c r="Q45" s="1181"/>
      <c r="R45" s="1181">
        <f t="shared" si="12"/>
        <v>0</v>
      </c>
      <c r="S45" s="1545">
        <f t="shared" si="13"/>
        <v>0</v>
      </c>
      <c r="T45" s="1545">
        <f t="shared" si="14"/>
        <v>0</v>
      </c>
      <c r="U45" s="1389">
        <f>'Table 5C1A-Madison Prep'!U45</f>
        <v>4955</v>
      </c>
      <c r="V45" s="1515">
        <f t="shared" si="15"/>
        <v>0</v>
      </c>
      <c r="W45" s="1391"/>
      <c r="X45" s="1392">
        <f t="shared" si="16"/>
        <v>0</v>
      </c>
      <c r="Y45" s="1391"/>
      <c r="Z45" s="1392">
        <f t="shared" si="17"/>
        <v>0</v>
      </c>
      <c r="AA45" s="1390">
        <f t="shared" si="18"/>
        <v>0</v>
      </c>
      <c r="AB45" s="1510">
        <f t="shared" si="19"/>
        <v>0</v>
      </c>
      <c r="AC45" s="1394">
        <f t="shared" si="20"/>
        <v>0</v>
      </c>
      <c r="AD45" s="1510">
        <f t="shared" si="21"/>
        <v>0</v>
      </c>
      <c r="AE45" s="1395">
        <v>0</v>
      </c>
      <c r="AF45" s="1510">
        <f t="shared" si="22"/>
        <v>0</v>
      </c>
      <c r="AG45" s="1395"/>
      <c r="AH45" s="1395">
        <f t="shared" si="23"/>
        <v>0</v>
      </c>
      <c r="AI45" s="1510">
        <f t="shared" si="24"/>
        <v>0</v>
      </c>
      <c r="AJ45" s="1505">
        <f t="shared" si="25"/>
        <v>0</v>
      </c>
      <c r="AK45" s="1535">
        <f t="shared" si="26"/>
        <v>0</v>
      </c>
    </row>
    <row r="46" spans="1:37" ht="16.2" customHeight="1">
      <c r="A46" s="1168">
        <v>40</v>
      </c>
      <c r="B46" s="1169" t="s">
        <v>120</v>
      </c>
      <c r="C46" s="1170">
        <v>0</v>
      </c>
      <c r="D46" s="1171">
        <f>+'Table 5C1A-Madison Prep'!D46</f>
        <v>5121.8110285698403</v>
      </c>
      <c r="E46" s="1172">
        <f t="shared" si="5"/>
        <v>0</v>
      </c>
      <c r="F46" s="1172">
        <f>+'Table 5C1A-Madison Prep'!F46</f>
        <v>700.2700000000001</v>
      </c>
      <c r="G46" s="1172">
        <f t="shared" si="6"/>
        <v>0</v>
      </c>
      <c r="H46" s="1540">
        <f t="shared" si="7"/>
        <v>0</v>
      </c>
      <c r="I46" s="1173"/>
      <c r="J46" s="1173"/>
      <c r="K46" s="1174">
        <f t="shared" si="8"/>
        <v>0</v>
      </c>
      <c r="L46" s="1540">
        <f t="shared" si="9"/>
        <v>0</v>
      </c>
      <c r="M46" s="1399">
        <f t="shared" si="4"/>
        <v>0</v>
      </c>
      <c r="N46" s="1540">
        <f t="shared" si="10"/>
        <v>0</v>
      </c>
      <c r="O46" s="1171">
        <v>0</v>
      </c>
      <c r="P46" s="1546">
        <f t="shared" si="11"/>
        <v>0</v>
      </c>
      <c r="Q46" s="1173"/>
      <c r="R46" s="1173">
        <f t="shared" si="12"/>
        <v>0</v>
      </c>
      <c r="S46" s="1546">
        <f t="shared" si="13"/>
        <v>0</v>
      </c>
      <c r="T46" s="1546">
        <f t="shared" si="14"/>
        <v>0</v>
      </c>
      <c r="U46" s="1382">
        <f>'Table 5C1A-Madison Prep'!U46</f>
        <v>3069</v>
      </c>
      <c r="V46" s="1516">
        <f t="shared" si="15"/>
        <v>0</v>
      </c>
      <c r="W46" s="1400"/>
      <c r="X46" s="1383">
        <f t="shared" si="16"/>
        <v>0</v>
      </c>
      <c r="Y46" s="1400"/>
      <c r="Z46" s="1383">
        <f t="shared" si="17"/>
        <v>0</v>
      </c>
      <c r="AA46" s="1384">
        <f t="shared" si="18"/>
        <v>0</v>
      </c>
      <c r="AB46" s="1511">
        <f t="shared" si="19"/>
        <v>0</v>
      </c>
      <c r="AC46" s="1402">
        <f t="shared" si="20"/>
        <v>0</v>
      </c>
      <c r="AD46" s="1511">
        <f t="shared" si="21"/>
        <v>0</v>
      </c>
      <c r="AE46" s="1385">
        <v>0</v>
      </c>
      <c r="AF46" s="1511">
        <f t="shared" si="22"/>
        <v>0</v>
      </c>
      <c r="AG46" s="1385"/>
      <c r="AH46" s="1385">
        <f t="shared" si="23"/>
        <v>0</v>
      </c>
      <c r="AI46" s="1511">
        <f t="shared" si="24"/>
        <v>0</v>
      </c>
      <c r="AJ46" s="1531">
        <f t="shared" si="25"/>
        <v>0</v>
      </c>
      <c r="AK46" s="1536">
        <f t="shared" si="26"/>
        <v>0</v>
      </c>
    </row>
    <row r="47" spans="1:37" ht="16.2" customHeight="1">
      <c r="A47" s="1183">
        <v>41</v>
      </c>
      <c r="B47" s="1184" t="s">
        <v>121</v>
      </c>
      <c r="C47" s="1185">
        <v>0</v>
      </c>
      <c r="D47" s="1186">
        <f>+'Table 5C1A-Madison Prep'!D47</f>
        <v>3291.1948574716475</v>
      </c>
      <c r="E47" s="1187">
        <f t="shared" si="5"/>
        <v>0</v>
      </c>
      <c r="F47" s="1187">
        <f>+'Table 5C1A-Madison Prep'!F47</f>
        <v>886.22</v>
      </c>
      <c r="G47" s="1187">
        <f t="shared" si="6"/>
        <v>0</v>
      </c>
      <c r="H47" s="1538">
        <f t="shared" si="7"/>
        <v>0</v>
      </c>
      <c r="I47" s="1188"/>
      <c r="J47" s="1188"/>
      <c r="K47" s="1189">
        <f t="shared" si="8"/>
        <v>0</v>
      </c>
      <c r="L47" s="1538">
        <f t="shared" si="9"/>
        <v>0</v>
      </c>
      <c r="M47" s="1372">
        <f t="shared" si="4"/>
        <v>0</v>
      </c>
      <c r="N47" s="1538">
        <f t="shared" si="10"/>
        <v>0</v>
      </c>
      <c r="O47" s="1186">
        <v>0</v>
      </c>
      <c r="P47" s="1544">
        <f t="shared" si="11"/>
        <v>0</v>
      </c>
      <c r="Q47" s="1188"/>
      <c r="R47" s="1188">
        <f t="shared" si="12"/>
        <v>0</v>
      </c>
      <c r="S47" s="1544">
        <f t="shared" si="13"/>
        <v>0</v>
      </c>
      <c r="T47" s="1544">
        <f t="shared" si="14"/>
        <v>0</v>
      </c>
      <c r="U47" s="1373">
        <f>'Table 5C1A-Madison Prep'!U47</f>
        <v>8478</v>
      </c>
      <c r="V47" s="1514">
        <f t="shared" si="15"/>
        <v>0</v>
      </c>
      <c r="W47" s="1375"/>
      <c r="X47" s="1376">
        <f t="shared" si="16"/>
        <v>0</v>
      </c>
      <c r="Y47" s="1375"/>
      <c r="Z47" s="1376">
        <f t="shared" si="17"/>
        <v>0</v>
      </c>
      <c r="AA47" s="1374">
        <f t="shared" si="18"/>
        <v>0</v>
      </c>
      <c r="AB47" s="1509">
        <f t="shared" si="19"/>
        <v>0</v>
      </c>
      <c r="AC47" s="1378">
        <f t="shared" si="20"/>
        <v>0</v>
      </c>
      <c r="AD47" s="1509">
        <f t="shared" si="21"/>
        <v>0</v>
      </c>
      <c r="AE47" s="1379">
        <v>0</v>
      </c>
      <c r="AF47" s="1509">
        <f t="shared" si="22"/>
        <v>0</v>
      </c>
      <c r="AG47" s="1379"/>
      <c r="AH47" s="1379">
        <f t="shared" si="23"/>
        <v>0</v>
      </c>
      <c r="AI47" s="1509">
        <f t="shared" si="24"/>
        <v>0</v>
      </c>
      <c r="AJ47" s="1530">
        <f t="shared" si="25"/>
        <v>0</v>
      </c>
      <c r="AK47" s="1534">
        <f t="shared" si="26"/>
        <v>0</v>
      </c>
    </row>
    <row r="48" spans="1:37" ht="16.2" customHeight="1">
      <c r="A48" s="1176">
        <v>42</v>
      </c>
      <c r="B48" s="1177" t="s">
        <v>122</v>
      </c>
      <c r="C48" s="1178">
        <v>0</v>
      </c>
      <c r="D48" s="1179">
        <f>+'Table 5C1A-Madison Prep'!D48</f>
        <v>5113.6077751368684</v>
      </c>
      <c r="E48" s="1180">
        <f t="shared" si="5"/>
        <v>0</v>
      </c>
      <c r="F48" s="1180">
        <f>+'Table 5C1A-Madison Prep'!F48</f>
        <v>534.28</v>
      </c>
      <c r="G48" s="1180">
        <f t="shared" si="6"/>
        <v>0</v>
      </c>
      <c r="H48" s="1539">
        <f t="shared" si="7"/>
        <v>0</v>
      </c>
      <c r="I48" s="1181"/>
      <c r="J48" s="1181"/>
      <c r="K48" s="1182">
        <f t="shared" si="8"/>
        <v>0</v>
      </c>
      <c r="L48" s="1539">
        <f t="shared" si="9"/>
        <v>0</v>
      </c>
      <c r="M48" s="1388">
        <f t="shared" si="4"/>
        <v>0</v>
      </c>
      <c r="N48" s="1539">
        <f t="shared" si="10"/>
        <v>0</v>
      </c>
      <c r="O48" s="1179">
        <v>0</v>
      </c>
      <c r="P48" s="1545">
        <f t="shared" si="11"/>
        <v>0</v>
      </c>
      <c r="Q48" s="1181"/>
      <c r="R48" s="1181">
        <f t="shared" si="12"/>
        <v>0</v>
      </c>
      <c r="S48" s="1545">
        <f t="shared" si="13"/>
        <v>0</v>
      </c>
      <c r="T48" s="1545">
        <f t="shared" si="14"/>
        <v>0</v>
      </c>
      <c r="U48" s="1389">
        <f>'Table 5C1A-Madison Prep'!U48</f>
        <v>3578</v>
      </c>
      <c r="V48" s="1515">
        <f t="shared" si="15"/>
        <v>0</v>
      </c>
      <c r="W48" s="1391"/>
      <c r="X48" s="1392">
        <f t="shared" si="16"/>
        <v>0</v>
      </c>
      <c r="Y48" s="1391"/>
      <c r="Z48" s="1392">
        <f t="shared" si="17"/>
        <v>0</v>
      </c>
      <c r="AA48" s="1390">
        <f t="shared" si="18"/>
        <v>0</v>
      </c>
      <c r="AB48" s="1510">
        <f t="shared" si="19"/>
        <v>0</v>
      </c>
      <c r="AC48" s="1394">
        <f t="shared" si="20"/>
        <v>0</v>
      </c>
      <c r="AD48" s="1510">
        <f t="shared" si="21"/>
        <v>0</v>
      </c>
      <c r="AE48" s="1395">
        <v>0</v>
      </c>
      <c r="AF48" s="1510">
        <f t="shared" si="22"/>
        <v>0</v>
      </c>
      <c r="AG48" s="1395"/>
      <c r="AH48" s="1395">
        <f t="shared" si="23"/>
        <v>0</v>
      </c>
      <c r="AI48" s="1510">
        <f t="shared" si="24"/>
        <v>0</v>
      </c>
      <c r="AJ48" s="1505">
        <f t="shared" si="25"/>
        <v>0</v>
      </c>
      <c r="AK48" s="1535">
        <f t="shared" si="26"/>
        <v>0</v>
      </c>
    </row>
    <row r="49" spans="1:37" ht="16.2" customHeight="1">
      <c r="A49" s="1176">
        <v>43</v>
      </c>
      <c r="B49" s="1177" t="s">
        <v>123</v>
      </c>
      <c r="C49" s="1178">
        <v>0</v>
      </c>
      <c r="D49" s="1179">
        <f>+'Table 5C1A-Madison Prep'!D49</f>
        <v>5788.74387205947</v>
      </c>
      <c r="E49" s="1180">
        <f t="shared" si="5"/>
        <v>0</v>
      </c>
      <c r="F49" s="1180">
        <f>+'Table 5C1A-Madison Prep'!F49</f>
        <v>574.6099999999999</v>
      </c>
      <c r="G49" s="1180">
        <f t="shared" si="6"/>
        <v>0</v>
      </c>
      <c r="H49" s="1539">
        <f t="shared" si="7"/>
        <v>0</v>
      </c>
      <c r="I49" s="1181"/>
      <c r="J49" s="1181"/>
      <c r="K49" s="1182">
        <f t="shared" si="8"/>
        <v>0</v>
      </c>
      <c r="L49" s="1539">
        <f t="shared" si="9"/>
        <v>0</v>
      </c>
      <c r="M49" s="1388">
        <f t="shared" si="4"/>
        <v>0</v>
      </c>
      <c r="N49" s="1539">
        <f t="shared" si="10"/>
        <v>0</v>
      </c>
      <c r="O49" s="1179">
        <v>0</v>
      </c>
      <c r="P49" s="1545">
        <f t="shared" si="11"/>
        <v>0</v>
      </c>
      <c r="Q49" s="1181"/>
      <c r="R49" s="1181">
        <f t="shared" si="12"/>
        <v>0</v>
      </c>
      <c r="S49" s="1545">
        <f t="shared" si="13"/>
        <v>0</v>
      </c>
      <c r="T49" s="1545">
        <f t="shared" si="14"/>
        <v>0</v>
      </c>
      <c r="U49" s="1389">
        <f>'Table 5C1A-Madison Prep'!U49</f>
        <v>3205</v>
      </c>
      <c r="V49" s="1515">
        <f t="shared" si="15"/>
        <v>0</v>
      </c>
      <c r="W49" s="1391"/>
      <c r="X49" s="1392">
        <f t="shared" si="16"/>
        <v>0</v>
      </c>
      <c r="Y49" s="1391"/>
      <c r="Z49" s="1392">
        <f t="shared" si="17"/>
        <v>0</v>
      </c>
      <c r="AA49" s="1390">
        <f t="shared" si="18"/>
        <v>0</v>
      </c>
      <c r="AB49" s="1510">
        <f t="shared" si="19"/>
        <v>0</v>
      </c>
      <c r="AC49" s="1394">
        <f t="shared" si="20"/>
        <v>0</v>
      </c>
      <c r="AD49" s="1510">
        <f t="shared" si="21"/>
        <v>0</v>
      </c>
      <c r="AE49" s="1395">
        <v>0</v>
      </c>
      <c r="AF49" s="1510">
        <f t="shared" si="22"/>
        <v>0</v>
      </c>
      <c r="AG49" s="1395"/>
      <c r="AH49" s="1395">
        <f t="shared" si="23"/>
        <v>0</v>
      </c>
      <c r="AI49" s="1510">
        <f t="shared" si="24"/>
        <v>0</v>
      </c>
      <c r="AJ49" s="1505">
        <f t="shared" si="25"/>
        <v>0</v>
      </c>
      <c r="AK49" s="1535">
        <f t="shared" si="26"/>
        <v>0</v>
      </c>
    </row>
    <row r="50" spans="1:37" ht="16.2" customHeight="1">
      <c r="A50" s="1176">
        <v>44</v>
      </c>
      <c r="B50" s="1177" t="s">
        <v>124</v>
      </c>
      <c r="C50" s="1178">
        <v>0</v>
      </c>
      <c r="D50" s="1179">
        <f>+'Table 5C1A-Madison Prep'!D50</f>
        <v>4897.5958151820359</v>
      </c>
      <c r="E50" s="1180">
        <f t="shared" si="5"/>
        <v>0</v>
      </c>
      <c r="F50" s="1180">
        <f>+'Table 5C1A-Madison Prep'!F50</f>
        <v>663.16000000000008</v>
      </c>
      <c r="G50" s="1180">
        <f t="shared" si="6"/>
        <v>0</v>
      </c>
      <c r="H50" s="1539">
        <f t="shared" si="7"/>
        <v>0</v>
      </c>
      <c r="I50" s="1181"/>
      <c r="J50" s="1181"/>
      <c r="K50" s="1182">
        <f t="shared" si="8"/>
        <v>0</v>
      </c>
      <c r="L50" s="1539">
        <f t="shared" si="9"/>
        <v>0</v>
      </c>
      <c r="M50" s="1388">
        <f t="shared" si="4"/>
        <v>0</v>
      </c>
      <c r="N50" s="1539">
        <f t="shared" si="10"/>
        <v>0</v>
      </c>
      <c r="O50" s="1179">
        <v>0</v>
      </c>
      <c r="P50" s="1545">
        <f t="shared" si="11"/>
        <v>0</v>
      </c>
      <c r="Q50" s="1181"/>
      <c r="R50" s="1181">
        <f t="shared" si="12"/>
        <v>0</v>
      </c>
      <c r="S50" s="1545">
        <f t="shared" si="13"/>
        <v>0</v>
      </c>
      <c r="T50" s="1545">
        <f t="shared" si="14"/>
        <v>0</v>
      </c>
      <c r="U50" s="1389">
        <f>'Table 5C1A-Madison Prep'!U50</f>
        <v>3719</v>
      </c>
      <c r="V50" s="1515">
        <f t="shared" si="15"/>
        <v>0</v>
      </c>
      <c r="W50" s="1391"/>
      <c r="X50" s="1392">
        <f t="shared" si="16"/>
        <v>0</v>
      </c>
      <c r="Y50" s="1391"/>
      <c r="Z50" s="1392">
        <f t="shared" si="17"/>
        <v>0</v>
      </c>
      <c r="AA50" s="1390">
        <f t="shared" si="18"/>
        <v>0</v>
      </c>
      <c r="AB50" s="1510">
        <f t="shared" si="19"/>
        <v>0</v>
      </c>
      <c r="AC50" s="1394">
        <f t="shared" si="20"/>
        <v>0</v>
      </c>
      <c r="AD50" s="1510">
        <f t="shared" si="21"/>
        <v>0</v>
      </c>
      <c r="AE50" s="1395">
        <v>0</v>
      </c>
      <c r="AF50" s="1510">
        <f t="shared" si="22"/>
        <v>0</v>
      </c>
      <c r="AG50" s="1395"/>
      <c r="AH50" s="1395">
        <f t="shared" si="23"/>
        <v>0</v>
      </c>
      <c r="AI50" s="1510">
        <f t="shared" si="24"/>
        <v>0</v>
      </c>
      <c r="AJ50" s="1505">
        <f t="shared" si="25"/>
        <v>0</v>
      </c>
      <c r="AK50" s="1535">
        <f t="shared" si="26"/>
        <v>0</v>
      </c>
    </row>
    <row r="51" spans="1:37" ht="16.2" customHeight="1">
      <c r="A51" s="1168">
        <v>45</v>
      </c>
      <c r="B51" s="1169" t="s">
        <v>125</v>
      </c>
      <c r="C51" s="1170">
        <v>0</v>
      </c>
      <c r="D51" s="1171">
        <f>+'Table 5C1A-Madison Prep'!D51</f>
        <v>2054.0472499469101</v>
      </c>
      <c r="E51" s="1172">
        <f t="shared" si="5"/>
        <v>0</v>
      </c>
      <c r="F51" s="1172">
        <f>+'Table 5C1A-Madison Prep'!F51</f>
        <v>753.96000000000015</v>
      </c>
      <c r="G51" s="1172">
        <f t="shared" si="6"/>
        <v>0</v>
      </c>
      <c r="H51" s="1540">
        <f t="shared" si="7"/>
        <v>0</v>
      </c>
      <c r="I51" s="1173"/>
      <c r="J51" s="1173"/>
      <c r="K51" s="1174">
        <f t="shared" si="8"/>
        <v>0</v>
      </c>
      <c r="L51" s="1540">
        <f t="shared" si="9"/>
        <v>0</v>
      </c>
      <c r="M51" s="1399">
        <f t="shared" si="4"/>
        <v>0</v>
      </c>
      <c r="N51" s="1540">
        <f t="shared" si="10"/>
        <v>0</v>
      </c>
      <c r="O51" s="1171">
        <v>0</v>
      </c>
      <c r="P51" s="1546">
        <f t="shared" si="11"/>
        <v>0</v>
      </c>
      <c r="Q51" s="1173"/>
      <c r="R51" s="1173">
        <f t="shared" si="12"/>
        <v>0</v>
      </c>
      <c r="S51" s="1546">
        <f t="shared" si="13"/>
        <v>0</v>
      </c>
      <c r="T51" s="1546">
        <f t="shared" si="14"/>
        <v>0</v>
      </c>
      <c r="U51" s="1382">
        <f>'Table 5C1A-Madison Prep'!U51</f>
        <v>12169</v>
      </c>
      <c r="V51" s="1516">
        <f t="shared" si="15"/>
        <v>0</v>
      </c>
      <c r="W51" s="1400"/>
      <c r="X51" s="1383">
        <f t="shared" si="16"/>
        <v>0</v>
      </c>
      <c r="Y51" s="1400"/>
      <c r="Z51" s="1383">
        <f t="shared" si="17"/>
        <v>0</v>
      </c>
      <c r="AA51" s="1384">
        <f t="shared" si="18"/>
        <v>0</v>
      </c>
      <c r="AB51" s="1511">
        <f t="shared" si="19"/>
        <v>0</v>
      </c>
      <c r="AC51" s="1402">
        <f t="shared" si="20"/>
        <v>0</v>
      </c>
      <c r="AD51" s="1511">
        <f t="shared" si="21"/>
        <v>0</v>
      </c>
      <c r="AE51" s="1385">
        <v>0</v>
      </c>
      <c r="AF51" s="1511">
        <f t="shared" si="22"/>
        <v>0</v>
      </c>
      <c r="AG51" s="1385"/>
      <c r="AH51" s="1385">
        <f t="shared" si="23"/>
        <v>0</v>
      </c>
      <c r="AI51" s="1511">
        <f t="shared" si="24"/>
        <v>0</v>
      </c>
      <c r="AJ51" s="1531">
        <f t="shared" si="25"/>
        <v>0</v>
      </c>
      <c r="AK51" s="1536">
        <f t="shared" si="26"/>
        <v>0</v>
      </c>
    </row>
    <row r="52" spans="1:37" ht="16.2" customHeight="1">
      <c r="A52" s="1183">
        <v>46</v>
      </c>
      <c r="B52" s="1184" t="s">
        <v>126</v>
      </c>
      <c r="C52" s="1185">
        <v>0</v>
      </c>
      <c r="D52" s="1186">
        <f>+'Table 5C1A-Madison Prep'!D52</f>
        <v>6051.2144468088381</v>
      </c>
      <c r="E52" s="1187">
        <f t="shared" si="5"/>
        <v>0</v>
      </c>
      <c r="F52" s="1187">
        <f>+'Table 5C1A-Madison Prep'!F52</f>
        <v>728.06</v>
      </c>
      <c r="G52" s="1187">
        <f t="shared" si="6"/>
        <v>0</v>
      </c>
      <c r="H52" s="1538">
        <f t="shared" si="7"/>
        <v>0</v>
      </c>
      <c r="I52" s="1188"/>
      <c r="J52" s="1188"/>
      <c r="K52" s="1189">
        <f t="shared" si="8"/>
        <v>0</v>
      </c>
      <c r="L52" s="1538">
        <f t="shared" si="9"/>
        <v>0</v>
      </c>
      <c r="M52" s="1372">
        <f t="shared" si="4"/>
        <v>0</v>
      </c>
      <c r="N52" s="1538">
        <f t="shared" si="10"/>
        <v>0</v>
      </c>
      <c r="O52" s="1186">
        <v>0</v>
      </c>
      <c r="P52" s="1544">
        <f t="shared" si="11"/>
        <v>0</v>
      </c>
      <c r="Q52" s="1188"/>
      <c r="R52" s="1188">
        <f t="shared" si="12"/>
        <v>0</v>
      </c>
      <c r="S52" s="1544">
        <f t="shared" si="13"/>
        <v>0</v>
      </c>
      <c r="T52" s="1544">
        <f t="shared" si="14"/>
        <v>0</v>
      </c>
      <c r="U52" s="1373">
        <f>'Table 5C1A-Madison Prep'!U52</f>
        <v>2713</v>
      </c>
      <c r="V52" s="1514">
        <f t="shared" si="15"/>
        <v>0</v>
      </c>
      <c r="W52" s="1375"/>
      <c r="X52" s="1376">
        <f t="shared" si="16"/>
        <v>0</v>
      </c>
      <c r="Y52" s="1375"/>
      <c r="Z52" s="1376">
        <f t="shared" si="17"/>
        <v>0</v>
      </c>
      <c r="AA52" s="1374">
        <f t="shared" si="18"/>
        <v>0</v>
      </c>
      <c r="AB52" s="1509">
        <f t="shared" si="19"/>
        <v>0</v>
      </c>
      <c r="AC52" s="1378">
        <f t="shared" si="20"/>
        <v>0</v>
      </c>
      <c r="AD52" s="1509">
        <f t="shared" si="21"/>
        <v>0</v>
      </c>
      <c r="AE52" s="1379">
        <v>0</v>
      </c>
      <c r="AF52" s="1509">
        <f t="shared" si="22"/>
        <v>0</v>
      </c>
      <c r="AG52" s="1379"/>
      <c r="AH52" s="1379">
        <f t="shared" si="23"/>
        <v>0</v>
      </c>
      <c r="AI52" s="1509">
        <f t="shared" si="24"/>
        <v>0</v>
      </c>
      <c r="AJ52" s="1530">
        <f t="shared" si="25"/>
        <v>0</v>
      </c>
      <c r="AK52" s="1534">
        <f t="shared" si="26"/>
        <v>0</v>
      </c>
    </row>
    <row r="53" spans="1:37" ht="16.2" customHeight="1">
      <c r="A53" s="1176">
        <v>47</v>
      </c>
      <c r="B53" s="1177" t="s">
        <v>127</v>
      </c>
      <c r="C53" s="1178">
        <v>0</v>
      </c>
      <c r="D53" s="1179">
        <f>+'Table 5C1A-Madison Prep'!D53</f>
        <v>2524.1485257646736</v>
      </c>
      <c r="E53" s="1180">
        <f t="shared" si="5"/>
        <v>0</v>
      </c>
      <c r="F53" s="1180">
        <f>+'Table 5C1A-Madison Prep'!F53</f>
        <v>910.76</v>
      </c>
      <c r="G53" s="1180">
        <f t="shared" si="6"/>
        <v>0</v>
      </c>
      <c r="H53" s="1539">
        <f t="shared" si="7"/>
        <v>0</v>
      </c>
      <c r="I53" s="1181"/>
      <c r="J53" s="1181"/>
      <c r="K53" s="1182">
        <f t="shared" si="8"/>
        <v>0</v>
      </c>
      <c r="L53" s="1539">
        <f t="shared" si="9"/>
        <v>0</v>
      </c>
      <c r="M53" s="1388">
        <f t="shared" si="4"/>
        <v>0</v>
      </c>
      <c r="N53" s="1539">
        <f t="shared" si="10"/>
        <v>0</v>
      </c>
      <c r="O53" s="1179">
        <v>0</v>
      </c>
      <c r="P53" s="1545">
        <f t="shared" si="11"/>
        <v>0</v>
      </c>
      <c r="Q53" s="1181"/>
      <c r="R53" s="1181">
        <f t="shared" si="12"/>
        <v>0</v>
      </c>
      <c r="S53" s="1545">
        <f t="shared" si="13"/>
        <v>0</v>
      </c>
      <c r="T53" s="1545">
        <f t="shared" si="14"/>
        <v>0</v>
      </c>
      <c r="U53" s="1389">
        <f>'Table 5C1A-Madison Prep'!U53</f>
        <v>11701</v>
      </c>
      <c r="V53" s="1515">
        <f t="shared" si="15"/>
        <v>0</v>
      </c>
      <c r="W53" s="1391"/>
      <c r="X53" s="1392">
        <f t="shared" si="16"/>
        <v>0</v>
      </c>
      <c r="Y53" s="1391"/>
      <c r="Z53" s="1392">
        <f t="shared" si="17"/>
        <v>0</v>
      </c>
      <c r="AA53" s="1390">
        <f t="shared" si="18"/>
        <v>0</v>
      </c>
      <c r="AB53" s="1510">
        <f t="shared" si="19"/>
        <v>0</v>
      </c>
      <c r="AC53" s="1394">
        <f t="shared" si="20"/>
        <v>0</v>
      </c>
      <c r="AD53" s="1510">
        <f t="shared" si="21"/>
        <v>0</v>
      </c>
      <c r="AE53" s="1395">
        <v>0</v>
      </c>
      <c r="AF53" s="1510">
        <f t="shared" si="22"/>
        <v>0</v>
      </c>
      <c r="AG53" s="1395"/>
      <c r="AH53" s="1395">
        <f t="shared" si="23"/>
        <v>0</v>
      </c>
      <c r="AI53" s="1510">
        <f t="shared" si="24"/>
        <v>0</v>
      </c>
      <c r="AJ53" s="1505">
        <f t="shared" si="25"/>
        <v>0</v>
      </c>
      <c r="AK53" s="1535">
        <f t="shared" si="26"/>
        <v>0</v>
      </c>
    </row>
    <row r="54" spans="1:37" ht="16.2" customHeight="1">
      <c r="A54" s="1176">
        <v>48</v>
      </c>
      <c r="B54" s="1177" t="s">
        <v>178</v>
      </c>
      <c r="C54" s="1178">
        <v>0</v>
      </c>
      <c r="D54" s="1179">
        <f>+'Table 5C1A-Madison Prep'!D54</f>
        <v>3983.3582529800719</v>
      </c>
      <c r="E54" s="1180">
        <f t="shared" si="5"/>
        <v>0</v>
      </c>
      <c r="F54" s="1180">
        <f>+'Table 5C1A-Madison Prep'!F54</f>
        <v>871.07</v>
      </c>
      <c r="G54" s="1180">
        <f t="shared" si="6"/>
        <v>0</v>
      </c>
      <c r="H54" s="1539">
        <f t="shared" si="7"/>
        <v>0</v>
      </c>
      <c r="I54" s="1181"/>
      <c r="J54" s="1181"/>
      <c r="K54" s="1182">
        <f t="shared" si="8"/>
        <v>0</v>
      </c>
      <c r="L54" s="1539">
        <f t="shared" si="9"/>
        <v>0</v>
      </c>
      <c r="M54" s="1388">
        <f t="shared" si="4"/>
        <v>0</v>
      </c>
      <c r="N54" s="1539">
        <f t="shared" si="10"/>
        <v>0</v>
      </c>
      <c r="O54" s="1179">
        <v>0</v>
      </c>
      <c r="P54" s="1545">
        <f t="shared" si="11"/>
        <v>0</v>
      </c>
      <c r="Q54" s="1181"/>
      <c r="R54" s="1181">
        <f t="shared" si="12"/>
        <v>0</v>
      </c>
      <c r="S54" s="1545">
        <f t="shared" si="13"/>
        <v>0</v>
      </c>
      <c r="T54" s="1545">
        <f t="shared" si="14"/>
        <v>0</v>
      </c>
      <c r="U54" s="1389">
        <f>'Table 5C1A-Madison Prep'!U54</f>
        <v>7338</v>
      </c>
      <c r="V54" s="1515">
        <f t="shared" si="15"/>
        <v>0</v>
      </c>
      <c r="W54" s="1391"/>
      <c r="X54" s="1392">
        <f t="shared" si="16"/>
        <v>0</v>
      </c>
      <c r="Y54" s="1391"/>
      <c r="Z54" s="1392">
        <f t="shared" si="17"/>
        <v>0</v>
      </c>
      <c r="AA54" s="1390">
        <f t="shared" si="18"/>
        <v>0</v>
      </c>
      <c r="AB54" s="1510">
        <f t="shared" si="19"/>
        <v>0</v>
      </c>
      <c r="AC54" s="1394">
        <f t="shared" si="20"/>
        <v>0</v>
      </c>
      <c r="AD54" s="1510">
        <f t="shared" si="21"/>
        <v>0</v>
      </c>
      <c r="AE54" s="1395">
        <v>0</v>
      </c>
      <c r="AF54" s="1510">
        <f t="shared" si="22"/>
        <v>0</v>
      </c>
      <c r="AG54" s="1395"/>
      <c r="AH54" s="1395">
        <f t="shared" si="23"/>
        <v>0</v>
      </c>
      <c r="AI54" s="1510">
        <f t="shared" si="24"/>
        <v>0</v>
      </c>
      <c r="AJ54" s="1505">
        <f t="shared" si="25"/>
        <v>0</v>
      </c>
      <c r="AK54" s="1535">
        <f t="shared" si="26"/>
        <v>0</v>
      </c>
    </row>
    <row r="55" spans="1:37" ht="16.2" customHeight="1">
      <c r="A55" s="1176">
        <v>49</v>
      </c>
      <c r="B55" s="1177" t="s">
        <v>128</v>
      </c>
      <c r="C55" s="1178">
        <v>0</v>
      </c>
      <c r="D55" s="1179">
        <f>+'Table 5C1A-Madison Prep'!D55</f>
        <v>4995.8755315659191</v>
      </c>
      <c r="E55" s="1180">
        <f t="shared" si="5"/>
        <v>0</v>
      </c>
      <c r="F55" s="1180">
        <f>+'Table 5C1A-Madison Prep'!F55</f>
        <v>574.43999999999994</v>
      </c>
      <c r="G55" s="1180">
        <f t="shared" si="6"/>
        <v>0</v>
      </c>
      <c r="H55" s="1539">
        <f t="shared" si="7"/>
        <v>0</v>
      </c>
      <c r="I55" s="1181"/>
      <c r="J55" s="1181"/>
      <c r="K55" s="1182">
        <f t="shared" si="8"/>
        <v>0</v>
      </c>
      <c r="L55" s="1539">
        <f t="shared" si="9"/>
        <v>0</v>
      </c>
      <c r="M55" s="1388">
        <f t="shared" si="4"/>
        <v>0</v>
      </c>
      <c r="N55" s="1539">
        <f t="shared" si="10"/>
        <v>0</v>
      </c>
      <c r="O55" s="1179">
        <v>0</v>
      </c>
      <c r="P55" s="1545">
        <f t="shared" si="11"/>
        <v>0</v>
      </c>
      <c r="Q55" s="1181"/>
      <c r="R55" s="1181">
        <f t="shared" si="12"/>
        <v>0</v>
      </c>
      <c r="S55" s="1545">
        <f t="shared" si="13"/>
        <v>0</v>
      </c>
      <c r="T55" s="1545">
        <f t="shared" si="14"/>
        <v>0</v>
      </c>
      <c r="U55" s="1389">
        <f>'Table 5C1A-Madison Prep'!U55</f>
        <v>2353</v>
      </c>
      <c r="V55" s="1515">
        <f t="shared" si="15"/>
        <v>0</v>
      </c>
      <c r="W55" s="1391"/>
      <c r="X55" s="1392">
        <f t="shared" si="16"/>
        <v>0</v>
      </c>
      <c r="Y55" s="1391"/>
      <c r="Z55" s="1392">
        <f t="shared" si="17"/>
        <v>0</v>
      </c>
      <c r="AA55" s="1390">
        <f t="shared" si="18"/>
        <v>0</v>
      </c>
      <c r="AB55" s="1510">
        <f t="shared" si="19"/>
        <v>0</v>
      </c>
      <c r="AC55" s="1394">
        <f t="shared" si="20"/>
        <v>0</v>
      </c>
      <c r="AD55" s="1510">
        <f t="shared" si="21"/>
        <v>0</v>
      </c>
      <c r="AE55" s="1395">
        <v>0</v>
      </c>
      <c r="AF55" s="1510">
        <f t="shared" si="22"/>
        <v>0</v>
      </c>
      <c r="AG55" s="1395"/>
      <c r="AH55" s="1395">
        <f t="shared" si="23"/>
        <v>0</v>
      </c>
      <c r="AI55" s="1510">
        <f t="shared" si="24"/>
        <v>0</v>
      </c>
      <c r="AJ55" s="1505">
        <f t="shared" si="25"/>
        <v>0</v>
      </c>
      <c r="AK55" s="1535">
        <f t="shared" si="26"/>
        <v>0</v>
      </c>
    </row>
    <row r="56" spans="1:37" ht="16.2" customHeight="1">
      <c r="A56" s="1168">
        <v>50</v>
      </c>
      <c r="B56" s="1169" t="s">
        <v>129</v>
      </c>
      <c r="C56" s="1170">
        <v>0</v>
      </c>
      <c r="D56" s="1171">
        <f>+'Table 5C1A-Madison Prep'!D56</f>
        <v>5177.6892722701677</v>
      </c>
      <c r="E56" s="1172">
        <f t="shared" si="5"/>
        <v>0</v>
      </c>
      <c r="F56" s="1172">
        <f>+'Table 5C1A-Madison Prep'!F56</f>
        <v>634.46</v>
      </c>
      <c r="G56" s="1172">
        <f t="shared" si="6"/>
        <v>0</v>
      </c>
      <c r="H56" s="1540">
        <f t="shared" si="7"/>
        <v>0</v>
      </c>
      <c r="I56" s="1173"/>
      <c r="J56" s="1173"/>
      <c r="K56" s="1174">
        <f t="shared" si="8"/>
        <v>0</v>
      </c>
      <c r="L56" s="1540">
        <f t="shared" si="9"/>
        <v>0</v>
      </c>
      <c r="M56" s="1399">
        <f t="shared" si="4"/>
        <v>0</v>
      </c>
      <c r="N56" s="1540">
        <f t="shared" si="10"/>
        <v>0</v>
      </c>
      <c r="O56" s="1171">
        <v>0</v>
      </c>
      <c r="P56" s="1546">
        <f t="shared" si="11"/>
        <v>0</v>
      </c>
      <c r="Q56" s="1173"/>
      <c r="R56" s="1173">
        <f t="shared" si="12"/>
        <v>0</v>
      </c>
      <c r="S56" s="1546">
        <f t="shared" si="13"/>
        <v>0</v>
      </c>
      <c r="T56" s="1546">
        <f t="shared" si="14"/>
        <v>0</v>
      </c>
      <c r="U56" s="1382">
        <f>'Table 5C1A-Madison Prep'!U56</f>
        <v>3510</v>
      </c>
      <c r="V56" s="1516">
        <f t="shared" si="15"/>
        <v>0</v>
      </c>
      <c r="W56" s="1400"/>
      <c r="X56" s="1383">
        <f t="shared" si="16"/>
        <v>0</v>
      </c>
      <c r="Y56" s="1400"/>
      <c r="Z56" s="1383">
        <f t="shared" si="17"/>
        <v>0</v>
      </c>
      <c r="AA56" s="1384">
        <f t="shared" si="18"/>
        <v>0</v>
      </c>
      <c r="AB56" s="1511">
        <f t="shared" si="19"/>
        <v>0</v>
      </c>
      <c r="AC56" s="1402">
        <f t="shared" si="20"/>
        <v>0</v>
      </c>
      <c r="AD56" s="1511">
        <f t="shared" si="21"/>
        <v>0</v>
      </c>
      <c r="AE56" s="1385">
        <v>0</v>
      </c>
      <c r="AF56" s="1511">
        <f t="shared" si="22"/>
        <v>0</v>
      </c>
      <c r="AG56" s="1385"/>
      <c r="AH56" s="1385">
        <f t="shared" si="23"/>
        <v>0</v>
      </c>
      <c r="AI56" s="1511">
        <f t="shared" si="24"/>
        <v>0</v>
      </c>
      <c r="AJ56" s="1531">
        <f t="shared" si="25"/>
        <v>0</v>
      </c>
      <c r="AK56" s="1536">
        <f t="shared" si="26"/>
        <v>0</v>
      </c>
    </row>
    <row r="57" spans="1:37" ht="16.2" customHeight="1">
      <c r="A57" s="1183">
        <v>51</v>
      </c>
      <c r="B57" s="1184" t="s">
        <v>130</v>
      </c>
      <c r="C57" s="1185">
        <v>0</v>
      </c>
      <c r="D57" s="1186">
        <f>+'Table 5C1A-Madison Prep'!D57</f>
        <v>4154.1928602178996</v>
      </c>
      <c r="E57" s="1187">
        <f t="shared" si="5"/>
        <v>0</v>
      </c>
      <c r="F57" s="1187">
        <f>+'Table 5C1A-Madison Prep'!F57</f>
        <v>706.66</v>
      </c>
      <c r="G57" s="1187">
        <f t="shared" si="6"/>
        <v>0</v>
      </c>
      <c r="H57" s="1538">
        <f t="shared" si="7"/>
        <v>0</v>
      </c>
      <c r="I57" s="1188"/>
      <c r="J57" s="1188"/>
      <c r="K57" s="1189">
        <f t="shared" si="8"/>
        <v>0</v>
      </c>
      <c r="L57" s="1538">
        <f t="shared" si="9"/>
        <v>0</v>
      </c>
      <c r="M57" s="1372">
        <f t="shared" si="4"/>
        <v>0</v>
      </c>
      <c r="N57" s="1538">
        <f t="shared" si="10"/>
        <v>0</v>
      </c>
      <c r="O57" s="1186">
        <v>0</v>
      </c>
      <c r="P57" s="1544">
        <f t="shared" si="11"/>
        <v>0</v>
      </c>
      <c r="Q57" s="1188"/>
      <c r="R57" s="1188">
        <f t="shared" si="12"/>
        <v>0</v>
      </c>
      <c r="S57" s="1544">
        <f t="shared" si="13"/>
        <v>0</v>
      </c>
      <c r="T57" s="1544">
        <f t="shared" si="14"/>
        <v>0</v>
      </c>
      <c r="U57" s="1373">
        <f>'Table 5C1A-Madison Prep'!U57</f>
        <v>4597</v>
      </c>
      <c r="V57" s="1514">
        <f t="shared" si="15"/>
        <v>0</v>
      </c>
      <c r="W57" s="1375"/>
      <c r="X57" s="1376">
        <f t="shared" si="16"/>
        <v>0</v>
      </c>
      <c r="Y57" s="1375"/>
      <c r="Z57" s="1376">
        <f t="shared" si="17"/>
        <v>0</v>
      </c>
      <c r="AA57" s="1374">
        <f t="shared" si="18"/>
        <v>0</v>
      </c>
      <c r="AB57" s="1509">
        <f t="shared" si="19"/>
        <v>0</v>
      </c>
      <c r="AC57" s="1378">
        <f t="shared" si="20"/>
        <v>0</v>
      </c>
      <c r="AD57" s="1509">
        <f t="shared" si="21"/>
        <v>0</v>
      </c>
      <c r="AE57" s="1379">
        <v>0</v>
      </c>
      <c r="AF57" s="1509">
        <f t="shared" si="22"/>
        <v>0</v>
      </c>
      <c r="AG57" s="1379"/>
      <c r="AH57" s="1379">
        <f t="shared" si="23"/>
        <v>0</v>
      </c>
      <c r="AI57" s="1509">
        <f t="shared" si="24"/>
        <v>0</v>
      </c>
      <c r="AJ57" s="1530">
        <f t="shared" si="25"/>
        <v>0</v>
      </c>
      <c r="AK57" s="1534">
        <f t="shared" si="26"/>
        <v>0</v>
      </c>
    </row>
    <row r="58" spans="1:37" ht="16.2" customHeight="1">
      <c r="A58" s="1176">
        <v>52</v>
      </c>
      <c r="B58" s="1177" t="s">
        <v>131</v>
      </c>
      <c r="C58" s="1178">
        <v>0</v>
      </c>
      <c r="D58" s="1179">
        <f>+'Table 5C1A-Madison Prep'!D58</f>
        <v>5062.2745845228173</v>
      </c>
      <c r="E58" s="1180">
        <f t="shared" si="5"/>
        <v>0</v>
      </c>
      <c r="F58" s="1180">
        <f>+'Table 5C1A-Madison Prep'!F58</f>
        <v>658.37</v>
      </c>
      <c r="G58" s="1180">
        <f t="shared" si="6"/>
        <v>0</v>
      </c>
      <c r="H58" s="1539">
        <f t="shared" si="7"/>
        <v>0</v>
      </c>
      <c r="I58" s="1181"/>
      <c r="J58" s="1181"/>
      <c r="K58" s="1182">
        <f t="shared" si="8"/>
        <v>0</v>
      </c>
      <c r="L58" s="1539">
        <f t="shared" si="9"/>
        <v>0</v>
      </c>
      <c r="M58" s="1388">
        <f t="shared" si="4"/>
        <v>0</v>
      </c>
      <c r="N58" s="1539">
        <f t="shared" si="10"/>
        <v>0</v>
      </c>
      <c r="O58" s="1179">
        <v>0</v>
      </c>
      <c r="P58" s="1545">
        <f t="shared" si="11"/>
        <v>0</v>
      </c>
      <c r="Q58" s="1181"/>
      <c r="R58" s="1181">
        <f t="shared" si="12"/>
        <v>0</v>
      </c>
      <c r="S58" s="1545">
        <f t="shared" si="13"/>
        <v>0</v>
      </c>
      <c r="T58" s="1545">
        <f t="shared" si="14"/>
        <v>0</v>
      </c>
      <c r="U58" s="1389">
        <f>'Table 5C1A-Madison Prep'!U58</f>
        <v>5212</v>
      </c>
      <c r="V58" s="1515">
        <f t="shared" si="15"/>
        <v>0</v>
      </c>
      <c r="W58" s="1391"/>
      <c r="X58" s="1392">
        <f t="shared" si="16"/>
        <v>0</v>
      </c>
      <c r="Y58" s="1391"/>
      <c r="Z58" s="1392">
        <f t="shared" si="17"/>
        <v>0</v>
      </c>
      <c r="AA58" s="1390">
        <f t="shared" si="18"/>
        <v>0</v>
      </c>
      <c r="AB58" s="1510">
        <f t="shared" si="19"/>
        <v>0</v>
      </c>
      <c r="AC58" s="1394">
        <f t="shared" si="20"/>
        <v>0</v>
      </c>
      <c r="AD58" s="1510">
        <f t="shared" si="21"/>
        <v>0</v>
      </c>
      <c r="AE58" s="1395">
        <v>0</v>
      </c>
      <c r="AF58" s="1510">
        <f t="shared" si="22"/>
        <v>0</v>
      </c>
      <c r="AG58" s="1395"/>
      <c r="AH58" s="1395">
        <f t="shared" si="23"/>
        <v>0</v>
      </c>
      <c r="AI58" s="1510">
        <f t="shared" si="24"/>
        <v>0</v>
      </c>
      <c r="AJ58" s="1505">
        <f t="shared" si="25"/>
        <v>0</v>
      </c>
      <c r="AK58" s="1535">
        <f t="shared" si="26"/>
        <v>0</v>
      </c>
    </row>
    <row r="59" spans="1:37" ht="16.2" customHeight="1">
      <c r="A59" s="1176">
        <v>53</v>
      </c>
      <c r="B59" s="1177" t="s">
        <v>132</v>
      </c>
      <c r="C59" s="1178">
        <v>0</v>
      </c>
      <c r="D59" s="1179">
        <f>+'Table 5C1A-Madison Prep'!D59</f>
        <v>5060.1508194045482</v>
      </c>
      <c r="E59" s="1180">
        <f t="shared" si="5"/>
        <v>0</v>
      </c>
      <c r="F59" s="1180">
        <f>+'Table 5C1A-Madison Prep'!F59</f>
        <v>689.74</v>
      </c>
      <c r="G59" s="1180">
        <f t="shared" si="6"/>
        <v>0</v>
      </c>
      <c r="H59" s="1539">
        <f t="shared" si="7"/>
        <v>0</v>
      </c>
      <c r="I59" s="1181"/>
      <c r="J59" s="1181"/>
      <c r="K59" s="1182">
        <f t="shared" si="8"/>
        <v>0</v>
      </c>
      <c r="L59" s="1539">
        <f t="shared" si="9"/>
        <v>0</v>
      </c>
      <c r="M59" s="1388">
        <f t="shared" si="4"/>
        <v>0</v>
      </c>
      <c r="N59" s="1539">
        <f t="shared" si="10"/>
        <v>0</v>
      </c>
      <c r="O59" s="1179">
        <v>0</v>
      </c>
      <c r="P59" s="1545">
        <f t="shared" si="11"/>
        <v>0</v>
      </c>
      <c r="Q59" s="1181"/>
      <c r="R59" s="1181">
        <f t="shared" si="12"/>
        <v>0</v>
      </c>
      <c r="S59" s="1545">
        <f t="shared" si="13"/>
        <v>0</v>
      </c>
      <c r="T59" s="1545">
        <f t="shared" si="14"/>
        <v>0</v>
      </c>
      <c r="U59" s="1389">
        <f>'Table 5C1A-Madison Prep'!U59</f>
        <v>2054</v>
      </c>
      <c r="V59" s="1515">
        <f t="shared" si="15"/>
        <v>0</v>
      </c>
      <c r="W59" s="1391"/>
      <c r="X59" s="1392">
        <f t="shared" si="16"/>
        <v>0</v>
      </c>
      <c r="Y59" s="1391"/>
      <c r="Z59" s="1392">
        <f t="shared" si="17"/>
        <v>0</v>
      </c>
      <c r="AA59" s="1390">
        <f t="shared" si="18"/>
        <v>0</v>
      </c>
      <c r="AB59" s="1510">
        <f t="shared" si="19"/>
        <v>0</v>
      </c>
      <c r="AC59" s="1394">
        <f t="shared" si="20"/>
        <v>0</v>
      </c>
      <c r="AD59" s="1510">
        <f t="shared" si="21"/>
        <v>0</v>
      </c>
      <c r="AE59" s="1395">
        <v>0</v>
      </c>
      <c r="AF59" s="1510">
        <f t="shared" si="22"/>
        <v>0</v>
      </c>
      <c r="AG59" s="1395"/>
      <c r="AH59" s="1395">
        <f t="shared" si="23"/>
        <v>0</v>
      </c>
      <c r="AI59" s="1510">
        <f t="shared" si="24"/>
        <v>0</v>
      </c>
      <c r="AJ59" s="1505">
        <f t="shared" si="25"/>
        <v>0</v>
      </c>
      <c r="AK59" s="1535">
        <f t="shared" si="26"/>
        <v>0</v>
      </c>
    </row>
    <row r="60" spans="1:37" ht="16.2" customHeight="1">
      <c r="A60" s="1176">
        <v>54</v>
      </c>
      <c r="B60" s="1177" t="s">
        <v>133</v>
      </c>
      <c r="C60" s="1178">
        <v>0</v>
      </c>
      <c r="D60" s="1179">
        <f>+'Table 5C1A-Madison Prep'!D60</f>
        <v>5867.0798370516713</v>
      </c>
      <c r="E60" s="1180">
        <f t="shared" si="5"/>
        <v>0</v>
      </c>
      <c r="F60" s="1180">
        <f>+'Table 5C1A-Madison Prep'!F60</f>
        <v>951.45</v>
      </c>
      <c r="G60" s="1180">
        <f t="shared" si="6"/>
        <v>0</v>
      </c>
      <c r="H60" s="1539">
        <f t="shared" si="7"/>
        <v>0</v>
      </c>
      <c r="I60" s="1181"/>
      <c r="J60" s="1181"/>
      <c r="K60" s="1182">
        <f t="shared" si="8"/>
        <v>0</v>
      </c>
      <c r="L60" s="1539">
        <f t="shared" si="9"/>
        <v>0</v>
      </c>
      <c r="M60" s="1388">
        <f t="shared" si="4"/>
        <v>0</v>
      </c>
      <c r="N60" s="1539">
        <f t="shared" si="10"/>
        <v>0</v>
      </c>
      <c r="O60" s="1179">
        <v>0</v>
      </c>
      <c r="P60" s="1545">
        <f t="shared" si="11"/>
        <v>0</v>
      </c>
      <c r="Q60" s="1181"/>
      <c r="R60" s="1181">
        <f t="shared" si="12"/>
        <v>0</v>
      </c>
      <c r="S60" s="1545">
        <f t="shared" si="13"/>
        <v>0</v>
      </c>
      <c r="T60" s="1545">
        <f t="shared" si="14"/>
        <v>0</v>
      </c>
      <c r="U60" s="1389">
        <f>'Table 5C1A-Madison Prep'!U60</f>
        <v>4116</v>
      </c>
      <c r="V60" s="1515">
        <f t="shared" si="15"/>
        <v>0</v>
      </c>
      <c r="W60" s="1391"/>
      <c r="X60" s="1392">
        <f t="shared" si="16"/>
        <v>0</v>
      </c>
      <c r="Y60" s="1391"/>
      <c r="Z60" s="1392">
        <f t="shared" si="17"/>
        <v>0</v>
      </c>
      <c r="AA60" s="1390">
        <f t="shared" si="18"/>
        <v>0</v>
      </c>
      <c r="AB60" s="1510">
        <f t="shared" si="19"/>
        <v>0</v>
      </c>
      <c r="AC60" s="1394">
        <f t="shared" si="20"/>
        <v>0</v>
      </c>
      <c r="AD60" s="1510">
        <f t="shared" si="21"/>
        <v>0</v>
      </c>
      <c r="AE60" s="1395">
        <v>0</v>
      </c>
      <c r="AF60" s="1510">
        <f t="shared" si="22"/>
        <v>0</v>
      </c>
      <c r="AG60" s="1395"/>
      <c r="AH60" s="1395">
        <f t="shared" si="23"/>
        <v>0</v>
      </c>
      <c r="AI60" s="1510">
        <f t="shared" si="24"/>
        <v>0</v>
      </c>
      <c r="AJ60" s="1505">
        <f t="shared" si="25"/>
        <v>0</v>
      </c>
      <c r="AK60" s="1535">
        <f t="shared" si="26"/>
        <v>0</v>
      </c>
    </row>
    <row r="61" spans="1:37" ht="16.2" customHeight="1">
      <c r="A61" s="1168">
        <v>55</v>
      </c>
      <c r="B61" s="1169" t="s">
        <v>134</v>
      </c>
      <c r="C61" s="1170">
        <v>0</v>
      </c>
      <c r="D61" s="1171">
        <f>+'Table 5C1A-Madison Prep'!D61</f>
        <v>4266.8225491298481</v>
      </c>
      <c r="E61" s="1172">
        <f t="shared" si="5"/>
        <v>0</v>
      </c>
      <c r="F61" s="1172">
        <f>+'Table 5C1A-Madison Prep'!F61</f>
        <v>795.14</v>
      </c>
      <c r="G61" s="1172">
        <f t="shared" si="6"/>
        <v>0</v>
      </c>
      <c r="H61" s="1540">
        <f t="shared" si="7"/>
        <v>0</v>
      </c>
      <c r="I61" s="1173"/>
      <c r="J61" s="1173"/>
      <c r="K61" s="1174">
        <f t="shared" si="8"/>
        <v>0</v>
      </c>
      <c r="L61" s="1540">
        <f t="shared" si="9"/>
        <v>0</v>
      </c>
      <c r="M61" s="1399">
        <f t="shared" si="4"/>
        <v>0</v>
      </c>
      <c r="N61" s="1540">
        <f t="shared" si="10"/>
        <v>0</v>
      </c>
      <c r="O61" s="1171">
        <v>0</v>
      </c>
      <c r="P61" s="1546">
        <f t="shared" si="11"/>
        <v>0</v>
      </c>
      <c r="Q61" s="1173"/>
      <c r="R61" s="1173">
        <f t="shared" si="12"/>
        <v>0</v>
      </c>
      <c r="S61" s="1546">
        <f t="shared" si="13"/>
        <v>0</v>
      </c>
      <c r="T61" s="1546">
        <f t="shared" si="14"/>
        <v>0</v>
      </c>
      <c r="U61" s="1382">
        <f>'Table 5C1A-Madison Prep'!U61</f>
        <v>3532</v>
      </c>
      <c r="V61" s="1516">
        <f t="shared" si="15"/>
        <v>0</v>
      </c>
      <c r="W61" s="1400"/>
      <c r="X61" s="1383">
        <f t="shared" si="16"/>
        <v>0</v>
      </c>
      <c r="Y61" s="1400"/>
      <c r="Z61" s="1383">
        <f t="shared" si="17"/>
        <v>0</v>
      </c>
      <c r="AA61" s="1384">
        <f t="shared" si="18"/>
        <v>0</v>
      </c>
      <c r="AB61" s="1511">
        <f t="shared" si="19"/>
        <v>0</v>
      </c>
      <c r="AC61" s="1402">
        <f t="shared" si="20"/>
        <v>0</v>
      </c>
      <c r="AD61" s="1511">
        <f t="shared" si="21"/>
        <v>0</v>
      </c>
      <c r="AE61" s="1385">
        <v>0</v>
      </c>
      <c r="AF61" s="1511">
        <f t="shared" si="22"/>
        <v>0</v>
      </c>
      <c r="AG61" s="1385"/>
      <c r="AH61" s="1385">
        <f t="shared" si="23"/>
        <v>0</v>
      </c>
      <c r="AI61" s="1511">
        <f t="shared" si="24"/>
        <v>0</v>
      </c>
      <c r="AJ61" s="1531">
        <f t="shared" si="25"/>
        <v>0</v>
      </c>
      <c r="AK61" s="1536">
        <f t="shared" si="26"/>
        <v>0</v>
      </c>
    </row>
    <row r="62" spans="1:37" ht="16.2" customHeight="1">
      <c r="A62" s="1183">
        <v>56</v>
      </c>
      <c r="B62" s="1184" t="s">
        <v>135</v>
      </c>
      <c r="C62" s="1185">
        <v>0</v>
      </c>
      <c r="D62" s="1186">
        <f>+'Table 5C1A-Madison Prep'!D62</f>
        <v>5028.4909408288286</v>
      </c>
      <c r="E62" s="1187">
        <f t="shared" si="5"/>
        <v>0</v>
      </c>
      <c r="F62" s="1187">
        <f>+'Table 5C1A-Madison Prep'!F62</f>
        <v>614.66000000000008</v>
      </c>
      <c r="G62" s="1187">
        <f t="shared" si="6"/>
        <v>0</v>
      </c>
      <c r="H62" s="1538">
        <f t="shared" si="7"/>
        <v>0</v>
      </c>
      <c r="I62" s="1188"/>
      <c r="J62" s="1188"/>
      <c r="K62" s="1189">
        <f t="shared" si="8"/>
        <v>0</v>
      </c>
      <c r="L62" s="1538">
        <f t="shared" si="9"/>
        <v>0</v>
      </c>
      <c r="M62" s="1372">
        <f t="shared" si="4"/>
        <v>0</v>
      </c>
      <c r="N62" s="1538">
        <f t="shared" si="10"/>
        <v>0</v>
      </c>
      <c r="O62" s="1186">
        <v>0</v>
      </c>
      <c r="P62" s="1544">
        <f t="shared" si="11"/>
        <v>0</v>
      </c>
      <c r="Q62" s="1188"/>
      <c r="R62" s="1188">
        <f t="shared" si="12"/>
        <v>0</v>
      </c>
      <c r="S62" s="1544">
        <f t="shared" si="13"/>
        <v>0</v>
      </c>
      <c r="T62" s="1544">
        <f t="shared" si="14"/>
        <v>0</v>
      </c>
      <c r="U62" s="1373">
        <f>'Table 5C1A-Madison Prep'!U62</f>
        <v>2865</v>
      </c>
      <c r="V62" s="1514">
        <f t="shared" si="15"/>
        <v>0</v>
      </c>
      <c r="W62" s="1375"/>
      <c r="X62" s="1376">
        <f t="shared" si="16"/>
        <v>0</v>
      </c>
      <c r="Y62" s="1375"/>
      <c r="Z62" s="1376">
        <f t="shared" si="17"/>
        <v>0</v>
      </c>
      <c r="AA62" s="1374">
        <f t="shared" si="18"/>
        <v>0</v>
      </c>
      <c r="AB62" s="1509">
        <f t="shared" si="19"/>
        <v>0</v>
      </c>
      <c r="AC62" s="1378">
        <f t="shared" si="20"/>
        <v>0</v>
      </c>
      <c r="AD62" s="1509">
        <f t="shared" si="21"/>
        <v>0</v>
      </c>
      <c r="AE62" s="1379">
        <v>0</v>
      </c>
      <c r="AF62" s="1509">
        <f t="shared" si="22"/>
        <v>0</v>
      </c>
      <c r="AG62" s="1379"/>
      <c r="AH62" s="1379">
        <f t="shared" si="23"/>
        <v>0</v>
      </c>
      <c r="AI62" s="1509">
        <f t="shared" si="24"/>
        <v>0</v>
      </c>
      <c r="AJ62" s="1530">
        <f t="shared" si="25"/>
        <v>0</v>
      </c>
      <c r="AK62" s="1534">
        <f t="shared" si="26"/>
        <v>0</v>
      </c>
    </row>
    <row r="63" spans="1:37" ht="16.2" customHeight="1">
      <c r="A63" s="1176">
        <v>57</v>
      </c>
      <c r="B63" s="1177" t="s">
        <v>136</v>
      </c>
      <c r="C63" s="1178">
        <v>23</v>
      </c>
      <c r="D63" s="1179">
        <f>+'Table 5C1A-Madison Prep'!D63</f>
        <v>4625.9922979230687</v>
      </c>
      <c r="E63" s="1180">
        <f t="shared" si="5"/>
        <v>106397.82285223057</v>
      </c>
      <c r="F63" s="1180">
        <f>+'Table 5C1A-Madison Prep'!F63</f>
        <v>764.51</v>
      </c>
      <c r="G63" s="1180">
        <f t="shared" si="6"/>
        <v>17583.73</v>
      </c>
      <c r="H63" s="1539">
        <f t="shared" si="7"/>
        <v>123981.55285223057</v>
      </c>
      <c r="I63" s="1181"/>
      <c r="J63" s="1181"/>
      <c r="K63" s="1182">
        <f t="shared" si="8"/>
        <v>0</v>
      </c>
      <c r="L63" s="1539">
        <f t="shared" si="9"/>
        <v>123981.55285223057</v>
      </c>
      <c r="M63" s="1388">
        <f t="shared" si="4"/>
        <v>-309.9538821305764</v>
      </c>
      <c r="N63" s="1539">
        <f t="shared" si="10"/>
        <v>123671.59897009999</v>
      </c>
      <c r="O63" s="1179">
        <v>0</v>
      </c>
      <c r="P63" s="1545">
        <f t="shared" si="11"/>
        <v>123671.59897009999</v>
      </c>
      <c r="Q63" s="1181"/>
      <c r="R63" s="1181">
        <f t="shared" si="12"/>
        <v>123671.59897009999</v>
      </c>
      <c r="S63" s="1545">
        <f t="shared" si="13"/>
        <v>10306</v>
      </c>
      <c r="T63" s="1545">
        <f t="shared" si="14"/>
        <v>123671.59897009999</v>
      </c>
      <c r="U63" s="1389">
        <f>'Table 5C1A-Madison Prep'!U63</f>
        <v>3395</v>
      </c>
      <c r="V63" s="1515">
        <f t="shared" si="15"/>
        <v>78085</v>
      </c>
      <c r="W63" s="1391"/>
      <c r="X63" s="1392">
        <f t="shared" si="16"/>
        <v>0</v>
      </c>
      <c r="Y63" s="1391"/>
      <c r="Z63" s="1392">
        <f t="shared" si="17"/>
        <v>0</v>
      </c>
      <c r="AA63" s="1390">
        <f t="shared" si="18"/>
        <v>0</v>
      </c>
      <c r="AB63" s="1510">
        <f t="shared" si="19"/>
        <v>78085</v>
      </c>
      <c r="AC63" s="1394">
        <f t="shared" si="20"/>
        <v>-195.21250000000001</v>
      </c>
      <c r="AD63" s="1510">
        <f t="shared" si="21"/>
        <v>77889.787500000006</v>
      </c>
      <c r="AE63" s="1395">
        <v>0</v>
      </c>
      <c r="AF63" s="1510">
        <f t="shared" si="22"/>
        <v>77889.787500000006</v>
      </c>
      <c r="AG63" s="1395"/>
      <c r="AH63" s="1395">
        <f t="shared" si="23"/>
        <v>77889.787500000006</v>
      </c>
      <c r="AI63" s="1510">
        <f t="shared" si="24"/>
        <v>6491</v>
      </c>
      <c r="AJ63" s="1505">
        <f t="shared" si="25"/>
        <v>201561.3864701</v>
      </c>
      <c r="AK63" s="1535">
        <f t="shared" si="26"/>
        <v>16797</v>
      </c>
    </row>
    <row r="64" spans="1:37" ht="16.2" customHeight="1">
      <c r="A64" s="1176">
        <v>58</v>
      </c>
      <c r="B64" s="1177" t="s">
        <v>137</v>
      </c>
      <c r="C64" s="1178">
        <v>0</v>
      </c>
      <c r="D64" s="1179">
        <f>+'Table 5C1A-Madison Prep'!D64</f>
        <v>5673.1129637882123</v>
      </c>
      <c r="E64" s="1180">
        <f t="shared" si="5"/>
        <v>0</v>
      </c>
      <c r="F64" s="1180">
        <f>+'Table 5C1A-Madison Prep'!F64</f>
        <v>697.04</v>
      </c>
      <c r="G64" s="1180">
        <f t="shared" si="6"/>
        <v>0</v>
      </c>
      <c r="H64" s="1539">
        <f t="shared" si="7"/>
        <v>0</v>
      </c>
      <c r="I64" s="1181"/>
      <c r="J64" s="1181"/>
      <c r="K64" s="1182">
        <f t="shared" si="8"/>
        <v>0</v>
      </c>
      <c r="L64" s="1539">
        <f t="shared" si="9"/>
        <v>0</v>
      </c>
      <c r="M64" s="1388">
        <f t="shared" si="4"/>
        <v>0</v>
      </c>
      <c r="N64" s="1539">
        <f t="shared" si="10"/>
        <v>0</v>
      </c>
      <c r="O64" s="1179">
        <v>0</v>
      </c>
      <c r="P64" s="1545">
        <f t="shared" si="11"/>
        <v>0</v>
      </c>
      <c r="Q64" s="1181"/>
      <c r="R64" s="1181">
        <f t="shared" si="12"/>
        <v>0</v>
      </c>
      <c r="S64" s="1545">
        <f t="shared" si="13"/>
        <v>0</v>
      </c>
      <c r="T64" s="1545">
        <f t="shared" si="14"/>
        <v>0</v>
      </c>
      <c r="U64" s="1389">
        <f>'Table 5C1A-Madison Prep'!U64</f>
        <v>2084</v>
      </c>
      <c r="V64" s="1515">
        <f t="shared" si="15"/>
        <v>0</v>
      </c>
      <c r="W64" s="1391"/>
      <c r="X64" s="1392">
        <f t="shared" si="16"/>
        <v>0</v>
      </c>
      <c r="Y64" s="1391"/>
      <c r="Z64" s="1392">
        <f t="shared" si="17"/>
        <v>0</v>
      </c>
      <c r="AA64" s="1390">
        <f t="shared" si="18"/>
        <v>0</v>
      </c>
      <c r="AB64" s="1510">
        <f t="shared" si="19"/>
        <v>0</v>
      </c>
      <c r="AC64" s="1394">
        <f t="shared" si="20"/>
        <v>0</v>
      </c>
      <c r="AD64" s="1510">
        <f t="shared" si="21"/>
        <v>0</v>
      </c>
      <c r="AE64" s="1395">
        <v>0</v>
      </c>
      <c r="AF64" s="1510">
        <f t="shared" si="22"/>
        <v>0</v>
      </c>
      <c r="AG64" s="1395"/>
      <c r="AH64" s="1395">
        <f t="shared" si="23"/>
        <v>0</v>
      </c>
      <c r="AI64" s="1510">
        <f t="shared" si="24"/>
        <v>0</v>
      </c>
      <c r="AJ64" s="1505">
        <f t="shared" si="25"/>
        <v>0</v>
      </c>
      <c r="AK64" s="1535">
        <f t="shared" si="26"/>
        <v>0</v>
      </c>
    </row>
    <row r="65" spans="1:37" ht="16.2" customHeight="1">
      <c r="A65" s="1176">
        <v>59</v>
      </c>
      <c r="B65" s="1177" t="s">
        <v>138</v>
      </c>
      <c r="C65" s="1178">
        <v>0</v>
      </c>
      <c r="D65" s="1179">
        <f>+'Table 5C1A-Madison Prep'!D65</f>
        <v>6621.946293521848</v>
      </c>
      <c r="E65" s="1180">
        <f t="shared" si="5"/>
        <v>0</v>
      </c>
      <c r="F65" s="1180">
        <f>+'Table 5C1A-Madison Prep'!F65</f>
        <v>689.52</v>
      </c>
      <c r="G65" s="1180">
        <f t="shared" si="6"/>
        <v>0</v>
      </c>
      <c r="H65" s="1539">
        <f t="shared" si="7"/>
        <v>0</v>
      </c>
      <c r="I65" s="1181"/>
      <c r="J65" s="1181"/>
      <c r="K65" s="1182">
        <f t="shared" si="8"/>
        <v>0</v>
      </c>
      <c r="L65" s="1539">
        <f t="shared" si="9"/>
        <v>0</v>
      </c>
      <c r="M65" s="1388">
        <f t="shared" si="4"/>
        <v>0</v>
      </c>
      <c r="N65" s="1539">
        <f t="shared" si="10"/>
        <v>0</v>
      </c>
      <c r="O65" s="1179">
        <v>0</v>
      </c>
      <c r="P65" s="1545">
        <f t="shared" si="11"/>
        <v>0</v>
      </c>
      <c r="Q65" s="1181"/>
      <c r="R65" s="1181">
        <f t="shared" si="12"/>
        <v>0</v>
      </c>
      <c r="S65" s="1545">
        <f t="shared" si="13"/>
        <v>0</v>
      </c>
      <c r="T65" s="1545">
        <f t="shared" si="14"/>
        <v>0</v>
      </c>
      <c r="U65" s="1389">
        <f>'Table 5C1A-Madison Prep'!U65</f>
        <v>1577</v>
      </c>
      <c r="V65" s="1515">
        <f t="shared" si="15"/>
        <v>0</v>
      </c>
      <c r="W65" s="1391"/>
      <c r="X65" s="1392">
        <f t="shared" si="16"/>
        <v>0</v>
      </c>
      <c r="Y65" s="1391"/>
      <c r="Z65" s="1392">
        <f t="shared" si="17"/>
        <v>0</v>
      </c>
      <c r="AA65" s="1390">
        <f t="shared" si="18"/>
        <v>0</v>
      </c>
      <c r="AB65" s="1510">
        <f t="shared" si="19"/>
        <v>0</v>
      </c>
      <c r="AC65" s="1394">
        <f t="shared" si="20"/>
        <v>0</v>
      </c>
      <c r="AD65" s="1510">
        <f t="shared" si="21"/>
        <v>0</v>
      </c>
      <c r="AE65" s="1395">
        <v>0</v>
      </c>
      <c r="AF65" s="1510">
        <f t="shared" si="22"/>
        <v>0</v>
      </c>
      <c r="AG65" s="1395"/>
      <c r="AH65" s="1395">
        <f t="shared" si="23"/>
        <v>0</v>
      </c>
      <c r="AI65" s="1510">
        <f t="shared" si="24"/>
        <v>0</v>
      </c>
      <c r="AJ65" s="1505">
        <f t="shared" si="25"/>
        <v>0</v>
      </c>
      <c r="AK65" s="1535">
        <f t="shared" si="26"/>
        <v>0</v>
      </c>
    </row>
    <row r="66" spans="1:37" ht="16.2" customHeight="1">
      <c r="A66" s="1168">
        <v>60</v>
      </c>
      <c r="B66" s="1169" t="s">
        <v>139</v>
      </c>
      <c r="C66" s="1170">
        <v>0</v>
      </c>
      <c r="D66" s="1171">
        <f>+'Table 5C1A-Madison Prep'!D66</f>
        <v>5301.224090063828</v>
      </c>
      <c r="E66" s="1172">
        <f t="shared" si="5"/>
        <v>0</v>
      </c>
      <c r="F66" s="1172">
        <f>+'Table 5C1A-Madison Prep'!F66</f>
        <v>594.04</v>
      </c>
      <c r="G66" s="1172">
        <f t="shared" si="6"/>
        <v>0</v>
      </c>
      <c r="H66" s="1540">
        <f t="shared" si="7"/>
        <v>0</v>
      </c>
      <c r="I66" s="1173"/>
      <c r="J66" s="1173"/>
      <c r="K66" s="1174">
        <f t="shared" si="8"/>
        <v>0</v>
      </c>
      <c r="L66" s="1540">
        <f t="shared" si="9"/>
        <v>0</v>
      </c>
      <c r="M66" s="1399">
        <f t="shared" si="4"/>
        <v>0</v>
      </c>
      <c r="N66" s="1540">
        <f t="shared" si="10"/>
        <v>0</v>
      </c>
      <c r="O66" s="1171">
        <v>0</v>
      </c>
      <c r="P66" s="1546">
        <f t="shared" si="11"/>
        <v>0</v>
      </c>
      <c r="Q66" s="1173"/>
      <c r="R66" s="1173">
        <f t="shared" si="12"/>
        <v>0</v>
      </c>
      <c r="S66" s="1546">
        <f t="shared" si="13"/>
        <v>0</v>
      </c>
      <c r="T66" s="1546">
        <f t="shared" si="14"/>
        <v>0</v>
      </c>
      <c r="U66" s="1382">
        <f>'Table 5C1A-Madison Prep'!U66</f>
        <v>3922</v>
      </c>
      <c r="V66" s="1516">
        <f t="shared" si="15"/>
        <v>0</v>
      </c>
      <c r="W66" s="1400"/>
      <c r="X66" s="1383">
        <f t="shared" si="16"/>
        <v>0</v>
      </c>
      <c r="Y66" s="1400"/>
      <c r="Z66" s="1383">
        <f t="shared" si="17"/>
        <v>0</v>
      </c>
      <c r="AA66" s="1384">
        <f t="shared" si="18"/>
        <v>0</v>
      </c>
      <c r="AB66" s="1511">
        <f t="shared" si="19"/>
        <v>0</v>
      </c>
      <c r="AC66" s="1402">
        <f t="shared" si="20"/>
        <v>0</v>
      </c>
      <c r="AD66" s="1511">
        <f t="shared" si="21"/>
        <v>0</v>
      </c>
      <c r="AE66" s="1385">
        <v>0</v>
      </c>
      <c r="AF66" s="1511">
        <f t="shared" si="22"/>
        <v>0</v>
      </c>
      <c r="AG66" s="1385"/>
      <c r="AH66" s="1385">
        <f t="shared" si="23"/>
        <v>0</v>
      </c>
      <c r="AI66" s="1511">
        <f t="shared" si="24"/>
        <v>0</v>
      </c>
      <c r="AJ66" s="1531">
        <f t="shared" si="25"/>
        <v>0</v>
      </c>
      <c r="AK66" s="1536">
        <f t="shared" si="26"/>
        <v>0</v>
      </c>
    </row>
    <row r="67" spans="1:37" ht="16.2" customHeight="1">
      <c r="A67" s="1183">
        <v>61</v>
      </c>
      <c r="B67" s="1184" t="s">
        <v>140</v>
      </c>
      <c r="C67" s="1185">
        <v>0</v>
      </c>
      <c r="D67" s="1186">
        <f>+'Table 5C1A-Madison Prep'!D67</f>
        <v>2854.1575356369185</v>
      </c>
      <c r="E67" s="1187">
        <f t="shared" si="5"/>
        <v>0</v>
      </c>
      <c r="F67" s="1187">
        <f>+'Table 5C1A-Madison Prep'!F67</f>
        <v>833.70999999999992</v>
      </c>
      <c r="G67" s="1187">
        <f t="shared" si="6"/>
        <v>0</v>
      </c>
      <c r="H67" s="1538">
        <f t="shared" si="7"/>
        <v>0</v>
      </c>
      <c r="I67" s="1188"/>
      <c r="J67" s="1188"/>
      <c r="K67" s="1189">
        <f t="shared" si="8"/>
        <v>0</v>
      </c>
      <c r="L67" s="1538">
        <f t="shared" si="9"/>
        <v>0</v>
      </c>
      <c r="M67" s="1372">
        <f t="shared" si="4"/>
        <v>0</v>
      </c>
      <c r="N67" s="1538">
        <f t="shared" si="10"/>
        <v>0</v>
      </c>
      <c r="O67" s="1186">
        <v>0</v>
      </c>
      <c r="P67" s="1544">
        <f t="shared" si="11"/>
        <v>0</v>
      </c>
      <c r="Q67" s="1188"/>
      <c r="R67" s="1188">
        <f t="shared" si="12"/>
        <v>0</v>
      </c>
      <c r="S67" s="1544">
        <f t="shared" si="13"/>
        <v>0</v>
      </c>
      <c r="T67" s="1544">
        <f t="shared" si="14"/>
        <v>0</v>
      </c>
      <c r="U67" s="1373">
        <f>'Table 5C1A-Madison Prep'!U67</f>
        <v>6745</v>
      </c>
      <c r="V67" s="1514">
        <f t="shared" si="15"/>
        <v>0</v>
      </c>
      <c r="W67" s="1375"/>
      <c r="X67" s="1376">
        <f t="shared" si="16"/>
        <v>0</v>
      </c>
      <c r="Y67" s="1375"/>
      <c r="Z67" s="1376">
        <f t="shared" si="17"/>
        <v>0</v>
      </c>
      <c r="AA67" s="1374">
        <f t="shared" si="18"/>
        <v>0</v>
      </c>
      <c r="AB67" s="1509">
        <f t="shared" si="19"/>
        <v>0</v>
      </c>
      <c r="AC67" s="1378">
        <f t="shared" si="20"/>
        <v>0</v>
      </c>
      <c r="AD67" s="1509">
        <f t="shared" si="21"/>
        <v>0</v>
      </c>
      <c r="AE67" s="1379">
        <v>0</v>
      </c>
      <c r="AF67" s="1509">
        <f t="shared" si="22"/>
        <v>0</v>
      </c>
      <c r="AG67" s="1379"/>
      <c r="AH67" s="1379">
        <f t="shared" si="23"/>
        <v>0</v>
      </c>
      <c r="AI67" s="1509">
        <f t="shared" si="24"/>
        <v>0</v>
      </c>
      <c r="AJ67" s="1530">
        <f t="shared" si="25"/>
        <v>0</v>
      </c>
      <c r="AK67" s="1534">
        <f t="shared" si="26"/>
        <v>0</v>
      </c>
    </row>
    <row r="68" spans="1:37" ht="16.2" customHeight="1">
      <c r="A68" s="1176">
        <v>62</v>
      </c>
      <c r="B68" s="1177" t="s">
        <v>141</v>
      </c>
      <c r="C68" s="1178">
        <v>0</v>
      </c>
      <c r="D68" s="1179">
        <f>+'Table 5C1A-Madison Prep'!D68</f>
        <v>5901.074538516008</v>
      </c>
      <c r="E68" s="1180">
        <f t="shared" si="5"/>
        <v>0</v>
      </c>
      <c r="F68" s="1180">
        <f>+'Table 5C1A-Madison Prep'!F68</f>
        <v>516.08000000000004</v>
      </c>
      <c r="G68" s="1180">
        <f t="shared" si="6"/>
        <v>0</v>
      </c>
      <c r="H68" s="1539">
        <f t="shared" si="7"/>
        <v>0</v>
      </c>
      <c r="I68" s="1181"/>
      <c r="J68" s="1181"/>
      <c r="K68" s="1182">
        <f t="shared" si="8"/>
        <v>0</v>
      </c>
      <c r="L68" s="1539">
        <f t="shared" si="9"/>
        <v>0</v>
      </c>
      <c r="M68" s="1388">
        <f t="shared" si="4"/>
        <v>0</v>
      </c>
      <c r="N68" s="1539">
        <f t="shared" si="10"/>
        <v>0</v>
      </c>
      <c r="O68" s="1179">
        <v>0</v>
      </c>
      <c r="P68" s="1545">
        <f t="shared" si="11"/>
        <v>0</v>
      </c>
      <c r="Q68" s="1181"/>
      <c r="R68" s="1181">
        <f t="shared" si="12"/>
        <v>0</v>
      </c>
      <c r="S68" s="1545">
        <f t="shared" si="13"/>
        <v>0</v>
      </c>
      <c r="T68" s="1545">
        <f t="shared" si="14"/>
        <v>0</v>
      </c>
      <c r="U68" s="1389">
        <f>'Table 5C1A-Madison Prep'!U68</f>
        <v>1908</v>
      </c>
      <c r="V68" s="1515">
        <f t="shared" si="15"/>
        <v>0</v>
      </c>
      <c r="W68" s="1391"/>
      <c r="X68" s="1392">
        <f t="shared" si="16"/>
        <v>0</v>
      </c>
      <c r="Y68" s="1391"/>
      <c r="Z68" s="1392">
        <f t="shared" si="17"/>
        <v>0</v>
      </c>
      <c r="AA68" s="1390">
        <f t="shared" si="18"/>
        <v>0</v>
      </c>
      <c r="AB68" s="1510">
        <f t="shared" si="19"/>
        <v>0</v>
      </c>
      <c r="AC68" s="1394">
        <f t="shared" si="20"/>
        <v>0</v>
      </c>
      <c r="AD68" s="1510">
        <f t="shared" si="21"/>
        <v>0</v>
      </c>
      <c r="AE68" s="1395">
        <v>0</v>
      </c>
      <c r="AF68" s="1510">
        <f t="shared" si="22"/>
        <v>0</v>
      </c>
      <c r="AG68" s="1395"/>
      <c r="AH68" s="1395">
        <f t="shared" si="23"/>
        <v>0</v>
      </c>
      <c r="AI68" s="1510">
        <f t="shared" si="24"/>
        <v>0</v>
      </c>
      <c r="AJ68" s="1505">
        <f t="shared" si="25"/>
        <v>0</v>
      </c>
      <c r="AK68" s="1535">
        <f t="shared" si="26"/>
        <v>0</v>
      </c>
    </row>
    <row r="69" spans="1:37" ht="16.2" customHeight="1">
      <c r="A69" s="1176">
        <v>63</v>
      </c>
      <c r="B69" s="1177" t="s">
        <v>142</v>
      </c>
      <c r="C69" s="1178">
        <v>0</v>
      </c>
      <c r="D69" s="1179">
        <f>+'Table 5C1A-Madison Prep'!D69</f>
        <v>4124.3813481848092</v>
      </c>
      <c r="E69" s="1180">
        <f t="shared" si="5"/>
        <v>0</v>
      </c>
      <c r="F69" s="1180">
        <f>+'Table 5C1A-Madison Prep'!F69</f>
        <v>756.79</v>
      </c>
      <c r="G69" s="1180">
        <f t="shared" si="6"/>
        <v>0</v>
      </c>
      <c r="H69" s="1539">
        <f t="shared" si="7"/>
        <v>0</v>
      </c>
      <c r="I69" s="1181"/>
      <c r="J69" s="1181"/>
      <c r="K69" s="1182">
        <f t="shared" si="8"/>
        <v>0</v>
      </c>
      <c r="L69" s="1539">
        <f t="shared" si="9"/>
        <v>0</v>
      </c>
      <c r="M69" s="1388">
        <f t="shared" si="4"/>
        <v>0</v>
      </c>
      <c r="N69" s="1539">
        <f t="shared" si="10"/>
        <v>0</v>
      </c>
      <c r="O69" s="1179">
        <v>0</v>
      </c>
      <c r="P69" s="1545">
        <f t="shared" si="11"/>
        <v>0</v>
      </c>
      <c r="Q69" s="1181"/>
      <c r="R69" s="1181">
        <f t="shared" si="12"/>
        <v>0</v>
      </c>
      <c r="S69" s="1545">
        <f t="shared" si="13"/>
        <v>0</v>
      </c>
      <c r="T69" s="1545">
        <f t="shared" si="14"/>
        <v>0</v>
      </c>
      <c r="U69" s="1389">
        <f>'Table 5C1A-Madison Prep'!U69</f>
        <v>7290</v>
      </c>
      <c r="V69" s="1515">
        <f t="shared" si="15"/>
        <v>0</v>
      </c>
      <c r="W69" s="1391"/>
      <c r="X69" s="1392">
        <f t="shared" si="16"/>
        <v>0</v>
      </c>
      <c r="Y69" s="1391"/>
      <c r="Z69" s="1392">
        <f t="shared" si="17"/>
        <v>0</v>
      </c>
      <c r="AA69" s="1390">
        <f t="shared" si="18"/>
        <v>0</v>
      </c>
      <c r="AB69" s="1510">
        <f t="shared" si="19"/>
        <v>0</v>
      </c>
      <c r="AC69" s="1394">
        <f t="shared" si="20"/>
        <v>0</v>
      </c>
      <c r="AD69" s="1510">
        <f t="shared" si="21"/>
        <v>0</v>
      </c>
      <c r="AE69" s="1395">
        <v>0</v>
      </c>
      <c r="AF69" s="1510">
        <f t="shared" si="22"/>
        <v>0</v>
      </c>
      <c r="AG69" s="1395"/>
      <c r="AH69" s="1395">
        <f t="shared" si="23"/>
        <v>0</v>
      </c>
      <c r="AI69" s="1510">
        <f t="shared" si="24"/>
        <v>0</v>
      </c>
      <c r="AJ69" s="1505">
        <f t="shared" si="25"/>
        <v>0</v>
      </c>
      <c r="AK69" s="1535">
        <f t="shared" si="26"/>
        <v>0</v>
      </c>
    </row>
    <row r="70" spans="1:37" ht="16.2" customHeight="1">
      <c r="A70" s="1176">
        <v>64</v>
      </c>
      <c r="B70" s="1177" t="s">
        <v>143</v>
      </c>
      <c r="C70" s="1178">
        <v>0</v>
      </c>
      <c r="D70" s="1179">
        <f>+'Table 5C1A-Madison Prep'!D70</f>
        <v>6277.8307532778254</v>
      </c>
      <c r="E70" s="1180">
        <f t="shared" si="5"/>
        <v>0</v>
      </c>
      <c r="F70" s="1180">
        <f>+'Table 5C1A-Madison Prep'!F70</f>
        <v>592.66</v>
      </c>
      <c r="G70" s="1180">
        <f t="shared" si="6"/>
        <v>0</v>
      </c>
      <c r="H70" s="1539">
        <f t="shared" si="7"/>
        <v>0</v>
      </c>
      <c r="I70" s="1181"/>
      <c r="J70" s="1181"/>
      <c r="K70" s="1182">
        <f t="shared" si="8"/>
        <v>0</v>
      </c>
      <c r="L70" s="1539">
        <f t="shared" si="9"/>
        <v>0</v>
      </c>
      <c r="M70" s="1388">
        <f t="shared" si="4"/>
        <v>0</v>
      </c>
      <c r="N70" s="1539">
        <f t="shared" si="10"/>
        <v>0</v>
      </c>
      <c r="O70" s="1179">
        <v>0</v>
      </c>
      <c r="P70" s="1545">
        <f t="shared" si="11"/>
        <v>0</v>
      </c>
      <c r="Q70" s="1181"/>
      <c r="R70" s="1181">
        <f t="shared" si="12"/>
        <v>0</v>
      </c>
      <c r="S70" s="1545">
        <f t="shared" si="13"/>
        <v>0</v>
      </c>
      <c r="T70" s="1545">
        <f t="shared" si="14"/>
        <v>0</v>
      </c>
      <c r="U70" s="1389">
        <f>'Table 5C1A-Madison Prep'!U70</f>
        <v>2721</v>
      </c>
      <c r="V70" s="1515">
        <f t="shared" si="15"/>
        <v>0</v>
      </c>
      <c r="W70" s="1391"/>
      <c r="X70" s="1392">
        <f t="shared" si="16"/>
        <v>0</v>
      </c>
      <c r="Y70" s="1391"/>
      <c r="Z70" s="1392">
        <f t="shared" si="17"/>
        <v>0</v>
      </c>
      <c r="AA70" s="1390">
        <f t="shared" si="18"/>
        <v>0</v>
      </c>
      <c r="AB70" s="1510">
        <f t="shared" si="19"/>
        <v>0</v>
      </c>
      <c r="AC70" s="1394">
        <f t="shared" si="20"/>
        <v>0</v>
      </c>
      <c r="AD70" s="1510">
        <f t="shared" si="21"/>
        <v>0</v>
      </c>
      <c r="AE70" s="1395">
        <v>0</v>
      </c>
      <c r="AF70" s="1510">
        <f t="shared" si="22"/>
        <v>0</v>
      </c>
      <c r="AG70" s="1395"/>
      <c r="AH70" s="1395">
        <f t="shared" si="23"/>
        <v>0</v>
      </c>
      <c r="AI70" s="1510">
        <f t="shared" si="24"/>
        <v>0</v>
      </c>
      <c r="AJ70" s="1505">
        <f t="shared" si="25"/>
        <v>0</v>
      </c>
      <c r="AK70" s="1535">
        <f t="shared" si="26"/>
        <v>0</v>
      </c>
    </row>
    <row r="71" spans="1:37" ht="16.2" customHeight="1">
      <c r="A71" s="1168">
        <v>65</v>
      </c>
      <c r="B71" s="1169" t="s">
        <v>144</v>
      </c>
      <c r="C71" s="1170">
        <v>0</v>
      </c>
      <c r="D71" s="1171">
        <f>+'Table 5C1A-Madison Prep'!D71</f>
        <v>4775.1605543943642</v>
      </c>
      <c r="E71" s="1172">
        <f t="shared" si="5"/>
        <v>0</v>
      </c>
      <c r="F71" s="1172">
        <f>+'Table 5C1A-Madison Prep'!F71</f>
        <v>829.12</v>
      </c>
      <c r="G71" s="1172">
        <f t="shared" si="6"/>
        <v>0</v>
      </c>
      <c r="H71" s="1540">
        <f t="shared" si="7"/>
        <v>0</v>
      </c>
      <c r="I71" s="1173"/>
      <c r="J71" s="1173"/>
      <c r="K71" s="1174">
        <f t="shared" si="8"/>
        <v>0</v>
      </c>
      <c r="L71" s="1540">
        <f t="shared" si="9"/>
        <v>0</v>
      </c>
      <c r="M71" s="1399">
        <f t="shared" ref="M71:M73" si="27">-(0.25%*L71)</f>
        <v>0</v>
      </c>
      <c r="N71" s="1540">
        <f t="shared" si="10"/>
        <v>0</v>
      </c>
      <c r="O71" s="1171">
        <v>0</v>
      </c>
      <c r="P71" s="1546">
        <f t="shared" si="11"/>
        <v>0</v>
      </c>
      <c r="Q71" s="1173"/>
      <c r="R71" s="1173">
        <f t="shared" si="12"/>
        <v>0</v>
      </c>
      <c r="S71" s="1546">
        <f t="shared" si="13"/>
        <v>0</v>
      </c>
      <c r="T71" s="1546">
        <f t="shared" si="14"/>
        <v>0</v>
      </c>
      <c r="U71" s="1382">
        <f>'Table 5C1A-Madison Prep'!U71</f>
        <v>5110</v>
      </c>
      <c r="V71" s="1516">
        <f t="shared" si="15"/>
        <v>0</v>
      </c>
      <c r="W71" s="1400"/>
      <c r="X71" s="1383">
        <f t="shared" si="16"/>
        <v>0</v>
      </c>
      <c r="Y71" s="1400"/>
      <c r="Z71" s="1383">
        <f t="shared" si="17"/>
        <v>0</v>
      </c>
      <c r="AA71" s="1384">
        <f t="shared" si="18"/>
        <v>0</v>
      </c>
      <c r="AB71" s="1511">
        <f t="shared" si="19"/>
        <v>0</v>
      </c>
      <c r="AC71" s="1402">
        <f t="shared" si="20"/>
        <v>0</v>
      </c>
      <c r="AD71" s="1511">
        <f t="shared" si="21"/>
        <v>0</v>
      </c>
      <c r="AE71" s="1385">
        <v>0</v>
      </c>
      <c r="AF71" s="1511">
        <f t="shared" si="22"/>
        <v>0</v>
      </c>
      <c r="AG71" s="1385"/>
      <c r="AH71" s="1385">
        <f t="shared" si="23"/>
        <v>0</v>
      </c>
      <c r="AI71" s="1511">
        <f t="shared" si="24"/>
        <v>0</v>
      </c>
      <c r="AJ71" s="1531">
        <f t="shared" si="25"/>
        <v>0</v>
      </c>
      <c r="AK71" s="1536">
        <f t="shared" si="26"/>
        <v>0</v>
      </c>
    </row>
    <row r="72" spans="1:37" ht="16.2" customHeight="1">
      <c r="A72" s="1176">
        <v>66</v>
      </c>
      <c r="B72" s="1177" t="s">
        <v>145</v>
      </c>
      <c r="C72" s="1197">
        <v>0</v>
      </c>
      <c r="D72" s="1198">
        <f>+'Table 5C1A-Madison Prep'!D72</f>
        <v>6564.0085433910035</v>
      </c>
      <c r="E72" s="1199">
        <f t="shared" ref="E72:E75" si="28">C72*D72</f>
        <v>0</v>
      </c>
      <c r="F72" s="1199">
        <f>+'Table 5C1A-Madison Prep'!F72</f>
        <v>730.06</v>
      </c>
      <c r="G72" s="1199">
        <f t="shared" ref="G72:G75" si="29">C72*F72</f>
        <v>0</v>
      </c>
      <c r="H72" s="1403">
        <f t="shared" ref="H72:H75" si="30">E72+G72</f>
        <v>0</v>
      </c>
      <c r="I72" s="1200"/>
      <c r="J72" s="1200"/>
      <c r="K72" s="1201">
        <f t="shared" ref="K72:K75" si="31">+I72+J72</f>
        <v>0</v>
      </c>
      <c r="L72" s="1403">
        <f t="shared" ref="L72:L75" si="32">+H72+K72</f>
        <v>0</v>
      </c>
      <c r="M72" s="1423">
        <f t="shared" si="27"/>
        <v>0</v>
      </c>
      <c r="N72" s="1403">
        <f t="shared" ref="N72:N75" si="33">SUM(L72:M72)</f>
        <v>0</v>
      </c>
      <c r="O72" s="1198">
        <v>0</v>
      </c>
      <c r="P72" s="1398">
        <f t="shared" ref="P72:P75" si="34">SUM(N72:O72)</f>
        <v>0</v>
      </c>
      <c r="Q72" s="1200"/>
      <c r="R72" s="1200">
        <f t="shared" ref="R72:R75" si="35">+P72-Q72</f>
        <v>0</v>
      </c>
      <c r="S72" s="1398">
        <f t="shared" ref="S72:S75" si="36">ROUND(R72/12,0)</f>
        <v>0</v>
      </c>
      <c r="T72" s="1398">
        <f t="shared" ref="T72:T75" si="37">+P72</f>
        <v>0</v>
      </c>
      <c r="U72" s="1389">
        <f>'Table 5C1A-Madison Prep'!U72</f>
        <v>3369</v>
      </c>
      <c r="V72" s="1515">
        <f t="shared" ref="V72:V75" si="38">C72*U72</f>
        <v>0</v>
      </c>
      <c r="W72" s="1391"/>
      <c r="X72" s="1392">
        <f t="shared" ref="X72:X75" si="39">+U72*W72</f>
        <v>0</v>
      </c>
      <c r="Y72" s="1391"/>
      <c r="Z72" s="1392">
        <f t="shared" ref="Z72:Z75" si="40">+U72*Y72*0.5</f>
        <v>0</v>
      </c>
      <c r="AA72" s="1390">
        <f t="shared" ref="AA72:AA75" si="41">+X72+Z72</f>
        <v>0</v>
      </c>
      <c r="AB72" s="1510">
        <f t="shared" ref="AB72:AB75" si="42">+V72+AA72</f>
        <v>0</v>
      </c>
      <c r="AC72" s="1394">
        <f t="shared" ref="AC72:AC75" si="43">-(0.25%*AB72)</f>
        <v>0</v>
      </c>
      <c r="AD72" s="1510">
        <f t="shared" ref="AD72:AD75" si="44">SUM(AB72:AC72)</f>
        <v>0</v>
      </c>
      <c r="AE72" s="1395">
        <v>0</v>
      </c>
      <c r="AF72" s="1510">
        <f t="shared" ref="AF72:AF75" si="45">SUM(AD72:AE72)</f>
        <v>0</v>
      </c>
      <c r="AG72" s="1395"/>
      <c r="AH72" s="1395">
        <f t="shared" ref="AH72:AH75" si="46">+AF72-AG72</f>
        <v>0</v>
      </c>
      <c r="AI72" s="1510">
        <f t="shared" ref="AI72:AI75" si="47">ROUND(AH72/12,0)</f>
        <v>0</v>
      </c>
      <c r="AJ72" s="1505">
        <f t="shared" ref="AJ72:AJ75" si="48">T72+AF72</f>
        <v>0</v>
      </c>
      <c r="AK72" s="1505">
        <f t="shared" ref="AK72:AK75" si="49">S72+AI72</f>
        <v>0</v>
      </c>
    </row>
    <row r="73" spans="1:37" ht="16.2" customHeight="1">
      <c r="A73" s="1176">
        <v>67</v>
      </c>
      <c r="B73" s="1177" t="s">
        <v>30</v>
      </c>
      <c r="C73" s="1197">
        <v>0</v>
      </c>
      <c r="D73" s="1198">
        <f>+'Table 5C1A-Madison Prep'!D73</f>
        <v>5029.1467736134118</v>
      </c>
      <c r="E73" s="1199">
        <f t="shared" si="28"/>
        <v>0</v>
      </c>
      <c r="F73" s="1199">
        <f>+'Table 5C1A-Madison Prep'!F73</f>
        <v>715.61</v>
      </c>
      <c r="G73" s="1199">
        <f t="shared" si="29"/>
        <v>0</v>
      </c>
      <c r="H73" s="1403">
        <f t="shared" si="30"/>
        <v>0</v>
      </c>
      <c r="I73" s="1200"/>
      <c r="J73" s="1200"/>
      <c r="K73" s="1201">
        <f t="shared" si="31"/>
        <v>0</v>
      </c>
      <c r="L73" s="1403">
        <f t="shared" si="32"/>
        <v>0</v>
      </c>
      <c r="M73" s="1423">
        <f t="shared" si="27"/>
        <v>0</v>
      </c>
      <c r="N73" s="1403">
        <f t="shared" si="33"/>
        <v>0</v>
      </c>
      <c r="O73" s="1198">
        <v>0</v>
      </c>
      <c r="P73" s="1398">
        <f t="shared" si="34"/>
        <v>0</v>
      </c>
      <c r="Q73" s="1200"/>
      <c r="R73" s="1200">
        <f t="shared" si="35"/>
        <v>0</v>
      </c>
      <c r="S73" s="1398">
        <f t="shared" si="36"/>
        <v>0</v>
      </c>
      <c r="T73" s="1398">
        <f t="shared" si="37"/>
        <v>0</v>
      </c>
      <c r="U73" s="1389">
        <f>'Table 5C1A-Madison Prep'!U73</f>
        <v>5015</v>
      </c>
      <c r="V73" s="1515">
        <f t="shared" si="38"/>
        <v>0</v>
      </c>
      <c r="W73" s="1391"/>
      <c r="X73" s="1392">
        <f t="shared" si="39"/>
        <v>0</v>
      </c>
      <c r="Y73" s="1391"/>
      <c r="Z73" s="1392">
        <f t="shared" si="40"/>
        <v>0</v>
      </c>
      <c r="AA73" s="1390">
        <f t="shared" si="41"/>
        <v>0</v>
      </c>
      <c r="AB73" s="1510">
        <f t="shared" si="42"/>
        <v>0</v>
      </c>
      <c r="AC73" s="1394">
        <f t="shared" si="43"/>
        <v>0</v>
      </c>
      <c r="AD73" s="1510">
        <f t="shared" si="44"/>
        <v>0</v>
      </c>
      <c r="AE73" s="1395">
        <v>0</v>
      </c>
      <c r="AF73" s="1510">
        <f t="shared" si="45"/>
        <v>0</v>
      </c>
      <c r="AG73" s="1395"/>
      <c r="AH73" s="1395">
        <f t="shared" si="46"/>
        <v>0</v>
      </c>
      <c r="AI73" s="1510">
        <f t="shared" si="47"/>
        <v>0</v>
      </c>
      <c r="AJ73" s="1505">
        <f t="shared" si="48"/>
        <v>0</v>
      </c>
      <c r="AK73" s="1505">
        <f t="shared" si="49"/>
        <v>0</v>
      </c>
    </row>
    <row r="74" spans="1:37" ht="16.2" customHeight="1">
      <c r="A74" s="1176">
        <v>68</v>
      </c>
      <c r="B74" s="1177" t="s">
        <v>28</v>
      </c>
      <c r="C74" s="1197">
        <v>0</v>
      </c>
      <c r="D74" s="1198">
        <f>+'Table 5C1A-Madison Prep'!D74</f>
        <v>6390.1644202560601</v>
      </c>
      <c r="E74" s="1199">
        <f t="shared" si="28"/>
        <v>0</v>
      </c>
      <c r="F74" s="1199">
        <f>+'Table 5C1A-Madison Prep'!F74</f>
        <v>798.7</v>
      </c>
      <c r="G74" s="1199">
        <f t="shared" si="29"/>
        <v>0</v>
      </c>
      <c r="H74" s="1403">
        <f t="shared" si="30"/>
        <v>0</v>
      </c>
      <c r="I74" s="1200"/>
      <c r="J74" s="1200"/>
      <c r="K74" s="1201">
        <f t="shared" si="31"/>
        <v>0</v>
      </c>
      <c r="L74" s="1403">
        <f t="shared" si="32"/>
        <v>0</v>
      </c>
      <c r="M74" s="1423">
        <f t="shared" ref="M74" si="50">-(0.25%*H74)</f>
        <v>0</v>
      </c>
      <c r="N74" s="1403">
        <f t="shared" si="33"/>
        <v>0</v>
      </c>
      <c r="O74" s="1198">
        <v>0</v>
      </c>
      <c r="P74" s="1398">
        <f t="shared" si="34"/>
        <v>0</v>
      </c>
      <c r="Q74" s="1200"/>
      <c r="R74" s="1200">
        <f t="shared" si="35"/>
        <v>0</v>
      </c>
      <c r="S74" s="1398">
        <f t="shared" si="36"/>
        <v>0</v>
      </c>
      <c r="T74" s="1398">
        <f t="shared" si="37"/>
        <v>0</v>
      </c>
      <c r="U74" s="1389">
        <f>'Table 5C1A-Madison Prep'!U74</f>
        <v>2669</v>
      </c>
      <c r="V74" s="1515">
        <f t="shared" si="38"/>
        <v>0</v>
      </c>
      <c r="W74" s="1391"/>
      <c r="X74" s="1392">
        <f t="shared" si="39"/>
        <v>0</v>
      </c>
      <c r="Y74" s="1391"/>
      <c r="Z74" s="1392">
        <f t="shared" si="40"/>
        <v>0</v>
      </c>
      <c r="AA74" s="1390">
        <f t="shared" si="41"/>
        <v>0</v>
      </c>
      <c r="AB74" s="1510">
        <f t="shared" si="42"/>
        <v>0</v>
      </c>
      <c r="AC74" s="1394">
        <f t="shared" si="43"/>
        <v>0</v>
      </c>
      <c r="AD74" s="1510">
        <f t="shared" si="44"/>
        <v>0</v>
      </c>
      <c r="AE74" s="1395">
        <v>0</v>
      </c>
      <c r="AF74" s="1510">
        <f t="shared" si="45"/>
        <v>0</v>
      </c>
      <c r="AG74" s="1395"/>
      <c r="AH74" s="1395">
        <f t="shared" si="46"/>
        <v>0</v>
      </c>
      <c r="AI74" s="1510">
        <f t="shared" si="47"/>
        <v>0</v>
      </c>
      <c r="AJ74" s="1505">
        <f t="shared" si="48"/>
        <v>0</v>
      </c>
      <c r="AK74" s="1505">
        <f t="shared" si="49"/>
        <v>0</v>
      </c>
    </row>
    <row r="75" spans="1:37" ht="16.2" customHeight="1">
      <c r="A75" s="1190">
        <v>69</v>
      </c>
      <c r="B75" s="1191" t="s">
        <v>183</v>
      </c>
      <c r="C75" s="1192">
        <v>0</v>
      </c>
      <c r="D75" s="1193">
        <f>+'Table 5C1A-Madison Prep'!D75</f>
        <v>5722.4947921281337</v>
      </c>
      <c r="E75" s="1194">
        <f t="shared" si="28"/>
        <v>0</v>
      </c>
      <c r="F75" s="1194">
        <f>+'Table 5C1A-Madison Prep'!F75</f>
        <v>705.67</v>
      </c>
      <c r="G75" s="1194">
        <f t="shared" si="29"/>
        <v>0</v>
      </c>
      <c r="H75" s="1541">
        <f t="shared" si="30"/>
        <v>0</v>
      </c>
      <c r="I75" s="1195"/>
      <c r="J75" s="1195"/>
      <c r="K75" s="1196">
        <f t="shared" si="31"/>
        <v>0</v>
      </c>
      <c r="L75" s="1541">
        <f t="shared" si="32"/>
        <v>0</v>
      </c>
      <c r="M75" s="1405">
        <f>-(0.25%*L75)</f>
        <v>0</v>
      </c>
      <c r="N75" s="1541">
        <f t="shared" si="33"/>
        <v>0</v>
      </c>
      <c r="O75" s="1193">
        <v>0</v>
      </c>
      <c r="P75" s="1547">
        <f t="shared" si="34"/>
        <v>0</v>
      </c>
      <c r="Q75" s="1195"/>
      <c r="R75" s="1195">
        <f t="shared" si="35"/>
        <v>0</v>
      </c>
      <c r="S75" s="1547">
        <f t="shared" si="36"/>
        <v>0</v>
      </c>
      <c r="T75" s="1547">
        <f t="shared" si="37"/>
        <v>0</v>
      </c>
      <c r="U75" s="653">
        <f>'Table 5C1A-Madison Prep'!U75</f>
        <v>3394</v>
      </c>
      <c r="V75" s="1517">
        <f t="shared" si="38"/>
        <v>0</v>
      </c>
      <c r="W75" s="1407"/>
      <c r="X75" s="1408">
        <f t="shared" si="39"/>
        <v>0</v>
      </c>
      <c r="Y75" s="1407"/>
      <c r="Z75" s="1408">
        <f t="shared" si="40"/>
        <v>0</v>
      </c>
      <c r="AA75" s="1406">
        <f t="shared" si="41"/>
        <v>0</v>
      </c>
      <c r="AB75" s="1512">
        <f t="shared" si="42"/>
        <v>0</v>
      </c>
      <c r="AC75" s="1410">
        <f t="shared" si="43"/>
        <v>0</v>
      </c>
      <c r="AD75" s="1512">
        <f t="shared" si="44"/>
        <v>0</v>
      </c>
      <c r="AE75" s="1416">
        <v>0</v>
      </c>
      <c r="AF75" s="1512">
        <f t="shared" si="45"/>
        <v>0</v>
      </c>
      <c r="AG75" s="1416"/>
      <c r="AH75" s="1416">
        <f t="shared" si="46"/>
        <v>0</v>
      </c>
      <c r="AI75" s="1512">
        <f t="shared" si="47"/>
        <v>0</v>
      </c>
      <c r="AJ75" s="1506">
        <f t="shared" si="48"/>
        <v>0</v>
      </c>
      <c r="AK75" s="1506">
        <f t="shared" si="49"/>
        <v>0</v>
      </c>
    </row>
    <row r="76" spans="1:37" ht="16.2" customHeight="1" thickBot="1">
      <c r="A76" s="2221" t="s">
        <v>1045</v>
      </c>
      <c r="B76" s="2194"/>
      <c r="C76" s="470">
        <f>SUM(C7:C75)</f>
        <v>581</v>
      </c>
      <c r="D76" s="471">
        <f>+'Table 5C1A-Madison Prep'!D76</f>
        <v>4479.9292126977662</v>
      </c>
      <c r="E76" s="480">
        <f>SUM(E7:E75)</f>
        <v>1908468.4930839057</v>
      </c>
      <c r="F76" s="480">
        <f>+'Table 5C1A-Madison Prep'!F76</f>
        <v>704.64781030742063</v>
      </c>
      <c r="G76" s="480">
        <f t="shared" ref="G76:R76" si="51">SUM(G7:G75)</f>
        <v>405956.94999999995</v>
      </c>
      <c r="H76" s="1542">
        <f t="shared" si="51"/>
        <v>2314425.4430839056</v>
      </c>
      <c r="I76" s="640">
        <f t="shared" si="51"/>
        <v>0</v>
      </c>
      <c r="J76" s="640">
        <f t="shared" si="51"/>
        <v>0</v>
      </c>
      <c r="K76" s="616">
        <f t="shared" si="51"/>
        <v>0</v>
      </c>
      <c r="L76" s="1560">
        <f t="shared" si="51"/>
        <v>2314425.4430839056</v>
      </c>
      <c r="M76" s="481">
        <f t="shared" si="51"/>
        <v>-5786.0636077097643</v>
      </c>
      <c r="N76" s="1542">
        <f t="shared" si="51"/>
        <v>2308639.3794761957</v>
      </c>
      <c r="O76" s="471">
        <f t="shared" si="51"/>
        <v>0</v>
      </c>
      <c r="P76" s="1548">
        <f t="shared" si="51"/>
        <v>2308639.3794761957</v>
      </c>
      <c r="Q76" s="640"/>
      <c r="R76" s="640">
        <f t="shared" si="51"/>
        <v>2308639.3794761957</v>
      </c>
      <c r="S76" s="1548">
        <f>SUM(S7:S75)</f>
        <v>192386</v>
      </c>
      <c r="T76" s="1548">
        <f>SUM(T7:T75)</f>
        <v>2308639.3794761957</v>
      </c>
      <c r="U76" s="658">
        <f>'Table 5C1A-Madison Prep'!U76</f>
        <v>4663</v>
      </c>
      <c r="V76" s="1518">
        <f t="shared" ref="V76:AK76" si="52">SUM(V7:V75)</f>
        <v>3228944</v>
      </c>
      <c r="W76" s="646">
        <f t="shared" si="52"/>
        <v>0</v>
      </c>
      <c r="X76" s="647">
        <f t="shared" si="52"/>
        <v>0</v>
      </c>
      <c r="Y76" s="646">
        <f t="shared" si="52"/>
        <v>0</v>
      </c>
      <c r="Z76" s="647">
        <f t="shared" si="52"/>
        <v>0</v>
      </c>
      <c r="AA76" s="633">
        <f t="shared" si="52"/>
        <v>0</v>
      </c>
      <c r="AB76" s="1520">
        <f t="shared" si="52"/>
        <v>3228944</v>
      </c>
      <c r="AC76" s="482">
        <f t="shared" si="52"/>
        <v>-8072.3600000000006</v>
      </c>
      <c r="AD76" s="1518">
        <f t="shared" si="52"/>
        <v>3220871.64</v>
      </c>
      <c r="AE76" s="660">
        <f t="shared" si="52"/>
        <v>0</v>
      </c>
      <c r="AF76" s="1518">
        <f t="shared" si="52"/>
        <v>3220871.64</v>
      </c>
      <c r="AG76" s="647">
        <f t="shared" si="52"/>
        <v>0</v>
      </c>
      <c r="AH76" s="647">
        <f t="shared" si="52"/>
        <v>3220871.64</v>
      </c>
      <c r="AI76" s="1518">
        <f t="shared" si="52"/>
        <v>268406</v>
      </c>
      <c r="AJ76" s="1532">
        <f t="shared" si="52"/>
        <v>5529511.0194761958</v>
      </c>
      <c r="AK76" s="1532">
        <f t="shared" si="52"/>
        <v>460792</v>
      </c>
    </row>
    <row r="77" spans="1:37" ht="16.2" customHeight="1" thickTop="1">
      <c r="A77" s="2330" t="s">
        <v>1039</v>
      </c>
      <c r="B77" s="2338"/>
      <c r="C77" s="1425"/>
      <c r="D77" s="1198"/>
      <c r="E77" s="1198"/>
      <c r="F77" s="1198"/>
      <c r="G77" s="1198"/>
      <c r="H77" s="1198"/>
      <c r="I77" s="1200"/>
      <c r="J77" s="1200"/>
      <c r="K77" s="1200"/>
      <c r="L77" s="1198"/>
      <c r="M77" s="1200"/>
      <c r="N77" s="1198"/>
      <c r="O77" s="1198"/>
      <c r="P77" s="1398">
        <f>'Table 4 Level 4'!$E118</f>
        <v>0</v>
      </c>
      <c r="Q77" s="1200"/>
      <c r="R77" s="1200">
        <f t="shared" ref="R77" si="53">+P77-Q77</f>
        <v>0</v>
      </c>
      <c r="S77" s="1398">
        <f t="shared" ref="S77" si="54">ROUND(R77/12,0)</f>
        <v>0</v>
      </c>
      <c r="T77" s="1398">
        <f>'Table 4 Level 4'!$E118</f>
        <v>0</v>
      </c>
      <c r="U77" s="1389"/>
      <c r="V77" s="1392"/>
      <c r="W77" s="1391"/>
      <c r="X77" s="1392"/>
      <c r="Y77" s="1391"/>
      <c r="Z77" s="1392"/>
      <c r="AA77" s="1392"/>
      <c r="AB77" s="1395"/>
      <c r="AC77" s="1392"/>
      <c r="AD77" s="1395"/>
      <c r="AE77" s="1395"/>
      <c r="AF77" s="1395"/>
      <c r="AG77" s="1395"/>
      <c r="AH77" s="1395"/>
      <c r="AI77" s="1395"/>
      <c r="AJ77" s="1505">
        <f t="shared" ref="AJ77:AJ81" si="55">T77+AF77</f>
        <v>0</v>
      </c>
      <c r="AK77" s="1505">
        <f t="shared" ref="AK77:AK81" si="56">S77+AI77</f>
        <v>0</v>
      </c>
    </row>
    <row r="78" spans="1:37" ht="16.2" customHeight="1">
      <c r="A78" s="2332" t="s">
        <v>1040</v>
      </c>
      <c r="B78" s="2339"/>
      <c r="C78" s="1425"/>
      <c r="D78" s="1198"/>
      <c r="E78" s="1198"/>
      <c r="F78" s="1198"/>
      <c r="G78" s="1198"/>
      <c r="H78" s="1198"/>
      <c r="I78" s="1200"/>
      <c r="J78" s="1200"/>
      <c r="K78" s="1200"/>
      <c r="L78" s="1198"/>
      <c r="M78" s="1200"/>
      <c r="N78" s="1198"/>
      <c r="O78" s="1198"/>
      <c r="P78" s="1200">
        <v>0</v>
      </c>
      <c r="Q78" s="1200"/>
      <c r="R78" s="1200"/>
      <c r="S78" s="1200">
        <v>0</v>
      </c>
      <c r="T78" s="1398">
        <f>'Table 4 Level 4'!$J118</f>
        <v>0</v>
      </c>
      <c r="U78" s="1389"/>
      <c r="V78" s="1392"/>
      <c r="W78" s="1391"/>
      <c r="X78" s="1392"/>
      <c r="Y78" s="1391"/>
      <c r="Z78" s="1392"/>
      <c r="AA78" s="1392"/>
      <c r="AB78" s="1395"/>
      <c r="AC78" s="1392"/>
      <c r="AD78" s="1395"/>
      <c r="AE78" s="1395"/>
      <c r="AF78" s="1395"/>
      <c r="AG78" s="1395"/>
      <c r="AH78" s="1395"/>
      <c r="AI78" s="1395"/>
      <c r="AJ78" s="1505">
        <f t="shared" si="55"/>
        <v>0</v>
      </c>
      <c r="AK78" s="1395"/>
    </row>
    <row r="79" spans="1:37" ht="16.2" customHeight="1">
      <c r="A79" s="2332" t="s">
        <v>1041</v>
      </c>
      <c r="B79" s="2339"/>
      <c r="C79" s="1425"/>
      <c r="D79" s="1198"/>
      <c r="E79" s="1198"/>
      <c r="F79" s="1198"/>
      <c r="G79" s="1198"/>
      <c r="H79" s="1198"/>
      <c r="I79" s="1200"/>
      <c r="J79" s="1200"/>
      <c r="K79" s="1200"/>
      <c r="L79" s="1198"/>
      <c r="M79" s="1200"/>
      <c r="N79" s="1198"/>
      <c r="O79" s="1198"/>
      <c r="P79" s="1200">
        <v>0</v>
      </c>
      <c r="Q79" s="1200"/>
      <c r="R79" s="1200"/>
      <c r="S79" s="1200">
        <v>0</v>
      </c>
      <c r="T79" s="1398">
        <f>'Table 4 Level 4'!$K118</f>
        <v>0</v>
      </c>
      <c r="U79" s="1389"/>
      <c r="V79" s="1392"/>
      <c r="W79" s="1391"/>
      <c r="X79" s="1392"/>
      <c r="Y79" s="1391"/>
      <c r="Z79" s="1392"/>
      <c r="AA79" s="1392"/>
      <c r="AB79" s="1395"/>
      <c r="AC79" s="1392"/>
      <c r="AD79" s="1395"/>
      <c r="AE79" s="1395"/>
      <c r="AF79" s="1395"/>
      <c r="AG79" s="1395"/>
      <c r="AH79" s="1395"/>
      <c r="AI79" s="1395"/>
      <c r="AJ79" s="1505">
        <f t="shared" si="55"/>
        <v>0</v>
      </c>
      <c r="AK79" s="1395"/>
    </row>
    <row r="80" spans="1:37" ht="16.2" customHeight="1">
      <c r="A80" s="2332" t="s">
        <v>1042</v>
      </c>
      <c r="B80" s="2339"/>
      <c r="C80" s="1425"/>
      <c r="D80" s="1198"/>
      <c r="E80" s="1198"/>
      <c r="F80" s="1198"/>
      <c r="G80" s="1198"/>
      <c r="H80" s="1198"/>
      <c r="I80" s="1200"/>
      <c r="J80" s="1200"/>
      <c r="K80" s="1200"/>
      <c r="L80" s="1198"/>
      <c r="M80" s="1200"/>
      <c r="N80" s="1198"/>
      <c r="O80" s="1198"/>
      <c r="P80" s="1200">
        <v>0</v>
      </c>
      <c r="Q80" s="1200"/>
      <c r="R80" s="1200"/>
      <c r="S80" s="1200">
        <v>0</v>
      </c>
      <c r="T80" s="1398">
        <f>'Table 4 Level 4'!$L118</f>
        <v>0</v>
      </c>
      <c r="U80" s="1389"/>
      <c r="V80" s="1392"/>
      <c r="W80" s="1391"/>
      <c r="X80" s="1392"/>
      <c r="Y80" s="1391"/>
      <c r="Z80" s="1392"/>
      <c r="AA80" s="1392"/>
      <c r="AB80" s="1395"/>
      <c r="AC80" s="1392"/>
      <c r="AD80" s="1395"/>
      <c r="AE80" s="1395"/>
      <c r="AF80" s="1395"/>
      <c r="AG80" s="1395"/>
      <c r="AH80" s="1395"/>
      <c r="AI80" s="1395"/>
      <c r="AJ80" s="1505">
        <f t="shared" si="55"/>
        <v>0</v>
      </c>
      <c r="AK80" s="1395"/>
    </row>
    <row r="81" spans="1:37" ht="16.2" customHeight="1">
      <c r="A81" s="2340" t="s">
        <v>1043</v>
      </c>
      <c r="B81" s="2341"/>
      <c r="C81" s="1417"/>
      <c r="D81" s="1193"/>
      <c r="E81" s="1193"/>
      <c r="F81" s="1193"/>
      <c r="G81" s="1193"/>
      <c r="H81" s="1193"/>
      <c r="I81" s="1195"/>
      <c r="J81" s="1195"/>
      <c r="K81" s="1195"/>
      <c r="L81" s="1193"/>
      <c r="M81" s="1195"/>
      <c r="N81" s="1193"/>
      <c r="O81" s="1193"/>
      <c r="P81" s="1547">
        <f>'Table 4 Level 4'!$N118</f>
        <v>0</v>
      </c>
      <c r="Q81" s="1195"/>
      <c r="R81" s="1195">
        <f t="shared" ref="R81" si="57">+P81-Q81</f>
        <v>0</v>
      </c>
      <c r="S81" s="1547">
        <f t="shared" ref="S81" si="58">ROUND(R81/12,0)</f>
        <v>0</v>
      </c>
      <c r="T81" s="1547">
        <f>'Table 4 Level 4'!$N118</f>
        <v>0</v>
      </c>
      <c r="U81" s="1418"/>
      <c r="V81" s="1408"/>
      <c r="W81" s="1407"/>
      <c r="X81" s="1408"/>
      <c r="Y81" s="1407"/>
      <c r="Z81" s="1408"/>
      <c r="AA81" s="1408"/>
      <c r="AB81" s="1416"/>
      <c r="AC81" s="1408"/>
      <c r="AD81" s="1416"/>
      <c r="AE81" s="1416"/>
      <c r="AF81" s="1416"/>
      <c r="AG81" s="1416"/>
      <c r="AH81" s="1416"/>
      <c r="AI81" s="1416"/>
      <c r="AJ81" s="1506">
        <f t="shared" si="55"/>
        <v>0</v>
      </c>
      <c r="AK81" s="1506">
        <f t="shared" si="56"/>
        <v>0</v>
      </c>
    </row>
    <row r="82" spans="1:37" ht="16.2" customHeight="1" thickBot="1">
      <c r="A82" s="2221" t="s">
        <v>1044</v>
      </c>
      <c r="B82" s="2194"/>
      <c r="C82" s="1052">
        <f>SUM(C76:C81)</f>
        <v>581</v>
      </c>
      <c r="D82" s="1046">
        <f t="shared" ref="D82:AK82" si="59">SUM(D76:D81)</f>
        <v>4479.9292126977662</v>
      </c>
      <c r="E82" s="1046">
        <f t="shared" si="59"/>
        <v>1908468.4930839057</v>
      </c>
      <c r="F82" s="1046">
        <f t="shared" si="59"/>
        <v>704.64781030742063</v>
      </c>
      <c r="G82" s="1046">
        <f t="shared" si="59"/>
        <v>405956.94999999995</v>
      </c>
      <c r="H82" s="1046">
        <f t="shared" si="59"/>
        <v>2314425.4430839056</v>
      </c>
      <c r="I82" s="1053">
        <f t="shared" si="59"/>
        <v>0</v>
      </c>
      <c r="J82" s="1053">
        <f t="shared" si="59"/>
        <v>0</v>
      </c>
      <c r="K82" s="1053">
        <f t="shared" si="59"/>
        <v>0</v>
      </c>
      <c r="L82" s="1046">
        <f t="shared" si="59"/>
        <v>2314425.4430839056</v>
      </c>
      <c r="M82" s="1053">
        <f t="shared" si="59"/>
        <v>-5786.0636077097643</v>
      </c>
      <c r="N82" s="1046">
        <f t="shared" si="59"/>
        <v>2308639.3794761957</v>
      </c>
      <c r="O82" s="1046">
        <f t="shared" si="59"/>
        <v>0</v>
      </c>
      <c r="P82" s="1549">
        <f t="shared" si="59"/>
        <v>2308639.3794761957</v>
      </c>
      <c r="Q82" s="1053">
        <f t="shared" si="59"/>
        <v>0</v>
      </c>
      <c r="R82" s="1053">
        <f t="shared" si="59"/>
        <v>2308639.3794761957</v>
      </c>
      <c r="S82" s="1549">
        <f t="shared" si="59"/>
        <v>192386</v>
      </c>
      <c r="T82" s="1549">
        <f t="shared" si="59"/>
        <v>2308639.3794761957</v>
      </c>
      <c r="U82" s="1058">
        <f t="shared" si="59"/>
        <v>4663</v>
      </c>
      <c r="V82" s="1055">
        <f t="shared" si="59"/>
        <v>3228944</v>
      </c>
      <c r="W82" s="1057">
        <f t="shared" si="59"/>
        <v>0</v>
      </c>
      <c r="X82" s="1055">
        <f t="shared" si="59"/>
        <v>0</v>
      </c>
      <c r="Y82" s="1057">
        <f t="shared" si="59"/>
        <v>0</v>
      </c>
      <c r="Z82" s="1055">
        <f t="shared" si="59"/>
        <v>0</v>
      </c>
      <c r="AA82" s="1055">
        <f t="shared" si="59"/>
        <v>0</v>
      </c>
      <c r="AB82" s="1055">
        <f t="shared" si="59"/>
        <v>3228944</v>
      </c>
      <c r="AC82" s="1055">
        <f t="shared" si="59"/>
        <v>-8072.3600000000006</v>
      </c>
      <c r="AD82" s="1055">
        <f t="shared" si="59"/>
        <v>3220871.64</v>
      </c>
      <c r="AE82" s="1055">
        <f t="shared" si="59"/>
        <v>0</v>
      </c>
      <c r="AF82" s="1055">
        <f t="shared" si="59"/>
        <v>3220871.64</v>
      </c>
      <c r="AG82" s="1055">
        <f t="shared" si="59"/>
        <v>0</v>
      </c>
      <c r="AH82" s="1055">
        <f t="shared" si="59"/>
        <v>3220871.64</v>
      </c>
      <c r="AI82" s="1055">
        <f t="shared" si="59"/>
        <v>268406</v>
      </c>
      <c r="AJ82" s="1504">
        <f t="shared" si="59"/>
        <v>5529511.0194761958</v>
      </c>
      <c r="AK82" s="1504">
        <f t="shared" si="59"/>
        <v>460792</v>
      </c>
    </row>
    <row r="83" spans="1:37" ht="16.2" customHeight="1" thickTop="1"/>
    <row r="84" spans="1:37" ht="16.2" customHeight="1"/>
    <row r="85" spans="1:37" ht="16.2" customHeight="1"/>
    <row r="86" spans="1:37" ht="16.2" customHeight="1"/>
  </sheetData>
  <mergeCells count="45">
    <mergeCell ref="A1:B4"/>
    <mergeCell ref="O3:O4"/>
    <mergeCell ref="P3:P4"/>
    <mergeCell ref="S3:S4"/>
    <mergeCell ref="AE3:AE4"/>
    <mergeCell ref="W3:W4"/>
    <mergeCell ref="X3:X4"/>
    <mergeCell ref="Y3:Y4"/>
    <mergeCell ref="Z3:Z4"/>
    <mergeCell ref="AB3:AB4"/>
    <mergeCell ref="AD3:AD4"/>
    <mergeCell ref="T3:T4"/>
    <mergeCell ref="C1:L1"/>
    <mergeCell ref="U1:AB1"/>
    <mergeCell ref="C2:H2"/>
    <mergeCell ref="U2:V2"/>
    <mergeCell ref="AJ1:AJ4"/>
    <mergeCell ref="AG3:AG4"/>
    <mergeCell ref="AH3:AH4"/>
    <mergeCell ref="AI3:AI4"/>
    <mergeCell ref="AF3:AF4"/>
    <mergeCell ref="AC1:AI1"/>
    <mergeCell ref="AK1:AK4"/>
    <mergeCell ref="I2:K2"/>
    <mergeCell ref="W2:AA2"/>
    <mergeCell ref="C3:C4"/>
    <mergeCell ref="D3:D4"/>
    <mergeCell ref="E3:E4"/>
    <mergeCell ref="U3:U4"/>
    <mergeCell ref="F3:F4"/>
    <mergeCell ref="G3:G4"/>
    <mergeCell ref="H3:H4"/>
    <mergeCell ref="I3:I4"/>
    <mergeCell ref="J3:J4"/>
    <mergeCell ref="K3:K4"/>
    <mergeCell ref="L3:L4"/>
    <mergeCell ref="N3:N4"/>
    <mergeCell ref="M1:T1"/>
    <mergeCell ref="A82:B82"/>
    <mergeCell ref="A76:B76"/>
    <mergeCell ref="A77:B77"/>
    <mergeCell ref="A78:B78"/>
    <mergeCell ref="A79:B79"/>
    <mergeCell ref="A80:B80"/>
    <mergeCell ref="A81:B81"/>
  </mergeCells>
  <printOptions horizontalCentered="1"/>
  <pageMargins left="0.32" right="0.32" top="0.75" bottom="0.75" header="0.3" footer="0.3"/>
  <pageSetup paperSize="5" scale="60" firstPageNumber="56" orientation="portrait" r:id="rId1"/>
  <headerFooter>
    <oddHeader>&amp;L&amp;"Arial,Bold"&amp;20&amp;K000000Table 5C1-V: FY2014-15 MFP Budget Letter 
Lafayette Renaissance</oddHeader>
    <oddFooter>&amp;R&amp;P</oddFooter>
  </headerFooter>
  <colBreaks count="3" manualBreakCount="3">
    <brk id="12" max="1048575" man="1"/>
    <brk id="20" max="1048575" man="1"/>
    <brk id="28" max="81"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6"/>
  <sheetViews>
    <sheetView view="pageBreakPreview" zoomScale="80" zoomScaleNormal="100" zoomScaleSheetLayoutView="80" workbookViewId="0">
      <pane xSplit="2" ySplit="6" topLeftCell="C7" activePane="bottomRight" state="frozen"/>
      <selection sqref="A1:H1"/>
      <selection pane="topRight" sqref="A1:H1"/>
      <selection pane="bottomLeft" sqref="A1:H1"/>
      <selection pane="bottomRight" sqref="A1:H1"/>
    </sheetView>
  </sheetViews>
  <sheetFormatPr defaultColWidth="8.88671875" defaultRowHeight="13.2"/>
  <cols>
    <col min="1" max="1" width="5" style="608" customWidth="1"/>
    <col min="2" max="2" width="37.6640625" style="608" customWidth="1"/>
    <col min="3" max="3" width="12.109375" style="608" bestFit="1" customWidth="1"/>
    <col min="4" max="4" width="13.6640625" style="608" bestFit="1" customWidth="1"/>
    <col min="5" max="5" width="10.109375" style="608" bestFit="1" customWidth="1"/>
    <col min="6" max="7" width="12.33203125" style="608" bestFit="1" customWidth="1"/>
    <col min="8" max="8" width="11.5546875" style="608" bestFit="1" customWidth="1"/>
    <col min="9" max="12" width="11.88671875" style="608" bestFit="1" customWidth="1"/>
    <col min="13" max="13" width="10.88671875" style="608" bestFit="1" customWidth="1"/>
    <col min="14" max="14" width="13.109375" style="608" customWidth="1"/>
    <col min="15" max="15" width="13.44140625" style="608" bestFit="1" customWidth="1"/>
    <col min="16" max="16" width="14.6640625" style="608" customWidth="1"/>
    <col min="17" max="18" width="14" style="608" customWidth="1"/>
    <col min="19" max="19" width="10.6640625" style="608" customWidth="1"/>
    <col min="20" max="20" width="14.88671875" style="608" customWidth="1"/>
    <col min="21" max="22" width="14.5546875" style="608" customWidth="1"/>
    <col min="23" max="27" width="11.6640625" style="608" customWidth="1"/>
    <col min="28" max="28" width="14.44140625" style="608" bestFit="1" customWidth="1"/>
    <col min="29" max="29" width="10.5546875" style="608" customWidth="1"/>
    <col min="30" max="30" width="14.44140625" style="608" bestFit="1" customWidth="1"/>
    <col min="31" max="31" width="11.88671875" style="608" bestFit="1" customWidth="1"/>
    <col min="32" max="32" width="14.44140625" style="608" bestFit="1" customWidth="1"/>
    <col min="33" max="33" width="9.5546875" style="608" bestFit="1" customWidth="1"/>
    <col min="34" max="34" width="10.6640625" style="608" bestFit="1" customWidth="1"/>
    <col min="35" max="35" width="14.44140625" style="608" bestFit="1" customWidth="1"/>
    <col min="36" max="36" width="14.33203125" style="608" customWidth="1"/>
    <col min="37" max="37" width="14.44140625" style="608" bestFit="1" customWidth="1"/>
    <col min="38" max="16384" width="8.88671875" style="608"/>
  </cols>
  <sheetData>
    <row r="1" spans="1:37" ht="22.2" customHeight="1">
      <c r="A1" s="2367" t="s">
        <v>1007</v>
      </c>
      <c r="B1" s="2368"/>
      <c r="C1" s="2319" t="s">
        <v>1089</v>
      </c>
      <c r="D1" s="2320"/>
      <c r="E1" s="2320"/>
      <c r="F1" s="2320"/>
      <c r="G1" s="2320"/>
      <c r="H1" s="2320"/>
      <c r="I1" s="2320"/>
      <c r="J1" s="2320"/>
      <c r="K1" s="2320"/>
      <c r="L1" s="2321"/>
      <c r="M1" s="2349" t="s">
        <v>1089</v>
      </c>
      <c r="N1" s="2350"/>
      <c r="O1" s="2350"/>
      <c r="P1" s="2350"/>
      <c r="Q1" s="2350"/>
      <c r="R1" s="2350"/>
      <c r="S1" s="2350"/>
      <c r="T1" s="2351"/>
      <c r="U1" s="2268" t="s">
        <v>1247</v>
      </c>
      <c r="V1" s="2266"/>
      <c r="W1" s="2266"/>
      <c r="X1" s="2266"/>
      <c r="Y1" s="2266"/>
      <c r="Z1" s="2266"/>
      <c r="AA1" s="2266"/>
      <c r="AB1" s="2267"/>
      <c r="AC1" s="2268" t="s">
        <v>1247</v>
      </c>
      <c r="AD1" s="2266"/>
      <c r="AE1" s="2266"/>
      <c r="AF1" s="2266"/>
      <c r="AG1" s="2266"/>
      <c r="AH1" s="2266"/>
      <c r="AI1" s="2267"/>
      <c r="AJ1" s="2302" t="s">
        <v>1272</v>
      </c>
      <c r="AK1" s="2302" t="s">
        <v>1273</v>
      </c>
    </row>
    <row r="2" spans="1:37" ht="24.6" customHeight="1">
      <c r="A2" s="2369"/>
      <c r="B2" s="2370"/>
      <c r="C2" s="2379" t="s">
        <v>1284</v>
      </c>
      <c r="D2" s="2380"/>
      <c r="E2" s="2380"/>
      <c r="F2" s="2380"/>
      <c r="G2" s="2380"/>
      <c r="H2" s="2381"/>
      <c r="I2" s="2334" t="s">
        <v>531</v>
      </c>
      <c r="J2" s="2335"/>
      <c r="K2" s="2336"/>
      <c r="L2" s="1567"/>
      <c r="M2" s="1565"/>
      <c r="N2" s="1566"/>
      <c r="O2" s="1566"/>
      <c r="P2" s="1566"/>
      <c r="Q2" s="1566"/>
      <c r="R2" s="1566"/>
      <c r="S2" s="1566"/>
      <c r="T2" s="1567"/>
      <c r="U2" s="2377" t="s">
        <v>1284</v>
      </c>
      <c r="V2" s="2378"/>
      <c r="W2" s="2362" t="s">
        <v>531</v>
      </c>
      <c r="X2" s="2363"/>
      <c r="Y2" s="2363"/>
      <c r="Z2" s="2363"/>
      <c r="AA2" s="2364"/>
      <c r="AB2" s="1527"/>
      <c r="AC2" s="1525"/>
      <c r="AD2" s="1526"/>
      <c r="AE2" s="1526"/>
      <c r="AF2" s="1526"/>
      <c r="AG2" s="1526"/>
      <c r="AH2" s="1526"/>
      <c r="AI2" s="1527"/>
      <c r="AJ2" s="2303"/>
      <c r="AK2" s="2303"/>
    </row>
    <row r="3" spans="1:37" ht="148.94999999999999" customHeight="1">
      <c r="A3" s="2371"/>
      <c r="B3" s="2370"/>
      <c r="C3" s="2382" t="s">
        <v>1286</v>
      </c>
      <c r="D3" s="2318" t="s">
        <v>1110</v>
      </c>
      <c r="E3" s="2318" t="s">
        <v>384</v>
      </c>
      <c r="F3" s="2306" t="s">
        <v>546</v>
      </c>
      <c r="G3" s="2306" t="s">
        <v>330</v>
      </c>
      <c r="H3" s="2306" t="s">
        <v>547</v>
      </c>
      <c r="I3" s="2299" t="s">
        <v>770</v>
      </c>
      <c r="J3" s="2299" t="s">
        <v>769</v>
      </c>
      <c r="K3" s="2299" t="s">
        <v>538</v>
      </c>
      <c r="L3" s="2300" t="s">
        <v>548</v>
      </c>
      <c r="M3" s="1496" t="s">
        <v>333</v>
      </c>
      <c r="N3" s="2306" t="s">
        <v>545</v>
      </c>
      <c r="O3" s="2307" t="s">
        <v>1036</v>
      </c>
      <c r="P3" s="2306" t="s">
        <v>1056</v>
      </c>
      <c r="Q3" s="1537" t="s">
        <v>760</v>
      </c>
      <c r="R3" s="1537" t="s">
        <v>761</v>
      </c>
      <c r="S3" s="2308" t="s">
        <v>544</v>
      </c>
      <c r="T3" s="2308" t="s">
        <v>1057</v>
      </c>
      <c r="U3" s="2309" t="s">
        <v>1267</v>
      </c>
      <c r="V3" s="1507" t="s">
        <v>1268</v>
      </c>
      <c r="W3" s="2312" t="s">
        <v>1253</v>
      </c>
      <c r="X3" s="2312" t="s">
        <v>1251</v>
      </c>
      <c r="Y3" s="2312" t="s">
        <v>1254</v>
      </c>
      <c r="Z3" s="2312" t="s">
        <v>1252</v>
      </c>
      <c r="AA3" s="1498" t="s">
        <v>551</v>
      </c>
      <c r="AB3" s="2313" t="s">
        <v>1269</v>
      </c>
      <c r="AC3" s="1507" t="s">
        <v>1094</v>
      </c>
      <c r="AD3" s="2309" t="s">
        <v>1270</v>
      </c>
      <c r="AE3" s="2307" t="s">
        <v>1036</v>
      </c>
      <c r="AF3" s="2309" t="s">
        <v>1271</v>
      </c>
      <c r="AG3" s="2322" t="s">
        <v>981</v>
      </c>
      <c r="AH3" s="2322" t="s">
        <v>761</v>
      </c>
      <c r="AI3" s="2322" t="s">
        <v>1242</v>
      </c>
      <c r="AJ3" s="2304"/>
      <c r="AK3" s="2304"/>
    </row>
    <row r="4" spans="1:37" ht="19.95" customHeight="1">
      <c r="A4" s="2372"/>
      <c r="B4" s="2373"/>
      <c r="C4" s="2376"/>
      <c r="D4" s="2318"/>
      <c r="E4" s="2318"/>
      <c r="F4" s="2301"/>
      <c r="G4" s="2301"/>
      <c r="H4" s="2301"/>
      <c r="I4" s="2251"/>
      <c r="J4" s="2251"/>
      <c r="K4" s="2251"/>
      <c r="L4" s="2301"/>
      <c r="M4" s="1568">
        <v>2.5000000000000001E-3</v>
      </c>
      <c r="N4" s="2301"/>
      <c r="O4" s="2251"/>
      <c r="P4" s="2301"/>
      <c r="Q4" s="1497"/>
      <c r="R4" s="1497"/>
      <c r="S4" s="2301"/>
      <c r="T4" s="2301"/>
      <c r="U4" s="2280"/>
      <c r="V4" s="1508"/>
      <c r="W4" s="2251"/>
      <c r="X4" s="2251"/>
      <c r="Y4" s="2251"/>
      <c r="Z4" s="2251"/>
      <c r="AA4" s="1494"/>
      <c r="AB4" s="2280" t="s">
        <v>537</v>
      </c>
      <c r="AC4" s="1570">
        <v>2.5000000000000001E-3</v>
      </c>
      <c r="AD4" s="2280"/>
      <c r="AE4" s="2251"/>
      <c r="AF4" s="2280"/>
      <c r="AG4" s="2323"/>
      <c r="AH4" s="2323"/>
      <c r="AI4" s="2323"/>
      <c r="AJ4" s="2305"/>
      <c r="AK4" s="2305"/>
    </row>
    <row r="5" spans="1:37" ht="14.25" customHeight="1">
      <c r="A5" s="463"/>
      <c r="B5" s="464"/>
      <c r="C5" s="465">
        <v>1</v>
      </c>
      <c r="D5" s="465">
        <f t="shared" ref="D5" si="0">C5+1</f>
        <v>2</v>
      </c>
      <c r="E5" s="465">
        <f>D5+1</f>
        <v>3</v>
      </c>
      <c r="F5" s="465">
        <f t="shared" ref="F5:AK5" si="1">E5+1</f>
        <v>4</v>
      </c>
      <c r="G5" s="465">
        <f t="shared" si="1"/>
        <v>5</v>
      </c>
      <c r="H5" s="465">
        <f t="shared" si="1"/>
        <v>6</v>
      </c>
      <c r="I5" s="465">
        <f t="shared" si="1"/>
        <v>7</v>
      </c>
      <c r="J5" s="465">
        <f t="shared" si="1"/>
        <v>8</v>
      </c>
      <c r="K5" s="465">
        <f t="shared" si="1"/>
        <v>9</v>
      </c>
      <c r="L5" s="465">
        <f t="shared" si="1"/>
        <v>10</v>
      </c>
      <c r="M5" s="465">
        <f t="shared" si="1"/>
        <v>11</v>
      </c>
      <c r="N5" s="465">
        <f t="shared" si="1"/>
        <v>12</v>
      </c>
      <c r="O5" s="465">
        <f t="shared" si="1"/>
        <v>13</v>
      </c>
      <c r="P5" s="465">
        <f t="shared" si="1"/>
        <v>14</v>
      </c>
      <c r="Q5" s="465">
        <f t="shared" si="1"/>
        <v>15</v>
      </c>
      <c r="R5" s="465">
        <f t="shared" si="1"/>
        <v>16</v>
      </c>
      <c r="S5" s="465">
        <f t="shared" si="1"/>
        <v>17</v>
      </c>
      <c r="T5" s="465">
        <f t="shared" ref="T5" si="2">S5+1</f>
        <v>18</v>
      </c>
      <c r="U5" s="465">
        <f t="shared" ref="U5" si="3">T5+1</f>
        <v>19</v>
      </c>
      <c r="V5" s="465">
        <f t="shared" si="1"/>
        <v>20</v>
      </c>
      <c r="W5" s="465">
        <f t="shared" si="1"/>
        <v>21</v>
      </c>
      <c r="X5" s="465">
        <f t="shared" si="1"/>
        <v>22</v>
      </c>
      <c r="Y5" s="465">
        <f t="shared" si="1"/>
        <v>23</v>
      </c>
      <c r="Z5" s="465">
        <f t="shared" si="1"/>
        <v>24</v>
      </c>
      <c r="AA5" s="465">
        <f t="shared" si="1"/>
        <v>25</v>
      </c>
      <c r="AB5" s="465">
        <f t="shared" si="1"/>
        <v>26</v>
      </c>
      <c r="AC5" s="465">
        <f t="shared" si="1"/>
        <v>27</v>
      </c>
      <c r="AD5" s="465">
        <f t="shared" si="1"/>
        <v>28</v>
      </c>
      <c r="AE5" s="465">
        <f t="shared" si="1"/>
        <v>29</v>
      </c>
      <c r="AF5" s="465">
        <f t="shared" si="1"/>
        <v>30</v>
      </c>
      <c r="AG5" s="465">
        <f t="shared" si="1"/>
        <v>31</v>
      </c>
      <c r="AH5" s="465">
        <f t="shared" si="1"/>
        <v>32</v>
      </c>
      <c r="AI5" s="465">
        <f t="shared" si="1"/>
        <v>33</v>
      </c>
      <c r="AJ5" s="465">
        <f t="shared" si="1"/>
        <v>34</v>
      </c>
      <c r="AK5" s="465">
        <f t="shared" si="1"/>
        <v>35</v>
      </c>
    </row>
    <row r="6" spans="1:37" ht="27" hidden="1" customHeight="1">
      <c r="A6" s="472"/>
      <c r="B6" s="473"/>
      <c r="C6" s="473"/>
      <c r="D6" s="473"/>
      <c r="E6" s="473"/>
      <c r="F6" s="473"/>
      <c r="G6" s="473"/>
      <c r="H6" s="473"/>
      <c r="I6" s="615"/>
      <c r="J6" s="615"/>
      <c r="K6" s="615"/>
      <c r="L6" s="615"/>
      <c r="M6" s="473"/>
      <c r="N6" s="473"/>
      <c r="O6" s="473"/>
      <c r="P6" s="473"/>
      <c r="Q6" s="615"/>
      <c r="R6" s="615"/>
      <c r="S6" s="473"/>
      <c r="T6" s="473"/>
      <c r="U6" s="473"/>
      <c r="V6" s="473"/>
      <c r="W6" s="615"/>
      <c r="X6" s="615"/>
      <c r="Y6" s="615"/>
      <c r="Z6" s="615"/>
      <c r="AA6" s="615"/>
      <c r="AB6" s="615"/>
      <c r="AC6" s="473"/>
      <c r="AD6" s="473"/>
      <c r="AE6" s="473"/>
      <c r="AF6" s="473"/>
      <c r="AG6" s="615"/>
      <c r="AH6" s="615"/>
      <c r="AI6" s="473"/>
      <c r="AJ6" s="473"/>
      <c r="AK6" s="473"/>
    </row>
    <row r="7" spans="1:37" ht="16.2" customHeight="1">
      <c r="A7" s="1183">
        <v>1</v>
      </c>
      <c r="B7" s="1184" t="s">
        <v>81</v>
      </c>
      <c r="C7" s="1185">
        <v>0</v>
      </c>
      <c r="D7" s="1186">
        <f>+'Table 5C1A-Madison Prep'!D7</f>
        <v>4765.8584413349836</v>
      </c>
      <c r="E7" s="1187">
        <f>C7*D7</f>
        <v>0</v>
      </c>
      <c r="F7" s="1187">
        <f>+'Table 5C1A-Madison Prep'!F7</f>
        <v>777.48</v>
      </c>
      <c r="G7" s="1187">
        <f>C7*F7</f>
        <v>0</v>
      </c>
      <c r="H7" s="1538">
        <f>E7+G7</f>
        <v>0</v>
      </c>
      <c r="I7" s="1188"/>
      <c r="J7" s="1188"/>
      <c r="K7" s="1189">
        <f>+I7+J7</f>
        <v>0</v>
      </c>
      <c r="L7" s="1538">
        <f>+H7+K7</f>
        <v>0</v>
      </c>
      <c r="M7" s="1372">
        <f t="shared" ref="M7:M70" si="4">-(0.25%*L7)</f>
        <v>0</v>
      </c>
      <c r="N7" s="1538">
        <f>SUM(L7:M7)</f>
        <v>0</v>
      </c>
      <c r="O7" s="1186">
        <v>0</v>
      </c>
      <c r="P7" s="1544">
        <f>SUM(N7:O7)</f>
        <v>0</v>
      </c>
      <c r="Q7" s="1188"/>
      <c r="R7" s="1188">
        <f>+P7-Q7</f>
        <v>0</v>
      </c>
      <c r="S7" s="1544">
        <f>ROUND(R7/12,0)</f>
        <v>0</v>
      </c>
      <c r="T7" s="1544">
        <f>+P7</f>
        <v>0</v>
      </c>
      <c r="U7" s="1373">
        <f>'Table 5C1A-Madison Prep'!U7</f>
        <v>2409</v>
      </c>
      <c r="V7" s="1514">
        <f>C7*U7</f>
        <v>0</v>
      </c>
      <c r="W7" s="1375"/>
      <c r="X7" s="1376">
        <f>+U7*W7</f>
        <v>0</v>
      </c>
      <c r="Y7" s="1375"/>
      <c r="Z7" s="1376">
        <f>+U7*Y7*0.5</f>
        <v>0</v>
      </c>
      <c r="AA7" s="1374">
        <f>+X7+Z7</f>
        <v>0</v>
      </c>
      <c r="AB7" s="1509">
        <f>+V7+AA7</f>
        <v>0</v>
      </c>
      <c r="AC7" s="1378">
        <f>-(0.25%*AB7)</f>
        <v>0</v>
      </c>
      <c r="AD7" s="1509">
        <f>SUM(AB7:AC7)</f>
        <v>0</v>
      </c>
      <c r="AE7" s="1379">
        <v>0</v>
      </c>
      <c r="AF7" s="1509">
        <f>SUM(AD7:AE7)</f>
        <v>0</v>
      </c>
      <c r="AG7" s="1379"/>
      <c r="AH7" s="1379">
        <f>+AF7-AG7</f>
        <v>0</v>
      </c>
      <c r="AI7" s="1509">
        <f>ROUND(AH7/12,0)</f>
        <v>0</v>
      </c>
      <c r="AJ7" s="1530">
        <f>T7+AF7</f>
        <v>0</v>
      </c>
      <c r="AK7" s="1534">
        <f>S7+AI7</f>
        <v>0</v>
      </c>
    </row>
    <row r="8" spans="1:37" ht="16.2" customHeight="1">
      <c r="A8" s="1176">
        <v>2</v>
      </c>
      <c r="B8" s="1177" t="s">
        <v>82</v>
      </c>
      <c r="C8" s="1178">
        <v>0</v>
      </c>
      <c r="D8" s="1179">
        <f>+'Table 5C1A-Madison Prep'!D8</f>
        <v>6316.6266417386641</v>
      </c>
      <c r="E8" s="1180">
        <f t="shared" ref="E8:E71" si="5">C8*D8</f>
        <v>0</v>
      </c>
      <c r="F8" s="1180">
        <f>+'Table 5C1A-Madison Prep'!F8</f>
        <v>842.32</v>
      </c>
      <c r="G8" s="1180">
        <f t="shared" ref="G8:G71" si="6">C8*F8</f>
        <v>0</v>
      </c>
      <c r="H8" s="1539">
        <f t="shared" ref="H8:H71" si="7">E8+G8</f>
        <v>0</v>
      </c>
      <c r="I8" s="1181"/>
      <c r="J8" s="1181"/>
      <c r="K8" s="1182">
        <f t="shared" ref="K8:K71" si="8">+I8+J8</f>
        <v>0</v>
      </c>
      <c r="L8" s="1539">
        <f t="shared" ref="L8:L71" si="9">+H8+K8</f>
        <v>0</v>
      </c>
      <c r="M8" s="1388">
        <f t="shared" si="4"/>
        <v>0</v>
      </c>
      <c r="N8" s="1539">
        <f t="shared" ref="N8:N71" si="10">SUM(L8:M8)</f>
        <v>0</v>
      </c>
      <c r="O8" s="1179">
        <v>0</v>
      </c>
      <c r="P8" s="1545">
        <f t="shared" ref="P8:P71" si="11">SUM(N8:O8)</f>
        <v>0</v>
      </c>
      <c r="Q8" s="1181"/>
      <c r="R8" s="1181">
        <f t="shared" ref="R8:R71" si="12">+P8-Q8</f>
        <v>0</v>
      </c>
      <c r="S8" s="1545">
        <f t="shared" ref="S8:S71" si="13">ROUND(R8/12,0)</f>
        <v>0</v>
      </c>
      <c r="T8" s="1545">
        <f t="shared" ref="T8:T71" si="14">+P8</f>
        <v>0</v>
      </c>
      <c r="U8" s="1389">
        <f>'Table 5C1A-Madison Prep'!U8</f>
        <v>2829</v>
      </c>
      <c r="V8" s="1515">
        <f t="shared" ref="V8:V71" si="15">C8*U8</f>
        <v>0</v>
      </c>
      <c r="W8" s="1391"/>
      <c r="X8" s="1392">
        <f t="shared" ref="X8:X71" si="16">+U8*W8</f>
        <v>0</v>
      </c>
      <c r="Y8" s="1391"/>
      <c r="Z8" s="1392">
        <f t="shared" ref="Z8:Z71" si="17">+U8*Y8*0.5</f>
        <v>0</v>
      </c>
      <c r="AA8" s="1390">
        <f t="shared" ref="AA8:AA71" si="18">+X8+Z8</f>
        <v>0</v>
      </c>
      <c r="AB8" s="1510">
        <f t="shared" ref="AB8:AB71" si="19">+V8+AA8</f>
        <v>0</v>
      </c>
      <c r="AC8" s="1394">
        <f t="shared" ref="AC8:AC71" si="20">-(0.25%*AB8)</f>
        <v>0</v>
      </c>
      <c r="AD8" s="1510">
        <f t="shared" ref="AD8:AD71" si="21">SUM(AB8:AC8)</f>
        <v>0</v>
      </c>
      <c r="AE8" s="1395">
        <v>0</v>
      </c>
      <c r="AF8" s="1510">
        <f t="shared" ref="AF8:AF71" si="22">SUM(AD8:AE8)</f>
        <v>0</v>
      </c>
      <c r="AG8" s="1395"/>
      <c r="AH8" s="1395">
        <f t="shared" ref="AH8:AH71" si="23">+AF8-AG8</f>
        <v>0</v>
      </c>
      <c r="AI8" s="1510">
        <f t="shared" ref="AI8:AI71" si="24">ROUND(AH8/12,0)</f>
        <v>0</v>
      </c>
      <c r="AJ8" s="1505">
        <f t="shared" ref="AJ8:AJ71" si="25">T8+AF8</f>
        <v>0</v>
      </c>
      <c r="AK8" s="1535">
        <f t="shared" ref="AK8:AK71" si="26">S8+AI8</f>
        <v>0</v>
      </c>
    </row>
    <row r="9" spans="1:37" ht="16.2" customHeight="1">
      <c r="A9" s="1176">
        <v>3</v>
      </c>
      <c r="B9" s="1177" t="s">
        <v>83</v>
      </c>
      <c r="C9" s="1178">
        <v>0</v>
      </c>
      <c r="D9" s="1179">
        <f>+'Table 5C1A-Madison Prep'!D9</f>
        <v>4155.1862027396819</v>
      </c>
      <c r="E9" s="1180">
        <f t="shared" si="5"/>
        <v>0</v>
      </c>
      <c r="F9" s="1180">
        <f>+'Table 5C1A-Madison Prep'!F9</f>
        <v>596.84</v>
      </c>
      <c r="G9" s="1180">
        <f t="shared" si="6"/>
        <v>0</v>
      </c>
      <c r="H9" s="1539">
        <f t="shared" si="7"/>
        <v>0</v>
      </c>
      <c r="I9" s="1181"/>
      <c r="J9" s="1181"/>
      <c r="K9" s="1182">
        <f t="shared" si="8"/>
        <v>0</v>
      </c>
      <c r="L9" s="1539">
        <f t="shared" si="9"/>
        <v>0</v>
      </c>
      <c r="M9" s="1388">
        <f t="shared" si="4"/>
        <v>0</v>
      </c>
      <c r="N9" s="1539">
        <f t="shared" si="10"/>
        <v>0</v>
      </c>
      <c r="O9" s="1179">
        <v>0</v>
      </c>
      <c r="P9" s="1545">
        <f t="shared" si="11"/>
        <v>0</v>
      </c>
      <c r="Q9" s="1181"/>
      <c r="R9" s="1181">
        <f t="shared" si="12"/>
        <v>0</v>
      </c>
      <c r="S9" s="1545">
        <f t="shared" si="13"/>
        <v>0</v>
      </c>
      <c r="T9" s="1545">
        <f t="shared" si="14"/>
        <v>0</v>
      </c>
      <c r="U9" s="1389">
        <f>'Table 5C1A-Madison Prep'!U9</f>
        <v>5770</v>
      </c>
      <c r="V9" s="1515">
        <f t="shared" si="15"/>
        <v>0</v>
      </c>
      <c r="W9" s="1391"/>
      <c r="X9" s="1392">
        <f t="shared" si="16"/>
        <v>0</v>
      </c>
      <c r="Y9" s="1391"/>
      <c r="Z9" s="1392">
        <f t="shared" si="17"/>
        <v>0</v>
      </c>
      <c r="AA9" s="1390">
        <f t="shared" si="18"/>
        <v>0</v>
      </c>
      <c r="AB9" s="1510">
        <f t="shared" si="19"/>
        <v>0</v>
      </c>
      <c r="AC9" s="1394">
        <f t="shared" si="20"/>
        <v>0</v>
      </c>
      <c r="AD9" s="1510">
        <f t="shared" si="21"/>
        <v>0</v>
      </c>
      <c r="AE9" s="1395">
        <v>0</v>
      </c>
      <c r="AF9" s="1510">
        <f t="shared" si="22"/>
        <v>0</v>
      </c>
      <c r="AG9" s="1395"/>
      <c r="AH9" s="1395">
        <f t="shared" si="23"/>
        <v>0</v>
      </c>
      <c r="AI9" s="1510">
        <f t="shared" si="24"/>
        <v>0</v>
      </c>
      <c r="AJ9" s="1505">
        <f t="shared" si="25"/>
        <v>0</v>
      </c>
      <c r="AK9" s="1535">
        <f t="shared" si="26"/>
        <v>0</v>
      </c>
    </row>
    <row r="10" spans="1:37" ht="16.2" customHeight="1">
      <c r="A10" s="1176">
        <v>4</v>
      </c>
      <c r="B10" s="1177" t="s">
        <v>84</v>
      </c>
      <c r="C10" s="1178">
        <v>0</v>
      </c>
      <c r="D10" s="1179">
        <f>+'Table 5C1A-Madison Prep'!D10</f>
        <v>6119.0581446878568</v>
      </c>
      <c r="E10" s="1180">
        <f t="shared" si="5"/>
        <v>0</v>
      </c>
      <c r="F10" s="1180">
        <f>+'Table 5C1A-Madison Prep'!F10</f>
        <v>585.76</v>
      </c>
      <c r="G10" s="1180">
        <f t="shared" si="6"/>
        <v>0</v>
      </c>
      <c r="H10" s="1539">
        <f t="shared" si="7"/>
        <v>0</v>
      </c>
      <c r="I10" s="1181"/>
      <c r="J10" s="1181"/>
      <c r="K10" s="1182">
        <f t="shared" si="8"/>
        <v>0</v>
      </c>
      <c r="L10" s="1539">
        <f t="shared" si="9"/>
        <v>0</v>
      </c>
      <c r="M10" s="1388">
        <f t="shared" si="4"/>
        <v>0</v>
      </c>
      <c r="N10" s="1539">
        <f t="shared" si="10"/>
        <v>0</v>
      </c>
      <c r="O10" s="1179">
        <v>0</v>
      </c>
      <c r="P10" s="1545">
        <f t="shared" si="11"/>
        <v>0</v>
      </c>
      <c r="Q10" s="1181"/>
      <c r="R10" s="1181">
        <f t="shared" si="12"/>
        <v>0</v>
      </c>
      <c r="S10" s="1545">
        <f t="shared" si="13"/>
        <v>0</v>
      </c>
      <c r="T10" s="1545">
        <f t="shared" si="14"/>
        <v>0</v>
      </c>
      <c r="U10" s="1389">
        <f>'Table 5C1A-Madison Prep'!U10</f>
        <v>3287</v>
      </c>
      <c r="V10" s="1515">
        <f t="shared" si="15"/>
        <v>0</v>
      </c>
      <c r="W10" s="1391"/>
      <c r="X10" s="1392">
        <f t="shared" si="16"/>
        <v>0</v>
      </c>
      <c r="Y10" s="1391"/>
      <c r="Z10" s="1392">
        <f t="shared" si="17"/>
        <v>0</v>
      </c>
      <c r="AA10" s="1390">
        <f t="shared" si="18"/>
        <v>0</v>
      </c>
      <c r="AB10" s="1510">
        <f t="shared" si="19"/>
        <v>0</v>
      </c>
      <c r="AC10" s="1394">
        <f t="shared" si="20"/>
        <v>0</v>
      </c>
      <c r="AD10" s="1510">
        <f t="shared" si="21"/>
        <v>0</v>
      </c>
      <c r="AE10" s="1395">
        <v>0</v>
      </c>
      <c r="AF10" s="1510">
        <f t="shared" si="22"/>
        <v>0</v>
      </c>
      <c r="AG10" s="1395"/>
      <c r="AH10" s="1395">
        <f t="shared" si="23"/>
        <v>0</v>
      </c>
      <c r="AI10" s="1510">
        <f t="shared" si="24"/>
        <v>0</v>
      </c>
      <c r="AJ10" s="1505">
        <f t="shared" si="25"/>
        <v>0</v>
      </c>
      <c r="AK10" s="1535">
        <f t="shared" si="26"/>
        <v>0</v>
      </c>
    </row>
    <row r="11" spans="1:37" ht="16.2" customHeight="1">
      <c r="A11" s="1168">
        <v>5</v>
      </c>
      <c r="B11" s="1169" t="s">
        <v>85</v>
      </c>
      <c r="C11" s="1170">
        <v>0</v>
      </c>
      <c r="D11" s="1171">
        <f>+'Table 5C1A-Madison Prep'!D11</f>
        <v>5268.940566009911</v>
      </c>
      <c r="E11" s="1172">
        <f t="shared" si="5"/>
        <v>0</v>
      </c>
      <c r="F11" s="1172">
        <f>+'Table 5C1A-Madison Prep'!F11</f>
        <v>555.91</v>
      </c>
      <c r="G11" s="1172">
        <f t="shared" si="6"/>
        <v>0</v>
      </c>
      <c r="H11" s="1540">
        <f t="shared" si="7"/>
        <v>0</v>
      </c>
      <c r="I11" s="1173"/>
      <c r="J11" s="1173"/>
      <c r="K11" s="1174">
        <f t="shared" si="8"/>
        <v>0</v>
      </c>
      <c r="L11" s="1540">
        <f t="shared" si="9"/>
        <v>0</v>
      </c>
      <c r="M11" s="1399">
        <f t="shared" si="4"/>
        <v>0</v>
      </c>
      <c r="N11" s="1540">
        <f t="shared" si="10"/>
        <v>0</v>
      </c>
      <c r="O11" s="1171">
        <v>0</v>
      </c>
      <c r="P11" s="1546">
        <f t="shared" si="11"/>
        <v>0</v>
      </c>
      <c r="Q11" s="1173"/>
      <c r="R11" s="1173">
        <f t="shared" si="12"/>
        <v>0</v>
      </c>
      <c r="S11" s="1546">
        <f t="shared" si="13"/>
        <v>0</v>
      </c>
      <c r="T11" s="1546">
        <f t="shared" si="14"/>
        <v>0</v>
      </c>
      <c r="U11" s="1382">
        <f>'Table 5C1A-Madison Prep'!U11</f>
        <v>1921</v>
      </c>
      <c r="V11" s="1516">
        <f t="shared" si="15"/>
        <v>0</v>
      </c>
      <c r="W11" s="1400"/>
      <c r="X11" s="1383">
        <f t="shared" si="16"/>
        <v>0</v>
      </c>
      <c r="Y11" s="1400"/>
      <c r="Z11" s="1383">
        <f t="shared" si="17"/>
        <v>0</v>
      </c>
      <c r="AA11" s="1384">
        <f t="shared" si="18"/>
        <v>0</v>
      </c>
      <c r="AB11" s="1511">
        <f t="shared" si="19"/>
        <v>0</v>
      </c>
      <c r="AC11" s="1402">
        <f t="shared" si="20"/>
        <v>0</v>
      </c>
      <c r="AD11" s="1511">
        <f t="shared" si="21"/>
        <v>0</v>
      </c>
      <c r="AE11" s="1385">
        <v>0</v>
      </c>
      <c r="AF11" s="1511">
        <f t="shared" si="22"/>
        <v>0</v>
      </c>
      <c r="AG11" s="1385"/>
      <c r="AH11" s="1385">
        <f t="shared" si="23"/>
        <v>0</v>
      </c>
      <c r="AI11" s="1511">
        <f t="shared" si="24"/>
        <v>0</v>
      </c>
      <c r="AJ11" s="1531">
        <f t="shared" si="25"/>
        <v>0</v>
      </c>
      <c r="AK11" s="1536">
        <f t="shared" si="26"/>
        <v>0</v>
      </c>
    </row>
    <row r="12" spans="1:37" ht="16.2" customHeight="1">
      <c r="A12" s="1183">
        <v>6</v>
      </c>
      <c r="B12" s="1184" t="s">
        <v>86</v>
      </c>
      <c r="C12" s="1185">
        <v>0</v>
      </c>
      <c r="D12" s="1186">
        <f>+'Table 5C1A-Madison Prep'!D12</f>
        <v>5378.5086124955869</v>
      </c>
      <c r="E12" s="1187">
        <f t="shared" si="5"/>
        <v>0</v>
      </c>
      <c r="F12" s="1187">
        <f>+'Table 5C1A-Madison Prep'!F12</f>
        <v>545.4799999999999</v>
      </c>
      <c r="G12" s="1187">
        <f t="shared" si="6"/>
        <v>0</v>
      </c>
      <c r="H12" s="1538">
        <f t="shared" si="7"/>
        <v>0</v>
      </c>
      <c r="I12" s="1188"/>
      <c r="J12" s="1188"/>
      <c r="K12" s="1189">
        <f t="shared" si="8"/>
        <v>0</v>
      </c>
      <c r="L12" s="1538">
        <f t="shared" si="9"/>
        <v>0</v>
      </c>
      <c r="M12" s="1372">
        <f t="shared" si="4"/>
        <v>0</v>
      </c>
      <c r="N12" s="1538">
        <f t="shared" si="10"/>
        <v>0</v>
      </c>
      <c r="O12" s="1186">
        <v>0</v>
      </c>
      <c r="P12" s="1544">
        <f t="shared" si="11"/>
        <v>0</v>
      </c>
      <c r="Q12" s="1188"/>
      <c r="R12" s="1188">
        <f t="shared" si="12"/>
        <v>0</v>
      </c>
      <c r="S12" s="1544">
        <f t="shared" si="13"/>
        <v>0</v>
      </c>
      <c r="T12" s="1544">
        <f t="shared" si="14"/>
        <v>0</v>
      </c>
      <c r="U12" s="1373">
        <f>'Table 5C1A-Madison Prep'!U12</f>
        <v>3807</v>
      </c>
      <c r="V12" s="1514">
        <f t="shared" si="15"/>
        <v>0</v>
      </c>
      <c r="W12" s="1375"/>
      <c r="X12" s="1376">
        <f t="shared" si="16"/>
        <v>0</v>
      </c>
      <c r="Y12" s="1375"/>
      <c r="Z12" s="1376">
        <f t="shared" si="17"/>
        <v>0</v>
      </c>
      <c r="AA12" s="1374">
        <f t="shared" si="18"/>
        <v>0</v>
      </c>
      <c r="AB12" s="1509">
        <f t="shared" si="19"/>
        <v>0</v>
      </c>
      <c r="AC12" s="1378">
        <f t="shared" si="20"/>
        <v>0</v>
      </c>
      <c r="AD12" s="1509">
        <f t="shared" si="21"/>
        <v>0</v>
      </c>
      <c r="AE12" s="1379">
        <v>0</v>
      </c>
      <c r="AF12" s="1509">
        <f t="shared" si="22"/>
        <v>0</v>
      </c>
      <c r="AG12" s="1379"/>
      <c r="AH12" s="1379">
        <f t="shared" si="23"/>
        <v>0</v>
      </c>
      <c r="AI12" s="1509">
        <f t="shared" si="24"/>
        <v>0</v>
      </c>
      <c r="AJ12" s="1530">
        <f t="shared" si="25"/>
        <v>0</v>
      </c>
      <c r="AK12" s="1534">
        <f t="shared" si="26"/>
        <v>0</v>
      </c>
    </row>
    <row r="13" spans="1:37" ht="16.2" customHeight="1">
      <c r="A13" s="1176">
        <v>7</v>
      </c>
      <c r="B13" s="1177" t="s">
        <v>87</v>
      </c>
      <c r="C13" s="1178">
        <v>0</v>
      </c>
      <c r="D13" s="1179">
        <f>+'Table 5C1A-Madison Prep'!D13</f>
        <v>2243.0031963470319</v>
      </c>
      <c r="E13" s="1180">
        <f t="shared" si="5"/>
        <v>0</v>
      </c>
      <c r="F13" s="1180">
        <f>+'Table 5C1A-Madison Prep'!F13</f>
        <v>756.91999999999985</v>
      </c>
      <c r="G13" s="1180">
        <f t="shared" si="6"/>
        <v>0</v>
      </c>
      <c r="H13" s="1539">
        <f t="shared" si="7"/>
        <v>0</v>
      </c>
      <c r="I13" s="1181"/>
      <c r="J13" s="1181"/>
      <c r="K13" s="1182">
        <f t="shared" si="8"/>
        <v>0</v>
      </c>
      <c r="L13" s="1539">
        <f t="shared" si="9"/>
        <v>0</v>
      </c>
      <c r="M13" s="1388">
        <f t="shared" si="4"/>
        <v>0</v>
      </c>
      <c r="N13" s="1539">
        <f t="shared" si="10"/>
        <v>0</v>
      </c>
      <c r="O13" s="1179">
        <v>0</v>
      </c>
      <c r="P13" s="1545">
        <f t="shared" si="11"/>
        <v>0</v>
      </c>
      <c r="Q13" s="1181"/>
      <c r="R13" s="1181">
        <f t="shared" si="12"/>
        <v>0</v>
      </c>
      <c r="S13" s="1545">
        <f t="shared" si="13"/>
        <v>0</v>
      </c>
      <c r="T13" s="1545">
        <f t="shared" si="14"/>
        <v>0</v>
      </c>
      <c r="U13" s="1389">
        <f>'Table 5C1A-Madison Prep'!U13</f>
        <v>11888</v>
      </c>
      <c r="V13" s="1515">
        <f t="shared" si="15"/>
        <v>0</v>
      </c>
      <c r="W13" s="1391"/>
      <c r="X13" s="1392">
        <f t="shared" si="16"/>
        <v>0</v>
      </c>
      <c r="Y13" s="1391"/>
      <c r="Z13" s="1392">
        <f t="shared" si="17"/>
        <v>0</v>
      </c>
      <c r="AA13" s="1390">
        <f t="shared" si="18"/>
        <v>0</v>
      </c>
      <c r="AB13" s="1510">
        <f t="shared" si="19"/>
        <v>0</v>
      </c>
      <c r="AC13" s="1394">
        <f t="shared" si="20"/>
        <v>0</v>
      </c>
      <c r="AD13" s="1510">
        <f t="shared" si="21"/>
        <v>0</v>
      </c>
      <c r="AE13" s="1395">
        <v>0</v>
      </c>
      <c r="AF13" s="1510">
        <f t="shared" si="22"/>
        <v>0</v>
      </c>
      <c r="AG13" s="1395"/>
      <c r="AH13" s="1395">
        <f t="shared" si="23"/>
        <v>0</v>
      </c>
      <c r="AI13" s="1510">
        <f t="shared" si="24"/>
        <v>0</v>
      </c>
      <c r="AJ13" s="1505">
        <f t="shared" si="25"/>
        <v>0</v>
      </c>
      <c r="AK13" s="1535">
        <f t="shared" si="26"/>
        <v>0</v>
      </c>
    </row>
    <row r="14" spans="1:37" ht="16.2" customHeight="1">
      <c r="A14" s="1176">
        <v>8</v>
      </c>
      <c r="B14" s="1177" t="s">
        <v>88</v>
      </c>
      <c r="C14" s="1178">
        <v>0</v>
      </c>
      <c r="D14" s="1179">
        <f>+'Table 5C1A-Madison Prep'!D14</f>
        <v>4669.802459558854</v>
      </c>
      <c r="E14" s="1180">
        <f t="shared" si="5"/>
        <v>0</v>
      </c>
      <c r="F14" s="1180">
        <f>+'Table 5C1A-Madison Prep'!F14</f>
        <v>725.76</v>
      </c>
      <c r="G14" s="1180">
        <f t="shared" si="6"/>
        <v>0</v>
      </c>
      <c r="H14" s="1539">
        <f t="shared" si="7"/>
        <v>0</v>
      </c>
      <c r="I14" s="1181"/>
      <c r="J14" s="1181"/>
      <c r="K14" s="1182">
        <f t="shared" si="8"/>
        <v>0</v>
      </c>
      <c r="L14" s="1539">
        <f t="shared" si="9"/>
        <v>0</v>
      </c>
      <c r="M14" s="1388">
        <f t="shared" si="4"/>
        <v>0</v>
      </c>
      <c r="N14" s="1539">
        <f t="shared" si="10"/>
        <v>0</v>
      </c>
      <c r="O14" s="1179">
        <v>0</v>
      </c>
      <c r="P14" s="1545">
        <f t="shared" si="11"/>
        <v>0</v>
      </c>
      <c r="Q14" s="1181"/>
      <c r="R14" s="1181">
        <f t="shared" si="12"/>
        <v>0</v>
      </c>
      <c r="S14" s="1545">
        <f t="shared" si="13"/>
        <v>0</v>
      </c>
      <c r="T14" s="1545">
        <f t="shared" si="14"/>
        <v>0</v>
      </c>
      <c r="U14" s="1389">
        <f>'Table 5C1A-Madison Prep'!U14</f>
        <v>4024</v>
      </c>
      <c r="V14" s="1515">
        <f t="shared" si="15"/>
        <v>0</v>
      </c>
      <c r="W14" s="1391"/>
      <c r="X14" s="1392">
        <f t="shared" si="16"/>
        <v>0</v>
      </c>
      <c r="Y14" s="1391"/>
      <c r="Z14" s="1392">
        <f t="shared" si="17"/>
        <v>0</v>
      </c>
      <c r="AA14" s="1390">
        <f t="shared" si="18"/>
        <v>0</v>
      </c>
      <c r="AB14" s="1510">
        <f t="shared" si="19"/>
        <v>0</v>
      </c>
      <c r="AC14" s="1394">
        <f t="shared" si="20"/>
        <v>0</v>
      </c>
      <c r="AD14" s="1510">
        <f t="shared" si="21"/>
        <v>0</v>
      </c>
      <c r="AE14" s="1395">
        <v>0</v>
      </c>
      <c r="AF14" s="1510">
        <f t="shared" si="22"/>
        <v>0</v>
      </c>
      <c r="AG14" s="1395"/>
      <c r="AH14" s="1395">
        <f t="shared" si="23"/>
        <v>0</v>
      </c>
      <c r="AI14" s="1510">
        <f t="shared" si="24"/>
        <v>0</v>
      </c>
      <c r="AJ14" s="1505">
        <f t="shared" si="25"/>
        <v>0</v>
      </c>
      <c r="AK14" s="1535">
        <f t="shared" si="26"/>
        <v>0</v>
      </c>
    </row>
    <row r="15" spans="1:37" ht="16.2" customHeight="1">
      <c r="A15" s="1176">
        <v>9</v>
      </c>
      <c r="B15" s="1177" t="s">
        <v>89</v>
      </c>
      <c r="C15" s="1178">
        <v>0</v>
      </c>
      <c r="D15" s="1179">
        <f>+'Table 5C1A-Madison Prep'!D15</f>
        <v>4632.4615072045008</v>
      </c>
      <c r="E15" s="1180">
        <f t="shared" si="5"/>
        <v>0</v>
      </c>
      <c r="F15" s="1180">
        <f>+'Table 5C1A-Madison Prep'!F15</f>
        <v>744.76</v>
      </c>
      <c r="G15" s="1180">
        <f t="shared" si="6"/>
        <v>0</v>
      </c>
      <c r="H15" s="1539">
        <f t="shared" si="7"/>
        <v>0</v>
      </c>
      <c r="I15" s="1181"/>
      <c r="J15" s="1181"/>
      <c r="K15" s="1182">
        <f t="shared" si="8"/>
        <v>0</v>
      </c>
      <c r="L15" s="1539">
        <f t="shared" si="9"/>
        <v>0</v>
      </c>
      <c r="M15" s="1388">
        <f t="shared" si="4"/>
        <v>0</v>
      </c>
      <c r="N15" s="1539">
        <f t="shared" si="10"/>
        <v>0</v>
      </c>
      <c r="O15" s="1179">
        <v>0</v>
      </c>
      <c r="P15" s="1545">
        <f t="shared" si="11"/>
        <v>0</v>
      </c>
      <c r="Q15" s="1181"/>
      <c r="R15" s="1181">
        <f t="shared" si="12"/>
        <v>0</v>
      </c>
      <c r="S15" s="1545">
        <f t="shared" si="13"/>
        <v>0</v>
      </c>
      <c r="T15" s="1545">
        <f t="shared" si="14"/>
        <v>0</v>
      </c>
      <c r="U15" s="1389">
        <f>'Table 5C1A-Madison Prep'!U15</f>
        <v>4828</v>
      </c>
      <c r="V15" s="1515">
        <f t="shared" si="15"/>
        <v>0</v>
      </c>
      <c r="W15" s="1391"/>
      <c r="X15" s="1392">
        <f t="shared" si="16"/>
        <v>0</v>
      </c>
      <c r="Y15" s="1391"/>
      <c r="Z15" s="1392">
        <f t="shared" si="17"/>
        <v>0</v>
      </c>
      <c r="AA15" s="1390">
        <f t="shared" si="18"/>
        <v>0</v>
      </c>
      <c r="AB15" s="1510">
        <f t="shared" si="19"/>
        <v>0</v>
      </c>
      <c r="AC15" s="1394">
        <f t="shared" si="20"/>
        <v>0</v>
      </c>
      <c r="AD15" s="1510">
        <f t="shared" si="21"/>
        <v>0</v>
      </c>
      <c r="AE15" s="1395">
        <v>0</v>
      </c>
      <c r="AF15" s="1510">
        <f t="shared" si="22"/>
        <v>0</v>
      </c>
      <c r="AG15" s="1395"/>
      <c r="AH15" s="1395">
        <f t="shared" si="23"/>
        <v>0</v>
      </c>
      <c r="AI15" s="1510">
        <f t="shared" si="24"/>
        <v>0</v>
      </c>
      <c r="AJ15" s="1505">
        <f t="shared" si="25"/>
        <v>0</v>
      </c>
      <c r="AK15" s="1535">
        <f t="shared" si="26"/>
        <v>0</v>
      </c>
    </row>
    <row r="16" spans="1:37" ht="16.2" customHeight="1">
      <c r="A16" s="1168">
        <v>10</v>
      </c>
      <c r="B16" s="1169" t="s">
        <v>90</v>
      </c>
      <c r="C16" s="1170">
        <v>0</v>
      </c>
      <c r="D16" s="1171">
        <f>+'Table 5C1A-Madison Prep'!D16</f>
        <v>4384.374733918472</v>
      </c>
      <c r="E16" s="1172">
        <f t="shared" si="5"/>
        <v>0</v>
      </c>
      <c r="F16" s="1172">
        <f>+'Table 5C1A-Madison Prep'!F16</f>
        <v>608.04000000000008</v>
      </c>
      <c r="G16" s="1172">
        <f t="shared" si="6"/>
        <v>0</v>
      </c>
      <c r="H16" s="1540">
        <f t="shared" si="7"/>
        <v>0</v>
      </c>
      <c r="I16" s="1173"/>
      <c r="J16" s="1173"/>
      <c r="K16" s="1174">
        <f t="shared" si="8"/>
        <v>0</v>
      </c>
      <c r="L16" s="1540">
        <f t="shared" si="9"/>
        <v>0</v>
      </c>
      <c r="M16" s="1399">
        <f t="shared" si="4"/>
        <v>0</v>
      </c>
      <c r="N16" s="1540">
        <f t="shared" si="10"/>
        <v>0</v>
      </c>
      <c r="O16" s="1171">
        <v>0</v>
      </c>
      <c r="P16" s="1546">
        <f t="shared" si="11"/>
        <v>0</v>
      </c>
      <c r="Q16" s="1173"/>
      <c r="R16" s="1173">
        <f t="shared" si="12"/>
        <v>0</v>
      </c>
      <c r="S16" s="1546">
        <f t="shared" si="13"/>
        <v>0</v>
      </c>
      <c r="T16" s="1546">
        <f t="shared" si="14"/>
        <v>0</v>
      </c>
      <c r="U16" s="1382">
        <f>'Table 5C1A-Madison Prep'!U16</f>
        <v>4565</v>
      </c>
      <c r="V16" s="1516">
        <f t="shared" si="15"/>
        <v>0</v>
      </c>
      <c r="W16" s="1400"/>
      <c r="X16" s="1383">
        <f t="shared" si="16"/>
        <v>0</v>
      </c>
      <c r="Y16" s="1400"/>
      <c r="Z16" s="1383">
        <f t="shared" si="17"/>
        <v>0</v>
      </c>
      <c r="AA16" s="1384">
        <f t="shared" si="18"/>
        <v>0</v>
      </c>
      <c r="AB16" s="1511">
        <f t="shared" si="19"/>
        <v>0</v>
      </c>
      <c r="AC16" s="1402">
        <f t="shared" si="20"/>
        <v>0</v>
      </c>
      <c r="AD16" s="1511">
        <f t="shared" si="21"/>
        <v>0</v>
      </c>
      <c r="AE16" s="1385">
        <v>0</v>
      </c>
      <c r="AF16" s="1511">
        <f t="shared" si="22"/>
        <v>0</v>
      </c>
      <c r="AG16" s="1385"/>
      <c r="AH16" s="1385">
        <f t="shared" si="23"/>
        <v>0</v>
      </c>
      <c r="AI16" s="1511">
        <f t="shared" si="24"/>
        <v>0</v>
      </c>
      <c r="AJ16" s="1531">
        <f t="shared" si="25"/>
        <v>0</v>
      </c>
      <c r="AK16" s="1536">
        <f t="shared" si="26"/>
        <v>0</v>
      </c>
    </row>
    <row r="17" spans="1:37" ht="16.2" customHeight="1">
      <c r="A17" s="1183">
        <v>11</v>
      </c>
      <c r="B17" s="1184" t="s">
        <v>91</v>
      </c>
      <c r="C17" s="1185">
        <v>0</v>
      </c>
      <c r="D17" s="1186">
        <f>+'Table 5C1A-Madison Prep'!D17</f>
        <v>7098.5372236353351</v>
      </c>
      <c r="E17" s="1187">
        <f t="shared" si="5"/>
        <v>0</v>
      </c>
      <c r="F17" s="1187">
        <f>+'Table 5C1A-Madison Prep'!F17</f>
        <v>706.55</v>
      </c>
      <c r="G17" s="1187">
        <f t="shared" si="6"/>
        <v>0</v>
      </c>
      <c r="H17" s="1538">
        <f t="shared" si="7"/>
        <v>0</v>
      </c>
      <c r="I17" s="1188"/>
      <c r="J17" s="1188"/>
      <c r="K17" s="1189">
        <f t="shared" si="8"/>
        <v>0</v>
      </c>
      <c r="L17" s="1538">
        <f t="shared" si="9"/>
        <v>0</v>
      </c>
      <c r="M17" s="1372">
        <f t="shared" si="4"/>
        <v>0</v>
      </c>
      <c r="N17" s="1538">
        <f t="shared" si="10"/>
        <v>0</v>
      </c>
      <c r="O17" s="1186">
        <v>0</v>
      </c>
      <c r="P17" s="1544">
        <f t="shared" si="11"/>
        <v>0</v>
      </c>
      <c r="Q17" s="1188"/>
      <c r="R17" s="1188">
        <f t="shared" si="12"/>
        <v>0</v>
      </c>
      <c r="S17" s="1544">
        <f t="shared" si="13"/>
        <v>0</v>
      </c>
      <c r="T17" s="1544">
        <f t="shared" si="14"/>
        <v>0</v>
      </c>
      <c r="U17" s="1373">
        <f>'Table 5C1A-Madison Prep'!U17</f>
        <v>3587</v>
      </c>
      <c r="V17" s="1514">
        <f t="shared" si="15"/>
        <v>0</v>
      </c>
      <c r="W17" s="1375"/>
      <c r="X17" s="1376">
        <f t="shared" si="16"/>
        <v>0</v>
      </c>
      <c r="Y17" s="1375"/>
      <c r="Z17" s="1376">
        <f t="shared" si="17"/>
        <v>0</v>
      </c>
      <c r="AA17" s="1374">
        <f t="shared" si="18"/>
        <v>0</v>
      </c>
      <c r="AB17" s="1509">
        <f t="shared" si="19"/>
        <v>0</v>
      </c>
      <c r="AC17" s="1378">
        <f t="shared" si="20"/>
        <v>0</v>
      </c>
      <c r="AD17" s="1509">
        <f t="shared" si="21"/>
        <v>0</v>
      </c>
      <c r="AE17" s="1379">
        <v>0</v>
      </c>
      <c r="AF17" s="1509">
        <f t="shared" si="22"/>
        <v>0</v>
      </c>
      <c r="AG17" s="1379"/>
      <c r="AH17" s="1379">
        <f t="shared" si="23"/>
        <v>0</v>
      </c>
      <c r="AI17" s="1509">
        <f t="shared" si="24"/>
        <v>0</v>
      </c>
      <c r="AJ17" s="1530">
        <f t="shared" si="25"/>
        <v>0</v>
      </c>
      <c r="AK17" s="1534">
        <f t="shared" si="26"/>
        <v>0</v>
      </c>
    </row>
    <row r="18" spans="1:37" ht="16.2" customHeight="1">
      <c r="A18" s="1176">
        <v>12</v>
      </c>
      <c r="B18" s="1177" t="s">
        <v>92</v>
      </c>
      <c r="C18" s="1178">
        <v>0</v>
      </c>
      <c r="D18" s="1179">
        <f>+'Table 5C1A-Madison Prep'!D18</f>
        <v>1666.6040983606558</v>
      </c>
      <c r="E18" s="1180">
        <f t="shared" si="5"/>
        <v>0</v>
      </c>
      <c r="F18" s="1180">
        <f>+'Table 5C1A-Madison Prep'!F18</f>
        <v>1063.31</v>
      </c>
      <c r="G18" s="1180">
        <f t="shared" si="6"/>
        <v>0</v>
      </c>
      <c r="H18" s="1539">
        <f t="shared" si="7"/>
        <v>0</v>
      </c>
      <c r="I18" s="1181"/>
      <c r="J18" s="1181"/>
      <c r="K18" s="1182">
        <f t="shared" si="8"/>
        <v>0</v>
      </c>
      <c r="L18" s="1539">
        <f t="shared" si="9"/>
        <v>0</v>
      </c>
      <c r="M18" s="1388">
        <f t="shared" si="4"/>
        <v>0</v>
      </c>
      <c r="N18" s="1539">
        <f t="shared" si="10"/>
        <v>0</v>
      </c>
      <c r="O18" s="1179">
        <v>0</v>
      </c>
      <c r="P18" s="1545">
        <f t="shared" si="11"/>
        <v>0</v>
      </c>
      <c r="Q18" s="1181"/>
      <c r="R18" s="1181">
        <f t="shared" si="12"/>
        <v>0</v>
      </c>
      <c r="S18" s="1545">
        <f t="shared" si="13"/>
        <v>0</v>
      </c>
      <c r="T18" s="1545">
        <f t="shared" si="14"/>
        <v>0</v>
      </c>
      <c r="U18" s="1389">
        <f>'Table 5C1A-Madison Prep'!U18</f>
        <v>8094</v>
      </c>
      <c r="V18" s="1515">
        <f t="shared" si="15"/>
        <v>0</v>
      </c>
      <c r="W18" s="1391"/>
      <c r="X18" s="1392">
        <f t="shared" si="16"/>
        <v>0</v>
      </c>
      <c r="Y18" s="1391"/>
      <c r="Z18" s="1392">
        <f t="shared" si="17"/>
        <v>0</v>
      </c>
      <c r="AA18" s="1390">
        <f t="shared" si="18"/>
        <v>0</v>
      </c>
      <c r="AB18" s="1510">
        <f t="shared" si="19"/>
        <v>0</v>
      </c>
      <c r="AC18" s="1394">
        <f t="shared" si="20"/>
        <v>0</v>
      </c>
      <c r="AD18" s="1510">
        <f t="shared" si="21"/>
        <v>0</v>
      </c>
      <c r="AE18" s="1395">
        <v>0</v>
      </c>
      <c r="AF18" s="1510">
        <f t="shared" si="22"/>
        <v>0</v>
      </c>
      <c r="AG18" s="1395"/>
      <c r="AH18" s="1395">
        <f t="shared" si="23"/>
        <v>0</v>
      </c>
      <c r="AI18" s="1510">
        <f t="shared" si="24"/>
        <v>0</v>
      </c>
      <c r="AJ18" s="1505">
        <f t="shared" si="25"/>
        <v>0</v>
      </c>
      <c r="AK18" s="1535">
        <f t="shared" si="26"/>
        <v>0</v>
      </c>
    </row>
    <row r="19" spans="1:37" ht="16.2" customHeight="1">
      <c r="A19" s="1176">
        <v>13</v>
      </c>
      <c r="B19" s="1177" t="s">
        <v>93</v>
      </c>
      <c r="C19" s="1178">
        <v>0</v>
      </c>
      <c r="D19" s="1179">
        <f>+'Table 5C1A-Madison Prep'!D19</f>
        <v>6433.6297758332212</v>
      </c>
      <c r="E19" s="1180">
        <f t="shared" si="5"/>
        <v>0</v>
      </c>
      <c r="F19" s="1180">
        <f>+'Table 5C1A-Madison Prep'!F19</f>
        <v>749.43000000000006</v>
      </c>
      <c r="G19" s="1180">
        <f t="shared" si="6"/>
        <v>0</v>
      </c>
      <c r="H19" s="1539">
        <f t="shared" si="7"/>
        <v>0</v>
      </c>
      <c r="I19" s="1181"/>
      <c r="J19" s="1181"/>
      <c r="K19" s="1182">
        <f t="shared" si="8"/>
        <v>0</v>
      </c>
      <c r="L19" s="1539">
        <f t="shared" si="9"/>
        <v>0</v>
      </c>
      <c r="M19" s="1388">
        <f t="shared" si="4"/>
        <v>0</v>
      </c>
      <c r="N19" s="1539">
        <f t="shared" si="10"/>
        <v>0</v>
      </c>
      <c r="O19" s="1179">
        <v>0</v>
      </c>
      <c r="P19" s="1545">
        <f t="shared" si="11"/>
        <v>0</v>
      </c>
      <c r="Q19" s="1181"/>
      <c r="R19" s="1181">
        <f t="shared" si="12"/>
        <v>0</v>
      </c>
      <c r="S19" s="1545">
        <f t="shared" si="13"/>
        <v>0</v>
      </c>
      <c r="T19" s="1545">
        <f t="shared" si="14"/>
        <v>0</v>
      </c>
      <c r="U19" s="1389">
        <f>'Table 5C1A-Madison Prep'!U19</f>
        <v>2842</v>
      </c>
      <c r="V19" s="1515">
        <f t="shared" si="15"/>
        <v>0</v>
      </c>
      <c r="W19" s="1391"/>
      <c r="X19" s="1392">
        <f t="shared" si="16"/>
        <v>0</v>
      </c>
      <c r="Y19" s="1391"/>
      <c r="Z19" s="1392">
        <f t="shared" si="17"/>
        <v>0</v>
      </c>
      <c r="AA19" s="1390">
        <f t="shared" si="18"/>
        <v>0</v>
      </c>
      <c r="AB19" s="1510">
        <f t="shared" si="19"/>
        <v>0</v>
      </c>
      <c r="AC19" s="1394">
        <f t="shared" si="20"/>
        <v>0</v>
      </c>
      <c r="AD19" s="1510">
        <f t="shared" si="21"/>
        <v>0</v>
      </c>
      <c r="AE19" s="1395">
        <v>0</v>
      </c>
      <c r="AF19" s="1510">
        <f t="shared" si="22"/>
        <v>0</v>
      </c>
      <c r="AG19" s="1395"/>
      <c r="AH19" s="1395">
        <f t="shared" si="23"/>
        <v>0</v>
      </c>
      <c r="AI19" s="1510">
        <f t="shared" si="24"/>
        <v>0</v>
      </c>
      <c r="AJ19" s="1505">
        <f t="shared" si="25"/>
        <v>0</v>
      </c>
      <c r="AK19" s="1535">
        <f t="shared" si="26"/>
        <v>0</v>
      </c>
    </row>
    <row r="20" spans="1:37" ht="16.2" customHeight="1">
      <c r="A20" s="1176">
        <v>14</v>
      </c>
      <c r="B20" s="1177" t="s">
        <v>94</v>
      </c>
      <c r="C20" s="1178">
        <v>0</v>
      </c>
      <c r="D20" s="1179">
        <f>+'Table 5C1A-Madison Prep'!D20</f>
        <v>5334.9509412500001</v>
      </c>
      <c r="E20" s="1180">
        <f t="shared" si="5"/>
        <v>0</v>
      </c>
      <c r="F20" s="1180">
        <f>+'Table 5C1A-Madison Prep'!F20</f>
        <v>809.9799999999999</v>
      </c>
      <c r="G20" s="1180">
        <f t="shared" si="6"/>
        <v>0</v>
      </c>
      <c r="H20" s="1539">
        <f t="shared" si="7"/>
        <v>0</v>
      </c>
      <c r="I20" s="1181"/>
      <c r="J20" s="1181"/>
      <c r="K20" s="1182">
        <f t="shared" si="8"/>
        <v>0</v>
      </c>
      <c r="L20" s="1539">
        <f t="shared" si="9"/>
        <v>0</v>
      </c>
      <c r="M20" s="1388">
        <f t="shared" si="4"/>
        <v>0</v>
      </c>
      <c r="N20" s="1539">
        <f t="shared" si="10"/>
        <v>0</v>
      </c>
      <c r="O20" s="1179">
        <v>0</v>
      </c>
      <c r="P20" s="1545">
        <f t="shared" si="11"/>
        <v>0</v>
      </c>
      <c r="Q20" s="1181"/>
      <c r="R20" s="1181">
        <f t="shared" si="12"/>
        <v>0</v>
      </c>
      <c r="S20" s="1545">
        <f t="shared" si="13"/>
        <v>0</v>
      </c>
      <c r="T20" s="1545">
        <f t="shared" si="14"/>
        <v>0</v>
      </c>
      <c r="U20" s="1389">
        <f>'Table 5C1A-Madison Prep'!U20</f>
        <v>4205</v>
      </c>
      <c r="V20" s="1515">
        <f t="shared" si="15"/>
        <v>0</v>
      </c>
      <c r="W20" s="1391"/>
      <c r="X20" s="1392">
        <f t="shared" si="16"/>
        <v>0</v>
      </c>
      <c r="Y20" s="1391"/>
      <c r="Z20" s="1392">
        <f t="shared" si="17"/>
        <v>0</v>
      </c>
      <c r="AA20" s="1390">
        <f t="shared" si="18"/>
        <v>0</v>
      </c>
      <c r="AB20" s="1510">
        <f t="shared" si="19"/>
        <v>0</v>
      </c>
      <c r="AC20" s="1394">
        <f t="shared" si="20"/>
        <v>0</v>
      </c>
      <c r="AD20" s="1510">
        <f t="shared" si="21"/>
        <v>0</v>
      </c>
      <c r="AE20" s="1395">
        <v>0</v>
      </c>
      <c r="AF20" s="1510">
        <f t="shared" si="22"/>
        <v>0</v>
      </c>
      <c r="AG20" s="1395"/>
      <c r="AH20" s="1395">
        <f t="shared" si="23"/>
        <v>0</v>
      </c>
      <c r="AI20" s="1510">
        <f t="shared" si="24"/>
        <v>0</v>
      </c>
      <c r="AJ20" s="1505">
        <f t="shared" si="25"/>
        <v>0</v>
      </c>
      <c r="AK20" s="1535">
        <f t="shared" si="26"/>
        <v>0</v>
      </c>
    </row>
    <row r="21" spans="1:37" ht="16.2" customHeight="1">
      <c r="A21" s="1168">
        <v>15</v>
      </c>
      <c r="B21" s="1169" t="s">
        <v>95</v>
      </c>
      <c r="C21" s="1170">
        <v>0</v>
      </c>
      <c r="D21" s="1171">
        <f>+'Table 5C1A-Madison Prep'!D21</f>
        <v>5749.8285214059952</v>
      </c>
      <c r="E21" s="1172">
        <f t="shared" si="5"/>
        <v>0</v>
      </c>
      <c r="F21" s="1172">
        <f>+'Table 5C1A-Madison Prep'!F21</f>
        <v>553.79999999999995</v>
      </c>
      <c r="G21" s="1172">
        <f t="shared" si="6"/>
        <v>0</v>
      </c>
      <c r="H21" s="1540">
        <f t="shared" si="7"/>
        <v>0</v>
      </c>
      <c r="I21" s="1173"/>
      <c r="J21" s="1173"/>
      <c r="K21" s="1174">
        <f t="shared" si="8"/>
        <v>0</v>
      </c>
      <c r="L21" s="1540">
        <f t="shared" si="9"/>
        <v>0</v>
      </c>
      <c r="M21" s="1399">
        <f t="shared" si="4"/>
        <v>0</v>
      </c>
      <c r="N21" s="1540">
        <f t="shared" si="10"/>
        <v>0</v>
      </c>
      <c r="O21" s="1171">
        <v>0</v>
      </c>
      <c r="P21" s="1546">
        <f t="shared" si="11"/>
        <v>0</v>
      </c>
      <c r="Q21" s="1173"/>
      <c r="R21" s="1173">
        <f t="shared" si="12"/>
        <v>0</v>
      </c>
      <c r="S21" s="1546">
        <f t="shared" si="13"/>
        <v>0</v>
      </c>
      <c r="T21" s="1546">
        <f t="shared" si="14"/>
        <v>0</v>
      </c>
      <c r="U21" s="1382">
        <f>'Table 5C1A-Madison Prep'!U21</f>
        <v>2535</v>
      </c>
      <c r="V21" s="1516">
        <f t="shared" si="15"/>
        <v>0</v>
      </c>
      <c r="W21" s="1400"/>
      <c r="X21" s="1383">
        <f t="shared" si="16"/>
        <v>0</v>
      </c>
      <c r="Y21" s="1400"/>
      <c r="Z21" s="1383">
        <f t="shared" si="17"/>
        <v>0</v>
      </c>
      <c r="AA21" s="1384">
        <f t="shared" si="18"/>
        <v>0</v>
      </c>
      <c r="AB21" s="1511">
        <f t="shared" si="19"/>
        <v>0</v>
      </c>
      <c r="AC21" s="1402">
        <f t="shared" si="20"/>
        <v>0</v>
      </c>
      <c r="AD21" s="1511">
        <f t="shared" si="21"/>
        <v>0</v>
      </c>
      <c r="AE21" s="1385">
        <v>0</v>
      </c>
      <c r="AF21" s="1511">
        <f t="shared" si="22"/>
        <v>0</v>
      </c>
      <c r="AG21" s="1385"/>
      <c r="AH21" s="1385">
        <f t="shared" si="23"/>
        <v>0</v>
      </c>
      <c r="AI21" s="1511">
        <f t="shared" si="24"/>
        <v>0</v>
      </c>
      <c r="AJ21" s="1531">
        <f t="shared" si="25"/>
        <v>0</v>
      </c>
      <c r="AK21" s="1536">
        <f t="shared" si="26"/>
        <v>0</v>
      </c>
    </row>
    <row r="22" spans="1:37" ht="16.2" customHeight="1">
      <c r="A22" s="1183">
        <v>16</v>
      </c>
      <c r="B22" s="1184" t="s">
        <v>96</v>
      </c>
      <c r="C22" s="1185">
        <v>0</v>
      </c>
      <c r="D22" s="1186">
        <f>+'Table 5C1A-Madison Prep'!D22</f>
        <v>1980.2494354342025</v>
      </c>
      <c r="E22" s="1187">
        <f t="shared" si="5"/>
        <v>0</v>
      </c>
      <c r="F22" s="1187">
        <f>+'Table 5C1A-Madison Prep'!F22</f>
        <v>686.73</v>
      </c>
      <c r="G22" s="1187">
        <f t="shared" si="6"/>
        <v>0</v>
      </c>
      <c r="H22" s="1538">
        <f t="shared" si="7"/>
        <v>0</v>
      </c>
      <c r="I22" s="1188"/>
      <c r="J22" s="1188"/>
      <c r="K22" s="1189">
        <f t="shared" si="8"/>
        <v>0</v>
      </c>
      <c r="L22" s="1538">
        <f t="shared" si="9"/>
        <v>0</v>
      </c>
      <c r="M22" s="1372">
        <f t="shared" si="4"/>
        <v>0</v>
      </c>
      <c r="N22" s="1538">
        <f t="shared" si="10"/>
        <v>0</v>
      </c>
      <c r="O22" s="1186">
        <v>0</v>
      </c>
      <c r="P22" s="1544">
        <f t="shared" si="11"/>
        <v>0</v>
      </c>
      <c r="Q22" s="1188"/>
      <c r="R22" s="1188">
        <f t="shared" si="12"/>
        <v>0</v>
      </c>
      <c r="S22" s="1544">
        <f t="shared" si="13"/>
        <v>0</v>
      </c>
      <c r="T22" s="1544">
        <f t="shared" si="14"/>
        <v>0</v>
      </c>
      <c r="U22" s="1373">
        <f>'Table 5C1A-Madison Prep'!U22</f>
        <v>12768</v>
      </c>
      <c r="V22" s="1514">
        <f t="shared" si="15"/>
        <v>0</v>
      </c>
      <c r="W22" s="1375"/>
      <c r="X22" s="1376">
        <f t="shared" si="16"/>
        <v>0</v>
      </c>
      <c r="Y22" s="1375"/>
      <c r="Z22" s="1376">
        <f t="shared" si="17"/>
        <v>0</v>
      </c>
      <c r="AA22" s="1374">
        <f t="shared" si="18"/>
        <v>0</v>
      </c>
      <c r="AB22" s="1509">
        <f t="shared" si="19"/>
        <v>0</v>
      </c>
      <c r="AC22" s="1378">
        <f t="shared" si="20"/>
        <v>0</v>
      </c>
      <c r="AD22" s="1509">
        <f t="shared" si="21"/>
        <v>0</v>
      </c>
      <c r="AE22" s="1379">
        <v>0</v>
      </c>
      <c r="AF22" s="1509">
        <f t="shared" si="22"/>
        <v>0</v>
      </c>
      <c r="AG22" s="1379"/>
      <c r="AH22" s="1379">
        <f t="shared" si="23"/>
        <v>0</v>
      </c>
      <c r="AI22" s="1509">
        <f t="shared" si="24"/>
        <v>0</v>
      </c>
      <c r="AJ22" s="1530">
        <f t="shared" si="25"/>
        <v>0</v>
      </c>
      <c r="AK22" s="1534">
        <f t="shared" si="26"/>
        <v>0</v>
      </c>
    </row>
    <row r="23" spans="1:37" ht="16.2" customHeight="1">
      <c r="A23" s="1176">
        <v>17</v>
      </c>
      <c r="B23" s="1177" t="s">
        <v>97</v>
      </c>
      <c r="C23" s="1178">
        <v>0</v>
      </c>
      <c r="D23" s="1179">
        <f>+'Table 5C1A-Madison Prep'!D23</f>
        <v>3363.5980368254495</v>
      </c>
      <c r="E23" s="1180">
        <f t="shared" si="5"/>
        <v>0</v>
      </c>
      <c r="F23" s="1180">
        <f>+'Table 5C1A-Madison Prep'!F23</f>
        <v>801.47762416806802</v>
      </c>
      <c r="G23" s="1180">
        <f t="shared" si="6"/>
        <v>0</v>
      </c>
      <c r="H23" s="1539">
        <f t="shared" si="7"/>
        <v>0</v>
      </c>
      <c r="I23" s="1181"/>
      <c r="J23" s="1181"/>
      <c r="K23" s="1182">
        <f t="shared" si="8"/>
        <v>0</v>
      </c>
      <c r="L23" s="1539">
        <f t="shared" si="9"/>
        <v>0</v>
      </c>
      <c r="M23" s="1388">
        <f t="shared" si="4"/>
        <v>0</v>
      </c>
      <c r="N23" s="1539">
        <f t="shared" si="10"/>
        <v>0</v>
      </c>
      <c r="O23" s="1179">
        <v>0</v>
      </c>
      <c r="P23" s="1545">
        <f t="shared" si="11"/>
        <v>0</v>
      </c>
      <c r="Q23" s="1181"/>
      <c r="R23" s="1181">
        <f t="shared" si="12"/>
        <v>0</v>
      </c>
      <c r="S23" s="1545">
        <f t="shared" si="13"/>
        <v>0</v>
      </c>
      <c r="T23" s="1545">
        <f t="shared" si="14"/>
        <v>0</v>
      </c>
      <c r="U23" s="1389">
        <f>'Table 5C1A-Madison Prep'!U23</f>
        <v>7050</v>
      </c>
      <c r="V23" s="1515">
        <f t="shared" si="15"/>
        <v>0</v>
      </c>
      <c r="W23" s="1391"/>
      <c r="X23" s="1392">
        <f t="shared" si="16"/>
        <v>0</v>
      </c>
      <c r="Y23" s="1391"/>
      <c r="Z23" s="1392">
        <f t="shared" si="17"/>
        <v>0</v>
      </c>
      <c r="AA23" s="1390">
        <f t="shared" si="18"/>
        <v>0</v>
      </c>
      <c r="AB23" s="1510">
        <f t="shared" si="19"/>
        <v>0</v>
      </c>
      <c r="AC23" s="1394">
        <f t="shared" si="20"/>
        <v>0</v>
      </c>
      <c r="AD23" s="1510">
        <f t="shared" si="21"/>
        <v>0</v>
      </c>
      <c r="AE23" s="1395">
        <v>0</v>
      </c>
      <c r="AF23" s="1510">
        <f t="shared" si="22"/>
        <v>0</v>
      </c>
      <c r="AG23" s="1395"/>
      <c r="AH23" s="1395">
        <f t="shared" si="23"/>
        <v>0</v>
      </c>
      <c r="AI23" s="1510">
        <f t="shared" si="24"/>
        <v>0</v>
      </c>
      <c r="AJ23" s="1505">
        <f t="shared" si="25"/>
        <v>0</v>
      </c>
      <c r="AK23" s="1535">
        <f t="shared" si="26"/>
        <v>0</v>
      </c>
    </row>
    <row r="24" spans="1:37" ht="16.2" customHeight="1">
      <c r="A24" s="1176">
        <v>18</v>
      </c>
      <c r="B24" s="1177" t="s">
        <v>98</v>
      </c>
      <c r="C24" s="1178">
        <v>0</v>
      </c>
      <c r="D24" s="1179">
        <f>+'Table 5C1A-Madison Prep'!D24</f>
        <v>6354.5533500475731</v>
      </c>
      <c r="E24" s="1180">
        <f t="shared" si="5"/>
        <v>0</v>
      </c>
      <c r="F24" s="1180">
        <f>+'Table 5C1A-Madison Prep'!F24</f>
        <v>845.94999999999993</v>
      </c>
      <c r="G24" s="1180">
        <f t="shared" si="6"/>
        <v>0</v>
      </c>
      <c r="H24" s="1539">
        <f t="shared" si="7"/>
        <v>0</v>
      </c>
      <c r="I24" s="1181"/>
      <c r="J24" s="1181"/>
      <c r="K24" s="1182">
        <f t="shared" si="8"/>
        <v>0</v>
      </c>
      <c r="L24" s="1539">
        <f t="shared" si="9"/>
        <v>0</v>
      </c>
      <c r="M24" s="1388">
        <f t="shared" si="4"/>
        <v>0</v>
      </c>
      <c r="N24" s="1539">
        <f t="shared" si="10"/>
        <v>0</v>
      </c>
      <c r="O24" s="1179">
        <v>0</v>
      </c>
      <c r="P24" s="1545">
        <f t="shared" si="11"/>
        <v>0</v>
      </c>
      <c r="Q24" s="1181"/>
      <c r="R24" s="1181">
        <f t="shared" si="12"/>
        <v>0</v>
      </c>
      <c r="S24" s="1545">
        <f t="shared" si="13"/>
        <v>0</v>
      </c>
      <c r="T24" s="1545">
        <f t="shared" si="14"/>
        <v>0</v>
      </c>
      <c r="U24" s="1389">
        <f>'Table 5C1A-Madison Prep'!U24</f>
        <v>2526</v>
      </c>
      <c r="V24" s="1515">
        <f t="shared" si="15"/>
        <v>0</v>
      </c>
      <c r="W24" s="1391"/>
      <c r="X24" s="1392">
        <f t="shared" si="16"/>
        <v>0</v>
      </c>
      <c r="Y24" s="1391"/>
      <c r="Z24" s="1392">
        <f t="shared" si="17"/>
        <v>0</v>
      </c>
      <c r="AA24" s="1390">
        <f t="shared" si="18"/>
        <v>0</v>
      </c>
      <c r="AB24" s="1510">
        <f t="shared" si="19"/>
        <v>0</v>
      </c>
      <c r="AC24" s="1394">
        <f t="shared" si="20"/>
        <v>0</v>
      </c>
      <c r="AD24" s="1510">
        <f t="shared" si="21"/>
        <v>0</v>
      </c>
      <c r="AE24" s="1395">
        <v>0</v>
      </c>
      <c r="AF24" s="1510">
        <f t="shared" si="22"/>
        <v>0</v>
      </c>
      <c r="AG24" s="1395"/>
      <c r="AH24" s="1395">
        <f t="shared" si="23"/>
        <v>0</v>
      </c>
      <c r="AI24" s="1510">
        <f t="shared" si="24"/>
        <v>0</v>
      </c>
      <c r="AJ24" s="1505">
        <f t="shared" si="25"/>
        <v>0</v>
      </c>
      <c r="AK24" s="1535">
        <f t="shared" si="26"/>
        <v>0</v>
      </c>
    </row>
    <row r="25" spans="1:37" ht="16.2" customHeight="1">
      <c r="A25" s="1176">
        <v>19</v>
      </c>
      <c r="B25" s="1177" t="s">
        <v>99</v>
      </c>
      <c r="C25" s="1178">
        <v>0</v>
      </c>
      <c r="D25" s="1179">
        <f>+'Table 5C1A-Madison Prep'!D25</f>
        <v>5314.3921869460446</v>
      </c>
      <c r="E25" s="1180">
        <f t="shared" si="5"/>
        <v>0</v>
      </c>
      <c r="F25" s="1180">
        <f>+'Table 5C1A-Madison Prep'!F25</f>
        <v>905.43</v>
      </c>
      <c r="G25" s="1180">
        <f t="shared" si="6"/>
        <v>0</v>
      </c>
      <c r="H25" s="1539">
        <f t="shared" si="7"/>
        <v>0</v>
      </c>
      <c r="I25" s="1181"/>
      <c r="J25" s="1181"/>
      <c r="K25" s="1182">
        <f t="shared" si="8"/>
        <v>0</v>
      </c>
      <c r="L25" s="1539">
        <f t="shared" si="9"/>
        <v>0</v>
      </c>
      <c r="M25" s="1388">
        <f t="shared" si="4"/>
        <v>0</v>
      </c>
      <c r="N25" s="1539">
        <f t="shared" si="10"/>
        <v>0</v>
      </c>
      <c r="O25" s="1179">
        <v>0</v>
      </c>
      <c r="P25" s="1545">
        <f t="shared" si="11"/>
        <v>0</v>
      </c>
      <c r="Q25" s="1181"/>
      <c r="R25" s="1181">
        <f t="shared" si="12"/>
        <v>0</v>
      </c>
      <c r="S25" s="1545">
        <f t="shared" si="13"/>
        <v>0</v>
      </c>
      <c r="T25" s="1545">
        <f t="shared" si="14"/>
        <v>0</v>
      </c>
      <c r="U25" s="1389">
        <f>'Table 5C1A-Madison Prep'!U25</f>
        <v>2908</v>
      </c>
      <c r="V25" s="1515">
        <f t="shared" si="15"/>
        <v>0</v>
      </c>
      <c r="W25" s="1391"/>
      <c r="X25" s="1392">
        <f t="shared" si="16"/>
        <v>0</v>
      </c>
      <c r="Y25" s="1391"/>
      <c r="Z25" s="1392">
        <f t="shared" si="17"/>
        <v>0</v>
      </c>
      <c r="AA25" s="1390">
        <f t="shared" si="18"/>
        <v>0</v>
      </c>
      <c r="AB25" s="1510">
        <f t="shared" si="19"/>
        <v>0</v>
      </c>
      <c r="AC25" s="1394">
        <f t="shared" si="20"/>
        <v>0</v>
      </c>
      <c r="AD25" s="1510">
        <f t="shared" si="21"/>
        <v>0</v>
      </c>
      <c r="AE25" s="1395">
        <v>0</v>
      </c>
      <c r="AF25" s="1510">
        <f t="shared" si="22"/>
        <v>0</v>
      </c>
      <c r="AG25" s="1395"/>
      <c r="AH25" s="1395">
        <f t="shared" si="23"/>
        <v>0</v>
      </c>
      <c r="AI25" s="1510">
        <f t="shared" si="24"/>
        <v>0</v>
      </c>
      <c r="AJ25" s="1505">
        <f t="shared" si="25"/>
        <v>0</v>
      </c>
      <c r="AK25" s="1535">
        <f t="shared" si="26"/>
        <v>0</v>
      </c>
    </row>
    <row r="26" spans="1:37" ht="16.2" customHeight="1">
      <c r="A26" s="1168">
        <v>20</v>
      </c>
      <c r="B26" s="1169" t="s">
        <v>100</v>
      </c>
      <c r="C26" s="1170">
        <v>0</v>
      </c>
      <c r="D26" s="1171">
        <f>+'Table 5C1A-Madison Prep'!D26</f>
        <v>5278.5201565562011</v>
      </c>
      <c r="E26" s="1172">
        <f t="shared" si="5"/>
        <v>0</v>
      </c>
      <c r="F26" s="1172">
        <f>+'Table 5C1A-Madison Prep'!F26</f>
        <v>586.16999999999996</v>
      </c>
      <c r="G26" s="1172">
        <f t="shared" si="6"/>
        <v>0</v>
      </c>
      <c r="H26" s="1540">
        <f t="shared" si="7"/>
        <v>0</v>
      </c>
      <c r="I26" s="1173"/>
      <c r="J26" s="1173"/>
      <c r="K26" s="1174">
        <f t="shared" si="8"/>
        <v>0</v>
      </c>
      <c r="L26" s="1540">
        <f t="shared" si="9"/>
        <v>0</v>
      </c>
      <c r="M26" s="1399">
        <f t="shared" si="4"/>
        <v>0</v>
      </c>
      <c r="N26" s="1540">
        <f t="shared" si="10"/>
        <v>0</v>
      </c>
      <c r="O26" s="1171">
        <v>0</v>
      </c>
      <c r="P26" s="1546">
        <f t="shared" si="11"/>
        <v>0</v>
      </c>
      <c r="Q26" s="1173"/>
      <c r="R26" s="1173">
        <f t="shared" si="12"/>
        <v>0</v>
      </c>
      <c r="S26" s="1546">
        <f t="shared" si="13"/>
        <v>0</v>
      </c>
      <c r="T26" s="1546">
        <f t="shared" si="14"/>
        <v>0</v>
      </c>
      <c r="U26" s="1382">
        <f>'Table 5C1A-Madison Prep'!U26</f>
        <v>2432</v>
      </c>
      <c r="V26" s="1516">
        <f t="shared" si="15"/>
        <v>0</v>
      </c>
      <c r="W26" s="1400"/>
      <c r="X26" s="1383">
        <f t="shared" si="16"/>
        <v>0</v>
      </c>
      <c r="Y26" s="1400"/>
      <c r="Z26" s="1383">
        <f t="shared" si="17"/>
        <v>0</v>
      </c>
      <c r="AA26" s="1384">
        <f t="shared" si="18"/>
        <v>0</v>
      </c>
      <c r="AB26" s="1511">
        <f t="shared" si="19"/>
        <v>0</v>
      </c>
      <c r="AC26" s="1402">
        <f t="shared" si="20"/>
        <v>0</v>
      </c>
      <c r="AD26" s="1511">
        <f t="shared" si="21"/>
        <v>0</v>
      </c>
      <c r="AE26" s="1385">
        <v>0</v>
      </c>
      <c r="AF26" s="1511">
        <f t="shared" si="22"/>
        <v>0</v>
      </c>
      <c r="AG26" s="1385"/>
      <c r="AH26" s="1385">
        <f t="shared" si="23"/>
        <v>0</v>
      </c>
      <c r="AI26" s="1511">
        <f t="shared" si="24"/>
        <v>0</v>
      </c>
      <c r="AJ26" s="1531">
        <f t="shared" si="25"/>
        <v>0</v>
      </c>
      <c r="AK26" s="1536">
        <f t="shared" si="26"/>
        <v>0</v>
      </c>
    </row>
    <row r="27" spans="1:37" ht="16.2" customHeight="1">
      <c r="A27" s="1183">
        <v>21</v>
      </c>
      <c r="B27" s="1184" t="s">
        <v>101</v>
      </c>
      <c r="C27" s="1185">
        <v>0</v>
      </c>
      <c r="D27" s="1186">
        <f>+'Table 5C1A-Madison Prep'!D27</f>
        <v>6082.3042295867763</v>
      </c>
      <c r="E27" s="1187">
        <f t="shared" si="5"/>
        <v>0</v>
      </c>
      <c r="F27" s="1187">
        <f>+'Table 5C1A-Madison Prep'!F27</f>
        <v>610.35</v>
      </c>
      <c r="G27" s="1187">
        <f t="shared" si="6"/>
        <v>0</v>
      </c>
      <c r="H27" s="1538">
        <f t="shared" si="7"/>
        <v>0</v>
      </c>
      <c r="I27" s="1188"/>
      <c r="J27" s="1188"/>
      <c r="K27" s="1189">
        <f t="shared" si="8"/>
        <v>0</v>
      </c>
      <c r="L27" s="1538">
        <f t="shared" si="9"/>
        <v>0</v>
      </c>
      <c r="M27" s="1372">
        <f t="shared" si="4"/>
        <v>0</v>
      </c>
      <c r="N27" s="1538">
        <f t="shared" si="10"/>
        <v>0</v>
      </c>
      <c r="O27" s="1186">
        <v>0</v>
      </c>
      <c r="P27" s="1544">
        <f t="shared" si="11"/>
        <v>0</v>
      </c>
      <c r="Q27" s="1188"/>
      <c r="R27" s="1188">
        <f t="shared" si="12"/>
        <v>0</v>
      </c>
      <c r="S27" s="1544">
        <f t="shared" si="13"/>
        <v>0</v>
      </c>
      <c r="T27" s="1544">
        <f t="shared" si="14"/>
        <v>0</v>
      </c>
      <c r="U27" s="1373">
        <f>'Table 5C1A-Madison Prep'!U27</f>
        <v>2460</v>
      </c>
      <c r="V27" s="1514">
        <f t="shared" si="15"/>
        <v>0</v>
      </c>
      <c r="W27" s="1375"/>
      <c r="X27" s="1376">
        <f t="shared" si="16"/>
        <v>0</v>
      </c>
      <c r="Y27" s="1375"/>
      <c r="Z27" s="1376">
        <f t="shared" si="17"/>
        <v>0</v>
      </c>
      <c r="AA27" s="1374">
        <f t="shared" si="18"/>
        <v>0</v>
      </c>
      <c r="AB27" s="1509">
        <f t="shared" si="19"/>
        <v>0</v>
      </c>
      <c r="AC27" s="1378">
        <f t="shared" si="20"/>
        <v>0</v>
      </c>
      <c r="AD27" s="1509">
        <f t="shared" si="21"/>
        <v>0</v>
      </c>
      <c r="AE27" s="1379">
        <v>0</v>
      </c>
      <c r="AF27" s="1509">
        <f t="shared" si="22"/>
        <v>0</v>
      </c>
      <c r="AG27" s="1379"/>
      <c r="AH27" s="1379">
        <f t="shared" si="23"/>
        <v>0</v>
      </c>
      <c r="AI27" s="1509">
        <f t="shared" si="24"/>
        <v>0</v>
      </c>
      <c r="AJ27" s="1530">
        <f t="shared" si="25"/>
        <v>0</v>
      </c>
      <c r="AK27" s="1534">
        <f t="shared" si="26"/>
        <v>0</v>
      </c>
    </row>
    <row r="28" spans="1:37" ht="16.2" customHeight="1">
      <c r="A28" s="1176">
        <v>22</v>
      </c>
      <c r="B28" s="1177" t="s">
        <v>102</v>
      </c>
      <c r="C28" s="1178">
        <v>0</v>
      </c>
      <c r="D28" s="1179">
        <f>+'Table 5C1A-Madison Prep'!D28</f>
        <v>6416.1099808195995</v>
      </c>
      <c r="E28" s="1180">
        <f t="shared" si="5"/>
        <v>0</v>
      </c>
      <c r="F28" s="1180">
        <f>+'Table 5C1A-Madison Prep'!F28</f>
        <v>496.36</v>
      </c>
      <c r="G28" s="1180">
        <f t="shared" si="6"/>
        <v>0</v>
      </c>
      <c r="H28" s="1539">
        <f t="shared" si="7"/>
        <v>0</v>
      </c>
      <c r="I28" s="1181"/>
      <c r="J28" s="1181"/>
      <c r="K28" s="1182">
        <f t="shared" si="8"/>
        <v>0</v>
      </c>
      <c r="L28" s="1539">
        <f t="shared" si="9"/>
        <v>0</v>
      </c>
      <c r="M28" s="1388">
        <f t="shared" si="4"/>
        <v>0</v>
      </c>
      <c r="N28" s="1539">
        <f t="shared" si="10"/>
        <v>0</v>
      </c>
      <c r="O28" s="1179">
        <v>0</v>
      </c>
      <c r="P28" s="1545">
        <f t="shared" si="11"/>
        <v>0</v>
      </c>
      <c r="Q28" s="1181"/>
      <c r="R28" s="1181">
        <f t="shared" si="12"/>
        <v>0</v>
      </c>
      <c r="S28" s="1545">
        <f t="shared" si="13"/>
        <v>0</v>
      </c>
      <c r="T28" s="1545">
        <f t="shared" si="14"/>
        <v>0</v>
      </c>
      <c r="U28" s="1389">
        <f>'Table 5C1A-Madison Prep'!U28</f>
        <v>1613</v>
      </c>
      <c r="V28" s="1515">
        <f t="shared" si="15"/>
        <v>0</v>
      </c>
      <c r="W28" s="1391"/>
      <c r="X28" s="1392">
        <f t="shared" si="16"/>
        <v>0</v>
      </c>
      <c r="Y28" s="1391"/>
      <c r="Z28" s="1392">
        <f t="shared" si="17"/>
        <v>0</v>
      </c>
      <c r="AA28" s="1390">
        <f t="shared" si="18"/>
        <v>0</v>
      </c>
      <c r="AB28" s="1510">
        <f t="shared" si="19"/>
        <v>0</v>
      </c>
      <c r="AC28" s="1394">
        <f t="shared" si="20"/>
        <v>0</v>
      </c>
      <c r="AD28" s="1510">
        <f t="shared" si="21"/>
        <v>0</v>
      </c>
      <c r="AE28" s="1395">
        <v>0</v>
      </c>
      <c r="AF28" s="1510">
        <f t="shared" si="22"/>
        <v>0</v>
      </c>
      <c r="AG28" s="1395"/>
      <c r="AH28" s="1395">
        <f t="shared" si="23"/>
        <v>0</v>
      </c>
      <c r="AI28" s="1510">
        <f t="shared" si="24"/>
        <v>0</v>
      </c>
      <c r="AJ28" s="1505">
        <f t="shared" si="25"/>
        <v>0</v>
      </c>
      <c r="AK28" s="1535">
        <f t="shared" si="26"/>
        <v>0</v>
      </c>
    </row>
    <row r="29" spans="1:37" ht="16.2" customHeight="1">
      <c r="A29" s="1176">
        <v>23</v>
      </c>
      <c r="B29" s="1177" t="s">
        <v>103</v>
      </c>
      <c r="C29" s="1178">
        <v>0</v>
      </c>
      <c r="D29" s="1179">
        <f>+'Table 5C1A-Madison Prep'!D29</f>
        <v>5011.0215265979159</v>
      </c>
      <c r="E29" s="1180">
        <f t="shared" si="5"/>
        <v>0</v>
      </c>
      <c r="F29" s="1180">
        <f>+'Table 5C1A-Madison Prep'!F29</f>
        <v>688.58</v>
      </c>
      <c r="G29" s="1180">
        <f t="shared" si="6"/>
        <v>0</v>
      </c>
      <c r="H29" s="1539">
        <f t="shared" si="7"/>
        <v>0</v>
      </c>
      <c r="I29" s="1181"/>
      <c r="J29" s="1181"/>
      <c r="K29" s="1182">
        <f t="shared" si="8"/>
        <v>0</v>
      </c>
      <c r="L29" s="1539">
        <f t="shared" si="9"/>
        <v>0</v>
      </c>
      <c r="M29" s="1388">
        <f t="shared" si="4"/>
        <v>0</v>
      </c>
      <c r="N29" s="1539">
        <f t="shared" si="10"/>
        <v>0</v>
      </c>
      <c r="O29" s="1179">
        <v>0</v>
      </c>
      <c r="P29" s="1545">
        <f t="shared" si="11"/>
        <v>0</v>
      </c>
      <c r="Q29" s="1181"/>
      <c r="R29" s="1181">
        <f t="shared" si="12"/>
        <v>0</v>
      </c>
      <c r="S29" s="1545">
        <f t="shared" si="13"/>
        <v>0</v>
      </c>
      <c r="T29" s="1545">
        <f t="shared" si="14"/>
        <v>0</v>
      </c>
      <c r="U29" s="1389">
        <f>'Table 5C1A-Madison Prep'!U29</f>
        <v>3473</v>
      </c>
      <c r="V29" s="1515">
        <f t="shared" si="15"/>
        <v>0</v>
      </c>
      <c r="W29" s="1391"/>
      <c r="X29" s="1392">
        <f t="shared" si="16"/>
        <v>0</v>
      </c>
      <c r="Y29" s="1391"/>
      <c r="Z29" s="1392">
        <f t="shared" si="17"/>
        <v>0</v>
      </c>
      <c r="AA29" s="1390">
        <f t="shared" si="18"/>
        <v>0</v>
      </c>
      <c r="AB29" s="1510">
        <f t="shared" si="19"/>
        <v>0</v>
      </c>
      <c r="AC29" s="1394">
        <f t="shared" si="20"/>
        <v>0</v>
      </c>
      <c r="AD29" s="1510">
        <f t="shared" si="21"/>
        <v>0</v>
      </c>
      <c r="AE29" s="1395">
        <v>0</v>
      </c>
      <c r="AF29" s="1510">
        <f t="shared" si="22"/>
        <v>0</v>
      </c>
      <c r="AG29" s="1395"/>
      <c r="AH29" s="1395">
        <f t="shared" si="23"/>
        <v>0</v>
      </c>
      <c r="AI29" s="1510">
        <f t="shared" si="24"/>
        <v>0</v>
      </c>
      <c r="AJ29" s="1505">
        <f t="shared" si="25"/>
        <v>0</v>
      </c>
      <c r="AK29" s="1535">
        <f t="shared" si="26"/>
        <v>0</v>
      </c>
    </row>
    <row r="30" spans="1:37" ht="16.2" customHeight="1">
      <c r="A30" s="1176">
        <v>24</v>
      </c>
      <c r="B30" s="1177" t="s">
        <v>104</v>
      </c>
      <c r="C30" s="1178">
        <v>0</v>
      </c>
      <c r="D30" s="1179">
        <f>+'Table 5C1A-Madison Prep'!D30</f>
        <v>2611.6740361576999</v>
      </c>
      <c r="E30" s="1180">
        <f t="shared" si="5"/>
        <v>0</v>
      </c>
      <c r="F30" s="1180">
        <f>+'Table 5C1A-Madison Prep'!F30</f>
        <v>854.24999999999989</v>
      </c>
      <c r="G30" s="1180">
        <f t="shared" si="6"/>
        <v>0</v>
      </c>
      <c r="H30" s="1539">
        <f t="shared" si="7"/>
        <v>0</v>
      </c>
      <c r="I30" s="1181"/>
      <c r="J30" s="1181"/>
      <c r="K30" s="1182">
        <f t="shared" si="8"/>
        <v>0</v>
      </c>
      <c r="L30" s="1539">
        <f t="shared" si="9"/>
        <v>0</v>
      </c>
      <c r="M30" s="1388">
        <f t="shared" si="4"/>
        <v>0</v>
      </c>
      <c r="N30" s="1539">
        <f t="shared" si="10"/>
        <v>0</v>
      </c>
      <c r="O30" s="1179">
        <v>0</v>
      </c>
      <c r="P30" s="1545">
        <f t="shared" si="11"/>
        <v>0</v>
      </c>
      <c r="Q30" s="1181"/>
      <c r="R30" s="1181">
        <f t="shared" si="12"/>
        <v>0</v>
      </c>
      <c r="S30" s="1545">
        <f t="shared" si="13"/>
        <v>0</v>
      </c>
      <c r="T30" s="1545">
        <f t="shared" si="14"/>
        <v>0</v>
      </c>
      <c r="U30" s="1389">
        <f>'Table 5C1A-Madison Prep'!U30</f>
        <v>10053</v>
      </c>
      <c r="V30" s="1515">
        <f t="shared" si="15"/>
        <v>0</v>
      </c>
      <c r="W30" s="1391"/>
      <c r="X30" s="1392">
        <f t="shared" si="16"/>
        <v>0</v>
      </c>
      <c r="Y30" s="1391"/>
      <c r="Z30" s="1392">
        <f t="shared" si="17"/>
        <v>0</v>
      </c>
      <c r="AA30" s="1390">
        <f t="shared" si="18"/>
        <v>0</v>
      </c>
      <c r="AB30" s="1510">
        <f t="shared" si="19"/>
        <v>0</v>
      </c>
      <c r="AC30" s="1394">
        <f t="shared" si="20"/>
        <v>0</v>
      </c>
      <c r="AD30" s="1510">
        <f t="shared" si="21"/>
        <v>0</v>
      </c>
      <c r="AE30" s="1395">
        <v>0</v>
      </c>
      <c r="AF30" s="1510">
        <f t="shared" si="22"/>
        <v>0</v>
      </c>
      <c r="AG30" s="1395"/>
      <c r="AH30" s="1395">
        <f t="shared" si="23"/>
        <v>0</v>
      </c>
      <c r="AI30" s="1510">
        <f t="shared" si="24"/>
        <v>0</v>
      </c>
      <c r="AJ30" s="1505">
        <f t="shared" si="25"/>
        <v>0</v>
      </c>
      <c r="AK30" s="1535">
        <f t="shared" si="26"/>
        <v>0</v>
      </c>
    </row>
    <row r="31" spans="1:37" ht="16.2" customHeight="1">
      <c r="A31" s="1168">
        <v>25</v>
      </c>
      <c r="B31" s="1169" t="s">
        <v>105</v>
      </c>
      <c r="C31" s="1170">
        <v>0</v>
      </c>
      <c r="D31" s="1171">
        <f>+'Table 5C1A-Madison Prep'!D31</f>
        <v>4173.0720274945697</v>
      </c>
      <c r="E31" s="1172">
        <f t="shared" si="5"/>
        <v>0</v>
      </c>
      <c r="F31" s="1172">
        <f>+'Table 5C1A-Madison Prep'!F31</f>
        <v>653.73</v>
      </c>
      <c r="G31" s="1172">
        <f t="shared" si="6"/>
        <v>0</v>
      </c>
      <c r="H31" s="1540">
        <f t="shared" si="7"/>
        <v>0</v>
      </c>
      <c r="I31" s="1173"/>
      <c r="J31" s="1173"/>
      <c r="K31" s="1174">
        <f t="shared" si="8"/>
        <v>0</v>
      </c>
      <c r="L31" s="1540">
        <f t="shared" si="9"/>
        <v>0</v>
      </c>
      <c r="M31" s="1399">
        <f t="shared" si="4"/>
        <v>0</v>
      </c>
      <c r="N31" s="1540">
        <f t="shared" si="10"/>
        <v>0</v>
      </c>
      <c r="O31" s="1171">
        <v>0</v>
      </c>
      <c r="P31" s="1546">
        <f t="shared" si="11"/>
        <v>0</v>
      </c>
      <c r="Q31" s="1173"/>
      <c r="R31" s="1173">
        <f t="shared" si="12"/>
        <v>0</v>
      </c>
      <c r="S31" s="1546">
        <f t="shared" si="13"/>
        <v>0</v>
      </c>
      <c r="T31" s="1546">
        <f t="shared" si="14"/>
        <v>0</v>
      </c>
      <c r="U31" s="1382">
        <f>'Table 5C1A-Madison Prep'!U31</f>
        <v>5073</v>
      </c>
      <c r="V31" s="1516">
        <f t="shared" si="15"/>
        <v>0</v>
      </c>
      <c r="W31" s="1400"/>
      <c r="X31" s="1383">
        <f t="shared" si="16"/>
        <v>0</v>
      </c>
      <c r="Y31" s="1400"/>
      <c r="Z31" s="1383">
        <f t="shared" si="17"/>
        <v>0</v>
      </c>
      <c r="AA31" s="1384">
        <f t="shared" si="18"/>
        <v>0</v>
      </c>
      <c r="AB31" s="1511">
        <f t="shared" si="19"/>
        <v>0</v>
      </c>
      <c r="AC31" s="1402">
        <f t="shared" si="20"/>
        <v>0</v>
      </c>
      <c r="AD31" s="1511">
        <f t="shared" si="21"/>
        <v>0</v>
      </c>
      <c r="AE31" s="1385">
        <v>0</v>
      </c>
      <c r="AF31" s="1511">
        <f t="shared" si="22"/>
        <v>0</v>
      </c>
      <c r="AG31" s="1385"/>
      <c r="AH31" s="1385">
        <f t="shared" si="23"/>
        <v>0</v>
      </c>
      <c r="AI31" s="1511">
        <f t="shared" si="24"/>
        <v>0</v>
      </c>
      <c r="AJ31" s="1531">
        <f t="shared" si="25"/>
        <v>0</v>
      </c>
      <c r="AK31" s="1536">
        <f t="shared" si="26"/>
        <v>0</v>
      </c>
    </row>
    <row r="32" spans="1:37" ht="16.2" customHeight="1">
      <c r="A32" s="1183">
        <v>26</v>
      </c>
      <c r="B32" s="1184" t="s">
        <v>106</v>
      </c>
      <c r="C32" s="1185">
        <v>0</v>
      </c>
      <c r="D32" s="1186">
        <f>+'Table 5C1A-Madison Prep'!D32</f>
        <v>3424.5649970570835</v>
      </c>
      <c r="E32" s="1187">
        <f t="shared" si="5"/>
        <v>0</v>
      </c>
      <c r="F32" s="1187">
        <f>+'Table 5C1A-Madison Prep'!F32</f>
        <v>836.83</v>
      </c>
      <c r="G32" s="1187">
        <f t="shared" si="6"/>
        <v>0</v>
      </c>
      <c r="H32" s="1538">
        <f t="shared" si="7"/>
        <v>0</v>
      </c>
      <c r="I32" s="1188"/>
      <c r="J32" s="1188"/>
      <c r="K32" s="1189">
        <f t="shared" si="8"/>
        <v>0</v>
      </c>
      <c r="L32" s="1538">
        <f t="shared" si="9"/>
        <v>0</v>
      </c>
      <c r="M32" s="1372">
        <f t="shared" si="4"/>
        <v>0</v>
      </c>
      <c r="N32" s="1538">
        <f t="shared" si="10"/>
        <v>0</v>
      </c>
      <c r="O32" s="1186">
        <v>0</v>
      </c>
      <c r="P32" s="1544">
        <f t="shared" si="11"/>
        <v>0</v>
      </c>
      <c r="Q32" s="1188"/>
      <c r="R32" s="1188">
        <f t="shared" si="12"/>
        <v>0</v>
      </c>
      <c r="S32" s="1544">
        <f t="shared" si="13"/>
        <v>0</v>
      </c>
      <c r="T32" s="1544">
        <f t="shared" si="14"/>
        <v>0</v>
      </c>
      <c r="U32" s="1373">
        <f>'Table 5C1A-Madison Prep'!U32</f>
        <v>5260</v>
      </c>
      <c r="V32" s="1514">
        <f t="shared" si="15"/>
        <v>0</v>
      </c>
      <c r="W32" s="1375"/>
      <c r="X32" s="1376">
        <f t="shared" si="16"/>
        <v>0</v>
      </c>
      <c r="Y32" s="1375"/>
      <c r="Z32" s="1376">
        <f t="shared" si="17"/>
        <v>0</v>
      </c>
      <c r="AA32" s="1374">
        <f t="shared" si="18"/>
        <v>0</v>
      </c>
      <c r="AB32" s="1509">
        <f t="shared" si="19"/>
        <v>0</v>
      </c>
      <c r="AC32" s="1378">
        <f t="shared" si="20"/>
        <v>0</v>
      </c>
      <c r="AD32" s="1509">
        <f t="shared" si="21"/>
        <v>0</v>
      </c>
      <c r="AE32" s="1379">
        <v>0</v>
      </c>
      <c r="AF32" s="1509">
        <f t="shared" si="22"/>
        <v>0</v>
      </c>
      <c r="AG32" s="1379"/>
      <c r="AH32" s="1379">
        <f t="shared" si="23"/>
        <v>0</v>
      </c>
      <c r="AI32" s="1509">
        <f t="shared" si="24"/>
        <v>0</v>
      </c>
      <c r="AJ32" s="1530">
        <f t="shared" si="25"/>
        <v>0</v>
      </c>
      <c r="AK32" s="1534">
        <f t="shared" si="26"/>
        <v>0</v>
      </c>
    </row>
    <row r="33" spans="1:37" ht="16.2" customHeight="1">
      <c r="A33" s="1176">
        <v>27</v>
      </c>
      <c r="B33" s="1177" t="s">
        <v>107</v>
      </c>
      <c r="C33" s="1178">
        <v>0</v>
      </c>
      <c r="D33" s="1179">
        <f>+'Table 5C1A-Madison Prep'!D33</f>
        <v>5804.9013839977006</v>
      </c>
      <c r="E33" s="1180">
        <f t="shared" si="5"/>
        <v>0</v>
      </c>
      <c r="F33" s="1180">
        <f>+'Table 5C1A-Madison Prep'!F33</f>
        <v>693.06</v>
      </c>
      <c r="G33" s="1180">
        <f t="shared" si="6"/>
        <v>0</v>
      </c>
      <c r="H33" s="1539">
        <f t="shared" si="7"/>
        <v>0</v>
      </c>
      <c r="I33" s="1181"/>
      <c r="J33" s="1181"/>
      <c r="K33" s="1182">
        <f t="shared" si="8"/>
        <v>0</v>
      </c>
      <c r="L33" s="1539">
        <f t="shared" si="9"/>
        <v>0</v>
      </c>
      <c r="M33" s="1388">
        <f t="shared" si="4"/>
        <v>0</v>
      </c>
      <c r="N33" s="1539">
        <f t="shared" si="10"/>
        <v>0</v>
      </c>
      <c r="O33" s="1179">
        <v>0</v>
      </c>
      <c r="P33" s="1545">
        <f t="shared" si="11"/>
        <v>0</v>
      </c>
      <c r="Q33" s="1181"/>
      <c r="R33" s="1181">
        <f t="shared" si="12"/>
        <v>0</v>
      </c>
      <c r="S33" s="1545">
        <f t="shared" si="13"/>
        <v>0</v>
      </c>
      <c r="T33" s="1545">
        <f t="shared" si="14"/>
        <v>0</v>
      </c>
      <c r="U33" s="1389">
        <f>'Table 5C1A-Madison Prep'!U33</f>
        <v>3169</v>
      </c>
      <c r="V33" s="1515">
        <f t="shared" si="15"/>
        <v>0</v>
      </c>
      <c r="W33" s="1391"/>
      <c r="X33" s="1392">
        <f t="shared" si="16"/>
        <v>0</v>
      </c>
      <c r="Y33" s="1391"/>
      <c r="Z33" s="1392">
        <f t="shared" si="17"/>
        <v>0</v>
      </c>
      <c r="AA33" s="1390">
        <f t="shared" si="18"/>
        <v>0</v>
      </c>
      <c r="AB33" s="1510">
        <f t="shared" si="19"/>
        <v>0</v>
      </c>
      <c r="AC33" s="1394">
        <f t="shared" si="20"/>
        <v>0</v>
      </c>
      <c r="AD33" s="1510">
        <f t="shared" si="21"/>
        <v>0</v>
      </c>
      <c r="AE33" s="1395">
        <v>0</v>
      </c>
      <c r="AF33" s="1510">
        <f t="shared" si="22"/>
        <v>0</v>
      </c>
      <c r="AG33" s="1395"/>
      <c r="AH33" s="1395">
        <f t="shared" si="23"/>
        <v>0</v>
      </c>
      <c r="AI33" s="1510">
        <f t="shared" si="24"/>
        <v>0</v>
      </c>
      <c r="AJ33" s="1505">
        <f t="shared" si="25"/>
        <v>0</v>
      </c>
      <c r="AK33" s="1535">
        <f t="shared" si="26"/>
        <v>0</v>
      </c>
    </row>
    <row r="34" spans="1:37" ht="16.2" customHeight="1">
      <c r="A34" s="1176">
        <v>28</v>
      </c>
      <c r="B34" s="1177" t="s">
        <v>108</v>
      </c>
      <c r="C34" s="1178">
        <v>480</v>
      </c>
      <c r="D34" s="1179">
        <f>+'Table 5C1A-Madison Prep'!D34</f>
        <v>3137.4158846568821</v>
      </c>
      <c r="E34" s="1180">
        <f t="shared" si="5"/>
        <v>1505959.6246353034</v>
      </c>
      <c r="F34" s="1180">
        <f>+'Table 5C1A-Madison Prep'!F34</f>
        <v>694.4</v>
      </c>
      <c r="G34" s="1180">
        <f t="shared" si="6"/>
        <v>333312</v>
      </c>
      <c r="H34" s="1539">
        <f t="shared" si="7"/>
        <v>1839271.6246353034</v>
      </c>
      <c r="I34" s="1181"/>
      <c r="J34" s="1181"/>
      <c r="K34" s="1182">
        <f t="shared" si="8"/>
        <v>0</v>
      </c>
      <c r="L34" s="1539">
        <f t="shared" si="9"/>
        <v>1839271.6246353034</v>
      </c>
      <c r="M34" s="1388">
        <f t="shared" si="4"/>
        <v>-4598.1790615882583</v>
      </c>
      <c r="N34" s="1539">
        <f t="shared" si="10"/>
        <v>1834673.445573715</v>
      </c>
      <c r="O34" s="1179">
        <v>0</v>
      </c>
      <c r="P34" s="1545">
        <f t="shared" si="11"/>
        <v>1834673.445573715</v>
      </c>
      <c r="Q34" s="1181"/>
      <c r="R34" s="1181">
        <f t="shared" si="12"/>
        <v>1834673.445573715</v>
      </c>
      <c r="S34" s="1545">
        <f t="shared" si="13"/>
        <v>152889</v>
      </c>
      <c r="T34" s="1545">
        <f t="shared" si="14"/>
        <v>1834673.445573715</v>
      </c>
      <c r="U34" s="1389">
        <f>'Table 5C1A-Madison Prep'!U34</f>
        <v>5790</v>
      </c>
      <c r="V34" s="1515">
        <f t="shared" si="15"/>
        <v>2779200</v>
      </c>
      <c r="W34" s="1391"/>
      <c r="X34" s="1392">
        <f t="shared" si="16"/>
        <v>0</v>
      </c>
      <c r="Y34" s="1391"/>
      <c r="Z34" s="1392">
        <f t="shared" si="17"/>
        <v>0</v>
      </c>
      <c r="AA34" s="1390">
        <f t="shared" si="18"/>
        <v>0</v>
      </c>
      <c r="AB34" s="1510">
        <f t="shared" si="19"/>
        <v>2779200</v>
      </c>
      <c r="AC34" s="1394">
        <f t="shared" si="20"/>
        <v>-6948</v>
      </c>
      <c r="AD34" s="1510">
        <f t="shared" si="21"/>
        <v>2772252</v>
      </c>
      <c r="AE34" s="1395">
        <v>0</v>
      </c>
      <c r="AF34" s="1510">
        <f t="shared" si="22"/>
        <v>2772252</v>
      </c>
      <c r="AG34" s="1395"/>
      <c r="AH34" s="1395">
        <f t="shared" si="23"/>
        <v>2772252</v>
      </c>
      <c r="AI34" s="1510">
        <f t="shared" si="24"/>
        <v>231021</v>
      </c>
      <c r="AJ34" s="1505">
        <f t="shared" si="25"/>
        <v>4606925.4455737155</v>
      </c>
      <c r="AK34" s="1535">
        <f t="shared" si="26"/>
        <v>383910</v>
      </c>
    </row>
    <row r="35" spans="1:37" ht="16.2" customHeight="1">
      <c r="A35" s="1176">
        <v>29</v>
      </c>
      <c r="B35" s="1177" t="s">
        <v>109</v>
      </c>
      <c r="C35" s="1178">
        <v>0</v>
      </c>
      <c r="D35" s="1179">
        <f>+'Table 5C1A-Madison Prep'!D35</f>
        <v>3839.0123210173724</v>
      </c>
      <c r="E35" s="1180">
        <f t="shared" si="5"/>
        <v>0</v>
      </c>
      <c r="F35" s="1180">
        <f>+'Table 5C1A-Madison Prep'!F35</f>
        <v>754.94999999999993</v>
      </c>
      <c r="G35" s="1180">
        <f t="shared" si="6"/>
        <v>0</v>
      </c>
      <c r="H35" s="1539">
        <f t="shared" si="7"/>
        <v>0</v>
      </c>
      <c r="I35" s="1181"/>
      <c r="J35" s="1181"/>
      <c r="K35" s="1182">
        <f t="shared" si="8"/>
        <v>0</v>
      </c>
      <c r="L35" s="1539">
        <f t="shared" si="9"/>
        <v>0</v>
      </c>
      <c r="M35" s="1388">
        <f t="shared" si="4"/>
        <v>0</v>
      </c>
      <c r="N35" s="1539">
        <f t="shared" si="10"/>
        <v>0</v>
      </c>
      <c r="O35" s="1179">
        <v>0</v>
      </c>
      <c r="P35" s="1545">
        <f t="shared" si="11"/>
        <v>0</v>
      </c>
      <c r="Q35" s="1181"/>
      <c r="R35" s="1181">
        <f t="shared" si="12"/>
        <v>0</v>
      </c>
      <c r="S35" s="1545">
        <f t="shared" si="13"/>
        <v>0</v>
      </c>
      <c r="T35" s="1545">
        <f t="shared" si="14"/>
        <v>0</v>
      </c>
      <c r="U35" s="1389">
        <f>'Table 5C1A-Madison Prep'!U35</f>
        <v>5069</v>
      </c>
      <c r="V35" s="1515">
        <f t="shared" si="15"/>
        <v>0</v>
      </c>
      <c r="W35" s="1391"/>
      <c r="X35" s="1392">
        <f t="shared" si="16"/>
        <v>0</v>
      </c>
      <c r="Y35" s="1391"/>
      <c r="Z35" s="1392">
        <f t="shared" si="17"/>
        <v>0</v>
      </c>
      <c r="AA35" s="1390">
        <f t="shared" si="18"/>
        <v>0</v>
      </c>
      <c r="AB35" s="1510">
        <f t="shared" si="19"/>
        <v>0</v>
      </c>
      <c r="AC35" s="1394">
        <f t="shared" si="20"/>
        <v>0</v>
      </c>
      <c r="AD35" s="1510">
        <f t="shared" si="21"/>
        <v>0</v>
      </c>
      <c r="AE35" s="1395">
        <v>0</v>
      </c>
      <c r="AF35" s="1510">
        <f t="shared" si="22"/>
        <v>0</v>
      </c>
      <c r="AG35" s="1395"/>
      <c r="AH35" s="1395">
        <f t="shared" si="23"/>
        <v>0</v>
      </c>
      <c r="AI35" s="1510">
        <f t="shared" si="24"/>
        <v>0</v>
      </c>
      <c r="AJ35" s="1505">
        <f t="shared" si="25"/>
        <v>0</v>
      </c>
      <c r="AK35" s="1535">
        <f t="shared" si="26"/>
        <v>0</v>
      </c>
    </row>
    <row r="36" spans="1:37" ht="16.2" customHeight="1">
      <c r="A36" s="1168">
        <v>30</v>
      </c>
      <c r="B36" s="1169" t="s">
        <v>110</v>
      </c>
      <c r="C36" s="1170">
        <v>0</v>
      </c>
      <c r="D36" s="1171">
        <f>+'Table 5C1A-Madison Prep'!D36</f>
        <v>5804.5327273996763</v>
      </c>
      <c r="E36" s="1172">
        <f t="shared" si="5"/>
        <v>0</v>
      </c>
      <c r="F36" s="1172">
        <f>+'Table 5C1A-Madison Prep'!F36</f>
        <v>727.17</v>
      </c>
      <c r="G36" s="1172">
        <f t="shared" si="6"/>
        <v>0</v>
      </c>
      <c r="H36" s="1540">
        <f t="shared" si="7"/>
        <v>0</v>
      </c>
      <c r="I36" s="1173"/>
      <c r="J36" s="1173"/>
      <c r="K36" s="1174">
        <f t="shared" si="8"/>
        <v>0</v>
      </c>
      <c r="L36" s="1540">
        <f t="shared" si="9"/>
        <v>0</v>
      </c>
      <c r="M36" s="1399">
        <f t="shared" si="4"/>
        <v>0</v>
      </c>
      <c r="N36" s="1540">
        <f t="shared" si="10"/>
        <v>0</v>
      </c>
      <c r="O36" s="1171">
        <v>0</v>
      </c>
      <c r="P36" s="1546">
        <f t="shared" si="11"/>
        <v>0</v>
      </c>
      <c r="Q36" s="1173"/>
      <c r="R36" s="1173">
        <f t="shared" si="12"/>
        <v>0</v>
      </c>
      <c r="S36" s="1546">
        <f t="shared" si="13"/>
        <v>0</v>
      </c>
      <c r="T36" s="1546">
        <f t="shared" si="14"/>
        <v>0</v>
      </c>
      <c r="U36" s="1382">
        <f>'Table 5C1A-Madison Prep'!U36</f>
        <v>3609</v>
      </c>
      <c r="V36" s="1516">
        <f t="shared" si="15"/>
        <v>0</v>
      </c>
      <c r="W36" s="1400"/>
      <c r="X36" s="1383">
        <f t="shared" si="16"/>
        <v>0</v>
      </c>
      <c r="Y36" s="1400"/>
      <c r="Z36" s="1383">
        <f t="shared" si="17"/>
        <v>0</v>
      </c>
      <c r="AA36" s="1384">
        <f t="shared" si="18"/>
        <v>0</v>
      </c>
      <c r="AB36" s="1511">
        <f t="shared" si="19"/>
        <v>0</v>
      </c>
      <c r="AC36" s="1402">
        <f t="shared" si="20"/>
        <v>0</v>
      </c>
      <c r="AD36" s="1511">
        <f t="shared" si="21"/>
        <v>0</v>
      </c>
      <c r="AE36" s="1385">
        <v>0</v>
      </c>
      <c r="AF36" s="1511">
        <f t="shared" si="22"/>
        <v>0</v>
      </c>
      <c r="AG36" s="1385"/>
      <c r="AH36" s="1385">
        <f t="shared" si="23"/>
        <v>0</v>
      </c>
      <c r="AI36" s="1511">
        <f t="shared" si="24"/>
        <v>0</v>
      </c>
      <c r="AJ36" s="1531">
        <f t="shared" si="25"/>
        <v>0</v>
      </c>
      <c r="AK36" s="1536">
        <f t="shared" si="26"/>
        <v>0</v>
      </c>
    </row>
    <row r="37" spans="1:37" ht="16.2" customHeight="1">
      <c r="A37" s="1183">
        <v>31</v>
      </c>
      <c r="B37" s="1184" t="s">
        <v>111</v>
      </c>
      <c r="C37" s="1185">
        <v>0</v>
      </c>
      <c r="D37" s="1186">
        <f>+'Table 5C1A-Madison Prep'!D37</f>
        <v>4520.6176716868531</v>
      </c>
      <c r="E37" s="1187">
        <f t="shared" si="5"/>
        <v>0</v>
      </c>
      <c r="F37" s="1187">
        <f>+'Table 5C1A-Madison Prep'!F37</f>
        <v>620.83000000000004</v>
      </c>
      <c r="G37" s="1187">
        <f t="shared" si="6"/>
        <v>0</v>
      </c>
      <c r="H37" s="1538">
        <f t="shared" si="7"/>
        <v>0</v>
      </c>
      <c r="I37" s="1188"/>
      <c r="J37" s="1188"/>
      <c r="K37" s="1189">
        <f t="shared" si="8"/>
        <v>0</v>
      </c>
      <c r="L37" s="1538">
        <f t="shared" si="9"/>
        <v>0</v>
      </c>
      <c r="M37" s="1372">
        <f t="shared" si="4"/>
        <v>0</v>
      </c>
      <c r="N37" s="1538">
        <f t="shared" si="10"/>
        <v>0</v>
      </c>
      <c r="O37" s="1186">
        <v>0</v>
      </c>
      <c r="P37" s="1544">
        <f t="shared" si="11"/>
        <v>0</v>
      </c>
      <c r="Q37" s="1188"/>
      <c r="R37" s="1188">
        <f t="shared" si="12"/>
        <v>0</v>
      </c>
      <c r="S37" s="1544">
        <f t="shared" si="13"/>
        <v>0</v>
      </c>
      <c r="T37" s="1544">
        <f t="shared" si="14"/>
        <v>0</v>
      </c>
      <c r="U37" s="1373">
        <f>'Table 5C1A-Madison Prep'!U37</f>
        <v>5043</v>
      </c>
      <c r="V37" s="1514">
        <f t="shared" si="15"/>
        <v>0</v>
      </c>
      <c r="W37" s="1375"/>
      <c r="X37" s="1376">
        <f t="shared" si="16"/>
        <v>0</v>
      </c>
      <c r="Y37" s="1375"/>
      <c r="Z37" s="1376">
        <f t="shared" si="17"/>
        <v>0</v>
      </c>
      <c r="AA37" s="1374">
        <f t="shared" si="18"/>
        <v>0</v>
      </c>
      <c r="AB37" s="1509">
        <f t="shared" si="19"/>
        <v>0</v>
      </c>
      <c r="AC37" s="1378">
        <f t="shared" si="20"/>
        <v>0</v>
      </c>
      <c r="AD37" s="1509">
        <f t="shared" si="21"/>
        <v>0</v>
      </c>
      <c r="AE37" s="1379">
        <v>0</v>
      </c>
      <c r="AF37" s="1509">
        <f t="shared" si="22"/>
        <v>0</v>
      </c>
      <c r="AG37" s="1379"/>
      <c r="AH37" s="1379">
        <f t="shared" si="23"/>
        <v>0</v>
      </c>
      <c r="AI37" s="1509">
        <f t="shared" si="24"/>
        <v>0</v>
      </c>
      <c r="AJ37" s="1530">
        <f t="shared" si="25"/>
        <v>0</v>
      </c>
      <c r="AK37" s="1534">
        <f t="shared" si="26"/>
        <v>0</v>
      </c>
    </row>
    <row r="38" spans="1:37" ht="16.2" customHeight="1">
      <c r="A38" s="1176">
        <v>32</v>
      </c>
      <c r="B38" s="1177" t="s">
        <v>112</v>
      </c>
      <c r="C38" s="1178">
        <v>0</v>
      </c>
      <c r="D38" s="1179">
        <f>+'Table 5C1A-Madison Prep'!D38</f>
        <v>5652.819189061127</v>
      </c>
      <c r="E38" s="1180">
        <f t="shared" si="5"/>
        <v>0</v>
      </c>
      <c r="F38" s="1180">
        <f>+'Table 5C1A-Madison Prep'!F38</f>
        <v>559.77</v>
      </c>
      <c r="G38" s="1180">
        <f t="shared" si="6"/>
        <v>0</v>
      </c>
      <c r="H38" s="1539">
        <f t="shared" si="7"/>
        <v>0</v>
      </c>
      <c r="I38" s="1181"/>
      <c r="J38" s="1181"/>
      <c r="K38" s="1182">
        <f t="shared" si="8"/>
        <v>0</v>
      </c>
      <c r="L38" s="1539">
        <f t="shared" si="9"/>
        <v>0</v>
      </c>
      <c r="M38" s="1388">
        <f t="shared" si="4"/>
        <v>0</v>
      </c>
      <c r="N38" s="1539">
        <f t="shared" si="10"/>
        <v>0</v>
      </c>
      <c r="O38" s="1179">
        <v>0</v>
      </c>
      <c r="P38" s="1545">
        <f t="shared" si="11"/>
        <v>0</v>
      </c>
      <c r="Q38" s="1181"/>
      <c r="R38" s="1181">
        <f t="shared" si="12"/>
        <v>0</v>
      </c>
      <c r="S38" s="1545">
        <f t="shared" si="13"/>
        <v>0</v>
      </c>
      <c r="T38" s="1545">
        <f t="shared" si="14"/>
        <v>0</v>
      </c>
      <c r="U38" s="1389">
        <f>'Table 5C1A-Madison Prep'!U38</f>
        <v>2121</v>
      </c>
      <c r="V38" s="1515">
        <f t="shared" si="15"/>
        <v>0</v>
      </c>
      <c r="W38" s="1391"/>
      <c r="X38" s="1392">
        <f t="shared" si="16"/>
        <v>0</v>
      </c>
      <c r="Y38" s="1391"/>
      <c r="Z38" s="1392">
        <f t="shared" si="17"/>
        <v>0</v>
      </c>
      <c r="AA38" s="1390">
        <f t="shared" si="18"/>
        <v>0</v>
      </c>
      <c r="AB38" s="1510">
        <f t="shared" si="19"/>
        <v>0</v>
      </c>
      <c r="AC38" s="1394">
        <f t="shared" si="20"/>
        <v>0</v>
      </c>
      <c r="AD38" s="1510">
        <f t="shared" si="21"/>
        <v>0</v>
      </c>
      <c r="AE38" s="1395">
        <v>0</v>
      </c>
      <c r="AF38" s="1510">
        <f t="shared" si="22"/>
        <v>0</v>
      </c>
      <c r="AG38" s="1395"/>
      <c r="AH38" s="1395">
        <f t="shared" si="23"/>
        <v>0</v>
      </c>
      <c r="AI38" s="1510">
        <f t="shared" si="24"/>
        <v>0</v>
      </c>
      <c r="AJ38" s="1505">
        <f t="shared" si="25"/>
        <v>0</v>
      </c>
      <c r="AK38" s="1535">
        <f t="shared" si="26"/>
        <v>0</v>
      </c>
    </row>
    <row r="39" spans="1:37" ht="16.2" customHeight="1">
      <c r="A39" s="1176">
        <v>33</v>
      </c>
      <c r="B39" s="1177" t="s">
        <v>113</v>
      </c>
      <c r="C39" s="1178">
        <v>0</v>
      </c>
      <c r="D39" s="1179">
        <f>+'Table 5C1A-Madison Prep'!D39</f>
        <v>5456.2254558085233</v>
      </c>
      <c r="E39" s="1180">
        <f t="shared" si="5"/>
        <v>0</v>
      </c>
      <c r="F39" s="1180">
        <f>+'Table 5C1A-Madison Prep'!F39</f>
        <v>655.31000000000006</v>
      </c>
      <c r="G39" s="1180">
        <f t="shared" si="6"/>
        <v>0</v>
      </c>
      <c r="H39" s="1539">
        <f t="shared" si="7"/>
        <v>0</v>
      </c>
      <c r="I39" s="1181"/>
      <c r="J39" s="1181"/>
      <c r="K39" s="1182">
        <f t="shared" si="8"/>
        <v>0</v>
      </c>
      <c r="L39" s="1539">
        <f t="shared" si="9"/>
        <v>0</v>
      </c>
      <c r="M39" s="1388">
        <f t="shared" si="4"/>
        <v>0</v>
      </c>
      <c r="N39" s="1539">
        <f t="shared" si="10"/>
        <v>0</v>
      </c>
      <c r="O39" s="1179">
        <v>0</v>
      </c>
      <c r="P39" s="1545">
        <f t="shared" si="11"/>
        <v>0</v>
      </c>
      <c r="Q39" s="1181"/>
      <c r="R39" s="1181">
        <f t="shared" si="12"/>
        <v>0</v>
      </c>
      <c r="S39" s="1545">
        <f t="shared" si="13"/>
        <v>0</v>
      </c>
      <c r="T39" s="1545">
        <f t="shared" si="14"/>
        <v>0</v>
      </c>
      <c r="U39" s="1389">
        <f>'Table 5C1A-Madison Prep'!U39</f>
        <v>3616</v>
      </c>
      <c r="V39" s="1515">
        <f t="shared" si="15"/>
        <v>0</v>
      </c>
      <c r="W39" s="1391"/>
      <c r="X39" s="1392">
        <f t="shared" si="16"/>
        <v>0</v>
      </c>
      <c r="Y39" s="1391"/>
      <c r="Z39" s="1392">
        <f t="shared" si="17"/>
        <v>0</v>
      </c>
      <c r="AA39" s="1390">
        <f t="shared" si="18"/>
        <v>0</v>
      </c>
      <c r="AB39" s="1510">
        <f t="shared" si="19"/>
        <v>0</v>
      </c>
      <c r="AC39" s="1394">
        <f t="shared" si="20"/>
        <v>0</v>
      </c>
      <c r="AD39" s="1510">
        <f t="shared" si="21"/>
        <v>0</v>
      </c>
      <c r="AE39" s="1395">
        <v>0</v>
      </c>
      <c r="AF39" s="1510">
        <f t="shared" si="22"/>
        <v>0</v>
      </c>
      <c r="AG39" s="1395"/>
      <c r="AH39" s="1395">
        <f t="shared" si="23"/>
        <v>0</v>
      </c>
      <c r="AI39" s="1510">
        <f t="shared" si="24"/>
        <v>0</v>
      </c>
      <c r="AJ39" s="1505">
        <f t="shared" si="25"/>
        <v>0</v>
      </c>
      <c r="AK39" s="1535">
        <f t="shared" si="26"/>
        <v>0</v>
      </c>
    </row>
    <row r="40" spans="1:37" ht="16.2" customHeight="1">
      <c r="A40" s="1176">
        <v>34</v>
      </c>
      <c r="B40" s="1177" t="s">
        <v>114</v>
      </c>
      <c r="C40" s="1178">
        <v>0</v>
      </c>
      <c r="D40" s="1179">
        <f>+'Table 5C1A-Madison Prep'!D40</f>
        <v>6292.0976842789005</v>
      </c>
      <c r="E40" s="1180">
        <f t="shared" si="5"/>
        <v>0</v>
      </c>
      <c r="F40" s="1180">
        <f>+'Table 5C1A-Madison Prep'!F40</f>
        <v>644.11000000000013</v>
      </c>
      <c r="G40" s="1180">
        <f t="shared" si="6"/>
        <v>0</v>
      </c>
      <c r="H40" s="1539">
        <f t="shared" si="7"/>
        <v>0</v>
      </c>
      <c r="I40" s="1181"/>
      <c r="J40" s="1181"/>
      <c r="K40" s="1182">
        <f t="shared" si="8"/>
        <v>0</v>
      </c>
      <c r="L40" s="1539">
        <f t="shared" si="9"/>
        <v>0</v>
      </c>
      <c r="M40" s="1388">
        <f t="shared" si="4"/>
        <v>0</v>
      </c>
      <c r="N40" s="1539">
        <f t="shared" si="10"/>
        <v>0</v>
      </c>
      <c r="O40" s="1179">
        <v>0</v>
      </c>
      <c r="P40" s="1545">
        <f t="shared" si="11"/>
        <v>0</v>
      </c>
      <c r="Q40" s="1181"/>
      <c r="R40" s="1181">
        <f t="shared" si="12"/>
        <v>0</v>
      </c>
      <c r="S40" s="1545">
        <f t="shared" si="13"/>
        <v>0</v>
      </c>
      <c r="T40" s="1545">
        <f t="shared" si="14"/>
        <v>0</v>
      </c>
      <c r="U40" s="1389">
        <f>'Table 5C1A-Madison Prep'!U40</f>
        <v>2721</v>
      </c>
      <c r="V40" s="1515">
        <f t="shared" si="15"/>
        <v>0</v>
      </c>
      <c r="W40" s="1391"/>
      <c r="X40" s="1392">
        <f t="shared" si="16"/>
        <v>0</v>
      </c>
      <c r="Y40" s="1391"/>
      <c r="Z40" s="1392">
        <f t="shared" si="17"/>
        <v>0</v>
      </c>
      <c r="AA40" s="1390">
        <f t="shared" si="18"/>
        <v>0</v>
      </c>
      <c r="AB40" s="1510">
        <f t="shared" si="19"/>
        <v>0</v>
      </c>
      <c r="AC40" s="1394">
        <f t="shared" si="20"/>
        <v>0</v>
      </c>
      <c r="AD40" s="1510">
        <f t="shared" si="21"/>
        <v>0</v>
      </c>
      <c r="AE40" s="1395">
        <v>0</v>
      </c>
      <c r="AF40" s="1510">
        <f t="shared" si="22"/>
        <v>0</v>
      </c>
      <c r="AG40" s="1395"/>
      <c r="AH40" s="1395">
        <f t="shared" si="23"/>
        <v>0</v>
      </c>
      <c r="AI40" s="1510">
        <f t="shared" si="24"/>
        <v>0</v>
      </c>
      <c r="AJ40" s="1505">
        <f t="shared" si="25"/>
        <v>0</v>
      </c>
      <c r="AK40" s="1535">
        <f t="shared" si="26"/>
        <v>0</v>
      </c>
    </row>
    <row r="41" spans="1:37" ht="16.2" customHeight="1">
      <c r="A41" s="1168">
        <v>35</v>
      </c>
      <c r="B41" s="1169" t="s">
        <v>115</v>
      </c>
      <c r="C41" s="1170">
        <v>0</v>
      </c>
      <c r="D41" s="1171">
        <f>+'Table 5C1A-Madison Prep'!D41</f>
        <v>5166.2482060477605</v>
      </c>
      <c r="E41" s="1172">
        <f t="shared" si="5"/>
        <v>0</v>
      </c>
      <c r="F41" s="1172">
        <f>+'Table 5C1A-Madison Prep'!F41</f>
        <v>537.96</v>
      </c>
      <c r="G41" s="1172">
        <f t="shared" si="6"/>
        <v>0</v>
      </c>
      <c r="H41" s="1540">
        <f t="shared" si="7"/>
        <v>0</v>
      </c>
      <c r="I41" s="1173"/>
      <c r="J41" s="1173"/>
      <c r="K41" s="1174">
        <f t="shared" si="8"/>
        <v>0</v>
      </c>
      <c r="L41" s="1540">
        <f t="shared" si="9"/>
        <v>0</v>
      </c>
      <c r="M41" s="1399">
        <f t="shared" si="4"/>
        <v>0</v>
      </c>
      <c r="N41" s="1540">
        <f t="shared" si="10"/>
        <v>0</v>
      </c>
      <c r="O41" s="1171">
        <v>0</v>
      </c>
      <c r="P41" s="1546">
        <f t="shared" si="11"/>
        <v>0</v>
      </c>
      <c r="Q41" s="1173"/>
      <c r="R41" s="1173">
        <f t="shared" si="12"/>
        <v>0</v>
      </c>
      <c r="S41" s="1546">
        <f t="shared" si="13"/>
        <v>0</v>
      </c>
      <c r="T41" s="1546">
        <f t="shared" si="14"/>
        <v>0</v>
      </c>
      <c r="U41" s="1382">
        <f>'Table 5C1A-Madison Prep'!U41</f>
        <v>3255</v>
      </c>
      <c r="V41" s="1516">
        <f t="shared" si="15"/>
        <v>0</v>
      </c>
      <c r="W41" s="1400"/>
      <c r="X41" s="1383">
        <f t="shared" si="16"/>
        <v>0</v>
      </c>
      <c r="Y41" s="1400"/>
      <c r="Z41" s="1383">
        <f t="shared" si="17"/>
        <v>0</v>
      </c>
      <c r="AA41" s="1384">
        <f t="shared" si="18"/>
        <v>0</v>
      </c>
      <c r="AB41" s="1511">
        <f t="shared" si="19"/>
        <v>0</v>
      </c>
      <c r="AC41" s="1402">
        <f t="shared" si="20"/>
        <v>0</v>
      </c>
      <c r="AD41" s="1511">
        <f t="shared" si="21"/>
        <v>0</v>
      </c>
      <c r="AE41" s="1385">
        <v>0</v>
      </c>
      <c r="AF41" s="1511">
        <f t="shared" si="22"/>
        <v>0</v>
      </c>
      <c r="AG41" s="1385"/>
      <c r="AH41" s="1385">
        <f t="shared" si="23"/>
        <v>0</v>
      </c>
      <c r="AI41" s="1511">
        <f t="shared" si="24"/>
        <v>0</v>
      </c>
      <c r="AJ41" s="1531">
        <f t="shared" si="25"/>
        <v>0</v>
      </c>
      <c r="AK41" s="1536">
        <f t="shared" si="26"/>
        <v>0</v>
      </c>
    </row>
    <row r="42" spans="1:37" ht="16.2" customHeight="1">
      <c r="A42" s="1183">
        <v>36</v>
      </c>
      <c r="B42" s="1184" t="s">
        <v>116</v>
      </c>
      <c r="C42" s="1185">
        <v>0</v>
      </c>
      <c r="D42" s="1186">
        <f>+'Table 5C1A-Madison Prep'!D42</f>
        <v>3602.7009974327857</v>
      </c>
      <c r="E42" s="1187">
        <f t="shared" si="5"/>
        <v>0</v>
      </c>
      <c r="F42" s="1187">
        <f>+'Table 5C1A-Madison Prep'!F42</f>
        <v>746.0335616438357</v>
      </c>
      <c r="G42" s="1187">
        <f t="shared" si="6"/>
        <v>0</v>
      </c>
      <c r="H42" s="1538">
        <f t="shared" si="7"/>
        <v>0</v>
      </c>
      <c r="I42" s="1188"/>
      <c r="J42" s="1188"/>
      <c r="K42" s="1189">
        <f t="shared" si="8"/>
        <v>0</v>
      </c>
      <c r="L42" s="1538">
        <f t="shared" si="9"/>
        <v>0</v>
      </c>
      <c r="M42" s="1372">
        <f t="shared" si="4"/>
        <v>0</v>
      </c>
      <c r="N42" s="1538">
        <f t="shared" si="10"/>
        <v>0</v>
      </c>
      <c r="O42" s="1186">
        <v>0</v>
      </c>
      <c r="P42" s="1544">
        <f t="shared" si="11"/>
        <v>0</v>
      </c>
      <c r="Q42" s="1188"/>
      <c r="R42" s="1188">
        <f t="shared" si="12"/>
        <v>0</v>
      </c>
      <c r="S42" s="1544">
        <f t="shared" si="13"/>
        <v>0</v>
      </c>
      <c r="T42" s="1544">
        <f t="shared" si="14"/>
        <v>0</v>
      </c>
      <c r="U42" s="1373">
        <f>'Table 5C1A-Madison Prep'!U42</f>
        <v>5435</v>
      </c>
      <c r="V42" s="1514">
        <f t="shared" si="15"/>
        <v>0</v>
      </c>
      <c r="W42" s="1375"/>
      <c r="X42" s="1376">
        <f t="shared" si="16"/>
        <v>0</v>
      </c>
      <c r="Y42" s="1375"/>
      <c r="Z42" s="1376">
        <f t="shared" si="17"/>
        <v>0</v>
      </c>
      <c r="AA42" s="1374">
        <f t="shared" si="18"/>
        <v>0</v>
      </c>
      <c r="AB42" s="1509">
        <f t="shared" si="19"/>
        <v>0</v>
      </c>
      <c r="AC42" s="1378">
        <f t="shared" si="20"/>
        <v>0</v>
      </c>
      <c r="AD42" s="1509">
        <f t="shared" si="21"/>
        <v>0</v>
      </c>
      <c r="AE42" s="1379">
        <v>0</v>
      </c>
      <c r="AF42" s="1509">
        <f t="shared" si="22"/>
        <v>0</v>
      </c>
      <c r="AG42" s="1379"/>
      <c r="AH42" s="1379">
        <f t="shared" si="23"/>
        <v>0</v>
      </c>
      <c r="AI42" s="1509">
        <f t="shared" si="24"/>
        <v>0</v>
      </c>
      <c r="AJ42" s="1530">
        <f t="shared" si="25"/>
        <v>0</v>
      </c>
      <c r="AK42" s="1534">
        <f t="shared" si="26"/>
        <v>0</v>
      </c>
    </row>
    <row r="43" spans="1:37" ht="16.2" customHeight="1">
      <c r="A43" s="1176">
        <v>37</v>
      </c>
      <c r="B43" s="1177" t="s">
        <v>117</v>
      </c>
      <c r="C43" s="1178">
        <v>0</v>
      </c>
      <c r="D43" s="1179">
        <f>+'Table 5C1A-Madison Prep'!D43</f>
        <v>5665.3839260317691</v>
      </c>
      <c r="E43" s="1180">
        <f t="shared" si="5"/>
        <v>0</v>
      </c>
      <c r="F43" s="1180">
        <f>+'Table 5C1A-Madison Prep'!F43</f>
        <v>653.61</v>
      </c>
      <c r="G43" s="1180">
        <f t="shared" si="6"/>
        <v>0</v>
      </c>
      <c r="H43" s="1539">
        <f t="shared" si="7"/>
        <v>0</v>
      </c>
      <c r="I43" s="1181"/>
      <c r="J43" s="1181"/>
      <c r="K43" s="1182">
        <f t="shared" si="8"/>
        <v>0</v>
      </c>
      <c r="L43" s="1539">
        <f t="shared" si="9"/>
        <v>0</v>
      </c>
      <c r="M43" s="1388">
        <f t="shared" si="4"/>
        <v>0</v>
      </c>
      <c r="N43" s="1539">
        <f t="shared" si="10"/>
        <v>0</v>
      </c>
      <c r="O43" s="1179">
        <v>0</v>
      </c>
      <c r="P43" s="1545">
        <f t="shared" si="11"/>
        <v>0</v>
      </c>
      <c r="Q43" s="1181"/>
      <c r="R43" s="1181">
        <f t="shared" si="12"/>
        <v>0</v>
      </c>
      <c r="S43" s="1545">
        <f t="shared" si="13"/>
        <v>0</v>
      </c>
      <c r="T43" s="1545">
        <f t="shared" si="14"/>
        <v>0</v>
      </c>
      <c r="U43" s="1389">
        <f>'Table 5C1A-Madison Prep'!U43</f>
        <v>3520</v>
      </c>
      <c r="V43" s="1515">
        <f t="shared" si="15"/>
        <v>0</v>
      </c>
      <c r="W43" s="1391"/>
      <c r="X43" s="1392">
        <f t="shared" si="16"/>
        <v>0</v>
      </c>
      <c r="Y43" s="1391"/>
      <c r="Z43" s="1392">
        <f t="shared" si="17"/>
        <v>0</v>
      </c>
      <c r="AA43" s="1390">
        <f t="shared" si="18"/>
        <v>0</v>
      </c>
      <c r="AB43" s="1510">
        <f t="shared" si="19"/>
        <v>0</v>
      </c>
      <c r="AC43" s="1394">
        <f t="shared" si="20"/>
        <v>0</v>
      </c>
      <c r="AD43" s="1510">
        <f t="shared" si="21"/>
        <v>0</v>
      </c>
      <c r="AE43" s="1395">
        <v>0</v>
      </c>
      <c r="AF43" s="1510">
        <f t="shared" si="22"/>
        <v>0</v>
      </c>
      <c r="AG43" s="1395"/>
      <c r="AH43" s="1395">
        <f t="shared" si="23"/>
        <v>0</v>
      </c>
      <c r="AI43" s="1510">
        <f t="shared" si="24"/>
        <v>0</v>
      </c>
      <c r="AJ43" s="1505">
        <f t="shared" si="25"/>
        <v>0</v>
      </c>
      <c r="AK43" s="1535">
        <f t="shared" si="26"/>
        <v>0</v>
      </c>
    </row>
    <row r="44" spans="1:37" ht="16.2" customHeight="1">
      <c r="A44" s="1176">
        <v>38</v>
      </c>
      <c r="B44" s="1177" t="s">
        <v>118</v>
      </c>
      <c r="C44" s="1178">
        <v>0</v>
      </c>
      <c r="D44" s="1179">
        <f>+'Table 5C1A-Madison Prep'!D44</f>
        <v>2088.8017552916881</v>
      </c>
      <c r="E44" s="1180">
        <f t="shared" si="5"/>
        <v>0</v>
      </c>
      <c r="F44" s="1180">
        <f>+'Table 5C1A-Madison Prep'!F44</f>
        <v>829.92000000000007</v>
      </c>
      <c r="G44" s="1180">
        <f t="shared" si="6"/>
        <v>0</v>
      </c>
      <c r="H44" s="1539">
        <f t="shared" si="7"/>
        <v>0</v>
      </c>
      <c r="I44" s="1181"/>
      <c r="J44" s="1181"/>
      <c r="K44" s="1182">
        <f t="shared" si="8"/>
        <v>0</v>
      </c>
      <c r="L44" s="1539">
        <f t="shared" si="9"/>
        <v>0</v>
      </c>
      <c r="M44" s="1388">
        <f t="shared" si="4"/>
        <v>0</v>
      </c>
      <c r="N44" s="1539">
        <f t="shared" si="10"/>
        <v>0</v>
      </c>
      <c r="O44" s="1179">
        <v>0</v>
      </c>
      <c r="P44" s="1545">
        <f t="shared" si="11"/>
        <v>0</v>
      </c>
      <c r="Q44" s="1181"/>
      <c r="R44" s="1181">
        <f t="shared" si="12"/>
        <v>0</v>
      </c>
      <c r="S44" s="1545">
        <f t="shared" si="13"/>
        <v>0</v>
      </c>
      <c r="T44" s="1545">
        <f t="shared" si="14"/>
        <v>0</v>
      </c>
      <c r="U44" s="1389">
        <f>'Table 5C1A-Madison Prep'!U44</f>
        <v>11379</v>
      </c>
      <c r="V44" s="1515">
        <f t="shared" si="15"/>
        <v>0</v>
      </c>
      <c r="W44" s="1391"/>
      <c r="X44" s="1392">
        <f t="shared" si="16"/>
        <v>0</v>
      </c>
      <c r="Y44" s="1391"/>
      <c r="Z44" s="1392">
        <f t="shared" si="17"/>
        <v>0</v>
      </c>
      <c r="AA44" s="1390">
        <f t="shared" si="18"/>
        <v>0</v>
      </c>
      <c r="AB44" s="1510">
        <f t="shared" si="19"/>
        <v>0</v>
      </c>
      <c r="AC44" s="1394">
        <f t="shared" si="20"/>
        <v>0</v>
      </c>
      <c r="AD44" s="1510">
        <f t="shared" si="21"/>
        <v>0</v>
      </c>
      <c r="AE44" s="1395">
        <v>0</v>
      </c>
      <c r="AF44" s="1510">
        <f t="shared" si="22"/>
        <v>0</v>
      </c>
      <c r="AG44" s="1395"/>
      <c r="AH44" s="1395">
        <f t="shared" si="23"/>
        <v>0</v>
      </c>
      <c r="AI44" s="1510">
        <f t="shared" si="24"/>
        <v>0</v>
      </c>
      <c r="AJ44" s="1505">
        <f t="shared" si="25"/>
        <v>0</v>
      </c>
      <c r="AK44" s="1535">
        <f t="shared" si="26"/>
        <v>0</v>
      </c>
    </row>
    <row r="45" spans="1:37" ht="16.2" customHeight="1">
      <c r="A45" s="1176">
        <v>39</v>
      </c>
      <c r="B45" s="1177" t="s">
        <v>119</v>
      </c>
      <c r="C45" s="1178">
        <v>0</v>
      </c>
      <c r="D45" s="1179">
        <f>+'Table 5C1A-Madison Prep'!D45</f>
        <v>3656.9056809295676</v>
      </c>
      <c r="E45" s="1180">
        <f t="shared" si="5"/>
        <v>0</v>
      </c>
      <c r="F45" s="1180">
        <f>+'Table 5C1A-Madison Prep'!F45</f>
        <v>779.65573042776396</v>
      </c>
      <c r="G45" s="1180">
        <f t="shared" si="6"/>
        <v>0</v>
      </c>
      <c r="H45" s="1539">
        <f t="shared" si="7"/>
        <v>0</v>
      </c>
      <c r="I45" s="1181"/>
      <c r="J45" s="1181"/>
      <c r="K45" s="1182">
        <f t="shared" si="8"/>
        <v>0</v>
      </c>
      <c r="L45" s="1539">
        <f t="shared" si="9"/>
        <v>0</v>
      </c>
      <c r="M45" s="1388">
        <f t="shared" si="4"/>
        <v>0</v>
      </c>
      <c r="N45" s="1539">
        <f t="shared" si="10"/>
        <v>0</v>
      </c>
      <c r="O45" s="1179">
        <v>0</v>
      </c>
      <c r="P45" s="1545">
        <f t="shared" si="11"/>
        <v>0</v>
      </c>
      <c r="Q45" s="1181"/>
      <c r="R45" s="1181">
        <f t="shared" si="12"/>
        <v>0</v>
      </c>
      <c r="S45" s="1545">
        <f t="shared" si="13"/>
        <v>0</v>
      </c>
      <c r="T45" s="1545">
        <f t="shared" si="14"/>
        <v>0</v>
      </c>
      <c r="U45" s="1389">
        <f>'Table 5C1A-Madison Prep'!U45</f>
        <v>4955</v>
      </c>
      <c r="V45" s="1515">
        <f t="shared" si="15"/>
        <v>0</v>
      </c>
      <c r="W45" s="1391"/>
      <c r="X45" s="1392">
        <f t="shared" si="16"/>
        <v>0</v>
      </c>
      <c r="Y45" s="1391"/>
      <c r="Z45" s="1392">
        <f t="shared" si="17"/>
        <v>0</v>
      </c>
      <c r="AA45" s="1390">
        <f t="shared" si="18"/>
        <v>0</v>
      </c>
      <c r="AB45" s="1510">
        <f t="shared" si="19"/>
        <v>0</v>
      </c>
      <c r="AC45" s="1394">
        <f t="shared" si="20"/>
        <v>0</v>
      </c>
      <c r="AD45" s="1510">
        <f t="shared" si="21"/>
        <v>0</v>
      </c>
      <c r="AE45" s="1395">
        <v>0</v>
      </c>
      <c r="AF45" s="1510">
        <f t="shared" si="22"/>
        <v>0</v>
      </c>
      <c r="AG45" s="1395"/>
      <c r="AH45" s="1395">
        <f t="shared" si="23"/>
        <v>0</v>
      </c>
      <c r="AI45" s="1510">
        <f t="shared" si="24"/>
        <v>0</v>
      </c>
      <c r="AJ45" s="1505">
        <f t="shared" si="25"/>
        <v>0</v>
      </c>
      <c r="AK45" s="1535">
        <f t="shared" si="26"/>
        <v>0</v>
      </c>
    </row>
    <row r="46" spans="1:37" ht="16.2" customHeight="1">
      <c r="A46" s="1168">
        <v>40</v>
      </c>
      <c r="B46" s="1169" t="s">
        <v>120</v>
      </c>
      <c r="C46" s="1170">
        <v>0</v>
      </c>
      <c r="D46" s="1171">
        <f>+'Table 5C1A-Madison Prep'!D46</f>
        <v>5121.8110285698403</v>
      </c>
      <c r="E46" s="1172">
        <f t="shared" si="5"/>
        <v>0</v>
      </c>
      <c r="F46" s="1172">
        <f>+'Table 5C1A-Madison Prep'!F46</f>
        <v>700.2700000000001</v>
      </c>
      <c r="G46" s="1172">
        <f t="shared" si="6"/>
        <v>0</v>
      </c>
      <c r="H46" s="1540">
        <f t="shared" si="7"/>
        <v>0</v>
      </c>
      <c r="I46" s="1173"/>
      <c r="J46" s="1173"/>
      <c r="K46" s="1174">
        <f t="shared" si="8"/>
        <v>0</v>
      </c>
      <c r="L46" s="1540">
        <f t="shared" si="9"/>
        <v>0</v>
      </c>
      <c r="M46" s="1399">
        <f t="shared" si="4"/>
        <v>0</v>
      </c>
      <c r="N46" s="1540">
        <f t="shared" si="10"/>
        <v>0</v>
      </c>
      <c r="O46" s="1171">
        <v>0</v>
      </c>
      <c r="P46" s="1546">
        <f t="shared" si="11"/>
        <v>0</v>
      </c>
      <c r="Q46" s="1173"/>
      <c r="R46" s="1173">
        <f t="shared" si="12"/>
        <v>0</v>
      </c>
      <c r="S46" s="1546">
        <f t="shared" si="13"/>
        <v>0</v>
      </c>
      <c r="T46" s="1546">
        <f t="shared" si="14"/>
        <v>0</v>
      </c>
      <c r="U46" s="1382">
        <f>'Table 5C1A-Madison Prep'!U46</f>
        <v>3069</v>
      </c>
      <c r="V46" s="1516">
        <f t="shared" si="15"/>
        <v>0</v>
      </c>
      <c r="W46" s="1400"/>
      <c r="X46" s="1383">
        <f t="shared" si="16"/>
        <v>0</v>
      </c>
      <c r="Y46" s="1400"/>
      <c r="Z46" s="1383">
        <f t="shared" si="17"/>
        <v>0</v>
      </c>
      <c r="AA46" s="1384">
        <f t="shared" si="18"/>
        <v>0</v>
      </c>
      <c r="AB46" s="1511">
        <f t="shared" si="19"/>
        <v>0</v>
      </c>
      <c r="AC46" s="1402">
        <f t="shared" si="20"/>
        <v>0</v>
      </c>
      <c r="AD46" s="1511">
        <f t="shared" si="21"/>
        <v>0</v>
      </c>
      <c r="AE46" s="1385">
        <v>0</v>
      </c>
      <c r="AF46" s="1511">
        <f t="shared" si="22"/>
        <v>0</v>
      </c>
      <c r="AG46" s="1385"/>
      <c r="AH46" s="1385">
        <f t="shared" si="23"/>
        <v>0</v>
      </c>
      <c r="AI46" s="1511">
        <f t="shared" si="24"/>
        <v>0</v>
      </c>
      <c r="AJ46" s="1531">
        <f t="shared" si="25"/>
        <v>0</v>
      </c>
      <c r="AK46" s="1536">
        <f t="shared" si="26"/>
        <v>0</v>
      </c>
    </row>
    <row r="47" spans="1:37" ht="16.2" customHeight="1">
      <c r="A47" s="1183">
        <v>41</v>
      </c>
      <c r="B47" s="1184" t="s">
        <v>121</v>
      </c>
      <c r="C47" s="1185">
        <v>0</v>
      </c>
      <c r="D47" s="1186">
        <f>+'Table 5C1A-Madison Prep'!D47</f>
        <v>3291.1948574716475</v>
      </c>
      <c r="E47" s="1187">
        <f t="shared" si="5"/>
        <v>0</v>
      </c>
      <c r="F47" s="1187">
        <f>+'Table 5C1A-Madison Prep'!F47</f>
        <v>886.22</v>
      </c>
      <c r="G47" s="1187">
        <f t="shared" si="6"/>
        <v>0</v>
      </c>
      <c r="H47" s="1538">
        <f t="shared" si="7"/>
        <v>0</v>
      </c>
      <c r="I47" s="1188"/>
      <c r="J47" s="1188"/>
      <c r="K47" s="1189">
        <f t="shared" si="8"/>
        <v>0</v>
      </c>
      <c r="L47" s="1538">
        <f t="shared" si="9"/>
        <v>0</v>
      </c>
      <c r="M47" s="1372">
        <f t="shared" si="4"/>
        <v>0</v>
      </c>
      <c r="N47" s="1538">
        <f t="shared" si="10"/>
        <v>0</v>
      </c>
      <c r="O47" s="1186">
        <v>0</v>
      </c>
      <c r="P47" s="1544">
        <f t="shared" si="11"/>
        <v>0</v>
      </c>
      <c r="Q47" s="1188"/>
      <c r="R47" s="1188">
        <f t="shared" si="12"/>
        <v>0</v>
      </c>
      <c r="S47" s="1544">
        <f t="shared" si="13"/>
        <v>0</v>
      </c>
      <c r="T47" s="1544">
        <f t="shared" si="14"/>
        <v>0</v>
      </c>
      <c r="U47" s="1373">
        <f>'Table 5C1A-Madison Prep'!U47</f>
        <v>8478</v>
      </c>
      <c r="V47" s="1514">
        <f t="shared" si="15"/>
        <v>0</v>
      </c>
      <c r="W47" s="1375"/>
      <c r="X47" s="1376">
        <f t="shared" si="16"/>
        <v>0</v>
      </c>
      <c r="Y47" s="1375"/>
      <c r="Z47" s="1376">
        <f t="shared" si="17"/>
        <v>0</v>
      </c>
      <c r="AA47" s="1374">
        <f t="shared" si="18"/>
        <v>0</v>
      </c>
      <c r="AB47" s="1509">
        <f t="shared" si="19"/>
        <v>0</v>
      </c>
      <c r="AC47" s="1378">
        <f t="shared" si="20"/>
        <v>0</v>
      </c>
      <c r="AD47" s="1509">
        <f t="shared" si="21"/>
        <v>0</v>
      </c>
      <c r="AE47" s="1379">
        <v>0</v>
      </c>
      <c r="AF47" s="1509">
        <f t="shared" si="22"/>
        <v>0</v>
      </c>
      <c r="AG47" s="1379"/>
      <c r="AH47" s="1379">
        <f t="shared" si="23"/>
        <v>0</v>
      </c>
      <c r="AI47" s="1509">
        <f t="shared" si="24"/>
        <v>0</v>
      </c>
      <c r="AJ47" s="1530">
        <f t="shared" si="25"/>
        <v>0</v>
      </c>
      <c r="AK47" s="1534">
        <f t="shared" si="26"/>
        <v>0</v>
      </c>
    </row>
    <row r="48" spans="1:37" ht="16.2" customHeight="1">
      <c r="A48" s="1176">
        <v>42</v>
      </c>
      <c r="B48" s="1177" t="s">
        <v>122</v>
      </c>
      <c r="C48" s="1178">
        <v>0</v>
      </c>
      <c r="D48" s="1179">
        <f>+'Table 5C1A-Madison Prep'!D48</f>
        <v>5113.6077751368684</v>
      </c>
      <c r="E48" s="1180">
        <f t="shared" si="5"/>
        <v>0</v>
      </c>
      <c r="F48" s="1180">
        <f>+'Table 5C1A-Madison Prep'!F48</f>
        <v>534.28</v>
      </c>
      <c r="G48" s="1180">
        <f t="shared" si="6"/>
        <v>0</v>
      </c>
      <c r="H48" s="1539">
        <f t="shared" si="7"/>
        <v>0</v>
      </c>
      <c r="I48" s="1181"/>
      <c r="J48" s="1181"/>
      <c r="K48" s="1182">
        <f t="shared" si="8"/>
        <v>0</v>
      </c>
      <c r="L48" s="1539">
        <f t="shared" si="9"/>
        <v>0</v>
      </c>
      <c r="M48" s="1388">
        <f t="shared" si="4"/>
        <v>0</v>
      </c>
      <c r="N48" s="1539">
        <f t="shared" si="10"/>
        <v>0</v>
      </c>
      <c r="O48" s="1179">
        <v>0</v>
      </c>
      <c r="P48" s="1545">
        <f t="shared" si="11"/>
        <v>0</v>
      </c>
      <c r="Q48" s="1181"/>
      <c r="R48" s="1181">
        <f t="shared" si="12"/>
        <v>0</v>
      </c>
      <c r="S48" s="1545">
        <f t="shared" si="13"/>
        <v>0</v>
      </c>
      <c r="T48" s="1545">
        <f t="shared" si="14"/>
        <v>0</v>
      </c>
      <c r="U48" s="1389">
        <f>'Table 5C1A-Madison Prep'!U48</f>
        <v>3578</v>
      </c>
      <c r="V48" s="1515">
        <f t="shared" si="15"/>
        <v>0</v>
      </c>
      <c r="W48" s="1391"/>
      <c r="X48" s="1392">
        <f t="shared" si="16"/>
        <v>0</v>
      </c>
      <c r="Y48" s="1391"/>
      <c r="Z48" s="1392">
        <f t="shared" si="17"/>
        <v>0</v>
      </c>
      <c r="AA48" s="1390">
        <f t="shared" si="18"/>
        <v>0</v>
      </c>
      <c r="AB48" s="1510">
        <f t="shared" si="19"/>
        <v>0</v>
      </c>
      <c r="AC48" s="1394">
        <f t="shared" si="20"/>
        <v>0</v>
      </c>
      <c r="AD48" s="1510">
        <f t="shared" si="21"/>
        <v>0</v>
      </c>
      <c r="AE48" s="1395">
        <v>0</v>
      </c>
      <c r="AF48" s="1510">
        <f t="shared" si="22"/>
        <v>0</v>
      </c>
      <c r="AG48" s="1395"/>
      <c r="AH48" s="1395">
        <f t="shared" si="23"/>
        <v>0</v>
      </c>
      <c r="AI48" s="1510">
        <f t="shared" si="24"/>
        <v>0</v>
      </c>
      <c r="AJ48" s="1505">
        <f t="shared" si="25"/>
        <v>0</v>
      </c>
      <c r="AK48" s="1535">
        <f t="shared" si="26"/>
        <v>0</v>
      </c>
    </row>
    <row r="49" spans="1:37" ht="16.2" customHeight="1">
      <c r="A49" s="1176">
        <v>43</v>
      </c>
      <c r="B49" s="1177" t="s">
        <v>123</v>
      </c>
      <c r="C49" s="1178">
        <v>0</v>
      </c>
      <c r="D49" s="1179">
        <f>+'Table 5C1A-Madison Prep'!D49</f>
        <v>5788.74387205947</v>
      </c>
      <c r="E49" s="1180">
        <f t="shared" si="5"/>
        <v>0</v>
      </c>
      <c r="F49" s="1180">
        <f>+'Table 5C1A-Madison Prep'!F49</f>
        <v>574.6099999999999</v>
      </c>
      <c r="G49" s="1180">
        <f t="shared" si="6"/>
        <v>0</v>
      </c>
      <c r="H49" s="1539">
        <f t="shared" si="7"/>
        <v>0</v>
      </c>
      <c r="I49" s="1181"/>
      <c r="J49" s="1181"/>
      <c r="K49" s="1182">
        <f t="shared" si="8"/>
        <v>0</v>
      </c>
      <c r="L49" s="1539">
        <f t="shared" si="9"/>
        <v>0</v>
      </c>
      <c r="M49" s="1388">
        <f t="shared" si="4"/>
        <v>0</v>
      </c>
      <c r="N49" s="1539">
        <f t="shared" si="10"/>
        <v>0</v>
      </c>
      <c r="O49" s="1179">
        <v>0</v>
      </c>
      <c r="P49" s="1545">
        <f t="shared" si="11"/>
        <v>0</v>
      </c>
      <c r="Q49" s="1181"/>
      <c r="R49" s="1181">
        <f t="shared" si="12"/>
        <v>0</v>
      </c>
      <c r="S49" s="1545">
        <f t="shared" si="13"/>
        <v>0</v>
      </c>
      <c r="T49" s="1545">
        <f t="shared" si="14"/>
        <v>0</v>
      </c>
      <c r="U49" s="1389">
        <f>'Table 5C1A-Madison Prep'!U49</f>
        <v>3205</v>
      </c>
      <c r="V49" s="1515">
        <f t="shared" si="15"/>
        <v>0</v>
      </c>
      <c r="W49" s="1391"/>
      <c r="X49" s="1392">
        <f t="shared" si="16"/>
        <v>0</v>
      </c>
      <c r="Y49" s="1391"/>
      <c r="Z49" s="1392">
        <f t="shared" si="17"/>
        <v>0</v>
      </c>
      <c r="AA49" s="1390">
        <f t="shared" si="18"/>
        <v>0</v>
      </c>
      <c r="AB49" s="1510">
        <f t="shared" si="19"/>
        <v>0</v>
      </c>
      <c r="AC49" s="1394">
        <f t="shared" si="20"/>
        <v>0</v>
      </c>
      <c r="AD49" s="1510">
        <f t="shared" si="21"/>
        <v>0</v>
      </c>
      <c r="AE49" s="1395">
        <v>0</v>
      </c>
      <c r="AF49" s="1510">
        <f t="shared" si="22"/>
        <v>0</v>
      </c>
      <c r="AG49" s="1395"/>
      <c r="AH49" s="1395">
        <f t="shared" si="23"/>
        <v>0</v>
      </c>
      <c r="AI49" s="1510">
        <f t="shared" si="24"/>
        <v>0</v>
      </c>
      <c r="AJ49" s="1505">
        <f t="shared" si="25"/>
        <v>0</v>
      </c>
      <c r="AK49" s="1535">
        <f t="shared" si="26"/>
        <v>0</v>
      </c>
    </row>
    <row r="50" spans="1:37" ht="16.2" customHeight="1">
      <c r="A50" s="1176">
        <v>44</v>
      </c>
      <c r="B50" s="1177" t="s">
        <v>124</v>
      </c>
      <c r="C50" s="1178">
        <v>0</v>
      </c>
      <c r="D50" s="1179">
        <f>+'Table 5C1A-Madison Prep'!D50</f>
        <v>4897.5958151820359</v>
      </c>
      <c r="E50" s="1180">
        <f t="shared" si="5"/>
        <v>0</v>
      </c>
      <c r="F50" s="1180">
        <f>+'Table 5C1A-Madison Prep'!F50</f>
        <v>663.16000000000008</v>
      </c>
      <c r="G50" s="1180">
        <f t="shared" si="6"/>
        <v>0</v>
      </c>
      <c r="H50" s="1539">
        <f t="shared" si="7"/>
        <v>0</v>
      </c>
      <c r="I50" s="1181"/>
      <c r="J50" s="1181"/>
      <c r="K50" s="1182">
        <f t="shared" si="8"/>
        <v>0</v>
      </c>
      <c r="L50" s="1539">
        <f t="shared" si="9"/>
        <v>0</v>
      </c>
      <c r="M50" s="1388">
        <f t="shared" si="4"/>
        <v>0</v>
      </c>
      <c r="N50" s="1539">
        <f t="shared" si="10"/>
        <v>0</v>
      </c>
      <c r="O50" s="1179">
        <v>0</v>
      </c>
      <c r="P50" s="1545">
        <f t="shared" si="11"/>
        <v>0</v>
      </c>
      <c r="Q50" s="1181"/>
      <c r="R50" s="1181">
        <f t="shared" si="12"/>
        <v>0</v>
      </c>
      <c r="S50" s="1545">
        <f t="shared" si="13"/>
        <v>0</v>
      </c>
      <c r="T50" s="1545">
        <f t="shared" si="14"/>
        <v>0</v>
      </c>
      <c r="U50" s="1389">
        <f>'Table 5C1A-Madison Prep'!U50</f>
        <v>3719</v>
      </c>
      <c r="V50" s="1515">
        <f t="shared" si="15"/>
        <v>0</v>
      </c>
      <c r="W50" s="1391"/>
      <c r="X50" s="1392">
        <f t="shared" si="16"/>
        <v>0</v>
      </c>
      <c r="Y50" s="1391"/>
      <c r="Z50" s="1392">
        <f t="shared" si="17"/>
        <v>0</v>
      </c>
      <c r="AA50" s="1390">
        <f t="shared" si="18"/>
        <v>0</v>
      </c>
      <c r="AB50" s="1510">
        <f t="shared" si="19"/>
        <v>0</v>
      </c>
      <c r="AC50" s="1394">
        <f t="shared" si="20"/>
        <v>0</v>
      </c>
      <c r="AD50" s="1510">
        <f t="shared" si="21"/>
        <v>0</v>
      </c>
      <c r="AE50" s="1395">
        <v>0</v>
      </c>
      <c r="AF50" s="1510">
        <f t="shared" si="22"/>
        <v>0</v>
      </c>
      <c r="AG50" s="1395"/>
      <c r="AH50" s="1395">
        <f t="shared" si="23"/>
        <v>0</v>
      </c>
      <c r="AI50" s="1510">
        <f t="shared" si="24"/>
        <v>0</v>
      </c>
      <c r="AJ50" s="1505">
        <f t="shared" si="25"/>
        <v>0</v>
      </c>
      <c r="AK50" s="1535">
        <f t="shared" si="26"/>
        <v>0</v>
      </c>
    </row>
    <row r="51" spans="1:37" ht="16.2" customHeight="1">
      <c r="A51" s="1168">
        <v>45</v>
      </c>
      <c r="B51" s="1169" t="s">
        <v>125</v>
      </c>
      <c r="C51" s="1170">
        <v>0</v>
      </c>
      <c r="D51" s="1171">
        <f>+'Table 5C1A-Madison Prep'!D51</f>
        <v>2054.0472499469101</v>
      </c>
      <c r="E51" s="1172">
        <f t="shared" si="5"/>
        <v>0</v>
      </c>
      <c r="F51" s="1172">
        <f>+'Table 5C1A-Madison Prep'!F51</f>
        <v>753.96000000000015</v>
      </c>
      <c r="G51" s="1172">
        <f t="shared" si="6"/>
        <v>0</v>
      </c>
      <c r="H51" s="1540">
        <f t="shared" si="7"/>
        <v>0</v>
      </c>
      <c r="I51" s="1173"/>
      <c r="J51" s="1173"/>
      <c r="K51" s="1174">
        <f t="shared" si="8"/>
        <v>0</v>
      </c>
      <c r="L51" s="1540">
        <f t="shared" si="9"/>
        <v>0</v>
      </c>
      <c r="M51" s="1399">
        <f t="shared" si="4"/>
        <v>0</v>
      </c>
      <c r="N51" s="1540">
        <f t="shared" si="10"/>
        <v>0</v>
      </c>
      <c r="O51" s="1171">
        <v>0</v>
      </c>
      <c r="P51" s="1546">
        <f t="shared" si="11"/>
        <v>0</v>
      </c>
      <c r="Q51" s="1173"/>
      <c r="R51" s="1173">
        <f t="shared" si="12"/>
        <v>0</v>
      </c>
      <c r="S51" s="1546">
        <f t="shared" si="13"/>
        <v>0</v>
      </c>
      <c r="T51" s="1546">
        <f t="shared" si="14"/>
        <v>0</v>
      </c>
      <c r="U51" s="1382">
        <f>'Table 5C1A-Madison Prep'!U51</f>
        <v>12169</v>
      </c>
      <c r="V51" s="1516">
        <f t="shared" si="15"/>
        <v>0</v>
      </c>
      <c r="W51" s="1400"/>
      <c r="X51" s="1383">
        <f t="shared" si="16"/>
        <v>0</v>
      </c>
      <c r="Y51" s="1400"/>
      <c r="Z51" s="1383">
        <f t="shared" si="17"/>
        <v>0</v>
      </c>
      <c r="AA51" s="1384">
        <f t="shared" si="18"/>
        <v>0</v>
      </c>
      <c r="AB51" s="1511">
        <f t="shared" si="19"/>
        <v>0</v>
      </c>
      <c r="AC51" s="1402">
        <f t="shared" si="20"/>
        <v>0</v>
      </c>
      <c r="AD51" s="1511">
        <f t="shared" si="21"/>
        <v>0</v>
      </c>
      <c r="AE51" s="1385">
        <v>0</v>
      </c>
      <c r="AF51" s="1511">
        <f t="shared" si="22"/>
        <v>0</v>
      </c>
      <c r="AG51" s="1385"/>
      <c r="AH51" s="1385">
        <f t="shared" si="23"/>
        <v>0</v>
      </c>
      <c r="AI51" s="1511">
        <f t="shared" si="24"/>
        <v>0</v>
      </c>
      <c r="AJ51" s="1531">
        <f t="shared" si="25"/>
        <v>0</v>
      </c>
      <c r="AK51" s="1536">
        <f t="shared" si="26"/>
        <v>0</v>
      </c>
    </row>
    <row r="52" spans="1:37" ht="16.2" customHeight="1">
      <c r="A52" s="1183">
        <v>46</v>
      </c>
      <c r="B52" s="1184" t="s">
        <v>126</v>
      </c>
      <c r="C52" s="1185">
        <v>0</v>
      </c>
      <c r="D52" s="1186">
        <f>+'Table 5C1A-Madison Prep'!D52</f>
        <v>6051.2144468088381</v>
      </c>
      <c r="E52" s="1187">
        <f t="shared" si="5"/>
        <v>0</v>
      </c>
      <c r="F52" s="1187">
        <f>+'Table 5C1A-Madison Prep'!F52</f>
        <v>728.06</v>
      </c>
      <c r="G52" s="1187">
        <f t="shared" si="6"/>
        <v>0</v>
      </c>
      <c r="H52" s="1538">
        <f t="shared" si="7"/>
        <v>0</v>
      </c>
      <c r="I52" s="1188"/>
      <c r="J52" s="1188"/>
      <c r="K52" s="1189">
        <f t="shared" si="8"/>
        <v>0</v>
      </c>
      <c r="L52" s="1538">
        <f t="shared" si="9"/>
        <v>0</v>
      </c>
      <c r="M52" s="1372">
        <f t="shared" si="4"/>
        <v>0</v>
      </c>
      <c r="N52" s="1538">
        <f t="shared" si="10"/>
        <v>0</v>
      </c>
      <c r="O52" s="1186">
        <v>0</v>
      </c>
      <c r="P52" s="1544">
        <f t="shared" si="11"/>
        <v>0</v>
      </c>
      <c r="Q52" s="1188"/>
      <c r="R52" s="1188">
        <f t="shared" si="12"/>
        <v>0</v>
      </c>
      <c r="S52" s="1544">
        <f t="shared" si="13"/>
        <v>0</v>
      </c>
      <c r="T52" s="1544">
        <f t="shared" si="14"/>
        <v>0</v>
      </c>
      <c r="U52" s="1373">
        <f>'Table 5C1A-Madison Prep'!U52</f>
        <v>2713</v>
      </c>
      <c r="V52" s="1514">
        <f t="shared" si="15"/>
        <v>0</v>
      </c>
      <c r="W52" s="1375"/>
      <c r="X52" s="1376">
        <f t="shared" si="16"/>
        <v>0</v>
      </c>
      <c r="Y52" s="1375"/>
      <c r="Z52" s="1376">
        <f t="shared" si="17"/>
        <v>0</v>
      </c>
      <c r="AA52" s="1374">
        <f t="shared" si="18"/>
        <v>0</v>
      </c>
      <c r="AB52" s="1509">
        <f t="shared" si="19"/>
        <v>0</v>
      </c>
      <c r="AC52" s="1378">
        <f t="shared" si="20"/>
        <v>0</v>
      </c>
      <c r="AD52" s="1509">
        <f t="shared" si="21"/>
        <v>0</v>
      </c>
      <c r="AE52" s="1379">
        <v>0</v>
      </c>
      <c r="AF52" s="1509">
        <f t="shared" si="22"/>
        <v>0</v>
      </c>
      <c r="AG52" s="1379"/>
      <c r="AH52" s="1379">
        <f t="shared" si="23"/>
        <v>0</v>
      </c>
      <c r="AI52" s="1509">
        <f t="shared" si="24"/>
        <v>0</v>
      </c>
      <c r="AJ52" s="1530">
        <f t="shared" si="25"/>
        <v>0</v>
      </c>
      <c r="AK52" s="1534">
        <f t="shared" si="26"/>
        <v>0</v>
      </c>
    </row>
    <row r="53" spans="1:37" ht="16.2" customHeight="1">
      <c r="A53" s="1176">
        <v>47</v>
      </c>
      <c r="B53" s="1177" t="s">
        <v>127</v>
      </c>
      <c r="C53" s="1178">
        <v>0</v>
      </c>
      <c r="D53" s="1179">
        <f>+'Table 5C1A-Madison Prep'!D53</f>
        <v>2524.1485257646736</v>
      </c>
      <c r="E53" s="1180">
        <f t="shared" si="5"/>
        <v>0</v>
      </c>
      <c r="F53" s="1180">
        <f>+'Table 5C1A-Madison Prep'!F53</f>
        <v>910.76</v>
      </c>
      <c r="G53" s="1180">
        <f t="shared" si="6"/>
        <v>0</v>
      </c>
      <c r="H53" s="1539">
        <f t="shared" si="7"/>
        <v>0</v>
      </c>
      <c r="I53" s="1181"/>
      <c r="J53" s="1181"/>
      <c r="K53" s="1182">
        <f t="shared" si="8"/>
        <v>0</v>
      </c>
      <c r="L53" s="1539">
        <f t="shared" si="9"/>
        <v>0</v>
      </c>
      <c r="M53" s="1388">
        <f t="shared" si="4"/>
        <v>0</v>
      </c>
      <c r="N53" s="1539">
        <f t="shared" si="10"/>
        <v>0</v>
      </c>
      <c r="O53" s="1179">
        <v>0</v>
      </c>
      <c r="P53" s="1545">
        <f t="shared" si="11"/>
        <v>0</v>
      </c>
      <c r="Q53" s="1181"/>
      <c r="R53" s="1181">
        <f t="shared" si="12"/>
        <v>0</v>
      </c>
      <c r="S53" s="1545">
        <f t="shared" si="13"/>
        <v>0</v>
      </c>
      <c r="T53" s="1545">
        <f t="shared" si="14"/>
        <v>0</v>
      </c>
      <c r="U53" s="1389">
        <f>'Table 5C1A-Madison Prep'!U53</f>
        <v>11701</v>
      </c>
      <c r="V53" s="1515">
        <f t="shared" si="15"/>
        <v>0</v>
      </c>
      <c r="W53" s="1391"/>
      <c r="X53" s="1392">
        <f t="shared" si="16"/>
        <v>0</v>
      </c>
      <c r="Y53" s="1391"/>
      <c r="Z53" s="1392">
        <f t="shared" si="17"/>
        <v>0</v>
      </c>
      <c r="AA53" s="1390">
        <f t="shared" si="18"/>
        <v>0</v>
      </c>
      <c r="AB53" s="1510">
        <f t="shared" si="19"/>
        <v>0</v>
      </c>
      <c r="AC53" s="1394">
        <f t="shared" si="20"/>
        <v>0</v>
      </c>
      <c r="AD53" s="1510">
        <f t="shared" si="21"/>
        <v>0</v>
      </c>
      <c r="AE53" s="1395">
        <v>0</v>
      </c>
      <c r="AF53" s="1510">
        <f t="shared" si="22"/>
        <v>0</v>
      </c>
      <c r="AG53" s="1395"/>
      <c r="AH53" s="1395">
        <f t="shared" si="23"/>
        <v>0</v>
      </c>
      <c r="AI53" s="1510">
        <f t="shared" si="24"/>
        <v>0</v>
      </c>
      <c r="AJ53" s="1505">
        <f t="shared" si="25"/>
        <v>0</v>
      </c>
      <c r="AK53" s="1535">
        <f t="shared" si="26"/>
        <v>0</v>
      </c>
    </row>
    <row r="54" spans="1:37" ht="16.2" customHeight="1">
      <c r="A54" s="1176">
        <v>48</v>
      </c>
      <c r="B54" s="1177" t="s">
        <v>178</v>
      </c>
      <c r="C54" s="1178">
        <v>0</v>
      </c>
      <c r="D54" s="1179">
        <f>+'Table 5C1A-Madison Prep'!D54</f>
        <v>3983.3582529800719</v>
      </c>
      <c r="E54" s="1180">
        <f t="shared" si="5"/>
        <v>0</v>
      </c>
      <c r="F54" s="1180">
        <f>+'Table 5C1A-Madison Prep'!F54</f>
        <v>871.07</v>
      </c>
      <c r="G54" s="1180">
        <f t="shared" si="6"/>
        <v>0</v>
      </c>
      <c r="H54" s="1539">
        <f t="shared" si="7"/>
        <v>0</v>
      </c>
      <c r="I54" s="1181"/>
      <c r="J54" s="1181"/>
      <c r="K54" s="1182">
        <f t="shared" si="8"/>
        <v>0</v>
      </c>
      <c r="L54" s="1539">
        <f t="shared" si="9"/>
        <v>0</v>
      </c>
      <c r="M54" s="1388">
        <f t="shared" si="4"/>
        <v>0</v>
      </c>
      <c r="N54" s="1539">
        <f t="shared" si="10"/>
        <v>0</v>
      </c>
      <c r="O54" s="1179">
        <v>0</v>
      </c>
      <c r="P54" s="1545">
        <f t="shared" si="11"/>
        <v>0</v>
      </c>
      <c r="Q54" s="1181"/>
      <c r="R54" s="1181">
        <f t="shared" si="12"/>
        <v>0</v>
      </c>
      <c r="S54" s="1545">
        <f t="shared" si="13"/>
        <v>0</v>
      </c>
      <c r="T54" s="1545">
        <f t="shared" si="14"/>
        <v>0</v>
      </c>
      <c r="U54" s="1389">
        <f>'Table 5C1A-Madison Prep'!U54</f>
        <v>7338</v>
      </c>
      <c r="V54" s="1515">
        <f t="shared" si="15"/>
        <v>0</v>
      </c>
      <c r="W54" s="1391"/>
      <c r="X54" s="1392">
        <f t="shared" si="16"/>
        <v>0</v>
      </c>
      <c r="Y54" s="1391"/>
      <c r="Z54" s="1392">
        <f t="shared" si="17"/>
        <v>0</v>
      </c>
      <c r="AA54" s="1390">
        <f t="shared" si="18"/>
        <v>0</v>
      </c>
      <c r="AB54" s="1510">
        <f t="shared" si="19"/>
        <v>0</v>
      </c>
      <c r="AC54" s="1394">
        <f t="shared" si="20"/>
        <v>0</v>
      </c>
      <c r="AD54" s="1510">
        <f t="shared" si="21"/>
        <v>0</v>
      </c>
      <c r="AE54" s="1395">
        <v>0</v>
      </c>
      <c r="AF54" s="1510">
        <f t="shared" si="22"/>
        <v>0</v>
      </c>
      <c r="AG54" s="1395"/>
      <c r="AH54" s="1395">
        <f t="shared" si="23"/>
        <v>0</v>
      </c>
      <c r="AI54" s="1510">
        <f t="shared" si="24"/>
        <v>0</v>
      </c>
      <c r="AJ54" s="1505">
        <f t="shared" si="25"/>
        <v>0</v>
      </c>
      <c r="AK54" s="1535">
        <f t="shared" si="26"/>
        <v>0</v>
      </c>
    </row>
    <row r="55" spans="1:37" ht="16.2" customHeight="1">
      <c r="A55" s="1176">
        <v>49</v>
      </c>
      <c r="B55" s="1177" t="s">
        <v>128</v>
      </c>
      <c r="C55" s="1178">
        <v>0</v>
      </c>
      <c r="D55" s="1179">
        <f>+'Table 5C1A-Madison Prep'!D55</f>
        <v>4995.8755315659191</v>
      </c>
      <c r="E55" s="1180">
        <f t="shared" si="5"/>
        <v>0</v>
      </c>
      <c r="F55" s="1180">
        <f>+'Table 5C1A-Madison Prep'!F55</f>
        <v>574.43999999999994</v>
      </c>
      <c r="G55" s="1180">
        <f t="shared" si="6"/>
        <v>0</v>
      </c>
      <c r="H55" s="1539">
        <f t="shared" si="7"/>
        <v>0</v>
      </c>
      <c r="I55" s="1181"/>
      <c r="J55" s="1181"/>
      <c r="K55" s="1182">
        <f t="shared" si="8"/>
        <v>0</v>
      </c>
      <c r="L55" s="1539">
        <f t="shared" si="9"/>
        <v>0</v>
      </c>
      <c r="M55" s="1388">
        <f t="shared" si="4"/>
        <v>0</v>
      </c>
      <c r="N55" s="1539">
        <f t="shared" si="10"/>
        <v>0</v>
      </c>
      <c r="O55" s="1179">
        <v>0</v>
      </c>
      <c r="P55" s="1545">
        <f t="shared" si="11"/>
        <v>0</v>
      </c>
      <c r="Q55" s="1181"/>
      <c r="R55" s="1181">
        <f t="shared" si="12"/>
        <v>0</v>
      </c>
      <c r="S55" s="1545">
        <f t="shared" si="13"/>
        <v>0</v>
      </c>
      <c r="T55" s="1545">
        <f t="shared" si="14"/>
        <v>0</v>
      </c>
      <c r="U55" s="1389">
        <f>'Table 5C1A-Madison Prep'!U55</f>
        <v>2353</v>
      </c>
      <c r="V55" s="1515">
        <f t="shared" si="15"/>
        <v>0</v>
      </c>
      <c r="W55" s="1391"/>
      <c r="X55" s="1392">
        <f t="shared" si="16"/>
        <v>0</v>
      </c>
      <c r="Y55" s="1391"/>
      <c r="Z55" s="1392">
        <f t="shared" si="17"/>
        <v>0</v>
      </c>
      <c r="AA55" s="1390">
        <f t="shared" si="18"/>
        <v>0</v>
      </c>
      <c r="AB55" s="1510">
        <f t="shared" si="19"/>
        <v>0</v>
      </c>
      <c r="AC55" s="1394">
        <f t="shared" si="20"/>
        <v>0</v>
      </c>
      <c r="AD55" s="1510">
        <f t="shared" si="21"/>
        <v>0</v>
      </c>
      <c r="AE55" s="1395">
        <v>0</v>
      </c>
      <c r="AF55" s="1510">
        <f t="shared" si="22"/>
        <v>0</v>
      </c>
      <c r="AG55" s="1395"/>
      <c r="AH55" s="1395">
        <f t="shared" si="23"/>
        <v>0</v>
      </c>
      <c r="AI55" s="1510">
        <f t="shared" si="24"/>
        <v>0</v>
      </c>
      <c r="AJ55" s="1505">
        <f t="shared" si="25"/>
        <v>0</v>
      </c>
      <c r="AK55" s="1535">
        <f t="shared" si="26"/>
        <v>0</v>
      </c>
    </row>
    <row r="56" spans="1:37" ht="16.2" customHeight="1">
      <c r="A56" s="1168">
        <v>50</v>
      </c>
      <c r="B56" s="1169" t="s">
        <v>129</v>
      </c>
      <c r="C56" s="1170">
        <v>0</v>
      </c>
      <c r="D56" s="1171">
        <f>+'Table 5C1A-Madison Prep'!D56</f>
        <v>5177.6892722701677</v>
      </c>
      <c r="E56" s="1172">
        <f t="shared" si="5"/>
        <v>0</v>
      </c>
      <c r="F56" s="1172">
        <f>+'Table 5C1A-Madison Prep'!F56</f>
        <v>634.46</v>
      </c>
      <c r="G56" s="1172">
        <f t="shared" si="6"/>
        <v>0</v>
      </c>
      <c r="H56" s="1540">
        <f t="shared" si="7"/>
        <v>0</v>
      </c>
      <c r="I56" s="1173"/>
      <c r="J56" s="1173"/>
      <c r="K56" s="1174">
        <f t="shared" si="8"/>
        <v>0</v>
      </c>
      <c r="L56" s="1540">
        <f t="shared" si="9"/>
        <v>0</v>
      </c>
      <c r="M56" s="1399">
        <f t="shared" si="4"/>
        <v>0</v>
      </c>
      <c r="N56" s="1540">
        <f t="shared" si="10"/>
        <v>0</v>
      </c>
      <c r="O56" s="1171">
        <v>0</v>
      </c>
      <c r="P56" s="1546">
        <f t="shared" si="11"/>
        <v>0</v>
      </c>
      <c r="Q56" s="1173"/>
      <c r="R56" s="1173">
        <f t="shared" si="12"/>
        <v>0</v>
      </c>
      <c r="S56" s="1546">
        <f t="shared" si="13"/>
        <v>0</v>
      </c>
      <c r="T56" s="1546">
        <f t="shared" si="14"/>
        <v>0</v>
      </c>
      <c r="U56" s="1382">
        <f>'Table 5C1A-Madison Prep'!U56</f>
        <v>3510</v>
      </c>
      <c r="V56" s="1516">
        <f t="shared" si="15"/>
        <v>0</v>
      </c>
      <c r="W56" s="1400"/>
      <c r="X56" s="1383">
        <f t="shared" si="16"/>
        <v>0</v>
      </c>
      <c r="Y56" s="1400"/>
      <c r="Z56" s="1383">
        <f t="shared" si="17"/>
        <v>0</v>
      </c>
      <c r="AA56" s="1384">
        <f t="shared" si="18"/>
        <v>0</v>
      </c>
      <c r="AB56" s="1511">
        <f t="shared" si="19"/>
        <v>0</v>
      </c>
      <c r="AC56" s="1402">
        <f t="shared" si="20"/>
        <v>0</v>
      </c>
      <c r="AD56" s="1511">
        <f t="shared" si="21"/>
        <v>0</v>
      </c>
      <c r="AE56" s="1385">
        <v>0</v>
      </c>
      <c r="AF56" s="1511">
        <f t="shared" si="22"/>
        <v>0</v>
      </c>
      <c r="AG56" s="1385"/>
      <c r="AH56" s="1385">
        <f t="shared" si="23"/>
        <v>0</v>
      </c>
      <c r="AI56" s="1511">
        <f t="shared" si="24"/>
        <v>0</v>
      </c>
      <c r="AJ56" s="1531">
        <f t="shared" si="25"/>
        <v>0</v>
      </c>
      <c r="AK56" s="1536">
        <f t="shared" si="26"/>
        <v>0</v>
      </c>
    </row>
    <row r="57" spans="1:37" ht="16.2" customHeight="1">
      <c r="A57" s="1183">
        <v>51</v>
      </c>
      <c r="B57" s="1184" t="s">
        <v>130</v>
      </c>
      <c r="C57" s="1185">
        <v>0</v>
      </c>
      <c r="D57" s="1186">
        <f>+'Table 5C1A-Madison Prep'!D57</f>
        <v>4154.1928602178996</v>
      </c>
      <c r="E57" s="1187">
        <f t="shared" si="5"/>
        <v>0</v>
      </c>
      <c r="F57" s="1187">
        <f>+'Table 5C1A-Madison Prep'!F57</f>
        <v>706.66</v>
      </c>
      <c r="G57" s="1187">
        <f t="shared" si="6"/>
        <v>0</v>
      </c>
      <c r="H57" s="1538">
        <f t="shared" si="7"/>
        <v>0</v>
      </c>
      <c r="I57" s="1188"/>
      <c r="J57" s="1188"/>
      <c r="K57" s="1189">
        <f t="shared" si="8"/>
        <v>0</v>
      </c>
      <c r="L57" s="1538">
        <f t="shared" si="9"/>
        <v>0</v>
      </c>
      <c r="M57" s="1372">
        <f t="shared" si="4"/>
        <v>0</v>
      </c>
      <c r="N57" s="1538">
        <f t="shared" si="10"/>
        <v>0</v>
      </c>
      <c r="O57" s="1186">
        <v>0</v>
      </c>
      <c r="P57" s="1544">
        <f t="shared" si="11"/>
        <v>0</v>
      </c>
      <c r="Q57" s="1188"/>
      <c r="R57" s="1188">
        <f t="shared" si="12"/>
        <v>0</v>
      </c>
      <c r="S57" s="1544">
        <f t="shared" si="13"/>
        <v>0</v>
      </c>
      <c r="T57" s="1544">
        <f t="shared" si="14"/>
        <v>0</v>
      </c>
      <c r="U57" s="1373">
        <f>'Table 5C1A-Madison Prep'!U57</f>
        <v>4597</v>
      </c>
      <c r="V57" s="1514">
        <f t="shared" si="15"/>
        <v>0</v>
      </c>
      <c r="W57" s="1375"/>
      <c r="X57" s="1376">
        <f t="shared" si="16"/>
        <v>0</v>
      </c>
      <c r="Y57" s="1375"/>
      <c r="Z57" s="1376">
        <f t="shared" si="17"/>
        <v>0</v>
      </c>
      <c r="AA57" s="1374">
        <f t="shared" si="18"/>
        <v>0</v>
      </c>
      <c r="AB57" s="1509">
        <f t="shared" si="19"/>
        <v>0</v>
      </c>
      <c r="AC57" s="1378">
        <f t="shared" si="20"/>
        <v>0</v>
      </c>
      <c r="AD57" s="1509">
        <f t="shared" si="21"/>
        <v>0</v>
      </c>
      <c r="AE57" s="1379">
        <v>0</v>
      </c>
      <c r="AF57" s="1509">
        <f t="shared" si="22"/>
        <v>0</v>
      </c>
      <c r="AG57" s="1379"/>
      <c r="AH57" s="1379">
        <f t="shared" si="23"/>
        <v>0</v>
      </c>
      <c r="AI57" s="1509">
        <f t="shared" si="24"/>
        <v>0</v>
      </c>
      <c r="AJ57" s="1530">
        <f t="shared" si="25"/>
        <v>0</v>
      </c>
      <c r="AK57" s="1534">
        <f t="shared" si="26"/>
        <v>0</v>
      </c>
    </row>
    <row r="58" spans="1:37" ht="16.2" customHeight="1">
      <c r="A58" s="1176">
        <v>52</v>
      </c>
      <c r="B58" s="1177" t="s">
        <v>131</v>
      </c>
      <c r="C58" s="1178">
        <v>0</v>
      </c>
      <c r="D58" s="1179">
        <f>+'Table 5C1A-Madison Prep'!D58</f>
        <v>5062.2745845228173</v>
      </c>
      <c r="E58" s="1180">
        <f t="shared" si="5"/>
        <v>0</v>
      </c>
      <c r="F58" s="1180">
        <f>+'Table 5C1A-Madison Prep'!F58</f>
        <v>658.37</v>
      </c>
      <c r="G58" s="1180">
        <f t="shared" si="6"/>
        <v>0</v>
      </c>
      <c r="H58" s="1539">
        <f t="shared" si="7"/>
        <v>0</v>
      </c>
      <c r="I58" s="1181"/>
      <c r="J58" s="1181"/>
      <c r="K58" s="1182">
        <f t="shared" si="8"/>
        <v>0</v>
      </c>
      <c r="L58" s="1539">
        <f t="shared" si="9"/>
        <v>0</v>
      </c>
      <c r="M58" s="1388">
        <f t="shared" si="4"/>
        <v>0</v>
      </c>
      <c r="N58" s="1539">
        <f t="shared" si="10"/>
        <v>0</v>
      </c>
      <c r="O58" s="1179">
        <v>0</v>
      </c>
      <c r="P58" s="1545">
        <f t="shared" si="11"/>
        <v>0</v>
      </c>
      <c r="Q58" s="1181"/>
      <c r="R58" s="1181">
        <f t="shared" si="12"/>
        <v>0</v>
      </c>
      <c r="S58" s="1545">
        <f t="shared" si="13"/>
        <v>0</v>
      </c>
      <c r="T58" s="1545">
        <f t="shared" si="14"/>
        <v>0</v>
      </c>
      <c r="U58" s="1389">
        <f>'Table 5C1A-Madison Prep'!U58</f>
        <v>5212</v>
      </c>
      <c r="V58" s="1515">
        <f t="shared" si="15"/>
        <v>0</v>
      </c>
      <c r="W58" s="1391"/>
      <c r="X58" s="1392">
        <f t="shared" si="16"/>
        <v>0</v>
      </c>
      <c r="Y58" s="1391"/>
      <c r="Z58" s="1392">
        <f t="shared" si="17"/>
        <v>0</v>
      </c>
      <c r="AA58" s="1390">
        <f t="shared" si="18"/>
        <v>0</v>
      </c>
      <c r="AB58" s="1510">
        <f t="shared" si="19"/>
        <v>0</v>
      </c>
      <c r="AC58" s="1394">
        <f t="shared" si="20"/>
        <v>0</v>
      </c>
      <c r="AD58" s="1510">
        <f t="shared" si="21"/>
        <v>0</v>
      </c>
      <c r="AE58" s="1395">
        <v>0</v>
      </c>
      <c r="AF58" s="1510">
        <f t="shared" si="22"/>
        <v>0</v>
      </c>
      <c r="AG58" s="1395"/>
      <c r="AH58" s="1395">
        <f t="shared" si="23"/>
        <v>0</v>
      </c>
      <c r="AI58" s="1510">
        <f t="shared" si="24"/>
        <v>0</v>
      </c>
      <c r="AJ58" s="1505">
        <f t="shared" si="25"/>
        <v>0</v>
      </c>
      <c r="AK58" s="1535">
        <f t="shared" si="26"/>
        <v>0</v>
      </c>
    </row>
    <row r="59" spans="1:37" ht="16.2" customHeight="1">
      <c r="A59" s="1176">
        <v>53</v>
      </c>
      <c r="B59" s="1177" t="s">
        <v>132</v>
      </c>
      <c r="C59" s="1178">
        <v>0</v>
      </c>
      <c r="D59" s="1179">
        <f>+'Table 5C1A-Madison Prep'!D59</f>
        <v>5060.1508194045482</v>
      </c>
      <c r="E59" s="1180">
        <f t="shared" si="5"/>
        <v>0</v>
      </c>
      <c r="F59" s="1180">
        <f>+'Table 5C1A-Madison Prep'!F59</f>
        <v>689.74</v>
      </c>
      <c r="G59" s="1180">
        <f t="shared" si="6"/>
        <v>0</v>
      </c>
      <c r="H59" s="1539">
        <f t="shared" si="7"/>
        <v>0</v>
      </c>
      <c r="I59" s="1181"/>
      <c r="J59" s="1181"/>
      <c r="K59" s="1182">
        <f t="shared" si="8"/>
        <v>0</v>
      </c>
      <c r="L59" s="1539">
        <f t="shared" si="9"/>
        <v>0</v>
      </c>
      <c r="M59" s="1388">
        <f t="shared" si="4"/>
        <v>0</v>
      </c>
      <c r="N59" s="1539">
        <f t="shared" si="10"/>
        <v>0</v>
      </c>
      <c r="O59" s="1179">
        <v>0</v>
      </c>
      <c r="P59" s="1545">
        <f t="shared" si="11"/>
        <v>0</v>
      </c>
      <c r="Q59" s="1181"/>
      <c r="R59" s="1181">
        <f t="shared" si="12"/>
        <v>0</v>
      </c>
      <c r="S59" s="1545">
        <f t="shared" si="13"/>
        <v>0</v>
      </c>
      <c r="T59" s="1545">
        <f t="shared" si="14"/>
        <v>0</v>
      </c>
      <c r="U59" s="1389">
        <f>'Table 5C1A-Madison Prep'!U59</f>
        <v>2054</v>
      </c>
      <c r="V59" s="1515">
        <f t="shared" si="15"/>
        <v>0</v>
      </c>
      <c r="W59" s="1391"/>
      <c r="X59" s="1392">
        <f t="shared" si="16"/>
        <v>0</v>
      </c>
      <c r="Y59" s="1391"/>
      <c r="Z59" s="1392">
        <f t="shared" si="17"/>
        <v>0</v>
      </c>
      <c r="AA59" s="1390">
        <f t="shared" si="18"/>
        <v>0</v>
      </c>
      <c r="AB59" s="1510">
        <f t="shared" si="19"/>
        <v>0</v>
      </c>
      <c r="AC59" s="1394">
        <f t="shared" si="20"/>
        <v>0</v>
      </c>
      <c r="AD59" s="1510">
        <f t="shared" si="21"/>
        <v>0</v>
      </c>
      <c r="AE59" s="1395">
        <v>0</v>
      </c>
      <c r="AF59" s="1510">
        <f t="shared" si="22"/>
        <v>0</v>
      </c>
      <c r="AG59" s="1395"/>
      <c r="AH59" s="1395">
        <f t="shared" si="23"/>
        <v>0</v>
      </c>
      <c r="AI59" s="1510">
        <f t="shared" si="24"/>
        <v>0</v>
      </c>
      <c r="AJ59" s="1505">
        <f t="shared" si="25"/>
        <v>0</v>
      </c>
      <c r="AK59" s="1535">
        <f t="shared" si="26"/>
        <v>0</v>
      </c>
    </row>
    <row r="60" spans="1:37" ht="16.2" customHeight="1">
      <c r="A60" s="1176">
        <v>54</v>
      </c>
      <c r="B60" s="1177" t="s">
        <v>133</v>
      </c>
      <c r="C60" s="1178">
        <v>0</v>
      </c>
      <c r="D60" s="1179">
        <f>+'Table 5C1A-Madison Prep'!D60</f>
        <v>5867.0798370516713</v>
      </c>
      <c r="E60" s="1180">
        <f t="shared" si="5"/>
        <v>0</v>
      </c>
      <c r="F60" s="1180">
        <f>+'Table 5C1A-Madison Prep'!F60</f>
        <v>951.45</v>
      </c>
      <c r="G60" s="1180">
        <f t="shared" si="6"/>
        <v>0</v>
      </c>
      <c r="H60" s="1539">
        <f t="shared" si="7"/>
        <v>0</v>
      </c>
      <c r="I60" s="1181"/>
      <c r="J60" s="1181"/>
      <c r="K60" s="1182">
        <f t="shared" si="8"/>
        <v>0</v>
      </c>
      <c r="L60" s="1539">
        <f t="shared" si="9"/>
        <v>0</v>
      </c>
      <c r="M60" s="1388">
        <f t="shared" si="4"/>
        <v>0</v>
      </c>
      <c r="N60" s="1539">
        <f t="shared" si="10"/>
        <v>0</v>
      </c>
      <c r="O60" s="1179">
        <v>0</v>
      </c>
      <c r="P60" s="1545">
        <f t="shared" si="11"/>
        <v>0</v>
      </c>
      <c r="Q60" s="1181"/>
      <c r="R60" s="1181">
        <f t="shared" si="12"/>
        <v>0</v>
      </c>
      <c r="S60" s="1545">
        <f t="shared" si="13"/>
        <v>0</v>
      </c>
      <c r="T60" s="1545">
        <f t="shared" si="14"/>
        <v>0</v>
      </c>
      <c r="U60" s="1389">
        <f>'Table 5C1A-Madison Prep'!U60</f>
        <v>4116</v>
      </c>
      <c r="V60" s="1515">
        <f t="shared" si="15"/>
        <v>0</v>
      </c>
      <c r="W60" s="1391"/>
      <c r="X60" s="1392">
        <f t="shared" si="16"/>
        <v>0</v>
      </c>
      <c r="Y60" s="1391"/>
      <c r="Z60" s="1392">
        <f t="shared" si="17"/>
        <v>0</v>
      </c>
      <c r="AA60" s="1390">
        <f t="shared" si="18"/>
        <v>0</v>
      </c>
      <c r="AB60" s="1510">
        <f t="shared" si="19"/>
        <v>0</v>
      </c>
      <c r="AC60" s="1394">
        <f t="shared" si="20"/>
        <v>0</v>
      </c>
      <c r="AD60" s="1510">
        <f t="shared" si="21"/>
        <v>0</v>
      </c>
      <c r="AE60" s="1395">
        <v>0</v>
      </c>
      <c r="AF60" s="1510">
        <f t="shared" si="22"/>
        <v>0</v>
      </c>
      <c r="AG60" s="1395"/>
      <c r="AH60" s="1395">
        <f t="shared" si="23"/>
        <v>0</v>
      </c>
      <c r="AI60" s="1510">
        <f t="shared" si="24"/>
        <v>0</v>
      </c>
      <c r="AJ60" s="1505">
        <f t="shared" si="25"/>
        <v>0</v>
      </c>
      <c r="AK60" s="1535">
        <f t="shared" si="26"/>
        <v>0</v>
      </c>
    </row>
    <row r="61" spans="1:37" ht="16.2" customHeight="1">
      <c r="A61" s="1168">
        <v>55</v>
      </c>
      <c r="B61" s="1169" t="s">
        <v>134</v>
      </c>
      <c r="C61" s="1170">
        <v>0</v>
      </c>
      <c r="D61" s="1171">
        <f>+'Table 5C1A-Madison Prep'!D61</f>
        <v>4266.8225491298481</v>
      </c>
      <c r="E61" s="1172">
        <f t="shared" si="5"/>
        <v>0</v>
      </c>
      <c r="F61" s="1172">
        <f>+'Table 5C1A-Madison Prep'!F61</f>
        <v>795.14</v>
      </c>
      <c r="G61" s="1172">
        <f t="shared" si="6"/>
        <v>0</v>
      </c>
      <c r="H61" s="1540">
        <f t="shared" si="7"/>
        <v>0</v>
      </c>
      <c r="I61" s="1173"/>
      <c r="J61" s="1173"/>
      <c r="K61" s="1174">
        <f t="shared" si="8"/>
        <v>0</v>
      </c>
      <c r="L61" s="1540">
        <f t="shared" si="9"/>
        <v>0</v>
      </c>
      <c r="M61" s="1399">
        <f t="shared" si="4"/>
        <v>0</v>
      </c>
      <c r="N61" s="1540">
        <f t="shared" si="10"/>
        <v>0</v>
      </c>
      <c r="O61" s="1171">
        <v>0</v>
      </c>
      <c r="P61" s="1546">
        <f t="shared" si="11"/>
        <v>0</v>
      </c>
      <c r="Q61" s="1173"/>
      <c r="R61" s="1173">
        <f t="shared" si="12"/>
        <v>0</v>
      </c>
      <c r="S61" s="1546">
        <f t="shared" si="13"/>
        <v>0</v>
      </c>
      <c r="T61" s="1546">
        <f t="shared" si="14"/>
        <v>0</v>
      </c>
      <c r="U61" s="1382">
        <f>'Table 5C1A-Madison Prep'!U61</f>
        <v>3532</v>
      </c>
      <c r="V61" s="1516">
        <f t="shared" si="15"/>
        <v>0</v>
      </c>
      <c r="W61" s="1400"/>
      <c r="X61" s="1383">
        <f t="shared" si="16"/>
        <v>0</v>
      </c>
      <c r="Y61" s="1400"/>
      <c r="Z61" s="1383">
        <f t="shared" si="17"/>
        <v>0</v>
      </c>
      <c r="AA61" s="1384">
        <f t="shared" si="18"/>
        <v>0</v>
      </c>
      <c r="AB61" s="1511">
        <f t="shared" si="19"/>
        <v>0</v>
      </c>
      <c r="AC61" s="1402">
        <f t="shared" si="20"/>
        <v>0</v>
      </c>
      <c r="AD61" s="1511">
        <f t="shared" si="21"/>
        <v>0</v>
      </c>
      <c r="AE61" s="1385">
        <v>0</v>
      </c>
      <c r="AF61" s="1511">
        <f t="shared" si="22"/>
        <v>0</v>
      </c>
      <c r="AG61" s="1385"/>
      <c r="AH61" s="1385">
        <f t="shared" si="23"/>
        <v>0</v>
      </c>
      <c r="AI61" s="1511">
        <f t="shared" si="24"/>
        <v>0</v>
      </c>
      <c r="AJ61" s="1531">
        <f t="shared" si="25"/>
        <v>0</v>
      </c>
      <c r="AK61" s="1536">
        <f t="shared" si="26"/>
        <v>0</v>
      </c>
    </row>
    <row r="62" spans="1:37" ht="16.2" customHeight="1">
      <c r="A62" s="1183">
        <v>56</v>
      </c>
      <c r="B62" s="1184" t="s">
        <v>135</v>
      </c>
      <c r="C62" s="1185">
        <v>0</v>
      </c>
      <c r="D62" s="1186">
        <f>+'Table 5C1A-Madison Prep'!D62</f>
        <v>5028.4909408288286</v>
      </c>
      <c r="E62" s="1187">
        <f t="shared" si="5"/>
        <v>0</v>
      </c>
      <c r="F62" s="1187">
        <f>+'Table 5C1A-Madison Prep'!F62</f>
        <v>614.66000000000008</v>
      </c>
      <c r="G62" s="1187">
        <f t="shared" si="6"/>
        <v>0</v>
      </c>
      <c r="H62" s="1538">
        <f t="shared" si="7"/>
        <v>0</v>
      </c>
      <c r="I62" s="1188"/>
      <c r="J62" s="1188"/>
      <c r="K62" s="1189">
        <f t="shared" si="8"/>
        <v>0</v>
      </c>
      <c r="L62" s="1538">
        <f t="shared" si="9"/>
        <v>0</v>
      </c>
      <c r="M62" s="1372">
        <f t="shared" si="4"/>
        <v>0</v>
      </c>
      <c r="N62" s="1538">
        <f t="shared" si="10"/>
        <v>0</v>
      </c>
      <c r="O62" s="1186">
        <v>0</v>
      </c>
      <c r="P62" s="1544">
        <f t="shared" si="11"/>
        <v>0</v>
      </c>
      <c r="Q62" s="1188"/>
      <c r="R62" s="1188">
        <f t="shared" si="12"/>
        <v>0</v>
      </c>
      <c r="S62" s="1544">
        <f t="shared" si="13"/>
        <v>0</v>
      </c>
      <c r="T62" s="1544">
        <f t="shared" si="14"/>
        <v>0</v>
      </c>
      <c r="U62" s="1373">
        <f>'Table 5C1A-Madison Prep'!U62</f>
        <v>2865</v>
      </c>
      <c r="V62" s="1514">
        <f t="shared" si="15"/>
        <v>0</v>
      </c>
      <c r="W62" s="1375"/>
      <c r="X62" s="1376">
        <f t="shared" si="16"/>
        <v>0</v>
      </c>
      <c r="Y62" s="1375"/>
      <c r="Z62" s="1376">
        <f t="shared" si="17"/>
        <v>0</v>
      </c>
      <c r="AA62" s="1374">
        <f t="shared" si="18"/>
        <v>0</v>
      </c>
      <c r="AB62" s="1509">
        <f t="shared" si="19"/>
        <v>0</v>
      </c>
      <c r="AC62" s="1378">
        <f t="shared" si="20"/>
        <v>0</v>
      </c>
      <c r="AD62" s="1509">
        <f t="shared" si="21"/>
        <v>0</v>
      </c>
      <c r="AE62" s="1379">
        <v>0</v>
      </c>
      <c r="AF62" s="1509">
        <f t="shared" si="22"/>
        <v>0</v>
      </c>
      <c r="AG62" s="1379"/>
      <c r="AH62" s="1379">
        <f t="shared" si="23"/>
        <v>0</v>
      </c>
      <c r="AI62" s="1509">
        <f t="shared" si="24"/>
        <v>0</v>
      </c>
      <c r="AJ62" s="1530">
        <f t="shared" si="25"/>
        <v>0</v>
      </c>
      <c r="AK62" s="1534">
        <f t="shared" si="26"/>
        <v>0</v>
      </c>
    </row>
    <row r="63" spans="1:37" ht="16.2" customHeight="1">
      <c r="A63" s="1176">
        <v>57</v>
      </c>
      <c r="B63" s="1177" t="s">
        <v>136</v>
      </c>
      <c r="C63" s="1178">
        <v>0</v>
      </c>
      <c r="D63" s="1179">
        <f>+'Table 5C1A-Madison Prep'!D63</f>
        <v>4625.9922979230687</v>
      </c>
      <c r="E63" s="1180">
        <f t="shared" si="5"/>
        <v>0</v>
      </c>
      <c r="F63" s="1180">
        <f>+'Table 5C1A-Madison Prep'!F63</f>
        <v>764.51</v>
      </c>
      <c r="G63" s="1180">
        <f t="shared" si="6"/>
        <v>0</v>
      </c>
      <c r="H63" s="1539">
        <f t="shared" si="7"/>
        <v>0</v>
      </c>
      <c r="I63" s="1181"/>
      <c r="J63" s="1181"/>
      <c r="K63" s="1182">
        <f t="shared" si="8"/>
        <v>0</v>
      </c>
      <c r="L63" s="1539">
        <f t="shared" si="9"/>
        <v>0</v>
      </c>
      <c r="M63" s="1388">
        <f t="shared" si="4"/>
        <v>0</v>
      </c>
      <c r="N63" s="1539">
        <f t="shared" si="10"/>
        <v>0</v>
      </c>
      <c r="O63" s="1179">
        <v>0</v>
      </c>
      <c r="P63" s="1545">
        <f t="shared" si="11"/>
        <v>0</v>
      </c>
      <c r="Q63" s="1181"/>
      <c r="R63" s="1181">
        <f t="shared" si="12"/>
        <v>0</v>
      </c>
      <c r="S63" s="1545">
        <f t="shared" si="13"/>
        <v>0</v>
      </c>
      <c r="T63" s="1545">
        <f t="shared" si="14"/>
        <v>0</v>
      </c>
      <c r="U63" s="1389">
        <f>'Table 5C1A-Madison Prep'!U63</f>
        <v>3395</v>
      </c>
      <c r="V63" s="1515">
        <f t="shared" si="15"/>
        <v>0</v>
      </c>
      <c r="W63" s="1391"/>
      <c r="X63" s="1392">
        <f t="shared" si="16"/>
        <v>0</v>
      </c>
      <c r="Y63" s="1391"/>
      <c r="Z63" s="1392">
        <f t="shared" si="17"/>
        <v>0</v>
      </c>
      <c r="AA63" s="1390">
        <f t="shared" si="18"/>
        <v>0</v>
      </c>
      <c r="AB63" s="1510">
        <f t="shared" si="19"/>
        <v>0</v>
      </c>
      <c r="AC63" s="1394">
        <f t="shared" si="20"/>
        <v>0</v>
      </c>
      <c r="AD63" s="1510">
        <f t="shared" si="21"/>
        <v>0</v>
      </c>
      <c r="AE63" s="1395">
        <v>0</v>
      </c>
      <c r="AF63" s="1510">
        <f t="shared" si="22"/>
        <v>0</v>
      </c>
      <c r="AG63" s="1395"/>
      <c r="AH63" s="1395">
        <f t="shared" si="23"/>
        <v>0</v>
      </c>
      <c r="AI63" s="1510">
        <f t="shared" si="24"/>
        <v>0</v>
      </c>
      <c r="AJ63" s="1505">
        <f t="shared" si="25"/>
        <v>0</v>
      </c>
      <c r="AK63" s="1535">
        <f t="shared" si="26"/>
        <v>0</v>
      </c>
    </row>
    <row r="64" spans="1:37" ht="16.2" customHeight="1">
      <c r="A64" s="1176">
        <v>58</v>
      </c>
      <c r="B64" s="1177" t="s">
        <v>137</v>
      </c>
      <c r="C64" s="1178">
        <v>0</v>
      </c>
      <c r="D64" s="1179">
        <f>+'Table 5C1A-Madison Prep'!D64</f>
        <v>5673.1129637882123</v>
      </c>
      <c r="E64" s="1180">
        <f t="shared" si="5"/>
        <v>0</v>
      </c>
      <c r="F64" s="1180">
        <f>+'Table 5C1A-Madison Prep'!F64</f>
        <v>697.04</v>
      </c>
      <c r="G64" s="1180">
        <f t="shared" si="6"/>
        <v>0</v>
      </c>
      <c r="H64" s="1539">
        <f t="shared" si="7"/>
        <v>0</v>
      </c>
      <c r="I64" s="1181"/>
      <c r="J64" s="1181"/>
      <c r="K64" s="1182">
        <f t="shared" si="8"/>
        <v>0</v>
      </c>
      <c r="L64" s="1539">
        <f t="shared" si="9"/>
        <v>0</v>
      </c>
      <c r="M64" s="1388">
        <f t="shared" si="4"/>
        <v>0</v>
      </c>
      <c r="N64" s="1539">
        <f t="shared" si="10"/>
        <v>0</v>
      </c>
      <c r="O64" s="1179">
        <v>0</v>
      </c>
      <c r="P64" s="1545">
        <f t="shared" si="11"/>
        <v>0</v>
      </c>
      <c r="Q64" s="1181"/>
      <c r="R64" s="1181">
        <f t="shared" si="12"/>
        <v>0</v>
      </c>
      <c r="S64" s="1545">
        <f t="shared" si="13"/>
        <v>0</v>
      </c>
      <c r="T64" s="1545">
        <f t="shared" si="14"/>
        <v>0</v>
      </c>
      <c r="U64" s="1389">
        <f>'Table 5C1A-Madison Prep'!U64</f>
        <v>2084</v>
      </c>
      <c r="V64" s="1515">
        <f t="shared" si="15"/>
        <v>0</v>
      </c>
      <c r="W64" s="1391"/>
      <c r="X64" s="1392">
        <f t="shared" si="16"/>
        <v>0</v>
      </c>
      <c r="Y64" s="1391"/>
      <c r="Z64" s="1392">
        <f t="shared" si="17"/>
        <v>0</v>
      </c>
      <c r="AA64" s="1390">
        <f t="shared" si="18"/>
        <v>0</v>
      </c>
      <c r="AB64" s="1510">
        <f t="shared" si="19"/>
        <v>0</v>
      </c>
      <c r="AC64" s="1394">
        <f t="shared" si="20"/>
        <v>0</v>
      </c>
      <c r="AD64" s="1510">
        <f t="shared" si="21"/>
        <v>0</v>
      </c>
      <c r="AE64" s="1395">
        <v>0</v>
      </c>
      <c r="AF64" s="1510">
        <f t="shared" si="22"/>
        <v>0</v>
      </c>
      <c r="AG64" s="1395"/>
      <c r="AH64" s="1395">
        <f t="shared" si="23"/>
        <v>0</v>
      </c>
      <c r="AI64" s="1510">
        <f t="shared" si="24"/>
        <v>0</v>
      </c>
      <c r="AJ64" s="1505">
        <f t="shared" si="25"/>
        <v>0</v>
      </c>
      <c r="AK64" s="1535">
        <f t="shared" si="26"/>
        <v>0</v>
      </c>
    </row>
    <row r="65" spans="1:37" ht="16.2" customHeight="1">
      <c r="A65" s="1176">
        <v>59</v>
      </c>
      <c r="B65" s="1177" t="s">
        <v>138</v>
      </c>
      <c r="C65" s="1178">
        <v>0</v>
      </c>
      <c r="D65" s="1179">
        <f>+'Table 5C1A-Madison Prep'!D65</f>
        <v>6621.946293521848</v>
      </c>
      <c r="E65" s="1180">
        <f t="shared" si="5"/>
        <v>0</v>
      </c>
      <c r="F65" s="1180">
        <f>+'Table 5C1A-Madison Prep'!F65</f>
        <v>689.52</v>
      </c>
      <c r="G65" s="1180">
        <f t="shared" si="6"/>
        <v>0</v>
      </c>
      <c r="H65" s="1539">
        <f t="shared" si="7"/>
        <v>0</v>
      </c>
      <c r="I65" s="1181"/>
      <c r="J65" s="1181"/>
      <c r="K65" s="1182">
        <f t="shared" si="8"/>
        <v>0</v>
      </c>
      <c r="L65" s="1539">
        <f t="shared" si="9"/>
        <v>0</v>
      </c>
      <c r="M65" s="1388">
        <f t="shared" si="4"/>
        <v>0</v>
      </c>
      <c r="N65" s="1539">
        <f t="shared" si="10"/>
        <v>0</v>
      </c>
      <c r="O65" s="1179">
        <v>0</v>
      </c>
      <c r="P65" s="1545">
        <f t="shared" si="11"/>
        <v>0</v>
      </c>
      <c r="Q65" s="1181"/>
      <c r="R65" s="1181">
        <f t="shared" si="12"/>
        <v>0</v>
      </c>
      <c r="S65" s="1545">
        <f t="shared" si="13"/>
        <v>0</v>
      </c>
      <c r="T65" s="1545">
        <f t="shared" si="14"/>
        <v>0</v>
      </c>
      <c r="U65" s="1389">
        <f>'Table 5C1A-Madison Prep'!U65</f>
        <v>1577</v>
      </c>
      <c r="V65" s="1515">
        <f t="shared" si="15"/>
        <v>0</v>
      </c>
      <c r="W65" s="1391"/>
      <c r="X65" s="1392">
        <f t="shared" si="16"/>
        <v>0</v>
      </c>
      <c r="Y65" s="1391"/>
      <c r="Z65" s="1392">
        <f t="shared" si="17"/>
        <v>0</v>
      </c>
      <c r="AA65" s="1390">
        <f t="shared" si="18"/>
        <v>0</v>
      </c>
      <c r="AB65" s="1510">
        <f t="shared" si="19"/>
        <v>0</v>
      </c>
      <c r="AC65" s="1394">
        <f t="shared" si="20"/>
        <v>0</v>
      </c>
      <c r="AD65" s="1510">
        <f t="shared" si="21"/>
        <v>0</v>
      </c>
      <c r="AE65" s="1395">
        <v>0</v>
      </c>
      <c r="AF65" s="1510">
        <f t="shared" si="22"/>
        <v>0</v>
      </c>
      <c r="AG65" s="1395"/>
      <c r="AH65" s="1395">
        <f t="shared" si="23"/>
        <v>0</v>
      </c>
      <c r="AI65" s="1510">
        <f t="shared" si="24"/>
        <v>0</v>
      </c>
      <c r="AJ65" s="1505">
        <f t="shared" si="25"/>
        <v>0</v>
      </c>
      <c r="AK65" s="1535">
        <f t="shared" si="26"/>
        <v>0</v>
      </c>
    </row>
    <row r="66" spans="1:37" ht="16.2" customHeight="1">
      <c r="A66" s="1168">
        <v>60</v>
      </c>
      <c r="B66" s="1169" t="s">
        <v>139</v>
      </c>
      <c r="C66" s="1170">
        <v>0</v>
      </c>
      <c r="D66" s="1171">
        <f>+'Table 5C1A-Madison Prep'!D66</f>
        <v>5301.224090063828</v>
      </c>
      <c r="E66" s="1172">
        <f t="shared" si="5"/>
        <v>0</v>
      </c>
      <c r="F66" s="1172">
        <f>+'Table 5C1A-Madison Prep'!F66</f>
        <v>594.04</v>
      </c>
      <c r="G66" s="1172">
        <f t="shared" si="6"/>
        <v>0</v>
      </c>
      <c r="H66" s="1540">
        <f t="shared" si="7"/>
        <v>0</v>
      </c>
      <c r="I66" s="1173"/>
      <c r="J66" s="1173"/>
      <c r="K66" s="1174">
        <f t="shared" si="8"/>
        <v>0</v>
      </c>
      <c r="L66" s="1540">
        <f t="shared" si="9"/>
        <v>0</v>
      </c>
      <c r="M66" s="1399">
        <f t="shared" si="4"/>
        <v>0</v>
      </c>
      <c r="N66" s="1540">
        <f t="shared" si="10"/>
        <v>0</v>
      </c>
      <c r="O66" s="1171">
        <v>0</v>
      </c>
      <c r="P66" s="1546">
        <f t="shared" si="11"/>
        <v>0</v>
      </c>
      <c r="Q66" s="1173"/>
      <c r="R66" s="1173">
        <f t="shared" si="12"/>
        <v>0</v>
      </c>
      <c r="S66" s="1546">
        <f t="shared" si="13"/>
        <v>0</v>
      </c>
      <c r="T66" s="1546">
        <f t="shared" si="14"/>
        <v>0</v>
      </c>
      <c r="U66" s="1382">
        <f>'Table 5C1A-Madison Prep'!U66</f>
        <v>3922</v>
      </c>
      <c r="V66" s="1516">
        <f t="shared" si="15"/>
        <v>0</v>
      </c>
      <c r="W66" s="1400"/>
      <c r="X66" s="1383">
        <f t="shared" si="16"/>
        <v>0</v>
      </c>
      <c r="Y66" s="1400"/>
      <c r="Z66" s="1383">
        <f t="shared" si="17"/>
        <v>0</v>
      </c>
      <c r="AA66" s="1384">
        <f t="shared" si="18"/>
        <v>0</v>
      </c>
      <c r="AB66" s="1511">
        <f t="shared" si="19"/>
        <v>0</v>
      </c>
      <c r="AC66" s="1402">
        <f t="shared" si="20"/>
        <v>0</v>
      </c>
      <c r="AD66" s="1511">
        <f t="shared" si="21"/>
        <v>0</v>
      </c>
      <c r="AE66" s="1385">
        <v>0</v>
      </c>
      <c r="AF66" s="1511">
        <f t="shared" si="22"/>
        <v>0</v>
      </c>
      <c r="AG66" s="1385"/>
      <c r="AH66" s="1385">
        <f t="shared" si="23"/>
        <v>0</v>
      </c>
      <c r="AI66" s="1511">
        <f t="shared" si="24"/>
        <v>0</v>
      </c>
      <c r="AJ66" s="1531">
        <f t="shared" si="25"/>
        <v>0</v>
      </c>
      <c r="AK66" s="1536">
        <f t="shared" si="26"/>
        <v>0</v>
      </c>
    </row>
    <row r="67" spans="1:37" ht="16.2" customHeight="1">
      <c r="A67" s="1183">
        <v>61</v>
      </c>
      <c r="B67" s="1184" t="s">
        <v>140</v>
      </c>
      <c r="C67" s="1185">
        <v>0</v>
      </c>
      <c r="D67" s="1186">
        <f>+'Table 5C1A-Madison Prep'!D67</f>
        <v>2854.1575356369185</v>
      </c>
      <c r="E67" s="1187">
        <f t="shared" si="5"/>
        <v>0</v>
      </c>
      <c r="F67" s="1187">
        <f>+'Table 5C1A-Madison Prep'!F67</f>
        <v>833.70999999999992</v>
      </c>
      <c r="G67" s="1187">
        <f t="shared" si="6"/>
        <v>0</v>
      </c>
      <c r="H67" s="1538">
        <f t="shared" si="7"/>
        <v>0</v>
      </c>
      <c r="I67" s="1188"/>
      <c r="J67" s="1188"/>
      <c r="K67" s="1189">
        <f t="shared" si="8"/>
        <v>0</v>
      </c>
      <c r="L67" s="1538">
        <f t="shared" si="9"/>
        <v>0</v>
      </c>
      <c r="M67" s="1372">
        <f t="shared" si="4"/>
        <v>0</v>
      </c>
      <c r="N67" s="1538">
        <f t="shared" si="10"/>
        <v>0</v>
      </c>
      <c r="O67" s="1186">
        <v>0</v>
      </c>
      <c r="P67" s="1544">
        <f t="shared" si="11"/>
        <v>0</v>
      </c>
      <c r="Q67" s="1188"/>
      <c r="R67" s="1188">
        <f t="shared" si="12"/>
        <v>0</v>
      </c>
      <c r="S67" s="1544">
        <f t="shared" si="13"/>
        <v>0</v>
      </c>
      <c r="T67" s="1544">
        <f t="shared" si="14"/>
        <v>0</v>
      </c>
      <c r="U67" s="1373">
        <f>'Table 5C1A-Madison Prep'!U67</f>
        <v>6745</v>
      </c>
      <c r="V67" s="1514">
        <f t="shared" si="15"/>
        <v>0</v>
      </c>
      <c r="W67" s="1375"/>
      <c r="X67" s="1376">
        <f t="shared" si="16"/>
        <v>0</v>
      </c>
      <c r="Y67" s="1375"/>
      <c r="Z67" s="1376">
        <f t="shared" si="17"/>
        <v>0</v>
      </c>
      <c r="AA67" s="1374">
        <f t="shared" si="18"/>
        <v>0</v>
      </c>
      <c r="AB67" s="1509">
        <f t="shared" si="19"/>
        <v>0</v>
      </c>
      <c r="AC67" s="1378">
        <f t="shared" si="20"/>
        <v>0</v>
      </c>
      <c r="AD67" s="1509">
        <f t="shared" si="21"/>
        <v>0</v>
      </c>
      <c r="AE67" s="1379">
        <v>0</v>
      </c>
      <c r="AF67" s="1509">
        <f t="shared" si="22"/>
        <v>0</v>
      </c>
      <c r="AG67" s="1379"/>
      <c r="AH67" s="1379">
        <f t="shared" si="23"/>
        <v>0</v>
      </c>
      <c r="AI67" s="1509">
        <f t="shared" si="24"/>
        <v>0</v>
      </c>
      <c r="AJ67" s="1530">
        <f t="shared" si="25"/>
        <v>0</v>
      </c>
      <c r="AK67" s="1534">
        <f t="shared" si="26"/>
        <v>0</v>
      </c>
    </row>
    <row r="68" spans="1:37" ht="16.2" customHeight="1">
      <c r="A68" s="1176">
        <v>62</v>
      </c>
      <c r="B68" s="1177" t="s">
        <v>141</v>
      </c>
      <c r="C68" s="1178">
        <v>0</v>
      </c>
      <c r="D68" s="1179">
        <f>+'Table 5C1A-Madison Prep'!D68</f>
        <v>5901.074538516008</v>
      </c>
      <c r="E68" s="1180">
        <f t="shared" si="5"/>
        <v>0</v>
      </c>
      <c r="F68" s="1180">
        <f>+'Table 5C1A-Madison Prep'!F68</f>
        <v>516.08000000000004</v>
      </c>
      <c r="G68" s="1180">
        <f t="shared" si="6"/>
        <v>0</v>
      </c>
      <c r="H68" s="1539">
        <f t="shared" si="7"/>
        <v>0</v>
      </c>
      <c r="I68" s="1181"/>
      <c r="J68" s="1181"/>
      <c r="K68" s="1182">
        <f t="shared" si="8"/>
        <v>0</v>
      </c>
      <c r="L68" s="1539">
        <f t="shared" si="9"/>
        <v>0</v>
      </c>
      <c r="M68" s="1388">
        <f t="shared" si="4"/>
        <v>0</v>
      </c>
      <c r="N68" s="1539">
        <f t="shared" si="10"/>
        <v>0</v>
      </c>
      <c r="O68" s="1179">
        <v>0</v>
      </c>
      <c r="P68" s="1545">
        <f t="shared" si="11"/>
        <v>0</v>
      </c>
      <c r="Q68" s="1181"/>
      <c r="R68" s="1181">
        <f t="shared" si="12"/>
        <v>0</v>
      </c>
      <c r="S68" s="1545">
        <f t="shared" si="13"/>
        <v>0</v>
      </c>
      <c r="T68" s="1545">
        <f t="shared" si="14"/>
        <v>0</v>
      </c>
      <c r="U68" s="1389">
        <f>'Table 5C1A-Madison Prep'!U68</f>
        <v>1908</v>
      </c>
      <c r="V68" s="1515">
        <f t="shared" si="15"/>
        <v>0</v>
      </c>
      <c r="W68" s="1391"/>
      <c r="X68" s="1392">
        <f t="shared" si="16"/>
        <v>0</v>
      </c>
      <c r="Y68" s="1391"/>
      <c r="Z68" s="1392">
        <f t="shared" si="17"/>
        <v>0</v>
      </c>
      <c r="AA68" s="1390">
        <f t="shared" si="18"/>
        <v>0</v>
      </c>
      <c r="AB68" s="1510">
        <f t="shared" si="19"/>
        <v>0</v>
      </c>
      <c r="AC68" s="1394">
        <f t="shared" si="20"/>
        <v>0</v>
      </c>
      <c r="AD68" s="1510">
        <f t="shared" si="21"/>
        <v>0</v>
      </c>
      <c r="AE68" s="1395">
        <v>0</v>
      </c>
      <c r="AF68" s="1510">
        <f t="shared" si="22"/>
        <v>0</v>
      </c>
      <c r="AG68" s="1395"/>
      <c r="AH68" s="1395">
        <f t="shared" si="23"/>
        <v>0</v>
      </c>
      <c r="AI68" s="1510">
        <f t="shared" si="24"/>
        <v>0</v>
      </c>
      <c r="AJ68" s="1505">
        <f t="shared" si="25"/>
        <v>0</v>
      </c>
      <c r="AK68" s="1535">
        <f t="shared" si="26"/>
        <v>0</v>
      </c>
    </row>
    <row r="69" spans="1:37" ht="16.2" customHeight="1">
      <c r="A69" s="1176">
        <v>63</v>
      </c>
      <c r="B69" s="1177" t="s">
        <v>142</v>
      </c>
      <c r="C69" s="1178">
        <v>0</v>
      </c>
      <c r="D69" s="1179">
        <f>+'Table 5C1A-Madison Prep'!D69</f>
        <v>4124.3813481848092</v>
      </c>
      <c r="E69" s="1180">
        <f t="shared" si="5"/>
        <v>0</v>
      </c>
      <c r="F69" s="1180">
        <f>+'Table 5C1A-Madison Prep'!F69</f>
        <v>756.79</v>
      </c>
      <c r="G69" s="1180">
        <f t="shared" si="6"/>
        <v>0</v>
      </c>
      <c r="H69" s="1539">
        <f t="shared" si="7"/>
        <v>0</v>
      </c>
      <c r="I69" s="1181"/>
      <c r="J69" s="1181"/>
      <c r="K69" s="1182">
        <f t="shared" si="8"/>
        <v>0</v>
      </c>
      <c r="L69" s="1539">
        <f t="shared" si="9"/>
        <v>0</v>
      </c>
      <c r="M69" s="1388">
        <f t="shared" si="4"/>
        <v>0</v>
      </c>
      <c r="N69" s="1539">
        <f t="shared" si="10"/>
        <v>0</v>
      </c>
      <c r="O69" s="1179">
        <v>0</v>
      </c>
      <c r="P69" s="1545">
        <f t="shared" si="11"/>
        <v>0</v>
      </c>
      <c r="Q69" s="1181"/>
      <c r="R69" s="1181">
        <f t="shared" si="12"/>
        <v>0</v>
      </c>
      <c r="S69" s="1545">
        <f t="shared" si="13"/>
        <v>0</v>
      </c>
      <c r="T69" s="1545">
        <f t="shared" si="14"/>
        <v>0</v>
      </c>
      <c r="U69" s="1389">
        <f>'Table 5C1A-Madison Prep'!U69</f>
        <v>7290</v>
      </c>
      <c r="V69" s="1515">
        <f t="shared" si="15"/>
        <v>0</v>
      </c>
      <c r="W69" s="1391"/>
      <c r="X69" s="1392">
        <f t="shared" si="16"/>
        <v>0</v>
      </c>
      <c r="Y69" s="1391"/>
      <c r="Z69" s="1392">
        <f t="shared" si="17"/>
        <v>0</v>
      </c>
      <c r="AA69" s="1390">
        <f t="shared" si="18"/>
        <v>0</v>
      </c>
      <c r="AB69" s="1510">
        <f t="shared" si="19"/>
        <v>0</v>
      </c>
      <c r="AC69" s="1394">
        <f t="shared" si="20"/>
        <v>0</v>
      </c>
      <c r="AD69" s="1510">
        <f t="shared" si="21"/>
        <v>0</v>
      </c>
      <c r="AE69" s="1395">
        <v>0</v>
      </c>
      <c r="AF69" s="1510">
        <f t="shared" si="22"/>
        <v>0</v>
      </c>
      <c r="AG69" s="1395"/>
      <c r="AH69" s="1395">
        <f t="shared" si="23"/>
        <v>0</v>
      </c>
      <c r="AI69" s="1510">
        <f t="shared" si="24"/>
        <v>0</v>
      </c>
      <c r="AJ69" s="1505">
        <f t="shared" si="25"/>
        <v>0</v>
      </c>
      <c r="AK69" s="1535">
        <f t="shared" si="26"/>
        <v>0</v>
      </c>
    </row>
    <row r="70" spans="1:37" ht="16.2" customHeight="1">
      <c r="A70" s="1176">
        <v>64</v>
      </c>
      <c r="B70" s="1177" t="s">
        <v>143</v>
      </c>
      <c r="C70" s="1178">
        <v>0</v>
      </c>
      <c r="D70" s="1179">
        <f>+'Table 5C1A-Madison Prep'!D70</f>
        <v>6277.8307532778254</v>
      </c>
      <c r="E70" s="1180">
        <f t="shared" si="5"/>
        <v>0</v>
      </c>
      <c r="F70" s="1180">
        <f>+'Table 5C1A-Madison Prep'!F70</f>
        <v>592.66</v>
      </c>
      <c r="G70" s="1180">
        <f t="shared" si="6"/>
        <v>0</v>
      </c>
      <c r="H70" s="1539">
        <f t="shared" si="7"/>
        <v>0</v>
      </c>
      <c r="I70" s="1181"/>
      <c r="J70" s="1181"/>
      <c r="K70" s="1182">
        <f t="shared" si="8"/>
        <v>0</v>
      </c>
      <c r="L70" s="1539">
        <f t="shared" si="9"/>
        <v>0</v>
      </c>
      <c r="M70" s="1388">
        <f t="shared" si="4"/>
        <v>0</v>
      </c>
      <c r="N70" s="1539">
        <f t="shared" si="10"/>
        <v>0</v>
      </c>
      <c r="O70" s="1179">
        <v>0</v>
      </c>
      <c r="P70" s="1545">
        <f t="shared" si="11"/>
        <v>0</v>
      </c>
      <c r="Q70" s="1181"/>
      <c r="R70" s="1181">
        <f t="shared" si="12"/>
        <v>0</v>
      </c>
      <c r="S70" s="1545">
        <f t="shared" si="13"/>
        <v>0</v>
      </c>
      <c r="T70" s="1545">
        <f t="shared" si="14"/>
        <v>0</v>
      </c>
      <c r="U70" s="1389">
        <f>'Table 5C1A-Madison Prep'!U70</f>
        <v>2721</v>
      </c>
      <c r="V70" s="1515">
        <f t="shared" si="15"/>
        <v>0</v>
      </c>
      <c r="W70" s="1391"/>
      <c r="X70" s="1392">
        <f t="shared" si="16"/>
        <v>0</v>
      </c>
      <c r="Y70" s="1391"/>
      <c r="Z70" s="1392">
        <f t="shared" si="17"/>
        <v>0</v>
      </c>
      <c r="AA70" s="1390">
        <f t="shared" si="18"/>
        <v>0</v>
      </c>
      <c r="AB70" s="1510">
        <f t="shared" si="19"/>
        <v>0</v>
      </c>
      <c r="AC70" s="1394">
        <f t="shared" si="20"/>
        <v>0</v>
      </c>
      <c r="AD70" s="1510">
        <f t="shared" si="21"/>
        <v>0</v>
      </c>
      <c r="AE70" s="1395">
        <v>0</v>
      </c>
      <c r="AF70" s="1510">
        <f t="shared" si="22"/>
        <v>0</v>
      </c>
      <c r="AG70" s="1395"/>
      <c r="AH70" s="1395">
        <f t="shared" si="23"/>
        <v>0</v>
      </c>
      <c r="AI70" s="1510">
        <f t="shared" si="24"/>
        <v>0</v>
      </c>
      <c r="AJ70" s="1505">
        <f t="shared" si="25"/>
        <v>0</v>
      </c>
      <c r="AK70" s="1535">
        <f t="shared" si="26"/>
        <v>0</v>
      </c>
    </row>
    <row r="71" spans="1:37" ht="16.2" customHeight="1">
      <c r="A71" s="1168">
        <v>65</v>
      </c>
      <c r="B71" s="1169" t="s">
        <v>144</v>
      </c>
      <c r="C71" s="1170">
        <v>0</v>
      </c>
      <c r="D71" s="1171">
        <f>+'Table 5C1A-Madison Prep'!D71</f>
        <v>4775.1605543943642</v>
      </c>
      <c r="E71" s="1172">
        <f t="shared" si="5"/>
        <v>0</v>
      </c>
      <c r="F71" s="1172">
        <f>+'Table 5C1A-Madison Prep'!F71</f>
        <v>829.12</v>
      </c>
      <c r="G71" s="1172">
        <f t="shared" si="6"/>
        <v>0</v>
      </c>
      <c r="H71" s="1540">
        <f t="shared" si="7"/>
        <v>0</v>
      </c>
      <c r="I71" s="1173"/>
      <c r="J71" s="1173"/>
      <c r="K71" s="1174">
        <f t="shared" si="8"/>
        <v>0</v>
      </c>
      <c r="L71" s="1540">
        <f t="shared" si="9"/>
        <v>0</v>
      </c>
      <c r="M71" s="1399">
        <f t="shared" ref="M71:M74" si="27">-(0.25%*L71)</f>
        <v>0</v>
      </c>
      <c r="N71" s="1540">
        <f t="shared" si="10"/>
        <v>0</v>
      </c>
      <c r="O71" s="1171">
        <v>0</v>
      </c>
      <c r="P71" s="1546">
        <f t="shared" si="11"/>
        <v>0</v>
      </c>
      <c r="Q71" s="1173"/>
      <c r="R71" s="1173">
        <f t="shared" si="12"/>
        <v>0</v>
      </c>
      <c r="S71" s="1546">
        <f t="shared" si="13"/>
        <v>0</v>
      </c>
      <c r="T71" s="1546">
        <f t="shared" si="14"/>
        <v>0</v>
      </c>
      <c r="U71" s="1382">
        <f>'Table 5C1A-Madison Prep'!U71</f>
        <v>5110</v>
      </c>
      <c r="V71" s="1516">
        <f t="shared" si="15"/>
        <v>0</v>
      </c>
      <c r="W71" s="1400"/>
      <c r="X71" s="1383">
        <f t="shared" si="16"/>
        <v>0</v>
      </c>
      <c r="Y71" s="1400"/>
      <c r="Z71" s="1383">
        <f t="shared" si="17"/>
        <v>0</v>
      </c>
      <c r="AA71" s="1384">
        <f t="shared" si="18"/>
        <v>0</v>
      </c>
      <c r="AB71" s="1511">
        <f t="shared" si="19"/>
        <v>0</v>
      </c>
      <c r="AC71" s="1402">
        <f t="shared" si="20"/>
        <v>0</v>
      </c>
      <c r="AD71" s="1511">
        <f t="shared" si="21"/>
        <v>0</v>
      </c>
      <c r="AE71" s="1385">
        <v>0</v>
      </c>
      <c r="AF71" s="1511">
        <f t="shared" si="22"/>
        <v>0</v>
      </c>
      <c r="AG71" s="1385"/>
      <c r="AH71" s="1385">
        <f t="shared" si="23"/>
        <v>0</v>
      </c>
      <c r="AI71" s="1511">
        <f t="shared" si="24"/>
        <v>0</v>
      </c>
      <c r="AJ71" s="1531">
        <f t="shared" si="25"/>
        <v>0</v>
      </c>
      <c r="AK71" s="1536">
        <f t="shared" si="26"/>
        <v>0</v>
      </c>
    </row>
    <row r="72" spans="1:37" ht="16.2" customHeight="1">
      <c r="A72" s="1176">
        <v>66</v>
      </c>
      <c r="B72" s="1177" t="s">
        <v>145</v>
      </c>
      <c r="C72" s="1197">
        <v>0</v>
      </c>
      <c r="D72" s="1198">
        <f>+'Table 5C1A-Madison Prep'!D72</f>
        <v>6564.0085433910035</v>
      </c>
      <c r="E72" s="1199">
        <f t="shared" ref="E72:E75" si="28">C72*D72</f>
        <v>0</v>
      </c>
      <c r="F72" s="1199">
        <f>+'Table 5C1A-Madison Prep'!F72</f>
        <v>730.06</v>
      </c>
      <c r="G72" s="1199">
        <f t="shared" ref="G72:G75" si="29">C72*F72</f>
        <v>0</v>
      </c>
      <c r="H72" s="1403">
        <f t="shared" ref="H72:H75" si="30">E72+G72</f>
        <v>0</v>
      </c>
      <c r="I72" s="1200"/>
      <c r="J72" s="1200"/>
      <c r="K72" s="1201">
        <f t="shared" ref="K72:K75" si="31">+I72+J72</f>
        <v>0</v>
      </c>
      <c r="L72" s="1403">
        <f t="shared" ref="L72:L75" si="32">+H72+K72</f>
        <v>0</v>
      </c>
      <c r="M72" s="1423">
        <f t="shared" si="27"/>
        <v>0</v>
      </c>
      <c r="N72" s="1403">
        <f t="shared" ref="N72:N75" si="33">SUM(L72:M72)</f>
        <v>0</v>
      </c>
      <c r="O72" s="1198">
        <v>0</v>
      </c>
      <c r="P72" s="1398">
        <f t="shared" ref="P72:P75" si="34">SUM(N72:O72)</f>
        <v>0</v>
      </c>
      <c r="Q72" s="1200"/>
      <c r="R72" s="1200">
        <f t="shared" ref="R72:R75" si="35">+P72-Q72</f>
        <v>0</v>
      </c>
      <c r="S72" s="1398">
        <f t="shared" ref="S72:S75" si="36">ROUND(R72/12,0)</f>
        <v>0</v>
      </c>
      <c r="T72" s="1398">
        <f t="shared" ref="T72:T75" si="37">+P72</f>
        <v>0</v>
      </c>
      <c r="U72" s="1389">
        <f>'Table 5C1A-Madison Prep'!U72</f>
        <v>3369</v>
      </c>
      <c r="V72" s="1515">
        <f t="shared" ref="V72:V75" si="38">C72*U72</f>
        <v>0</v>
      </c>
      <c r="W72" s="1391"/>
      <c r="X72" s="1392">
        <f t="shared" ref="X72:X75" si="39">+U72*W72</f>
        <v>0</v>
      </c>
      <c r="Y72" s="1391"/>
      <c r="Z72" s="1392">
        <f t="shared" ref="Z72:Z75" si="40">+U72*Y72*0.5</f>
        <v>0</v>
      </c>
      <c r="AA72" s="1390">
        <f t="shared" ref="AA72:AA75" si="41">+X72+Z72</f>
        <v>0</v>
      </c>
      <c r="AB72" s="1510">
        <f t="shared" ref="AB72:AB75" si="42">+V72+AA72</f>
        <v>0</v>
      </c>
      <c r="AC72" s="1394">
        <f t="shared" ref="AC72:AC75" si="43">-(0.25%*AB72)</f>
        <v>0</v>
      </c>
      <c r="AD72" s="1510">
        <f t="shared" ref="AD72:AD75" si="44">SUM(AB72:AC72)</f>
        <v>0</v>
      </c>
      <c r="AE72" s="1395">
        <v>0</v>
      </c>
      <c r="AF72" s="1510">
        <f t="shared" ref="AF72:AF75" si="45">SUM(AD72:AE72)</f>
        <v>0</v>
      </c>
      <c r="AG72" s="1395"/>
      <c r="AH72" s="1395">
        <f t="shared" ref="AH72:AH75" si="46">+AF72-AG72</f>
        <v>0</v>
      </c>
      <c r="AI72" s="1510">
        <f t="shared" ref="AI72:AI75" si="47">ROUND(AH72/12,0)</f>
        <v>0</v>
      </c>
      <c r="AJ72" s="1505">
        <f t="shared" ref="AJ72:AJ75" si="48">T72+AF72</f>
        <v>0</v>
      </c>
      <c r="AK72" s="1505">
        <f t="shared" ref="AK72:AK75" si="49">S72+AI72</f>
        <v>0</v>
      </c>
    </row>
    <row r="73" spans="1:37" ht="16.2" customHeight="1">
      <c r="A73" s="1176">
        <v>67</v>
      </c>
      <c r="B73" s="1177" t="s">
        <v>30</v>
      </c>
      <c r="C73" s="1197">
        <v>0</v>
      </c>
      <c r="D73" s="1198">
        <f>+'Table 5C1A-Madison Prep'!D73</f>
        <v>5029.1467736134118</v>
      </c>
      <c r="E73" s="1199">
        <f t="shared" si="28"/>
        <v>0</v>
      </c>
      <c r="F73" s="1199">
        <f>+'Table 5C1A-Madison Prep'!F73</f>
        <v>715.61</v>
      </c>
      <c r="G73" s="1199">
        <f t="shared" si="29"/>
        <v>0</v>
      </c>
      <c r="H73" s="1403">
        <f t="shared" si="30"/>
        <v>0</v>
      </c>
      <c r="I73" s="1200"/>
      <c r="J73" s="1200"/>
      <c r="K73" s="1201">
        <f t="shared" si="31"/>
        <v>0</v>
      </c>
      <c r="L73" s="1403">
        <f t="shared" si="32"/>
        <v>0</v>
      </c>
      <c r="M73" s="1423">
        <f t="shared" si="27"/>
        <v>0</v>
      </c>
      <c r="N73" s="1403">
        <f t="shared" si="33"/>
        <v>0</v>
      </c>
      <c r="O73" s="1198">
        <v>0</v>
      </c>
      <c r="P73" s="1398">
        <f t="shared" si="34"/>
        <v>0</v>
      </c>
      <c r="Q73" s="1200"/>
      <c r="R73" s="1200">
        <f t="shared" si="35"/>
        <v>0</v>
      </c>
      <c r="S73" s="1398">
        <f t="shared" si="36"/>
        <v>0</v>
      </c>
      <c r="T73" s="1398">
        <f t="shared" si="37"/>
        <v>0</v>
      </c>
      <c r="U73" s="1389">
        <f>'Table 5C1A-Madison Prep'!U73</f>
        <v>5015</v>
      </c>
      <c r="V73" s="1515">
        <f t="shared" si="38"/>
        <v>0</v>
      </c>
      <c r="W73" s="1391"/>
      <c r="X73" s="1392">
        <f t="shared" si="39"/>
        <v>0</v>
      </c>
      <c r="Y73" s="1391"/>
      <c r="Z73" s="1392">
        <f t="shared" si="40"/>
        <v>0</v>
      </c>
      <c r="AA73" s="1390">
        <f t="shared" si="41"/>
        <v>0</v>
      </c>
      <c r="AB73" s="1510">
        <f t="shared" si="42"/>
        <v>0</v>
      </c>
      <c r="AC73" s="1394">
        <f t="shared" si="43"/>
        <v>0</v>
      </c>
      <c r="AD73" s="1510">
        <f t="shared" si="44"/>
        <v>0</v>
      </c>
      <c r="AE73" s="1395">
        <v>0</v>
      </c>
      <c r="AF73" s="1510">
        <f t="shared" si="45"/>
        <v>0</v>
      </c>
      <c r="AG73" s="1395"/>
      <c r="AH73" s="1395">
        <f t="shared" si="46"/>
        <v>0</v>
      </c>
      <c r="AI73" s="1510">
        <f t="shared" si="47"/>
        <v>0</v>
      </c>
      <c r="AJ73" s="1505">
        <f t="shared" si="48"/>
        <v>0</v>
      </c>
      <c r="AK73" s="1505">
        <f t="shared" si="49"/>
        <v>0</v>
      </c>
    </row>
    <row r="74" spans="1:37" ht="16.2" customHeight="1">
      <c r="A74" s="1176">
        <v>68</v>
      </c>
      <c r="B74" s="1177" t="s">
        <v>28</v>
      </c>
      <c r="C74" s="1197">
        <v>0</v>
      </c>
      <c r="D74" s="1198">
        <f>+'Table 5C1A-Madison Prep'!D74</f>
        <v>6390.1644202560601</v>
      </c>
      <c r="E74" s="1199">
        <f t="shared" si="28"/>
        <v>0</v>
      </c>
      <c r="F74" s="1199">
        <f>+'Table 5C1A-Madison Prep'!F74</f>
        <v>798.7</v>
      </c>
      <c r="G74" s="1199">
        <f t="shared" si="29"/>
        <v>0</v>
      </c>
      <c r="H74" s="1403">
        <f t="shared" si="30"/>
        <v>0</v>
      </c>
      <c r="I74" s="1200"/>
      <c r="J74" s="1200"/>
      <c r="K74" s="1201">
        <f t="shared" si="31"/>
        <v>0</v>
      </c>
      <c r="L74" s="1403">
        <f t="shared" si="32"/>
        <v>0</v>
      </c>
      <c r="M74" s="1423">
        <f t="shared" si="27"/>
        <v>0</v>
      </c>
      <c r="N74" s="1403">
        <f t="shared" si="33"/>
        <v>0</v>
      </c>
      <c r="O74" s="1198">
        <v>0</v>
      </c>
      <c r="P74" s="1398">
        <f t="shared" si="34"/>
        <v>0</v>
      </c>
      <c r="Q74" s="1200"/>
      <c r="R74" s="1200">
        <f t="shared" si="35"/>
        <v>0</v>
      </c>
      <c r="S74" s="1398">
        <f t="shared" si="36"/>
        <v>0</v>
      </c>
      <c r="T74" s="1398">
        <f t="shared" si="37"/>
        <v>0</v>
      </c>
      <c r="U74" s="1389">
        <f>'Table 5C1A-Madison Prep'!U74</f>
        <v>2669</v>
      </c>
      <c r="V74" s="1515">
        <f t="shared" si="38"/>
        <v>0</v>
      </c>
      <c r="W74" s="1391"/>
      <c r="X74" s="1392">
        <f t="shared" si="39"/>
        <v>0</v>
      </c>
      <c r="Y74" s="1391"/>
      <c r="Z74" s="1392">
        <f t="shared" si="40"/>
        <v>0</v>
      </c>
      <c r="AA74" s="1390">
        <f t="shared" si="41"/>
        <v>0</v>
      </c>
      <c r="AB74" s="1510">
        <f t="shared" si="42"/>
        <v>0</v>
      </c>
      <c r="AC74" s="1394">
        <f t="shared" si="43"/>
        <v>0</v>
      </c>
      <c r="AD74" s="1510">
        <f t="shared" si="44"/>
        <v>0</v>
      </c>
      <c r="AE74" s="1395">
        <v>0</v>
      </c>
      <c r="AF74" s="1510">
        <f t="shared" si="45"/>
        <v>0</v>
      </c>
      <c r="AG74" s="1395"/>
      <c r="AH74" s="1395">
        <f t="shared" si="46"/>
        <v>0</v>
      </c>
      <c r="AI74" s="1510">
        <f t="shared" si="47"/>
        <v>0</v>
      </c>
      <c r="AJ74" s="1505">
        <f t="shared" si="48"/>
        <v>0</v>
      </c>
      <c r="AK74" s="1505">
        <f t="shared" si="49"/>
        <v>0</v>
      </c>
    </row>
    <row r="75" spans="1:37" ht="16.2" customHeight="1">
      <c r="A75" s="1190">
        <v>69</v>
      </c>
      <c r="B75" s="1191" t="s">
        <v>183</v>
      </c>
      <c r="C75" s="1192">
        <v>0</v>
      </c>
      <c r="D75" s="1193">
        <f>+'Table 5C1A-Madison Prep'!D75</f>
        <v>5722.4947921281337</v>
      </c>
      <c r="E75" s="1194">
        <f t="shared" si="28"/>
        <v>0</v>
      </c>
      <c r="F75" s="1194">
        <f>+'Table 5C1A-Madison Prep'!F75</f>
        <v>705.67</v>
      </c>
      <c r="G75" s="1194">
        <f t="shared" si="29"/>
        <v>0</v>
      </c>
      <c r="H75" s="1541">
        <f t="shared" si="30"/>
        <v>0</v>
      </c>
      <c r="I75" s="1195"/>
      <c r="J75" s="1195"/>
      <c r="K75" s="1196">
        <f t="shared" si="31"/>
        <v>0</v>
      </c>
      <c r="L75" s="1541">
        <f t="shared" si="32"/>
        <v>0</v>
      </c>
      <c r="M75" s="1405">
        <f>-(0.25%*L75)</f>
        <v>0</v>
      </c>
      <c r="N75" s="1541">
        <f t="shared" si="33"/>
        <v>0</v>
      </c>
      <c r="O75" s="1193">
        <v>0</v>
      </c>
      <c r="P75" s="1547">
        <f t="shared" si="34"/>
        <v>0</v>
      </c>
      <c r="Q75" s="1195"/>
      <c r="R75" s="1195">
        <f t="shared" si="35"/>
        <v>0</v>
      </c>
      <c r="S75" s="1547">
        <f t="shared" si="36"/>
        <v>0</v>
      </c>
      <c r="T75" s="1547">
        <f t="shared" si="37"/>
        <v>0</v>
      </c>
      <c r="U75" s="653">
        <f>'Table 5C1A-Madison Prep'!U75</f>
        <v>3394</v>
      </c>
      <c r="V75" s="1517">
        <f t="shared" si="38"/>
        <v>0</v>
      </c>
      <c r="W75" s="1407"/>
      <c r="X75" s="1408">
        <f t="shared" si="39"/>
        <v>0</v>
      </c>
      <c r="Y75" s="1407"/>
      <c r="Z75" s="1408">
        <f t="shared" si="40"/>
        <v>0</v>
      </c>
      <c r="AA75" s="1406">
        <f t="shared" si="41"/>
        <v>0</v>
      </c>
      <c r="AB75" s="1512">
        <f t="shared" si="42"/>
        <v>0</v>
      </c>
      <c r="AC75" s="1410">
        <f t="shared" si="43"/>
        <v>0</v>
      </c>
      <c r="AD75" s="1512">
        <f t="shared" si="44"/>
        <v>0</v>
      </c>
      <c r="AE75" s="1416">
        <v>0</v>
      </c>
      <c r="AF75" s="1512">
        <f t="shared" si="45"/>
        <v>0</v>
      </c>
      <c r="AG75" s="1416"/>
      <c r="AH75" s="1416">
        <f t="shared" si="46"/>
        <v>0</v>
      </c>
      <c r="AI75" s="1512">
        <f t="shared" si="47"/>
        <v>0</v>
      </c>
      <c r="AJ75" s="1506">
        <f t="shared" si="48"/>
        <v>0</v>
      </c>
      <c r="AK75" s="1506">
        <f t="shared" si="49"/>
        <v>0</v>
      </c>
    </row>
    <row r="76" spans="1:37" ht="16.2" customHeight="1" thickBot="1">
      <c r="A76" s="2221" t="s">
        <v>1045</v>
      </c>
      <c r="B76" s="2194"/>
      <c r="C76" s="470">
        <f>SUM(C7:C75)</f>
        <v>480</v>
      </c>
      <c r="D76" s="471">
        <f>+'Table 5C1A-Madison Prep'!D76</f>
        <v>4479.9292126977662</v>
      </c>
      <c r="E76" s="480">
        <f>SUM(E7:E75)</f>
        <v>1505959.6246353034</v>
      </c>
      <c r="F76" s="480">
        <f>+'Table 5C1A-Madison Prep'!F76</f>
        <v>704.64781030742063</v>
      </c>
      <c r="G76" s="480">
        <f t="shared" ref="G76:R76" si="50">SUM(G7:G75)</f>
        <v>333312</v>
      </c>
      <c r="H76" s="1542">
        <f t="shared" si="50"/>
        <v>1839271.6246353034</v>
      </c>
      <c r="I76" s="640">
        <f t="shared" si="50"/>
        <v>0</v>
      </c>
      <c r="J76" s="640">
        <f t="shared" si="50"/>
        <v>0</v>
      </c>
      <c r="K76" s="616">
        <f t="shared" si="50"/>
        <v>0</v>
      </c>
      <c r="L76" s="1560">
        <f t="shared" si="50"/>
        <v>1839271.6246353034</v>
      </c>
      <c r="M76" s="481">
        <f t="shared" si="50"/>
        <v>-4598.1790615882583</v>
      </c>
      <c r="N76" s="1542">
        <f t="shared" si="50"/>
        <v>1834673.445573715</v>
      </c>
      <c r="O76" s="471">
        <f t="shared" si="50"/>
        <v>0</v>
      </c>
      <c r="P76" s="1548">
        <f t="shared" si="50"/>
        <v>1834673.445573715</v>
      </c>
      <c r="Q76" s="640"/>
      <c r="R76" s="640">
        <f t="shared" si="50"/>
        <v>1834673.445573715</v>
      </c>
      <c r="S76" s="1548">
        <f>SUM(S7:S75)</f>
        <v>152889</v>
      </c>
      <c r="T76" s="1548">
        <f>SUM(T7:T75)</f>
        <v>1834673.445573715</v>
      </c>
      <c r="U76" s="658">
        <f>'Table 5C1A-Madison Prep'!U76</f>
        <v>4663</v>
      </c>
      <c r="V76" s="1518">
        <f t="shared" ref="V76:AK76" si="51">SUM(V7:V75)</f>
        <v>2779200</v>
      </c>
      <c r="W76" s="646">
        <f t="shared" si="51"/>
        <v>0</v>
      </c>
      <c r="X76" s="647">
        <f t="shared" si="51"/>
        <v>0</v>
      </c>
      <c r="Y76" s="646">
        <f t="shared" si="51"/>
        <v>0</v>
      </c>
      <c r="Z76" s="647">
        <f t="shared" si="51"/>
        <v>0</v>
      </c>
      <c r="AA76" s="633">
        <f t="shared" si="51"/>
        <v>0</v>
      </c>
      <c r="AB76" s="1520">
        <f t="shared" si="51"/>
        <v>2779200</v>
      </c>
      <c r="AC76" s="482">
        <f t="shared" si="51"/>
        <v>-6948</v>
      </c>
      <c r="AD76" s="1518">
        <f t="shared" si="51"/>
        <v>2772252</v>
      </c>
      <c r="AE76" s="660">
        <f t="shared" si="51"/>
        <v>0</v>
      </c>
      <c r="AF76" s="1518">
        <f t="shared" si="51"/>
        <v>2772252</v>
      </c>
      <c r="AG76" s="647">
        <f t="shared" si="51"/>
        <v>0</v>
      </c>
      <c r="AH76" s="647">
        <f t="shared" si="51"/>
        <v>2772252</v>
      </c>
      <c r="AI76" s="1518">
        <f t="shared" si="51"/>
        <v>231021</v>
      </c>
      <c r="AJ76" s="1532">
        <f t="shared" si="51"/>
        <v>4606925.4455737155</v>
      </c>
      <c r="AK76" s="1532">
        <f t="shared" si="51"/>
        <v>383910</v>
      </c>
    </row>
    <row r="77" spans="1:37" ht="16.2" customHeight="1" thickTop="1">
      <c r="A77" s="2330" t="s">
        <v>1039</v>
      </c>
      <c r="B77" s="2338"/>
      <c r="C77" s="1425"/>
      <c r="D77" s="1198"/>
      <c r="E77" s="1198"/>
      <c r="F77" s="1198"/>
      <c r="G77" s="1198"/>
      <c r="H77" s="1198"/>
      <c r="I77" s="1200"/>
      <c r="J77" s="1200"/>
      <c r="K77" s="1200"/>
      <c r="L77" s="1198"/>
      <c r="M77" s="1200"/>
      <c r="N77" s="1198"/>
      <c r="O77" s="1198"/>
      <c r="P77" s="1398">
        <f>'Table 4 Level 4'!$E115</f>
        <v>0</v>
      </c>
      <c r="Q77" s="1200"/>
      <c r="R77" s="1200">
        <f t="shared" ref="R77" si="52">+P77-Q77</f>
        <v>0</v>
      </c>
      <c r="S77" s="1398">
        <f t="shared" ref="S77" si="53">ROUND(R77/12,0)</f>
        <v>0</v>
      </c>
      <c r="T77" s="1398">
        <f>'Table 4 Level 4'!$E115</f>
        <v>0</v>
      </c>
      <c r="U77" s="1389"/>
      <c r="V77" s="1392"/>
      <c r="W77" s="1391"/>
      <c r="X77" s="1392"/>
      <c r="Y77" s="1391"/>
      <c r="Z77" s="1392"/>
      <c r="AA77" s="1392"/>
      <c r="AB77" s="1395"/>
      <c r="AC77" s="1392"/>
      <c r="AD77" s="1395"/>
      <c r="AE77" s="1395"/>
      <c r="AF77" s="1395"/>
      <c r="AG77" s="1395"/>
      <c r="AH77" s="1395"/>
      <c r="AI77" s="1395"/>
      <c r="AJ77" s="1505">
        <f t="shared" ref="AJ77:AJ81" si="54">T77+AF77</f>
        <v>0</v>
      </c>
      <c r="AK77" s="1505">
        <f t="shared" ref="AK77:AK81" si="55">S77+AI77</f>
        <v>0</v>
      </c>
    </row>
    <row r="78" spans="1:37" ht="16.2" customHeight="1">
      <c r="A78" s="2332" t="s">
        <v>1040</v>
      </c>
      <c r="B78" s="2339"/>
      <c r="C78" s="1425"/>
      <c r="D78" s="1198"/>
      <c r="E78" s="1198"/>
      <c r="F78" s="1198"/>
      <c r="G78" s="1198"/>
      <c r="H78" s="1198"/>
      <c r="I78" s="1200"/>
      <c r="J78" s="1200"/>
      <c r="K78" s="1200"/>
      <c r="L78" s="1198"/>
      <c r="M78" s="1200"/>
      <c r="N78" s="1198"/>
      <c r="O78" s="1198"/>
      <c r="P78" s="1200">
        <v>0</v>
      </c>
      <c r="Q78" s="1200"/>
      <c r="R78" s="1200"/>
      <c r="S78" s="1200">
        <v>0</v>
      </c>
      <c r="T78" s="1398">
        <f>'Table 4 Level 4'!$J115</f>
        <v>0</v>
      </c>
      <c r="U78" s="1389"/>
      <c r="V78" s="1392"/>
      <c r="W78" s="1391"/>
      <c r="X78" s="1392"/>
      <c r="Y78" s="1391"/>
      <c r="Z78" s="1392"/>
      <c r="AA78" s="1392"/>
      <c r="AB78" s="1395"/>
      <c r="AC78" s="1392"/>
      <c r="AD78" s="1395"/>
      <c r="AE78" s="1395"/>
      <c r="AF78" s="1395"/>
      <c r="AG78" s="1395"/>
      <c r="AH78" s="1395"/>
      <c r="AI78" s="1395"/>
      <c r="AJ78" s="1505">
        <f t="shared" si="54"/>
        <v>0</v>
      </c>
      <c r="AK78" s="1395"/>
    </row>
    <row r="79" spans="1:37" ht="16.2" customHeight="1">
      <c r="A79" s="2332" t="s">
        <v>1041</v>
      </c>
      <c r="B79" s="2339"/>
      <c r="C79" s="1425"/>
      <c r="D79" s="1198"/>
      <c r="E79" s="1198"/>
      <c r="F79" s="1198"/>
      <c r="G79" s="1198"/>
      <c r="H79" s="1198"/>
      <c r="I79" s="1200"/>
      <c r="J79" s="1200"/>
      <c r="K79" s="1200"/>
      <c r="L79" s="1198"/>
      <c r="M79" s="1200"/>
      <c r="N79" s="1198"/>
      <c r="O79" s="1198"/>
      <c r="P79" s="1200">
        <v>0</v>
      </c>
      <c r="Q79" s="1200"/>
      <c r="R79" s="1200"/>
      <c r="S79" s="1200">
        <v>0</v>
      </c>
      <c r="T79" s="1398">
        <f>'Table 4 Level 4'!$K115</f>
        <v>0</v>
      </c>
      <c r="U79" s="1389"/>
      <c r="V79" s="1392"/>
      <c r="W79" s="1391"/>
      <c r="X79" s="1392"/>
      <c r="Y79" s="1391"/>
      <c r="Z79" s="1392"/>
      <c r="AA79" s="1392"/>
      <c r="AB79" s="1395"/>
      <c r="AC79" s="1392"/>
      <c r="AD79" s="1395"/>
      <c r="AE79" s="1395"/>
      <c r="AF79" s="1395"/>
      <c r="AG79" s="1395"/>
      <c r="AH79" s="1395"/>
      <c r="AI79" s="1395"/>
      <c r="AJ79" s="1505">
        <f t="shared" si="54"/>
        <v>0</v>
      </c>
      <c r="AK79" s="1395"/>
    </row>
    <row r="80" spans="1:37" ht="16.2" customHeight="1">
      <c r="A80" s="2332" t="s">
        <v>1042</v>
      </c>
      <c r="B80" s="2339"/>
      <c r="C80" s="1425"/>
      <c r="D80" s="1198"/>
      <c r="E80" s="1198"/>
      <c r="F80" s="1198"/>
      <c r="G80" s="1198"/>
      <c r="H80" s="1198"/>
      <c r="I80" s="1200"/>
      <c r="J80" s="1200"/>
      <c r="K80" s="1200"/>
      <c r="L80" s="1198"/>
      <c r="M80" s="1200"/>
      <c r="N80" s="1198"/>
      <c r="O80" s="1198"/>
      <c r="P80" s="1200">
        <v>0</v>
      </c>
      <c r="Q80" s="1200"/>
      <c r="R80" s="1200"/>
      <c r="S80" s="1200">
        <v>0</v>
      </c>
      <c r="T80" s="1398">
        <f>'Table 4 Level 4'!$L115</f>
        <v>0</v>
      </c>
      <c r="U80" s="1389"/>
      <c r="V80" s="1392"/>
      <c r="W80" s="1391"/>
      <c r="X80" s="1392"/>
      <c r="Y80" s="1391"/>
      <c r="Z80" s="1392"/>
      <c r="AA80" s="1392"/>
      <c r="AB80" s="1395"/>
      <c r="AC80" s="1392"/>
      <c r="AD80" s="1395"/>
      <c r="AE80" s="1395"/>
      <c r="AF80" s="1395"/>
      <c r="AG80" s="1395"/>
      <c r="AH80" s="1395"/>
      <c r="AI80" s="1395"/>
      <c r="AJ80" s="1505">
        <f t="shared" si="54"/>
        <v>0</v>
      </c>
      <c r="AK80" s="1395"/>
    </row>
    <row r="81" spans="1:37" ht="16.2" customHeight="1">
      <c r="A81" s="2340" t="s">
        <v>1043</v>
      </c>
      <c r="B81" s="2341"/>
      <c r="C81" s="1417"/>
      <c r="D81" s="1193"/>
      <c r="E81" s="1193"/>
      <c r="F81" s="1193"/>
      <c r="G81" s="1193"/>
      <c r="H81" s="1193"/>
      <c r="I81" s="1195"/>
      <c r="J81" s="1195"/>
      <c r="K81" s="1195"/>
      <c r="L81" s="1193"/>
      <c r="M81" s="1195"/>
      <c r="N81" s="1193"/>
      <c r="O81" s="1193"/>
      <c r="P81" s="1547">
        <f>'Table 4 Level 4'!$N115</f>
        <v>0</v>
      </c>
      <c r="Q81" s="1195"/>
      <c r="R81" s="1195">
        <f t="shared" ref="R81" si="56">+P81-Q81</f>
        <v>0</v>
      </c>
      <c r="S81" s="1547">
        <f t="shared" ref="S81" si="57">ROUND(R81/12,0)</f>
        <v>0</v>
      </c>
      <c r="T81" s="1547">
        <f>'Table 4 Level 4'!$N115</f>
        <v>0</v>
      </c>
      <c r="U81" s="1418"/>
      <c r="V81" s="1408"/>
      <c r="W81" s="1407"/>
      <c r="X81" s="1408"/>
      <c r="Y81" s="1407"/>
      <c r="Z81" s="1408"/>
      <c r="AA81" s="1408"/>
      <c r="AB81" s="1416"/>
      <c r="AC81" s="1408"/>
      <c r="AD81" s="1416"/>
      <c r="AE81" s="1416"/>
      <c r="AF81" s="1416"/>
      <c r="AG81" s="1416"/>
      <c r="AH81" s="1416"/>
      <c r="AI81" s="1416"/>
      <c r="AJ81" s="1506">
        <f t="shared" si="54"/>
        <v>0</v>
      </c>
      <c r="AK81" s="1506">
        <f t="shared" si="55"/>
        <v>0</v>
      </c>
    </row>
    <row r="82" spans="1:37" ht="16.2" customHeight="1" thickBot="1">
      <c r="A82" s="2221" t="s">
        <v>1044</v>
      </c>
      <c r="B82" s="2194"/>
      <c r="C82" s="1052">
        <f>SUM(C76:C81)</f>
        <v>480</v>
      </c>
      <c r="D82" s="1046">
        <f t="shared" ref="D82:AK82" si="58">SUM(D76:D81)</f>
        <v>4479.9292126977662</v>
      </c>
      <c r="E82" s="1046">
        <f t="shared" si="58"/>
        <v>1505959.6246353034</v>
      </c>
      <c r="F82" s="1046">
        <f t="shared" si="58"/>
        <v>704.64781030742063</v>
      </c>
      <c r="G82" s="1046">
        <f t="shared" si="58"/>
        <v>333312</v>
      </c>
      <c r="H82" s="1046">
        <f t="shared" si="58"/>
        <v>1839271.6246353034</v>
      </c>
      <c r="I82" s="1053">
        <f t="shared" si="58"/>
        <v>0</v>
      </c>
      <c r="J82" s="1053">
        <f t="shared" si="58"/>
        <v>0</v>
      </c>
      <c r="K82" s="1053">
        <f t="shared" si="58"/>
        <v>0</v>
      </c>
      <c r="L82" s="1046">
        <f t="shared" si="58"/>
        <v>1839271.6246353034</v>
      </c>
      <c r="M82" s="1053">
        <f t="shared" si="58"/>
        <v>-4598.1790615882583</v>
      </c>
      <c r="N82" s="1046">
        <f t="shared" si="58"/>
        <v>1834673.445573715</v>
      </c>
      <c r="O82" s="1046">
        <f t="shared" si="58"/>
        <v>0</v>
      </c>
      <c r="P82" s="1549">
        <f t="shared" si="58"/>
        <v>1834673.445573715</v>
      </c>
      <c r="Q82" s="1053">
        <f t="shared" si="58"/>
        <v>0</v>
      </c>
      <c r="R82" s="1053">
        <f t="shared" si="58"/>
        <v>1834673.445573715</v>
      </c>
      <c r="S82" s="1549">
        <f t="shared" si="58"/>
        <v>152889</v>
      </c>
      <c r="T82" s="1549">
        <f t="shared" si="58"/>
        <v>1834673.445573715</v>
      </c>
      <c r="U82" s="1058">
        <f t="shared" si="58"/>
        <v>4663</v>
      </c>
      <c r="V82" s="1055">
        <f t="shared" si="58"/>
        <v>2779200</v>
      </c>
      <c r="W82" s="1057">
        <f t="shared" si="58"/>
        <v>0</v>
      </c>
      <c r="X82" s="1055">
        <f t="shared" si="58"/>
        <v>0</v>
      </c>
      <c r="Y82" s="1057">
        <f t="shared" si="58"/>
        <v>0</v>
      </c>
      <c r="Z82" s="1055">
        <f t="shared" si="58"/>
        <v>0</v>
      </c>
      <c r="AA82" s="1055">
        <f t="shared" si="58"/>
        <v>0</v>
      </c>
      <c r="AB82" s="1055">
        <f t="shared" si="58"/>
        <v>2779200</v>
      </c>
      <c r="AC82" s="1055">
        <f t="shared" si="58"/>
        <v>-6948</v>
      </c>
      <c r="AD82" s="1055">
        <f t="shared" si="58"/>
        <v>2772252</v>
      </c>
      <c r="AE82" s="1055">
        <f t="shared" si="58"/>
        <v>0</v>
      </c>
      <c r="AF82" s="1055">
        <f t="shared" si="58"/>
        <v>2772252</v>
      </c>
      <c r="AG82" s="1055">
        <f t="shared" si="58"/>
        <v>0</v>
      </c>
      <c r="AH82" s="1055">
        <f t="shared" si="58"/>
        <v>2772252</v>
      </c>
      <c r="AI82" s="1055">
        <f t="shared" si="58"/>
        <v>231021</v>
      </c>
      <c r="AJ82" s="1504">
        <f t="shared" si="58"/>
        <v>4606925.4455737155</v>
      </c>
      <c r="AK82" s="1504">
        <f t="shared" si="58"/>
        <v>383910</v>
      </c>
    </row>
    <row r="83" spans="1:37" ht="16.2" customHeight="1" thickTop="1"/>
    <row r="84" spans="1:37" ht="16.2" customHeight="1"/>
    <row r="85" spans="1:37" ht="16.2" customHeight="1"/>
    <row r="86" spans="1:37" ht="16.2" customHeight="1"/>
  </sheetData>
  <mergeCells count="45">
    <mergeCell ref="A1:B4"/>
    <mergeCell ref="O3:O4"/>
    <mergeCell ref="P3:P4"/>
    <mergeCell ref="S3:S4"/>
    <mergeCell ref="AE3:AE4"/>
    <mergeCell ref="W3:W4"/>
    <mergeCell ref="X3:X4"/>
    <mergeCell ref="Y3:Y4"/>
    <mergeCell ref="Z3:Z4"/>
    <mergeCell ref="AB3:AB4"/>
    <mergeCell ref="AD3:AD4"/>
    <mergeCell ref="T3:T4"/>
    <mergeCell ref="C1:L1"/>
    <mergeCell ref="U1:AB1"/>
    <mergeCell ref="C2:H2"/>
    <mergeCell ref="U2:V2"/>
    <mergeCell ref="AJ1:AJ4"/>
    <mergeCell ref="AG3:AG4"/>
    <mergeCell ref="AH3:AH4"/>
    <mergeCell ref="AI3:AI4"/>
    <mergeCell ref="AF3:AF4"/>
    <mergeCell ref="AC1:AI1"/>
    <mergeCell ref="AK1:AK4"/>
    <mergeCell ref="I2:K2"/>
    <mergeCell ref="W2:AA2"/>
    <mergeCell ref="C3:C4"/>
    <mergeCell ref="D3:D4"/>
    <mergeCell ref="E3:E4"/>
    <mergeCell ref="U3:U4"/>
    <mergeCell ref="F3:F4"/>
    <mergeCell ref="G3:G4"/>
    <mergeCell ref="H3:H4"/>
    <mergeCell ref="I3:I4"/>
    <mergeCell ref="J3:J4"/>
    <mergeCell ref="K3:K4"/>
    <mergeCell ref="L3:L4"/>
    <mergeCell ref="N3:N4"/>
    <mergeCell ref="M1:T1"/>
    <mergeCell ref="A82:B82"/>
    <mergeCell ref="A76:B76"/>
    <mergeCell ref="A77:B77"/>
    <mergeCell ref="A78:B78"/>
    <mergeCell ref="A79:B79"/>
    <mergeCell ref="A80:B80"/>
    <mergeCell ref="A81:B81"/>
  </mergeCells>
  <printOptions horizontalCentered="1"/>
  <pageMargins left="0.32" right="0.32" top="0.75" bottom="0.75" header="0.3" footer="0.3"/>
  <pageSetup paperSize="5" scale="60" firstPageNumber="56" orientation="portrait" r:id="rId1"/>
  <headerFooter>
    <oddHeader>&amp;L&amp;"Arial,Bold"&amp;20&amp;K000000Table 5C1-W: FY2014-15 MFP Budget Letter 
Lafayette North Charter Academy</oddHeader>
    <oddFooter>&amp;R&amp;P</oddFooter>
  </headerFooter>
  <colBreaks count="3" manualBreakCount="3">
    <brk id="12" max="1048575" man="1"/>
    <brk id="20" max="1048575" man="1"/>
    <brk id="28" max="81"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P77"/>
  <sheetViews>
    <sheetView view="pageBreakPreview" zoomScale="90" zoomScaleNormal="75" zoomScaleSheetLayoutView="90" workbookViewId="0">
      <pane xSplit="2" ySplit="5" topLeftCell="C6" activePane="bottomRight" state="frozen"/>
      <selection sqref="A1:H1"/>
      <selection pane="topRight" sqref="A1:H1"/>
      <selection pane="bottomLeft" sqref="A1:H1"/>
      <selection pane="bottomRight" sqref="A1:H1"/>
    </sheetView>
  </sheetViews>
  <sheetFormatPr defaultRowHeight="13.2"/>
  <cols>
    <col min="1" max="1" width="4.109375" customWidth="1"/>
    <col min="2" max="2" width="17.5546875" bestFit="1" customWidth="1"/>
    <col min="3" max="3" width="14.6640625" bestFit="1" customWidth="1"/>
    <col min="4" max="5" width="11.88671875" bestFit="1" customWidth="1"/>
    <col min="6" max="6" width="14.109375" bestFit="1" customWidth="1"/>
    <col min="7" max="7" width="11.88671875" customWidth="1"/>
    <col min="8" max="8" width="13.44140625" customWidth="1"/>
    <col min="9" max="9" width="12.6640625" style="594" bestFit="1" customWidth="1"/>
    <col min="10" max="10" width="13.5546875" style="594" bestFit="1" customWidth="1"/>
    <col min="11" max="11" width="13.6640625" style="594" bestFit="1" customWidth="1"/>
    <col min="12" max="14" width="15.6640625" style="594" bestFit="1" customWidth="1"/>
    <col min="15" max="15" width="13.5546875" bestFit="1" customWidth="1"/>
    <col min="16" max="18" width="11.44140625" bestFit="1" customWidth="1"/>
    <col min="19" max="19" width="11" bestFit="1" customWidth="1"/>
    <col min="20" max="20" width="10.88671875" bestFit="1" customWidth="1"/>
    <col min="21" max="21" width="12.44140625" bestFit="1" customWidth="1"/>
    <col min="22" max="22" width="11.109375" bestFit="1" customWidth="1"/>
    <col min="23" max="23" width="11.44140625" bestFit="1" customWidth="1"/>
    <col min="24" max="24" width="11.44140625" style="594" customWidth="1"/>
    <col min="25" max="25" width="10.5546875" style="594" bestFit="1" customWidth="1"/>
    <col min="26" max="26" width="11.44140625" style="594" bestFit="1" customWidth="1"/>
    <col min="27" max="27" width="11.44140625" style="594" customWidth="1"/>
    <col min="28" max="29" width="11.44140625" style="594" bestFit="1" customWidth="1"/>
    <col min="30" max="30" width="12.5546875" customWidth="1"/>
    <col min="31" max="32" width="13.5546875" bestFit="1" customWidth="1"/>
    <col min="33" max="34" width="13.5546875" style="594" customWidth="1"/>
    <col min="35" max="35" width="14.88671875" bestFit="1" customWidth="1"/>
    <col min="36" max="36" width="9.5546875" bestFit="1" customWidth="1"/>
    <col min="37" max="37" width="14.44140625" style="594" bestFit="1" customWidth="1"/>
    <col min="38" max="38" width="12.6640625" style="594" bestFit="1" customWidth="1"/>
    <col min="39" max="41" width="12.6640625" style="594" customWidth="1"/>
    <col min="42" max="42" width="14.44140625" style="594" bestFit="1" customWidth="1"/>
  </cols>
  <sheetData>
    <row r="1" spans="1:42" s="1819" customFormat="1" ht="34.200000000000003" customHeight="1">
      <c r="D1" s="2093" t="s">
        <v>970</v>
      </c>
      <c r="E1" s="2094"/>
      <c r="F1" s="2094"/>
      <c r="G1" s="2094"/>
      <c r="H1" s="2095"/>
      <c r="I1" s="2108" t="s">
        <v>531</v>
      </c>
      <c r="J1" s="2109"/>
      <c r="K1" s="2109"/>
      <c r="L1" s="2109"/>
      <c r="M1" s="2109"/>
      <c r="N1" s="2110"/>
    </row>
    <row r="2" spans="1:42" s="1819" customFormat="1" ht="14.4" customHeight="1">
      <c r="A2" s="2111" t="s">
        <v>173</v>
      </c>
      <c r="B2" s="2116" t="s">
        <v>203</v>
      </c>
      <c r="C2" s="2114" t="s">
        <v>1019</v>
      </c>
      <c r="D2" s="2102" t="s">
        <v>1122</v>
      </c>
      <c r="E2" s="2102" t="s">
        <v>1123</v>
      </c>
      <c r="F2" s="2102" t="s">
        <v>1124</v>
      </c>
      <c r="G2" s="2113" t="s">
        <v>204</v>
      </c>
      <c r="H2" s="2113"/>
      <c r="I2" s="2099" t="s">
        <v>532</v>
      </c>
      <c r="J2" s="2100"/>
      <c r="K2" s="2101"/>
      <c r="L2" s="2099" t="s">
        <v>533</v>
      </c>
      <c r="M2" s="2100"/>
      <c r="N2" s="2101"/>
      <c r="O2" s="2096" t="s">
        <v>922</v>
      </c>
      <c r="P2" s="2106" t="s">
        <v>575</v>
      </c>
      <c r="Q2" s="2106" t="s">
        <v>574</v>
      </c>
      <c r="R2" s="2106" t="s">
        <v>573</v>
      </c>
      <c r="S2" s="2106" t="s">
        <v>572</v>
      </c>
      <c r="T2" s="2106" t="s">
        <v>904</v>
      </c>
      <c r="U2" s="2106" t="s">
        <v>571</v>
      </c>
      <c r="V2" s="2106" t="s">
        <v>570</v>
      </c>
      <c r="W2" s="2106" t="s">
        <v>907</v>
      </c>
      <c r="X2" s="2106" t="s">
        <v>913</v>
      </c>
      <c r="Y2" s="2106" t="s">
        <v>908</v>
      </c>
      <c r="Z2" s="2106" t="s">
        <v>909</v>
      </c>
      <c r="AA2" s="2106" t="s">
        <v>912</v>
      </c>
      <c r="AB2" s="2106" t="s">
        <v>910</v>
      </c>
      <c r="AC2" s="2106" t="s">
        <v>911</v>
      </c>
      <c r="AD2" s="2106" t="s">
        <v>569</v>
      </c>
      <c r="AE2" s="2106" t="s">
        <v>568</v>
      </c>
      <c r="AF2" s="2097" t="s">
        <v>376</v>
      </c>
      <c r="AG2" s="2090" t="s">
        <v>1061</v>
      </c>
      <c r="AH2" s="2091"/>
      <c r="AI2" s="2092" t="s">
        <v>1081</v>
      </c>
      <c r="AJ2" s="2092" t="s">
        <v>905</v>
      </c>
      <c r="AK2" s="2092" t="s">
        <v>906</v>
      </c>
      <c r="AL2" s="2092" t="s">
        <v>764</v>
      </c>
      <c r="AM2" s="2090" t="s">
        <v>1068</v>
      </c>
      <c r="AN2" s="2091"/>
      <c r="AO2" s="2091"/>
      <c r="AP2" s="2092" t="s">
        <v>1082</v>
      </c>
    </row>
    <row r="3" spans="1:42" s="1819" customFormat="1" ht="28.5" customHeight="1">
      <c r="A3" s="2112"/>
      <c r="B3" s="2112"/>
      <c r="C3" s="2115"/>
      <c r="D3" s="2103"/>
      <c r="E3" s="2103"/>
      <c r="F3" s="2103"/>
      <c r="G3" s="2113"/>
      <c r="H3" s="2113"/>
      <c r="I3" s="2102" t="s">
        <v>762</v>
      </c>
      <c r="J3" s="2102" t="s">
        <v>763</v>
      </c>
      <c r="K3" s="2104" t="s">
        <v>534</v>
      </c>
      <c r="L3" s="2102" t="s">
        <v>1009</v>
      </c>
      <c r="M3" s="2102" t="s">
        <v>1010</v>
      </c>
      <c r="N3" s="2104" t="s">
        <v>1012</v>
      </c>
      <c r="O3" s="2096"/>
      <c r="P3" s="2107"/>
      <c r="Q3" s="2107"/>
      <c r="R3" s="2107"/>
      <c r="S3" s="2107"/>
      <c r="T3" s="2107"/>
      <c r="U3" s="2107"/>
      <c r="V3" s="2107"/>
      <c r="W3" s="2107"/>
      <c r="X3" s="2107"/>
      <c r="Y3" s="2107"/>
      <c r="Z3" s="2107"/>
      <c r="AA3" s="2107"/>
      <c r="AB3" s="2107"/>
      <c r="AC3" s="2107"/>
      <c r="AD3" s="2107"/>
      <c r="AE3" s="2107"/>
      <c r="AF3" s="2098"/>
      <c r="AG3" s="2087" t="s">
        <v>1023</v>
      </c>
      <c r="AH3" s="2089" t="s">
        <v>1060</v>
      </c>
      <c r="AI3" s="2092"/>
      <c r="AJ3" s="2092"/>
      <c r="AK3" s="2092"/>
      <c r="AL3" s="2092"/>
      <c r="AM3" s="2087" t="s">
        <v>1063</v>
      </c>
      <c r="AN3" s="2089" t="s">
        <v>1304</v>
      </c>
      <c r="AO3" s="2087" t="s">
        <v>1305</v>
      </c>
      <c r="AP3" s="2092"/>
    </row>
    <row r="4" spans="1:42" s="1819" customFormat="1" ht="106.95" customHeight="1">
      <c r="A4" s="2112"/>
      <c r="B4" s="2112"/>
      <c r="C4" s="2115"/>
      <c r="D4" s="2103"/>
      <c r="E4" s="2103"/>
      <c r="F4" s="2103"/>
      <c r="G4" s="1820" t="s">
        <v>205</v>
      </c>
      <c r="H4" s="1820" t="s">
        <v>206</v>
      </c>
      <c r="I4" s="2103"/>
      <c r="J4" s="2103"/>
      <c r="K4" s="2105"/>
      <c r="L4" s="2103"/>
      <c r="M4" s="2103"/>
      <c r="N4" s="2105"/>
      <c r="O4" s="2096"/>
      <c r="P4" s="2107"/>
      <c r="Q4" s="2107"/>
      <c r="R4" s="2107"/>
      <c r="S4" s="2107"/>
      <c r="T4" s="2107"/>
      <c r="U4" s="2107"/>
      <c r="V4" s="2107"/>
      <c r="W4" s="2107"/>
      <c r="X4" s="2107"/>
      <c r="Y4" s="2107"/>
      <c r="Z4" s="2107"/>
      <c r="AA4" s="2107"/>
      <c r="AB4" s="2107"/>
      <c r="AC4" s="2107"/>
      <c r="AD4" s="2107"/>
      <c r="AE4" s="2107"/>
      <c r="AF4" s="2098"/>
      <c r="AG4" s="2088"/>
      <c r="AH4" s="2088"/>
      <c r="AI4" s="2092"/>
      <c r="AJ4" s="2092"/>
      <c r="AK4" s="2092"/>
      <c r="AL4" s="2092"/>
      <c r="AM4" s="2088"/>
      <c r="AN4" s="2088"/>
      <c r="AO4" s="2088"/>
      <c r="AP4" s="2092"/>
    </row>
    <row r="5" spans="1:42" s="38" customFormat="1">
      <c r="A5" s="918"/>
      <c r="B5" s="919"/>
      <c r="C5" s="920">
        <f t="shared" ref="C5:H5" si="0">B5+1</f>
        <v>1</v>
      </c>
      <c r="D5" s="920">
        <f t="shared" si="0"/>
        <v>2</v>
      </c>
      <c r="E5" s="920">
        <f t="shared" si="0"/>
        <v>3</v>
      </c>
      <c r="F5" s="920">
        <f t="shared" si="0"/>
        <v>4</v>
      </c>
      <c r="G5" s="920">
        <f t="shared" si="0"/>
        <v>5</v>
      </c>
      <c r="H5" s="920">
        <f t="shared" si="0"/>
        <v>6</v>
      </c>
      <c r="I5" s="920">
        <f>H5+1</f>
        <v>7</v>
      </c>
      <c r="J5" s="920">
        <f t="shared" ref="J5:O5" si="1">I5+1</f>
        <v>8</v>
      </c>
      <c r="K5" s="920">
        <f t="shared" si="1"/>
        <v>9</v>
      </c>
      <c r="L5" s="920">
        <f t="shared" si="1"/>
        <v>10</v>
      </c>
      <c r="M5" s="920">
        <f t="shared" si="1"/>
        <v>11</v>
      </c>
      <c r="N5" s="920">
        <f t="shared" si="1"/>
        <v>12</v>
      </c>
      <c r="O5" s="920">
        <f t="shared" si="1"/>
        <v>13</v>
      </c>
      <c r="P5" s="920">
        <f>O5+1</f>
        <v>14</v>
      </c>
      <c r="Q5" s="920">
        <f t="shared" ref="Q5:U5" si="2">P5+1</f>
        <v>15</v>
      </c>
      <c r="R5" s="920">
        <f t="shared" si="2"/>
        <v>16</v>
      </c>
      <c r="S5" s="920">
        <f t="shared" si="2"/>
        <v>17</v>
      </c>
      <c r="T5" s="920">
        <f t="shared" si="2"/>
        <v>18</v>
      </c>
      <c r="U5" s="920">
        <f t="shared" si="2"/>
        <v>19</v>
      </c>
      <c r="V5" s="920">
        <f t="shared" ref="V5" si="3">U5+1</f>
        <v>20</v>
      </c>
      <c r="W5" s="920">
        <f t="shared" ref="W5" si="4">V5+1</f>
        <v>21</v>
      </c>
      <c r="X5" s="920">
        <f t="shared" ref="X5" si="5">W5+1</f>
        <v>22</v>
      </c>
      <c r="Y5" s="920">
        <f t="shared" ref="Y5" si="6">X5+1</f>
        <v>23</v>
      </c>
      <c r="Z5" s="920">
        <f t="shared" ref="Z5" si="7">Y5+1</f>
        <v>24</v>
      </c>
      <c r="AA5" s="920">
        <f t="shared" ref="AA5" si="8">Z5+1</f>
        <v>25</v>
      </c>
      <c r="AB5" s="920">
        <f t="shared" ref="AB5" si="9">AA5+1</f>
        <v>26</v>
      </c>
      <c r="AC5" s="920">
        <f t="shared" ref="AC5" si="10">AB5+1</f>
        <v>27</v>
      </c>
      <c r="AD5" s="920">
        <f t="shared" ref="AD5" si="11">AC5+1</f>
        <v>28</v>
      </c>
      <c r="AE5" s="920">
        <f t="shared" ref="AE5:AF5" si="12">AD5+1</f>
        <v>29</v>
      </c>
      <c r="AF5" s="920">
        <f t="shared" si="12"/>
        <v>30</v>
      </c>
      <c r="AG5" s="920">
        <f t="shared" ref="AG5" si="13">AF5+1</f>
        <v>31</v>
      </c>
      <c r="AH5" s="920">
        <f t="shared" ref="AH5:AI5" si="14">AG5+1</f>
        <v>32</v>
      </c>
      <c r="AI5" s="920">
        <f t="shared" si="14"/>
        <v>33</v>
      </c>
      <c r="AJ5" s="920">
        <f t="shared" ref="AJ5" si="15">AI5+1</f>
        <v>34</v>
      </c>
      <c r="AK5" s="920">
        <f t="shared" ref="AK5" si="16">AJ5+1</f>
        <v>35</v>
      </c>
      <c r="AL5" s="920">
        <f t="shared" ref="AL5" si="17">AK5+1</f>
        <v>36</v>
      </c>
      <c r="AM5" s="920">
        <f t="shared" ref="AM5" si="18">AL5+1</f>
        <v>37</v>
      </c>
      <c r="AN5" s="920">
        <f t="shared" ref="AN5" si="19">AM5+1</f>
        <v>38</v>
      </c>
      <c r="AO5" s="920">
        <f t="shared" ref="AO5" si="20">AN5+1</f>
        <v>39</v>
      </c>
      <c r="AP5" s="920">
        <f t="shared" ref="AP5" si="21">AO5+1</f>
        <v>40</v>
      </c>
    </row>
    <row r="6" spans="1:42" s="38" customFormat="1" hidden="1">
      <c r="A6" s="918"/>
      <c r="B6" s="919"/>
      <c r="C6" s="920"/>
      <c r="D6" s="920"/>
      <c r="E6" s="920"/>
      <c r="F6" s="920"/>
      <c r="G6" s="920"/>
      <c r="H6" s="920"/>
      <c r="I6" s="920"/>
      <c r="J6" s="920"/>
      <c r="K6" s="920"/>
      <c r="L6" s="920"/>
      <c r="M6" s="920"/>
      <c r="N6" s="920"/>
      <c r="O6" s="920"/>
      <c r="P6" s="920" t="s">
        <v>580</v>
      </c>
      <c r="Q6" s="920" t="s">
        <v>580</v>
      </c>
      <c r="R6" s="920" t="s">
        <v>580</v>
      </c>
      <c r="S6" s="920" t="s">
        <v>580</v>
      </c>
      <c r="T6" s="920" t="s">
        <v>580</v>
      </c>
      <c r="U6" s="920" t="s">
        <v>580</v>
      </c>
      <c r="V6" s="920" t="s">
        <v>580</v>
      </c>
      <c r="W6" s="920" t="s">
        <v>580</v>
      </c>
      <c r="X6" s="920" t="s">
        <v>580</v>
      </c>
      <c r="Y6" s="920" t="s">
        <v>580</v>
      </c>
      <c r="Z6" s="920" t="s">
        <v>580</v>
      </c>
      <c r="AA6" s="920" t="s">
        <v>580</v>
      </c>
      <c r="AB6" s="920" t="s">
        <v>580</v>
      </c>
      <c r="AC6" s="920" t="s">
        <v>580</v>
      </c>
      <c r="AD6" s="920" t="s">
        <v>950</v>
      </c>
      <c r="AE6" s="920" t="s">
        <v>950</v>
      </c>
      <c r="AF6" s="920"/>
      <c r="AG6" s="1026"/>
      <c r="AH6" s="1026"/>
      <c r="AI6" s="920"/>
      <c r="AJ6" s="920"/>
      <c r="AK6" s="920"/>
      <c r="AL6" s="920"/>
      <c r="AM6" s="1102"/>
      <c r="AN6" s="1102"/>
      <c r="AO6" s="1102"/>
      <c r="AP6" s="1102"/>
    </row>
    <row r="7" spans="1:42" ht="14.4" customHeight="1">
      <c r="A7" s="1250">
        <v>1</v>
      </c>
      <c r="B7" s="1251" t="s">
        <v>81</v>
      </c>
      <c r="C7" s="1252">
        <f>'Table 3 Levels 1&amp;2'!AO4</f>
        <v>53748209.527183995</v>
      </c>
      <c r="D7" s="1253">
        <v>0</v>
      </c>
      <c r="E7" s="1253">
        <v>0</v>
      </c>
      <c r="F7" s="1253">
        <f>SUM(D7:E7)</f>
        <v>0</v>
      </c>
      <c r="G7" s="1252">
        <f t="shared" ref="G7:G70" si="22">IF(F7&gt;0,F7,0)</f>
        <v>0</v>
      </c>
      <c r="H7" s="1253">
        <f>IF(F7&lt;0,F7,0)</f>
        <v>0</v>
      </c>
      <c r="I7" s="1253"/>
      <c r="J7" s="1253"/>
      <c r="K7" s="1253">
        <f>SUM(I7:J7)</f>
        <v>0</v>
      </c>
      <c r="L7" s="1253"/>
      <c r="M7" s="1253"/>
      <c r="N7" s="1253">
        <f>SUM(L7:M7)</f>
        <v>0</v>
      </c>
      <c r="O7" s="1253">
        <v>0</v>
      </c>
      <c r="P7" s="1253">
        <f>-'Table 5C1A-Madison Prep'!L7</f>
        <v>0</v>
      </c>
      <c r="Q7" s="1253">
        <f>-'Table 5C1B-DArbonne'!L7</f>
        <v>0</v>
      </c>
      <c r="R7" s="1253">
        <f>-'Table 5C1C-Intl_VIBE'!L7</f>
        <v>0</v>
      </c>
      <c r="S7" s="1253">
        <f>-'Table 5C1D-NOMMA'!L7</f>
        <v>0</v>
      </c>
      <c r="T7" s="1253">
        <f>-'Table 5C1E-LFNO'!L7</f>
        <v>0</v>
      </c>
      <c r="U7" s="1253">
        <f>-'Table 5C1F-Lake Charles Charter'!L7</f>
        <v>0</v>
      </c>
      <c r="V7" s="1253">
        <f>-'Table 5C1G-JS Clark Academy'!L7</f>
        <v>0</v>
      </c>
      <c r="W7" s="1253">
        <f>-'Table 5C1H-Southwest LA Charter'!L7</f>
        <v>0</v>
      </c>
      <c r="X7" s="1253">
        <f>-'Table 5C1I-LA Key Academy'!L7</f>
        <v>0</v>
      </c>
      <c r="Y7" s="1253">
        <f>-'Table 5C1J-Jefferson Chamber'!L7</f>
        <v>0</v>
      </c>
      <c r="Z7" s="1253">
        <f>-'Table 5C1K-Tallulah Charter'!L7</f>
        <v>0</v>
      </c>
      <c r="AA7" s="1253">
        <f>-'Table 5C1L-Northshore Charter'!L7</f>
        <v>0</v>
      </c>
      <c r="AB7" s="1253">
        <f>-'Table 5C1M-B.R. Charter'!L7</f>
        <v>0</v>
      </c>
      <c r="AC7" s="1253">
        <f>-'Table 5C1N-Delta Charter'!L7</f>
        <v>0</v>
      </c>
      <c r="AD7" s="1254">
        <f>-('Table 5C2 - LA Virtual Admy'!M6+'Table 5C2 - LA Virtual Admy'!I6)</f>
        <v>-99780.091944029715</v>
      </c>
      <c r="AE7" s="1254">
        <f>-('Table 5C3 - LA Connections EBR'!M6+'Table 5C3 - LA Connections EBR'!I6)</f>
        <v>-77606.738178689775</v>
      </c>
      <c r="AF7" s="1254">
        <f t="shared" ref="AF7:AF38" si="23">SUM(O7:AE7)</f>
        <v>-177386.83012271949</v>
      </c>
      <c r="AG7" s="1254">
        <f>+'Table 4 Level 4'!E5</f>
        <v>0</v>
      </c>
      <c r="AH7" s="1254">
        <f>+'Table 4 Level 4'!N5</f>
        <v>102440</v>
      </c>
      <c r="AI7" s="1255">
        <f t="shared" ref="AI7:AI38" si="24">ROUND(C7+F7+K7+N7+AF7+AG7+AH7,0)</f>
        <v>53673263</v>
      </c>
      <c r="AJ7" s="1252"/>
      <c r="AK7" s="1252">
        <f>AI7-AJ7</f>
        <v>53673263</v>
      </c>
      <c r="AL7" s="1252">
        <f>ROUND(AK7/12,0)</f>
        <v>4472772</v>
      </c>
      <c r="AM7" s="1254">
        <f>+'Table 4 Level 4'!J5</f>
        <v>0</v>
      </c>
      <c r="AN7" s="1254">
        <f>+'Table 4 Level 4'!K5</f>
        <v>0</v>
      </c>
      <c r="AO7" s="1254">
        <f>+'Table 4 Level 4'!L5</f>
        <v>0</v>
      </c>
      <c r="AP7" s="1255">
        <f>+AI7+AM7+AN7+AO7</f>
        <v>53673263</v>
      </c>
    </row>
    <row r="8" spans="1:42" ht="14.4" customHeight="1">
      <c r="A8" s="1256">
        <v>2</v>
      </c>
      <c r="B8" s="1257" t="s">
        <v>82</v>
      </c>
      <c r="C8" s="1258">
        <f>'Table 3 Levels 1&amp;2'!AO5</f>
        <v>29258614.924785919</v>
      </c>
      <c r="D8" s="1259">
        <v>0</v>
      </c>
      <c r="E8" s="1259">
        <v>0</v>
      </c>
      <c r="F8" s="1259">
        <f t="shared" ref="F8:F71" si="25">SUM(D8:E8)</f>
        <v>0</v>
      </c>
      <c r="G8" s="1258">
        <f t="shared" si="22"/>
        <v>0</v>
      </c>
      <c r="H8" s="1259">
        <f t="shared" ref="H8:H71" si="26">IF(F8&lt;0,F8,0)</f>
        <v>0</v>
      </c>
      <c r="I8" s="1259"/>
      <c r="J8" s="1259"/>
      <c r="K8" s="1259">
        <f t="shared" ref="K8:K71" si="27">SUM(I8:J8)</f>
        <v>0</v>
      </c>
      <c r="L8" s="1259"/>
      <c r="M8" s="1259"/>
      <c r="N8" s="1259">
        <f t="shared" ref="N8:N71" si="28">SUM(L8:M8)</f>
        <v>0</v>
      </c>
      <c r="O8" s="1259">
        <v>0</v>
      </c>
      <c r="P8" s="1259">
        <f>-'Table 5C1A-Madison Prep'!L8</f>
        <v>0</v>
      </c>
      <c r="Q8" s="1259">
        <f>-'Table 5C1B-DArbonne'!L8</f>
        <v>0</v>
      </c>
      <c r="R8" s="1259">
        <f>-'Table 5C1C-Intl_VIBE'!L8</f>
        <v>0</v>
      </c>
      <c r="S8" s="1259">
        <f>-'Table 5C1D-NOMMA'!L8</f>
        <v>0</v>
      </c>
      <c r="T8" s="1259">
        <f>-'Table 5C1E-LFNO'!L8</f>
        <v>0</v>
      </c>
      <c r="U8" s="1259">
        <f>-'Table 5C1F-Lake Charles Charter'!L8</f>
        <v>0</v>
      </c>
      <c r="V8" s="1259">
        <f>-'Table 5C1G-JS Clark Academy'!L8</f>
        <v>0</v>
      </c>
      <c r="W8" s="1259">
        <f>-'Table 5C1H-Southwest LA Charter'!L8</f>
        <v>0</v>
      </c>
      <c r="X8" s="1259">
        <f>-'Table 5C1I-LA Key Academy'!L8</f>
        <v>0</v>
      </c>
      <c r="Y8" s="1259">
        <f>-'Table 5C1J-Jefferson Chamber'!L8</f>
        <v>0</v>
      </c>
      <c r="Z8" s="1259">
        <f>-'Table 5C1K-Tallulah Charter'!L8</f>
        <v>0</v>
      </c>
      <c r="AA8" s="1259">
        <f>-'Table 5C1L-Northshore Charter'!L8</f>
        <v>0</v>
      </c>
      <c r="AB8" s="1259">
        <f>-'Table 5C1M-B.R. Charter'!L8</f>
        <v>0</v>
      </c>
      <c r="AC8" s="1259">
        <f>-'Table 5C1N-Delta Charter'!L8</f>
        <v>0</v>
      </c>
      <c r="AD8" s="1260">
        <f>-('Table 5C2 - LA Virtual Admy'!M7+'Table 5C2 - LA Virtual Admy'!I7)</f>
        <v>-57271.573133909311</v>
      </c>
      <c r="AE8" s="1260">
        <f>-('Table 5C3 - LA Connections EBR'!M7+'Table 5C3 - LA Connections EBR'!I7)</f>
        <v>-64430.519775647976</v>
      </c>
      <c r="AF8" s="1260">
        <f t="shared" si="23"/>
        <v>-121702.09290955728</v>
      </c>
      <c r="AG8" s="1260">
        <f>+'Table 4 Level 4'!E6</f>
        <v>0</v>
      </c>
      <c r="AH8" s="1260">
        <f>+'Table 4 Level 4'!N6</f>
        <v>44356</v>
      </c>
      <c r="AI8" s="1261">
        <f t="shared" si="24"/>
        <v>29181269</v>
      </c>
      <c r="AJ8" s="1258"/>
      <c r="AK8" s="1258">
        <f t="shared" ref="AK8:AK71" si="29">AI8-AJ8</f>
        <v>29181269</v>
      </c>
      <c r="AL8" s="1258">
        <f t="shared" ref="AL8:AL71" si="30">ROUND(AK8/12,0)</f>
        <v>2431772</v>
      </c>
      <c r="AM8" s="1260">
        <f>+'Table 4 Level 4'!J6</f>
        <v>0</v>
      </c>
      <c r="AN8" s="1260">
        <f>+'Table 4 Level 4'!K6</f>
        <v>0</v>
      </c>
      <c r="AO8" s="1260">
        <f>+'Table 4 Level 4'!L6</f>
        <v>0</v>
      </c>
      <c r="AP8" s="1261">
        <f t="shared" ref="AP8:AP71" si="31">+AI8+AM8+AN8+AO8</f>
        <v>29181269</v>
      </c>
    </row>
    <row r="9" spans="1:42" ht="14.4" customHeight="1">
      <c r="A9" s="1256">
        <v>3</v>
      </c>
      <c r="B9" s="1257" t="s">
        <v>83</v>
      </c>
      <c r="C9" s="1258">
        <f>'Table 3 Levels 1&amp;2'!AO6</f>
        <v>99592965.157018244</v>
      </c>
      <c r="D9" s="1259">
        <v>0</v>
      </c>
      <c r="E9" s="1259">
        <v>0</v>
      </c>
      <c r="F9" s="1259">
        <f t="shared" si="25"/>
        <v>0</v>
      </c>
      <c r="G9" s="1258">
        <f t="shared" si="22"/>
        <v>0</v>
      </c>
      <c r="H9" s="1259">
        <f t="shared" si="26"/>
        <v>0</v>
      </c>
      <c r="I9" s="1259"/>
      <c r="J9" s="1259"/>
      <c r="K9" s="1259">
        <f t="shared" si="27"/>
        <v>0</v>
      </c>
      <c r="L9" s="1259"/>
      <c r="M9" s="1259"/>
      <c r="N9" s="1259">
        <f t="shared" si="28"/>
        <v>0</v>
      </c>
      <c r="O9" s="1259">
        <v>0</v>
      </c>
      <c r="P9" s="1259">
        <f>-'Table 5C1A-Madison Prep'!L9</f>
        <v>0</v>
      </c>
      <c r="Q9" s="1259">
        <f>-'Table 5C1B-DArbonne'!L9</f>
        <v>0</v>
      </c>
      <c r="R9" s="1259">
        <f>-'Table 5C1C-Intl_VIBE'!L9</f>
        <v>0</v>
      </c>
      <c r="S9" s="1259">
        <f>-'Table 5C1D-NOMMA'!L9</f>
        <v>0</v>
      </c>
      <c r="T9" s="1259">
        <f>-'Table 5C1E-LFNO'!L9</f>
        <v>0</v>
      </c>
      <c r="U9" s="1259">
        <f>-'Table 5C1F-Lake Charles Charter'!L9</f>
        <v>0</v>
      </c>
      <c r="V9" s="1259">
        <f>-'Table 5C1G-JS Clark Academy'!L9</f>
        <v>0</v>
      </c>
      <c r="W9" s="1259">
        <f>-'Table 5C1H-Southwest LA Charter'!L9</f>
        <v>0</v>
      </c>
      <c r="X9" s="1259">
        <f>-'Table 5C1I-LA Key Academy'!L9</f>
        <v>-38016.209621917456</v>
      </c>
      <c r="Y9" s="1259">
        <f>-'Table 5C1J-Jefferson Chamber'!L9</f>
        <v>0</v>
      </c>
      <c r="Z9" s="1259">
        <f>-'Table 5C1K-Tallulah Charter'!L9</f>
        <v>0</v>
      </c>
      <c r="AA9" s="1259">
        <f>-'Table 5C1L-Northshore Charter'!L9</f>
        <v>0</v>
      </c>
      <c r="AB9" s="1259">
        <f>-'Table 5C1M-B.R. Charter'!L9</f>
        <v>-4752.026202739682</v>
      </c>
      <c r="AC9" s="1259">
        <f>-'Table 5C1N-Delta Charter'!L9</f>
        <v>0</v>
      </c>
      <c r="AD9" s="1260">
        <f>-('Table 5C2 - LA Virtual Admy'!M8+'Table 5C2 - LA Virtual Admy'!I8)</f>
        <v>-251857.38874520315</v>
      </c>
      <c r="AE9" s="1260">
        <f>-('Table 5C3 - LA Connections EBR'!M8+'Table 5C3 - LA Connections EBR'!I8)</f>
        <v>-204337.12671780633</v>
      </c>
      <c r="AF9" s="1260">
        <f t="shared" si="23"/>
        <v>-498962.75128766662</v>
      </c>
      <c r="AG9" s="1260">
        <f>+'Table 4 Level 4'!E7</f>
        <v>0</v>
      </c>
      <c r="AH9" s="1260">
        <f>+'Table 4 Level 4'!N7</f>
        <v>241540</v>
      </c>
      <c r="AI9" s="1261">
        <f t="shared" si="24"/>
        <v>99335542</v>
      </c>
      <c r="AJ9" s="1258"/>
      <c r="AK9" s="1258">
        <f t="shared" si="29"/>
        <v>99335542</v>
      </c>
      <c r="AL9" s="1258">
        <f t="shared" si="30"/>
        <v>8277962</v>
      </c>
      <c r="AM9" s="1260">
        <f>+'Table 4 Level 4'!J7</f>
        <v>0</v>
      </c>
      <c r="AN9" s="1260">
        <f>+'Table 4 Level 4'!K7</f>
        <v>0</v>
      </c>
      <c r="AO9" s="1260">
        <f>+'Table 4 Level 4'!L7</f>
        <v>0</v>
      </c>
      <c r="AP9" s="1261">
        <f t="shared" si="31"/>
        <v>99335542</v>
      </c>
    </row>
    <row r="10" spans="1:42" ht="14.4" customHeight="1">
      <c r="A10" s="1256">
        <v>4</v>
      </c>
      <c r="B10" s="1257" t="s">
        <v>84</v>
      </c>
      <c r="C10" s="1258">
        <f>'Table 3 Levels 1&amp;2'!AO7</f>
        <v>23929495.958390962</v>
      </c>
      <c r="D10" s="1259">
        <v>0</v>
      </c>
      <c r="E10" s="1259">
        <v>0</v>
      </c>
      <c r="F10" s="1259">
        <f t="shared" si="25"/>
        <v>0</v>
      </c>
      <c r="G10" s="1258">
        <f t="shared" si="22"/>
        <v>0</v>
      </c>
      <c r="H10" s="1259">
        <f t="shared" si="26"/>
        <v>0</v>
      </c>
      <c r="I10" s="1259"/>
      <c r="J10" s="1259"/>
      <c r="K10" s="1259">
        <f t="shared" si="27"/>
        <v>0</v>
      </c>
      <c r="L10" s="1259"/>
      <c r="M10" s="1259"/>
      <c r="N10" s="1259">
        <f t="shared" si="28"/>
        <v>0</v>
      </c>
      <c r="O10" s="1259">
        <v>0</v>
      </c>
      <c r="P10" s="1259">
        <f>-'Table 5C1A-Madison Prep'!L10</f>
        <v>0</v>
      </c>
      <c r="Q10" s="1259">
        <f>-'Table 5C1B-DArbonne'!L10</f>
        <v>0</v>
      </c>
      <c r="R10" s="1259">
        <f>-'Table 5C1C-Intl_VIBE'!L10</f>
        <v>0</v>
      </c>
      <c r="S10" s="1259">
        <f>-'Table 5C1D-NOMMA'!L10</f>
        <v>0</v>
      </c>
      <c r="T10" s="1259">
        <f>-'Table 5C1E-LFNO'!L10</f>
        <v>0</v>
      </c>
      <c r="U10" s="1259">
        <f>-'Table 5C1F-Lake Charles Charter'!L10</f>
        <v>0</v>
      </c>
      <c r="V10" s="1259">
        <f>-'Table 5C1G-JS Clark Academy'!L10</f>
        <v>0</v>
      </c>
      <c r="W10" s="1259">
        <f>-'Table 5C1H-Southwest LA Charter'!L10</f>
        <v>0</v>
      </c>
      <c r="X10" s="1259">
        <f>-'Table 5C1I-LA Key Academy'!L10</f>
        <v>0</v>
      </c>
      <c r="Y10" s="1259">
        <f>-'Table 5C1J-Jefferson Chamber'!L10</f>
        <v>0</v>
      </c>
      <c r="Z10" s="1259">
        <f>-'Table 5C1K-Tallulah Charter'!L10</f>
        <v>0</v>
      </c>
      <c r="AA10" s="1259">
        <f>-'Table 5C1L-Northshore Charter'!L10</f>
        <v>0</v>
      </c>
      <c r="AB10" s="1259">
        <f>-'Table 5C1M-B.R. Charter'!L10</f>
        <v>0</v>
      </c>
      <c r="AC10" s="1259">
        <f>-'Table 5C1N-Delta Charter'!L10</f>
        <v>0</v>
      </c>
      <c r="AD10" s="1260">
        <f>-('Table 5C2 - LA Virtual Admy'!M9+'Table 5C2 - LA Virtual Admy'!I9)</f>
        <v>-6704.8181446878571</v>
      </c>
      <c r="AE10" s="1260">
        <f>-('Table 5C3 - LA Connections EBR'!M9+'Table 5C3 - LA Connections EBR'!I9)</f>
        <v>-20114.454434063569</v>
      </c>
      <c r="AF10" s="1260">
        <f t="shared" si="23"/>
        <v>-26819.272578751428</v>
      </c>
      <c r="AG10" s="1260">
        <f>+'Table 4 Level 4'!E8</f>
        <v>84000</v>
      </c>
      <c r="AH10" s="1260">
        <f>+'Table 4 Level 4'!N8</f>
        <v>41964</v>
      </c>
      <c r="AI10" s="1261">
        <f t="shared" si="24"/>
        <v>24028641</v>
      </c>
      <c r="AJ10" s="1258"/>
      <c r="AK10" s="1258">
        <f t="shared" si="29"/>
        <v>24028641</v>
      </c>
      <c r="AL10" s="1258">
        <f t="shared" si="30"/>
        <v>2002387</v>
      </c>
      <c r="AM10" s="1260">
        <f>+'Table 4 Level 4'!J8</f>
        <v>0</v>
      </c>
      <c r="AN10" s="1260">
        <f>+'Table 4 Level 4'!K8</f>
        <v>0</v>
      </c>
      <c r="AO10" s="1260">
        <f>+'Table 4 Level 4'!L8</f>
        <v>0</v>
      </c>
      <c r="AP10" s="1261">
        <f t="shared" si="31"/>
        <v>24028641</v>
      </c>
    </row>
    <row r="11" spans="1:42" ht="14.4" customHeight="1">
      <c r="A11" s="85">
        <v>5</v>
      </c>
      <c r="B11" s="207" t="s">
        <v>85</v>
      </c>
      <c r="C11" s="209">
        <f>'Table 3 Levels 1&amp;2'!AO8</f>
        <v>32910405.697956</v>
      </c>
      <c r="D11" s="219">
        <v>0</v>
      </c>
      <c r="E11" s="219">
        <v>0</v>
      </c>
      <c r="F11" s="219">
        <f t="shared" si="25"/>
        <v>0</v>
      </c>
      <c r="G11" s="209">
        <f t="shared" si="22"/>
        <v>0</v>
      </c>
      <c r="H11" s="219">
        <f t="shared" si="26"/>
        <v>0</v>
      </c>
      <c r="I11" s="219"/>
      <c r="J11" s="219"/>
      <c r="K11" s="219">
        <f t="shared" si="27"/>
        <v>0</v>
      </c>
      <c r="L11" s="219"/>
      <c r="M11" s="219"/>
      <c r="N11" s="219">
        <f t="shared" si="28"/>
        <v>0</v>
      </c>
      <c r="O11" s="219">
        <v>0</v>
      </c>
      <c r="P11" s="219">
        <f>-'Table 5C1A-Madison Prep'!L11</f>
        <v>0</v>
      </c>
      <c r="Q11" s="219">
        <f>-'Table 5C1B-DArbonne'!L11</f>
        <v>0</v>
      </c>
      <c r="R11" s="219">
        <f>-'Table 5C1C-Intl_VIBE'!L11</f>
        <v>0</v>
      </c>
      <c r="S11" s="219">
        <f>-'Table 5C1D-NOMMA'!L11</f>
        <v>0</v>
      </c>
      <c r="T11" s="219">
        <f>-'Table 5C1E-LFNO'!L11</f>
        <v>0</v>
      </c>
      <c r="U11" s="219">
        <f>-'Table 5C1F-Lake Charles Charter'!L11</f>
        <v>0</v>
      </c>
      <c r="V11" s="219">
        <f>-'Table 5C1G-JS Clark Academy'!L11</f>
        <v>0</v>
      </c>
      <c r="W11" s="219">
        <f>-'Table 5C1H-Southwest LA Charter'!L11</f>
        <v>0</v>
      </c>
      <c r="X11" s="219">
        <f>-'Table 5C1I-LA Key Academy'!L11</f>
        <v>0</v>
      </c>
      <c r="Y11" s="219">
        <f>-'Table 5C1J-Jefferson Chamber'!L11</f>
        <v>0</v>
      </c>
      <c r="Z11" s="219">
        <f>-'Table 5C1K-Tallulah Charter'!L11</f>
        <v>0</v>
      </c>
      <c r="AA11" s="219">
        <f>-'Table 5C1L-Northshore Charter'!L11</f>
        <v>0</v>
      </c>
      <c r="AB11" s="219">
        <f>-'Table 5C1M-B.R. Charter'!L11</f>
        <v>0</v>
      </c>
      <c r="AC11" s="219">
        <f>-'Table 5C1N-Delta Charter'!L11</f>
        <v>0</v>
      </c>
      <c r="AD11" s="210">
        <f>-('Table 5C2 - LA Virtual Admy'!M10+'Table 5C2 - LA Virtual Admy'!I10)</f>
        <v>-163095.8158482775</v>
      </c>
      <c r="AE11" s="210">
        <f>-('Table 5C3 - LA Connections EBR'!M10+'Table 5C3 - LA Connections EBR'!I10)</f>
        <v>-69898.20679211893</v>
      </c>
      <c r="AF11" s="210">
        <f t="shared" si="23"/>
        <v>-232994.02264039643</v>
      </c>
      <c r="AG11" s="210">
        <f>+'Table 4 Level 4'!E9</f>
        <v>0</v>
      </c>
      <c r="AH11" s="210">
        <f>+'Table 4 Level 4'!N9</f>
        <v>63752</v>
      </c>
      <c r="AI11" s="322">
        <f t="shared" si="24"/>
        <v>32741164</v>
      </c>
      <c r="AJ11" s="209"/>
      <c r="AK11" s="209">
        <f t="shared" si="29"/>
        <v>32741164</v>
      </c>
      <c r="AL11" s="209">
        <f t="shared" si="30"/>
        <v>2728430</v>
      </c>
      <c r="AM11" s="210">
        <f>+'Table 4 Level 4'!J9</f>
        <v>0</v>
      </c>
      <c r="AN11" s="210">
        <f>+'Table 4 Level 4'!K9</f>
        <v>0</v>
      </c>
      <c r="AO11" s="210">
        <f>+'Table 4 Level 4'!L9</f>
        <v>0</v>
      </c>
      <c r="AP11" s="322">
        <f t="shared" si="31"/>
        <v>32741164</v>
      </c>
    </row>
    <row r="12" spans="1:42" ht="14.4" customHeight="1">
      <c r="A12" s="1250">
        <v>6</v>
      </c>
      <c r="B12" s="1251" t="s">
        <v>86</v>
      </c>
      <c r="C12" s="1252">
        <f>'Table 3 Levels 1&amp;2'!AO9</f>
        <v>34904140.904823996</v>
      </c>
      <c r="D12" s="1253">
        <v>0</v>
      </c>
      <c r="E12" s="1253">
        <v>0</v>
      </c>
      <c r="F12" s="1253">
        <f t="shared" si="25"/>
        <v>0</v>
      </c>
      <c r="G12" s="1252">
        <f t="shared" si="22"/>
        <v>0</v>
      </c>
      <c r="H12" s="1253">
        <f t="shared" si="26"/>
        <v>0</v>
      </c>
      <c r="I12" s="1253"/>
      <c r="J12" s="1253"/>
      <c r="K12" s="1253">
        <f t="shared" si="27"/>
        <v>0</v>
      </c>
      <c r="L12" s="1253"/>
      <c r="M12" s="1253"/>
      <c r="N12" s="1253">
        <f t="shared" si="28"/>
        <v>0</v>
      </c>
      <c r="O12" s="1253">
        <v>0</v>
      </c>
      <c r="P12" s="1253">
        <f>-'Table 5C1A-Madison Prep'!L12</f>
        <v>0</v>
      </c>
      <c r="Q12" s="1253">
        <f>-'Table 5C1B-DArbonne'!L12</f>
        <v>0</v>
      </c>
      <c r="R12" s="1253">
        <f>-'Table 5C1C-Intl_VIBE'!L12</f>
        <v>0</v>
      </c>
      <c r="S12" s="1253">
        <f>-'Table 5C1D-NOMMA'!L12</f>
        <v>0</v>
      </c>
      <c r="T12" s="1253">
        <f>-'Table 5C1E-LFNO'!L12</f>
        <v>0</v>
      </c>
      <c r="U12" s="1253">
        <f>-'Table 5C1F-Lake Charles Charter'!L12</f>
        <v>0</v>
      </c>
      <c r="V12" s="1253">
        <f>-'Table 5C1G-JS Clark Academy'!L12</f>
        <v>0</v>
      </c>
      <c r="W12" s="1253">
        <f>-'Table 5C1H-Southwest LA Charter'!L12</f>
        <v>0</v>
      </c>
      <c r="X12" s="1253">
        <f>-'Table 5C1I-LA Key Academy'!L12</f>
        <v>0</v>
      </c>
      <c r="Y12" s="1253">
        <f>-'Table 5C1J-Jefferson Chamber'!L12</f>
        <v>0</v>
      </c>
      <c r="Z12" s="1253">
        <f>-'Table 5C1K-Tallulah Charter'!L12</f>
        <v>0</v>
      </c>
      <c r="AA12" s="1253">
        <f>-'Table 5C1L-Northshore Charter'!L12</f>
        <v>0</v>
      </c>
      <c r="AB12" s="1253">
        <f>-'Table 5C1M-B.R. Charter'!L12</f>
        <v>0</v>
      </c>
      <c r="AC12" s="1253">
        <f>-'Table 5C1N-Delta Charter'!L12</f>
        <v>0</v>
      </c>
      <c r="AD12" s="1254">
        <f>-('Table 5C2 - LA Virtual Admy'!M11+'Table 5C2 - LA Virtual Admy'!I11)</f>
        <v>-124403.76086240733</v>
      </c>
      <c r="AE12" s="1254">
        <f>-('Table 5C3 - LA Connections EBR'!M11+'Table 5C3 - LA Connections EBR'!I11)</f>
        <v>-59239.886124955869</v>
      </c>
      <c r="AF12" s="1254">
        <f t="shared" si="23"/>
        <v>-183643.6469873632</v>
      </c>
      <c r="AG12" s="1254">
        <f>+'Table 4 Level 4'!E10</f>
        <v>0</v>
      </c>
      <c r="AH12" s="1254">
        <f>+'Table 4 Level 4'!N10</f>
        <v>70512</v>
      </c>
      <c r="AI12" s="1255">
        <f t="shared" si="24"/>
        <v>34791009</v>
      </c>
      <c r="AJ12" s="1252"/>
      <c r="AK12" s="1252">
        <f t="shared" si="29"/>
        <v>34791009</v>
      </c>
      <c r="AL12" s="1252">
        <f t="shared" si="30"/>
        <v>2899251</v>
      </c>
      <c r="AM12" s="1254">
        <f>+'Table 4 Level 4'!J10</f>
        <v>0</v>
      </c>
      <c r="AN12" s="1254">
        <f>+'Table 4 Level 4'!K10</f>
        <v>0</v>
      </c>
      <c r="AO12" s="1254">
        <f>+'Table 4 Level 4'!L10</f>
        <v>0</v>
      </c>
      <c r="AP12" s="1255">
        <f t="shared" si="31"/>
        <v>34791009</v>
      </c>
    </row>
    <row r="13" spans="1:42" ht="14.4" customHeight="1">
      <c r="A13" s="1256">
        <v>7</v>
      </c>
      <c r="B13" s="1257" t="s">
        <v>87</v>
      </c>
      <c r="C13" s="1258">
        <f>'Table 3 Levels 1&amp;2'!AO10</f>
        <v>6569831.7999999998</v>
      </c>
      <c r="D13" s="1259">
        <v>0</v>
      </c>
      <c r="E13" s="1259">
        <v>0</v>
      </c>
      <c r="F13" s="1259">
        <f t="shared" si="25"/>
        <v>0</v>
      </c>
      <c r="G13" s="1258">
        <f t="shared" si="22"/>
        <v>0</v>
      </c>
      <c r="H13" s="1259">
        <f t="shared" si="26"/>
        <v>0</v>
      </c>
      <c r="I13" s="1259"/>
      <c r="J13" s="1259"/>
      <c r="K13" s="1259">
        <f t="shared" si="27"/>
        <v>0</v>
      </c>
      <c r="L13" s="1259"/>
      <c r="M13" s="1259"/>
      <c r="N13" s="1259">
        <f t="shared" si="28"/>
        <v>0</v>
      </c>
      <c r="O13" s="1259">
        <v>0</v>
      </c>
      <c r="P13" s="1259">
        <f>-'Table 5C1A-Madison Prep'!L13</f>
        <v>0</v>
      </c>
      <c r="Q13" s="1259">
        <f>-'Table 5C1B-DArbonne'!L13</f>
        <v>0</v>
      </c>
      <c r="R13" s="1259">
        <f>-'Table 5C1C-Intl_VIBE'!L13</f>
        <v>0</v>
      </c>
      <c r="S13" s="1259">
        <f>-'Table 5C1D-NOMMA'!L13</f>
        <v>0</v>
      </c>
      <c r="T13" s="1259">
        <f>-'Table 5C1E-LFNO'!L13</f>
        <v>0</v>
      </c>
      <c r="U13" s="1259">
        <f>-'Table 5C1F-Lake Charles Charter'!L13</f>
        <v>0</v>
      </c>
      <c r="V13" s="1259">
        <f>-'Table 5C1G-JS Clark Academy'!L13</f>
        <v>0</v>
      </c>
      <c r="W13" s="1259">
        <f>-'Table 5C1H-Southwest LA Charter'!L13</f>
        <v>0</v>
      </c>
      <c r="X13" s="1259">
        <f>-'Table 5C1I-LA Key Academy'!L13</f>
        <v>0</v>
      </c>
      <c r="Y13" s="1259">
        <f>-'Table 5C1J-Jefferson Chamber'!L13</f>
        <v>0</v>
      </c>
      <c r="Z13" s="1259">
        <f>-'Table 5C1K-Tallulah Charter'!L13</f>
        <v>0</v>
      </c>
      <c r="AA13" s="1259">
        <f>-'Table 5C1L-Northshore Charter'!L13</f>
        <v>0</v>
      </c>
      <c r="AB13" s="1259">
        <f>-'Table 5C1M-B.R. Charter'!L13</f>
        <v>0</v>
      </c>
      <c r="AC13" s="1259">
        <f>-'Table 5C1N-Delta Charter'!L13</f>
        <v>0</v>
      </c>
      <c r="AD13" s="1260">
        <f>-('Table 5C2 - LA Virtual Admy'!M12+'Table 5C2 - LA Virtual Admy'!I12)</f>
        <v>-17999.539178082192</v>
      </c>
      <c r="AE13" s="1260">
        <f>-('Table 5C3 - LA Connections EBR'!M12+'Table 5C3 - LA Connections EBR'!I12)</f>
        <v>-17999.539178082192</v>
      </c>
      <c r="AF13" s="1260">
        <f t="shared" si="23"/>
        <v>-35999.078356164384</v>
      </c>
      <c r="AG13" s="1260">
        <f>+'Table 4 Level 4'!E11</f>
        <v>0</v>
      </c>
      <c r="AH13" s="1260">
        <f>+'Table 4 Level 4'!N11</f>
        <v>23946</v>
      </c>
      <c r="AI13" s="1261">
        <f t="shared" si="24"/>
        <v>6557779</v>
      </c>
      <c r="AJ13" s="1258"/>
      <c r="AK13" s="1258">
        <f t="shared" si="29"/>
        <v>6557779</v>
      </c>
      <c r="AL13" s="1258">
        <f t="shared" si="30"/>
        <v>546482</v>
      </c>
      <c r="AM13" s="1260">
        <f>+'Table 4 Level 4'!J11</f>
        <v>0</v>
      </c>
      <c r="AN13" s="1260">
        <f>+'Table 4 Level 4'!K11</f>
        <v>0</v>
      </c>
      <c r="AO13" s="1260">
        <f>+'Table 4 Level 4'!L11</f>
        <v>0</v>
      </c>
      <c r="AP13" s="1261">
        <f t="shared" si="31"/>
        <v>6557779</v>
      </c>
    </row>
    <row r="14" spans="1:42" ht="14.4" customHeight="1">
      <c r="A14" s="1256">
        <v>8</v>
      </c>
      <c r="B14" s="1257" t="s">
        <v>88</v>
      </c>
      <c r="C14" s="1258">
        <f>'Table 3 Levels 1&amp;2'!AO11</f>
        <v>116339117.75300801</v>
      </c>
      <c r="D14" s="1259">
        <v>0</v>
      </c>
      <c r="E14" s="1259">
        <v>0</v>
      </c>
      <c r="F14" s="1259">
        <f t="shared" si="25"/>
        <v>0</v>
      </c>
      <c r="G14" s="1258">
        <f t="shared" si="22"/>
        <v>0</v>
      </c>
      <c r="H14" s="1259">
        <f t="shared" si="26"/>
        <v>0</v>
      </c>
      <c r="I14" s="1259"/>
      <c r="J14" s="1259"/>
      <c r="K14" s="1259">
        <f t="shared" si="27"/>
        <v>0</v>
      </c>
      <c r="L14" s="1259"/>
      <c r="M14" s="1259"/>
      <c r="N14" s="1259">
        <f t="shared" si="28"/>
        <v>0</v>
      </c>
      <c r="O14" s="1259">
        <v>0</v>
      </c>
      <c r="P14" s="1259">
        <f>-'Table 5C1A-Madison Prep'!L14</f>
        <v>0</v>
      </c>
      <c r="Q14" s="1259">
        <f>-'Table 5C1B-DArbonne'!L14</f>
        <v>0</v>
      </c>
      <c r="R14" s="1259">
        <f>-'Table 5C1C-Intl_VIBE'!L14</f>
        <v>0</v>
      </c>
      <c r="S14" s="1259">
        <f>-'Table 5C1D-NOMMA'!L14</f>
        <v>0</v>
      </c>
      <c r="T14" s="1259">
        <f>-'Table 5C1E-LFNO'!L14</f>
        <v>0</v>
      </c>
      <c r="U14" s="1259">
        <f>-'Table 5C1F-Lake Charles Charter'!L14</f>
        <v>0</v>
      </c>
      <c r="V14" s="1259">
        <f>-'Table 5C1G-JS Clark Academy'!L14</f>
        <v>0</v>
      </c>
      <c r="W14" s="1259">
        <f>-'Table 5C1H-Southwest LA Charter'!L14</f>
        <v>0</v>
      </c>
      <c r="X14" s="1259">
        <f>-'Table 5C1I-LA Key Academy'!L14</f>
        <v>0</v>
      </c>
      <c r="Y14" s="1259">
        <f>-'Table 5C1J-Jefferson Chamber'!L14</f>
        <v>0</v>
      </c>
      <c r="Z14" s="1259">
        <f>-'Table 5C1K-Tallulah Charter'!L14</f>
        <v>0</v>
      </c>
      <c r="AA14" s="1259">
        <f>-'Table 5C1L-Northshore Charter'!L14</f>
        <v>0</v>
      </c>
      <c r="AB14" s="1259">
        <f>-'Table 5C1M-B.R. Charter'!L14</f>
        <v>0</v>
      </c>
      <c r="AC14" s="1259">
        <f>-'Table 5C1N-Delta Charter'!L14</f>
        <v>0</v>
      </c>
      <c r="AD14" s="1260">
        <f>-('Table 5C2 - LA Virtual Admy'!M13+'Table 5C2 - LA Virtual Admy'!I13)</f>
        <v>-366898.24725000205</v>
      </c>
      <c r="AE14" s="1260">
        <f>-('Table 5C3 - LA Connections EBR'!M13+'Table 5C3 - LA Connections EBR'!I13)</f>
        <v>-210426.9359227953</v>
      </c>
      <c r="AF14" s="1260">
        <f t="shared" si="23"/>
        <v>-577325.18317279732</v>
      </c>
      <c r="AG14" s="1260">
        <f>+'Table 4 Level 4'!E12</f>
        <v>63000</v>
      </c>
      <c r="AH14" s="1260">
        <f>+'Table 4 Level 4'!N12</f>
        <v>233818</v>
      </c>
      <c r="AI14" s="1261">
        <f t="shared" si="24"/>
        <v>116058611</v>
      </c>
      <c r="AJ14" s="1258"/>
      <c r="AK14" s="1258">
        <f t="shared" si="29"/>
        <v>116058611</v>
      </c>
      <c r="AL14" s="1258">
        <f t="shared" si="30"/>
        <v>9671551</v>
      </c>
      <c r="AM14" s="1260">
        <f>+'Table 4 Level 4'!J12</f>
        <v>0</v>
      </c>
      <c r="AN14" s="1260">
        <f>+'Table 4 Level 4'!K12</f>
        <v>0</v>
      </c>
      <c r="AO14" s="1260">
        <f>+'Table 4 Level 4'!L12</f>
        <v>0</v>
      </c>
      <c r="AP14" s="1261">
        <f t="shared" si="31"/>
        <v>116058611</v>
      </c>
    </row>
    <row r="15" spans="1:42" ht="14.4" customHeight="1">
      <c r="A15" s="1256">
        <v>9</v>
      </c>
      <c r="B15" s="1257" t="s">
        <v>89</v>
      </c>
      <c r="C15" s="1258">
        <f>'Table 3 Levels 1&amp;2'!AO12</f>
        <v>218395851.51511082</v>
      </c>
      <c r="D15" s="1259">
        <v>-65414.453364192508</v>
      </c>
      <c r="E15" s="1259">
        <v>-246018.10289036063</v>
      </c>
      <c r="F15" s="1259">
        <f t="shared" si="25"/>
        <v>-311432.55625455314</v>
      </c>
      <c r="G15" s="1258">
        <f t="shared" si="22"/>
        <v>0</v>
      </c>
      <c r="H15" s="1259">
        <f t="shared" si="26"/>
        <v>-311432.55625455314</v>
      </c>
      <c r="I15" s="1259"/>
      <c r="J15" s="1259"/>
      <c r="K15" s="1259">
        <f t="shared" si="27"/>
        <v>0</v>
      </c>
      <c r="L15" s="1271"/>
      <c r="M15" s="1259"/>
      <c r="N15" s="1259">
        <f t="shared" si="28"/>
        <v>0</v>
      </c>
      <c r="O15" s="1259">
        <f>-'Table 5B2_RSD_LA'!L15</f>
        <v>-2731628.08</v>
      </c>
      <c r="P15" s="1259">
        <f>-'Table 5C1A-Madison Prep'!L15</f>
        <v>0</v>
      </c>
      <c r="Q15" s="1259">
        <f>-'Table 5C1B-DArbonne'!L15</f>
        <v>0</v>
      </c>
      <c r="R15" s="1259">
        <f>-'Table 5C1C-Intl_VIBE'!L15</f>
        <v>0</v>
      </c>
      <c r="S15" s="1259">
        <f>-'Table 5C1D-NOMMA'!L15</f>
        <v>0</v>
      </c>
      <c r="T15" s="1259">
        <f>-'Table 5C1E-LFNO'!L15</f>
        <v>0</v>
      </c>
      <c r="U15" s="1259">
        <f>-'Table 5C1F-Lake Charles Charter'!L15</f>
        <v>0</v>
      </c>
      <c r="V15" s="1259">
        <f>-'Table 5C1G-JS Clark Academy'!L15</f>
        <v>0</v>
      </c>
      <c r="W15" s="1259">
        <f>-'Table 5C1H-Southwest LA Charter'!L15</f>
        <v>0</v>
      </c>
      <c r="X15" s="1259">
        <f>-'Table 5C1I-LA Key Academy'!L15</f>
        <v>0</v>
      </c>
      <c r="Y15" s="1259">
        <f>-'Table 5C1J-Jefferson Chamber'!L15</f>
        <v>0</v>
      </c>
      <c r="Z15" s="1259">
        <f>-'Table 5C1K-Tallulah Charter'!L15</f>
        <v>0</v>
      </c>
      <c r="AA15" s="1259">
        <f>-'Table 5C1L-Northshore Charter'!L15</f>
        <v>0</v>
      </c>
      <c r="AB15" s="1259">
        <f>-'Table 5C1M-B.R. Charter'!L15</f>
        <v>0</v>
      </c>
      <c r="AC15" s="1259">
        <f>-'Table 5C1N-Delta Charter'!L15</f>
        <v>0</v>
      </c>
      <c r="AD15" s="1260">
        <f>-('Table 5C2 - LA Virtual Admy'!M14+'Table 5C2 - LA Virtual Admy'!I14)</f>
        <v>-543099.37222765456</v>
      </c>
      <c r="AE15" s="1260">
        <f>-('Table 5C3 - LA Connections EBR'!M14+'Table 5C3 - LA Connections EBR'!I14)</f>
        <v>-349519.39796829259</v>
      </c>
      <c r="AF15" s="1260">
        <f t="shared" si="23"/>
        <v>-3624246.8501959476</v>
      </c>
      <c r="AG15" s="1260">
        <f>+'Table 4 Level 4'!E13</f>
        <v>357000</v>
      </c>
      <c r="AH15" s="1260">
        <f>+'Table 4 Level 4'!N13</f>
        <v>433030</v>
      </c>
      <c r="AI15" s="1261">
        <f t="shared" si="24"/>
        <v>215250202</v>
      </c>
      <c r="AJ15" s="1258"/>
      <c r="AK15" s="1258">
        <f t="shared" si="29"/>
        <v>215250202</v>
      </c>
      <c r="AL15" s="1258">
        <f t="shared" si="30"/>
        <v>17937517</v>
      </c>
      <c r="AM15" s="1260">
        <f>+'Table 4 Level 4'!J13</f>
        <v>0</v>
      </c>
      <c r="AN15" s="1260">
        <f>+'Table 4 Level 4'!K13</f>
        <v>0</v>
      </c>
      <c r="AO15" s="1260">
        <f>+'Table 4 Level 4'!L13</f>
        <v>0</v>
      </c>
      <c r="AP15" s="1261">
        <f t="shared" si="31"/>
        <v>215250202</v>
      </c>
    </row>
    <row r="16" spans="1:42" ht="14.4" customHeight="1">
      <c r="A16" s="85">
        <v>10</v>
      </c>
      <c r="B16" s="207" t="s">
        <v>90</v>
      </c>
      <c r="C16" s="209">
        <f>'Table 3 Levels 1&amp;2'!AO13</f>
        <v>161539563.54539999</v>
      </c>
      <c r="D16" s="219">
        <v>0</v>
      </c>
      <c r="E16" s="219">
        <v>0</v>
      </c>
      <c r="F16" s="219">
        <f t="shared" si="25"/>
        <v>0</v>
      </c>
      <c r="G16" s="209">
        <f t="shared" si="22"/>
        <v>0</v>
      </c>
      <c r="H16" s="219">
        <f t="shared" si="26"/>
        <v>0</v>
      </c>
      <c r="I16" s="219"/>
      <c r="J16" s="219"/>
      <c r="K16" s="219">
        <f t="shared" si="27"/>
        <v>0</v>
      </c>
      <c r="L16" s="219"/>
      <c r="M16" s="219"/>
      <c r="N16" s="219">
        <f t="shared" si="28"/>
        <v>0</v>
      </c>
      <c r="O16" s="219">
        <v>0</v>
      </c>
      <c r="P16" s="219">
        <f>-'Table 5C1A-Madison Prep'!L16</f>
        <v>0</v>
      </c>
      <c r="Q16" s="219">
        <f>-'Table 5C1B-DArbonne'!L16</f>
        <v>0</v>
      </c>
      <c r="R16" s="219">
        <f>-'Table 5C1C-Intl_VIBE'!L16</f>
        <v>0</v>
      </c>
      <c r="S16" s="219">
        <f>-'Table 5C1D-NOMMA'!L16</f>
        <v>0</v>
      </c>
      <c r="T16" s="219">
        <f>-'Table 5C1E-LFNO'!L16</f>
        <v>0</v>
      </c>
      <c r="U16" s="219">
        <f>-'Table 5C1F-Lake Charles Charter'!L16</f>
        <v>-4318438.7448394783</v>
      </c>
      <c r="V16" s="219">
        <f>-'Table 5C1G-JS Clark Academy'!L16</f>
        <v>0</v>
      </c>
      <c r="W16" s="219">
        <f>-'Table 5C1H-Southwest LA Charter'!L16</f>
        <v>-3349910.2864592946</v>
      </c>
      <c r="X16" s="219">
        <f>-'Table 5C1I-LA Key Academy'!L16</f>
        <v>0</v>
      </c>
      <c r="Y16" s="219">
        <f>-'Table 5C1J-Jefferson Chamber'!L16</f>
        <v>0</v>
      </c>
      <c r="Z16" s="219">
        <f>-'Table 5C1K-Tallulah Charter'!L16</f>
        <v>0</v>
      </c>
      <c r="AA16" s="219">
        <f>-'Table 5C1L-Northshore Charter'!L16</f>
        <v>0</v>
      </c>
      <c r="AB16" s="219">
        <f>-'Table 5C1M-B.R. Charter'!L16</f>
        <v>0</v>
      </c>
      <c r="AC16" s="219">
        <f>-'Table 5C1N-Delta Charter'!L16</f>
        <v>0</v>
      </c>
      <c r="AD16" s="210">
        <f>-('Table 5C2 - LA Virtual Admy'!M15+'Table 5C2 - LA Virtual Admy'!I15)</f>
        <v>-389408.3492456408</v>
      </c>
      <c r="AE16" s="210">
        <f>-('Table 5C3 - LA Connections EBR'!M15+'Table 5C3 - LA Connections EBR'!I15)</f>
        <v>-234643.4924941682</v>
      </c>
      <c r="AF16" s="210">
        <f t="shared" si="23"/>
        <v>-8292400.8730385816</v>
      </c>
      <c r="AG16" s="210">
        <f>+'Table 4 Level 4'!E14</f>
        <v>651000</v>
      </c>
      <c r="AH16" s="210">
        <f>+'Table 4 Level 4'!N14</f>
        <v>348868</v>
      </c>
      <c r="AI16" s="322">
        <f t="shared" si="24"/>
        <v>154247031</v>
      </c>
      <c r="AJ16" s="209"/>
      <c r="AK16" s="209">
        <f t="shared" si="29"/>
        <v>154247031</v>
      </c>
      <c r="AL16" s="209">
        <f t="shared" si="30"/>
        <v>12853919</v>
      </c>
      <c r="AM16" s="210">
        <f>+'Table 4 Level 4'!J14</f>
        <v>0</v>
      </c>
      <c r="AN16" s="210">
        <f>+'Table 4 Level 4'!K14</f>
        <v>0</v>
      </c>
      <c r="AO16" s="210">
        <f>+'Table 4 Level 4'!L14</f>
        <v>0</v>
      </c>
      <c r="AP16" s="322">
        <f t="shared" si="31"/>
        <v>154247031</v>
      </c>
    </row>
    <row r="17" spans="1:42" ht="14.4" customHeight="1">
      <c r="A17" s="1250">
        <v>11</v>
      </c>
      <c r="B17" s="1251" t="s">
        <v>91</v>
      </c>
      <c r="C17" s="1252">
        <f>'Table 3 Levels 1&amp;2'!AO14</f>
        <v>12246181.85388384</v>
      </c>
      <c r="D17" s="1253">
        <v>0</v>
      </c>
      <c r="E17" s="1253">
        <v>12796.586965760216</v>
      </c>
      <c r="F17" s="1253">
        <f t="shared" si="25"/>
        <v>12796.586965760216</v>
      </c>
      <c r="G17" s="1252">
        <f t="shared" si="22"/>
        <v>12796.586965760216</v>
      </c>
      <c r="H17" s="1253">
        <f t="shared" si="26"/>
        <v>0</v>
      </c>
      <c r="I17" s="1253"/>
      <c r="J17" s="1253"/>
      <c r="K17" s="1253">
        <f t="shared" si="27"/>
        <v>0</v>
      </c>
      <c r="L17" s="1253"/>
      <c r="M17" s="1253"/>
      <c r="N17" s="1253">
        <f t="shared" si="28"/>
        <v>0</v>
      </c>
      <c r="O17" s="1253">
        <v>0</v>
      </c>
      <c r="P17" s="1253">
        <f>-'Table 5C1A-Madison Prep'!L17</f>
        <v>0</v>
      </c>
      <c r="Q17" s="1253">
        <f>-'Table 5C1B-DArbonne'!L17</f>
        <v>0</v>
      </c>
      <c r="R17" s="1253">
        <f>-'Table 5C1C-Intl_VIBE'!L17</f>
        <v>0</v>
      </c>
      <c r="S17" s="1253">
        <f>-'Table 5C1D-NOMMA'!L17</f>
        <v>0</v>
      </c>
      <c r="T17" s="1253">
        <f>-'Table 5C1E-LFNO'!L17</f>
        <v>0</v>
      </c>
      <c r="U17" s="1253">
        <f>-'Table 5C1F-Lake Charles Charter'!L17</f>
        <v>0</v>
      </c>
      <c r="V17" s="1253">
        <f>-'Table 5C1G-JS Clark Academy'!L17</f>
        <v>0</v>
      </c>
      <c r="W17" s="1253">
        <f>-'Table 5C1H-Southwest LA Charter'!L17</f>
        <v>0</v>
      </c>
      <c r="X17" s="1253">
        <f>-'Table 5C1I-LA Key Academy'!L17</f>
        <v>0</v>
      </c>
      <c r="Y17" s="1253">
        <f>-'Table 5C1J-Jefferson Chamber'!L17</f>
        <v>0</v>
      </c>
      <c r="Z17" s="1253">
        <f>-'Table 5C1K-Tallulah Charter'!L17</f>
        <v>0</v>
      </c>
      <c r="AA17" s="1253">
        <f>-'Table 5C1L-Northshore Charter'!L17</f>
        <v>0</v>
      </c>
      <c r="AB17" s="1253">
        <f>-'Table 5C1M-B.R. Charter'!L17</f>
        <v>0</v>
      </c>
      <c r="AC17" s="1253">
        <f>-'Table 5C1N-Delta Charter'!L17</f>
        <v>0</v>
      </c>
      <c r="AD17" s="1254">
        <f>-('Table 5C2 - LA Virtual Admy'!M16+'Table 5C2 - LA Virtual Admy'!I16)</f>
        <v>-31220.348894541341</v>
      </c>
      <c r="AE17" s="1254">
        <f>-('Table 5C3 - LA Connections EBR'!M16+'Table 5C3 - LA Connections EBR'!I16)</f>
        <v>-7805.0872236353352</v>
      </c>
      <c r="AF17" s="1254">
        <f t="shared" si="23"/>
        <v>-39025.436118176673</v>
      </c>
      <c r="AG17" s="1254">
        <f>+'Table 4 Level 4'!E15</f>
        <v>0</v>
      </c>
      <c r="AH17" s="1254">
        <f>+'Table 4 Level 4'!N15</f>
        <v>16978</v>
      </c>
      <c r="AI17" s="1255">
        <f t="shared" si="24"/>
        <v>12236931</v>
      </c>
      <c r="AJ17" s="1252"/>
      <c r="AK17" s="1252">
        <f t="shared" si="29"/>
        <v>12236931</v>
      </c>
      <c r="AL17" s="1252">
        <f t="shared" si="30"/>
        <v>1019744</v>
      </c>
      <c r="AM17" s="1254">
        <f>+'Table 4 Level 4'!J15</f>
        <v>0</v>
      </c>
      <c r="AN17" s="1254">
        <f>+'Table 4 Level 4'!K15</f>
        <v>0</v>
      </c>
      <c r="AO17" s="1254">
        <f>+'Table 4 Level 4'!L15</f>
        <v>0</v>
      </c>
      <c r="AP17" s="1255">
        <f t="shared" si="31"/>
        <v>12236931</v>
      </c>
    </row>
    <row r="18" spans="1:42" ht="14.4" customHeight="1">
      <c r="A18" s="1256">
        <v>12</v>
      </c>
      <c r="B18" s="1257" t="s">
        <v>92</v>
      </c>
      <c r="C18" s="1258">
        <f>'Table 3 Levels 1&amp;2'!AO15</f>
        <v>3330495.2</v>
      </c>
      <c r="D18" s="1259">
        <v>0</v>
      </c>
      <c r="E18" s="1259">
        <v>0</v>
      </c>
      <c r="F18" s="1259">
        <f t="shared" si="25"/>
        <v>0</v>
      </c>
      <c r="G18" s="1258">
        <f t="shared" si="22"/>
        <v>0</v>
      </c>
      <c r="H18" s="1259">
        <f t="shared" si="26"/>
        <v>0</v>
      </c>
      <c r="I18" s="1259"/>
      <c r="J18" s="1259"/>
      <c r="K18" s="1259">
        <f t="shared" si="27"/>
        <v>0</v>
      </c>
      <c r="L18" s="1259"/>
      <c r="M18" s="1259"/>
      <c r="N18" s="1259">
        <f t="shared" si="28"/>
        <v>0</v>
      </c>
      <c r="O18" s="1259">
        <v>0</v>
      </c>
      <c r="P18" s="1259">
        <f>-'Table 5C1A-Madison Prep'!L18</f>
        <v>0</v>
      </c>
      <c r="Q18" s="1259">
        <f>-'Table 5C1B-DArbonne'!L18</f>
        <v>0</v>
      </c>
      <c r="R18" s="1259">
        <f>-'Table 5C1C-Intl_VIBE'!L18</f>
        <v>0</v>
      </c>
      <c r="S18" s="1259">
        <f>-'Table 5C1D-NOMMA'!L18</f>
        <v>0</v>
      </c>
      <c r="T18" s="1259">
        <f>-'Table 5C1E-LFNO'!L18</f>
        <v>0</v>
      </c>
      <c r="U18" s="1259">
        <f>-'Table 5C1F-Lake Charles Charter'!L18</f>
        <v>0</v>
      </c>
      <c r="V18" s="1259">
        <f>-'Table 5C1G-JS Clark Academy'!L18</f>
        <v>0</v>
      </c>
      <c r="W18" s="1259">
        <f>-'Table 5C1H-Southwest LA Charter'!L18</f>
        <v>0</v>
      </c>
      <c r="X18" s="1259">
        <f>-'Table 5C1I-LA Key Academy'!L18</f>
        <v>0</v>
      </c>
      <c r="Y18" s="1259">
        <f>-'Table 5C1J-Jefferson Chamber'!L18</f>
        <v>0</v>
      </c>
      <c r="Z18" s="1259">
        <f>-'Table 5C1K-Tallulah Charter'!L18</f>
        <v>0</v>
      </c>
      <c r="AA18" s="1259">
        <f>-'Table 5C1L-Northshore Charter'!L18</f>
        <v>0</v>
      </c>
      <c r="AB18" s="1259">
        <f>-'Table 5C1M-B.R. Charter'!L18</f>
        <v>0</v>
      </c>
      <c r="AC18" s="1259">
        <f>-'Table 5C1N-Delta Charter'!L18</f>
        <v>0</v>
      </c>
      <c r="AD18" s="1260">
        <f>-('Table 5C2 - LA Virtual Admy'!M17+'Table 5C2 - LA Virtual Admy'!I17)</f>
        <v>-5459.8281967213115</v>
      </c>
      <c r="AE18" s="1260">
        <f>-('Table 5C3 - LA Connections EBR'!M17+'Table 5C3 - LA Connections EBR'!I17)</f>
        <v>-2729.9140983606558</v>
      </c>
      <c r="AF18" s="1260">
        <f t="shared" si="23"/>
        <v>-8189.7422950819673</v>
      </c>
      <c r="AG18" s="1260">
        <f>+'Table 4 Level 4'!E16</f>
        <v>42000</v>
      </c>
      <c r="AH18" s="1260">
        <f>+'Table 4 Level 4'!N16</f>
        <v>14664</v>
      </c>
      <c r="AI18" s="1261">
        <f t="shared" si="24"/>
        <v>3378969</v>
      </c>
      <c r="AJ18" s="1258"/>
      <c r="AK18" s="1258">
        <f t="shared" si="29"/>
        <v>3378969</v>
      </c>
      <c r="AL18" s="1258">
        <f t="shared" si="30"/>
        <v>281581</v>
      </c>
      <c r="AM18" s="1260">
        <f>+'Table 4 Level 4'!J16</f>
        <v>0</v>
      </c>
      <c r="AN18" s="1260">
        <f>+'Table 4 Level 4'!K16</f>
        <v>0</v>
      </c>
      <c r="AO18" s="1260">
        <f>+'Table 4 Level 4'!L16</f>
        <v>0</v>
      </c>
      <c r="AP18" s="1261">
        <f t="shared" si="31"/>
        <v>3378969</v>
      </c>
    </row>
    <row r="19" spans="1:42" ht="14.4" customHeight="1">
      <c r="A19" s="1256">
        <v>13</v>
      </c>
      <c r="B19" s="1257" t="s">
        <v>93</v>
      </c>
      <c r="C19" s="1258">
        <f>'Table 3 Levels 1&amp;2'!AO16</f>
        <v>10681209.886663999</v>
      </c>
      <c r="D19" s="1259">
        <v>0</v>
      </c>
      <c r="E19" s="1259">
        <v>0</v>
      </c>
      <c r="F19" s="1259">
        <f t="shared" si="25"/>
        <v>0</v>
      </c>
      <c r="G19" s="1258">
        <f t="shared" si="22"/>
        <v>0</v>
      </c>
      <c r="H19" s="1259">
        <f t="shared" si="26"/>
        <v>0</v>
      </c>
      <c r="I19" s="1259"/>
      <c r="J19" s="1259"/>
      <c r="K19" s="1259">
        <f t="shared" si="27"/>
        <v>0</v>
      </c>
      <c r="L19" s="1259"/>
      <c r="M19" s="1259"/>
      <c r="N19" s="1259">
        <f t="shared" si="28"/>
        <v>0</v>
      </c>
      <c r="O19" s="1259">
        <v>0</v>
      </c>
      <c r="P19" s="1259">
        <f>-'Table 5C1A-Madison Prep'!L19</f>
        <v>0</v>
      </c>
      <c r="Q19" s="1259">
        <f>-'Table 5C1B-DArbonne'!L19</f>
        <v>0</v>
      </c>
      <c r="R19" s="1259">
        <f>-'Table 5C1C-Intl_VIBE'!L19</f>
        <v>0</v>
      </c>
      <c r="S19" s="1259">
        <f>-'Table 5C1D-NOMMA'!L19</f>
        <v>0</v>
      </c>
      <c r="T19" s="1259">
        <f>-'Table 5C1E-LFNO'!L19</f>
        <v>0</v>
      </c>
      <c r="U19" s="1259">
        <f>-'Table 5C1F-Lake Charles Charter'!L19</f>
        <v>0</v>
      </c>
      <c r="V19" s="1259">
        <f>-'Table 5C1G-JS Clark Academy'!L19</f>
        <v>0</v>
      </c>
      <c r="W19" s="1259">
        <f>-'Table 5C1H-Southwest LA Charter'!L19</f>
        <v>0</v>
      </c>
      <c r="X19" s="1259">
        <f>-'Table 5C1I-LA Key Academy'!L19</f>
        <v>0</v>
      </c>
      <c r="Y19" s="1259">
        <f>-'Table 5C1J-Jefferson Chamber'!L19</f>
        <v>0</v>
      </c>
      <c r="Z19" s="1259">
        <f>-'Table 5C1K-Tallulah Charter'!L19</f>
        <v>0</v>
      </c>
      <c r="AA19" s="1259">
        <f>-'Table 5C1L-Northshore Charter'!L19</f>
        <v>0</v>
      </c>
      <c r="AB19" s="1259">
        <f>-'Table 5C1M-B.R. Charter'!L19</f>
        <v>0</v>
      </c>
      <c r="AC19" s="1259">
        <f>-'Table 5C1N-Delta Charter'!L19</f>
        <v>-294505.45080916205</v>
      </c>
      <c r="AD19" s="1260">
        <f>-('Table 5C2 - LA Virtual Admy'!M18+'Table 5C2 - LA Virtual Admy'!I18)</f>
        <v>-50281.418430832549</v>
      </c>
      <c r="AE19" s="1260">
        <f>-('Table 5C3 - LA Connections EBR'!M18+'Table 5C3 - LA Connections EBR'!I18)</f>
        <v>-64647.537982498994</v>
      </c>
      <c r="AF19" s="1260">
        <f t="shared" si="23"/>
        <v>-409434.40722249361</v>
      </c>
      <c r="AG19" s="1260">
        <f>+'Table 4 Level 4'!E17</f>
        <v>0</v>
      </c>
      <c r="AH19" s="1260">
        <f>+'Table 4 Level 4'!N17</f>
        <v>14976</v>
      </c>
      <c r="AI19" s="1261">
        <f t="shared" si="24"/>
        <v>10286751</v>
      </c>
      <c r="AJ19" s="1258"/>
      <c r="AK19" s="1258">
        <f t="shared" si="29"/>
        <v>10286751</v>
      </c>
      <c r="AL19" s="1258">
        <f t="shared" si="30"/>
        <v>857229</v>
      </c>
      <c r="AM19" s="1260">
        <f>+'Table 4 Level 4'!J17</f>
        <v>0</v>
      </c>
      <c r="AN19" s="1260">
        <f>+'Table 4 Level 4'!K17</f>
        <v>0</v>
      </c>
      <c r="AO19" s="1260">
        <f>+'Table 4 Level 4'!L17</f>
        <v>0</v>
      </c>
      <c r="AP19" s="1261">
        <f t="shared" si="31"/>
        <v>10286751</v>
      </c>
    </row>
    <row r="20" spans="1:42" ht="14.4" customHeight="1">
      <c r="A20" s="1256">
        <v>14</v>
      </c>
      <c r="B20" s="1257" t="s">
        <v>94</v>
      </c>
      <c r="C20" s="1258">
        <f>'Table 3 Levels 1&amp;2'!AO17</f>
        <v>10323483.9813</v>
      </c>
      <c r="D20" s="1259">
        <v>0</v>
      </c>
      <c r="E20" s="1259">
        <v>0</v>
      </c>
      <c r="F20" s="1259">
        <f t="shared" si="25"/>
        <v>0</v>
      </c>
      <c r="G20" s="1258">
        <f t="shared" si="22"/>
        <v>0</v>
      </c>
      <c r="H20" s="1259">
        <f t="shared" si="26"/>
        <v>0</v>
      </c>
      <c r="I20" s="1259"/>
      <c r="J20" s="1259"/>
      <c r="K20" s="1259">
        <f t="shared" si="27"/>
        <v>0</v>
      </c>
      <c r="L20" s="1259"/>
      <c r="M20" s="1259"/>
      <c r="N20" s="1259">
        <f t="shared" si="28"/>
        <v>0</v>
      </c>
      <c r="O20" s="1259">
        <v>0</v>
      </c>
      <c r="P20" s="1259">
        <f>-'Table 5C1A-Madison Prep'!L20</f>
        <v>0</v>
      </c>
      <c r="Q20" s="1259">
        <f>-'Table 5C1B-DArbonne'!L20</f>
        <v>-12289.861882499999</v>
      </c>
      <c r="R20" s="1259">
        <f>-'Table 5C1C-Intl_VIBE'!L20</f>
        <v>0</v>
      </c>
      <c r="S20" s="1259">
        <f>-'Table 5C1D-NOMMA'!L20</f>
        <v>0</v>
      </c>
      <c r="T20" s="1259">
        <f>-'Table 5C1E-LFNO'!L20</f>
        <v>0</v>
      </c>
      <c r="U20" s="1259">
        <f>-'Table 5C1F-Lake Charles Charter'!L20</f>
        <v>0</v>
      </c>
      <c r="V20" s="1259">
        <f>-'Table 5C1G-JS Clark Academy'!L20</f>
        <v>0</v>
      </c>
      <c r="W20" s="1259">
        <f>-'Table 5C1H-Southwest LA Charter'!L20</f>
        <v>0</v>
      </c>
      <c r="X20" s="1259">
        <f>-'Table 5C1I-LA Key Academy'!L20</f>
        <v>0</v>
      </c>
      <c r="Y20" s="1259">
        <f>-'Table 5C1J-Jefferson Chamber'!L20</f>
        <v>0</v>
      </c>
      <c r="Z20" s="1259">
        <f>-'Table 5C1K-Tallulah Charter'!L20</f>
        <v>0</v>
      </c>
      <c r="AA20" s="1259">
        <f>-'Table 5C1L-Northshore Charter'!L20</f>
        <v>0</v>
      </c>
      <c r="AB20" s="1259">
        <f>-'Table 5C1M-B.R. Charter'!L20</f>
        <v>0</v>
      </c>
      <c r="AC20" s="1259">
        <f>-'Table 5C1N-Delta Charter'!L20</f>
        <v>0</v>
      </c>
      <c r="AD20" s="1260">
        <f>-('Table 5C2 - LA Virtual Admy'!M19+'Table 5C2 - LA Virtual Admy'!I19)</f>
        <v>0</v>
      </c>
      <c r="AE20" s="1260">
        <f>-('Table 5C3 - LA Connections EBR'!M19+'Table 5C3 - LA Connections EBR'!I19)</f>
        <v>-104463.82600125001</v>
      </c>
      <c r="AF20" s="1260">
        <f t="shared" si="23"/>
        <v>-116753.68788375001</v>
      </c>
      <c r="AG20" s="1260">
        <f>+'Table 4 Level 4'!E18</f>
        <v>0</v>
      </c>
      <c r="AH20" s="1260">
        <f>+'Table 4 Level 4'!N18</f>
        <v>19032</v>
      </c>
      <c r="AI20" s="1261">
        <f t="shared" si="24"/>
        <v>10225762</v>
      </c>
      <c r="AJ20" s="1258"/>
      <c r="AK20" s="1258">
        <f t="shared" si="29"/>
        <v>10225762</v>
      </c>
      <c r="AL20" s="1258">
        <f t="shared" si="30"/>
        <v>852147</v>
      </c>
      <c r="AM20" s="1260">
        <f>+'Table 4 Level 4'!J18</f>
        <v>0</v>
      </c>
      <c r="AN20" s="1260">
        <f>+'Table 4 Level 4'!K18</f>
        <v>0</v>
      </c>
      <c r="AO20" s="1260">
        <f>+'Table 4 Level 4'!L18</f>
        <v>0</v>
      </c>
      <c r="AP20" s="1261">
        <f t="shared" si="31"/>
        <v>10225762</v>
      </c>
    </row>
    <row r="21" spans="1:42" ht="14.4" customHeight="1">
      <c r="A21" s="85">
        <v>15</v>
      </c>
      <c r="B21" s="207" t="s">
        <v>95</v>
      </c>
      <c r="C21" s="209">
        <f>'Table 3 Levels 1&amp;2'!AO18</f>
        <v>23134316.673560001</v>
      </c>
      <c r="D21" s="219">
        <v>0</v>
      </c>
      <c r="E21" s="219">
        <v>0</v>
      </c>
      <c r="F21" s="219">
        <f t="shared" si="25"/>
        <v>0</v>
      </c>
      <c r="G21" s="209">
        <f t="shared" si="22"/>
        <v>0</v>
      </c>
      <c r="H21" s="219">
        <f t="shared" si="26"/>
        <v>0</v>
      </c>
      <c r="I21" s="219"/>
      <c r="J21" s="219"/>
      <c r="K21" s="219">
        <f t="shared" si="27"/>
        <v>0</v>
      </c>
      <c r="L21" s="219"/>
      <c r="M21" s="219"/>
      <c r="N21" s="219">
        <f t="shared" si="28"/>
        <v>0</v>
      </c>
      <c r="O21" s="219">
        <v>0</v>
      </c>
      <c r="P21" s="219">
        <f>-'Table 5C1A-Madison Prep'!L21</f>
        <v>0</v>
      </c>
      <c r="Q21" s="219">
        <f>-'Table 5C1B-DArbonne'!L21</f>
        <v>0</v>
      </c>
      <c r="R21" s="219">
        <f>-'Table 5C1C-Intl_VIBE'!L21</f>
        <v>0</v>
      </c>
      <c r="S21" s="219">
        <f>-'Table 5C1D-NOMMA'!L21</f>
        <v>0</v>
      </c>
      <c r="T21" s="219">
        <f>-'Table 5C1E-LFNO'!L21</f>
        <v>0</v>
      </c>
      <c r="U21" s="219">
        <f>-'Table 5C1F-Lake Charles Charter'!L21</f>
        <v>0</v>
      </c>
      <c r="V21" s="219">
        <f>-'Table 5C1G-JS Clark Academy'!L21</f>
        <v>0</v>
      </c>
      <c r="W21" s="219">
        <f>-'Table 5C1H-Southwest LA Charter'!L21</f>
        <v>0</v>
      </c>
      <c r="X21" s="219">
        <f>-'Table 5C1I-LA Key Academy'!L21</f>
        <v>0</v>
      </c>
      <c r="Y21" s="219">
        <f>-'Table 5C1J-Jefferson Chamber'!L21</f>
        <v>0</v>
      </c>
      <c r="Z21" s="219">
        <f>-'Table 5C1K-Tallulah Charter'!L21</f>
        <v>0</v>
      </c>
      <c r="AA21" s="219">
        <f>-'Table 5C1L-Northshore Charter'!L21</f>
        <v>0</v>
      </c>
      <c r="AB21" s="219">
        <f>-'Table 5C1M-B.R. Charter'!L21</f>
        <v>0</v>
      </c>
      <c r="AC21" s="219">
        <f>-'Table 5C1N-Delta Charter'!L21</f>
        <v>-1695676.0722582126</v>
      </c>
      <c r="AD21" s="210">
        <f>-('Table 5C2 - LA Virtual Admy'!M20+'Table 5C2 - LA Virtual Admy'!I20)</f>
        <v>-138679.82747093189</v>
      </c>
      <c r="AE21" s="210">
        <f>-('Table 5C3 - LA Connections EBR'!M20+'Table 5C3 - LA Connections EBR'!I20)</f>
        <v>-31518.142607029975</v>
      </c>
      <c r="AF21" s="210">
        <f t="shared" si="23"/>
        <v>-1865874.0423361745</v>
      </c>
      <c r="AG21" s="210">
        <f>+'Table 4 Level 4'!E19</f>
        <v>42000</v>
      </c>
      <c r="AH21" s="210">
        <f>+'Table 4 Level 4'!N19</f>
        <v>36972</v>
      </c>
      <c r="AI21" s="322">
        <f t="shared" si="24"/>
        <v>21347415</v>
      </c>
      <c r="AJ21" s="209"/>
      <c r="AK21" s="209">
        <f t="shared" si="29"/>
        <v>21347415</v>
      </c>
      <c r="AL21" s="209">
        <f t="shared" si="30"/>
        <v>1778951</v>
      </c>
      <c r="AM21" s="210">
        <f>+'Table 4 Level 4'!J19</f>
        <v>0</v>
      </c>
      <c r="AN21" s="210">
        <f>+'Table 4 Level 4'!K19</f>
        <v>0</v>
      </c>
      <c r="AO21" s="210">
        <f>+'Table 4 Level 4'!L19</f>
        <v>0</v>
      </c>
      <c r="AP21" s="322">
        <f t="shared" si="31"/>
        <v>21347415</v>
      </c>
    </row>
    <row r="22" spans="1:42" ht="14.4" customHeight="1">
      <c r="A22" s="1250">
        <v>16</v>
      </c>
      <c r="B22" s="1251" t="s">
        <v>96</v>
      </c>
      <c r="C22" s="1252">
        <f>'Table 3 Levels 1&amp;2'!AO19</f>
        <v>12990856.83</v>
      </c>
      <c r="D22" s="1253">
        <v>0</v>
      </c>
      <c r="E22" s="1253">
        <v>0</v>
      </c>
      <c r="F22" s="1253">
        <f t="shared" si="25"/>
        <v>0</v>
      </c>
      <c r="G22" s="1252">
        <f t="shared" si="22"/>
        <v>0</v>
      </c>
      <c r="H22" s="1253">
        <f t="shared" si="26"/>
        <v>0</v>
      </c>
      <c r="I22" s="1253"/>
      <c r="J22" s="1253"/>
      <c r="K22" s="1253">
        <f t="shared" si="27"/>
        <v>0</v>
      </c>
      <c r="L22" s="1253"/>
      <c r="M22" s="1253"/>
      <c r="N22" s="1253">
        <f t="shared" si="28"/>
        <v>0</v>
      </c>
      <c r="O22" s="1253">
        <v>0</v>
      </c>
      <c r="P22" s="1253">
        <f>-'Table 5C1A-Madison Prep'!L22</f>
        <v>0</v>
      </c>
      <c r="Q22" s="1253">
        <f>-'Table 5C1B-DArbonne'!L22</f>
        <v>0</v>
      </c>
      <c r="R22" s="1253">
        <f>-'Table 5C1C-Intl_VIBE'!L22</f>
        <v>0</v>
      </c>
      <c r="S22" s="1253">
        <f>-'Table 5C1D-NOMMA'!L22</f>
        <v>0</v>
      </c>
      <c r="T22" s="1253">
        <f>-'Table 5C1E-LFNO'!L22</f>
        <v>0</v>
      </c>
      <c r="U22" s="1253">
        <f>-'Table 5C1F-Lake Charles Charter'!L22</f>
        <v>0</v>
      </c>
      <c r="V22" s="1253">
        <f>-'Table 5C1G-JS Clark Academy'!L22</f>
        <v>0</v>
      </c>
      <c r="W22" s="1253">
        <f>-'Table 5C1H-Southwest LA Charter'!L22</f>
        <v>0</v>
      </c>
      <c r="X22" s="1253">
        <f>-'Table 5C1I-LA Key Academy'!L22</f>
        <v>0</v>
      </c>
      <c r="Y22" s="1253">
        <f>-'Table 5C1J-Jefferson Chamber'!L22</f>
        <v>0</v>
      </c>
      <c r="Z22" s="1253">
        <f>-'Table 5C1K-Tallulah Charter'!L22</f>
        <v>0</v>
      </c>
      <c r="AA22" s="1253">
        <f>-'Table 5C1L-Northshore Charter'!L22</f>
        <v>0</v>
      </c>
      <c r="AB22" s="1253">
        <f>-'Table 5C1M-B.R. Charter'!L22</f>
        <v>0</v>
      </c>
      <c r="AC22" s="1253">
        <f>-'Table 5C1N-Delta Charter'!L22</f>
        <v>0</v>
      </c>
      <c r="AD22" s="1254">
        <f>-('Table 5C2 - LA Virtual Admy'!M21+'Table 5C2 - LA Virtual Admy'!I21)</f>
        <v>-50672.609273249844</v>
      </c>
      <c r="AE22" s="1254">
        <f>-('Table 5C3 - LA Connections EBR'!M21+'Table 5C3 - LA Connections EBR'!I21)</f>
        <v>-10667.917741736812</v>
      </c>
      <c r="AF22" s="1254">
        <f t="shared" si="23"/>
        <v>-61340.527014986656</v>
      </c>
      <c r="AG22" s="1254">
        <f>+'Table 4 Level 4'!E20</f>
        <v>21000</v>
      </c>
      <c r="AH22" s="1254">
        <f>+'Table 4 Level 4'!N20</f>
        <v>55120</v>
      </c>
      <c r="AI22" s="1255">
        <f t="shared" si="24"/>
        <v>13005636</v>
      </c>
      <c r="AJ22" s="1252"/>
      <c r="AK22" s="1252">
        <f t="shared" si="29"/>
        <v>13005636</v>
      </c>
      <c r="AL22" s="1252">
        <f t="shared" si="30"/>
        <v>1083803</v>
      </c>
      <c r="AM22" s="1254">
        <f>+'Table 4 Level 4'!J20</f>
        <v>0</v>
      </c>
      <c r="AN22" s="1254">
        <f>+'Table 4 Level 4'!K20</f>
        <v>0</v>
      </c>
      <c r="AO22" s="1254">
        <f>+'Table 4 Level 4'!L20</f>
        <v>0</v>
      </c>
      <c r="AP22" s="1255">
        <f t="shared" si="31"/>
        <v>13005636</v>
      </c>
    </row>
    <row r="23" spans="1:42" ht="14.4" customHeight="1">
      <c r="A23" s="1256">
        <v>17</v>
      </c>
      <c r="B23" s="1257" t="s">
        <v>97</v>
      </c>
      <c r="C23" s="1258">
        <f>'Table 3 Levels 1&amp;2'!AO20</f>
        <v>180614340.96332291</v>
      </c>
      <c r="D23" s="1259">
        <v>-27281.813703790307</v>
      </c>
      <c r="E23" s="1259">
        <v>-36159.855141250067</v>
      </c>
      <c r="F23" s="1259">
        <f t="shared" si="25"/>
        <v>-63441.668845040374</v>
      </c>
      <c r="G23" s="1258">
        <f t="shared" si="22"/>
        <v>0</v>
      </c>
      <c r="H23" s="1259">
        <f t="shared" si="26"/>
        <v>-63441.668845040374</v>
      </c>
      <c r="I23" s="1259"/>
      <c r="J23" s="1259"/>
      <c r="K23" s="1259">
        <f t="shared" si="27"/>
        <v>0</v>
      </c>
      <c r="L23" s="1271"/>
      <c r="M23" s="1259"/>
      <c r="N23" s="1259">
        <f t="shared" si="28"/>
        <v>0</v>
      </c>
      <c r="O23" s="1259">
        <f>-'Table 5B2_RSD_LA'!L12</f>
        <v>-8842455.9961088095</v>
      </c>
      <c r="P23" s="1259">
        <f>-'Table 5C1A-Madison Prep'!L23</f>
        <v>-1091249.8231803016</v>
      </c>
      <c r="Q23" s="1259">
        <f>-'Table 5C1B-DArbonne'!L23</f>
        <v>0</v>
      </c>
      <c r="R23" s="1259">
        <f>-'Table 5C1C-Intl_VIBE'!L23</f>
        <v>0</v>
      </c>
      <c r="S23" s="1259">
        <f>-'Table 5C1D-NOMMA'!L23</f>
        <v>0</v>
      </c>
      <c r="T23" s="1259">
        <f>-'Table 5C1E-LFNO'!L23</f>
        <v>0</v>
      </c>
      <c r="U23" s="1259">
        <f>-'Table 5C1F-Lake Charles Charter'!L23</f>
        <v>0</v>
      </c>
      <c r="V23" s="1259">
        <f>-'Table 5C1G-JS Clark Academy'!L23</f>
        <v>0</v>
      </c>
      <c r="W23" s="1259">
        <f>-'Table 5C1H-Southwest LA Charter'!L23</f>
        <v>0</v>
      </c>
      <c r="X23" s="1259">
        <f>-'Table 5C1I-LA Key Academy'!L23</f>
        <v>-449828.1713872999</v>
      </c>
      <c r="Y23" s="1259">
        <f>-'Table 5C1J-Jefferson Chamber'!L23</f>
        <v>0</v>
      </c>
      <c r="Z23" s="1259">
        <f>-'Table 5C1K-Tallulah Charter'!L23</f>
        <v>0</v>
      </c>
      <c r="AA23" s="1259">
        <f>-'Table 5C1L-Northshore Charter'!L23</f>
        <v>0</v>
      </c>
      <c r="AB23" s="1259">
        <f>-'Table 5C1M-B.R. Charter'!L23</f>
        <v>-1799312.6855491996</v>
      </c>
      <c r="AC23" s="1259">
        <f>-'Table 5C1N-Delta Charter'!L23</f>
        <v>0</v>
      </c>
      <c r="AD23" s="1260">
        <f>-('Table 5C2 - LA Virtual Admy'!M22+'Table 5C2 - LA Virtual Admy'!I22)</f>
        <v>-433167.86874332582</v>
      </c>
      <c r="AE23" s="1260">
        <f>-('Table 5C3 - LA Connections EBR'!M22+'Table 5C3 - LA Connections EBR'!I22)</f>
        <v>-354031.431184449</v>
      </c>
      <c r="AF23" s="1260">
        <f t="shared" si="23"/>
        <v>-12970045.976153385</v>
      </c>
      <c r="AG23" s="1260">
        <f>+'Table 4 Level 4'!E21</f>
        <v>294000</v>
      </c>
      <c r="AH23" s="1260">
        <f>+'Table 4 Level 4'!N21</f>
        <v>432458</v>
      </c>
      <c r="AI23" s="1261">
        <f t="shared" si="24"/>
        <v>168307311</v>
      </c>
      <c r="AJ23" s="1258"/>
      <c r="AK23" s="1258">
        <f t="shared" si="29"/>
        <v>168307311</v>
      </c>
      <c r="AL23" s="1258">
        <f t="shared" si="30"/>
        <v>14025609</v>
      </c>
      <c r="AM23" s="1260">
        <f>+'Table 4 Level 4'!J21</f>
        <v>0</v>
      </c>
      <c r="AN23" s="1260">
        <f>+'Table 4 Level 4'!K21</f>
        <v>0</v>
      </c>
      <c r="AO23" s="1260">
        <f>+'Table 4 Level 4'!L21</f>
        <v>0</v>
      </c>
      <c r="AP23" s="1261">
        <f t="shared" si="31"/>
        <v>168307311</v>
      </c>
    </row>
    <row r="24" spans="1:42" ht="14.4" customHeight="1">
      <c r="A24" s="1256">
        <v>18</v>
      </c>
      <c r="B24" s="1257" t="s">
        <v>98</v>
      </c>
      <c r="C24" s="1258">
        <f>'Table 3 Levels 1&amp;2'!AO21</f>
        <v>7567729.0208999999</v>
      </c>
      <c r="D24" s="1259">
        <v>-13315.735318244937</v>
      </c>
      <c r="E24" s="1259">
        <v>1145.3743206417093</v>
      </c>
      <c r="F24" s="1259">
        <f t="shared" si="25"/>
        <v>-12170.360997603228</v>
      </c>
      <c r="G24" s="1258">
        <f t="shared" si="22"/>
        <v>0</v>
      </c>
      <c r="H24" s="1259">
        <f t="shared" si="26"/>
        <v>-12170.360997603228</v>
      </c>
      <c r="I24" s="1259"/>
      <c r="J24" s="1259"/>
      <c r="K24" s="1259">
        <f t="shared" si="27"/>
        <v>0</v>
      </c>
      <c r="L24" s="1259"/>
      <c r="M24" s="1259"/>
      <c r="N24" s="1259">
        <f t="shared" si="28"/>
        <v>0</v>
      </c>
      <c r="O24" s="1259">
        <v>0</v>
      </c>
      <c r="P24" s="1259">
        <f>-'Table 5C1A-Madison Prep'!L24</f>
        <v>0</v>
      </c>
      <c r="Q24" s="1259">
        <f>-'Table 5C1B-DArbonne'!L24</f>
        <v>0</v>
      </c>
      <c r="R24" s="1259">
        <f>-'Table 5C1C-Intl_VIBE'!L24</f>
        <v>0</v>
      </c>
      <c r="S24" s="1259">
        <f>-'Table 5C1D-NOMMA'!L24</f>
        <v>0</v>
      </c>
      <c r="T24" s="1259">
        <f>-'Table 5C1E-LFNO'!L24</f>
        <v>0</v>
      </c>
      <c r="U24" s="1259">
        <f>-'Table 5C1F-Lake Charles Charter'!L24</f>
        <v>0</v>
      </c>
      <c r="V24" s="1259">
        <f>-'Table 5C1G-JS Clark Academy'!L24</f>
        <v>0</v>
      </c>
      <c r="W24" s="1259">
        <f>-'Table 5C1H-Southwest LA Charter'!L24</f>
        <v>0</v>
      </c>
      <c r="X24" s="1259">
        <f>-'Table 5C1I-LA Key Academy'!L24</f>
        <v>0</v>
      </c>
      <c r="Y24" s="1259">
        <f>-'Table 5C1J-Jefferson Chamber'!L24</f>
        <v>0</v>
      </c>
      <c r="Z24" s="1259">
        <f>-'Table 5C1K-Tallulah Charter'!L24</f>
        <v>0</v>
      </c>
      <c r="AA24" s="1259">
        <f>-'Table 5C1L-Northshore Charter'!L24</f>
        <v>0</v>
      </c>
      <c r="AB24" s="1259">
        <f>-'Table 5C1M-B.R. Charter'!L24</f>
        <v>0</v>
      </c>
      <c r="AC24" s="1259">
        <f>-'Table 5C1N-Delta Charter'!L24</f>
        <v>0</v>
      </c>
      <c r="AD24" s="1260">
        <f>-('Table 5C2 - LA Virtual Admy'!M23+'Table 5C2 - LA Virtual Admy'!I23)</f>
        <v>-21601.510050142719</v>
      </c>
      <c r="AE24" s="1260">
        <f>-('Table 5C3 - LA Connections EBR'!M23+'Table 5C3 - LA Connections EBR'!I23)</f>
        <v>0</v>
      </c>
      <c r="AF24" s="1260">
        <f t="shared" si="23"/>
        <v>-21601.510050142719</v>
      </c>
      <c r="AG24" s="1260">
        <f>+'Table 4 Level 4'!E22</f>
        <v>21000</v>
      </c>
      <c r="AH24" s="1260">
        <f>+'Table 4 Level 4'!N22</f>
        <v>11154</v>
      </c>
      <c r="AI24" s="1261">
        <f t="shared" si="24"/>
        <v>7566111</v>
      </c>
      <c r="AJ24" s="1258"/>
      <c r="AK24" s="1258">
        <f t="shared" si="29"/>
        <v>7566111</v>
      </c>
      <c r="AL24" s="1258">
        <f t="shared" si="30"/>
        <v>630509</v>
      </c>
      <c r="AM24" s="1260">
        <f>+'Table 4 Level 4'!J22</f>
        <v>0</v>
      </c>
      <c r="AN24" s="1260">
        <f>+'Table 4 Level 4'!K22</f>
        <v>0</v>
      </c>
      <c r="AO24" s="1260">
        <f>+'Table 4 Level 4'!L22</f>
        <v>0</v>
      </c>
      <c r="AP24" s="1261">
        <f t="shared" si="31"/>
        <v>7566111</v>
      </c>
    </row>
    <row r="25" spans="1:42" ht="14.4" customHeight="1">
      <c r="A25" s="1256">
        <v>19</v>
      </c>
      <c r="B25" s="1257" t="s">
        <v>99</v>
      </c>
      <c r="C25" s="1258">
        <f>'Table 3 Levels 1&amp;2'!AO22</f>
        <v>11873640.554879999</v>
      </c>
      <c r="D25" s="1259">
        <v>0</v>
      </c>
      <c r="E25" s="1259">
        <v>39718.999887999147</v>
      </c>
      <c r="F25" s="1259">
        <f t="shared" si="25"/>
        <v>39718.999887999147</v>
      </c>
      <c r="G25" s="1258">
        <f t="shared" si="22"/>
        <v>39718.999887999147</v>
      </c>
      <c r="H25" s="1259">
        <f t="shared" si="26"/>
        <v>0</v>
      </c>
      <c r="I25" s="1259"/>
      <c r="J25" s="1259"/>
      <c r="K25" s="1259">
        <f t="shared" si="27"/>
        <v>0</v>
      </c>
      <c r="L25" s="1259"/>
      <c r="M25" s="1259"/>
      <c r="N25" s="1259">
        <f t="shared" si="28"/>
        <v>0</v>
      </c>
      <c r="O25" s="1259">
        <v>0</v>
      </c>
      <c r="P25" s="1259">
        <f>-'Table 5C1A-Madison Prep'!L25</f>
        <v>0</v>
      </c>
      <c r="Q25" s="1259">
        <f>-'Table 5C1B-DArbonne'!L25</f>
        <v>0</v>
      </c>
      <c r="R25" s="1259">
        <f>-'Table 5C1C-Intl_VIBE'!L25</f>
        <v>0</v>
      </c>
      <c r="S25" s="1259">
        <f>-'Table 5C1D-NOMMA'!L25</f>
        <v>0</v>
      </c>
      <c r="T25" s="1259">
        <f>-'Table 5C1E-LFNO'!L25</f>
        <v>0</v>
      </c>
      <c r="U25" s="1259">
        <f>-'Table 5C1F-Lake Charles Charter'!L25</f>
        <v>0</v>
      </c>
      <c r="V25" s="1259">
        <f>-'Table 5C1G-JS Clark Academy'!L25</f>
        <v>0</v>
      </c>
      <c r="W25" s="1259">
        <f>-'Table 5C1H-Southwest LA Charter'!L25</f>
        <v>0</v>
      </c>
      <c r="X25" s="1259">
        <f>-'Table 5C1I-LA Key Academy'!L25</f>
        <v>-12439.64437389209</v>
      </c>
      <c r="Y25" s="1259">
        <f>-'Table 5C1J-Jefferson Chamber'!L25</f>
        <v>0</v>
      </c>
      <c r="Z25" s="1259">
        <f>-'Table 5C1K-Tallulah Charter'!L25</f>
        <v>0</v>
      </c>
      <c r="AA25" s="1259">
        <f>-'Table 5C1L-Northshore Charter'!L25</f>
        <v>0</v>
      </c>
      <c r="AB25" s="1259">
        <f>-'Table 5C1M-B.R. Charter'!L25</f>
        <v>-18659.466560838133</v>
      </c>
      <c r="AC25" s="1259">
        <f>-'Table 5C1N-Delta Charter'!L25</f>
        <v>0</v>
      </c>
      <c r="AD25" s="1260">
        <f>-('Table 5C2 - LA Virtual Admy'!M24+'Table 5C2 - LA Virtual Admy'!I24)</f>
        <v>-87077.510617244625</v>
      </c>
      <c r="AE25" s="1260">
        <f>-('Table 5C3 - LA Connections EBR'!M24+'Table 5C3 - LA Connections EBR'!I24)</f>
        <v>-37318.933121676266</v>
      </c>
      <c r="AF25" s="1260">
        <f t="shared" si="23"/>
        <v>-155495.55467365112</v>
      </c>
      <c r="AG25" s="1260">
        <f>+'Table 4 Level 4'!E23</f>
        <v>0</v>
      </c>
      <c r="AH25" s="1260">
        <f>+'Table 4 Level 4'!N23</f>
        <v>19890</v>
      </c>
      <c r="AI25" s="1261">
        <f t="shared" si="24"/>
        <v>11777754</v>
      </c>
      <c r="AJ25" s="1258"/>
      <c r="AK25" s="1258">
        <f t="shared" si="29"/>
        <v>11777754</v>
      </c>
      <c r="AL25" s="1258">
        <f t="shared" si="30"/>
        <v>981480</v>
      </c>
      <c r="AM25" s="1260">
        <f>+'Table 4 Level 4'!J23</f>
        <v>0</v>
      </c>
      <c r="AN25" s="1260">
        <f>+'Table 4 Level 4'!K23</f>
        <v>0</v>
      </c>
      <c r="AO25" s="1260">
        <f>+'Table 4 Level 4'!L23</f>
        <v>0</v>
      </c>
      <c r="AP25" s="1261">
        <f t="shared" si="31"/>
        <v>11777754</v>
      </c>
    </row>
    <row r="26" spans="1:42" ht="14.4" customHeight="1">
      <c r="A26" s="85">
        <v>20</v>
      </c>
      <c r="B26" s="207" t="s">
        <v>100</v>
      </c>
      <c r="C26" s="209">
        <f>'Table 3 Levels 1&amp;2'!AO23</f>
        <v>34331896.176479995</v>
      </c>
      <c r="D26" s="219">
        <v>0</v>
      </c>
      <c r="E26" s="219">
        <v>0</v>
      </c>
      <c r="F26" s="219">
        <f t="shared" si="25"/>
        <v>0</v>
      </c>
      <c r="G26" s="209">
        <f t="shared" si="22"/>
        <v>0</v>
      </c>
      <c r="H26" s="219">
        <f t="shared" si="26"/>
        <v>0</v>
      </c>
      <c r="I26" s="219"/>
      <c r="J26" s="219"/>
      <c r="K26" s="219">
        <f t="shared" si="27"/>
        <v>0</v>
      </c>
      <c r="L26" s="219"/>
      <c r="M26" s="219"/>
      <c r="N26" s="219">
        <f t="shared" si="28"/>
        <v>0</v>
      </c>
      <c r="O26" s="219">
        <v>0</v>
      </c>
      <c r="P26" s="219">
        <f>-'Table 5C1A-Madison Prep'!L26</f>
        <v>0</v>
      </c>
      <c r="Q26" s="219">
        <f>-'Table 5C1B-DArbonne'!L26</f>
        <v>0</v>
      </c>
      <c r="R26" s="219">
        <f>-'Table 5C1C-Intl_VIBE'!L26</f>
        <v>0</v>
      </c>
      <c r="S26" s="219">
        <f>-'Table 5C1D-NOMMA'!L26</f>
        <v>0</v>
      </c>
      <c r="T26" s="219">
        <f>-'Table 5C1E-LFNO'!L26</f>
        <v>0</v>
      </c>
      <c r="U26" s="219">
        <f>-'Table 5C1F-Lake Charles Charter'!L26</f>
        <v>0</v>
      </c>
      <c r="V26" s="219">
        <f>-'Table 5C1G-JS Clark Academy'!L26</f>
        <v>0</v>
      </c>
      <c r="W26" s="219">
        <f>-'Table 5C1H-Southwest LA Charter'!L26</f>
        <v>0</v>
      </c>
      <c r="X26" s="219">
        <f>-'Table 5C1I-LA Key Academy'!L26</f>
        <v>0</v>
      </c>
      <c r="Y26" s="219">
        <f>-'Table 5C1J-Jefferson Chamber'!L26</f>
        <v>0</v>
      </c>
      <c r="Z26" s="219">
        <f>-'Table 5C1K-Tallulah Charter'!L26</f>
        <v>0</v>
      </c>
      <c r="AA26" s="219">
        <f>-'Table 5C1L-Northshore Charter'!L26</f>
        <v>0</v>
      </c>
      <c r="AB26" s="219">
        <f>-'Table 5C1M-B.R. Charter'!L26</f>
        <v>0</v>
      </c>
      <c r="AC26" s="219">
        <f>-'Table 5C1N-Delta Charter'!L26</f>
        <v>0</v>
      </c>
      <c r="AD26" s="210">
        <f>-('Table 5C2 - LA Virtual Admy'!M25+'Table 5C2 - LA Virtual Admy'!I25)</f>
        <v>-46917.521252449609</v>
      </c>
      <c r="AE26" s="210">
        <f>-('Table 5C3 - LA Connections EBR'!M25+'Table 5C3 - LA Connections EBR'!I25)</f>
        <v>-35188.140939337209</v>
      </c>
      <c r="AF26" s="210">
        <f t="shared" si="23"/>
        <v>-82105.662191786818</v>
      </c>
      <c r="AG26" s="210">
        <f>+'Table 4 Level 4'!E24</f>
        <v>0</v>
      </c>
      <c r="AH26" s="210">
        <f>+'Table 4 Level 4'!N24</f>
        <v>62868</v>
      </c>
      <c r="AI26" s="322">
        <f t="shared" si="24"/>
        <v>34312659</v>
      </c>
      <c r="AJ26" s="209"/>
      <c r="AK26" s="209">
        <f t="shared" si="29"/>
        <v>34312659</v>
      </c>
      <c r="AL26" s="209">
        <f t="shared" si="30"/>
        <v>2859388</v>
      </c>
      <c r="AM26" s="210">
        <f>+'Table 4 Level 4'!J24</f>
        <v>0</v>
      </c>
      <c r="AN26" s="210">
        <f>+'Table 4 Level 4'!K24</f>
        <v>0</v>
      </c>
      <c r="AO26" s="210">
        <f>+'Table 4 Level 4'!L24</f>
        <v>0</v>
      </c>
      <c r="AP26" s="322">
        <f t="shared" si="31"/>
        <v>34312659</v>
      </c>
    </row>
    <row r="27" spans="1:42" ht="14.4" customHeight="1">
      <c r="A27" s="1250">
        <v>21</v>
      </c>
      <c r="B27" s="1251" t="s">
        <v>101</v>
      </c>
      <c r="C27" s="1252">
        <f>'Table 3 Levels 1&amp;2'!AO24</f>
        <v>19435467.882720001</v>
      </c>
      <c r="D27" s="1253">
        <v>0</v>
      </c>
      <c r="E27" s="1253">
        <v>-871.63440499670003</v>
      </c>
      <c r="F27" s="1253">
        <f t="shared" si="25"/>
        <v>-871.63440499670003</v>
      </c>
      <c r="G27" s="1252">
        <f t="shared" si="22"/>
        <v>0</v>
      </c>
      <c r="H27" s="1253">
        <f t="shared" si="26"/>
        <v>-871.63440499670003</v>
      </c>
      <c r="I27" s="1253"/>
      <c r="J27" s="1253"/>
      <c r="K27" s="1253">
        <f t="shared" si="27"/>
        <v>0</v>
      </c>
      <c r="L27" s="1253"/>
      <c r="M27" s="1253"/>
      <c r="N27" s="1253">
        <f t="shared" si="28"/>
        <v>0</v>
      </c>
      <c r="O27" s="1253">
        <v>0</v>
      </c>
      <c r="P27" s="1253">
        <f>-'Table 5C1A-Madison Prep'!L27</f>
        <v>0</v>
      </c>
      <c r="Q27" s="1253">
        <f>-'Table 5C1B-DArbonne'!L27</f>
        <v>0</v>
      </c>
      <c r="R27" s="1253">
        <f>-'Table 5C1C-Intl_VIBE'!L27</f>
        <v>0</v>
      </c>
      <c r="S27" s="1253">
        <f>-'Table 5C1D-NOMMA'!L27</f>
        <v>0</v>
      </c>
      <c r="T27" s="1253">
        <f>-'Table 5C1E-LFNO'!L27</f>
        <v>0</v>
      </c>
      <c r="U27" s="1253">
        <f>-'Table 5C1F-Lake Charles Charter'!L27</f>
        <v>0</v>
      </c>
      <c r="V27" s="1253">
        <f>-'Table 5C1G-JS Clark Academy'!L27</f>
        <v>0</v>
      </c>
      <c r="W27" s="1253">
        <f>-'Table 5C1H-Southwest LA Charter'!L27</f>
        <v>0</v>
      </c>
      <c r="X27" s="1253">
        <f>-'Table 5C1I-LA Key Academy'!L27</f>
        <v>0</v>
      </c>
      <c r="Y27" s="1253">
        <f>-'Table 5C1J-Jefferson Chamber'!L27</f>
        <v>0</v>
      </c>
      <c r="Z27" s="1253">
        <f>-'Table 5C1K-Tallulah Charter'!L27</f>
        <v>0</v>
      </c>
      <c r="AA27" s="1253">
        <f>-'Table 5C1L-Northshore Charter'!L27</f>
        <v>0</v>
      </c>
      <c r="AB27" s="1253">
        <f>-'Table 5C1M-B.R. Charter'!L27</f>
        <v>0</v>
      </c>
      <c r="AC27" s="1253">
        <f>-'Table 5C1N-Delta Charter'!L27</f>
        <v>-13385.308459173553</v>
      </c>
      <c r="AD27" s="1254">
        <f>-('Table 5C2 - LA Virtual Admy'!M26+'Table 5C2 - LA Virtual Admy'!I26)</f>
        <v>-40155.92537752066</v>
      </c>
      <c r="AE27" s="1254">
        <f>-('Table 5C3 - LA Connections EBR'!M26+'Table 5C3 - LA Connections EBR'!I26)</f>
        <v>-40155.92537752066</v>
      </c>
      <c r="AF27" s="1254">
        <f t="shared" si="23"/>
        <v>-93697.159214214873</v>
      </c>
      <c r="AG27" s="1254">
        <f>+'Table 4 Level 4'!E25</f>
        <v>0</v>
      </c>
      <c r="AH27" s="1254">
        <f>+'Table 4 Level 4'!N25</f>
        <v>30290</v>
      </c>
      <c r="AI27" s="1255">
        <f t="shared" si="24"/>
        <v>19371189</v>
      </c>
      <c r="AJ27" s="1252"/>
      <c r="AK27" s="1252">
        <f t="shared" si="29"/>
        <v>19371189</v>
      </c>
      <c r="AL27" s="1252">
        <f t="shared" si="30"/>
        <v>1614266</v>
      </c>
      <c r="AM27" s="1254">
        <f>+'Table 4 Level 4'!J25</f>
        <v>0</v>
      </c>
      <c r="AN27" s="1254">
        <f>+'Table 4 Level 4'!K25</f>
        <v>0</v>
      </c>
      <c r="AO27" s="1254">
        <f>+'Table 4 Level 4'!L25</f>
        <v>0</v>
      </c>
      <c r="AP27" s="1255">
        <f t="shared" si="31"/>
        <v>19371189</v>
      </c>
    </row>
    <row r="28" spans="1:42" ht="14.4" customHeight="1">
      <c r="A28" s="1256">
        <v>22</v>
      </c>
      <c r="B28" s="1257" t="s">
        <v>102</v>
      </c>
      <c r="C28" s="1258">
        <f>'Table 3 Levels 1&amp;2'!AO25</f>
        <v>21725893.149716001</v>
      </c>
      <c r="D28" s="1259">
        <v>0</v>
      </c>
      <c r="E28" s="1259">
        <v>0</v>
      </c>
      <c r="F28" s="1259">
        <f t="shared" si="25"/>
        <v>0</v>
      </c>
      <c r="G28" s="1258">
        <f t="shared" si="22"/>
        <v>0</v>
      </c>
      <c r="H28" s="1259">
        <f t="shared" si="26"/>
        <v>0</v>
      </c>
      <c r="I28" s="1259"/>
      <c r="J28" s="1259"/>
      <c r="K28" s="1259">
        <f t="shared" si="27"/>
        <v>0</v>
      </c>
      <c r="L28" s="1259"/>
      <c r="M28" s="1259"/>
      <c r="N28" s="1259">
        <f t="shared" si="28"/>
        <v>0</v>
      </c>
      <c r="O28" s="1259">
        <v>0</v>
      </c>
      <c r="P28" s="1259">
        <f>-'Table 5C1A-Madison Prep'!L28</f>
        <v>0</v>
      </c>
      <c r="Q28" s="1259">
        <f>-'Table 5C1B-DArbonne'!L28</f>
        <v>0</v>
      </c>
      <c r="R28" s="1259">
        <f>-'Table 5C1C-Intl_VIBE'!L28</f>
        <v>0</v>
      </c>
      <c r="S28" s="1259">
        <f>-'Table 5C1D-NOMMA'!L28</f>
        <v>0</v>
      </c>
      <c r="T28" s="1259">
        <f>-'Table 5C1E-LFNO'!L28</f>
        <v>0</v>
      </c>
      <c r="U28" s="1259">
        <f>-'Table 5C1F-Lake Charles Charter'!L28</f>
        <v>0</v>
      </c>
      <c r="V28" s="1259">
        <f>-'Table 5C1G-JS Clark Academy'!L28</f>
        <v>0</v>
      </c>
      <c r="W28" s="1259">
        <f>-'Table 5C1H-Southwest LA Charter'!L28</f>
        <v>0</v>
      </c>
      <c r="X28" s="1259">
        <f>-'Table 5C1I-LA Key Academy'!L28</f>
        <v>0</v>
      </c>
      <c r="Y28" s="1259">
        <f>-'Table 5C1J-Jefferson Chamber'!L28</f>
        <v>0</v>
      </c>
      <c r="Z28" s="1259">
        <f>-'Table 5C1K-Tallulah Charter'!L28</f>
        <v>0</v>
      </c>
      <c r="AA28" s="1259">
        <f>-'Table 5C1L-Northshore Charter'!L28</f>
        <v>0</v>
      </c>
      <c r="AB28" s="1259">
        <f>-'Table 5C1M-B.R. Charter'!L28</f>
        <v>0</v>
      </c>
      <c r="AC28" s="1259">
        <f>-'Table 5C1N-Delta Charter'!L28</f>
        <v>0</v>
      </c>
      <c r="AD28" s="1260">
        <f>-('Table 5C2 - LA Virtual Admy'!M27+'Table 5C2 - LA Virtual Admy'!I27)</f>
        <v>-55299.759846556801</v>
      </c>
      <c r="AE28" s="1260">
        <f>-('Table 5C3 - LA Connections EBR'!M27+'Table 5C3 - LA Connections EBR'!I27)</f>
        <v>-62212.229827376403</v>
      </c>
      <c r="AF28" s="1260">
        <f t="shared" si="23"/>
        <v>-117511.9896739332</v>
      </c>
      <c r="AG28" s="1260">
        <f>+'Table 4 Level 4'!E26</f>
        <v>0</v>
      </c>
      <c r="AH28" s="1260">
        <f>+'Table 4 Level 4'!N26</f>
        <v>35880</v>
      </c>
      <c r="AI28" s="1261">
        <f t="shared" si="24"/>
        <v>21644261</v>
      </c>
      <c r="AJ28" s="1258"/>
      <c r="AK28" s="1258">
        <f t="shared" si="29"/>
        <v>21644261</v>
      </c>
      <c r="AL28" s="1258">
        <f t="shared" si="30"/>
        <v>1803688</v>
      </c>
      <c r="AM28" s="1260">
        <f>+'Table 4 Level 4'!J26</f>
        <v>0</v>
      </c>
      <c r="AN28" s="1260">
        <f>+'Table 4 Level 4'!K26</f>
        <v>0</v>
      </c>
      <c r="AO28" s="1260">
        <f>+'Table 4 Level 4'!L26</f>
        <v>0</v>
      </c>
      <c r="AP28" s="1261">
        <f t="shared" si="31"/>
        <v>21644261</v>
      </c>
    </row>
    <row r="29" spans="1:42" ht="14.4" customHeight="1">
      <c r="A29" s="1256">
        <v>23</v>
      </c>
      <c r="B29" s="1257" t="s">
        <v>103</v>
      </c>
      <c r="C29" s="1258">
        <f>'Table 3 Levels 1&amp;2'!AO26</f>
        <v>77155505.865556002</v>
      </c>
      <c r="D29" s="1259">
        <v>0</v>
      </c>
      <c r="E29" s="1259">
        <v>0</v>
      </c>
      <c r="F29" s="1259">
        <f t="shared" si="25"/>
        <v>0</v>
      </c>
      <c r="G29" s="1258">
        <f t="shared" si="22"/>
        <v>0</v>
      </c>
      <c r="H29" s="1259">
        <f t="shared" si="26"/>
        <v>0</v>
      </c>
      <c r="I29" s="1259"/>
      <c r="J29" s="1259"/>
      <c r="K29" s="1259">
        <f t="shared" si="27"/>
        <v>0</v>
      </c>
      <c r="L29" s="1259"/>
      <c r="M29" s="1259"/>
      <c r="N29" s="1259">
        <f t="shared" si="28"/>
        <v>0</v>
      </c>
      <c r="O29" s="1259">
        <v>0</v>
      </c>
      <c r="P29" s="1259">
        <f>-'Table 5C1A-Madison Prep'!L29</f>
        <v>0</v>
      </c>
      <c r="Q29" s="1259">
        <f>-'Table 5C1B-DArbonne'!L29</f>
        <v>0</v>
      </c>
      <c r="R29" s="1259">
        <f>-'Table 5C1C-Intl_VIBE'!L29</f>
        <v>0</v>
      </c>
      <c r="S29" s="1259">
        <f>-'Table 5C1D-NOMMA'!L29</f>
        <v>0</v>
      </c>
      <c r="T29" s="1259">
        <f>-'Table 5C1E-LFNO'!L29</f>
        <v>0</v>
      </c>
      <c r="U29" s="1259">
        <f>-'Table 5C1F-Lake Charles Charter'!L29</f>
        <v>0</v>
      </c>
      <c r="V29" s="1259">
        <f>-'Table 5C1G-JS Clark Academy'!L29</f>
        <v>0</v>
      </c>
      <c r="W29" s="1259">
        <f>-'Table 5C1H-Southwest LA Charter'!L29</f>
        <v>0</v>
      </c>
      <c r="X29" s="1259">
        <f>-'Table 5C1I-LA Key Academy'!L29</f>
        <v>0</v>
      </c>
      <c r="Y29" s="1259">
        <f>-'Table 5C1J-Jefferson Chamber'!L29</f>
        <v>0</v>
      </c>
      <c r="Z29" s="1259">
        <f>-'Table 5C1K-Tallulah Charter'!L29</f>
        <v>0</v>
      </c>
      <c r="AA29" s="1259">
        <f>-'Table 5C1L-Northshore Charter'!L29</f>
        <v>0</v>
      </c>
      <c r="AB29" s="1259">
        <f>-'Table 5C1M-B.R. Charter'!L29</f>
        <v>0</v>
      </c>
      <c r="AC29" s="1259">
        <f>-'Table 5C1N-Delta Charter'!L29</f>
        <v>0</v>
      </c>
      <c r="AD29" s="1260">
        <f>-('Table 5C2 - LA Virtual Admy'!M28+'Table 5C2 - LA Virtual Admy'!I28)</f>
        <v>-108292.42900536041</v>
      </c>
      <c r="AE29" s="1260">
        <f>-('Table 5C3 - LA Connections EBR'!M28+'Table 5C3 - LA Connections EBR'!I28)</f>
        <v>-136790.43663834999</v>
      </c>
      <c r="AF29" s="1260">
        <f t="shared" si="23"/>
        <v>-245082.86564371039</v>
      </c>
      <c r="AG29" s="1260">
        <f>+'Table 4 Level 4'!E27</f>
        <v>189000</v>
      </c>
      <c r="AH29" s="1260">
        <f>+'Table 4 Level 4'!N27</f>
        <v>150722</v>
      </c>
      <c r="AI29" s="1261">
        <f t="shared" si="24"/>
        <v>77250145</v>
      </c>
      <c r="AJ29" s="1258"/>
      <c r="AK29" s="1258">
        <f t="shared" si="29"/>
        <v>77250145</v>
      </c>
      <c r="AL29" s="1258">
        <f t="shared" si="30"/>
        <v>6437512</v>
      </c>
      <c r="AM29" s="1260">
        <f>+'Table 4 Level 4'!J27</f>
        <v>0</v>
      </c>
      <c r="AN29" s="1260">
        <f>+'Table 4 Level 4'!K27</f>
        <v>0</v>
      </c>
      <c r="AO29" s="1260">
        <f>+'Table 4 Level 4'!L27</f>
        <v>0</v>
      </c>
      <c r="AP29" s="1261">
        <f t="shared" si="31"/>
        <v>77250145</v>
      </c>
    </row>
    <row r="30" spans="1:42" ht="14.4" customHeight="1">
      <c r="A30" s="1256">
        <v>24</v>
      </c>
      <c r="B30" s="1257" t="s">
        <v>104</v>
      </c>
      <c r="C30" s="1258">
        <f>'Table 3 Levels 1&amp;2'!AO27</f>
        <v>15912057.25</v>
      </c>
      <c r="D30" s="1259">
        <v>0</v>
      </c>
      <c r="E30" s="1259">
        <v>0</v>
      </c>
      <c r="F30" s="1259">
        <f t="shared" si="25"/>
        <v>0</v>
      </c>
      <c r="G30" s="1258">
        <f t="shared" si="22"/>
        <v>0</v>
      </c>
      <c r="H30" s="1259">
        <f t="shared" si="26"/>
        <v>0</v>
      </c>
      <c r="I30" s="1259"/>
      <c r="J30" s="1259"/>
      <c r="K30" s="1259">
        <f t="shared" si="27"/>
        <v>0</v>
      </c>
      <c r="L30" s="1259"/>
      <c r="M30" s="1259"/>
      <c r="N30" s="1259">
        <f t="shared" si="28"/>
        <v>0</v>
      </c>
      <c r="O30" s="1259">
        <v>0</v>
      </c>
      <c r="P30" s="1259">
        <f>-'Table 5C1A-Madison Prep'!L30</f>
        <v>-3465.9240361576999</v>
      </c>
      <c r="Q30" s="1259">
        <f>-'Table 5C1B-DArbonne'!L30</f>
        <v>0</v>
      </c>
      <c r="R30" s="1259">
        <f>-'Table 5C1C-Intl_VIBE'!L30</f>
        <v>0</v>
      </c>
      <c r="S30" s="1259">
        <f>-'Table 5C1D-NOMMA'!L30</f>
        <v>0</v>
      </c>
      <c r="T30" s="1259">
        <f>-'Table 5C1E-LFNO'!L30</f>
        <v>0</v>
      </c>
      <c r="U30" s="1259">
        <f>-'Table 5C1F-Lake Charles Charter'!L30</f>
        <v>0</v>
      </c>
      <c r="V30" s="1259">
        <f>-'Table 5C1G-JS Clark Academy'!L30</f>
        <v>0</v>
      </c>
      <c r="W30" s="1259">
        <f>-'Table 5C1H-Southwest LA Charter'!L30</f>
        <v>0</v>
      </c>
      <c r="X30" s="1259">
        <f>-'Table 5C1I-LA Key Academy'!L30</f>
        <v>-13863.6961446308</v>
      </c>
      <c r="Y30" s="1259">
        <f>-'Table 5C1J-Jefferson Chamber'!L30</f>
        <v>0</v>
      </c>
      <c r="Z30" s="1259">
        <f>-'Table 5C1K-Tallulah Charter'!L30</f>
        <v>0</v>
      </c>
      <c r="AA30" s="1259">
        <f>-'Table 5C1L-Northshore Charter'!L30</f>
        <v>0</v>
      </c>
      <c r="AB30" s="1259">
        <f>-'Table 5C1M-B.R. Charter'!L30</f>
        <v>-13863.6961446308</v>
      </c>
      <c r="AC30" s="1259">
        <f>-'Table 5C1N-Delta Charter'!L30</f>
        <v>0</v>
      </c>
      <c r="AD30" s="1260">
        <f>-('Table 5C2 - LA Virtual Admy'!M29+'Table 5C2 - LA Virtual Admy'!I29)</f>
        <v>-48522.9365062078</v>
      </c>
      <c r="AE30" s="1260">
        <f>-('Table 5C3 - LA Connections EBR'!M29+'Table 5C3 - LA Connections EBR'!I29)</f>
        <v>-6931.8480723153989</v>
      </c>
      <c r="AF30" s="1260">
        <f t="shared" si="23"/>
        <v>-86648.100903942483</v>
      </c>
      <c r="AG30" s="1260">
        <f>+'Table 4 Level 4'!E28</f>
        <v>0</v>
      </c>
      <c r="AH30" s="1260">
        <f>+'Table 4 Level 4'!N28</f>
        <v>48776</v>
      </c>
      <c r="AI30" s="1261">
        <f t="shared" si="24"/>
        <v>15874185</v>
      </c>
      <c r="AJ30" s="1258"/>
      <c r="AK30" s="1258">
        <f t="shared" si="29"/>
        <v>15874185</v>
      </c>
      <c r="AL30" s="1258">
        <f t="shared" si="30"/>
        <v>1322849</v>
      </c>
      <c r="AM30" s="1260">
        <f>+'Table 4 Level 4'!J28</f>
        <v>0</v>
      </c>
      <c r="AN30" s="1260">
        <f>+'Table 4 Level 4'!K28</f>
        <v>0</v>
      </c>
      <c r="AO30" s="1260">
        <f>+'Table 4 Level 4'!L28</f>
        <v>0</v>
      </c>
      <c r="AP30" s="1261">
        <f t="shared" si="31"/>
        <v>15874185</v>
      </c>
    </row>
    <row r="31" spans="1:42" ht="14.4" customHeight="1">
      <c r="A31" s="85">
        <v>25</v>
      </c>
      <c r="B31" s="207" t="s">
        <v>105</v>
      </c>
      <c r="C31" s="209">
        <f>'Table 3 Levels 1&amp;2'!AO28</f>
        <v>11038896.236880081</v>
      </c>
      <c r="D31" s="219">
        <v>0</v>
      </c>
      <c r="E31" s="219">
        <v>0</v>
      </c>
      <c r="F31" s="219">
        <f t="shared" si="25"/>
        <v>0</v>
      </c>
      <c r="G31" s="209">
        <f t="shared" si="22"/>
        <v>0</v>
      </c>
      <c r="H31" s="219">
        <f t="shared" si="26"/>
        <v>0</v>
      </c>
      <c r="I31" s="219"/>
      <c r="J31" s="219"/>
      <c r="K31" s="219">
        <f t="shared" si="27"/>
        <v>0</v>
      </c>
      <c r="L31" s="219"/>
      <c r="M31" s="219"/>
      <c r="N31" s="219">
        <f t="shared" si="28"/>
        <v>0</v>
      </c>
      <c r="O31" s="219">
        <v>0</v>
      </c>
      <c r="P31" s="219">
        <f>-'Table 5C1A-Madison Prep'!L31</f>
        <v>0</v>
      </c>
      <c r="Q31" s="219">
        <f>-'Table 5C1B-DArbonne'!L31</f>
        <v>0</v>
      </c>
      <c r="R31" s="219">
        <f>-'Table 5C1C-Intl_VIBE'!L31</f>
        <v>0</v>
      </c>
      <c r="S31" s="219">
        <f>-'Table 5C1D-NOMMA'!L31</f>
        <v>0</v>
      </c>
      <c r="T31" s="219">
        <f>-'Table 5C1E-LFNO'!L31</f>
        <v>0</v>
      </c>
      <c r="U31" s="219">
        <f>-'Table 5C1F-Lake Charles Charter'!L31</f>
        <v>0</v>
      </c>
      <c r="V31" s="219">
        <f>-'Table 5C1G-JS Clark Academy'!L31</f>
        <v>0</v>
      </c>
      <c r="W31" s="219">
        <f>-'Table 5C1H-Southwest LA Charter'!L31</f>
        <v>0</v>
      </c>
      <c r="X31" s="219">
        <f>-'Table 5C1I-LA Key Academy'!L31</f>
        <v>0</v>
      </c>
      <c r="Y31" s="219">
        <f>-'Table 5C1J-Jefferson Chamber'!L31</f>
        <v>0</v>
      </c>
      <c r="Z31" s="219">
        <f>-'Table 5C1K-Tallulah Charter'!L31</f>
        <v>0</v>
      </c>
      <c r="AA31" s="219">
        <f>-'Table 5C1L-Northshore Charter'!L31</f>
        <v>0</v>
      </c>
      <c r="AB31" s="219">
        <f>-'Table 5C1M-B.R. Charter'!L31</f>
        <v>0</v>
      </c>
      <c r="AC31" s="219">
        <f>-'Table 5C1N-Delta Charter'!L31</f>
        <v>0</v>
      </c>
      <c r="AD31" s="210">
        <f>-('Table 5C2 - LA Virtual Admy'!M30+'Table 5C2 - LA Virtual Admy'!I30)</f>
        <v>-4826.8020274945702</v>
      </c>
      <c r="AE31" s="210">
        <f>-('Table 5C3 - LA Connections EBR'!M30+'Table 5C3 - LA Connections EBR'!I30)</f>
        <v>-4826.8020274945702</v>
      </c>
      <c r="AF31" s="210">
        <f t="shared" si="23"/>
        <v>-9653.6040549891404</v>
      </c>
      <c r="AG31" s="210">
        <f>+'Table 4 Level 4'!E29</f>
        <v>0</v>
      </c>
      <c r="AH31" s="210">
        <f>+'Table 4 Level 4'!N29</f>
        <v>23634</v>
      </c>
      <c r="AI31" s="322">
        <f t="shared" si="24"/>
        <v>11052877</v>
      </c>
      <c r="AJ31" s="209"/>
      <c r="AK31" s="209">
        <f t="shared" si="29"/>
        <v>11052877</v>
      </c>
      <c r="AL31" s="209">
        <f t="shared" si="30"/>
        <v>921073</v>
      </c>
      <c r="AM31" s="210">
        <f>+'Table 4 Level 4'!J29</f>
        <v>0</v>
      </c>
      <c r="AN31" s="210">
        <f>+'Table 4 Level 4'!K29</f>
        <v>0</v>
      </c>
      <c r="AO31" s="210">
        <f>+'Table 4 Level 4'!L29</f>
        <v>0</v>
      </c>
      <c r="AP31" s="322">
        <f t="shared" si="31"/>
        <v>11052877</v>
      </c>
    </row>
    <row r="32" spans="1:42" ht="14.4" customHeight="1">
      <c r="A32" s="1250">
        <v>26</v>
      </c>
      <c r="B32" s="1251" t="s">
        <v>106</v>
      </c>
      <c r="C32" s="1252">
        <f>'Table 3 Levels 1&amp;2'!AO29</f>
        <v>193590913.32130623</v>
      </c>
      <c r="D32" s="1253">
        <v>-17854.824159962125</v>
      </c>
      <c r="E32" s="1253">
        <v>-304048.78567791218</v>
      </c>
      <c r="F32" s="1253">
        <f t="shared" si="25"/>
        <v>-321903.6098378743</v>
      </c>
      <c r="G32" s="1252">
        <f t="shared" si="22"/>
        <v>0</v>
      </c>
      <c r="H32" s="1253">
        <f t="shared" si="26"/>
        <v>-321903.6098378743</v>
      </c>
      <c r="I32" s="1253"/>
      <c r="J32" s="1253"/>
      <c r="K32" s="1253">
        <f t="shared" si="27"/>
        <v>0</v>
      </c>
      <c r="L32" s="1253"/>
      <c r="M32" s="1253"/>
      <c r="N32" s="1253">
        <f t="shared" si="28"/>
        <v>0</v>
      </c>
      <c r="O32" s="1253">
        <v>0</v>
      </c>
      <c r="P32" s="1253">
        <f>-'Table 5C1A-Madison Prep'!L32</f>
        <v>0</v>
      </c>
      <c r="Q32" s="1253">
        <f>-'Table 5C1B-DArbonne'!L32</f>
        <v>0</v>
      </c>
      <c r="R32" s="1253">
        <f>-'Table 5C1C-Intl_VIBE'!L32</f>
        <v>-247160.90982931084</v>
      </c>
      <c r="S32" s="1253">
        <f>-'Table 5C1D-NOMMA'!L32</f>
        <v>-813926.444437903</v>
      </c>
      <c r="T32" s="1253">
        <f>-'Table 5C1E-LFNO'!L32</f>
        <v>-302559.04479105293</v>
      </c>
      <c r="U32" s="1253">
        <f>-'Table 5C1F-Lake Charles Charter'!L32</f>
        <v>0</v>
      </c>
      <c r="V32" s="1253">
        <f>-'Table 5C1G-JS Clark Academy'!L32</f>
        <v>0</v>
      </c>
      <c r="W32" s="1253">
        <f>-'Table 5C1H-Southwest LA Charter'!L32</f>
        <v>0</v>
      </c>
      <c r="X32" s="1253">
        <f>-'Table 5C1I-LA Key Academy'!L32</f>
        <v>0</v>
      </c>
      <c r="Y32" s="1253">
        <f>-'Table 5C1J-Jefferson Chamber'!L32</f>
        <v>-387786.94473219465</v>
      </c>
      <c r="Z32" s="1253">
        <f>-'Table 5C1K-Tallulah Charter'!L32</f>
        <v>0</v>
      </c>
      <c r="AA32" s="1253">
        <f>-'Table 5C1L-Northshore Charter'!L32</f>
        <v>0</v>
      </c>
      <c r="AB32" s="1253">
        <f>-'Table 5C1M-B.R. Charter'!L32</f>
        <v>0</v>
      </c>
      <c r="AC32" s="1253">
        <f>-'Table 5C1N-Delta Charter'!L32</f>
        <v>0</v>
      </c>
      <c r="AD32" s="1254">
        <f>-('Table 5C2 - LA Virtual Admy'!M31+'Table 5C2 - LA Virtual Admy'!I31)</f>
        <v>-711652.9645085329</v>
      </c>
      <c r="AE32" s="1254">
        <f>-('Table 5C3 - LA Connections EBR'!M31+'Table 5C3 - LA Connections EBR'!I31)</f>
        <v>-434662.28969982255</v>
      </c>
      <c r="AF32" s="1254">
        <f t="shared" si="23"/>
        <v>-2897748.5979988175</v>
      </c>
      <c r="AG32" s="1254">
        <f>+'Table 4 Level 4'!E30</f>
        <v>231000</v>
      </c>
      <c r="AH32" s="1254">
        <f>+'Table 4 Level 4'!N30</f>
        <v>463424</v>
      </c>
      <c r="AI32" s="1255">
        <f t="shared" si="24"/>
        <v>191065685</v>
      </c>
      <c r="AJ32" s="1252"/>
      <c r="AK32" s="1252">
        <f t="shared" si="29"/>
        <v>191065685</v>
      </c>
      <c r="AL32" s="1252">
        <f t="shared" si="30"/>
        <v>15922140</v>
      </c>
      <c r="AM32" s="1254">
        <f>+'Table 4 Level 4'!J30</f>
        <v>0</v>
      </c>
      <c r="AN32" s="1254">
        <f>+'Table 4 Level 4'!K30</f>
        <v>0</v>
      </c>
      <c r="AO32" s="1254">
        <f>+'Table 4 Level 4'!L30</f>
        <v>0</v>
      </c>
      <c r="AP32" s="1255">
        <f t="shared" si="31"/>
        <v>191065685</v>
      </c>
    </row>
    <row r="33" spans="1:42" ht="14.4" customHeight="1">
      <c r="A33" s="1256">
        <v>27</v>
      </c>
      <c r="B33" s="1257" t="s">
        <v>107</v>
      </c>
      <c r="C33" s="1258">
        <f>'Table 3 Levels 1&amp;2'!AO30</f>
        <v>36629008.321595043</v>
      </c>
      <c r="D33" s="1259">
        <v>0</v>
      </c>
      <c r="E33" s="1259">
        <v>0</v>
      </c>
      <c r="F33" s="1259">
        <f t="shared" si="25"/>
        <v>0</v>
      </c>
      <c r="G33" s="1258">
        <f t="shared" si="22"/>
        <v>0</v>
      </c>
      <c r="H33" s="1259">
        <f t="shared" si="26"/>
        <v>0</v>
      </c>
      <c r="I33" s="1259"/>
      <c r="J33" s="1259"/>
      <c r="K33" s="1259">
        <f t="shared" si="27"/>
        <v>0</v>
      </c>
      <c r="L33" s="1259"/>
      <c r="M33" s="1259"/>
      <c r="N33" s="1259">
        <f t="shared" si="28"/>
        <v>0</v>
      </c>
      <c r="O33" s="1259">
        <v>0</v>
      </c>
      <c r="P33" s="1259">
        <f>-'Table 5C1A-Madison Prep'!L33</f>
        <v>0</v>
      </c>
      <c r="Q33" s="1259">
        <f>-'Table 5C1B-DArbonne'!L33</f>
        <v>0</v>
      </c>
      <c r="R33" s="1259">
        <f>-'Table 5C1C-Intl_VIBE'!L33</f>
        <v>0</v>
      </c>
      <c r="S33" s="1259">
        <f>-'Table 5C1D-NOMMA'!L33</f>
        <v>0</v>
      </c>
      <c r="T33" s="1259">
        <f>-'Table 5C1E-LFNO'!L33</f>
        <v>0</v>
      </c>
      <c r="U33" s="1259">
        <f>-'Table 5C1F-Lake Charles Charter'!L33</f>
        <v>0</v>
      </c>
      <c r="V33" s="1259">
        <f>-'Table 5C1G-JS Clark Academy'!L33</f>
        <v>0</v>
      </c>
      <c r="W33" s="1259">
        <f>-'Table 5C1H-Southwest LA Charter'!L33</f>
        <v>0</v>
      </c>
      <c r="X33" s="1259">
        <f>-'Table 5C1I-LA Key Academy'!L33</f>
        <v>0</v>
      </c>
      <c r="Y33" s="1259">
        <f>-'Table 5C1J-Jefferson Chamber'!L33</f>
        <v>0</v>
      </c>
      <c r="Z33" s="1259">
        <f>-'Table 5C1K-Tallulah Charter'!L33</f>
        <v>0</v>
      </c>
      <c r="AA33" s="1259">
        <f>-'Table 5C1L-Northshore Charter'!L33</f>
        <v>0</v>
      </c>
      <c r="AB33" s="1259">
        <f>-'Table 5C1M-B.R. Charter'!L33</f>
        <v>0</v>
      </c>
      <c r="AC33" s="1259">
        <f>-'Table 5C1N-Delta Charter'!L33</f>
        <v>0</v>
      </c>
      <c r="AD33" s="1260">
        <f>-('Table 5C2 - LA Virtual Admy'!M32+'Table 5C2 - LA Virtual Admy'!I32)</f>
        <v>-77975.536607972404</v>
      </c>
      <c r="AE33" s="1260">
        <f>-('Table 5C3 - LA Connections EBR'!M32+'Table 5C3 - LA Connections EBR'!I32)</f>
        <v>-32489.806919988503</v>
      </c>
      <c r="AF33" s="1260">
        <f t="shared" si="23"/>
        <v>-110465.34352796091</v>
      </c>
      <c r="AG33" s="1260">
        <f>+'Table 4 Level 4'!E31</f>
        <v>0</v>
      </c>
      <c r="AH33" s="1260">
        <f>+'Table 4 Level 4'!N31</f>
        <v>65182</v>
      </c>
      <c r="AI33" s="1261">
        <f t="shared" si="24"/>
        <v>36583725</v>
      </c>
      <c r="AJ33" s="1258"/>
      <c r="AK33" s="1258">
        <f t="shared" si="29"/>
        <v>36583725</v>
      </c>
      <c r="AL33" s="1258">
        <f t="shared" si="30"/>
        <v>3048644</v>
      </c>
      <c r="AM33" s="1260">
        <f>+'Table 4 Level 4'!J31</f>
        <v>0</v>
      </c>
      <c r="AN33" s="1260">
        <f>+'Table 4 Level 4'!K31</f>
        <v>0</v>
      </c>
      <c r="AO33" s="1260">
        <f>+'Table 4 Level 4'!L31</f>
        <v>0</v>
      </c>
      <c r="AP33" s="1261">
        <f t="shared" si="31"/>
        <v>36583725</v>
      </c>
    </row>
    <row r="34" spans="1:42" ht="14.4" customHeight="1">
      <c r="A34" s="1256">
        <v>28</v>
      </c>
      <c r="B34" s="1257" t="s">
        <v>108</v>
      </c>
      <c r="C34" s="1258">
        <f>'Table 3 Levels 1&amp;2'!AO31</f>
        <v>115739998.79606113</v>
      </c>
      <c r="D34" s="1259">
        <v>-3920.0961587092897</v>
      </c>
      <c r="E34" s="1259">
        <v>41497</v>
      </c>
      <c r="F34" s="1259">
        <f t="shared" si="25"/>
        <v>37576.90384129071</v>
      </c>
      <c r="G34" s="1258">
        <f t="shared" si="22"/>
        <v>37576.90384129071</v>
      </c>
      <c r="H34" s="1259">
        <f t="shared" si="26"/>
        <v>0</v>
      </c>
      <c r="I34" s="1259"/>
      <c r="J34" s="1259"/>
      <c r="K34" s="1259">
        <f t="shared" si="27"/>
        <v>0</v>
      </c>
      <c r="L34" s="1259"/>
      <c r="M34" s="1259"/>
      <c r="N34" s="1259">
        <f t="shared" si="28"/>
        <v>0</v>
      </c>
      <c r="O34" s="1259">
        <v>0</v>
      </c>
      <c r="P34" s="1259">
        <f>-'Table 5C1A-Madison Prep'!L34</f>
        <v>0</v>
      </c>
      <c r="Q34" s="1259">
        <f>-'Table 5C1B-DArbonne'!L34</f>
        <v>0</v>
      </c>
      <c r="R34" s="1259">
        <f>-'Table 5C1C-Intl_VIBE'!L34</f>
        <v>0</v>
      </c>
      <c r="S34" s="1259">
        <f>-'Table 5C1D-NOMMA'!L34</f>
        <v>0</v>
      </c>
      <c r="T34" s="1259">
        <f>-'Table 5C1E-LFNO'!L34</f>
        <v>0</v>
      </c>
      <c r="U34" s="1259">
        <f>-'Table 5C1F-Lake Charles Charter'!L34</f>
        <v>0</v>
      </c>
      <c r="V34" s="1259">
        <f>-'Table 5C1G-JS Clark Academy'!L34</f>
        <v>-3831.8158846568822</v>
      </c>
      <c r="W34" s="1259">
        <f>-'Table 5C1H-Southwest LA Charter'!L34</f>
        <v>0</v>
      </c>
      <c r="X34" s="1259">
        <f>-'Table 5C1I-LA Key Academy'!L34</f>
        <v>0</v>
      </c>
      <c r="Y34" s="1259">
        <f>-'Table 5C1J-Jefferson Chamber'!L34</f>
        <v>0</v>
      </c>
      <c r="Z34" s="1259">
        <f>-'Table 5C1K-Tallulah Charter'!L34</f>
        <v>0</v>
      </c>
      <c r="AA34" s="1259">
        <f>-'Table 5C1L-Northshore Charter'!L34</f>
        <v>0</v>
      </c>
      <c r="AB34" s="1259">
        <f>-'Table 5C1M-B.R. Charter'!L34</f>
        <v>0</v>
      </c>
      <c r="AC34" s="1259">
        <f>-'Table 5C1N-Delta Charter'!L34</f>
        <v>0</v>
      </c>
      <c r="AD34" s="1260">
        <f>-('Table 5C2 - LA Virtual Admy'!M33+'Table 5C2 - LA Virtual Admy'!I33)</f>
        <v>-333367.98196514871</v>
      </c>
      <c r="AE34" s="1260">
        <f>-('Table 5C3 - LA Connections EBR'!M33+'Table 5C3 - LA Connections EBR'!I33)</f>
        <v>-203086.24188681474</v>
      </c>
      <c r="AF34" s="1260">
        <f t="shared" si="23"/>
        <v>-540286.03973662027</v>
      </c>
      <c r="AG34" s="1260">
        <f>+'Table 4 Level 4'!E32</f>
        <v>735000</v>
      </c>
      <c r="AH34" s="1260">
        <f>+'Table 4 Level 4'!N32</f>
        <v>335556</v>
      </c>
      <c r="AI34" s="1261">
        <f t="shared" si="24"/>
        <v>116307846</v>
      </c>
      <c r="AJ34" s="1258"/>
      <c r="AK34" s="1258">
        <f t="shared" si="29"/>
        <v>116307846</v>
      </c>
      <c r="AL34" s="1258">
        <f t="shared" si="30"/>
        <v>9692321</v>
      </c>
      <c r="AM34" s="1260">
        <f>+'Table 4 Level 4'!J32</f>
        <v>0</v>
      </c>
      <c r="AN34" s="1260">
        <f>+'Table 4 Level 4'!K32</f>
        <v>0</v>
      </c>
      <c r="AO34" s="1260">
        <f>+'Table 4 Level 4'!L32</f>
        <v>0</v>
      </c>
      <c r="AP34" s="1261">
        <f t="shared" si="31"/>
        <v>116307846</v>
      </c>
    </row>
    <row r="35" spans="1:42" ht="14.4" customHeight="1">
      <c r="A35" s="1256">
        <v>29</v>
      </c>
      <c r="B35" s="1257" t="s">
        <v>109</v>
      </c>
      <c r="C35" s="1258">
        <f>'Table 3 Levels 1&amp;2'!AO32</f>
        <v>63571250.598238401</v>
      </c>
      <c r="D35" s="1259">
        <v>-25909.043681611831</v>
      </c>
      <c r="E35" s="1259">
        <v>-23112.279060519853</v>
      </c>
      <c r="F35" s="1259">
        <f t="shared" si="25"/>
        <v>-49021.322742131684</v>
      </c>
      <c r="G35" s="1258">
        <f t="shared" si="22"/>
        <v>0</v>
      </c>
      <c r="H35" s="1259">
        <f t="shared" si="26"/>
        <v>-49021.322742131684</v>
      </c>
      <c r="I35" s="1259"/>
      <c r="J35" s="1259"/>
      <c r="K35" s="1259">
        <f t="shared" si="27"/>
        <v>0</v>
      </c>
      <c r="L35" s="1259"/>
      <c r="M35" s="1259"/>
      <c r="N35" s="1259">
        <f t="shared" si="28"/>
        <v>0</v>
      </c>
      <c r="O35" s="1259">
        <v>0</v>
      </c>
      <c r="P35" s="1259">
        <f>-'Table 5C1A-Madison Prep'!L35</f>
        <v>0</v>
      </c>
      <c r="Q35" s="1259">
        <f>-'Table 5C1B-DArbonne'!L35</f>
        <v>0</v>
      </c>
      <c r="R35" s="1259">
        <f>-'Table 5C1C-Intl_VIBE'!L35</f>
        <v>0</v>
      </c>
      <c r="S35" s="1259">
        <f>-'Table 5C1D-NOMMA'!L35</f>
        <v>0</v>
      </c>
      <c r="T35" s="1259">
        <f>-'Table 5C1E-LFNO'!L35</f>
        <v>-4593.9623210173722</v>
      </c>
      <c r="U35" s="1259">
        <f>-'Table 5C1F-Lake Charles Charter'!L35</f>
        <v>0</v>
      </c>
      <c r="V35" s="1259">
        <f>-'Table 5C1G-JS Clark Academy'!L35</f>
        <v>0</v>
      </c>
      <c r="W35" s="1259">
        <f>-'Table 5C1H-Southwest LA Charter'!L35</f>
        <v>0</v>
      </c>
      <c r="X35" s="1259">
        <f>-'Table 5C1I-LA Key Academy'!L35</f>
        <v>0</v>
      </c>
      <c r="Y35" s="1259">
        <f>-'Table 5C1J-Jefferson Chamber'!L35</f>
        <v>0</v>
      </c>
      <c r="Z35" s="1259">
        <f>-'Table 5C1K-Tallulah Charter'!L35</f>
        <v>0</v>
      </c>
      <c r="AA35" s="1259">
        <f>-'Table 5C1L-Northshore Charter'!L35</f>
        <v>0</v>
      </c>
      <c r="AB35" s="1259">
        <f>-'Table 5C1M-B.R. Charter'!L35</f>
        <v>0</v>
      </c>
      <c r="AC35" s="1259">
        <f>-'Table 5C1N-Delta Charter'!L35</f>
        <v>0</v>
      </c>
      <c r="AD35" s="1260">
        <f>-('Table 5C2 - LA Virtual Admy'!M34+'Table 5C2 - LA Virtual Admy'!I34)</f>
        <v>-110255.09570441693</v>
      </c>
      <c r="AE35" s="1260">
        <f>-('Table 5C3 - LA Connections EBR'!M34+'Table 5C3 - LA Connections EBR'!I34)</f>
        <v>-13781.886963052117</v>
      </c>
      <c r="AF35" s="1260">
        <f t="shared" si="23"/>
        <v>-128630.94498848643</v>
      </c>
      <c r="AG35" s="1260">
        <f>+'Table 4 Level 4'!E33</f>
        <v>651000</v>
      </c>
      <c r="AH35" s="1260">
        <f>+'Table 4 Level 4'!N33</f>
        <v>152334</v>
      </c>
      <c r="AI35" s="1261">
        <f t="shared" si="24"/>
        <v>64196932</v>
      </c>
      <c r="AJ35" s="1258"/>
      <c r="AK35" s="1258">
        <f t="shared" si="29"/>
        <v>64196932</v>
      </c>
      <c r="AL35" s="1258">
        <f t="shared" si="30"/>
        <v>5349744</v>
      </c>
      <c r="AM35" s="1260">
        <f>+'Table 4 Level 4'!J33</f>
        <v>0</v>
      </c>
      <c r="AN35" s="1260">
        <f>+'Table 4 Level 4'!K33</f>
        <v>0</v>
      </c>
      <c r="AO35" s="1260">
        <f>+'Table 4 Level 4'!L33</f>
        <v>0</v>
      </c>
      <c r="AP35" s="1261">
        <f t="shared" si="31"/>
        <v>64196932</v>
      </c>
    </row>
    <row r="36" spans="1:42" ht="14.4" customHeight="1">
      <c r="A36" s="85">
        <v>30</v>
      </c>
      <c r="B36" s="207" t="s">
        <v>110</v>
      </c>
      <c r="C36" s="209">
        <f>'Table 3 Levels 1&amp;2'!AO33</f>
        <v>16120242.3312224</v>
      </c>
      <c r="D36" s="219">
        <v>0</v>
      </c>
      <c r="E36" s="219">
        <v>0</v>
      </c>
      <c r="F36" s="219">
        <f t="shared" si="25"/>
        <v>0</v>
      </c>
      <c r="G36" s="209">
        <f t="shared" si="22"/>
        <v>0</v>
      </c>
      <c r="H36" s="219">
        <f t="shared" si="26"/>
        <v>0</v>
      </c>
      <c r="I36" s="219"/>
      <c r="J36" s="219"/>
      <c r="K36" s="219">
        <f t="shared" si="27"/>
        <v>0</v>
      </c>
      <c r="L36" s="219"/>
      <c r="M36" s="219"/>
      <c r="N36" s="219">
        <f t="shared" si="28"/>
        <v>0</v>
      </c>
      <c r="O36" s="219">
        <v>0</v>
      </c>
      <c r="P36" s="219">
        <f>-'Table 5C1A-Madison Prep'!L36</f>
        <v>0</v>
      </c>
      <c r="Q36" s="219">
        <f>-'Table 5C1B-DArbonne'!L36</f>
        <v>0</v>
      </c>
      <c r="R36" s="219">
        <f>-'Table 5C1C-Intl_VIBE'!L36</f>
        <v>0</v>
      </c>
      <c r="S36" s="219">
        <f>-'Table 5C1D-NOMMA'!L36</f>
        <v>0</v>
      </c>
      <c r="T36" s="219">
        <f>-'Table 5C1E-LFNO'!L36</f>
        <v>0</v>
      </c>
      <c r="U36" s="219">
        <f>-'Table 5C1F-Lake Charles Charter'!L36</f>
        <v>0</v>
      </c>
      <c r="V36" s="219">
        <f>-'Table 5C1G-JS Clark Academy'!L36</f>
        <v>0</v>
      </c>
      <c r="W36" s="219">
        <f>-'Table 5C1H-Southwest LA Charter'!L36</f>
        <v>0</v>
      </c>
      <c r="X36" s="219">
        <f>-'Table 5C1I-LA Key Academy'!L36</f>
        <v>0</v>
      </c>
      <c r="Y36" s="219">
        <f>-'Table 5C1J-Jefferson Chamber'!L36</f>
        <v>0</v>
      </c>
      <c r="Z36" s="219">
        <f>-'Table 5C1K-Tallulah Charter'!L36</f>
        <v>0</v>
      </c>
      <c r="AA36" s="219">
        <f>-'Table 5C1L-Northshore Charter'!L36</f>
        <v>0</v>
      </c>
      <c r="AB36" s="219">
        <f>-'Table 5C1M-B.R. Charter'!L36</f>
        <v>0</v>
      </c>
      <c r="AC36" s="219">
        <f>-'Table 5C1N-Delta Charter'!L36</f>
        <v>0</v>
      </c>
      <c r="AD36" s="210">
        <f>-('Table 5C2 - LA Virtual Admy'!M35+'Table 5C2 - LA Virtual Admy'!I35)</f>
        <v>-32658.513636998381</v>
      </c>
      <c r="AE36" s="210">
        <f>-('Table 5C3 - LA Connections EBR'!M35+'Table 5C3 - LA Connections EBR'!I35)</f>
        <v>-19595.10818219903</v>
      </c>
      <c r="AF36" s="210">
        <f t="shared" si="23"/>
        <v>-52253.621819197411</v>
      </c>
      <c r="AG36" s="210">
        <f>+'Table 4 Level 4'!E34</f>
        <v>0</v>
      </c>
      <c r="AH36" s="210">
        <f>+'Table 4 Level 4'!N34</f>
        <v>27924</v>
      </c>
      <c r="AI36" s="322">
        <f t="shared" si="24"/>
        <v>16095913</v>
      </c>
      <c r="AJ36" s="209"/>
      <c r="AK36" s="209">
        <f t="shared" si="29"/>
        <v>16095913</v>
      </c>
      <c r="AL36" s="209">
        <f t="shared" si="30"/>
        <v>1341326</v>
      </c>
      <c r="AM36" s="210">
        <f>+'Table 4 Level 4'!J34</f>
        <v>0</v>
      </c>
      <c r="AN36" s="210">
        <f>+'Table 4 Level 4'!K34</f>
        <v>0</v>
      </c>
      <c r="AO36" s="210">
        <f>+'Table 4 Level 4'!L34</f>
        <v>0</v>
      </c>
      <c r="AP36" s="322">
        <f t="shared" si="31"/>
        <v>16095913</v>
      </c>
    </row>
    <row r="37" spans="1:42" ht="14.4" customHeight="1">
      <c r="A37" s="1250">
        <v>31</v>
      </c>
      <c r="B37" s="1251" t="s">
        <v>111</v>
      </c>
      <c r="C37" s="1252">
        <f>'Table 3 Levels 1&amp;2'!AO34</f>
        <v>32771587.459332004</v>
      </c>
      <c r="D37" s="1253">
        <v>2397.4618700112042</v>
      </c>
      <c r="E37" s="1253">
        <v>0</v>
      </c>
      <c r="F37" s="1253">
        <f t="shared" si="25"/>
        <v>2397.4618700112042</v>
      </c>
      <c r="G37" s="1252">
        <f t="shared" si="22"/>
        <v>2397.4618700112042</v>
      </c>
      <c r="H37" s="1253">
        <f t="shared" si="26"/>
        <v>0</v>
      </c>
      <c r="I37" s="1253"/>
      <c r="J37" s="1253"/>
      <c r="K37" s="1253">
        <f t="shared" si="27"/>
        <v>0</v>
      </c>
      <c r="L37" s="1253"/>
      <c r="M37" s="1253"/>
      <c r="N37" s="1253">
        <f t="shared" si="28"/>
        <v>0</v>
      </c>
      <c r="O37" s="1253">
        <v>0</v>
      </c>
      <c r="P37" s="1253">
        <f>-'Table 5C1A-Madison Prep'!L37</f>
        <v>0</v>
      </c>
      <c r="Q37" s="1253">
        <f>-'Table 5C1B-DArbonne'!L37</f>
        <v>-61697.372060242233</v>
      </c>
      <c r="R37" s="1253">
        <f>-'Table 5C1C-Intl_VIBE'!L37</f>
        <v>0</v>
      </c>
      <c r="S37" s="1253">
        <f>-'Table 5C1D-NOMMA'!L37</f>
        <v>0</v>
      </c>
      <c r="T37" s="1253">
        <f>-'Table 5C1E-LFNO'!L37</f>
        <v>0</v>
      </c>
      <c r="U37" s="1253">
        <f>-'Table 5C1F-Lake Charles Charter'!L37</f>
        <v>0</v>
      </c>
      <c r="V37" s="1253">
        <f>-'Table 5C1G-JS Clark Academy'!L37</f>
        <v>0</v>
      </c>
      <c r="W37" s="1253">
        <f>-'Table 5C1H-Southwest LA Charter'!L37</f>
        <v>0</v>
      </c>
      <c r="X37" s="1253">
        <f>-'Table 5C1I-LA Key Academy'!L37</f>
        <v>0</v>
      </c>
      <c r="Y37" s="1253">
        <f>-'Table 5C1J-Jefferson Chamber'!L37</f>
        <v>0</v>
      </c>
      <c r="Z37" s="1253">
        <f>-'Table 5C1K-Tallulah Charter'!L37</f>
        <v>0</v>
      </c>
      <c r="AA37" s="1253">
        <f>-'Table 5C1L-Northshore Charter'!L37</f>
        <v>0</v>
      </c>
      <c r="AB37" s="1253">
        <f>-'Table 5C1M-B.R. Charter'!L37</f>
        <v>0</v>
      </c>
      <c r="AC37" s="1253">
        <f>-'Table 5C1N-Delta Charter'!L37</f>
        <v>0</v>
      </c>
      <c r="AD37" s="1254">
        <f>-('Table 5C2 - LA Virtual Admy'!M36+'Table 5C2 - LA Virtual Admy'!I36)</f>
        <v>-25707.238358434268</v>
      </c>
      <c r="AE37" s="1254">
        <f>-('Table 5C3 - LA Connections EBR'!M36+'Table 5C3 - LA Connections EBR'!I36)</f>
        <v>-15424.343015060558</v>
      </c>
      <c r="AF37" s="1254">
        <f t="shared" si="23"/>
        <v>-102828.95343373706</v>
      </c>
      <c r="AG37" s="1254">
        <f>+'Table 4 Level 4'!E35</f>
        <v>0</v>
      </c>
      <c r="AH37" s="1254">
        <f>+'Table 4 Level 4'!N35</f>
        <v>72930</v>
      </c>
      <c r="AI37" s="1255">
        <f t="shared" si="24"/>
        <v>32744086</v>
      </c>
      <c r="AJ37" s="1252"/>
      <c r="AK37" s="1252">
        <f t="shared" si="29"/>
        <v>32744086</v>
      </c>
      <c r="AL37" s="1252">
        <f t="shared" si="30"/>
        <v>2728674</v>
      </c>
      <c r="AM37" s="1254">
        <f>+'Table 4 Level 4'!J35</f>
        <v>0</v>
      </c>
      <c r="AN37" s="1254">
        <f>+'Table 4 Level 4'!K35</f>
        <v>0</v>
      </c>
      <c r="AO37" s="1254">
        <f>+'Table 4 Level 4'!L35</f>
        <v>0</v>
      </c>
      <c r="AP37" s="1255">
        <f t="shared" si="31"/>
        <v>32744086</v>
      </c>
    </row>
    <row r="38" spans="1:42" ht="14.4" customHeight="1">
      <c r="A38" s="1256">
        <v>32</v>
      </c>
      <c r="B38" s="1257" t="s">
        <v>112</v>
      </c>
      <c r="C38" s="1258">
        <f>'Table 3 Levels 1&amp;2'!AO35</f>
        <v>156414358.01299199</v>
      </c>
      <c r="D38" s="1259">
        <v>0</v>
      </c>
      <c r="E38" s="1259">
        <v>0</v>
      </c>
      <c r="F38" s="1259">
        <f t="shared" si="25"/>
        <v>0</v>
      </c>
      <c r="G38" s="1258">
        <f t="shared" si="22"/>
        <v>0</v>
      </c>
      <c r="H38" s="1259">
        <f t="shared" si="26"/>
        <v>0</v>
      </c>
      <c r="I38" s="1259"/>
      <c r="J38" s="1259"/>
      <c r="K38" s="1259">
        <f t="shared" si="27"/>
        <v>0</v>
      </c>
      <c r="L38" s="1259"/>
      <c r="M38" s="1259"/>
      <c r="N38" s="1259">
        <f t="shared" si="28"/>
        <v>0</v>
      </c>
      <c r="O38" s="1259">
        <v>0</v>
      </c>
      <c r="P38" s="1259">
        <f>-'Table 5C1A-Madison Prep'!L38</f>
        <v>0</v>
      </c>
      <c r="Q38" s="1259">
        <f>-'Table 5C1B-DArbonne'!L38</f>
        <v>0</v>
      </c>
      <c r="R38" s="1259">
        <f>-'Table 5C1C-Intl_VIBE'!L38</f>
        <v>0</v>
      </c>
      <c r="S38" s="1259">
        <f>-'Table 5C1D-NOMMA'!L38</f>
        <v>0</v>
      </c>
      <c r="T38" s="1259">
        <f>-'Table 5C1E-LFNO'!L38</f>
        <v>0</v>
      </c>
      <c r="U38" s="1259">
        <f>-'Table 5C1F-Lake Charles Charter'!L38</f>
        <v>0</v>
      </c>
      <c r="V38" s="1259">
        <f>-'Table 5C1G-JS Clark Academy'!L38</f>
        <v>0</v>
      </c>
      <c r="W38" s="1259">
        <f>-'Table 5C1H-Southwest LA Charter'!L38</f>
        <v>0</v>
      </c>
      <c r="X38" s="1259">
        <f>-'Table 5C1I-LA Key Academy'!L38</f>
        <v>-31062.945945305633</v>
      </c>
      <c r="Y38" s="1259">
        <f>-'Table 5C1J-Jefferson Chamber'!L38</f>
        <v>0</v>
      </c>
      <c r="Z38" s="1259">
        <f>-'Table 5C1K-Tallulah Charter'!L38</f>
        <v>0</v>
      </c>
      <c r="AA38" s="1259">
        <f>-'Table 5C1L-Northshore Charter'!L38</f>
        <v>0</v>
      </c>
      <c r="AB38" s="1259">
        <f>-'Table 5C1M-B.R. Charter'!L38</f>
        <v>-6212.5891890611274</v>
      </c>
      <c r="AC38" s="1259">
        <f>-'Table 5C1N-Delta Charter'!L38</f>
        <v>0</v>
      </c>
      <c r="AD38" s="1260">
        <f>-('Table 5C2 - LA Virtual Admy'!M37+'Table 5C2 - LA Virtual Admy'!I37)</f>
        <v>-490794.545935829</v>
      </c>
      <c r="AE38" s="1260">
        <f>-('Table 5C3 - LA Connections EBR'!M37+'Table 5C3 - LA Connections EBR'!I37)</f>
        <v>-453519.01080146228</v>
      </c>
      <c r="AF38" s="1260">
        <f t="shared" si="23"/>
        <v>-981589.09187165811</v>
      </c>
      <c r="AG38" s="1260">
        <f>+'Table 4 Level 4'!E36</f>
        <v>0</v>
      </c>
      <c r="AH38" s="1260">
        <f>+'Table 4 Level 4'!N36</f>
        <v>279344</v>
      </c>
      <c r="AI38" s="1261">
        <f t="shared" si="24"/>
        <v>155712113</v>
      </c>
      <c r="AJ38" s="1258"/>
      <c r="AK38" s="1258">
        <f t="shared" si="29"/>
        <v>155712113</v>
      </c>
      <c r="AL38" s="1258">
        <f t="shared" si="30"/>
        <v>12976009</v>
      </c>
      <c r="AM38" s="1260">
        <f>+'Table 4 Level 4'!J36</f>
        <v>0</v>
      </c>
      <c r="AN38" s="1260">
        <f>+'Table 4 Level 4'!K36</f>
        <v>0</v>
      </c>
      <c r="AO38" s="1260">
        <f>+'Table 4 Level 4'!L36</f>
        <v>0</v>
      </c>
      <c r="AP38" s="1261">
        <f t="shared" si="31"/>
        <v>155712113</v>
      </c>
    </row>
    <row r="39" spans="1:42" ht="14.4" customHeight="1">
      <c r="A39" s="1256">
        <v>33</v>
      </c>
      <c r="B39" s="1257" t="s">
        <v>113</v>
      </c>
      <c r="C39" s="1258">
        <f>'Table 3 Levels 1&amp;2'!AO36</f>
        <v>10469060.2358</v>
      </c>
      <c r="D39" s="1259">
        <v>-15122.892985498394</v>
      </c>
      <c r="E39" s="1259">
        <v>-48930.005705722506</v>
      </c>
      <c r="F39" s="1259">
        <f t="shared" si="25"/>
        <v>-64052.8986912209</v>
      </c>
      <c r="G39" s="1258">
        <f t="shared" si="22"/>
        <v>0</v>
      </c>
      <c r="H39" s="1259">
        <f t="shared" si="26"/>
        <v>-64052.8986912209</v>
      </c>
      <c r="I39" s="1259"/>
      <c r="J39" s="1259"/>
      <c r="K39" s="1259">
        <f t="shared" si="27"/>
        <v>0</v>
      </c>
      <c r="L39" s="1259"/>
      <c r="M39" s="1259"/>
      <c r="N39" s="1259">
        <f t="shared" si="28"/>
        <v>0</v>
      </c>
      <c r="O39" s="1259">
        <v>0</v>
      </c>
      <c r="P39" s="1259">
        <f>-'Table 5C1A-Madison Prep'!L39</f>
        <v>0</v>
      </c>
      <c r="Q39" s="1259">
        <f>-'Table 5C1B-DArbonne'!L39</f>
        <v>0</v>
      </c>
      <c r="R39" s="1259">
        <f>-'Table 5C1C-Intl_VIBE'!L39</f>
        <v>0</v>
      </c>
      <c r="S39" s="1259">
        <f>-'Table 5C1D-NOMMA'!L39</f>
        <v>0</v>
      </c>
      <c r="T39" s="1259">
        <f>-'Table 5C1E-LFNO'!L39</f>
        <v>0</v>
      </c>
      <c r="U39" s="1259">
        <f>-'Table 5C1F-Lake Charles Charter'!L39</f>
        <v>0</v>
      </c>
      <c r="V39" s="1259">
        <f>-'Table 5C1G-JS Clark Academy'!L39</f>
        <v>0</v>
      </c>
      <c r="W39" s="1259">
        <f>-'Table 5C1H-Southwest LA Charter'!L39</f>
        <v>0</v>
      </c>
      <c r="X39" s="1259">
        <f>-'Table 5C1I-LA Key Academy'!L39</f>
        <v>0</v>
      </c>
      <c r="Y39" s="1259">
        <f>-'Table 5C1J-Jefferson Chamber'!L39</f>
        <v>0</v>
      </c>
      <c r="Z39" s="1259">
        <f>-'Table 5C1K-Tallulah Charter'!L39</f>
        <v>-1796791.4240077059</v>
      </c>
      <c r="AA39" s="1259">
        <f>-'Table 5C1L-Northshore Charter'!L39</f>
        <v>0</v>
      </c>
      <c r="AB39" s="1259">
        <f>-'Table 5C1M-B.R. Charter'!L39</f>
        <v>0</v>
      </c>
      <c r="AC39" s="1259">
        <f>-'Table 5C1N-Delta Charter'!L39</f>
        <v>0</v>
      </c>
      <c r="AD39" s="1260">
        <f>-('Table 5C2 - LA Virtual Admy'!M38+'Table 5C2 - LA Virtual Admy'!I38)</f>
        <v>-12223.070911617047</v>
      </c>
      <c r="AE39" s="1260">
        <f>-('Table 5C3 - LA Connections EBR'!M38+'Table 5C3 - LA Connections EBR'!I38)</f>
        <v>0</v>
      </c>
      <c r="AF39" s="1260">
        <f t="shared" ref="AF39:AF70" si="32">SUM(O39:AE39)</f>
        <v>-1809014.4949193229</v>
      </c>
      <c r="AG39" s="1260">
        <f>+'Table 4 Level 4'!E37</f>
        <v>0</v>
      </c>
      <c r="AH39" s="1260">
        <f>+'Table 4 Level 4'!N37</f>
        <v>19318</v>
      </c>
      <c r="AI39" s="1261">
        <f t="shared" ref="AI39:AI70" si="33">ROUND(C39+F39+K39+N39+AF39+AG39+AH39,0)</f>
        <v>8615311</v>
      </c>
      <c r="AJ39" s="1258"/>
      <c r="AK39" s="1258">
        <f t="shared" si="29"/>
        <v>8615311</v>
      </c>
      <c r="AL39" s="1258">
        <f t="shared" si="30"/>
        <v>717943</v>
      </c>
      <c r="AM39" s="1260">
        <f>+'Table 4 Level 4'!J37</f>
        <v>0</v>
      </c>
      <c r="AN39" s="1260">
        <f>+'Table 4 Level 4'!K37</f>
        <v>0</v>
      </c>
      <c r="AO39" s="1260">
        <f>+'Table 4 Level 4'!L37</f>
        <v>0</v>
      </c>
      <c r="AP39" s="1261">
        <f t="shared" si="31"/>
        <v>8615311</v>
      </c>
    </row>
    <row r="40" spans="1:42" ht="14.4" customHeight="1">
      <c r="A40" s="1256">
        <v>34</v>
      </c>
      <c r="B40" s="1257" t="s">
        <v>114</v>
      </c>
      <c r="C40" s="1258">
        <f>'Table 3 Levels 1&amp;2'!AO37</f>
        <v>30540122.433880001</v>
      </c>
      <c r="D40" s="1259">
        <v>0</v>
      </c>
      <c r="E40" s="1259">
        <v>0</v>
      </c>
      <c r="F40" s="1259">
        <f t="shared" si="25"/>
        <v>0</v>
      </c>
      <c r="G40" s="1258">
        <f t="shared" si="22"/>
        <v>0</v>
      </c>
      <c r="H40" s="1259">
        <f t="shared" si="26"/>
        <v>0</v>
      </c>
      <c r="I40" s="1259"/>
      <c r="J40" s="1259"/>
      <c r="K40" s="1259">
        <f t="shared" si="27"/>
        <v>0</v>
      </c>
      <c r="L40" s="1259"/>
      <c r="M40" s="1259"/>
      <c r="N40" s="1259">
        <f t="shared" si="28"/>
        <v>0</v>
      </c>
      <c r="O40" s="1259">
        <v>0</v>
      </c>
      <c r="P40" s="1259">
        <f>-'Table 5C1A-Madison Prep'!L40</f>
        <v>0</v>
      </c>
      <c r="Q40" s="1259">
        <f>-'Table 5C1B-DArbonne'!L40</f>
        <v>0</v>
      </c>
      <c r="R40" s="1259">
        <f>-'Table 5C1C-Intl_VIBE'!L40</f>
        <v>0</v>
      </c>
      <c r="S40" s="1259">
        <f>-'Table 5C1D-NOMMA'!L40</f>
        <v>0</v>
      </c>
      <c r="T40" s="1259">
        <f>-'Table 5C1E-LFNO'!L40</f>
        <v>0</v>
      </c>
      <c r="U40" s="1259">
        <f>-'Table 5C1F-Lake Charles Charter'!L40</f>
        <v>0</v>
      </c>
      <c r="V40" s="1259">
        <f>-'Table 5C1G-JS Clark Academy'!L40</f>
        <v>0</v>
      </c>
      <c r="W40" s="1259">
        <f>-'Table 5C1H-Southwest LA Charter'!L40</f>
        <v>0</v>
      </c>
      <c r="X40" s="1259">
        <f>-'Table 5C1I-LA Key Academy'!L40</f>
        <v>0</v>
      </c>
      <c r="Y40" s="1259">
        <f>-'Table 5C1J-Jefferson Chamber'!L40</f>
        <v>0</v>
      </c>
      <c r="Z40" s="1259">
        <f>-'Table 5C1K-Tallulah Charter'!L40</f>
        <v>0</v>
      </c>
      <c r="AA40" s="1259">
        <f>-'Table 5C1L-Northshore Charter'!L40</f>
        <v>0</v>
      </c>
      <c r="AB40" s="1259">
        <f>-'Table 5C1M-B.R. Charter'!L40</f>
        <v>0</v>
      </c>
      <c r="AC40" s="1259">
        <f>-'Table 5C1N-Delta Charter'!L40</f>
        <v>0</v>
      </c>
      <c r="AD40" s="1260">
        <f>-('Table 5C2 - LA Virtual Admy'!M39+'Table 5C2 - LA Virtual Admy'!I39)</f>
        <v>-166468.98442269364</v>
      </c>
      <c r="AE40" s="1260">
        <f>-('Table 5C3 - LA Connections EBR'!M39+'Table 5C3 - LA Connections EBR'!I39)</f>
        <v>-27744.830737115604</v>
      </c>
      <c r="AF40" s="1260">
        <f t="shared" si="32"/>
        <v>-194213.81515980925</v>
      </c>
      <c r="AG40" s="1260">
        <f>+'Table 4 Level 4'!E38</f>
        <v>0</v>
      </c>
      <c r="AH40" s="1260">
        <f>+'Table 4 Level 4'!N38</f>
        <v>45942</v>
      </c>
      <c r="AI40" s="1261">
        <f t="shared" si="33"/>
        <v>30391851</v>
      </c>
      <c r="AJ40" s="1258"/>
      <c r="AK40" s="1258">
        <f t="shared" si="29"/>
        <v>30391851</v>
      </c>
      <c r="AL40" s="1258">
        <f t="shared" si="30"/>
        <v>2532654</v>
      </c>
      <c r="AM40" s="1260">
        <f>+'Table 4 Level 4'!J38</f>
        <v>0</v>
      </c>
      <c r="AN40" s="1260">
        <f>+'Table 4 Level 4'!K38</f>
        <v>0</v>
      </c>
      <c r="AO40" s="1260">
        <f>+'Table 4 Level 4'!L38</f>
        <v>0</v>
      </c>
      <c r="AP40" s="1261">
        <f t="shared" si="31"/>
        <v>30391851</v>
      </c>
    </row>
    <row r="41" spans="1:42" ht="14.4" customHeight="1">
      <c r="A41" s="85">
        <v>35</v>
      </c>
      <c r="B41" s="207" t="s">
        <v>115</v>
      </c>
      <c r="C41" s="209">
        <f>'Table 3 Levels 1&amp;2'!AO38</f>
        <v>36546861.976148002</v>
      </c>
      <c r="D41" s="219">
        <v>0</v>
      </c>
      <c r="E41" s="219">
        <v>0</v>
      </c>
      <c r="F41" s="219">
        <f t="shared" si="25"/>
        <v>0</v>
      </c>
      <c r="G41" s="209">
        <f t="shared" si="22"/>
        <v>0</v>
      </c>
      <c r="H41" s="219">
        <f t="shared" si="26"/>
        <v>0</v>
      </c>
      <c r="I41" s="219"/>
      <c r="J41" s="219"/>
      <c r="K41" s="219">
        <f t="shared" si="27"/>
        <v>0</v>
      </c>
      <c r="L41" s="219"/>
      <c r="M41" s="219"/>
      <c r="N41" s="219">
        <f t="shared" si="28"/>
        <v>0</v>
      </c>
      <c r="O41" s="219">
        <v>0</v>
      </c>
      <c r="P41" s="219">
        <f>-'Table 5C1A-Madison Prep'!L41</f>
        <v>0</v>
      </c>
      <c r="Q41" s="219">
        <f>-'Table 5C1B-DArbonne'!L41</f>
        <v>0</v>
      </c>
      <c r="R41" s="219">
        <f>-'Table 5C1C-Intl_VIBE'!L41</f>
        <v>0</v>
      </c>
      <c r="S41" s="219">
        <f>-'Table 5C1D-NOMMA'!L41</f>
        <v>0</v>
      </c>
      <c r="T41" s="219">
        <f>-'Table 5C1E-LFNO'!L41</f>
        <v>0</v>
      </c>
      <c r="U41" s="219">
        <f>-'Table 5C1F-Lake Charles Charter'!L41</f>
        <v>0</v>
      </c>
      <c r="V41" s="219">
        <f>-'Table 5C1G-JS Clark Academy'!L41</f>
        <v>0</v>
      </c>
      <c r="W41" s="219">
        <f>-'Table 5C1H-Southwest LA Charter'!L41</f>
        <v>0</v>
      </c>
      <c r="X41" s="219">
        <f>-'Table 5C1I-LA Key Academy'!L41</f>
        <v>0</v>
      </c>
      <c r="Y41" s="219">
        <f>-'Table 5C1J-Jefferson Chamber'!L41</f>
        <v>0</v>
      </c>
      <c r="Z41" s="219">
        <f>-'Table 5C1K-Tallulah Charter'!L41</f>
        <v>0</v>
      </c>
      <c r="AA41" s="219">
        <f>-'Table 5C1L-Northshore Charter'!L41</f>
        <v>0</v>
      </c>
      <c r="AB41" s="219">
        <f>-'Table 5C1M-B.R. Charter'!L41</f>
        <v>0</v>
      </c>
      <c r="AC41" s="219">
        <f>-'Table 5C1N-Delta Charter'!L41</f>
        <v>-5704.2082060477605</v>
      </c>
      <c r="AD41" s="210">
        <f>-('Table 5C2 - LA Virtual Admy'!M40+'Table 5C2 - LA Virtual Admy'!I40)</f>
        <v>-96971.539502811938</v>
      </c>
      <c r="AE41" s="210">
        <f>-('Table 5C3 - LA Connections EBR'!M40+'Table 5C3 - LA Connections EBR'!I40)</f>
        <v>-108379.95591490745</v>
      </c>
      <c r="AF41" s="210">
        <f t="shared" si="32"/>
        <v>-211055.70362376713</v>
      </c>
      <c r="AG41" s="210">
        <f>+'Table 4 Level 4'!E39</f>
        <v>0</v>
      </c>
      <c r="AH41" s="210">
        <f>+'Table 4 Level 4'!N39</f>
        <v>69602</v>
      </c>
      <c r="AI41" s="322">
        <f t="shared" si="33"/>
        <v>36405408</v>
      </c>
      <c r="AJ41" s="209"/>
      <c r="AK41" s="209">
        <f t="shared" si="29"/>
        <v>36405408</v>
      </c>
      <c r="AL41" s="209">
        <f t="shared" si="30"/>
        <v>3033784</v>
      </c>
      <c r="AM41" s="210">
        <f>+'Table 4 Level 4'!J39</f>
        <v>0</v>
      </c>
      <c r="AN41" s="210">
        <f>+'Table 4 Level 4'!K39</f>
        <v>0</v>
      </c>
      <c r="AO41" s="210">
        <f>+'Table 4 Level 4'!L39</f>
        <v>0</v>
      </c>
      <c r="AP41" s="322">
        <f t="shared" si="31"/>
        <v>36405408</v>
      </c>
    </row>
    <row r="42" spans="1:42" ht="14.4" customHeight="1">
      <c r="A42" s="1250">
        <v>36</v>
      </c>
      <c r="B42" s="1251" t="s">
        <v>116</v>
      </c>
      <c r="C42" s="1252">
        <f>'Table 3 Levels 1&amp;2'!AO39</f>
        <v>182592723.00675231</v>
      </c>
      <c r="D42" s="1253">
        <v>2084.9932301650115</v>
      </c>
      <c r="E42" s="1253">
        <v>-15702.08956103383</v>
      </c>
      <c r="F42" s="1253">
        <f t="shared" si="25"/>
        <v>-13617.096330868819</v>
      </c>
      <c r="G42" s="1252">
        <f t="shared" si="22"/>
        <v>0</v>
      </c>
      <c r="H42" s="1253">
        <f t="shared" si="26"/>
        <v>-13617.096330868819</v>
      </c>
      <c r="I42" s="1253"/>
      <c r="J42" s="1253"/>
      <c r="K42" s="1253">
        <f t="shared" si="27"/>
        <v>0</v>
      </c>
      <c r="L42" s="1270"/>
      <c r="M42" s="1253"/>
      <c r="N42" s="1253">
        <f t="shared" si="28"/>
        <v>0</v>
      </c>
      <c r="O42" s="1253">
        <f>-'Table 5B1_RSD_Orleans'!L72</f>
        <v>-126490559.3146013</v>
      </c>
      <c r="P42" s="1253">
        <f>-'Table 5C1A-Madison Prep'!L42</f>
        <v>0</v>
      </c>
      <c r="Q42" s="1253">
        <f>-'Table 5C1B-DArbonne'!L42</f>
        <v>0</v>
      </c>
      <c r="R42" s="1253">
        <f>-'Table 5C1C-Intl_VIBE'!L42</f>
        <v>-1735145.0890715718</v>
      </c>
      <c r="S42" s="1253">
        <f>-'Table 5C1D-NOMMA'!L42</f>
        <v>-687100.06033410621</v>
      </c>
      <c r="T42" s="1253">
        <f>-'Table 5C1E-LFNO'!L42</f>
        <v>-978465.27579223993</v>
      </c>
      <c r="U42" s="1253">
        <f>-'Table 5C1F-Lake Charles Charter'!L42</f>
        <v>0</v>
      </c>
      <c r="V42" s="1253">
        <f>-'Table 5C1G-JS Clark Academy'!L42</f>
        <v>0</v>
      </c>
      <c r="W42" s="1253">
        <f>-'Table 5C1H-Southwest LA Charter'!L42</f>
        <v>0</v>
      </c>
      <c r="X42" s="1253">
        <f>-'Table 5C1I-LA Key Academy'!L42</f>
        <v>0</v>
      </c>
      <c r="Y42" s="1253">
        <f>-'Table 5C1J-Jefferson Chamber'!L42</f>
        <v>-8697.4691181532435</v>
      </c>
      <c r="Z42" s="1253">
        <f>-'Table 5C1K-Tallulah Charter'!L42</f>
        <v>0</v>
      </c>
      <c r="AA42" s="1253">
        <f>-'Table 5C1L-Northshore Charter'!L42</f>
        <v>0</v>
      </c>
      <c r="AB42" s="1253">
        <f>-'Table 5C1M-B.R. Charter'!L42</f>
        <v>0</v>
      </c>
      <c r="AC42" s="1253">
        <f>-'Table 5C1N-Delta Charter'!L42</f>
        <v>0</v>
      </c>
      <c r="AD42" s="1254">
        <f>-('Table 5C2 - LA Virtual Admy'!M41+'Table 5C2 - LA Virtual Admy'!I41)</f>
        <v>-281445.63036670256</v>
      </c>
      <c r="AE42" s="1254">
        <f>-('Table 5C3 - LA Connections EBR'!M41+'Table 5C3 - LA Connections EBR'!I41)</f>
        <v>-134227.91602104274</v>
      </c>
      <c r="AF42" s="1254">
        <f t="shared" si="32"/>
        <v>-130315640.75530511</v>
      </c>
      <c r="AG42" s="1254">
        <f>+'Table 4 Level 4'!E40</f>
        <v>567000</v>
      </c>
      <c r="AH42" s="1254">
        <f>+'Table 4 Level 4'!N40</f>
        <v>170456</v>
      </c>
      <c r="AI42" s="1255">
        <f t="shared" si="33"/>
        <v>53000921</v>
      </c>
      <c r="AJ42" s="1252"/>
      <c r="AK42" s="1252">
        <f t="shared" si="29"/>
        <v>53000921</v>
      </c>
      <c r="AL42" s="1252">
        <f t="shared" si="30"/>
        <v>4416743</v>
      </c>
      <c r="AM42" s="1254">
        <f>+'Table 4 Level 4'!J40</f>
        <v>0</v>
      </c>
      <c r="AN42" s="1254">
        <f>+'Table 4 Level 4'!K40</f>
        <v>0</v>
      </c>
      <c r="AO42" s="1254">
        <f>+'Table 4 Level 4'!L40</f>
        <v>0</v>
      </c>
      <c r="AP42" s="1255">
        <f t="shared" si="31"/>
        <v>53000921</v>
      </c>
    </row>
    <row r="43" spans="1:42" ht="14.4" customHeight="1">
      <c r="A43" s="1256">
        <v>37</v>
      </c>
      <c r="B43" s="1257" t="s">
        <v>117</v>
      </c>
      <c r="C43" s="1258">
        <f>'Table 3 Levels 1&amp;2'!AO40</f>
        <v>123081363.69124679</v>
      </c>
      <c r="D43" s="1259">
        <v>-49165.394585659138</v>
      </c>
      <c r="E43" s="1259">
        <v>-73674.224093217548</v>
      </c>
      <c r="F43" s="1259">
        <f t="shared" si="25"/>
        <v>-122839.61867887669</v>
      </c>
      <c r="G43" s="1258">
        <f t="shared" si="22"/>
        <v>0</v>
      </c>
      <c r="H43" s="1259">
        <f t="shared" si="26"/>
        <v>-122839.61867887669</v>
      </c>
      <c r="I43" s="1259"/>
      <c r="J43" s="1259"/>
      <c r="K43" s="1259">
        <f t="shared" si="27"/>
        <v>0</v>
      </c>
      <c r="L43" s="1259"/>
      <c r="M43" s="1259"/>
      <c r="N43" s="1259">
        <f t="shared" si="28"/>
        <v>0</v>
      </c>
      <c r="O43" s="1259">
        <v>0</v>
      </c>
      <c r="P43" s="1259">
        <f>-'Table 5C1A-Madison Prep'!L43</f>
        <v>0</v>
      </c>
      <c r="Q43" s="1259">
        <f>-'Table 5C1B-DArbonne'!L43</f>
        <v>-18956.981778095309</v>
      </c>
      <c r="R43" s="1259">
        <f>-'Table 5C1C-Intl_VIBE'!L43</f>
        <v>0</v>
      </c>
      <c r="S43" s="1259">
        <f>-'Table 5C1D-NOMMA'!L43</f>
        <v>0</v>
      </c>
      <c r="T43" s="1259">
        <f>-'Table 5C1E-LFNO'!L43</f>
        <v>0</v>
      </c>
      <c r="U43" s="1259">
        <f>-'Table 5C1F-Lake Charles Charter'!L43</f>
        <v>0</v>
      </c>
      <c r="V43" s="1259">
        <f>-'Table 5C1G-JS Clark Academy'!L43</f>
        <v>0</v>
      </c>
      <c r="W43" s="1259">
        <f>-'Table 5C1H-Southwest LA Charter'!L43</f>
        <v>0</v>
      </c>
      <c r="X43" s="1259">
        <f>-'Table 5C1I-LA Key Academy'!L43</f>
        <v>0</v>
      </c>
      <c r="Y43" s="1259">
        <f>-'Table 5C1J-Jefferson Chamber'!L43</f>
        <v>0</v>
      </c>
      <c r="Z43" s="1259">
        <f>-'Table 5C1K-Tallulah Charter'!L43</f>
        <v>0</v>
      </c>
      <c r="AA43" s="1259">
        <f>-'Table 5C1L-Northshore Charter'!L43</f>
        <v>0</v>
      </c>
      <c r="AB43" s="1259">
        <f>-'Table 5C1M-B.R. Charter'!L43</f>
        <v>0</v>
      </c>
      <c r="AC43" s="1259">
        <f>-'Table 5C1N-Delta Charter'!L43</f>
        <v>-12637.987852063538</v>
      </c>
      <c r="AD43" s="1260">
        <f>-('Table 5C2 - LA Virtual Admy'!M42+'Table 5C2 - LA Virtual Admy'!I42)</f>
        <v>-341225.67200571555</v>
      </c>
      <c r="AE43" s="1260">
        <f>-('Table 5C3 - LA Connections EBR'!M42+'Table 5C3 - LA Connections EBR'!I42)</f>
        <v>-189569.81778095308</v>
      </c>
      <c r="AF43" s="1260">
        <f t="shared" si="32"/>
        <v>-562390.45941682742</v>
      </c>
      <c r="AG43" s="1260">
        <f>+'Table 4 Level 4'!E41</f>
        <v>21000</v>
      </c>
      <c r="AH43" s="1260">
        <f>+'Table 4 Level 4'!N41</f>
        <v>220922</v>
      </c>
      <c r="AI43" s="1261">
        <f t="shared" si="33"/>
        <v>122638056</v>
      </c>
      <c r="AJ43" s="1258"/>
      <c r="AK43" s="1258">
        <f t="shared" si="29"/>
        <v>122638056</v>
      </c>
      <c r="AL43" s="1258">
        <f t="shared" si="30"/>
        <v>10219838</v>
      </c>
      <c r="AM43" s="1260">
        <f>+'Table 4 Level 4'!J41</f>
        <v>0</v>
      </c>
      <c r="AN43" s="1260">
        <f>+'Table 4 Level 4'!K41</f>
        <v>0</v>
      </c>
      <c r="AO43" s="1260">
        <f>+'Table 4 Level 4'!L41</f>
        <v>0</v>
      </c>
      <c r="AP43" s="1261">
        <f t="shared" si="31"/>
        <v>122638056</v>
      </c>
    </row>
    <row r="44" spans="1:42" ht="14.4" customHeight="1">
      <c r="A44" s="1256">
        <v>38</v>
      </c>
      <c r="B44" s="1257" t="s">
        <v>118</v>
      </c>
      <c r="C44" s="1258">
        <f>'Table 3 Levels 1&amp;2'!AO41</f>
        <v>11307128.08</v>
      </c>
      <c r="D44" s="1259">
        <v>4690.2630806065463</v>
      </c>
      <c r="E44" s="1259">
        <v>-29293.318479970716</v>
      </c>
      <c r="F44" s="1259">
        <f t="shared" si="25"/>
        <v>-24603.05539936417</v>
      </c>
      <c r="G44" s="1258">
        <f t="shared" si="22"/>
        <v>0</v>
      </c>
      <c r="H44" s="1259">
        <f t="shared" si="26"/>
        <v>-24603.05539936417</v>
      </c>
      <c r="I44" s="1259"/>
      <c r="J44" s="1259"/>
      <c r="K44" s="1259">
        <f t="shared" si="27"/>
        <v>0</v>
      </c>
      <c r="L44" s="1259"/>
      <c r="M44" s="1259"/>
      <c r="N44" s="1259">
        <f t="shared" si="28"/>
        <v>0</v>
      </c>
      <c r="O44" s="1259">
        <v>0</v>
      </c>
      <c r="P44" s="1259">
        <f>-'Table 5C1A-Madison Prep'!L44</f>
        <v>0</v>
      </c>
      <c r="Q44" s="1259">
        <f>-'Table 5C1B-DArbonne'!L44</f>
        <v>0</v>
      </c>
      <c r="R44" s="1259">
        <f>-'Table 5C1C-Intl_VIBE'!L44</f>
        <v>0</v>
      </c>
      <c r="S44" s="1259">
        <f>-'Table 5C1D-NOMMA'!L44</f>
        <v>-20431.052287041817</v>
      </c>
      <c r="T44" s="1259">
        <f>-'Table 5C1E-LFNO'!L44</f>
        <v>-11674.887021166753</v>
      </c>
      <c r="U44" s="1259">
        <f>-'Table 5C1F-Lake Charles Charter'!L44</f>
        <v>0</v>
      </c>
      <c r="V44" s="1259">
        <f>-'Table 5C1G-JS Clark Academy'!L44</f>
        <v>0</v>
      </c>
      <c r="W44" s="1259">
        <f>-'Table 5C1H-Southwest LA Charter'!L44</f>
        <v>0</v>
      </c>
      <c r="X44" s="1259">
        <f>-'Table 5C1I-LA Key Academy'!L44</f>
        <v>0</v>
      </c>
      <c r="Y44" s="1259">
        <f>-'Table 5C1J-Jefferson Chamber'!L44</f>
        <v>0</v>
      </c>
      <c r="Z44" s="1259">
        <f>-'Table 5C1K-Tallulah Charter'!L44</f>
        <v>0</v>
      </c>
      <c r="AA44" s="1259">
        <f>-'Table 5C1L-Northshore Charter'!L44</f>
        <v>0</v>
      </c>
      <c r="AB44" s="1259">
        <f>-'Table 5C1M-B.R. Charter'!L44</f>
        <v>0</v>
      </c>
      <c r="AC44" s="1259">
        <f>-'Table 5C1N-Delta Charter'!L44</f>
        <v>0</v>
      </c>
      <c r="AD44" s="1260">
        <f>-('Table 5C2 - LA Virtual Admy'!M43+'Table 5C2 - LA Virtual Admy'!I43)</f>
        <v>-17512.330531750129</v>
      </c>
      <c r="AE44" s="1260">
        <f>-('Table 5C3 - LA Connections EBR'!M43+'Table 5C3 - LA Connections EBR'!I43)</f>
        <v>-17512.330531750129</v>
      </c>
      <c r="AF44" s="1260">
        <f t="shared" si="32"/>
        <v>-67130.600371708832</v>
      </c>
      <c r="AG44" s="1260">
        <f>+'Table 4 Level 4'!E42</f>
        <v>63000</v>
      </c>
      <c r="AH44" s="1260">
        <f>+'Table 4 Level 4'!N42</f>
        <v>44304</v>
      </c>
      <c r="AI44" s="1261">
        <f t="shared" si="33"/>
        <v>11322698</v>
      </c>
      <c r="AJ44" s="1258"/>
      <c r="AK44" s="1258">
        <f t="shared" si="29"/>
        <v>11322698</v>
      </c>
      <c r="AL44" s="1258">
        <f t="shared" si="30"/>
        <v>943558</v>
      </c>
      <c r="AM44" s="1260">
        <f>+'Table 4 Level 4'!J42</f>
        <v>0</v>
      </c>
      <c r="AN44" s="1260">
        <f>+'Table 4 Level 4'!K42</f>
        <v>0</v>
      </c>
      <c r="AO44" s="1260">
        <f>+'Table 4 Level 4'!L42</f>
        <v>0</v>
      </c>
      <c r="AP44" s="1261">
        <f t="shared" si="31"/>
        <v>11322698</v>
      </c>
    </row>
    <row r="45" spans="1:42" ht="14.4" customHeight="1">
      <c r="A45" s="1256">
        <v>39</v>
      </c>
      <c r="B45" s="1257" t="s">
        <v>119</v>
      </c>
      <c r="C45" s="1258">
        <f>'Table 3 Levels 1&amp;2'!AO42</f>
        <v>12409062.267566456</v>
      </c>
      <c r="D45" s="1259">
        <v>0</v>
      </c>
      <c r="E45" s="1259">
        <v>0</v>
      </c>
      <c r="F45" s="1259">
        <f t="shared" si="25"/>
        <v>0</v>
      </c>
      <c r="G45" s="1258">
        <f t="shared" si="22"/>
        <v>0</v>
      </c>
      <c r="H45" s="1259">
        <f t="shared" si="26"/>
        <v>0</v>
      </c>
      <c r="I45" s="1259"/>
      <c r="J45" s="1259"/>
      <c r="K45" s="1259">
        <f t="shared" si="27"/>
        <v>0</v>
      </c>
      <c r="L45" s="1259"/>
      <c r="M45" s="1259"/>
      <c r="N45" s="1259">
        <f t="shared" si="28"/>
        <v>0</v>
      </c>
      <c r="O45" s="1259">
        <v>0</v>
      </c>
      <c r="P45" s="1259">
        <f>-'Table 5C1A-Madison Prep'!L45</f>
        <v>0</v>
      </c>
      <c r="Q45" s="1259">
        <f>-'Table 5C1B-DArbonne'!L45</f>
        <v>0</v>
      </c>
      <c r="R45" s="1259">
        <f>-'Table 5C1C-Intl_VIBE'!L45</f>
        <v>0</v>
      </c>
      <c r="S45" s="1259">
        <f>-'Table 5C1D-NOMMA'!L45</f>
        <v>0</v>
      </c>
      <c r="T45" s="1259">
        <f>-'Table 5C1E-LFNO'!L45</f>
        <v>0</v>
      </c>
      <c r="U45" s="1259">
        <f>-'Table 5C1F-Lake Charles Charter'!L45</f>
        <v>0</v>
      </c>
      <c r="V45" s="1259">
        <f>-'Table 5C1G-JS Clark Academy'!L45</f>
        <v>0</v>
      </c>
      <c r="W45" s="1259">
        <f>-'Table 5C1H-Southwest LA Charter'!L45</f>
        <v>0</v>
      </c>
      <c r="X45" s="1259">
        <f>-'Table 5C1I-LA Key Academy'!L45</f>
        <v>-4436.561411357332</v>
      </c>
      <c r="Y45" s="1259">
        <f>-'Table 5C1J-Jefferson Chamber'!L45</f>
        <v>0</v>
      </c>
      <c r="Z45" s="1259">
        <f>-'Table 5C1K-Tallulah Charter'!L45</f>
        <v>0</v>
      </c>
      <c r="AA45" s="1259">
        <f>-'Table 5C1L-Northshore Charter'!L45</f>
        <v>0</v>
      </c>
      <c r="AB45" s="1259">
        <f>-'Table 5C1M-B.R. Charter'!L45</f>
        <v>0</v>
      </c>
      <c r="AC45" s="1259">
        <f>-'Table 5C1N-Delta Charter'!L45</f>
        <v>0</v>
      </c>
      <c r="AD45" s="1260">
        <f>-('Table 5C2 - LA Virtual Admy'!M44+'Table 5C2 - LA Virtual Admy'!I44)</f>
        <v>-22182.80705678666</v>
      </c>
      <c r="AE45" s="1260">
        <f>-('Table 5C3 - LA Connections EBR'!M44+'Table 5C3 - LA Connections EBR'!I44)</f>
        <v>-39929.05270221598</v>
      </c>
      <c r="AF45" s="1260">
        <f t="shared" si="32"/>
        <v>-66548.421170359972</v>
      </c>
      <c r="AG45" s="1260">
        <f>+'Table 4 Level 4'!E43</f>
        <v>21000</v>
      </c>
      <c r="AH45" s="1260">
        <f>+'Table 4 Level 4'!N43</f>
        <v>26208</v>
      </c>
      <c r="AI45" s="1261">
        <f t="shared" si="33"/>
        <v>12389722</v>
      </c>
      <c r="AJ45" s="1258"/>
      <c r="AK45" s="1258">
        <f t="shared" si="29"/>
        <v>12389722</v>
      </c>
      <c r="AL45" s="1258">
        <f t="shared" si="30"/>
        <v>1032477</v>
      </c>
      <c r="AM45" s="1260">
        <f>+'Table 4 Level 4'!J43</f>
        <v>0</v>
      </c>
      <c r="AN45" s="1260">
        <f>+'Table 4 Level 4'!K43</f>
        <v>0</v>
      </c>
      <c r="AO45" s="1260">
        <f>+'Table 4 Level 4'!L43</f>
        <v>0</v>
      </c>
      <c r="AP45" s="1261">
        <f t="shared" si="31"/>
        <v>12389722</v>
      </c>
    </row>
    <row r="46" spans="1:42" ht="14.4" customHeight="1">
      <c r="A46" s="85">
        <v>40</v>
      </c>
      <c r="B46" s="207" t="s">
        <v>120</v>
      </c>
      <c r="C46" s="209">
        <f>'Table 3 Levels 1&amp;2'!AO43</f>
        <v>134047593.60179201</v>
      </c>
      <c r="D46" s="219">
        <v>-109152.78624102159</v>
      </c>
      <c r="E46" s="219">
        <v>-19948.912029839848</v>
      </c>
      <c r="F46" s="219">
        <f t="shared" si="25"/>
        <v>-129101.69827086144</v>
      </c>
      <c r="G46" s="209">
        <f t="shared" si="22"/>
        <v>0</v>
      </c>
      <c r="H46" s="219">
        <f t="shared" si="26"/>
        <v>-129101.69827086144</v>
      </c>
      <c r="I46" s="219"/>
      <c r="J46" s="219"/>
      <c r="K46" s="219">
        <f t="shared" si="27"/>
        <v>0</v>
      </c>
      <c r="L46" s="219"/>
      <c r="M46" s="219"/>
      <c r="N46" s="219">
        <f t="shared" si="28"/>
        <v>0</v>
      </c>
      <c r="O46" s="219">
        <v>0</v>
      </c>
      <c r="P46" s="219">
        <f>-'Table 5C1A-Madison Prep'!L46</f>
        <v>0</v>
      </c>
      <c r="Q46" s="219">
        <f>-'Table 5C1B-DArbonne'!L46</f>
        <v>0</v>
      </c>
      <c r="R46" s="219">
        <f>-'Table 5C1C-Intl_VIBE'!L46</f>
        <v>0</v>
      </c>
      <c r="S46" s="219">
        <f>-'Table 5C1D-NOMMA'!L46</f>
        <v>0</v>
      </c>
      <c r="T46" s="219">
        <f>-'Table 5C1E-LFNO'!L46</f>
        <v>0</v>
      </c>
      <c r="U46" s="219">
        <f>-'Table 5C1F-Lake Charles Charter'!L46</f>
        <v>0</v>
      </c>
      <c r="V46" s="219">
        <f>-'Table 5C1G-JS Clark Academy'!L46</f>
        <v>0</v>
      </c>
      <c r="W46" s="219">
        <f>-'Table 5C1H-Southwest LA Charter'!L46</f>
        <v>0</v>
      </c>
      <c r="X46" s="219">
        <f>-'Table 5C1I-LA Key Academy'!L46</f>
        <v>0</v>
      </c>
      <c r="Y46" s="219">
        <f>-'Table 5C1J-Jefferson Chamber'!L46</f>
        <v>0</v>
      </c>
      <c r="Z46" s="219">
        <f>-'Table 5C1K-Tallulah Charter'!L46</f>
        <v>0</v>
      </c>
      <c r="AA46" s="219">
        <f>-'Table 5C1L-Northshore Charter'!L46</f>
        <v>0</v>
      </c>
      <c r="AB46" s="219">
        <f>-'Table 5C1M-B.R. Charter'!L46</f>
        <v>0</v>
      </c>
      <c r="AC46" s="219">
        <f>-'Table 5C1N-Delta Charter'!L46</f>
        <v>0</v>
      </c>
      <c r="AD46" s="210">
        <f>-('Table 5C2 - LA Virtual Admy'!M45+'Table 5C2 - LA Virtual Admy'!I45)</f>
        <v>-343502.78068562056</v>
      </c>
      <c r="AE46" s="210">
        <f>-('Table 5C3 - LA Connections EBR'!M45+'Table 5C3 - LA Connections EBR'!I45)</f>
        <v>-203772.83599994442</v>
      </c>
      <c r="AF46" s="210">
        <f t="shared" si="32"/>
        <v>-547275.61668556498</v>
      </c>
      <c r="AG46" s="210">
        <f>+'Table 4 Level 4'!E44</f>
        <v>0</v>
      </c>
      <c r="AH46" s="210">
        <f>+'Table 4 Level 4'!N44</f>
        <v>261014</v>
      </c>
      <c r="AI46" s="322">
        <f t="shared" si="33"/>
        <v>133632230</v>
      </c>
      <c r="AJ46" s="209"/>
      <c r="AK46" s="209">
        <f t="shared" si="29"/>
        <v>133632230</v>
      </c>
      <c r="AL46" s="209">
        <f t="shared" si="30"/>
        <v>11136019</v>
      </c>
      <c r="AM46" s="210">
        <f>+'Table 4 Level 4'!J44</f>
        <v>0</v>
      </c>
      <c r="AN46" s="210">
        <f>+'Table 4 Level 4'!K44</f>
        <v>0</v>
      </c>
      <c r="AO46" s="210">
        <f>+'Table 4 Level 4'!L44</f>
        <v>0</v>
      </c>
      <c r="AP46" s="322">
        <f t="shared" si="31"/>
        <v>133632230</v>
      </c>
    </row>
    <row r="47" spans="1:42" ht="14.4" customHeight="1">
      <c r="A47" s="1250">
        <v>41</v>
      </c>
      <c r="B47" s="1251" t="s">
        <v>121</v>
      </c>
      <c r="C47" s="1252">
        <f>'Table 3 Levels 1&amp;2'!AO44</f>
        <v>6061428.9581913603</v>
      </c>
      <c r="D47" s="1253">
        <v>0</v>
      </c>
      <c r="E47" s="1253">
        <v>0</v>
      </c>
      <c r="F47" s="1253">
        <f t="shared" si="25"/>
        <v>0</v>
      </c>
      <c r="G47" s="1252">
        <f t="shared" si="22"/>
        <v>0</v>
      </c>
      <c r="H47" s="1253">
        <f t="shared" si="26"/>
        <v>0</v>
      </c>
      <c r="I47" s="1253"/>
      <c r="J47" s="1253"/>
      <c r="K47" s="1253">
        <f t="shared" si="27"/>
        <v>0</v>
      </c>
      <c r="L47" s="1253"/>
      <c r="M47" s="1253"/>
      <c r="N47" s="1253">
        <f t="shared" si="28"/>
        <v>0</v>
      </c>
      <c r="O47" s="1253">
        <v>0</v>
      </c>
      <c r="P47" s="1253">
        <f>-'Table 5C1A-Madison Prep'!L47</f>
        <v>0</v>
      </c>
      <c r="Q47" s="1253">
        <f>-'Table 5C1B-DArbonne'!L47</f>
        <v>0</v>
      </c>
      <c r="R47" s="1253">
        <f>-'Table 5C1C-Intl_VIBE'!L47</f>
        <v>0</v>
      </c>
      <c r="S47" s="1253">
        <f>-'Table 5C1D-NOMMA'!L47</f>
        <v>0</v>
      </c>
      <c r="T47" s="1253">
        <f>-'Table 5C1E-LFNO'!L47</f>
        <v>0</v>
      </c>
      <c r="U47" s="1253">
        <f>-'Table 5C1F-Lake Charles Charter'!L47</f>
        <v>0</v>
      </c>
      <c r="V47" s="1253">
        <f>-'Table 5C1G-JS Clark Academy'!L47</f>
        <v>0</v>
      </c>
      <c r="W47" s="1253">
        <f>-'Table 5C1H-Southwest LA Charter'!L47</f>
        <v>0</v>
      </c>
      <c r="X47" s="1253">
        <f>-'Table 5C1I-LA Key Academy'!L47</f>
        <v>0</v>
      </c>
      <c r="Y47" s="1253">
        <f>-'Table 5C1J-Jefferson Chamber'!L47</f>
        <v>0</v>
      </c>
      <c r="Z47" s="1253">
        <f>-'Table 5C1K-Tallulah Charter'!L47</f>
        <v>0</v>
      </c>
      <c r="AA47" s="1253">
        <f>-'Table 5C1L-Northshore Charter'!L47</f>
        <v>0</v>
      </c>
      <c r="AB47" s="1253">
        <f>-'Table 5C1M-B.R. Charter'!L47</f>
        <v>0</v>
      </c>
      <c r="AC47" s="1253">
        <f>-'Table 5C1N-Delta Charter'!L47</f>
        <v>0</v>
      </c>
      <c r="AD47" s="1254">
        <f>-('Table 5C2 - LA Virtual Admy'!M46+'Table 5C2 - LA Virtual Admy'!I46)</f>
        <v>0</v>
      </c>
      <c r="AE47" s="1254">
        <f>-('Table 5C3 - LA Connections EBR'!M46+'Table 5C3 - LA Connections EBR'!I46)</f>
        <v>0</v>
      </c>
      <c r="AF47" s="1254">
        <f t="shared" si="32"/>
        <v>0</v>
      </c>
      <c r="AG47" s="1254">
        <f>+'Table 4 Level 4'!E45</f>
        <v>0</v>
      </c>
      <c r="AH47" s="1254">
        <f>+'Table 4 Level 4'!N45</f>
        <v>16172</v>
      </c>
      <c r="AI47" s="1255">
        <f t="shared" si="33"/>
        <v>6077601</v>
      </c>
      <c r="AJ47" s="1252"/>
      <c r="AK47" s="1252">
        <f t="shared" si="29"/>
        <v>6077601</v>
      </c>
      <c r="AL47" s="1252">
        <f t="shared" si="30"/>
        <v>506467</v>
      </c>
      <c r="AM47" s="1254">
        <f>+'Table 4 Level 4'!J45</f>
        <v>0</v>
      </c>
      <c r="AN47" s="1254">
        <f>+'Table 4 Level 4'!K45</f>
        <v>0</v>
      </c>
      <c r="AO47" s="1254">
        <f>+'Table 4 Level 4'!L45</f>
        <v>0</v>
      </c>
      <c r="AP47" s="1255">
        <f t="shared" si="31"/>
        <v>6077601</v>
      </c>
    </row>
    <row r="48" spans="1:42" ht="14.4" customHeight="1">
      <c r="A48" s="1256">
        <v>42</v>
      </c>
      <c r="B48" s="1257" t="s">
        <v>122</v>
      </c>
      <c r="C48" s="1258">
        <f>'Table 3 Levels 1&amp;2'!AO45</f>
        <v>18321747.942543998</v>
      </c>
      <c r="D48" s="1259">
        <v>0</v>
      </c>
      <c r="E48" s="1259">
        <v>0</v>
      </c>
      <c r="F48" s="1259">
        <f t="shared" si="25"/>
        <v>0</v>
      </c>
      <c r="G48" s="1258">
        <f t="shared" si="22"/>
        <v>0</v>
      </c>
      <c r="H48" s="1259">
        <f t="shared" si="26"/>
        <v>0</v>
      </c>
      <c r="I48" s="1259"/>
      <c r="J48" s="1259"/>
      <c r="K48" s="1259">
        <f t="shared" si="27"/>
        <v>0</v>
      </c>
      <c r="L48" s="1259"/>
      <c r="M48" s="1259"/>
      <c r="N48" s="1259">
        <f t="shared" si="28"/>
        <v>0</v>
      </c>
      <c r="O48" s="1259">
        <v>0</v>
      </c>
      <c r="P48" s="1259">
        <f>-'Table 5C1A-Madison Prep'!L48</f>
        <v>0</v>
      </c>
      <c r="Q48" s="1259">
        <f>-'Table 5C1B-DArbonne'!L48</f>
        <v>0</v>
      </c>
      <c r="R48" s="1259">
        <f>-'Table 5C1C-Intl_VIBE'!L48</f>
        <v>0</v>
      </c>
      <c r="S48" s="1259">
        <f>-'Table 5C1D-NOMMA'!L48</f>
        <v>0</v>
      </c>
      <c r="T48" s="1259">
        <f>-'Table 5C1E-LFNO'!L48</f>
        <v>0</v>
      </c>
      <c r="U48" s="1259">
        <f>-'Table 5C1F-Lake Charles Charter'!L48</f>
        <v>0</v>
      </c>
      <c r="V48" s="1259">
        <f>-'Table 5C1G-JS Clark Academy'!L48</f>
        <v>0</v>
      </c>
      <c r="W48" s="1259">
        <f>-'Table 5C1H-Southwest LA Charter'!L48</f>
        <v>0</v>
      </c>
      <c r="X48" s="1259">
        <f>-'Table 5C1I-LA Key Academy'!L48</f>
        <v>0</v>
      </c>
      <c r="Y48" s="1259">
        <f>-'Table 5C1J-Jefferson Chamber'!L48</f>
        <v>0</v>
      </c>
      <c r="Z48" s="1259">
        <f>-'Table 5C1K-Tallulah Charter'!L48</f>
        <v>0</v>
      </c>
      <c r="AA48" s="1259">
        <f>-'Table 5C1L-Northshore Charter'!L48</f>
        <v>0</v>
      </c>
      <c r="AB48" s="1259">
        <f>-'Table 5C1M-B.R. Charter'!L48</f>
        <v>0</v>
      </c>
      <c r="AC48" s="1259">
        <f>-'Table 5C1N-Delta Charter'!L48</f>
        <v>0</v>
      </c>
      <c r="AD48" s="1260">
        <f>-('Table 5C2 - LA Virtual Admy'!M47+'Table 5C2 - LA Virtual Admy'!I47)</f>
        <v>-28239.43887568434</v>
      </c>
      <c r="AE48" s="1260">
        <f>-('Table 5C3 - LA Connections EBR'!M47+'Table 5C3 - LA Connections EBR'!I47)</f>
        <v>-28239.43887568434</v>
      </c>
      <c r="AF48" s="1260">
        <f t="shared" si="32"/>
        <v>-56478.87775136868</v>
      </c>
      <c r="AG48" s="1260">
        <f>+'Table 4 Level 4'!E46</f>
        <v>0</v>
      </c>
      <c r="AH48" s="1260">
        <f>+'Table 4 Level 4'!N46</f>
        <v>37128</v>
      </c>
      <c r="AI48" s="1261">
        <f t="shared" si="33"/>
        <v>18302397</v>
      </c>
      <c r="AJ48" s="1258"/>
      <c r="AK48" s="1258">
        <f t="shared" si="29"/>
        <v>18302397</v>
      </c>
      <c r="AL48" s="1258">
        <f t="shared" si="30"/>
        <v>1525200</v>
      </c>
      <c r="AM48" s="1260">
        <f>+'Table 4 Level 4'!J46</f>
        <v>0</v>
      </c>
      <c r="AN48" s="1260">
        <f>+'Table 4 Level 4'!K46</f>
        <v>0</v>
      </c>
      <c r="AO48" s="1260">
        <f>+'Table 4 Level 4'!L46</f>
        <v>0</v>
      </c>
      <c r="AP48" s="1261">
        <f t="shared" si="31"/>
        <v>18302397</v>
      </c>
    </row>
    <row r="49" spans="1:42" ht="14.4" customHeight="1">
      <c r="A49" s="1256">
        <v>43</v>
      </c>
      <c r="B49" s="1257" t="s">
        <v>123</v>
      </c>
      <c r="C49" s="1258">
        <f>'Table 3 Levels 1&amp;2'!AO46</f>
        <v>26159747.768036481</v>
      </c>
      <c r="D49" s="1259">
        <v>0</v>
      </c>
      <c r="E49" s="1259">
        <v>-14434.9395407259</v>
      </c>
      <c r="F49" s="1259">
        <f t="shared" si="25"/>
        <v>-14434.9395407259</v>
      </c>
      <c r="G49" s="1258">
        <f t="shared" si="22"/>
        <v>0</v>
      </c>
      <c r="H49" s="1259">
        <f t="shared" si="26"/>
        <v>-14434.9395407259</v>
      </c>
      <c r="I49" s="1259"/>
      <c r="J49" s="1259"/>
      <c r="K49" s="1259">
        <f t="shared" si="27"/>
        <v>0</v>
      </c>
      <c r="L49" s="1259"/>
      <c r="M49" s="1259"/>
      <c r="N49" s="1259">
        <f t="shared" si="28"/>
        <v>0</v>
      </c>
      <c r="O49" s="1259">
        <v>0</v>
      </c>
      <c r="P49" s="1259">
        <f>-'Table 5C1A-Madison Prep'!L49</f>
        <v>0</v>
      </c>
      <c r="Q49" s="1259">
        <f>-'Table 5C1B-DArbonne'!L49</f>
        <v>0</v>
      </c>
      <c r="R49" s="1259">
        <f>-'Table 5C1C-Intl_VIBE'!L49</f>
        <v>0</v>
      </c>
      <c r="S49" s="1259">
        <f>-'Table 5C1D-NOMMA'!L49</f>
        <v>0</v>
      </c>
      <c r="T49" s="1259">
        <f>-'Table 5C1E-LFNO'!L49</f>
        <v>0</v>
      </c>
      <c r="U49" s="1259">
        <f>-'Table 5C1F-Lake Charles Charter'!L49</f>
        <v>0</v>
      </c>
      <c r="V49" s="1259">
        <f>-'Table 5C1G-JS Clark Academy'!L49</f>
        <v>0</v>
      </c>
      <c r="W49" s="1259">
        <f>-'Table 5C1H-Southwest LA Charter'!L49</f>
        <v>0</v>
      </c>
      <c r="X49" s="1259">
        <f>-'Table 5C1I-LA Key Academy'!L49</f>
        <v>0</v>
      </c>
      <c r="Y49" s="1259">
        <f>-'Table 5C1J-Jefferson Chamber'!L49</f>
        <v>0</v>
      </c>
      <c r="Z49" s="1259">
        <f>-'Table 5C1K-Tallulah Charter'!L49</f>
        <v>0</v>
      </c>
      <c r="AA49" s="1259">
        <f>-'Table 5C1L-Northshore Charter'!L49</f>
        <v>0</v>
      </c>
      <c r="AB49" s="1259">
        <f>-'Table 5C1M-B.R. Charter'!L49</f>
        <v>0</v>
      </c>
      <c r="AC49" s="1259">
        <f>-'Table 5C1N-Delta Charter'!L49</f>
        <v>0</v>
      </c>
      <c r="AD49" s="1260">
        <f>-('Table 5C2 - LA Virtual Admy'!M48+'Table 5C2 - LA Virtual Admy'!I48)</f>
        <v>-63633.538720594697</v>
      </c>
      <c r="AE49" s="1260">
        <f>-('Table 5C3 - LA Connections EBR'!M48+'Table 5C3 - LA Connections EBR'!I48)</f>
        <v>-38180.123232356818</v>
      </c>
      <c r="AF49" s="1260">
        <f t="shared" si="32"/>
        <v>-101813.66195295152</v>
      </c>
      <c r="AG49" s="1260">
        <f>+'Table 4 Level 4'!E47</f>
        <v>0</v>
      </c>
      <c r="AH49" s="1260">
        <f>+'Table 4 Level 4'!N47</f>
        <v>44590</v>
      </c>
      <c r="AI49" s="1261">
        <f t="shared" si="33"/>
        <v>26088089</v>
      </c>
      <c r="AJ49" s="1258"/>
      <c r="AK49" s="1258">
        <f t="shared" si="29"/>
        <v>26088089</v>
      </c>
      <c r="AL49" s="1258">
        <f t="shared" si="30"/>
        <v>2174007</v>
      </c>
      <c r="AM49" s="1260">
        <f>+'Table 4 Level 4'!J47</f>
        <v>0</v>
      </c>
      <c r="AN49" s="1260">
        <f>+'Table 4 Level 4'!K47</f>
        <v>0</v>
      </c>
      <c r="AO49" s="1260">
        <f>+'Table 4 Level 4'!L47</f>
        <v>0</v>
      </c>
      <c r="AP49" s="1261">
        <f t="shared" si="31"/>
        <v>26088089</v>
      </c>
    </row>
    <row r="50" spans="1:42" ht="14.4" customHeight="1">
      <c r="A50" s="1256">
        <v>44</v>
      </c>
      <c r="B50" s="1257" t="s">
        <v>124</v>
      </c>
      <c r="C50" s="1258">
        <f>'Table 3 Levels 1&amp;2'!AO47</f>
        <v>37145848.845415995</v>
      </c>
      <c r="D50" s="1259">
        <v>2393.0955462517159</v>
      </c>
      <c r="E50" s="1259">
        <v>0</v>
      </c>
      <c r="F50" s="1259">
        <f t="shared" si="25"/>
        <v>2393.0955462517159</v>
      </c>
      <c r="G50" s="1258">
        <f t="shared" si="22"/>
        <v>2393.0955462517159</v>
      </c>
      <c r="H50" s="1259">
        <f t="shared" si="26"/>
        <v>0</v>
      </c>
      <c r="I50" s="1259"/>
      <c r="J50" s="1259"/>
      <c r="K50" s="1259">
        <f t="shared" si="27"/>
        <v>0</v>
      </c>
      <c r="L50" s="1259"/>
      <c r="M50" s="1259"/>
      <c r="N50" s="1259">
        <f t="shared" si="28"/>
        <v>0</v>
      </c>
      <c r="O50" s="1259">
        <v>0</v>
      </c>
      <c r="P50" s="1259">
        <f>-'Table 5C1A-Madison Prep'!L50</f>
        <v>0</v>
      </c>
      <c r="Q50" s="1259">
        <f>-'Table 5C1B-DArbonne'!L50</f>
        <v>0</v>
      </c>
      <c r="R50" s="1259">
        <f>-'Table 5C1C-Intl_VIBE'!L50</f>
        <v>-11121.511630364072</v>
      </c>
      <c r="S50" s="1259">
        <f>-'Table 5C1D-NOMMA'!L50</f>
        <v>-5560.7558151820358</v>
      </c>
      <c r="T50" s="1259">
        <f>-'Table 5C1E-LFNO'!L50</f>
        <v>-22243.023260728143</v>
      </c>
      <c r="U50" s="1259">
        <f>-'Table 5C1F-Lake Charles Charter'!L50</f>
        <v>0</v>
      </c>
      <c r="V50" s="1259">
        <f>-'Table 5C1G-JS Clark Academy'!L50</f>
        <v>0</v>
      </c>
      <c r="W50" s="1259">
        <f>-'Table 5C1H-Southwest LA Charter'!L50</f>
        <v>0</v>
      </c>
      <c r="X50" s="1259">
        <f>-'Table 5C1I-LA Key Academy'!L50</f>
        <v>0</v>
      </c>
      <c r="Y50" s="1259">
        <f>-'Table 5C1J-Jefferson Chamber'!L50</f>
        <v>0</v>
      </c>
      <c r="Z50" s="1259">
        <f>-'Table 5C1K-Tallulah Charter'!L50</f>
        <v>0</v>
      </c>
      <c r="AA50" s="1259">
        <f>-'Table 5C1L-Northshore Charter'!L50</f>
        <v>0</v>
      </c>
      <c r="AB50" s="1259">
        <f>-'Table 5C1M-B.R. Charter'!L50</f>
        <v>0</v>
      </c>
      <c r="AC50" s="1259">
        <f>-'Table 5C1N-Delta Charter'!L50</f>
        <v>0</v>
      </c>
      <c r="AD50" s="1260">
        <f>-('Table 5C2 - LA Virtual Admy'!M49+'Table 5C2 - LA Virtual Admy'!I49)</f>
        <v>-88972.093042912573</v>
      </c>
      <c r="AE50" s="1260">
        <f>-('Table 5C3 - LA Connections EBR'!M49+'Table 5C3 - LA Connections EBR'!I49)</f>
        <v>-33364.534891092218</v>
      </c>
      <c r="AF50" s="1260">
        <f t="shared" si="32"/>
        <v>-161261.91864027904</v>
      </c>
      <c r="AG50" s="1260">
        <f>+'Table 4 Level 4'!E48</f>
        <v>0</v>
      </c>
      <c r="AH50" s="1260">
        <f>+'Table 4 Level 4'!N48</f>
        <v>68120</v>
      </c>
      <c r="AI50" s="1261">
        <f t="shared" si="33"/>
        <v>37055100</v>
      </c>
      <c r="AJ50" s="1258"/>
      <c r="AK50" s="1258">
        <f t="shared" si="29"/>
        <v>37055100</v>
      </c>
      <c r="AL50" s="1258">
        <f t="shared" si="30"/>
        <v>3087925</v>
      </c>
      <c r="AM50" s="1260">
        <f>+'Table 4 Level 4'!J48</f>
        <v>0</v>
      </c>
      <c r="AN50" s="1260">
        <f>+'Table 4 Level 4'!K48</f>
        <v>0</v>
      </c>
      <c r="AO50" s="1260">
        <f>+'Table 4 Level 4'!L48</f>
        <v>0</v>
      </c>
      <c r="AP50" s="1261">
        <f t="shared" si="31"/>
        <v>37055100</v>
      </c>
    </row>
    <row r="51" spans="1:42" ht="14.4" customHeight="1">
      <c r="A51" s="85">
        <v>45</v>
      </c>
      <c r="B51" s="207" t="s">
        <v>125</v>
      </c>
      <c r="C51" s="209">
        <f>'Table 3 Levels 1&amp;2'!AO48</f>
        <v>26445812.280000001</v>
      </c>
      <c r="D51" s="219">
        <v>0</v>
      </c>
      <c r="E51" s="219">
        <v>0</v>
      </c>
      <c r="F51" s="219">
        <f t="shared" si="25"/>
        <v>0</v>
      </c>
      <c r="G51" s="209">
        <f t="shared" si="22"/>
        <v>0</v>
      </c>
      <c r="H51" s="219">
        <f t="shared" si="26"/>
        <v>0</v>
      </c>
      <c r="I51" s="219"/>
      <c r="J51" s="219"/>
      <c r="K51" s="219">
        <f t="shared" si="27"/>
        <v>0</v>
      </c>
      <c r="L51" s="219"/>
      <c r="M51" s="219"/>
      <c r="N51" s="219">
        <f t="shared" si="28"/>
        <v>0</v>
      </c>
      <c r="O51" s="219">
        <v>0</v>
      </c>
      <c r="P51" s="219">
        <f>-'Table 5C1A-Madison Prep'!L51</f>
        <v>0</v>
      </c>
      <c r="Q51" s="219">
        <f>-'Table 5C1B-DArbonne'!L51</f>
        <v>0</v>
      </c>
      <c r="R51" s="219">
        <f>-'Table 5C1C-Intl_VIBE'!L51</f>
        <v>0</v>
      </c>
      <c r="S51" s="219">
        <f>-'Table 5C1D-NOMMA'!L51</f>
        <v>0</v>
      </c>
      <c r="T51" s="219">
        <f>-'Table 5C1E-LFNO'!L51</f>
        <v>-5616.0144998938204</v>
      </c>
      <c r="U51" s="219">
        <f>-'Table 5C1F-Lake Charles Charter'!L51</f>
        <v>0</v>
      </c>
      <c r="V51" s="219">
        <f>-'Table 5C1G-JS Clark Academy'!L51</f>
        <v>0</v>
      </c>
      <c r="W51" s="219">
        <f>-'Table 5C1H-Southwest LA Charter'!L51</f>
        <v>0</v>
      </c>
      <c r="X51" s="219">
        <f>-'Table 5C1I-LA Key Academy'!L51</f>
        <v>0</v>
      </c>
      <c r="Y51" s="219">
        <f>-'Table 5C1J-Jefferson Chamber'!L51</f>
        <v>-2808.0072499469102</v>
      </c>
      <c r="Z51" s="219">
        <f>-'Table 5C1K-Tallulah Charter'!L51</f>
        <v>0</v>
      </c>
      <c r="AA51" s="219">
        <f>-'Table 5C1L-Northshore Charter'!L51</f>
        <v>0</v>
      </c>
      <c r="AB51" s="219">
        <f>-'Table 5C1M-B.R. Charter'!L51</f>
        <v>0</v>
      </c>
      <c r="AC51" s="219">
        <f>-'Table 5C1N-Delta Charter'!L51</f>
        <v>0</v>
      </c>
      <c r="AD51" s="210">
        <f>-('Table 5C2 - LA Virtual Admy'!M50+'Table 5C2 - LA Virtual Admy'!I50)</f>
        <v>-30888.079749416011</v>
      </c>
      <c r="AE51" s="210">
        <f>-('Table 5C3 - LA Connections EBR'!M50+'Table 5C3 - LA Connections EBR'!I50)</f>
        <v>-36504.094249309834</v>
      </c>
      <c r="AF51" s="210">
        <f t="shared" si="32"/>
        <v>-75816.195748566577</v>
      </c>
      <c r="AG51" s="210">
        <f>+'Table 4 Level 4'!E49</f>
        <v>0</v>
      </c>
      <c r="AH51" s="210">
        <f>+'Table 4 Level 4'!N49</f>
        <v>113516</v>
      </c>
      <c r="AI51" s="322">
        <f t="shared" si="33"/>
        <v>26483512</v>
      </c>
      <c r="AJ51" s="209"/>
      <c r="AK51" s="209">
        <f t="shared" si="29"/>
        <v>26483512</v>
      </c>
      <c r="AL51" s="209">
        <f t="shared" si="30"/>
        <v>2206959</v>
      </c>
      <c r="AM51" s="210">
        <f>+'Table 4 Level 4'!J49</f>
        <v>0</v>
      </c>
      <c r="AN51" s="210">
        <f>+'Table 4 Level 4'!K49</f>
        <v>0</v>
      </c>
      <c r="AO51" s="210">
        <f>+'Table 4 Level 4'!L49</f>
        <v>0</v>
      </c>
      <c r="AP51" s="322">
        <f t="shared" si="31"/>
        <v>26483512</v>
      </c>
    </row>
    <row r="52" spans="1:42" ht="14.4" customHeight="1">
      <c r="A52" s="1250">
        <v>46</v>
      </c>
      <c r="B52" s="1251" t="s">
        <v>126</v>
      </c>
      <c r="C52" s="1252">
        <f>'Table 3 Levels 1&amp;2'!AO49</f>
        <v>7057224.6991280001</v>
      </c>
      <c r="D52" s="1253">
        <v>-3255.836422890301</v>
      </c>
      <c r="E52" s="1253">
        <v>1309.1445986099598</v>
      </c>
      <c r="F52" s="1253">
        <f t="shared" si="25"/>
        <v>-1946.6918242803413</v>
      </c>
      <c r="G52" s="1252">
        <f t="shared" si="22"/>
        <v>0</v>
      </c>
      <c r="H52" s="1253">
        <f t="shared" si="26"/>
        <v>-1946.6918242803413</v>
      </c>
      <c r="I52" s="1253"/>
      <c r="J52" s="1253"/>
      <c r="K52" s="1253">
        <f t="shared" si="27"/>
        <v>0</v>
      </c>
      <c r="L52" s="1253"/>
      <c r="M52" s="1253"/>
      <c r="N52" s="1253">
        <f t="shared" si="28"/>
        <v>0</v>
      </c>
      <c r="O52" s="1253">
        <v>0</v>
      </c>
      <c r="P52" s="1253">
        <f>-'Table 5C1A-Madison Prep'!L52</f>
        <v>0</v>
      </c>
      <c r="Q52" s="1253">
        <f>-'Table 5C1B-DArbonne'!L52</f>
        <v>0</v>
      </c>
      <c r="R52" s="1253">
        <f>-'Table 5C1C-Intl_VIBE'!L52</f>
        <v>0</v>
      </c>
      <c r="S52" s="1253">
        <f>-'Table 5C1D-NOMMA'!L52</f>
        <v>0</v>
      </c>
      <c r="T52" s="1253">
        <f>-'Table 5C1E-LFNO'!L52</f>
        <v>0</v>
      </c>
      <c r="U52" s="1253">
        <f>-'Table 5C1F-Lake Charles Charter'!L52</f>
        <v>0</v>
      </c>
      <c r="V52" s="1253">
        <f>-'Table 5C1G-JS Clark Academy'!L52</f>
        <v>0</v>
      </c>
      <c r="W52" s="1253">
        <f>-'Table 5C1H-Southwest LA Charter'!L52</f>
        <v>0</v>
      </c>
      <c r="X52" s="1253">
        <f>-'Table 5C1I-LA Key Academy'!L52</f>
        <v>0</v>
      </c>
      <c r="Y52" s="1253">
        <f>-'Table 5C1J-Jefferson Chamber'!L52</f>
        <v>0</v>
      </c>
      <c r="Z52" s="1253">
        <f>-'Table 5C1K-Tallulah Charter'!L52</f>
        <v>0</v>
      </c>
      <c r="AA52" s="1253">
        <f>-'Table 5C1L-Northshore Charter'!L52</f>
        <v>0</v>
      </c>
      <c r="AB52" s="1253">
        <f>-'Table 5C1M-B.R. Charter'!L52</f>
        <v>0</v>
      </c>
      <c r="AC52" s="1253">
        <f>-'Table 5C1N-Delta Charter'!L52</f>
        <v>0</v>
      </c>
      <c r="AD52" s="1254">
        <f>-('Table 5C2 - LA Virtual Admy'!M51+'Table 5C2 - LA Virtual Admy'!I51)</f>
        <v>-54234.195574470701</v>
      </c>
      <c r="AE52" s="1254">
        <f>-('Table 5C3 - LA Connections EBR'!M51+'Table 5C3 - LA Connections EBR'!I51)</f>
        <v>-40675.646680853031</v>
      </c>
      <c r="AF52" s="1254">
        <f t="shared" si="32"/>
        <v>-94909.842255323732</v>
      </c>
      <c r="AG52" s="1254">
        <f>+'Table 4 Level 4'!E50</f>
        <v>0</v>
      </c>
      <c r="AH52" s="1254">
        <f>+'Table 4 Level 4'!N50</f>
        <v>7332</v>
      </c>
      <c r="AI52" s="1255">
        <f t="shared" si="33"/>
        <v>6967700</v>
      </c>
      <c r="AJ52" s="1252"/>
      <c r="AK52" s="1252">
        <f t="shared" si="29"/>
        <v>6967700</v>
      </c>
      <c r="AL52" s="1252">
        <f t="shared" si="30"/>
        <v>580642</v>
      </c>
      <c r="AM52" s="1254">
        <f>+'Table 4 Level 4'!J50</f>
        <v>0</v>
      </c>
      <c r="AN52" s="1254">
        <f>+'Table 4 Level 4'!K50</f>
        <v>0</v>
      </c>
      <c r="AO52" s="1254">
        <f>+'Table 4 Level 4'!L50</f>
        <v>0</v>
      </c>
      <c r="AP52" s="1255">
        <f t="shared" si="31"/>
        <v>6967700</v>
      </c>
    </row>
    <row r="53" spans="1:42" ht="14.4" customHeight="1">
      <c r="A53" s="1256">
        <v>47</v>
      </c>
      <c r="B53" s="1257" t="s">
        <v>127</v>
      </c>
      <c r="C53" s="1258">
        <f>'Table 3 Levels 1&amp;2'!AO50</f>
        <v>12465283.039999999</v>
      </c>
      <c r="D53" s="1259">
        <v>0</v>
      </c>
      <c r="E53" s="1259">
        <v>0</v>
      </c>
      <c r="F53" s="1259">
        <f t="shared" si="25"/>
        <v>0</v>
      </c>
      <c r="G53" s="1258">
        <f t="shared" si="22"/>
        <v>0</v>
      </c>
      <c r="H53" s="1259">
        <f t="shared" si="26"/>
        <v>0</v>
      </c>
      <c r="I53" s="1259"/>
      <c r="J53" s="1259"/>
      <c r="K53" s="1259">
        <f t="shared" si="27"/>
        <v>0</v>
      </c>
      <c r="L53" s="1259"/>
      <c r="M53" s="1259"/>
      <c r="N53" s="1259">
        <f t="shared" si="28"/>
        <v>0</v>
      </c>
      <c r="O53" s="1259">
        <v>0</v>
      </c>
      <c r="P53" s="1259">
        <f>-'Table 5C1A-Madison Prep'!L53</f>
        <v>0</v>
      </c>
      <c r="Q53" s="1259">
        <f>-'Table 5C1B-DArbonne'!L53</f>
        <v>0</v>
      </c>
      <c r="R53" s="1259">
        <f>-'Table 5C1C-Intl_VIBE'!L53</f>
        <v>0</v>
      </c>
      <c r="S53" s="1259">
        <f>-'Table 5C1D-NOMMA'!L53</f>
        <v>0</v>
      </c>
      <c r="T53" s="1259">
        <f>-'Table 5C1E-LFNO'!L53</f>
        <v>0</v>
      </c>
      <c r="U53" s="1259">
        <f>-'Table 5C1F-Lake Charles Charter'!L53</f>
        <v>0</v>
      </c>
      <c r="V53" s="1259">
        <f>-'Table 5C1G-JS Clark Academy'!L53</f>
        <v>0</v>
      </c>
      <c r="W53" s="1259">
        <f>-'Table 5C1H-Southwest LA Charter'!L53</f>
        <v>0</v>
      </c>
      <c r="X53" s="1259">
        <f>-'Table 5C1I-LA Key Academy'!L53</f>
        <v>0</v>
      </c>
      <c r="Y53" s="1259">
        <f>-'Table 5C1J-Jefferson Chamber'!L53</f>
        <v>0</v>
      </c>
      <c r="Z53" s="1259">
        <f>-'Table 5C1K-Tallulah Charter'!L53</f>
        <v>0</v>
      </c>
      <c r="AA53" s="1259">
        <f>-'Table 5C1L-Northshore Charter'!L53</f>
        <v>0</v>
      </c>
      <c r="AB53" s="1259">
        <f>-'Table 5C1M-B.R. Charter'!L53</f>
        <v>0</v>
      </c>
      <c r="AC53" s="1259">
        <f>-'Table 5C1N-Delta Charter'!L53</f>
        <v>0</v>
      </c>
      <c r="AD53" s="1260">
        <f>-('Table 5C2 - LA Virtual Admy'!M52+'Table 5C2 - LA Virtual Admy'!I52)</f>
        <v>-6869.8170515293468</v>
      </c>
      <c r="AE53" s="1260">
        <f>-('Table 5C3 - LA Connections EBR'!M52+'Table 5C3 - LA Connections EBR'!I52)</f>
        <v>-3434.9085257646734</v>
      </c>
      <c r="AF53" s="1260">
        <f t="shared" si="32"/>
        <v>-10304.725577294021</v>
      </c>
      <c r="AG53" s="1260">
        <f>+'Table 4 Level 4'!E51</f>
        <v>0</v>
      </c>
      <c r="AH53" s="1260">
        <f>+'Table 4 Level 4'!N51</f>
        <v>42224</v>
      </c>
      <c r="AI53" s="1261">
        <f t="shared" si="33"/>
        <v>12497202</v>
      </c>
      <c r="AJ53" s="1258"/>
      <c r="AK53" s="1258">
        <f t="shared" si="29"/>
        <v>12497202</v>
      </c>
      <c r="AL53" s="1258">
        <f t="shared" si="30"/>
        <v>1041434</v>
      </c>
      <c r="AM53" s="1260">
        <f>+'Table 4 Level 4'!J51</f>
        <v>0</v>
      </c>
      <c r="AN53" s="1260">
        <f>+'Table 4 Level 4'!K51</f>
        <v>0</v>
      </c>
      <c r="AO53" s="1260">
        <f>+'Table 4 Level 4'!L51</f>
        <v>0</v>
      </c>
      <c r="AP53" s="1261">
        <f t="shared" si="31"/>
        <v>12497202</v>
      </c>
    </row>
    <row r="54" spans="1:42" ht="14.4" customHeight="1">
      <c r="A54" s="1256">
        <v>48</v>
      </c>
      <c r="B54" s="1257" t="s">
        <v>178</v>
      </c>
      <c r="C54" s="1258">
        <f>'Table 3 Levels 1&amp;2'!AO51</f>
        <v>28131411.726019517</v>
      </c>
      <c r="D54" s="1259">
        <v>-2574.6328386365917</v>
      </c>
      <c r="E54" s="1259">
        <v>0</v>
      </c>
      <c r="F54" s="1259">
        <f t="shared" si="25"/>
        <v>-2574.6328386365917</v>
      </c>
      <c r="G54" s="1258">
        <f t="shared" si="22"/>
        <v>0</v>
      </c>
      <c r="H54" s="1259">
        <f t="shared" si="26"/>
        <v>-2574.6328386365917</v>
      </c>
      <c r="I54" s="1259"/>
      <c r="J54" s="1259"/>
      <c r="K54" s="1259">
        <f t="shared" si="27"/>
        <v>0</v>
      </c>
      <c r="L54" s="1259"/>
      <c r="M54" s="1259"/>
      <c r="N54" s="1259">
        <f t="shared" si="28"/>
        <v>0</v>
      </c>
      <c r="O54" s="1259">
        <v>0</v>
      </c>
      <c r="P54" s="1259">
        <f>-'Table 5C1A-Madison Prep'!L54</f>
        <v>0</v>
      </c>
      <c r="Q54" s="1259">
        <f>-'Table 5C1B-DArbonne'!L54</f>
        <v>0</v>
      </c>
      <c r="R54" s="1259">
        <f>-'Table 5C1C-Intl_VIBE'!L54</f>
        <v>-9708.8565059601442</v>
      </c>
      <c r="S54" s="1259">
        <f>-'Table 5C1D-NOMMA'!L54</f>
        <v>0</v>
      </c>
      <c r="T54" s="1259">
        <f>-'Table 5C1E-LFNO'!L54</f>
        <v>0</v>
      </c>
      <c r="U54" s="1259">
        <f>-'Table 5C1F-Lake Charles Charter'!L54</f>
        <v>0</v>
      </c>
      <c r="V54" s="1259">
        <f>-'Table 5C1G-JS Clark Academy'!L54</f>
        <v>0</v>
      </c>
      <c r="W54" s="1259">
        <f>-'Table 5C1H-Southwest LA Charter'!L54</f>
        <v>0</v>
      </c>
      <c r="X54" s="1259">
        <f>-'Table 5C1I-LA Key Academy'!L54</f>
        <v>0</v>
      </c>
      <c r="Y54" s="1259">
        <f>-'Table 5C1J-Jefferson Chamber'!L54</f>
        <v>-4854.4282529800721</v>
      </c>
      <c r="Z54" s="1259">
        <f>-'Table 5C1K-Tallulah Charter'!L54</f>
        <v>0</v>
      </c>
      <c r="AA54" s="1259">
        <f>-'Table 5C1L-Northshore Charter'!L54</f>
        <v>0</v>
      </c>
      <c r="AB54" s="1259">
        <f>-'Table 5C1M-B.R. Charter'!L54</f>
        <v>0</v>
      </c>
      <c r="AC54" s="1259">
        <f>-'Table 5C1N-Delta Charter'!L54</f>
        <v>0</v>
      </c>
      <c r="AD54" s="1260">
        <f>-('Table 5C2 - LA Virtual Admy'!M53+'Table 5C2 - LA Virtual Admy'!I53)</f>
        <v>-121360.70632450181</v>
      </c>
      <c r="AE54" s="1260">
        <f>-('Table 5C3 - LA Connections EBR'!M53+'Table 5C3 - LA Connections EBR'!I53)</f>
        <v>-135923.991083442</v>
      </c>
      <c r="AF54" s="1260">
        <f t="shared" si="32"/>
        <v>-271847.982166884</v>
      </c>
      <c r="AG54" s="1260">
        <f>+'Table 4 Level 4'!E52</f>
        <v>0</v>
      </c>
      <c r="AH54" s="1260">
        <f>+'Table 4 Level 4'!N52</f>
        <v>61490</v>
      </c>
      <c r="AI54" s="1261">
        <f t="shared" si="33"/>
        <v>27918479</v>
      </c>
      <c r="AJ54" s="1258"/>
      <c r="AK54" s="1258">
        <f t="shared" si="29"/>
        <v>27918479</v>
      </c>
      <c r="AL54" s="1258">
        <f t="shared" si="30"/>
        <v>2326540</v>
      </c>
      <c r="AM54" s="1260">
        <f>+'Table 4 Level 4'!J52</f>
        <v>0</v>
      </c>
      <c r="AN54" s="1260">
        <f>+'Table 4 Level 4'!K52</f>
        <v>0</v>
      </c>
      <c r="AO54" s="1260">
        <f>+'Table 4 Level 4'!L52</f>
        <v>0</v>
      </c>
      <c r="AP54" s="1261">
        <f t="shared" si="31"/>
        <v>27918479</v>
      </c>
    </row>
    <row r="55" spans="1:42" ht="14.4" customHeight="1">
      <c r="A55" s="1256">
        <v>49</v>
      </c>
      <c r="B55" s="1257" t="s">
        <v>128</v>
      </c>
      <c r="C55" s="1258">
        <f>'Table 3 Levels 1&amp;2'!AO52</f>
        <v>80741723.630047992</v>
      </c>
      <c r="D55" s="1259">
        <v>2696.8060931985965</v>
      </c>
      <c r="E55" s="1259">
        <v>0</v>
      </c>
      <c r="F55" s="1259">
        <f t="shared" si="25"/>
        <v>2696.8060931985965</v>
      </c>
      <c r="G55" s="1258">
        <f t="shared" si="22"/>
        <v>2696.8060931985965</v>
      </c>
      <c r="H55" s="1259">
        <f t="shared" si="26"/>
        <v>0</v>
      </c>
      <c r="I55" s="1259"/>
      <c r="J55" s="1259"/>
      <c r="K55" s="1259">
        <f t="shared" si="27"/>
        <v>0</v>
      </c>
      <c r="L55" s="1259"/>
      <c r="M55" s="1259"/>
      <c r="N55" s="1259">
        <f t="shared" si="28"/>
        <v>0</v>
      </c>
      <c r="O55" s="1259">
        <v>0</v>
      </c>
      <c r="P55" s="1259">
        <f>-'Table 5C1A-Madison Prep'!L55</f>
        <v>0</v>
      </c>
      <c r="Q55" s="1259">
        <f>-'Table 5C1B-DArbonne'!L55</f>
        <v>0</v>
      </c>
      <c r="R55" s="1259">
        <f>-'Table 5C1C-Intl_VIBE'!L55</f>
        <v>0</v>
      </c>
      <c r="S55" s="1259">
        <f>-'Table 5C1D-NOMMA'!L55</f>
        <v>0</v>
      </c>
      <c r="T55" s="1259">
        <f>-'Table 5C1E-LFNO'!L55</f>
        <v>0</v>
      </c>
      <c r="U55" s="1259">
        <f>-'Table 5C1F-Lake Charles Charter'!L55</f>
        <v>0</v>
      </c>
      <c r="V55" s="1259">
        <f>-'Table 5C1G-JS Clark Academy'!L55</f>
        <v>-1086211.5286553542</v>
      </c>
      <c r="W55" s="1259">
        <f>-'Table 5C1H-Southwest LA Charter'!L55</f>
        <v>0</v>
      </c>
      <c r="X55" s="1259">
        <f>-'Table 5C1I-LA Key Academy'!L55</f>
        <v>0</v>
      </c>
      <c r="Y55" s="1259">
        <f>-'Table 5C1J-Jefferson Chamber'!L55</f>
        <v>0</v>
      </c>
      <c r="Z55" s="1259">
        <f>-'Table 5C1K-Tallulah Charter'!L55</f>
        <v>0</v>
      </c>
      <c r="AA55" s="1259">
        <f>-'Table 5C1L-Northshore Charter'!L55</f>
        <v>0</v>
      </c>
      <c r="AB55" s="1259">
        <f>-'Table 5C1M-B.R. Charter'!L55</f>
        <v>0</v>
      </c>
      <c r="AC55" s="1259">
        <f>-'Table 5C1N-Delta Charter'!L55</f>
        <v>0</v>
      </c>
      <c r="AD55" s="1260">
        <f>-('Table 5C2 - LA Virtual Admy'!M54+'Table 5C2 - LA Virtual Admy'!I54)</f>
        <v>-373211.14061491657</v>
      </c>
      <c r="AE55" s="1260">
        <f>-('Table 5C3 - LA Connections EBR'!M54+'Table 5C3 - LA Connections EBR'!I54)</f>
        <v>-194961.04360480714</v>
      </c>
      <c r="AF55" s="1260">
        <f t="shared" si="32"/>
        <v>-1654383.712875078</v>
      </c>
      <c r="AG55" s="1260">
        <f>+'Table 4 Level 4'!E53</f>
        <v>84000</v>
      </c>
      <c r="AH55" s="1260">
        <f>+'Table 4 Level 4'!N53</f>
        <v>147784</v>
      </c>
      <c r="AI55" s="1261">
        <f t="shared" si="33"/>
        <v>79321821</v>
      </c>
      <c r="AJ55" s="1258"/>
      <c r="AK55" s="1258">
        <f t="shared" si="29"/>
        <v>79321821</v>
      </c>
      <c r="AL55" s="1258">
        <f t="shared" si="30"/>
        <v>6610152</v>
      </c>
      <c r="AM55" s="1260">
        <f>+'Table 4 Level 4'!J53</f>
        <v>0</v>
      </c>
      <c r="AN55" s="1260">
        <f>+'Table 4 Level 4'!K53</f>
        <v>0</v>
      </c>
      <c r="AO55" s="1260">
        <f>+'Table 4 Level 4'!L53</f>
        <v>0</v>
      </c>
      <c r="AP55" s="1261">
        <f t="shared" si="31"/>
        <v>79321821</v>
      </c>
    </row>
    <row r="56" spans="1:42" ht="14.4" customHeight="1">
      <c r="A56" s="85">
        <v>50</v>
      </c>
      <c r="B56" s="207" t="s">
        <v>129</v>
      </c>
      <c r="C56" s="209">
        <f>'Table 3 Levels 1&amp;2'!AO53</f>
        <v>46038034.385652006</v>
      </c>
      <c r="D56" s="219">
        <v>0</v>
      </c>
      <c r="E56" s="219">
        <v>0</v>
      </c>
      <c r="F56" s="219">
        <f t="shared" si="25"/>
        <v>0</v>
      </c>
      <c r="G56" s="209">
        <f t="shared" si="22"/>
        <v>0</v>
      </c>
      <c r="H56" s="219">
        <f t="shared" si="26"/>
        <v>0</v>
      </c>
      <c r="I56" s="219"/>
      <c r="J56" s="219"/>
      <c r="K56" s="219">
        <f t="shared" si="27"/>
        <v>0</v>
      </c>
      <c r="L56" s="219"/>
      <c r="M56" s="219"/>
      <c r="N56" s="219">
        <f t="shared" si="28"/>
        <v>0</v>
      </c>
      <c r="O56" s="219">
        <v>0</v>
      </c>
      <c r="P56" s="219">
        <f>-'Table 5C1A-Madison Prep'!L56</f>
        <v>0</v>
      </c>
      <c r="Q56" s="219">
        <f>-'Table 5C1B-DArbonne'!L56</f>
        <v>0</v>
      </c>
      <c r="R56" s="219">
        <f>-'Table 5C1C-Intl_VIBE'!L56</f>
        <v>0</v>
      </c>
      <c r="S56" s="219">
        <f>-'Table 5C1D-NOMMA'!L56</f>
        <v>0</v>
      </c>
      <c r="T56" s="219">
        <f>-'Table 5C1E-LFNO'!L56</f>
        <v>0</v>
      </c>
      <c r="U56" s="219">
        <f>-'Table 5C1F-Lake Charles Charter'!L56</f>
        <v>0</v>
      </c>
      <c r="V56" s="219">
        <f>-'Table 5C1G-JS Clark Academy'!L56</f>
        <v>0</v>
      </c>
      <c r="W56" s="219">
        <f>-'Table 5C1H-Southwest LA Charter'!L56</f>
        <v>0</v>
      </c>
      <c r="X56" s="219">
        <f>-'Table 5C1I-LA Key Academy'!L56</f>
        <v>0</v>
      </c>
      <c r="Y56" s="219">
        <f>-'Table 5C1J-Jefferson Chamber'!L56</f>
        <v>0</v>
      </c>
      <c r="Z56" s="219">
        <f>-'Table 5C1K-Tallulah Charter'!L56</f>
        <v>0</v>
      </c>
      <c r="AA56" s="219">
        <f>-'Table 5C1L-Northshore Charter'!L56</f>
        <v>0</v>
      </c>
      <c r="AB56" s="219">
        <f>-'Table 5C1M-B.R. Charter'!L56</f>
        <v>0</v>
      </c>
      <c r="AC56" s="219">
        <f>-'Table 5C1N-Delta Charter'!L56</f>
        <v>0</v>
      </c>
      <c r="AD56" s="210">
        <f>-('Table 5C2 - LA Virtual Admy'!M55+'Table 5C2 - LA Virtual Admy'!I55)</f>
        <v>-139491.58253448401</v>
      </c>
      <c r="AE56" s="210">
        <f>-('Table 5C3 - LA Connections EBR'!M55+'Table 5C3 - LA Connections EBR'!I55)</f>
        <v>-34872.895633621003</v>
      </c>
      <c r="AF56" s="210">
        <f t="shared" si="32"/>
        <v>-174364.47816810501</v>
      </c>
      <c r="AG56" s="210">
        <f>+'Table 4 Level 4'!E54</f>
        <v>189000</v>
      </c>
      <c r="AH56" s="210">
        <f>+'Table 4 Level 4'!N54</f>
        <v>89050</v>
      </c>
      <c r="AI56" s="322">
        <f t="shared" si="33"/>
        <v>46141720</v>
      </c>
      <c r="AJ56" s="209"/>
      <c r="AK56" s="209">
        <f t="shared" si="29"/>
        <v>46141720</v>
      </c>
      <c r="AL56" s="209">
        <f t="shared" si="30"/>
        <v>3845143</v>
      </c>
      <c r="AM56" s="210">
        <f>+'Table 4 Level 4'!J54</f>
        <v>0</v>
      </c>
      <c r="AN56" s="210">
        <f>+'Table 4 Level 4'!K54</f>
        <v>0</v>
      </c>
      <c r="AO56" s="210">
        <f>+'Table 4 Level 4'!L54</f>
        <v>0</v>
      </c>
      <c r="AP56" s="322">
        <f t="shared" si="31"/>
        <v>46141720</v>
      </c>
    </row>
    <row r="57" spans="1:42" ht="14.4" customHeight="1">
      <c r="A57" s="1250">
        <v>51</v>
      </c>
      <c r="B57" s="1251" t="s">
        <v>130</v>
      </c>
      <c r="C57" s="1252">
        <f>'Table 3 Levels 1&amp;2'!AO54</f>
        <v>43232425.338777997</v>
      </c>
      <c r="D57" s="1253">
        <v>-10069.069670736615</v>
      </c>
      <c r="E57" s="1253">
        <v>-6485.5430765726924</v>
      </c>
      <c r="F57" s="1253">
        <f t="shared" si="25"/>
        <v>-16554.612747309307</v>
      </c>
      <c r="G57" s="1252">
        <f t="shared" si="22"/>
        <v>0</v>
      </c>
      <c r="H57" s="1253">
        <f t="shared" si="26"/>
        <v>-16554.612747309307</v>
      </c>
      <c r="I57" s="1253"/>
      <c r="J57" s="1253"/>
      <c r="K57" s="1253">
        <f t="shared" si="27"/>
        <v>0</v>
      </c>
      <c r="L57" s="1253"/>
      <c r="M57" s="1253"/>
      <c r="N57" s="1253">
        <f t="shared" si="28"/>
        <v>0</v>
      </c>
      <c r="O57" s="1253">
        <v>0</v>
      </c>
      <c r="P57" s="1253">
        <f>-'Table 5C1A-Madison Prep'!L57</f>
        <v>0</v>
      </c>
      <c r="Q57" s="1253">
        <f>-'Table 5C1B-DArbonne'!L57</f>
        <v>0</v>
      </c>
      <c r="R57" s="1253">
        <f>-'Table 5C1C-Intl_VIBE'!L57</f>
        <v>0</v>
      </c>
      <c r="S57" s="1253">
        <f>-'Table 5C1D-NOMMA'!L57</f>
        <v>0</v>
      </c>
      <c r="T57" s="1253">
        <f>-'Table 5C1E-LFNO'!L57</f>
        <v>0</v>
      </c>
      <c r="U57" s="1253">
        <f>-'Table 5C1F-Lake Charles Charter'!L57</f>
        <v>0</v>
      </c>
      <c r="V57" s="1253">
        <f>-'Table 5C1G-JS Clark Academy'!L57</f>
        <v>0</v>
      </c>
      <c r="W57" s="1253">
        <f>-'Table 5C1H-Southwest LA Charter'!L57</f>
        <v>0</v>
      </c>
      <c r="X57" s="1253">
        <f>-'Table 5C1I-LA Key Academy'!L57</f>
        <v>0</v>
      </c>
      <c r="Y57" s="1253">
        <f>-'Table 5C1J-Jefferson Chamber'!L57</f>
        <v>0</v>
      </c>
      <c r="Z57" s="1253">
        <f>-'Table 5C1K-Tallulah Charter'!L57</f>
        <v>0</v>
      </c>
      <c r="AA57" s="1253">
        <f>-'Table 5C1L-Northshore Charter'!L57</f>
        <v>0</v>
      </c>
      <c r="AB57" s="1253">
        <f>-'Table 5C1M-B.R. Charter'!L57</f>
        <v>0</v>
      </c>
      <c r="AC57" s="1253">
        <f>-'Table 5C1N-Delta Charter'!L57</f>
        <v>0</v>
      </c>
      <c r="AD57" s="1254">
        <f>-('Table 5C2 - LA Virtual Admy'!M56+'Table 5C2 - LA Virtual Admy'!I56)</f>
        <v>-87495.351483922175</v>
      </c>
      <c r="AE57" s="1254">
        <f>-('Table 5C3 - LA Connections EBR'!M56+'Table 5C3 - LA Connections EBR'!I56)</f>
        <v>-19443.411440871598</v>
      </c>
      <c r="AF57" s="1254">
        <f t="shared" si="32"/>
        <v>-106938.76292479377</v>
      </c>
      <c r="AG57" s="1254">
        <f>+'Table 4 Level 4'!E55</f>
        <v>0</v>
      </c>
      <c r="AH57" s="1254">
        <f>+'Table 4 Level 4'!N55</f>
        <v>101868</v>
      </c>
      <c r="AI57" s="1255">
        <f t="shared" si="33"/>
        <v>43210800</v>
      </c>
      <c r="AJ57" s="1252"/>
      <c r="AK57" s="1252">
        <f t="shared" si="29"/>
        <v>43210800</v>
      </c>
      <c r="AL57" s="1252">
        <f t="shared" si="30"/>
        <v>3600900</v>
      </c>
      <c r="AM57" s="1254">
        <f>+'Table 4 Level 4'!J55</f>
        <v>0</v>
      </c>
      <c r="AN57" s="1254">
        <f>+'Table 4 Level 4'!K55</f>
        <v>0</v>
      </c>
      <c r="AO57" s="1254">
        <f>+'Table 4 Level 4'!L55</f>
        <v>0</v>
      </c>
      <c r="AP57" s="1255">
        <f t="shared" si="31"/>
        <v>43210800</v>
      </c>
    </row>
    <row r="58" spans="1:42" ht="14.4" customHeight="1">
      <c r="A58" s="1256">
        <v>52</v>
      </c>
      <c r="B58" s="1257" t="s">
        <v>131</v>
      </c>
      <c r="C58" s="1258">
        <f>'Table 3 Levels 1&amp;2'!AO55</f>
        <v>212956715.30344641</v>
      </c>
      <c r="D58" s="1259">
        <v>-11190.032351971196</v>
      </c>
      <c r="E58" s="1259">
        <v>-60477.684267664823</v>
      </c>
      <c r="F58" s="1259">
        <f t="shared" si="25"/>
        <v>-71667.716619636019</v>
      </c>
      <c r="G58" s="1258">
        <f t="shared" si="22"/>
        <v>0</v>
      </c>
      <c r="H58" s="1259">
        <f t="shared" si="26"/>
        <v>-71667.716619636019</v>
      </c>
      <c r="I58" s="1259"/>
      <c r="J58" s="1259"/>
      <c r="K58" s="1259">
        <f t="shared" si="27"/>
        <v>0</v>
      </c>
      <c r="L58" s="1259"/>
      <c r="M58" s="1259"/>
      <c r="N58" s="1259">
        <f t="shared" si="28"/>
        <v>0</v>
      </c>
      <c r="O58" s="1259">
        <v>0</v>
      </c>
      <c r="P58" s="1259">
        <f>-'Table 5C1A-Madison Prep'!L58</f>
        <v>0</v>
      </c>
      <c r="Q58" s="1259">
        <f>-'Table 5C1B-DArbonne'!L58</f>
        <v>0</v>
      </c>
      <c r="R58" s="1259">
        <f>-'Table 5C1C-Intl_VIBE'!L58</f>
        <v>0</v>
      </c>
      <c r="S58" s="1259">
        <f>-'Table 5C1D-NOMMA'!L58</f>
        <v>0</v>
      </c>
      <c r="T58" s="1259">
        <f>-'Table 5C1E-LFNO'!L58</f>
        <v>-5720.6445845228172</v>
      </c>
      <c r="U58" s="1259">
        <f>-'Table 5C1F-Lake Charles Charter'!L58</f>
        <v>0</v>
      </c>
      <c r="V58" s="1259">
        <f>-'Table 5C1G-JS Clark Academy'!L58</f>
        <v>0</v>
      </c>
      <c r="W58" s="1259">
        <f>-'Table 5C1H-Southwest LA Charter'!L58</f>
        <v>0</v>
      </c>
      <c r="X58" s="1259">
        <f>-'Table 5C1I-LA Key Academy'!L58</f>
        <v>0</v>
      </c>
      <c r="Y58" s="1259">
        <f>-'Table 5C1J-Jefferson Chamber'!L58</f>
        <v>0</v>
      </c>
      <c r="Z58" s="1259">
        <f>-'Table 5C1K-Tallulah Charter'!L58</f>
        <v>0</v>
      </c>
      <c r="AA58" s="1259">
        <f>-'Table 5C1L-Northshore Charter'!L58</f>
        <v>0</v>
      </c>
      <c r="AB58" s="1259">
        <f>-'Table 5C1M-B.R. Charter'!L58</f>
        <v>0</v>
      </c>
      <c r="AC58" s="1259">
        <f>-'Table 5C1N-Delta Charter'!L58</f>
        <v>0</v>
      </c>
      <c r="AD58" s="1260">
        <f>-('Table 5C2 - LA Virtual Admy'!M57+'Table 5C2 - LA Virtual Admy'!I57)</f>
        <v>-554902.52469871321</v>
      </c>
      <c r="AE58" s="1260">
        <f>-('Table 5C3 - LA Connections EBR'!M57+'Table 5C3 - LA Connections EBR'!I57)</f>
        <v>-572064.45845228166</v>
      </c>
      <c r="AF58" s="1260">
        <f t="shared" si="32"/>
        <v>-1132687.6277355177</v>
      </c>
      <c r="AG58" s="1260">
        <f>+'Table 4 Level 4'!E56</f>
        <v>0</v>
      </c>
      <c r="AH58" s="1260">
        <f>+'Table 4 Level 4'!N56</f>
        <v>425282</v>
      </c>
      <c r="AI58" s="1261">
        <f t="shared" si="33"/>
        <v>212177642</v>
      </c>
      <c r="AJ58" s="1258"/>
      <c r="AK58" s="1258">
        <f t="shared" si="29"/>
        <v>212177642</v>
      </c>
      <c r="AL58" s="1258">
        <f t="shared" si="30"/>
        <v>17681470</v>
      </c>
      <c r="AM58" s="1260">
        <f>+'Table 4 Level 4'!J56</f>
        <v>0</v>
      </c>
      <c r="AN58" s="1260">
        <f>+'Table 4 Level 4'!K56</f>
        <v>0</v>
      </c>
      <c r="AO58" s="1260">
        <f>+'Table 4 Level 4'!L56</f>
        <v>0</v>
      </c>
      <c r="AP58" s="1261">
        <f t="shared" si="31"/>
        <v>212177642</v>
      </c>
    </row>
    <row r="59" spans="1:42" ht="14.4" customHeight="1">
      <c r="A59" s="1256">
        <v>53</v>
      </c>
      <c r="B59" s="1257" t="s">
        <v>132</v>
      </c>
      <c r="C59" s="1258">
        <f>'Table 3 Levels 1&amp;2'!AO56</f>
        <v>111743378.18430799</v>
      </c>
      <c r="D59" s="1259">
        <v>0</v>
      </c>
      <c r="E59" s="1259">
        <v>-5243.9590764460281</v>
      </c>
      <c r="F59" s="1259">
        <f t="shared" si="25"/>
        <v>-5243.9590764460281</v>
      </c>
      <c r="G59" s="1258">
        <f t="shared" si="22"/>
        <v>0</v>
      </c>
      <c r="H59" s="1259">
        <f t="shared" si="26"/>
        <v>-5243.9590764460281</v>
      </c>
      <c r="I59" s="1259"/>
      <c r="J59" s="1259"/>
      <c r="K59" s="1259">
        <f t="shared" si="27"/>
        <v>0</v>
      </c>
      <c r="L59" s="1259"/>
      <c r="M59" s="1259"/>
      <c r="N59" s="1259">
        <f t="shared" si="28"/>
        <v>0</v>
      </c>
      <c r="O59" s="1259">
        <v>0</v>
      </c>
      <c r="P59" s="1259">
        <f>-'Table 5C1A-Madison Prep'!L59</f>
        <v>0</v>
      </c>
      <c r="Q59" s="1259">
        <f>-'Table 5C1B-DArbonne'!L59</f>
        <v>0</v>
      </c>
      <c r="R59" s="1259">
        <f>-'Table 5C1C-Intl_VIBE'!L59</f>
        <v>0</v>
      </c>
      <c r="S59" s="1259">
        <f>-'Table 5C1D-NOMMA'!L59</f>
        <v>0</v>
      </c>
      <c r="T59" s="1259">
        <f>-'Table 5C1E-LFNO'!L59</f>
        <v>0</v>
      </c>
      <c r="U59" s="1259">
        <f>-'Table 5C1F-Lake Charles Charter'!L59</f>
        <v>0</v>
      </c>
      <c r="V59" s="1259">
        <f>-'Table 5C1G-JS Clark Academy'!L59</f>
        <v>0</v>
      </c>
      <c r="W59" s="1259">
        <f>-'Table 5C1H-Southwest LA Charter'!L59</f>
        <v>0</v>
      </c>
      <c r="X59" s="1259">
        <f>-'Table 5C1I-LA Key Academy'!L59</f>
        <v>0</v>
      </c>
      <c r="Y59" s="1259">
        <f>-'Table 5C1J-Jefferson Chamber'!L59</f>
        <v>0</v>
      </c>
      <c r="Z59" s="1259">
        <f>-'Table 5C1K-Tallulah Charter'!L59</f>
        <v>0</v>
      </c>
      <c r="AA59" s="1259">
        <f>-'Table 5C1L-Northshore Charter'!L59</f>
        <v>0</v>
      </c>
      <c r="AB59" s="1259">
        <f>-'Table 5C1M-B.R. Charter'!L59</f>
        <v>0</v>
      </c>
      <c r="AC59" s="1259">
        <f>-'Table 5C1N-Delta Charter'!L59</f>
        <v>0</v>
      </c>
      <c r="AD59" s="1260">
        <f>-('Table 5C2 - LA Virtual Admy'!M58+'Table 5C2 - LA Virtual Admy'!I58)</f>
        <v>-592238.75439866853</v>
      </c>
      <c r="AE59" s="1260">
        <f>-('Table 5C3 - LA Connections EBR'!M58+'Table 5C3 - LA Connections EBR'!I58)</f>
        <v>-385242.68490010477</v>
      </c>
      <c r="AF59" s="1260">
        <f t="shared" si="32"/>
        <v>-977481.4392987733</v>
      </c>
      <c r="AG59" s="1260">
        <f>+'Table 4 Level 4'!E57</f>
        <v>105000</v>
      </c>
      <c r="AH59" s="1260">
        <f>+'Table 4 Level 4'!N57</f>
        <v>217776</v>
      </c>
      <c r="AI59" s="1261">
        <f t="shared" si="33"/>
        <v>111083429</v>
      </c>
      <c r="AJ59" s="1258"/>
      <c r="AK59" s="1258">
        <f t="shared" si="29"/>
        <v>111083429</v>
      </c>
      <c r="AL59" s="1258">
        <f t="shared" si="30"/>
        <v>9256952</v>
      </c>
      <c r="AM59" s="1260">
        <f>+'Table 4 Level 4'!J57</f>
        <v>0</v>
      </c>
      <c r="AN59" s="1260">
        <f>+'Table 4 Level 4'!K57</f>
        <v>0</v>
      </c>
      <c r="AO59" s="1260">
        <f>+'Table 4 Level 4'!L57</f>
        <v>0</v>
      </c>
      <c r="AP59" s="1261">
        <f t="shared" si="31"/>
        <v>111083429</v>
      </c>
    </row>
    <row r="60" spans="1:42" ht="14.4" customHeight="1">
      <c r="A60" s="1256">
        <v>54</v>
      </c>
      <c r="B60" s="1257" t="s">
        <v>133</v>
      </c>
      <c r="C60" s="1258">
        <f>'Table 3 Levels 1&amp;2'!AO57</f>
        <v>4486592.6327799996</v>
      </c>
      <c r="D60" s="1259">
        <v>0</v>
      </c>
      <c r="E60" s="1259">
        <v>0</v>
      </c>
      <c r="F60" s="1259">
        <f t="shared" si="25"/>
        <v>0</v>
      </c>
      <c r="G60" s="1258">
        <f t="shared" si="22"/>
        <v>0</v>
      </c>
      <c r="H60" s="1259">
        <f t="shared" si="26"/>
        <v>0</v>
      </c>
      <c r="I60" s="1259"/>
      <c r="J60" s="1259"/>
      <c r="K60" s="1259">
        <f t="shared" si="27"/>
        <v>0</v>
      </c>
      <c r="L60" s="1259"/>
      <c r="M60" s="1259"/>
      <c r="N60" s="1259">
        <f t="shared" si="28"/>
        <v>0</v>
      </c>
      <c r="O60" s="1259">
        <v>0</v>
      </c>
      <c r="P60" s="1259">
        <f>-'Table 5C1A-Madison Prep'!L60</f>
        <v>0</v>
      </c>
      <c r="Q60" s="1259">
        <f>-'Table 5C1B-DArbonne'!L60</f>
        <v>0</v>
      </c>
      <c r="R60" s="1259">
        <f>-'Table 5C1C-Intl_VIBE'!L60</f>
        <v>0</v>
      </c>
      <c r="S60" s="1259">
        <f>-'Table 5C1D-NOMMA'!L60</f>
        <v>0</v>
      </c>
      <c r="T60" s="1259">
        <f>-'Table 5C1E-LFNO'!L60</f>
        <v>0</v>
      </c>
      <c r="U60" s="1259">
        <f>-'Table 5C1F-Lake Charles Charter'!L60</f>
        <v>0</v>
      </c>
      <c r="V60" s="1259">
        <f>-'Table 5C1G-JS Clark Academy'!L60</f>
        <v>0</v>
      </c>
      <c r="W60" s="1259">
        <f>-'Table 5C1H-Southwest LA Charter'!L60</f>
        <v>0</v>
      </c>
      <c r="X60" s="1259">
        <f>-'Table 5C1I-LA Key Academy'!L60</f>
        <v>0</v>
      </c>
      <c r="Y60" s="1259">
        <f>-'Table 5C1J-Jefferson Chamber'!L60</f>
        <v>0</v>
      </c>
      <c r="Z60" s="1259">
        <f>-'Table 5C1K-Tallulah Charter'!L60</f>
        <v>0</v>
      </c>
      <c r="AA60" s="1259">
        <f>-'Table 5C1L-Northshore Charter'!L60</f>
        <v>0</v>
      </c>
      <c r="AB60" s="1259">
        <f>-'Table 5C1M-B.R. Charter'!L60</f>
        <v>0</v>
      </c>
      <c r="AC60" s="1259">
        <f>-'Table 5C1N-Delta Charter'!L60</f>
        <v>-54548.238696413369</v>
      </c>
      <c r="AD60" s="1260">
        <f>-('Table 5C2 - LA Virtual Admy'!M59+'Table 5C2 - LA Virtual Admy'!I59)</f>
        <v>0</v>
      </c>
      <c r="AE60" s="1260">
        <f>-('Table 5C3 - LA Connections EBR'!M59+'Table 5C3 - LA Connections EBR'!I59)</f>
        <v>-40911.179022310032</v>
      </c>
      <c r="AF60" s="1260">
        <f t="shared" si="32"/>
        <v>-95459.417718723402</v>
      </c>
      <c r="AG60" s="1260">
        <f>+'Table 4 Level 4'!E58</f>
        <v>0</v>
      </c>
      <c r="AH60" s="1260">
        <f>+'Table 4 Level 4'!N58</f>
        <v>7202</v>
      </c>
      <c r="AI60" s="1261">
        <f t="shared" si="33"/>
        <v>4398335</v>
      </c>
      <c r="AJ60" s="1258"/>
      <c r="AK60" s="1258">
        <f t="shared" si="29"/>
        <v>4398335</v>
      </c>
      <c r="AL60" s="1258">
        <f t="shared" si="30"/>
        <v>366528</v>
      </c>
      <c r="AM60" s="1260">
        <f>+'Table 4 Level 4'!J58</f>
        <v>0</v>
      </c>
      <c r="AN60" s="1260">
        <f>+'Table 4 Level 4'!K58</f>
        <v>0</v>
      </c>
      <c r="AO60" s="1260">
        <f>+'Table 4 Level 4'!L58</f>
        <v>0</v>
      </c>
      <c r="AP60" s="1261">
        <f t="shared" si="31"/>
        <v>4398335</v>
      </c>
    </row>
    <row r="61" spans="1:42" ht="14.4" customHeight="1">
      <c r="A61" s="85">
        <v>55</v>
      </c>
      <c r="B61" s="207" t="s">
        <v>134</v>
      </c>
      <c r="C61" s="209">
        <f>'Table 3 Levels 1&amp;2'!AO58</f>
        <v>90052313.74902001</v>
      </c>
      <c r="D61" s="219">
        <v>7348.328077695478</v>
      </c>
      <c r="E61" s="219">
        <v>0</v>
      </c>
      <c r="F61" s="219">
        <f t="shared" si="25"/>
        <v>7348.328077695478</v>
      </c>
      <c r="G61" s="209">
        <f t="shared" si="22"/>
        <v>7348.328077695478</v>
      </c>
      <c r="H61" s="219">
        <f t="shared" si="26"/>
        <v>0</v>
      </c>
      <c r="I61" s="219"/>
      <c r="J61" s="219"/>
      <c r="K61" s="219">
        <f t="shared" si="27"/>
        <v>0</v>
      </c>
      <c r="L61" s="219"/>
      <c r="M61" s="219"/>
      <c r="N61" s="219">
        <f t="shared" si="28"/>
        <v>0</v>
      </c>
      <c r="O61" s="219">
        <v>0</v>
      </c>
      <c r="P61" s="219">
        <f>-'Table 5C1A-Madison Prep'!L61</f>
        <v>0</v>
      </c>
      <c r="Q61" s="219">
        <f>-'Table 5C1B-DArbonne'!L61</f>
        <v>0</v>
      </c>
      <c r="R61" s="219">
        <f>-'Table 5C1C-Intl_VIBE'!L61</f>
        <v>0</v>
      </c>
      <c r="S61" s="219">
        <f>-'Table 5C1D-NOMMA'!L61</f>
        <v>0</v>
      </c>
      <c r="T61" s="219">
        <f>-'Table 5C1E-LFNO'!L61</f>
        <v>0</v>
      </c>
      <c r="U61" s="219">
        <f>-'Table 5C1F-Lake Charles Charter'!L61</f>
        <v>0</v>
      </c>
      <c r="V61" s="219">
        <f>-'Table 5C1G-JS Clark Academy'!L61</f>
        <v>0</v>
      </c>
      <c r="W61" s="219">
        <f>-'Table 5C1H-Southwest LA Charter'!L61</f>
        <v>0</v>
      </c>
      <c r="X61" s="219">
        <f>-'Table 5C1I-LA Key Academy'!L61</f>
        <v>0</v>
      </c>
      <c r="Y61" s="219">
        <f>-'Table 5C1J-Jefferson Chamber'!L61</f>
        <v>0</v>
      </c>
      <c r="Z61" s="219">
        <f>-'Table 5C1K-Tallulah Charter'!L61</f>
        <v>0</v>
      </c>
      <c r="AA61" s="219">
        <f>-'Table 5C1L-Northshore Charter'!L61</f>
        <v>0</v>
      </c>
      <c r="AB61" s="219">
        <f>-'Table 5C1M-B.R. Charter'!L61</f>
        <v>0</v>
      </c>
      <c r="AC61" s="219">
        <f>-'Table 5C1N-Delta Charter'!L61</f>
        <v>0</v>
      </c>
      <c r="AD61" s="210">
        <f>-('Table 5C2 - LA Virtual Admy'!M60+'Table 5C2 - LA Virtual Admy'!I60)</f>
        <v>-187292.6143178044</v>
      </c>
      <c r="AE61" s="210">
        <f>-('Table 5C3 - LA Connections EBR'!M60+'Table 5C3 - LA Connections EBR'!I60)</f>
        <v>-156920.83902302527</v>
      </c>
      <c r="AF61" s="210">
        <f t="shared" si="32"/>
        <v>-344213.4533408297</v>
      </c>
      <c r="AG61" s="210">
        <f>+'Table 4 Level 4'!E59</f>
        <v>0</v>
      </c>
      <c r="AH61" s="210">
        <f>+'Table 4 Level 4'!N59</f>
        <v>191880</v>
      </c>
      <c r="AI61" s="322">
        <f t="shared" si="33"/>
        <v>89907329</v>
      </c>
      <c r="AJ61" s="209"/>
      <c r="AK61" s="209">
        <f t="shared" si="29"/>
        <v>89907329</v>
      </c>
      <c r="AL61" s="209">
        <f t="shared" si="30"/>
        <v>7492277</v>
      </c>
      <c r="AM61" s="210">
        <f>+'Table 4 Level 4'!J59</f>
        <v>0</v>
      </c>
      <c r="AN61" s="210">
        <f>+'Table 4 Level 4'!K59</f>
        <v>0</v>
      </c>
      <c r="AO61" s="210">
        <f>+'Table 4 Level 4'!L59</f>
        <v>0</v>
      </c>
      <c r="AP61" s="322">
        <f t="shared" si="31"/>
        <v>89907329</v>
      </c>
    </row>
    <row r="62" spans="1:42" ht="14.4" customHeight="1">
      <c r="A62" s="1250">
        <v>56</v>
      </c>
      <c r="B62" s="1251" t="s">
        <v>135</v>
      </c>
      <c r="C62" s="1252">
        <f>'Table 3 Levels 1&amp;2'!AO59</f>
        <v>16286133.615232</v>
      </c>
      <c r="D62" s="1253">
        <v>0</v>
      </c>
      <c r="E62" s="1253">
        <v>0</v>
      </c>
      <c r="F62" s="1253">
        <f t="shared" si="25"/>
        <v>0</v>
      </c>
      <c r="G62" s="1252">
        <f t="shared" si="22"/>
        <v>0</v>
      </c>
      <c r="H62" s="1253">
        <f t="shared" si="26"/>
        <v>0</v>
      </c>
      <c r="I62" s="1253"/>
      <c r="J62" s="1253"/>
      <c r="K62" s="1253">
        <f t="shared" si="27"/>
        <v>0</v>
      </c>
      <c r="L62" s="1253"/>
      <c r="M62" s="1253"/>
      <c r="N62" s="1253">
        <f t="shared" si="28"/>
        <v>0</v>
      </c>
      <c r="O62" s="1253">
        <v>0</v>
      </c>
      <c r="P62" s="1253">
        <f>-'Table 5C1A-Madison Prep'!L62</f>
        <v>0</v>
      </c>
      <c r="Q62" s="1270">
        <f>-'Table 5C1B-DArbonne'!L62-'Table 5C1B-DArbonne'!L76</f>
        <v>-3865558.3944677478</v>
      </c>
      <c r="R62" s="1253">
        <f>-'Table 5C1C-Intl_VIBE'!L62</f>
        <v>0</v>
      </c>
      <c r="S62" s="1253">
        <f>-'Table 5C1D-NOMMA'!L62</f>
        <v>0</v>
      </c>
      <c r="T62" s="1253">
        <f>-'Table 5C1E-LFNO'!L62</f>
        <v>0</v>
      </c>
      <c r="U62" s="1253">
        <f>-'Table 5C1F-Lake Charles Charter'!L62</f>
        <v>0</v>
      </c>
      <c r="V62" s="1253">
        <f>-'Table 5C1G-JS Clark Academy'!L62</f>
        <v>0</v>
      </c>
      <c r="W62" s="1253">
        <f>-'Table 5C1H-Southwest LA Charter'!L62</f>
        <v>0</v>
      </c>
      <c r="X62" s="1253">
        <f>-'Table 5C1I-LA Key Academy'!L62</f>
        <v>0</v>
      </c>
      <c r="Y62" s="1253">
        <f>-'Table 5C1J-Jefferson Chamber'!L62</f>
        <v>0</v>
      </c>
      <c r="Z62" s="1253">
        <f>-'Table 5C1K-Tallulah Charter'!L62</f>
        <v>0</v>
      </c>
      <c r="AA62" s="1253">
        <f>-'Table 5C1L-Northshore Charter'!L62</f>
        <v>0</v>
      </c>
      <c r="AB62" s="1253">
        <f>-'Table 5C1M-B.R. Charter'!L62</f>
        <v>0</v>
      </c>
      <c r="AC62" s="1253">
        <f>-'Table 5C1N-Delta Charter'!L62</f>
        <v>0</v>
      </c>
      <c r="AD62" s="1254">
        <f>-('Table 5C2 - LA Virtual Admy'!M61+'Table 5C2 - LA Virtual Admy'!I61)</f>
        <v>-33858.905644972969</v>
      </c>
      <c r="AE62" s="1254">
        <f>-('Table 5C3 - LA Connections EBR'!M61+'Table 5C3 - LA Connections EBR'!I61)</f>
        <v>-22572.603763315317</v>
      </c>
      <c r="AF62" s="1254">
        <f t="shared" si="32"/>
        <v>-3921989.9038760359</v>
      </c>
      <c r="AG62" s="1254">
        <f>+'Table 4 Level 4'!E60</f>
        <v>0</v>
      </c>
      <c r="AH62" s="1254">
        <f>+'Table 4 Level 4'!N60</f>
        <v>26546</v>
      </c>
      <c r="AI62" s="1255">
        <f t="shared" si="33"/>
        <v>12390690</v>
      </c>
      <c r="AJ62" s="1252"/>
      <c r="AK62" s="1252">
        <f t="shared" si="29"/>
        <v>12390690</v>
      </c>
      <c r="AL62" s="1252">
        <f t="shared" si="30"/>
        <v>1032558</v>
      </c>
      <c r="AM62" s="1254">
        <f>+'Table 4 Level 4'!J60</f>
        <v>0</v>
      </c>
      <c r="AN62" s="1254">
        <f>+'Table 4 Level 4'!K60</f>
        <v>0</v>
      </c>
      <c r="AO62" s="1254">
        <f>+'Table 4 Level 4'!L60</f>
        <v>0</v>
      </c>
      <c r="AP62" s="1255">
        <f t="shared" si="31"/>
        <v>12390690</v>
      </c>
    </row>
    <row r="63" spans="1:42" ht="14.4" customHeight="1">
      <c r="A63" s="1256">
        <v>57</v>
      </c>
      <c r="B63" s="1257" t="s">
        <v>136</v>
      </c>
      <c r="C63" s="1258">
        <f>'Table 3 Levels 1&amp;2'!AO60</f>
        <v>49188333.468548</v>
      </c>
      <c r="D63" s="1259">
        <v>0</v>
      </c>
      <c r="E63" s="1259">
        <v>0</v>
      </c>
      <c r="F63" s="1259">
        <f t="shared" si="25"/>
        <v>0</v>
      </c>
      <c r="G63" s="1258">
        <f t="shared" si="22"/>
        <v>0</v>
      </c>
      <c r="H63" s="1259">
        <f t="shared" si="26"/>
        <v>0</v>
      </c>
      <c r="I63" s="1259"/>
      <c r="J63" s="1259"/>
      <c r="K63" s="1259">
        <f t="shared" si="27"/>
        <v>0</v>
      </c>
      <c r="L63" s="1259"/>
      <c r="M63" s="1259"/>
      <c r="N63" s="1259">
        <f t="shared" si="28"/>
        <v>0</v>
      </c>
      <c r="O63" s="1259">
        <v>0</v>
      </c>
      <c r="P63" s="1259">
        <f>-'Table 5C1A-Madison Prep'!L63</f>
        <v>0</v>
      </c>
      <c r="Q63" s="1259">
        <f>-'Table 5C1B-DArbonne'!L63</f>
        <v>0</v>
      </c>
      <c r="R63" s="1259">
        <f>-'Table 5C1C-Intl_VIBE'!L63</f>
        <v>0</v>
      </c>
      <c r="S63" s="1259">
        <f>-'Table 5C1D-NOMMA'!L63</f>
        <v>0</v>
      </c>
      <c r="T63" s="1259">
        <f>-'Table 5C1E-LFNO'!L63</f>
        <v>0</v>
      </c>
      <c r="U63" s="1259">
        <f>-'Table 5C1F-Lake Charles Charter'!L63</f>
        <v>0</v>
      </c>
      <c r="V63" s="1259">
        <f>-'Table 5C1G-JS Clark Academy'!L63</f>
        <v>0</v>
      </c>
      <c r="W63" s="1259">
        <f>-'Table 5C1H-Southwest LA Charter'!L63</f>
        <v>0</v>
      </c>
      <c r="X63" s="1259">
        <f>-'Table 5C1I-LA Key Academy'!L63</f>
        <v>0</v>
      </c>
      <c r="Y63" s="1259">
        <f>-'Table 5C1J-Jefferson Chamber'!L63</f>
        <v>0</v>
      </c>
      <c r="Z63" s="1259">
        <f>-'Table 5C1K-Tallulah Charter'!L63</f>
        <v>0</v>
      </c>
      <c r="AA63" s="1259">
        <f>-'Table 5C1L-Northshore Charter'!L63</f>
        <v>0</v>
      </c>
      <c r="AB63" s="1259">
        <f>-'Table 5C1M-B.R. Charter'!L63</f>
        <v>0</v>
      </c>
      <c r="AC63" s="1259">
        <f>-'Table 5C1N-Delta Charter'!L63</f>
        <v>0</v>
      </c>
      <c r="AD63" s="1260">
        <f>-('Table 5C2 - LA Virtual Admy'!M62+'Table 5C2 - LA Virtual Admy'!I62)</f>
        <v>-123981.55285223058</v>
      </c>
      <c r="AE63" s="1260">
        <f>-('Table 5C3 - LA Connections EBR'!M62+'Table 5C3 - LA Connections EBR'!I62)</f>
        <v>-37733.516085461481</v>
      </c>
      <c r="AF63" s="1260">
        <f t="shared" si="32"/>
        <v>-161715.06893769206</v>
      </c>
      <c r="AG63" s="1260">
        <f>+'Table 4 Level 4'!E61</f>
        <v>0</v>
      </c>
      <c r="AH63" s="1260">
        <f>+'Table 4 Level 4'!N61</f>
        <v>97500</v>
      </c>
      <c r="AI63" s="1261">
        <f t="shared" si="33"/>
        <v>49124118</v>
      </c>
      <c r="AJ63" s="1258"/>
      <c r="AK63" s="1258">
        <f t="shared" si="29"/>
        <v>49124118</v>
      </c>
      <c r="AL63" s="1258">
        <f t="shared" si="30"/>
        <v>4093677</v>
      </c>
      <c r="AM63" s="1260">
        <f>+'Table 4 Level 4'!J61</f>
        <v>0</v>
      </c>
      <c r="AN63" s="1260">
        <f>+'Table 4 Level 4'!K61</f>
        <v>0</v>
      </c>
      <c r="AO63" s="1260">
        <f>+'Table 4 Level 4'!L61</f>
        <v>0</v>
      </c>
      <c r="AP63" s="1261">
        <f t="shared" si="31"/>
        <v>49124118</v>
      </c>
    </row>
    <row r="64" spans="1:42" ht="14.4" customHeight="1">
      <c r="A64" s="1256">
        <v>58</v>
      </c>
      <c r="B64" s="1257" t="s">
        <v>137</v>
      </c>
      <c r="C64" s="1258">
        <f>'Table 3 Levels 1&amp;2'!AO61</f>
        <v>57388708.050768003</v>
      </c>
      <c r="D64" s="1259">
        <v>0</v>
      </c>
      <c r="E64" s="1259">
        <v>0</v>
      </c>
      <c r="F64" s="1259">
        <f t="shared" si="25"/>
        <v>0</v>
      </c>
      <c r="G64" s="1258">
        <f t="shared" si="22"/>
        <v>0</v>
      </c>
      <c r="H64" s="1259">
        <f t="shared" si="26"/>
        <v>0</v>
      </c>
      <c r="I64" s="1259"/>
      <c r="J64" s="1259"/>
      <c r="K64" s="1259">
        <f t="shared" si="27"/>
        <v>0</v>
      </c>
      <c r="L64" s="1259"/>
      <c r="M64" s="1259"/>
      <c r="N64" s="1259">
        <f t="shared" si="28"/>
        <v>0</v>
      </c>
      <c r="O64" s="1259">
        <v>0</v>
      </c>
      <c r="P64" s="1259">
        <f>-'Table 5C1A-Madison Prep'!L64</f>
        <v>0</v>
      </c>
      <c r="Q64" s="1259">
        <f>-'Table 5C1B-DArbonne'!L64</f>
        <v>0</v>
      </c>
      <c r="R64" s="1259">
        <f>-'Table 5C1C-Intl_VIBE'!L64</f>
        <v>0</v>
      </c>
      <c r="S64" s="1259">
        <f>-'Table 5C1D-NOMMA'!L64</f>
        <v>0</v>
      </c>
      <c r="T64" s="1259">
        <f>-'Table 5C1E-LFNO'!L64</f>
        <v>0</v>
      </c>
      <c r="U64" s="1259">
        <f>-'Table 5C1F-Lake Charles Charter'!L64</f>
        <v>0</v>
      </c>
      <c r="V64" s="1259">
        <f>-'Table 5C1G-JS Clark Academy'!L64</f>
        <v>0</v>
      </c>
      <c r="W64" s="1259">
        <f>-'Table 5C1H-Southwest LA Charter'!L64</f>
        <v>0</v>
      </c>
      <c r="X64" s="1259">
        <f>-'Table 5C1I-LA Key Academy'!L64</f>
        <v>0</v>
      </c>
      <c r="Y64" s="1259">
        <f>-'Table 5C1J-Jefferson Chamber'!L64</f>
        <v>0</v>
      </c>
      <c r="Z64" s="1259">
        <f>-'Table 5C1K-Tallulah Charter'!L64</f>
        <v>0</v>
      </c>
      <c r="AA64" s="1259">
        <f>-'Table 5C1L-Northshore Charter'!L64</f>
        <v>0</v>
      </c>
      <c r="AB64" s="1259">
        <f>-'Table 5C1M-B.R. Charter'!L64</f>
        <v>0</v>
      </c>
      <c r="AC64" s="1259">
        <f>-'Table 5C1N-Delta Charter'!L64</f>
        <v>0</v>
      </c>
      <c r="AD64" s="1260">
        <f>-('Table 5C2 - LA Virtual Admy'!M63+'Table 5C2 - LA Virtual Admy'!I63)</f>
        <v>-331247.95411698706</v>
      </c>
      <c r="AE64" s="1260">
        <f>-('Table 5C3 - LA Connections EBR'!M63+'Table 5C3 - LA Connections EBR'!I63)</f>
        <v>-178364.28298606994</v>
      </c>
      <c r="AF64" s="1260">
        <f t="shared" si="32"/>
        <v>-509612.23710305698</v>
      </c>
      <c r="AG64" s="1260">
        <f>+'Table 4 Level 4'!E62</f>
        <v>0</v>
      </c>
      <c r="AH64" s="1260">
        <f>+'Table 4 Level 4'!N62</f>
        <v>94172</v>
      </c>
      <c r="AI64" s="1261">
        <f t="shared" si="33"/>
        <v>56973268</v>
      </c>
      <c r="AJ64" s="1258"/>
      <c r="AK64" s="1258">
        <f t="shared" si="29"/>
        <v>56973268</v>
      </c>
      <c r="AL64" s="1258">
        <f t="shared" si="30"/>
        <v>4747772</v>
      </c>
      <c r="AM64" s="1260">
        <f>+'Table 4 Level 4'!J62</f>
        <v>0</v>
      </c>
      <c r="AN64" s="1260">
        <f>+'Table 4 Level 4'!K62</f>
        <v>0</v>
      </c>
      <c r="AO64" s="1260">
        <f>+'Table 4 Level 4'!L62</f>
        <v>0</v>
      </c>
      <c r="AP64" s="1261">
        <f t="shared" si="31"/>
        <v>56973268</v>
      </c>
    </row>
    <row r="65" spans="1:42" ht="14.4" customHeight="1">
      <c r="A65" s="1256">
        <v>59</v>
      </c>
      <c r="B65" s="1257" t="s">
        <v>138</v>
      </c>
      <c r="C65" s="1258">
        <f>'Table 3 Levels 1&amp;2'!AO62</f>
        <v>37646739.945344001</v>
      </c>
      <c r="D65" s="1259">
        <v>0</v>
      </c>
      <c r="E65" s="1259">
        <v>0</v>
      </c>
      <c r="F65" s="1259">
        <f t="shared" si="25"/>
        <v>0</v>
      </c>
      <c r="G65" s="1258">
        <f t="shared" si="22"/>
        <v>0</v>
      </c>
      <c r="H65" s="1259">
        <f t="shared" si="26"/>
        <v>0</v>
      </c>
      <c r="I65" s="1259"/>
      <c r="J65" s="1259"/>
      <c r="K65" s="1259">
        <f t="shared" si="27"/>
        <v>0</v>
      </c>
      <c r="L65" s="1259"/>
      <c r="M65" s="1259"/>
      <c r="N65" s="1259">
        <f t="shared" si="28"/>
        <v>0</v>
      </c>
      <c r="O65" s="1259">
        <v>0</v>
      </c>
      <c r="P65" s="1259">
        <f>-'Table 5C1A-Madison Prep'!L65</f>
        <v>0</v>
      </c>
      <c r="Q65" s="1259">
        <f>-'Table 5C1B-DArbonne'!L65</f>
        <v>0</v>
      </c>
      <c r="R65" s="1259">
        <f>-'Table 5C1C-Intl_VIBE'!L65</f>
        <v>0</v>
      </c>
      <c r="S65" s="1259">
        <f>-'Table 5C1D-NOMMA'!L65</f>
        <v>0</v>
      </c>
      <c r="T65" s="1259">
        <f>-'Table 5C1E-LFNO'!L65</f>
        <v>0</v>
      </c>
      <c r="U65" s="1259">
        <f>-'Table 5C1F-Lake Charles Charter'!L65</f>
        <v>0</v>
      </c>
      <c r="V65" s="1259">
        <f>-'Table 5C1G-JS Clark Academy'!L65</f>
        <v>0</v>
      </c>
      <c r="W65" s="1259">
        <f>-'Table 5C1H-Southwest LA Charter'!L65</f>
        <v>0</v>
      </c>
      <c r="X65" s="1259">
        <f>-'Table 5C1I-LA Key Academy'!L65</f>
        <v>0</v>
      </c>
      <c r="Y65" s="1259">
        <f>-'Table 5C1J-Jefferson Chamber'!L65</f>
        <v>0</v>
      </c>
      <c r="Z65" s="1259">
        <f>-'Table 5C1K-Tallulah Charter'!L65</f>
        <v>0</v>
      </c>
      <c r="AA65" s="1259">
        <f>-'Table 5C1L-Northshore Charter'!L65</f>
        <v>-87737.595522262185</v>
      </c>
      <c r="AB65" s="1259">
        <f>-'Table 5C1M-B.R. Charter'!L65</f>
        <v>0</v>
      </c>
      <c r="AC65" s="1259">
        <f>-'Table 5C1N-Delta Charter'!L65</f>
        <v>0</v>
      </c>
      <c r="AD65" s="1260">
        <f>-('Table 5C2 - LA Virtual Admy'!M64+'Table 5C2 - LA Virtual Admy'!I64)</f>
        <v>-175475.19104452437</v>
      </c>
      <c r="AE65" s="1260">
        <f>-('Table 5C3 - LA Connections EBR'!M64+'Table 5C3 - LA Connections EBR'!I64)</f>
        <v>-65803.196641696632</v>
      </c>
      <c r="AF65" s="1260">
        <f t="shared" si="32"/>
        <v>-329015.9832084832</v>
      </c>
      <c r="AG65" s="1260">
        <f>+'Table 4 Level 4'!E63</f>
        <v>0</v>
      </c>
      <c r="AH65" s="1260">
        <f>+'Table 4 Level 4'!N63</f>
        <v>60034</v>
      </c>
      <c r="AI65" s="1261">
        <f t="shared" si="33"/>
        <v>37377758</v>
      </c>
      <c r="AJ65" s="1258"/>
      <c r="AK65" s="1258">
        <f t="shared" si="29"/>
        <v>37377758</v>
      </c>
      <c r="AL65" s="1258">
        <f t="shared" si="30"/>
        <v>3114813</v>
      </c>
      <c r="AM65" s="1260">
        <f>+'Table 4 Level 4'!J63</f>
        <v>0</v>
      </c>
      <c r="AN65" s="1260">
        <f>+'Table 4 Level 4'!K63</f>
        <v>0</v>
      </c>
      <c r="AO65" s="1260">
        <f>+'Table 4 Level 4'!L63</f>
        <v>0</v>
      </c>
      <c r="AP65" s="1261">
        <f t="shared" si="31"/>
        <v>37377758</v>
      </c>
    </row>
    <row r="66" spans="1:42" ht="14.4" customHeight="1">
      <c r="A66" s="85">
        <v>60</v>
      </c>
      <c r="B66" s="207" t="s">
        <v>139</v>
      </c>
      <c r="C66" s="209">
        <f>'Table 3 Levels 1&amp;2'!AO63</f>
        <v>37971396.00410112</v>
      </c>
      <c r="D66" s="219">
        <v>0</v>
      </c>
      <c r="E66" s="219">
        <v>0</v>
      </c>
      <c r="F66" s="219">
        <f t="shared" si="25"/>
        <v>0</v>
      </c>
      <c r="G66" s="209">
        <f t="shared" si="22"/>
        <v>0</v>
      </c>
      <c r="H66" s="219">
        <f t="shared" si="26"/>
        <v>0</v>
      </c>
      <c r="I66" s="219"/>
      <c r="J66" s="219"/>
      <c r="K66" s="219">
        <f t="shared" si="27"/>
        <v>0</v>
      </c>
      <c r="L66" s="219"/>
      <c r="M66" s="219"/>
      <c r="N66" s="219">
        <f t="shared" si="28"/>
        <v>0</v>
      </c>
      <c r="O66" s="219">
        <v>0</v>
      </c>
      <c r="P66" s="219">
        <f>-'Table 5C1A-Madison Prep'!L66</f>
        <v>0</v>
      </c>
      <c r="Q66" s="219">
        <f>-'Table 5C1B-DArbonne'!L66</f>
        <v>0</v>
      </c>
      <c r="R66" s="219">
        <f>-'Table 5C1C-Intl_VIBE'!L66</f>
        <v>0</v>
      </c>
      <c r="S66" s="219">
        <f>-'Table 5C1D-NOMMA'!L66</f>
        <v>0</v>
      </c>
      <c r="T66" s="219">
        <f>-'Table 5C1E-LFNO'!L66</f>
        <v>0</v>
      </c>
      <c r="U66" s="219">
        <f>-'Table 5C1F-Lake Charles Charter'!L66</f>
        <v>0</v>
      </c>
      <c r="V66" s="219">
        <f>-'Table 5C1G-JS Clark Academy'!L66</f>
        <v>0</v>
      </c>
      <c r="W66" s="219">
        <f>-'Table 5C1H-Southwest LA Charter'!L66</f>
        <v>0</v>
      </c>
      <c r="X66" s="219">
        <f>-'Table 5C1I-LA Key Academy'!L66</f>
        <v>0</v>
      </c>
      <c r="Y66" s="219">
        <f>-'Table 5C1J-Jefferson Chamber'!L66</f>
        <v>0</v>
      </c>
      <c r="Z66" s="219">
        <f>-'Table 5C1K-Tallulah Charter'!L66</f>
        <v>0</v>
      </c>
      <c r="AA66" s="219">
        <f>-'Table 5C1L-Northshore Charter'!L66</f>
        <v>0</v>
      </c>
      <c r="AB66" s="219">
        <f>-'Table 5C1M-B.R. Charter'!L66</f>
        <v>0</v>
      </c>
      <c r="AC66" s="219">
        <f>-'Table 5C1N-Delta Charter'!L66</f>
        <v>0</v>
      </c>
      <c r="AD66" s="210">
        <f>-('Table 5C2 - LA Virtual Admy'!M65+'Table 5C2 - LA Virtual Admy'!I65)</f>
        <v>-82533.69726089359</v>
      </c>
      <c r="AE66" s="210">
        <f>-('Table 5C3 - LA Connections EBR'!M65+'Table 5C3 - LA Connections EBR'!I65)</f>
        <v>-112010.01771121274</v>
      </c>
      <c r="AF66" s="210">
        <f t="shared" si="32"/>
        <v>-194543.71497210633</v>
      </c>
      <c r="AG66" s="210">
        <f>+'Table 4 Level 4'!E64</f>
        <v>0</v>
      </c>
      <c r="AH66" s="210">
        <f>+'Table 4 Level 4'!N64</f>
        <v>72930</v>
      </c>
      <c r="AI66" s="322">
        <f t="shared" si="33"/>
        <v>37849782</v>
      </c>
      <c r="AJ66" s="209"/>
      <c r="AK66" s="209">
        <f t="shared" si="29"/>
        <v>37849782</v>
      </c>
      <c r="AL66" s="209">
        <f t="shared" si="30"/>
        <v>3154149</v>
      </c>
      <c r="AM66" s="210">
        <f>+'Table 4 Level 4'!J64</f>
        <v>0</v>
      </c>
      <c r="AN66" s="210">
        <f>+'Table 4 Level 4'!K64</f>
        <v>0</v>
      </c>
      <c r="AO66" s="210">
        <f>+'Table 4 Level 4'!L64</f>
        <v>0</v>
      </c>
      <c r="AP66" s="322">
        <f t="shared" si="31"/>
        <v>37849782</v>
      </c>
    </row>
    <row r="67" spans="1:42" ht="14.4" customHeight="1">
      <c r="A67" s="1250">
        <v>61</v>
      </c>
      <c r="B67" s="1251" t="s">
        <v>140</v>
      </c>
      <c r="C67" s="1252">
        <f>'Table 3 Levels 1&amp;2'!AO64</f>
        <v>13353768.346541282</v>
      </c>
      <c r="D67" s="1253">
        <v>0</v>
      </c>
      <c r="E67" s="1253">
        <v>0</v>
      </c>
      <c r="F67" s="1253">
        <f t="shared" si="25"/>
        <v>0</v>
      </c>
      <c r="G67" s="1252">
        <f t="shared" si="22"/>
        <v>0</v>
      </c>
      <c r="H67" s="1253">
        <f t="shared" si="26"/>
        <v>0</v>
      </c>
      <c r="I67" s="1253"/>
      <c r="J67" s="1253"/>
      <c r="K67" s="1253">
        <f t="shared" si="27"/>
        <v>0</v>
      </c>
      <c r="L67" s="1253"/>
      <c r="M67" s="1253"/>
      <c r="N67" s="1253">
        <f t="shared" si="28"/>
        <v>0</v>
      </c>
      <c r="O67" s="1253">
        <v>0</v>
      </c>
      <c r="P67" s="1253">
        <f>-'Table 5C1A-Madison Prep'!L67</f>
        <v>-3687.8675356369185</v>
      </c>
      <c r="Q67" s="1253">
        <f>-'Table 5C1B-DArbonne'!L67</f>
        <v>0</v>
      </c>
      <c r="R67" s="1253">
        <f>-'Table 5C1C-Intl_VIBE'!L67</f>
        <v>0</v>
      </c>
      <c r="S67" s="1253">
        <f>-'Table 5C1D-NOMMA'!L67</f>
        <v>0</v>
      </c>
      <c r="T67" s="1253">
        <f>-'Table 5C1E-LFNO'!L67</f>
        <v>0</v>
      </c>
      <c r="U67" s="1253">
        <f>-'Table 5C1F-Lake Charles Charter'!L67</f>
        <v>0</v>
      </c>
      <c r="V67" s="1253">
        <f>-'Table 5C1G-JS Clark Academy'!L67</f>
        <v>0</v>
      </c>
      <c r="W67" s="1253">
        <f>-'Table 5C1H-Southwest LA Charter'!L67</f>
        <v>0</v>
      </c>
      <c r="X67" s="1253">
        <f>-'Table 5C1I-LA Key Academy'!L67</f>
        <v>-3687.8675356369185</v>
      </c>
      <c r="Y67" s="1253">
        <f>-'Table 5C1J-Jefferson Chamber'!L67</f>
        <v>0</v>
      </c>
      <c r="Z67" s="1253">
        <f>-'Table 5C1K-Tallulah Charter'!L67</f>
        <v>0</v>
      </c>
      <c r="AA67" s="1253">
        <f>-'Table 5C1L-Northshore Charter'!L67</f>
        <v>0</v>
      </c>
      <c r="AB67" s="1253">
        <f>-'Table 5C1M-B.R. Charter'!L67</f>
        <v>0</v>
      </c>
      <c r="AC67" s="1253">
        <f>-'Table 5C1N-Delta Charter'!L67</f>
        <v>0</v>
      </c>
      <c r="AD67" s="1254">
        <f>-('Table 5C2 - LA Virtual Admy'!M66+'Table 5C2 - LA Virtual Admy'!I66)</f>
        <v>-22127.205213821511</v>
      </c>
      <c r="AE67" s="1254">
        <f>-('Table 5C3 - LA Connections EBR'!M66+'Table 5C3 - LA Connections EBR'!I66)</f>
        <v>-36878.675356369189</v>
      </c>
      <c r="AF67" s="1254">
        <f t="shared" si="32"/>
        <v>-66381.615641464537</v>
      </c>
      <c r="AG67" s="1254">
        <f>+'Table 4 Level 4'!E65</f>
        <v>0</v>
      </c>
      <c r="AH67" s="1254">
        <f>+'Table 4 Level 4'!N65</f>
        <v>40170</v>
      </c>
      <c r="AI67" s="1255">
        <f t="shared" si="33"/>
        <v>13327557</v>
      </c>
      <c r="AJ67" s="1252"/>
      <c r="AK67" s="1252">
        <f t="shared" si="29"/>
        <v>13327557</v>
      </c>
      <c r="AL67" s="1252">
        <f t="shared" si="30"/>
        <v>1110630</v>
      </c>
      <c r="AM67" s="1254">
        <f>+'Table 4 Level 4'!J65</f>
        <v>0</v>
      </c>
      <c r="AN67" s="1254">
        <f>+'Table 4 Level 4'!K65</f>
        <v>0</v>
      </c>
      <c r="AO67" s="1254">
        <f>+'Table 4 Level 4'!L65</f>
        <v>0</v>
      </c>
      <c r="AP67" s="1255">
        <f t="shared" si="31"/>
        <v>13327557</v>
      </c>
    </row>
    <row r="68" spans="1:42" ht="14.4" customHeight="1">
      <c r="A68" s="1256">
        <v>62</v>
      </c>
      <c r="B68" s="1257" t="s">
        <v>141</v>
      </c>
      <c r="C68" s="1258">
        <f>'Table 3 Levels 1&amp;2'!AO65</f>
        <v>13630036.239808001</v>
      </c>
      <c r="D68" s="1259">
        <v>0</v>
      </c>
      <c r="E68" s="1259">
        <v>0</v>
      </c>
      <c r="F68" s="1259">
        <f t="shared" si="25"/>
        <v>0</v>
      </c>
      <c r="G68" s="1258">
        <f t="shared" si="22"/>
        <v>0</v>
      </c>
      <c r="H68" s="1259">
        <f t="shared" si="26"/>
        <v>0</v>
      </c>
      <c r="I68" s="1259"/>
      <c r="J68" s="1259"/>
      <c r="K68" s="1259">
        <f t="shared" si="27"/>
        <v>0</v>
      </c>
      <c r="L68" s="1259"/>
      <c r="M68" s="1259"/>
      <c r="N68" s="1259">
        <f t="shared" si="28"/>
        <v>0</v>
      </c>
      <c r="O68" s="1259">
        <v>0</v>
      </c>
      <c r="P68" s="1259">
        <f>-'Table 5C1A-Madison Prep'!L68</f>
        <v>0</v>
      </c>
      <c r="Q68" s="1259">
        <f>-'Table 5C1B-DArbonne'!L68</f>
        <v>0</v>
      </c>
      <c r="R68" s="1259">
        <f>-'Table 5C1C-Intl_VIBE'!L68</f>
        <v>0</v>
      </c>
      <c r="S68" s="1259">
        <f>-'Table 5C1D-NOMMA'!L68</f>
        <v>0</v>
      </c>
      <c r="T68" s="1259">
        <f>-'Table 5C1E-LFNO'!L68</f>
        <v>0</v>
      </c>
      <c r="U68" s="1259">
        <f>-'Table 5C1F-Lake Charles Charter'!L68</f>
        <v>0</v>
      </c>
      <c r="V68" s="1259">
        <f>-'Table 5C1G-JS Clark Academy'!L68</f>
        <v>0</v>
      </c>
      <c r="W68" s="1259">
        <f>-'Table 5C1H-Southwest LA Charter'!L68</f>
        <v>0</v>
      </c>
      <c r="X68" s="1259">
        <f>-'Table 5C1I-LA Key Academy'!L68</f>
        <v>0</v>
      </c>
      <c r="Y68" s="1259">
        <f>-'Table 5C1J-Jefferson Chamber'!L68</f>
        <v>0</v>
      </c>
      <c r="Z68" s="1259">
        <f>-'Table 5C1K-Tallulah Charter'!L68</f>
        <v>0</v>
      </c>
      <c r="AA68" s="1259">
        <f>-'Table 5C1L-Northshore Charter'!L68</f>
        <v>0</v>
      </c>
      <c r="AB68" s="1259">
        <f>-'Table 5C1M-B.R. Charter'!L68</f>
        <v>0</v>
      </c>
      <c r="AC68" s="1259">
        <f>-'Table 5C1N-Delta Charter'!L68</f>
        <v>0</v>
      </c>
      <c r="AD68" s="1260">
        <f>-('Table 5C2 - LA Virtual Admy'!M67+'Table 5C2 - LA Virtual Admy'!I67)</f>
        <v>-64171.545385160083</v>
      </c>
      <c r="AE68" s="1260">
        <f>-('Table 5C3 - LA Connections EBR'!M67+'Table 5C3 - LA Connections EBR'!I67)</f>
        <v>-6417.154538516008</v>
      </c>
      <c r="AF68" s="1260">
        <f t="shared" si="32"/>
        <v>-70588.699923676089</v>
      </c>
      <c r="AG68" s="1260">
        <f>+'Table 4 Level 4'!E66</f>
        <v>0</v>
      </c>
      <c r="AH68" s="1260">
        <f>+'Table 4 Level 4'!N66</f>
        <v>22854</v>
      </c>
      <c r="AI68" s="1261">
        <f t="shared" si="33"/>
        <v>13582302</v>
      </c>
      <c r="AJ68" s="1258"/>
      <c r="AK68" s="1258">
        <f t="shared" si="29"/>
        <v>13582302</v>
      </c>
      <c r="AL68" s="1258">
        <f t="shared" si="30"/>
        <v>1131859</v>
      </c>
      <c r="AM68" s="1260">
        <f>+'Table 4 Level 4'!J66</f>
        <v>0</v>
      </c>
      <c r="AN68" s="1260">
        <f>+'Table 4 Level 4'!K66</f>
        <v>0</v>
      </c>
      <c r="AO68" s="1260">
        <f>+'Table 4 Level 4'!L66</f>
        <v>0</v>
      </c>
      <c r="AP68" s="1261">
        <f t="shared" si="31"/>
        <v>13582302</v>
      </c>
    </row>
    <row r="69" spans="1:42" ht="14.4" customHeight="1">
      <c r="A69" s="1256">
        <v>63</v>
      </c>
      <c r="B69" s="1257" t="s">
        <v>142</v>
      </c>
      <c r="C69" s="1258">
        <f>'Table 3 Levels 1&amp;2'!AO66</f>
        <v>9947827.2076006401</v>
      </c>
      <c r="D69" s="1259">
        <v>0</v>
      </c>
      <c r="E69" s="1259">
        <v>0</v>
      </c>
      <c r="F69" s="1259">
        <f t="shared" si="25"/>
        <v>0</v>
      </c>
      <c r="G69" s="1258">
        <f t="shared" si="22"/>
        <v>0</v>
      </c>
      <c r="H69" s="1259">
        <f t="shared" si="26"/>
        <v>0</v>
      </c>
      <c r="I69" s="1259"/>
      <c r="J69" s="1259"/>
      <c r="K69" s="1259">
        <f t="shared" si="27"/>
        <v>0</v>
      </c>
      <c r="L69" s="1259"/>
      <c r="M69" s="1259"/>
      <c r="N69" s="1259">
        <f t="shared" si="28"/>
        <v>0</v>
      </c>
      <c r="O69" s="1259">
        <v>0</v>
      </c>
      <c r="P69" s="1259">
        <f>-'Table 5C1A-Madison Prep'!L69</f>
        <v>0</v>
      </c>
      <c r="Q69" s="1259">
        <f>-'Table 5C1B-DArbonne'!L69</f>
        <v>0</v>
      </c>
      <c r="R69" s="1259">
        <f>-'Table 5C1C-Intl_VIBE'!L69</f>
        <v>0</v>
      </c>
      <c r="S69" s="1259">
        <f>-'Table 5C1D-NOMMA'!L69</f>
        <v>0</v>
      </c>
      <c r="T69" s="1259">
        <f>-'Table 5C1E-LFNO'!L69</f>
        <v>0</v>
      </c>
      <c r="U69" s="1259">
        <f>-'Table 5C1F-Lake Charles Charter'!L69</f>
        <v>0</v>
      </c>
      <c r="V69" s="1259">
        <f>-'Table 5C1G-JS Clark Academy'!L69</f>
        <v>0</v>
      </c>
      <c r="W69" s="1259">
        <f>-'Table 5C1H-Southwest LA Charter'!L69</f>
        <v>0</v>
      </c>
      <c r="X69" s="1259">
        <f>-'Table 5C1I-LA Key Academy'!L69</f>
        <v>0</v>
      </c>
      <c r="Y69" s="1259">
        <f>-'Table 5C1J-Jefferson Chamber'!L69</f>
        <v>0</v>
      </c>
      <c r="Z69" s="1259">
        <f>-'Table 5C1K-Tallulah Charter'!L69</f>
        <v>0</v>
      </c>
      <c r="AA69" s="1259">
        <f>-'Table 5C1L-Northshore Charter'!L69</f>
        <v>0</v>
      </c>
      <c r="AB69" s="1259">
        <f>-'Table 5C1M-B.R. Charter'!L69</f>
        <v>0</v>
      </c>
      <c r="AC69" s="1259">
        <f>-'Table 5C1N-Delta Charter'!L69</f>
        <v>0</v>
      </c>
      <c r="AD69" s="1260">
        <f>-('Table 5C2 - LA Virtual Admy'!M68+'Table 5C2 - LA Virtual Admy'!I68)</f>
        <v>-14643.514044554428</v>
      </c>
      <c r="AE69" s="1260">
        <f>-('Table 5C3 - LA Connections EBR'!M68+'Table 5C3 - LA Connections EBR'!I68)</f>
        <v>0</v>
      </c>
      <c r="AF69" s="1260">
        <f t="shared" si="32"/>
        <v>-14643.514044554428</v>
      </c>
      <c r="AG69" s="1260">
        <f>+'Table 4 Level 4'!E67</f>
        <v>0</v>
      </c>
      <c r="AH69" s="1260">
        <f>+'Table 4 Level 4'!N67</f>
        <v>24596</v>
      </c>
      <c r="AI69" s="1261">
        <f t="shared" si="33"/>
        <v>9957780</v>
      </c>
      <c r="AJ69" s="1258"/>
      <c r="AK69" s="1258">
        <f t="shared" si="29"/>
        <v>9957780</v>
      </c>
      <c r="AL69" s="1258">
        <f t="shared" si="30"/>
        <v>829815</v>
      </c>
      <c r="AM69" s="1260">
        <f>+'Table 4 Level 4'!J67</f>
        <v>0</v>
      </c>
      <c r="AN69" s="1260">
        <f>+'Table 4 Level 4'!K67</f>
        <v>0</v>
      </c>
      <c r="AO69" s="1260">
        <f>+'Table 4 Level 4'!L67</f>
        <v>0</v>
      </c>
      <c r="AP69" s="1261">
        <f t="shared" si="31"/>
        <v>9957780</v>
      </c>
    </row>
    <row r="70" spans="1:42" ht="14.4" customHeight="1">
      <c r="A70" s="1256">
        <v>64</v>
      </c>
      <c r="B70" s="1257" t="s">
        <v>143</v>
      </c>
      <c r="C70" s="1258">
        <f>'Table 3 Levels 1&amp;2'!AO67</f>
        <v>16173135.233216001</v>
      </c>
      <c r="D70" s="1259">
        <v>0</v>
      </c>
      <c r="E70" s="1259">
        <v>0</v>
      </c>
      <c r="F70" s="1259">
        <f t="shared" si="25"/>
        <v>0</v>
      </c>
      <c r="G70" s="1258">
        <f t="shared" si="22"/>
        <v>0</v>
      </c>
      <c r="H70" s="1259">
        <f t="shared" si="26"/>
        <v>0</v>
      </c>
      <c r="I70" s="1259"/>
      <c r="J70" s="1259"/>
      <c r="K70" s="1259">
        <f t="shared" si="27"/>
        <v>0</v>
      </c>
      <c r="L70" s="1259"/>
      <c r="M70" s="1259"/>
      <c r="N70" s="1259">
        <f t="shared" si="28"/>
        <v>0</v>
      </c>
      <c r="O70" s="1259">
        <v>0</v>
      </c>
      <c r="P70" s="1259">
        <f>-'Table 5C1A-Madison Prep'!L70</f>
        <v>0</v>
      </c>
      <c r="Q70" s="1259">
        <f>-'Table 5C1B-DArbonne'!L70</f>
        <v>0</v>
      </c>
      <c r="R70" s="1259">
        <f>-'Table 5C1C-Intl_VIBE'!L70</f>
        <v>0</v>
      </c>
      <c r="S70" s="1259">
        <f>-'Table 5C1D-NOMMA'!L70</f>
        <v>0</v>
      </c>
      <c r="T70" s="1259">
        <f>-'Table 5C1E-LFNO'!L70</f>
        <v>0</v>
      </c>
      <c r="U70" s="1259">
        <f>-'Table 5C1F-Lake Charles Charter'!L70</f>
        <v>0</v>
      </c>
      <c r="V70" s="1259">
        <f>-'Table 5C1G-JS Clark Academy'!L70</f>
        <v>0</v>
      </c>
      <c r="W70" s="1259">
        <f>-'Table 5C1H-Southwest LA Charter'!L70</f>
        <v>0</v>
      </c>
      <c r="X70" s="1259">
        <f>-'Table 5C1I-LA Key Academy'!L70</f>
        <v>0</v>
      </c>
      <c r="Y70" s="1259">
        <f>-'Table 5C1J-Jefferson Chamber'!L70</f>
        <v>0</v>
      </c>
      <c r="Z70" s="1259">
        <f>-'Table 5C1K-Tallulah Charter'!L70</f>
        <v>0</v>
      </c>
      <c r="AA70" s="1259">
        <f>-'Table 5C1L-Northshore Charter'!L70</f>
        <v>0</v>
      </c>
      <c r="AB70" s="1259">
        <f>-'Table 5C1M-B.R. Charter'!L70</f>
        <v>0</v>
      </c>
      <c r="AC70" s="1259">
        <f>-'Table 5C1N-Delta Charter'!L70</f>
        <v>0</v>
      </c>
      <c r="AD70" s="1260">
        <f>-('Table 5C2 - LA Virtual Admy'!M69+'Table 5C2 - LA Virtual Admy'!I69)</f>
        <v>-34352.453766389124</v>
      </c>
      <c r="AE70" s="1260">
        <f>-('Table 5C3 - LA Connections EBR'!M69+'Table 5C3 - LA Connections EBR'!I69)</f>
        <v>-20611.472259833477</v>
      </c>
      <c r="AF70" s="1260">
        <f t="shared" si="32"/>
        <v>-54963.926026222602</v>
      </c>
      <c r="AG70" s="1260">
        <f>+'Table 4 Level 4'!E68</f>
        <v>0</v>
      </c>
      <c r="AH70" s="1260">
        <f>+'Table 4 Level 4'!N68</f>
        <v>26884</v>
      </c>
      <c r="AI70" s="1261">
        <f t="shared" si="33"/>
        <v>16145055</v>
      </c>
      <c r="AJ70" s="1258"/>
      <c r="AK70" s="1258">
        <f t="shared" si="29"/>
        <v>16145055</v>
      </c>
      <c r="AL70" s="1258">
        <f t="shared" si="30"/>
        <v>1345421</v>
      </c>
      <c r="AM70" s="1260">
        <f>+'Table 4 Level 4'!J68</f>
        <v>0</v>
      </c>
      <c r="AN70" s="1260">
        <f>+'Table 4 Level 4'!K68</f>
        <v>0</v>
      </c>
      <c r="AO70" s="1260">
        <f>+'Table 4 Level 4'!L68</f>
        <v>0</v>
      </c>
      <c r="AP70" s="1261">
        <f t="shared" si="31"/>
        <v>16145055</v>
      </c>
    </row>
    <row r="71" spans="1:42" ht="14.4" customHeight="1">
      <c r="A71" s="85">
        <v>65</v>
      </c>
      <c r="B71" s="207" t="s">
        <v>144</v>
      </c>
      <c r="C71" s="209">
        <f>'Table 3 Levels 1&amp;2'!AO68</f>
        <v>45820597.812728316</v>
      </c>
      <c r="D71" s="219">
        <v>0</v>
      </c>
      <c r="E71" s="219">
        <v>0</v>
      </c>
      <c r="F71" s="219">
        <f t="shared" si="25"/>
        <v>0</v>
      </c>
      <c r="G71" s="209">
        <f>IF(F71&gt;0,F71,0)</f>
        <v>0</v>
      </c>
      <c r="H71" s="219">
        <f t="shared" si="26"/>
        <v>0</v>
      </c>
      <c r="I71" s="219"/>
      <c r="J71" s="219"/>
      <c r="K71" s="219">
        <f t="shared" si="27"/>
        <v>0</v>
      </c>
      <c r="L71" s="219"/>
      <c r="M71" s="219"/>
      <c r="N71" s="219">
        <f t="shared" si="28"/>
        <v>0</v>
      </c>
      <c r="O71" s="219">
        <v>0</v>
      </c>
      <c r="P71" s="219">
        <f>-'Table 5C1A-Madison Prep'!L71</f>
        <v>0</v>
      </c>
      <c r="Q71" s="219">
        <f>-'Table 5C1B-DArbonne'!L71</f>
        <v>-16812.841663183091</v>
      </c>
      <c r="R71" s="219">
        <f>-'Table 5C1C-Intl_VIBE'!L71</f>
        <v>0</v>
      </c>
      <c r="S71" s="219">
        <f>-'Table 5C1D-NOMMA'!L71</f>
        <v>0</v>
      </c>
      <c r="T71" s="219">
        <f>-'Table 5C1E-LFNO'!L71</f>
        <v>0</v>
      </c>
      <c r="U71" s="219">
        <f>-'Table 5C1F-Lake Charles Charter'!L71</f>
        <v>0</v>
      </c>
      <c r="V71" s="219">
        <f>-'Table 5C1G-JS Clark Academy'!L71</f>
        <v>0</v>
      </c>
      <c r="W71" s="219">
        <f>-'Table 5C1H-Southwest LA Charter'!L71</f>
        <v>0</v>
      </c>
      <c r="X71" s="219">
        <f>-'Table 5C1I-LA Key Academy'!L71</f>
        <v>0</v>
      </c>
      <c r="Y71" s="219">
        <f>-'Table 5C1J-Jefferson Chamber'!L71</f>
        <v>0</v>
      </c>
      <c r="Z71" s="219">
        <f>-'Table 5C1K-Tallulah Charter'!L71</f>
        <v>0</v>
      </c>
      <c r="AA71" s="219">
        <f>-'Table 5C1L-Northshore Charter'!L71</f>
        <v>0</v>
      </c>
      <c r="AB71" s="219">
        <f>-'Table 5C1M-B.R. Charter'!L71</f>
        <v>0</v>
      </c>
      <c r="AC71" s="219">
        <f>-'Table 5C1N-Delta Charter'!L71</f>
        <v>0</v>
      </c>
      <c r="AD71" s="210">
        <f>-('Table 5C2 - LA Virtual Admy'!M70+'Table 5C2 - LA Virtual Admy'!I70)</f>
        <v>0</v>
      </c>
      <c r="AE71" s="210">
        <f>-('Table 5C3 - LA Connections EBR'!M70+'Table 5C3 - LA Connections EBR'!I70)</f>
        <v>0</v>
      </c>
      <c r="AF71" s="210">
        <f t="shared" ref="AF71:AF75" si="34">SUM(O71:AE71)</f>
        <v>-16812.841663183091</v>
      </c>
      <c r="AG71" s="210">
        <f>+'Table 4 Level 4'!E69</f>
        <v>0</v>
      </c>
      <c r="AH71" s="210">
        <f>+'Table 4 Level 4'!N69</f>
        <v>84838</v>
      </c>
      <c r="AI71" s="322">
        <f t="shared" ref="AI71:AI75" si="35">ROUND(C71+F71+K71+N71+AF71+AG71+AH71,0)</f>
        <v>45888623</v>
      </c>
      <c r="AJ71" s="209"/>
      <c r="AK71" s="209">
        <f t="shared" si="29"/>
        <v>45888623</v>
      </c>
      <c r="AL71" s="209">
        <f t="shared" si="30"/>
        <v>3824052</v>
      </c>
      <c r="AM71" s="210">
        <f>+'Table 4 Level 4'!J69</f>
        <v>0</v>
      </c>
      <c r="AN71" s="210">
        <f>+'Table 4 Level 4'!K69</f>
        <v>0</v>
      </c>
      <c r="AO71" s="210">
        <f>+'Table 4 Level 4'!L69</f>
        <v>0</v>
      </c>
      <c r="AP71" s="322">
        <f t="shared" si="31"/>
        <v>45888623</v>
      </c>
    </row>
    <row r="72" spans="1:42" ht="14.4" customHeight="1">
      <c r="A72" s="1250">
        <v>66</v>
      </c>
      <c r="B72" s="1251" t="s">
        <v>145</v>
      </c>
      <c r="C72" s="1252">
        <f>'Table 3 Levels 1&amp;2'!AO69</f>
        <v>14755900.663279999</v>
      </c>
      <c r="D72" s="1253">
        <v>0</v>
      </c>
      <c r="E72" s="1253">
        <v>-10986.197378123818</v>
      </c>
      <c r="F72" s="1253">
        <f>SUM(D72:E72)</f>
        <v>-10986.197378123818</v>
      </c>
      <c r="G72" s="1252">
        <f>IF(F72&gt;0,F72,0)</f>
        <v>0</v>
      </c>
      <c r="H72" s="1253">
        <f>IF(F72&lt;0,F72,0)</f>
        <v>-10986.197378123818</v>
      </c>
      <c r="I72" s="1253"/>
      <c r="J72" s="1253"/>
      <c r="K72" s="1253">
        <f t="shared" ref="K72:K75" si="36">SUM(I72:J72)</f>
        <v>0</v>
      </c>
      <c r="L72" s="1253"/>
      <c r="M72" s="1253"/>
      <c r="N72" s="1253">
        <f t="shared" ref="N72:N75" si="37">SUM(L72:M72)</f>
        <v>0</v>
      </c>
      <c r="O72" s="1253">
        <v>0</v>
      </c>
      <c r="P72" s="1253">
        <f>-'Table 5C1A-Madison Prep'!L72</f>
        <v>0</v>
      </c>
      <c r="Q72" s="1253">
        <f>-'Table 5C1B-DArbonne'!L72</f>
        <v>0</v>
      </c>
      <c r="R72" s="1253">
        <f>-'Table 5C1C-Intl_VIBE'!L72</f>
        <v>0</v>
      </c>
      <c r="S72" s="1253">
        <f>-'Table 5C1D-NOMMA'!L72</f>
        <v>0</v>
      </c>
      <c r="T72" s="1253">
        <f>-'Table 5C1E-LFNO'!L72</f>
        <v>0</v>
      </c>
      <c r="U72" s="1253">
        <f>-'Table 5C1F-Lake Charles Charter'!L72</f>
        <v>0</v>
      </c>
      <c r="V72" s="1253">
        <f>-'Table 5C1G-JS Clark Academy'!L72</f>
        <v>0</v>
      </c>
      <c r="W72" s="1253">
        <f>-'Table 5C1H-Southwest LA Charter'!L72</f>
        <v>0</v>
      </c>
      <c r="X72" s="1253">
        <f>-'Table 5C1I-LA Key Academy'!L72</f>
        <v>0</v>
      </c>
      <c r="Y72" s="1253">
        <f>-'Table 5C1J-Jefferson Chamber'!L72</f>
        <v>0</v>
      </c>
      <c r="Z72" s="1253">
        <f>-'Table 5C1K-Tallulah Charter'!L72</f>
        <v>0</v>
      </c>
      <c r="AA72" s="1253">
        <f>-'Table 5C1L-Northshore Charter'!L72</f>
        <v>-1152462.8298557785</v>
      </c>
      <c r="AB72" s="1253">
        <f>-'Table 5C1M-B.R. Charter'!L72</f>
        <v>0</v>
      </c>
      <c r="AC72" s="1253">
        <f>-'Table 5C1N-Delta Charter'!L72</f>
        <v>0</v>
      </c>
      <c r="AD72" s="1254">
        <f>-('Table 5C2 - LA Virtual Admy'!M71+'Table 5C2 - LA Virtual Admy'!I71)</f>
        <v>-109411.02815086505</v>
      </c>
      <c r="AE72" s="1254">
        <f>-('Table 5C3 - LA Connections EBR'!M71+'Table 5C3 - LA Connections EBR'!I71)</f>
        <v>-36470.342716955012</v>
      </c>
      <c r="AF72" s="1254">
        <f t="shared" si="34"/>
        <v>-1298344.2007235987</v>
      </c>
      <c r="AG72" s="1254">
        <f>+'Table 4 Level 4'!E70</f>
        <v>0</v>
      </c>
      <c r="AH72" s="1254">
        <f>+'Table 4 Level 4'!N70</f>
        <v>20020</v>
      </c>
      <c r="AI72" s="1255">
        <f t="shared" si="35"/>
        <v>13466590</v>
      </c>
      <c r="AJ72" s="1252"/>
      <c r="AK72" s="1252">
        <f t="shared" ref="AK72:AK75" si="38">AI72-AJ72</f>
        <v>13466590</v>
      </c>
      <c r="AL72" s="1252">
        <f t="shared" ref="AL72:AL75" si="39">ROUND(AK72/12,0)</f>
        <v>1122216</v>
      </c>
      <c r="AM72" s="1254">
        <f>+'Table 4 Level 4'!J70</f>
        <v>0</v>
      </c>
      <c r="AN72" s="1254">
        <f>+'Table 4 Level 4'!K70</f>
        <v>0</v>
      </c>
      <c r="AO72" s="1254">
        <f>+'Table 4 Level 4'!L70</f>
        <v>0</v>
      </c>
      <c r="AP72" s="1255">
        <f t="shared" ref="AP72:AP75" si="40">+AI72+AM72+AN72+AO72</f>
        <v>13466590</v>
      </c>
    </row>
    <row r="73" spans="1:42" ht="14.4" customHeight="1">
      <c r="A73" s="1256">
        <v>67</v>
      </c>
      <c r="B73" s="1257" t="s">
        <v>30</v>
      </c>
      <c r="C73" s="1258">
        <f>'Table 3 Levels 1&amp;2'!AO70</f>
        <v>30223165.385980159</v>
      </c>
      <c r="D73" s="1259">
        <v>0</v>
      </c>
      <c r="E73" s="1259">
        <v>-5326.7009653160112</v>
      </c>
      <c r="F73" s="1259">
        <f>SUM(D73:E73)</f>
        <v>-5326.7009653160112</v>
      </c>
      <c r="G73" s="1258">
        <f>IF(F73&gt;0,F73,0)</f>
        <v>0</v>
      </c>
      <c r="H73" s="1259">
        <f>IF(F73&lt;0,F73,0)</f>
        <v>-5326.7009653160112</v>
      </c>
      <c r="I73" s="1259"/>
      <c r="J73" s="1259"/>
      <c r="K73" s="1259">
        <f t="shared" si="36"/>
        <v>0</v>
      </c>
      <c r="L73" s="1259"/>
      <c r="M73" s="1259"/>
      <c r="N73" s="1259">
        <f t="shared" si="37"/>
        <v>0</v>
      </c>
      <c r="O73" s="1259">
        <v>0</v>
      </c>
      <c r="P73" s="1259">
        <f>-'Table 5C1A-Madison Prep'!L73</f>
        <v>-17234.270320840238</v>
      </c>
      <c r="Q73" s="1259">
        <f>-'Table 5C1B-DArbonne'!L73</f>
        <v>0</v>
      </c>
      <c r="R73" s="1259">
        <f>-'Table 5C1C-Intl_VIBE'!L73</f>
        <v>0</v>
      </c>
      <c r="S73" s="1259">
        <f>-'Table 5C1D-NOMMA'!L73</f>
        <v>0</v>
      </c>
      <c r="T73" s="1259">
        <f>-'Table 5C1E-LFNO'!L73</f>
        <v>0</v>
      </c>
      <c r="U73" s="1259">
        <f>-'Table 5C1F-Lake Charles Charter'!L73</f>
        <v>0</v>
      </c>
      <c r="V73" s="1259">
        <f>-'Table 5C1G-JS Clark Academy'!L73</f>
        <v>0</v>
      </c>
      <c r="W73" s="1259">
        <f>-'Table 5C1H-Southwest LA Charter'!L73</f>
        <v>0</v>
      </c>
      <c r="X73" s="1259">
        <f>-'Table 5C1I-LA Key Academy'!L73</f>
        <v>0</v>
      </c>
      <c r="Y73" s="1259">
        <f>-'Table 5C1J-Jefferson Chamber'!L73</f>
        <v>0</v>
      </c>
      <c r="Z73" s="1259">
        <f>-'Table 5C1K-Tallulah Charter'!L73</f>
        <v>0</v>
      </c>
      <c r="AA73" s="1259">
        <f>-'Table 5C1L-Northshore Charter'!L73</f>
        <v>0</v>
      </c>
      <c r="AB73" s="1259">
        <f>-'Table 5C1M-B.R. Charter'!L73</f>
        <v>0</v>
      </c>
      <c r="AC73" s="1259">
        <f>-'Table 5C1N-Delta Charter'!L73</f>
        <v>0</v>
      </c>
      <c r="AD73" s="1260">
        <f>-('Table 5C2 - LA Virtual Admy'!M72+'Table 5C2 - LA Virtual Admy'!I72)</f>
        <v>-22979.027094453646</v>
      </c>
      <c r="AE73" s="1260">
        <f>-('Table 5C3 - LA Connections EBR'!M72+'Table 5C3 - LA Connections EBR'!I72)</f>
        <v>0</v>
      </c>
      <c r="AF73" s="1260">
        <f t="shared" si="34"/>
        <v>-40213.297415293884</v>
      </c>
      <c r="AG73" s="1260">
        <f>+'Table 4 Level 4'!E71</f>
        <v>0</v>
      </c>
      <c r="AH73" s="1260">
        <f>+'Table 4 Level 4'!N71</f>
        <v>62322</v>
      </c>
      <c r="AI73" s="1261">
        <f t="shared" si="35"/>
        <v>30239947</v>
      </c>
      <c r="AJ73" s="1258"/>
      <c r="AK73" s="1258">
        <f t="shared" si="38"/>
        <v>30239947</v>
      </c>
      <c r="AL73" s="1258">
        <f t="shared" si="39"/>
        <v>2519996</v>
      </c>
      <c r="AM73" s="1260">
        <f>+'Table 4 Level 4'!J71</f>
        <v>0</v>
      </c>
      <c r="AN73" s="1260">
        <f>+'Table 4 Level 4'!K71</f>
        <v>0</v>
      </c>
      <c r="AO73" s="1260">
        <f>+'Table 4 Level 4'!L71</f>
        <v>0</v>
      </c>
      <c r="AP73" s="1261">
        <f t="shared" si="40"/>
        <v>30239947</v>
      </c>
    </row>
    <row r="74" spans="1:42" ht="14.4" customHeight="1">
      <c r="A74" s="1256">
        <v>68</v>
      </c>
      <c r="B74" s="1257" t="s">
        <v>28</v>
      </c>
      <c r="C74" s="1258">
        <f>'Table 3 Levels 1&amp;2'!AO71</f>
        <v>11566882.852192001</v>
      </c>
      <c r="D74" s="1259">
        <v>0</v>
      </c>
      <c r="E74" s="1259">
        <v>0</v>
      </c>
      <c r="F74" s="1259">
        <f>SUM(D74:E74)</f>
        <v>0</v>
      </c>
      <c r="G74" s="1258">
        <f>IF(F74&gt;0,F74,0)</f>
        <v>0</v>
      </c>
      <c r="H74" s="1259">
        <f>IF(F74&lt;0,F74,0)</f>
        <v>0</v>
      </c>
      <c r="I74" s="1259"/>
      <c r="J74" s="1259"/>
      <c r="K74" s="1259">
        <f t="shared" si="36"/>
        <v>0</v>
      </c>
      <c r="L74" s="1259"/>
      <c r="M74" s="1259"/>
      <c r="N74" s="1259">
        <f t="shared" si="37"/>
        <v>0</v>
      </c>
      <c r="O74" s="1259">
        <v>0</v>
      </c>
      <c r="P74" s="1259">
        <f>-'Table 5C1A-Madison Prep'!L74</f>
        <v>-50322.050941792426</v>
      </c>
      <c r="Q74" s="1259">
        <f>-'Table 5C1B-DArbonne'!L74</f>
        <v>0</v>
      </c>
      <c r="R74" s="1259">
        <f>-'Table 5C1C-Intl_VIBE'!L74</f>
        <v>0</v>
      </c>
      <c r="S74" s="1259">
        <f>-'Table 5C1D-NOMMA'!L74</f>
        <v>0</v>
      </c>
      <c r="T74" s="1259">
        <f>-'Table 5C1E-LFNO'!L74</f>
        <v>0</v>
      </c>
      <c r="U74" s="1259">
        <f>-'Table 5C1F-Lake Charles Charter'!L74</f>
        <v>0</v>
      </c>
      <c r="V74" s="1259">
        <f>-'Table 5C1G-JS Clark Academy'!L74</f>
        <v>0</v>
      </c>
      <c r="W74" s="1259">
        <f>-'Table 5C1H-Southwest LA Charter'!L74</f>
        <v>0</v>
      </c>
      <c r="X74" s="1259">
        <f>-'Table 5C1I-LA Key Academy'!L74</f>
        <v>0</v>
      </c>
      <c r="Y74" s="1259">
        <f>-'Table 5C1J-Jefferson Chamber'!L74</f>
        <v>0</v>
      </c>
      <c r="Z74" s="1259">
        <f>-'Table 5C1K-Tallulah Charter'!L74</f>
        <v>0</v>
      </c>
      <c r="AA74" s="1259">
        <f>-'Table 5C1L-Northshore Charter'!L74</f>
        <v>0</v>
      </c>
      <c r="AB74" s="1259">
        <f>-'Table 5C1M-B.R. Charter'!L74</f>
        <v>0</v>
      </c>
      <c r="AC74" s="1259">
        <f>-'Table 5C1N-Delta Charter'!L74</f>
        <v>0</v>
      </c>
      <c r="AD74" s="1260">
        <f>-('Table 5C2 - LA Virtual Admy'!M73+'Table 5C2 - LA Virtual Admy'!I73)</f>
        <v>-35944.322101280297</v>
      </c>
      <c r="AE74" s="1260">
        <f>-('Table 5C3 - LA Connections EBR'!M73+'Table 5C3 - LA Connections EBR'!I73)</f>
        <v>0</v>
      </c>
      <c r="AF74" s="1260">
        <f t="shared" si="34"/>
        <v>-86266.37304307273</v>
      </c>
      <c r="AG74" s="1260">
        <f>+'Table 4 Level 4'!E72</f>
        <v>0</v>
      </c>
      <c r="AH74" s="1260">
        <f>+'Table 4 Level 4'!N72</f>
        <v>18460</v>
      </c>
      <c r="AI74" s="1261">
        <f t="shared" si="35"/>
        <v>11499076</v>
      </c>
      <c r="AJ74" s="1258"/>
      <c r="AK74" s="1258">
        <f t="shared" si="38"/>
        <v>11499076</v>
      </c>
      <c r="AL74" s="1258">
        <f t="shared" si="39"/>
        <v>958256</v>
      </c>
      <c r="AM74" s="1260">
        <f>+'Table 4 Level 4'!J72</f>
        <v>0</v>
      </c>
      <c r="AN74" s="1260">
        <f>+'Table 4 Level 4'!K72</f>
        <v>0</v>
      </c>
      <c r="AO74" s="1260">
        <f>+'Table 4 Level 4'!L72</f>
        <v>0</v>
      </c>
      <c r="AP74" s="1261">
        <f t="shared" si="40"/>
        <v>11499076</v>
      </c>
    </row>
    <row r="75" spans="1:42" ht="14.4" customHeight="1">
      <c r="A75" s="1262">
        <v>69</v>
      </c>
      <c r="B75" s="1263" t="s">
        <v>183</v>
      </c>
      <c r="C75" s="1264">
        <f>'Table 3 Levels 1&amp;2'!AO72</f>
        <v>27724674.74844864</v>
      </c>
      <c r="D75" s="1265">
        <v>0</v>
      </c>
      <c r="E75" s="1265">
        <v>0</v>
      </c>
      <c r="F75" s="1265">
        <f>SUM(D75:E75)</f>
        <v>0</v>
      </c>
      <c r="G75" s="1264">
        <f>IF(F75&gt;0,F75,0)</f>
        <v>0</v>
      </c>
      <c r="H75" s="1265">
        <f>IF(F75&lt;0,F75,0)</f>
        <v>0</v>
      </c>
      <c r="I75" s="566"/>
      <c r="J75" s="566"/>
      <c r="K75" s="566">
        <f t="shared" si="36"/>
        <v>0</v>
      </c>
      <c r="L75" s="566"/>
      <c r="M75" s="566"/>
      <c r="N75" s="566">
        <f t="shared" si="37"/>
        <v>0</v>
      </c>
      <c r="O75" s="566">
        <v>0</v>
      </c>
      <c r="P75" s="566">
        <f>-'Table 5C1A-Madison Prep'!L75</f>
        <v>-6428.1647921281337</v>
      </c>
      <c r="Q75" s="566">
        <f>-'Table 5C1B-DArbonne'!L75</f>
        <v>0</v>
      </c>
      <c r="R75" s="566">
        <f>-'Table 5C1C-Intl_VIBE'!L75</f>
        <v>0</v>
      </c>
      <c r="S75" s="566">
        <f>-'Table 5C1D-NOMMA'!L75</f>
        <v>0</v>
      </c>
      <c r="T75" s="566">
        <f>-'Table 5C1E-LFNO'!L75</f>
        <v>0</v>
      </c>
      <c r="U75" s="566">
        <f>-'Table 5C1F-Lake Charles Charter'!L75</f>
        <v>0</v>
      </c>
      <c r="V75" s="566">
        <f>-'Table 5C1G-JS Clark Academy'!L75</f>
        <v>0</v>
      </c>
      <c r="W75" s="566">
        <f>-'Table 5C1H-Southwest LA Charter'!L75</f>
        <v>0</v>
      </c>
      <c r="X75" s="566">
        <f>-'Table 5C1I-LA Key Academy'!L75</f>
        <v>-6428.1647921281337</v>
      </c>
      <c r="Y75" s="566">
        <f>-'Table 5C1J-Jefferson Chamber'!L75</f>
        <v>0</v>
      </c>
      <c r="Z75" s="566">
        <f>-'Table 5C1K-Tallulah Charter'!L75</f>
        <v>0</v>
      </c>
      <c r="AA75" s="566">
        <f>-'Table 5C1L-Northshore Charter'!L75</f>
        <v>0</v>
      </c>
      <c r="AB75" s="566">
        <f>-'Table 5C1M-B.R. Charter'!L75</f>
        <v>0</v>
      </c>
      <c r="AC75" s="566">
        <f>-'Table 5C1N-Delta Charter'!L75</f>
        <v>0</v>
      </c>
      <c r="AD75" s="831">
        <f>-('Table 5C2 - LA Virtual Admy'!M74+'Table 5C2 - LA Virtual Admy'!I74)</f>
        <v>-77137.977505537594</v>
      </c>
      <c r="AE75" s="831">
        <f>-('Table 5C3 - LA Connections EBR'!M74+'Table 5C3 - LA Connections EBR'!I74)</f>
        <v>0</v>
      </c>
      <c r="AF75" s="831">
        <f t="shared" si="34"/>
        <v>-89994.30708979386</v>
      </c>
      <c r="AG75" s="831">
        <f>+'Table 4 Level 4'!E73</f>
        <v>0</v>
      </c>
      <c r="AH75" s="831">
        <f>+'Table 4 Level 4'!N73</f>
        <v>48594</v>
      </c>
      <c r="AI75" s="917">
        <f t="shared" si="35"/>
        <v>27683274</v>
      </c>
      <c r="AJ75" s="614"/>
      <c r="AK75" s="614">
        <f t="shared" si="38"/>
        <v>27683274</v>
      </c>
      <c r="AL75" s="614">
        <f t="shared" si="39"/>
        <v>2306940</v>
      </c>
      <c r="AM75" s="831">
        <f>+'Table 4 Level 4'!J73</f>
        <v>0</v>
      </c>
      <c r="AN75" s="831">
        <f>+'Table 4 Level 4'!K73</f>
        <v>0</v>
      </c>
      <c r="AO75" s="831">
        <f>+'Table 4 Level 4'!L73</f>
        <v>0</v>
      </c>
      <c r="AP75" s="917">
        <f t="shared" si="40"/>
        <v>27683274</v>
      </c>
    </row>
    <row r="76" spans="1:42" ht="14.4" customHeight="1" thickBot="1">
      <c r="A76" s="1266"/>
      <c r="B76" s="1267" t="s">
        <v>146</v>
      </c>
      <c r="C76" s="1268">
        <f t="shared" ref="C76:AO76" si="41">SUM(C7:C75)</f>
        <v>3518098430.5006294</v>
      </c>
      <c r="D76" s="1268">
        <f>SUM(D7:D75)</f>
        <v>-332615.66358499625</v>
      </c>
      <c r="E76" s="1268">
        <f>SUM(E7:E75)</f>
        <v>-804247.12557666202</v>
      </c>
      <c r="F76" s="1268">
        <f>SUM(F7:F75)</f>
        <v>-1136862.7891616581</v>
      </c>
      <c r="G76" s="1268">
        <f t="shared" si="41"/>
        <v>104928.18228220707</v>
      </c>
      <c r="H76" s="1268">
        <f t="shared" si="41"/>
        <v>-1241790.9714438654</v>
      </c>
      <c r="I76" s="1268">
        <f t="shared" si="41"/>
        <v>0</v>
      </c>
      <c r="J76" s="1268">
        <f t="shared" si="41"/>
        <v>0</v>
      </c>
      <c r="K76" s="1268">
        <f t="shared" si="41"/>
        <v>0</v>
      </c>
      <c r="L76" s="1268">
        <f t="shared" si="41"/>
        <v>0</v>
      </c>
      <c r="M76" s="1268">
        <f t="shared" si="41"/>
        <v>0</v>
      </c>
      <c r="N76" s="1268">
        <f t="shared" si="41"/>
        <v>0</v>
      </c>
      <c r="O76" s="1268">
        <f t="shared" si="41"/>
        <v>-138064643.39071012</v>
      </c>
      <c r="P76" s="1268">
        <f t="shared" si="41"/>
        <v>-1172388.100806857</v>
      </c>
      <c r="Q76" s="1268">
        <f t="shared" si="41"/>
        <v>-3975315.4518517684</v>
      </c>
      <c r="R76" s="1268">
        <f t="shared" si="41"/>
        <v>-2003136.3670372069</v>
      </c>
      <c r="S76" s="1268">
        <f t="shared" si="41"/>
        <v>-1527018.3128742334</v>
      </c>
      <c r="T76" s="1268">
        <f t="shared" si="41"/>
        <v>-1330872.8522706218</v>
      </c>
      <c r="U76" s="1268">
        <f t="shared" si="41"/>
        <v>-4318438.7448394783</v>
      </c>
      <c r="V76" s="1268">
        <f t="shared" si="41"/>
        <v>-1090043.3445400111</v>
      </c>
      <c r="W76" s="1268">
        <f t="shared" si="41"/>
        <v>-3349910.2864592946</v>
      </c>
      <c r="X76" s="1268">
        <f>SUM(X7:X75)</f>
        <v>-559763.26121216826</v>
      </c>
      <c r="Y76" s="1268">
        <f t="shared" si="41"/>
        <v>-404146.84935327491</v>
      </c>
      <c r="Z76" s="1268">
        <f t="shared" si="41"/>
        <v>-1796791.4240077059</v>
      </c>
      <c r="AA76" s="1268">
        <f>SUM(AA7:AA75)</f>
        <v>-1240200.4253780406</v>
      </c>
      <c r="AB76" s="1268">
        <f t="shared" si="41"/>
        <v>-1842800.4636464694</v>
      </c>
      <c r="AC76" s="1268">
        <f t="shared" si="41"/>
        <v>-2076457.266281073</v>
      </c>
      <c r="AD76" s="1268">
        <f>SUM(AD7:AD75)</f>
        <v>-9663334.1560427938</v>
      </c>
      <c r="AE76" s="1268">
        <f t="shared" si="41"/>
        <v>-6338800.4092609379</v>
      </c>
      <c r="AF76" s="1268">
        <f t="shared" si="41"/>
        <v>-180754061.106572</v>
      </c>
      <c r="AG76" s="1268">
        <f t="shared" si="41"/>
        <v>4431000</v>
      </c>
      <c r="AH76" s="1268">
        <f t="shared" si="41"/>
        <v>7103434</v>
      </c>
      <c r="AI76" s="1269">
        <f>SUM(AI7:AI75)</f>
        <v>3347741940</v>
      </c>
      <c r="AJ76" s="1268">
        <f t="shared" si="41"/>
        <v>0</v>
      </c>
      <c r="AK76" s="1268">
        <f t="shared" si="41"/>
        <v>3347741940</v>
      </c>
      <c r="AL76" s="1268">
        <f t="shared" si="41"/>
        <v>278978496</v>
      </c>
      <c r="AM76" s="1268">
        <f t="shared" si="41"/>
        <v>0</v>
      </c>
      <c r="AN76" s="1268">
        <f t="shared" si="41"/>
        <v>0</v>
      </c>
      <c r="AO76" s="1268">
        <f t="shared" si="41"/>
        <v>0</v>
      </c>
      <c r="AP76" s="1269">
        <f t="shared" ref="AP76" si="42">SUM(AP7:AP75)</f>
        <v>3347741940</v>
      </c>
    </row>
    <row r="77" spans="1:42" ht="13.8" thickTop="1"/>
  </sheetData>
  <mergeCells count="47">
    <mergeCell ref="AD2:AD4"/>
    <mergeCell ref="AE2:AE4"/>
    <mergeCell ref="W2:W4"/>
    <mergeCell ref="Y2:Y4"/>
    <mergeCell ref="Z2:Z4"/>
    <mergeCell ref="AC2:AC4"/>
    <mergeCell ref="X2:X4"/>
    <mergeCell ref="AA2:AA4"/>
    <mergeCell ref="A2:A4"/>
    <mergeCell ref="G2:H3"/>
    <mergeCell ref="C2:C4"/>
    <mergeCell ref="D2:D4"/>
    <mergeCell ref="E2:E4"/>
    <mergeCell ref="F2:F4"/>
    <mergeCell ref="B2:B4"/>
    <mergeCell ref="P2:P4"/>
    <mergeCell ref="Q2:Q4"/>
    <mergeCell ref="R2:R4"/>
    <mergeCell ref="S2:S4"/>
    <mergeCell ref="T2:T4"/>
    <mergeCell ref="D1:H1"/>
    <mergeCell ref="O2:O4"/>
    <mergeCell ref="AI2:AI4"/>
    <mergeCell ref="AF2:AF4"/>
    <mergeCell ref="I2:K2"/>
    <mergeCell ref="L2:N2"/>
    <mergeCell ref="I3:I4"/>
    <mergeCell ref="J3:J4"/>
    <mergeCell ref="K3:K4"/>
    <mergeCell ref="L3:L4"/>
    <mergeCell ref="M3:M4"/>
    <mergeCell ref="N3:N4"/>
    <mergeCell ref="AB2:AB4"/>
    <mergeCell ref="I1:N1"/>
    <mergeCell ref="U2:U4"/>
    <mergeCell ref="V2:V4"/>
    <mergeCell ref="AG3:AG4"/>
    <mergeCell ref="AH3:AH4"/>
    <mergeCell ref="AG2:AH2"/>
    <mergeCell ref="AP2:AP4"/>
    <mergeCell ref="AN3:AN4"/>
    <mergeCell ref="AO3:AO4"/>
    <mergeCell ref="AM2:AO2"/>
    <mergeCell ref="AM3:AM4"/>
    <mergeCell ref="AJ2:AJ4"/>
    <mergeCell ref="AK2:AK4"/>
    <mergeCell ref="AL2:AL4"/>
  </mergeCells>
  <phoneticPr fontId="50" type="noConversion"/>
  <printOptions horizontalCentered="1"/>
  <pageMargins left="0.25" right="0.2" top="1.1399999999999999" bottom="0.49" header="0.5" footer="0.25"/>
  <pageSetup paperSize="5" scale="76" firstPageNumber="3" fitToWidth="12" orientation="portrait" r:id="rId1"/>
  <headerFooter alignWithMargins="0">
    <oddHeader xml:space="preserve">&amp;L&amp;"Arial,Bold"&amp;18&amp;K000000Table 2:  FY2014-15 Budget Letter  &amp;"Arial,Regular"&amp;10
&amp;"Arial,Bold"&amp;18Distribution and Adjustments </oddHeader>
    <oddFooter>&amp;R&amp;12&amp;P</oddFooter>
  </headerFooter>
  <colBreaks count="3" manualBreakCount="3">
    <brk id="8" max="75" man="1"/>
    <brk id="14" max="75" man="1"/>
    <brk id="38" max="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7" tint="0.79998168889431442"/>
  </sheetPr>
  <dimension ref="A1:AL86"/>
  <sheetViews>
    <sheetView view="pageBreakPreview" zoomScale="80" zoomScaleNormal="85" zoomScaleSheetLayoutView="80" workbookViewId="0">
      <pane xSplit="2" ySplit="5" topLeftCell="C6" activePane="bottomRight" state="frozen"/>
      <selection sqref="A1:H1"/>
      <selection pane="topRight" sqref="A1:H1"/>
      <selection pane="bottomLeft" sqref="A1:H1"/>
      <selection pane="bottomRight" sqref="A1:H1"/>
    </sheetView>
  </sheetViews>
  <sheetFormatPr defaultColWidth="9.109375" defaultRowHeight="18" customHeight="1"/>
  <cols>
    <col min="1" max="1" width="5" style="315" customWidth="1"/>
    <col min="2" max="2" width="37.88671875" style="315" customWidth="1"/>
    <col min="3" max="3" width="12.109375" style="315" bestFit="1" customWidth="1"/>
    <col min="4" max="4" width="14.33203125" style="315" bestFit="1" customWidth="1"/>
    <col min="5" max="5" width="9.88671875" style="321" customWidth="1"/>
    <col min="6" max="7" width="12.33203125" style="321" customWidth="1"/>
    <col min="8" max="8" width="11.5546875" style="315" customWidth="1"/>
    <col min="9" max="9" width="11.33203125" style="315" bestFit="1" customWidth="1"/>
    <col min="10" max="13" width="11.88671875" style="315" customWidth="1"/>
    <col min="14" max="14" width="10.5546875" style="315" bestFit="1" customWidth="1"/>
    <col min="15" max="16" width="11.88671875" style="315" bestFit="1" customWidth="1"/>
    <col min="17" max="17" width="15.5546875" style="315" bestFit="1" customWidth="1"/>
    <col min="18" max="18" width="9.5546875" style="599" bestFit="1" customWidth="1"/>
    <col min="19" max="19" width="10.6640625" style="599" bestFit="1" customWidth="1"/>
    <col min="20" max="20" width="9.88671875" style="315" bestFit="1" customWidth="1"/>
    <col min="21" max="21" width="11.88671875" style="609" bestFit="1" customWidth="1"/>
    <col min="22" max="23" width="15.44140625" style="315" customWidth="1"/>
    <col min="24" max="24" width="12.109375" style="602" bestFit="1" customWidth="1"/>
    <col min="25" max="25" width="13" style="602" bestFit="1" customWidth="1"/>
    <col min="26" max="27" width="12.109375" style="609" bestFit="1" customWidth="1"/>
    <col min="28" max="28" width="10.88671875" style="609" bestFit="1" customWidth="1"/>
    <col min="29" max="29" width="14.44140625" style="602" bestFit="1" customWidth="1"/>
    <col min="30" max="30" width="12.6640625" style="315" bestFit="1" customWidth="1"/>
    <col min="31" max="31" width="14.44140625" style="315" bestFit="1" customWidth="1"/>
    <col min="32" max="32" width="15.44140625" style="315" bestFit="1" customWidth="1"/>
    <col min="33" max="33" width="16.33203125" style="315" bestFit="1" customWidth="1"/>
    <col min="34" max="34" width="9.5546875" style="604" bestFit="1" customWidth="1"/>
    <col min="35" max="35" width="10.6640625" style="604" bestFit="1" customWidth="1"/>
    <col min="36" max="36" width="14" style="315" customWidth="1"/>
    <col min="37" max="37" width="16.44140625" style="315" customWidth="1"/>
    <col min="38" max="38" width="14.109375" style="315" customWidth="1"/>
    <col min="39" max="16384" width="9.109375" style="315"/>
  </cols>
  <sheetData>
    <row r="1" spans="1:38" s="609" customFormat="1" ht="22.2" customHeight="1">
      <c r="A1" s="2226" t="s">
        <v>552</v>
      </c>
      <c r="B1" s="2226"/>
      <c r="C1" s="2390" t="s">
        <v>1089</v>
      </c>
      <c r="D1" s="2391"/>
      <c r="E1" s="2391"/>
      <c r="F1" s="2391"/>
      <c r="G1" s="2391"/>
      <c r="H1" s="2391"/>
      <c r="I1" s="2391"/>
      <c r="J1" s="2391"/>
      <c r="K1" s="2391"/>
      <c r="L1" s="2392"/>
      <c r="M1" s="2390" t="s">
        <v>1089</v>
      </c>
      <c r="N1" s="2391"/>
      <c r="O1" s="2391"/>
      <c r="P1" s="2391"/>
      <c r="Q1" s="2391"/>
      <c r="R1" s="2391"/>
      <c r="S1" s="2391"/>
      <c r="T1" s="2391"/>
      <c r="U1" s="2392"/>
      <c r="V1" s="2268" t="s">
        <v>1247</v>
      </c>
      <c r="W1" s="2266"/>
      <c r="X1" s="2266"/>
      <c r="Y1" s="2266"/>
      <c r="Z1" s="2266"/>
      <c r="AA1" s="2266"/>
      <c r="AB1" s="2266"/>
      <c r="AC1" s="2267"/>
      <c r="AD1" s="2268" t="s">
        <v>1247</v>
      </c>
      <c r="AE1" s="2266"/>
      <c r="AF1" s="2266"/>
      <c r="AG1" s="2266"/>
      <c r="AH1" s="2266"/>
      <c r="AI1" s="2266"/>
      <c r="AJ1" s="2267"/>
    </row>
    <row r="2" spans="1:38" s="609" customFormat="1" ht="25.95" customHeight="1">
      <c r="A2" s="2226"/>
      <c r="B2" s="2226"/>
      <c r="C2" s="973"/>
      <c r="D2" s="619"/>
      <c r="E2" s="621"/>
      <c r="F2" s="621"/>
      <c r="G2" s="621"/>
      <c r="H2" s="619"/>
      <c r="I2" s="619"/>
      <c r="J2" s="2227" t="s">
        <v>531</v>
      </c>
      <c r="K2" s="2228"/>
      <c r="L2" s="2229"/>
      <c r="M2" s="973"/>
      <c r="N2" s="619"/>
      <c r="O2" s="619"/>
      <c r="P2" s="619"/>
      <c r="Q2" s="619"/>
      <c r="R2" s="619"/>
      <c r="S2" s="619"/>
      <c r="T2" s="619"/>
      <c r="U2" s="620"/>
      <c r="V2" s="1586"/>
      <c r="W2" s="1587"/>
      <c r="X2" s="2362" t="s">
        <v>531</v>
      </c>
      <c r="Y2" s="2363"/>
      <c r="Z2" s="2363"/>
      <c r="AA2" s="2363"/>
      <c r="AB2" s="2364"/>
      <c r="AC2" s="1588"/>
      <c r="AD2" s="1586"/>
      <c r="AE2" s="1587"/>
      <c r="AF2" s="1587"/>
      <c r="AG2" s="1587"/>
      <c r="AH2" s="1587"/>
      <c r="AI2" s="1587"/>
      <c r="AJ2" s="1588"/>
    </row>
    <row r="3" spans="1:38" ht="168.6" customHeight="1">
      <c r="A3" s="2226"/>
      <c r="B3" s="2226"/>
      <c r="C3" s="2393" t="s">
        <v>935</v>
      </c>
      <c r="D3" s="2243" t="s">
        <v>1144</v>
      </c>
      <c r="E3" s="2395" t="s">
        <v>1142</v>
      </c>
      <c r="F3" s="2243" t="s">
        <v>1145</v>
      </c>
      <c r="G3" s="2243" t="s">
        <v>1143</v>
      </c>
      <c r="H3" s="2397" t="s">
        <v>549</v>
      </c>
      <c r="I3" s="2256" t="s">
        <v>1146</v>
      </c>
      <c r="J3" s="2312" t="s">
        <v>770</v>
      </c>
      <c r="K3" s="2312" t="s">
        <v>769</v>
      </c>
      <c r="L3" s="2312" t="s">
        <v>551</v>
      </c>
      <c r="M3" s="2398" t="s">
        <v>1088</v>
      </c>
      <c r="N3" s="1605" t="s">
        <v>1095</v>
      </c>
      <c r="O3" s="2397" t="s">
        <v>1024</v>
      </c>
      <c r="P3" s="2261" t="s">
        <v>1036</v>
      </c>
      <c r="Q3" s="2397" t="s">
        <v>1056</v>
      </c>
      <c r="R3" s="2384" t="s">
        <v>760</v>
      </c>
      <c r="S3" s="2384" t="s">
        <v>761</v>
      </c>
      <c r="T3" s="2256" t="s">
        <v>550</v>
      </c>
      <c r="U3" s="2243" t="s">
        <v>1080</v>
      </c>
      <c r="V3" s="2294" t="s">
        <v>1274</v>
      </c>
      <c r="W3" s="2294" t="s">
        <v>1275</v>
      </c>
      <c r="X3" s="2387" t="s">
        <v>1253</v>
      </c>
      <c r="Y3" s="2387" t="s">
        <v>1251</v>
      </c>
      <c r="Z3" s="2387" t="s">
        <v>1254</v>
      </c>
      <c r="AA3" s="2387" t="s">
        <v>1259</v>
      </c>
      <c r="AB3" s="1499" t="s">
        <v>551</v>
      </c>
      <c r="AC3" s="2386" t="s">
        <v>1255</v>
      </c>
      <c r="AD3" s="1589" t="s">
        <v>1094</v>
      </c>
      <c r="AE3" s="2383" t="s">
        <v>1256</v>
      </c>
      <c r="AF3" s="2291" t="s">
        <v>1036</v>
      </c>
      <c r="AG3" s="2383" t="s">
        <v>1271</v>
      </c>
      <c r="AH3" s="2388" t="s">
        <v>981</v>
      </c>
      <c r="AI3" s="2388" t="s">
        <v>761</v>
      </c>
      <c r="AJ3" s="2388" t="s">
        <v>1242</v>
      </c>
      <c r="AK3" s="2132" t="s">
        <v>1265</v>
      </c>
      <c r="AL3" s="2132" t="s">
        <v>1264</v>
      </c>
    </row>
    <row r="4" spans="1:38" ht="22.95" customHeight="1">
      <c r="A4" s="2226"/>
      <c r="B4" s="2226"/>
      <c r="C4" s="2394"/>
      <c r="D4" s="2244"/>
      <c r="E4" s="2396"/>
      <c r="F4" s="2244"/>
      <c r="G4" s="2244"/>
      <c r="H4" s="2397"/>
      <c r="I4" s="2385"/>
      <c r="J4" s="2251"/>
      <c r="K4" s="2251"/>
      <c r="L4" s="2251"/>
      <c r="M4" s="2301"/>
      <c r="N4" s="1581">
        <v>2.5000000000000001E-3</v>
      </c>
      <c r="O4" s="2397"/>
      <c r="P4" s="2262"/>
      <c r="Q4" s="2397"/>
      <c r="R4" s="2385"/>
      <c r="S4" s="2385"/>
      <c r="T4" s="2385"/>
      <c r="U4" s="2244"/>
      <c r="V4" s="2238"/>
      <c r="W4" s="2238"/>
      <c r="X4" s="2251"/>
      <c r="Y4" s="2251"/>
      <c r="Z4" s="2251"/>
      <c r="AA4" s="2251"/>
      <c r="AB4" s="1494"/>
      <c r="AC4" s="2280"/>
      <c r="AD4" s="1590">
        <v>2.5000000000000001E-3</v>
      </c>
      <c r="AE4" s="2253"/>
      <c r="AF4" s="2262"/>
      <c r="AG4" s="2253"/>
      <c r="AH4" s="2389"/>
      <c r="AI4" s="2389"/>
      <c r="AJ4" s="2389"/>
      <c r="AK4" s="2133"/>
      <c r="AL4" s="2133"/>
    </row>
    <row r="5" spans="1:38" s="316" customFormat="1" ht="13.2" customHeight="1">
      <c r="A5" s="1429"/>
      <c r="B5" s="1429"/>
      <c r="C5" s="1429">
        <v>1</v>
      </c>
      <c r="D5" s="1430">
        <f t="shared" ref="D5:AL5" si="0">C5+1</f>
        <v>2</v>
      </c>
      <c r="E5" s="1430">
        <f t="shared" si="0"/>
        <v>3</v>
      </c>
      <c r="F5" s="1430">
        <f t="shared" si="0"/>
        <v>4</v>
      </c>
      <c r="G5" s="1430">
        <f t="shared" si="0"/>
        <v>5</v>
      </c>
      <c r="H5" s="1430">
        <f t="shared" si="0"/>
        <v>6</v>
      </c>
      <c r="I5" s="1430">
        <f t="shared" si="0"/>
        <v>7</v>
      </c>
      <c r="J5" s="1430">
        <f t="shared" si="0"/>
        <v>8</v>
      </c>
      <c r="K5" s="1430">
        <f t="shared" si="0"/>
        <v>9</v>
      </c>
      <c r="L5" s="1430">
        <f t="shared" si="0"/>
        <v>10</v>
      </c>
      <c r="M5" s="1430">
        <f t="shared" si="0"/>
        <v>11</v>
      </c>
      <c r="N5" s="1430">
        <f t="shared" si="0"/>
        <v>12</v>
      </c>
      <c r="O5" s="1430">
        <f t="shared" si="0"/>
        <v>13</v>
      </c>
      <c r="P5" s="1430">
        <f t="shared" si="0"/>
        <v>14</v>
      </c>
      <c r="Q5" s="1430">
        <f t="shared" si="0"/>
        <v>15</v>
      </c>
      <c r="R5" s="1430">
        <f t="shared" si="0"/>
        <v>16</v>
      </c>
      <c r="S5" s="1430">
        <f t="shared" si="0"/>
        <v>17</v>
      </c>
      <c r="T5" s="1430">
        <f t="shared" si="0"/>
        <v>18</v>
      </c>
      <c r="U5" s="1430">
        <f t="shared" si="0"/>
        <v>19</v>
      </c>
      <c r="V5" s="1430">
        <f t="shared" si="0"/>
        <v>20</v>
      </c>
      <c r="W5" s="1430">
        <f t="shared" si="0"/>
        <v>21</v>
      </c>
      <c r="X5" s="1430">
        <f t="shared" si="0"/>
        <v>22</v>
      </c>
      <c r="Y5" s="1430">
        <f t="shared" si="0"/>
        <v>23</v>
      </c>
      <c r="Z5" s="1430">
        <f t="shared" si="0"/>
        <v>24</v>
      </c>
      <c r="AA5" s="1430">
        <f t="shared" si="0"/>
        <v>25</v>
      </c>
      <c r="AB5" s="1430">
        <f t="shared" si="0"/>
        <v>26</v>
      </c>
      <c r="AC5" s="1430">
        <f t="shared" si="0"/>
        <v>27</v>
      </c>
      <c r="AD5" s="1430">
        <f t="shared" si="0"/>
        <v>28</v>
      </c>
      <c r="AE5" s="1430">
        <f t="shared" si="0"/>
        <v>29</v>
      </c>
      <c r="AF5" s="1430">
        <f t="shared" si="0"/>
        <v>30</v>
      </c>
      <c r="AG5" s="1430">
        <f t="shared" si="0"/>
        <v>31</v>
      </c>
      <c r="AH5" s="1430">
        <f t="shared" si="0"/>
        <v>32</v>
      </c>
      <c r="AI5" s="1430">
        <f t="shared" si="0"/>
        <v>33</v>
      </c>
      <c r="AJ5" s="1430">
        <f t="shared" si="0"/>
        <v>34</v>
      </c>
      <c r="AK5" s="1430">
        <f t="shared" si="0"/>
        <v>35</v>
      </c>
      <c r="AL5" s="1430">
        <f t="shared" si="0"/>
        <v>36</v>
      </c>
    </row>
    <row r="6" spans="1:38" s="317" customFormat="1" ht="16.2" customHeight="1">
      <c r="A6" s="1445">
        <v>1</v>
      </c>
      <c r="B6" s="1446" t="s">
        <v>81</v>
      </c>
      <c r="C6" s="1447">
        <f>+'Table 8 Membership 2.1.14'!J3</f>
        <v>18</v>
      </c>
      <c r="D6" s="1448">
        <f>'Table 3 Levels 1&amp;2'!AL4*90%</f>
        <v>4289.272597201485</v>
      </c>
      <c r="E6" s="1448">
        <f t="shared" ref="E6:E37" si="1">C6*D6</f>
        <v>77206.906749626738</v>
      </c>
      <c r="F6" s="1449">
        <f>'Table 3A Level 3'!C6*90%</f>
        <v>699.73200000000008</v>
      </c>
      <c r="G6" s="1449">
        <f t="shared" ref="G6:G37" si="2">F6*C6</f>
        <v>12595.176000000001</v>
      </c>
      <c r="H6" s="1571">
        <f t="shared" ref="H6:H37" si="3">E6+G6</f>
        <v>89802.082749626745</v>
      </c>
      <c r="I6" s="1449">
        <f>(('Table 3 Levels 1&amp;2'!AL4-D6)+('Table 3A Level 3'!C6-F6))*C6</f>
        <v>9978.0091944029718</v>
      </c>
      <c r="J6" s="1449"/>
      <c r="K6" s="1449"/>
      <c r="L6" s="1575">
        <f t="shared" ref="L6:L37" si="4">+J6+K6</f>
        <v>0</v>
      </c>
      <c r="M6" s="1571">
        <f t="shared" ref="M6:M37" si="5">H6+L6</f>
        <v>89802.082749626745</v>
      </c>
      <c r="N6" s="1449">
        <f t="shared" ref="N6:N37" si="6">-0.25%*M6</f>
        <v>-224.50520687406686</v>
      </c>
      <c r="O6" s="1571">
        <f t="shared" ref="O6:O37" si="7">M6+N6</f>
        <v>89577.577542752682</v>
      </c>
      <c r="P6" s="1450">
        <v>-9085.9715701690438</v>
      </c>
      <c r="Q6" s="1571">
        <f t="shared" ref="Q6:Q37" si="8">SUM(O6:P6)</f>
        <v>80491.605972583639</v>
      </c>
      <c r="R6" s="1449"/>
      <c r="S6" s="1449">
        <f t="shared" ref="S6:S37" si="9">Q6-R6</f>
        <v>80491.605972583639</v>
      </c>
      <c r="T6" s="1571">
        <f t="shared" ref="T6:T37" si="10">ROUND(S6/12,0)</f>
        <v>6708</v>
      </c>
      <c r="U6" s="1571">
        <f>+Q6</f>
        <v>80491.605972583639</v>
      </c>
      <c r="V6" s="1451">
        <f>'Table 5C1A-Madison Prep'!U7*90%</f>
        <v>2168.1</v>
      </c>
      <c r="W6" s="1591">
        <f t="shared" ref="W6:W37" si="11">V6*C6</f>
        <v>39025.799999999996</v>
      </c>
      <c r="X6" s="1453"/>
      <c r="Y6" s="1452">
        <f t="shared" ref="Y6:Y37" si="12">X6*V6</f>
        <v>0</v>
      </c>
      <c r="Z6" s="1452"/>
      <c r="AA6" s="1452">
        <f t="shared" ref="AA6:AA37" si="13">+V6*Z6*0.5</f>
        <v>0</v>
      </c>
      <c r="AB6" s="1596">
        <f t="shared" ref="AB6:AB37" si="14">+Y6+AA6</f>
        <v>0</v>
      </c>
      <c r="AC6" s="1591">
        <f t="shared" ref="AC6:AC37" si="15">AB6+W6</f>
        <v>39025.799999999996</v>
      </c>
      <c r="AD6" s="1452">
        <f t="shared" ref="AD6:AD37" si="16">AC6*-0.25%</f>
        <v>-97.564499999999995</v>
      </c>
      <c r="AE6" s="1591">
        <f t="shared" ref="AE6:AE37" si="17">SUM(AC6:AD6)</f>
        <v>38928.235499999995</v>
      </c>
      <c r="AF6" s="1451">
        <v>0</v>
      </c>
      <c r="AG6" s="1591">
        <f t="shared" ref="AG6:AG37" si="18">SUM(AE6:AF6)</f>
        <v>38928.235499999995</v>
      </c>
      <c r="AH6" s="1452"/>
      <c r="AI6" s="1452">
        <f t="shared" ref="AI6:AI37" si="19">AG6-AH6</f>
        <v>38928.235499999995</v>
      </c>
      <c r="AJ6" s="1591">
        <f t="shared" ref="AJ6:AJ37" si="20">ROUND(AI6/12,0)</f>
        <v>3244</v>
      </c>
      <c r="AK6" s="1600">
        <f t="shared" ref="AK6:AK69" si="21">AG6+U6</f>
        <v>119419.84147258363</v>
      </c>
      <c r="AL6" s="1600">
        <f t="shared" ref="AL6:AL37" si="22">T6+AJ6</f>
        <v>9952</v>
      </c>
    </row>
    <row r="7" spans="1:38" s="317" customFormat="1" ht="16.2" customHeight="1">
      <c r="A7" s="1454">
        <v>2</v>
      </c>
      <c r="B7" s="1455" t="s">
        <v>82</v>
      </c>
      <c r="C7" s="1456">
        <f>+'Table 8 Membership 2.1.14'!J4</f>
        <v>8</v>
      </c>
      <c r="D7" s="1457">
        <f>'Table 3 Levels 1&amp;2'!AL5*90%</f>
        <v>5684.9639775647975</v>
      </c>
      <c r="E7" s="1457">
        <f t="shared" si="1"/>
        <v>45479.71182051838</v>
      </c>
      <c r="F7" s="1458">
        <f>'Table 3A Level 3'!C7*90%</f>
        <v>758.08800000000008</v>
      </c>
      <c r="G7" s="1458">
        <f t="shared" si="2"/>
        <v>6064.7040000000006</v>
      </c>
      <c r="H7" s="1572">
        <f t="shared" si="3"/>
        <v>51544.415820518378</v>
      </c>
      <c r="I7" s="1458">
        <f>(('Table 3 Levels 1&amp;2'!AL5-D7)+('Table 3A Level 3'!C7-F7))*C7</f>
        <v>5727.1573133909333</v>
      </c>
      <c r="J7" s="1458"/>
      <c r="K7" s="1458"/>
      <c r="L7" s="1576">
        <f t="shared" si="4"/>
        <v>0</v>
      </c>
      <c r="M7" s="1572">
        <f t="shared" si="5"/>
        <v>51544.415820518378</v>
      </c>
      <c r="N7" s="1458">
        <f t="shared" si="6"/>
        <v>-128.86103955129596</v>
      </c>
      <c r="O7" s="1572">
        <f t="shared" si="7"/>
        <v>51415.554780967082</v>
      </c>
      <c r="P7" s="1459">
        <v>0</v>
      </c>
      <c r="Q7" s="1572">
        <f t="shared" si="8"/>
        <v>51415.554780967082</v>
      </c>
      <c r="R7" s="1458"/>
      <c r="S7" s="1458">
        <f t="shared" si="9"/>
        <v>51415.554780967082</v>
      </c>
      <c r="T7" s="1572">
        <f t="shared" si="10"/>
        <v>4285</v>
      </c>
      <c r="U7" s="1572">
        <f t="shared" ref="U7:U70" si="23">+Q7</f>
        <v>51415.554780967082</v>
      </c>
      <c r="V7" s="1460">
        <f>'Table 5C1A-Madison Prep'!U8*90%</f>
        <v>2546.1</v>
      </c>
      <c r="W7" s="1592">
        <f t="shared" si="11"/>
        <v>20368.8</v>
      </c>
      <c r="X7" s="1462"/>
      <c r="Y7" s="1461">
        <f t="shared" si="12"/>
        <v>0</v>
      </c>
      <c r="Z7" s="1461"/>
      <c r="AA7" s="1461">
        <f t="shared" si="13"/>
        <v>0</v>
      </c>
      <c r="AB7" s="1597">
        <f t="shared" si="14"/>
        <v>0</v>
      </c>
      <c r="AC7" s="1592">
        <f t="shared" si="15"/>
        <v>20368.8</v>
      </c>
      <c r="AD7" s="1461">
        <f t="shared" si="16"/>
        <v>-50.921999999999997</v>
      </c>
      <c r="AE7" s="1592">
        <f t="shared" si="17"/>
        <v>20317.878000000001</v>
      </c>
      <c r="AF7" s="1460">
        <v>0</v>
      </c>
      <c r="AG7" s="1592">
        <f t="shared" si="18"/>
        <v>20317.878000000001</v>
      </c>
      <c r="AH7" s="1461"/>
      <c r="AI7" s="1461">
        <f t="shared" si="19"/>
        <v>20317.878000000001</v>
      </c>
      <c r="AJ7" s="1592">
        <f t="shared" si="20"/>
        <v>1693</v>
      </c>
      <c r="AK7" s="1601">
        <f t="shared" si="21"/>
        <v>71733.432780967079</v>
      </c>
      <c r="AL7" s="1601">
        <f t="shared" si="22"/>
        <v>5978</v>
      </c>
    </row>
    <row r="8" spans="1:38" s="317" customFormat="1" ht="16.2" customHeight="1">
      <c r="A8" s="1454">
        <v>3</v>
      </c>
      <c r="B8" s="1455" t="s">
        <v>83</v>
      </c>
      <c r="C8" s="1456">
        <f>+'Table 8 Membership 2.1.14'!J5</f>
        <v>53</v>
      </c>
      <c r="D8" s="1457">
        <f>'Table 3 Levels 1&amp;2'!AL6*90%</f>
        <v>3739.6675824657136</v>
      </c>
      <c r="E8" s="1457">
        <f t="shared" si="1"/>
        <v>198202.38187068282</v>
      </c>
      <c r="F8" s="1458">
        <f>'Table 3A Level 3'!C8*90%</f>
        <v>537.15600000000006</v>
      </c>
      <c r="G8" s="1458">
        <f t="shared" si="2"/>
        <v>28469.268000000004</v>
      </c>
      <c r="H8" s="1572">
        <f t="shared" si="3"/>
        <v>226671.64987068283</v>
      </c>
      <c r="I8" s="1458">
        <f>(('Table 3 Levels 1&amp;2'!AL6-D8)+('Table 3A Level 3'!C8-F8))*C8</f>
        <v>25185.738874520317</v>
      </c>
      <c r="J8" s="1458"/>
      <c r="K8" s="1458"/>
      <c r="L8" s="1576">
        <f t="shared" si="4"/>
        <v>0</v>
      </c>
      <c r="M8" s="1572">
        <f t="shared" si="5"/>
        <v>226671.64987068283</v>
      </c>
      <c r="N8" s="1458">
        <f t="shared" si="6"/>
        <v>-566.67912467670703</v>
      </c>
      <c r="O8" s="1572">
        <f t="shared" si="7"/>
        <v>226104.97074600612</v>
      </c>
      <c r="P8" s="1459">
        <v>-8370.6848293898893</v>
      </c>
      <c r="Q8" s="1572">
        <f t="shared" si="8"/>
        <v>217734.28591661624</v>
      </c>
      <c r="R8" s="1458"/>
      <c r="S8" s="1458">
        <f t="shared" si="9"/>
        <v>217734.28591661624</v>
      </c>
      <c r="T8" s="1572">
        <f t="shared" si="10"/>
        <v>18145</v>
      </c>
      <c r="U8" s="1572">
        <f t="shared" si="23"/>
        <v>217734.28591661624</v>
      </c>
      <c r="V8" s="1460">
        <f>'Table 5C1A-Madison Prep'!U9*90%</f>
        <v>5193</v>
      </c>
      <c r="W8" s="1592">
        <f t="shared" si="11"/>
        <v>275229</v>
      </c>
      <c r="X8" s="1462"/>
      <c r="Y8" s="1461">
        <f t="shared" si="12"/>
        <v>0</v>
      </c>
      <c r="Z8" s="1461"/>
      <c r="AA8" s="1461">
        <f t="shared" si="13"/>
        <v>0</v>
      </c>
      <c r="AB8" s="1597">
        <f t="shared" si="14"/>
        <v>0</v>
      </c>
      <c r="AC8" s="1592">
        <f t="shared" si="15"/>
        <v>275229</v>
      </c>
      <c r="AD8" s="1461">
        <f t="shared" si="16"/>
        <v>-688.07249999999999</v>
      </c>
      <c r="AE8" s="1592">
        <f t="shared" si="17"/>
        <v>274540.92749999999</v>
      </c>
      <c r="AF8" s="1460">
        <v>0</v>
      </c>
      <c r="AG8" s="1592">
        <f t="shared" si="18"/>
        <v>274540.92749999999</v>
      </c>
      <c r="AH8" s="1461"/>
      <c r="AI8" s="1461">
        <f t="shared" si="19"/>
        <v>274540.92749999999</v>
      </c>
      <c r="AJ8" s="1592">
        <f t="shared" si="20"/>
        <v>22878</v>
      </c>
      <c r="AK8" s="1601">
        <f t="shared" si="21"/>
        <v>492275.2134166162</v>
      </c>
      <c r="AL8" s="1601">
        <f t="shared" si="22"/>
        <v>41023</v>
      </c>
    </row>
    <row r="9" spans="1:38" s="317" customFormat="1" ht="16.2" customHeight="1">
      <c r="A9" s="1454">
        <v>4</v>
      </c>
      <c r="B9" s="1455" t="s">
        <v>84</v>
      </c>
      <c r="C9" s="1456">
        <f>+'Table 8 Membership 2.1.14'!J6</f>
        <v>1</v>
      </c>
      <c r="D9" s="1457">
        <f>'Table 3 Levels 1&amp;2'!AL7*90%</f>
        <v>5507.1523302190717</v>
      </c>
      <c r="E9" s="1457">
        <f t="shared" si="1"/>
        <v>5507.1523302190717</v>
      </c>
      <c r="F9" s="1458">
        <f>'Table 3A Level 3'!C9*90%</f>
        <v>527.18399999999997</v>
      </c>
      <c r="G9" s="1458">
        <f t="shared" si="2"/>
        <v>527.18399999999997</v>
      </c>
      <c r="H9" s="1572">
        <f t="shared" si="3"/>
        <v>6034.3363302190719</v>
      </c>
      <c r="I9" s="1458">
        <f>(('Table 3 Levels 1&amp;2'!AL7-D9)+('Table 3A Level 3'!C9-F9))*C9</f>
        <v>670.48181446878516</v>
      </c>
      <c r="J9" s="1458"/>
      <c r="K9" s="1458"/>
      <c r="L9" s="1576">
        <f t="shared" si="4"/>
        <v>0</v>
      </c>
      <c r="M9" s="1572">
        <f t="shared" si="5"/>
        <v>6034.3363302190719</v>
      </c>
      <c r="N9" s="1458">
        <f t="shared" si="6"/>
        <v>-15.085840825547679</v>
      </c>
      <c r="O9" s="1572">
        <f t="shared" si="7"/>
        <v>6019.2504893935238</v>
      </c>
      <c r="P9" s="1459">
        <v>0</v>
      </c>
      <c r="Q9" s="1572">
        <f t="shared" si="8"/>
        <v>6019.2504893935238</v>
      </c>
      <c r="R9" s="1458"/>
      <c r="S9" s="1458">
        <f t="shared" si="9"/>
        <v>6019.2504893935238</v>
      </c>
      <c r="T9" s="1572">
        <f t="shared" si="10"/>
        <v>502</v>
      </c>
      <c r="U9" s="1572">
        <f t="shared" si="23"/>
        <v>6019.2504893935238</v>
      </c>
      <c r="V9" s="1460">
        <f>'Table 5C1A-Madison Prep'!U10*90%</f>
        <v>2958.3</v>
      </c>
      <c r="W9" s="1592">
        <f t="shared" si="11"/>
        <v>2958.3</v>
      </c>
      <c r="X9" s="1462"/>
      <c r="Y9" s="1461">
        <f t="shared" si="12"/>
        <v>0</v>
      </c>
      <c r="Z9" s="1461"/>
      <c r="AA9" s="1461">
        <f t="shared" si="13"/>
        <v>0</v>
      </c>
      <c r="AB9" s="1597">
        <f t="shared" si="14"/>
        <v>0</v>
      </c>
      <c r="AC9" s="1592">
        <f t="shared" si="15"/>
        <v>2958.3</v>
      </c>
      <c r="AD9" s="1461">
        <f t="shared" si="16"/>
        <v>-7.3957500000000005</v>
      </c>
      <c r="AE9" s="1592">
        <f t="shared" si="17"/>
        <v>2950.90425</v>
      </c>
      <c r="AF9" s="1460">
        <v>0</v>
      </c>
      <c r="AG9" s="1592">
        <f t="shared" si="18"/>
        <v>2950.90425</v>
      </c>
      <c r="AH9" s="1461"/>
      <c r="AI9" s="1461">
        <f t="shared" si="19"/>
        <v>2950.90425</v>
      </c>
      <c r="AJ9" s="1592">
        <f t="shared" si="20"/>
        <v>246</v>
      </c>
      <c r="AK9" s="1601">
        <f t="shared" si="21"/>
        <v>8970.1547393935234</v>
      </c>
      <c r="AL9" s="1601">
        <f t="shared" si="22"/>
        <v>748</v>
      </c>
    </row>
    <row r="10" spans="1:38" s="317" customFormat="1" ht="16.2" customHeight="1">
      <c r="A10" s="1433">
        <v>5</v>
      </c>
      <c r="B10" s="1434" t="s">
        <v>85</v>
      </c>
      <c r="C10" s="1440">
        <f>+'Table 8 Membership 2.1.14'!J7</f>
        <v>28</v>
      </c>
      <c r="D10" s="1441">
        <f>'Table 3 Levels 1&amp;2'!AL8*90%</f>
        <v>4742.0465094089204</v>
      </c>
      <c r="E10" s="1441">
        <f t="shared" si="1"/>
        <v>132777.30226344976</v>
      </c>
      <c r="F10" s="906">
        <f>'Table 3A Level 3'!C10*90%</f>
        <v>500.31899999999996</v>
      </c>
      <c r="G10" s="906">
        <f t="shared" si="2"/>
        <v>14008.931999999999</v>
      </c>
      <c r="H10" s="1573">
        <f t="shared" si="3"/>
        <v>146786.23426344976</v>
      </c>
      <c r="I10" s="906">
        <f>(('Table 3 Levels 1&amp;2'!AL8-D10)+('Table 3A Level 3'!C10-F10))*C10</f>
        <v>16309.581584827736</v>
      </c>
      <c r="J10" s="906"/>
      <c r="K10" s="906"/>
      <c r="L10" s="1577">
        <f t="shared" si="4"/>
        <v>0</v>
      </c>
      <c r="M10" s="1573">
        <f t="shared" si="5"/>
        <v>146786.23426344976</v>
      </c>
      <c r="N10" s="906">
        <f t="shared" si="6"/>
        <v>-366.96558565862443</v>
      </c>
      <c r="O10" s="1573">
        <f t="shared" si="7"/>
        <v>146419.26867779114</v>
      </c>
      <c r="P10" s="1442">
        <v>0</v>
      </c>
      <c r="Q10" s="1573">
        <f t="shared" si="8"/>
        <v>146419.26867779114</v>
      </c>
      <c r="R10" s="906"/>
      <c r="S10" s="906">
        <f t="shared" si="9"/>
        <v>146419.26867779114</v>
      </c>
      <c r="T10" s="1573">
        <f t="shared" si="10"/>
        <v>12202</v>
      </c>
      <c r="U10" s="1573">
        <f t="shared" si="23"/>
        <v>146419.26867779114</v>
      </c>
      <c r="V10" s="1443">
        <f>'Table 5C1A-Madison Prep'!U11*90%</f>
        <v>1728.9</v>
      </c>
      <c r="W10" s="1593">
        <f t="shared" si="11"/>
        <v>48409.200000000004</v>
      </c>
      <c r="X10" s="1444"/>
      <c r="Y10" s="907">
        <f t="shared" si="12"/>
        <v>0</v>
      </c>
      <c r="Z10" s="907"/>
      <c r="AA10" s="907">
        <f t="shared" si="13"/>
        <v>0</v>
      </c>
      <c r="AB10" s="1598">
        <f t="shared" si="14"/>
        <v>0</v>
      </c>
      <c r="AC10" s="1593">
        <f t="shared" si="15"/>
        <v>48409.200000000004</v>
      </c>
      <c r="AD10" s="907">
        <f t="shared" si="16"/>
        <v>-121.02300000000001</v>
      </c>
      <c r="AE10" s="1593">
        <f t="shared" si="17"/>
        <v>48288.177000000003</v>
      </c>
      <c r="AF10" s="1443">
        <v>0</v>
      </c>
      <c r="AG10" s="1593">
        <f t="shared" si="18"/>
        <v>48288.177000000003</v>
      </c>
      <c r="AH10" s="907"/>
      <c r="AI10" s="907">
        <f t="shared" si="19"/>
        <v>48288.177000000003</v>
      </c>
      <c r="AJ10" s="1593">
        <f t="shared" si="20"/>
        <v>4024</v>
      </c>
      <c r="AK10" s="1602">
        <f t="shared" si="21"/>
        <v>194707.44567779114</v>
      </c>
      <c r="AL10" s="1602">
        <f t="shared" si="22"/>
        <v>16226</v>
      </c>
    </row>
    <row r="11" spans="1:38" s="317" customFormat="1" ht="16.2" customHeight="1">
      <c r="A11" s="1445">
        <v>6</v>
      </c>
      <c r="B11" s="1446" t="s">
        <v>86</v>
      </c>
      <c r="C11" s="1447">
        <f>+'Table 8 Membership 2.1.14'!J8</f>
        <v>21</v>
      </c>
      <c r="D11" s="1448">
        <f>'Table 3 Levels 1&amp;2'!AL9*90%</f>
        <v>4840.6577512460281</v>
      </c>
      <c r="E11" s="1448">
        <f t="shared" si="1"/>
        <v>101653.8127761666</v>
      </c>
      <c r="F11" s="1449">
        <f>'Table 3A Level 3'!C11*90%</f>
        <v>490.9319999999999</v>
      </c>
      <c r="G11" s="1449">
        <f t="shared" si="2"/>
        <v>10309.571999999998</v>
      </c>
      <c r="H11" s="1571">
        <f t="shared" si="3"/>
        <v>111963.3847761666</v>
      </c>
      <c r="I11" s="1449">
        <f>(('Table 3 Levels 1&amp;2'!AL9-D11)+('Table 3A Level 3'!C11-F11))*C11</f>
        <v>12440.376086240736</v>
      </c>
      <c r="J11" s="1449"/>
      <c r="K11" s="1449"/>
      <c r="L11" s="1575">
        <f t="shared" si="4"/>
        <v>0</v>
      </c>
      <c r="M11" s="1571">
        <f t="shared" si="5"/>
        <v>111963.3847761666</v>
      </c>
      <c r="N11" s="1449">
        <f t="shared" si="6"/>
        <v>-279.90846194041649</v>
      </c>
      <c r="O11" s="1571">
        <f t="shared" si="7"/>
        <v>111683.47631422618</v>
      </c>
      <c r="P11" s="1450">
        <v>0</v>
      </c>
      <c r="Q11" s="1571">
        <f t="shared" si="8"/>
        <v>111683.47631422618</v>
      </c>
      <c r="R11" s="1449"/>
      <c r="S11" s="1449">
        <f t="shared" si="9"/>
        <v>111683.47631422618</v>
      </c>
      <c r="T11" s="1571">
        <f t="shared" si="10"/>
        <v>9307</v>
      </c>
      <c r="U11" s="1571">
        <f t="shared" si="23"/>
        <v>111683.47631422618</v>
      </c>
      <c r="V11" s="1451">
        <f>'Table 5C1A-Madison Prep'!U12*90%</f>
        <v>3426.3</v>
      </c>
      <c r="W11" s="1591">
        <f t="shared" si="11"/>
        <v>71952.3</v>
      </c>
      <c r="X11" s="1453"/>
      <c r="Y11" s="1452">
        <f t="shared" si="12"/>
        <v>0</v>
      </c>
      <c r="Z11" s="1452"/>
      <c r="AA11" s="1452">
        <f t="shared" si="13"/>
        <v>0</v>
      </c>
      <c r="AB11" s="1596">
        <f t="shared" si="14"/>
        <v>0</v>
      </c>
      <c r="AC11" s="1591">
        <f t="shared" si="15"/>
        <v>71952.3</v>
      </c>
      <c r="AD11" s="1452">
        <f t="shared" si="16"/>
        <v>-179.88075000000001</v>
      </c>
      <c r="AE11" s="1591">
        <f t="shared" si="17"/>
        <v>71772.419250000006</v>
      </c>
      <c r="AF11" s="1451">
        <v>0</v>
      </c>
      <c r="AG11" s="1591">
        <f t="shared" si="18"/>
        <v>71772.419250000006</v>
      </c>
      <c r="AH11" s="1452"/>
      <c r="AI11" s="1452">
        <f t="shared" si="19"/>
        <v>71772.419250000006</v>
      </c>
      <c r="AJ11" s="1591">
        <f t="shared" si="20"/>
        <v>5981</v>
      </c>
      <c r="AK11" s="1600">
        <f t="shared" si="21"/>
        <v>183455.8955642262</v>
      </c>
      <c r="AL11" s="1600">
        <f t="shared" si="22"/>
        <v>15288</v>
      </c>
    </row>
    <row r="12" spans="1:38" s="317" customFormat="1" ht="16.2" customHeight="1">
      <c r="A12" s="1454">
        <v>7</v>
      </c>
      <c r="B12" s="1455" t="s">
        <v>87</v>
      </c>
      <c r="C12" s="1456">
        <f>+'Table 8 Membership 2.1.14'!J9</f>
        <v>6</v>
      </c>
      <c r="D12" s="1457">
        <f>'Table 3 Levels 1&amp;2'!AL10*90%</f>
        <v>2018.7028767123288</v>
      </c>
      <c r="E12" s="1457">
        <f t="shared" si="1"/>
        <v>12112.217260273974</v>
      </c>
      <c r="F12" s="1458">
        <f>'Table 3A Level 3'!C12*90%</f>
        <v>681.22799999999984</v>
      </c>
      <c r="G12" s="1458">
        <f t="shared" si="2"/>
        <v>4087.367999999999</v>
      </c>
      <c r="H12" s="1572">
        <f t="shared" si="3"/>
        <v>16199.585260273972</v>
      </c>
      <c r="I12" s="1458">
        <f>(('Table 3 Levels 1&amp;2'!AL10-D12)+('Table 3A Level 3'!C12-F12))*C12</f>
        <v>1799.9539178082186</v>
      </c>
      <c r="J12" s="1458"/>
      <c r="K12" s="1458"/>
      <c r="L12" s="1576">
        <f t="shared" si="4"/>
        <v>0</v>
      </c>
      <c r="M12" s="1572">
        <f t="shared" si="5"/>
        <v>16199.585260273972</v>
      </c>
      <c r="N12" s="1458">
        <f t="shared" si="6"/>
        <v>-40.498963150684929</v>
      </c>
      <c r="O12" s="1572">
        <f t="shared" si="7"/>
        <v>16159.086297123287</v>
      </c>
      <c r="P12" s="1459">
        <v>0</v>
      </c>
      <c r="Q12" s="1572">
        <f t="shared" si="8"/>
        <v>16159.086297123287</v>
      </c>
      <c r="R12" s="1458"/>
      <c r="S12" s="1458">
        <f t="shared" si="9"/>
        <v>16159.086297123287</v>
      </c>
      <c r="T12" s="1572">
        <f t="shared" si="10"/>
        <v>1347</v>
      </c>
      <c r="U12" s="1572">
        <f t="shared" si="23"/>
        <v>16159.086297123287</v>
      </c>
      <c r="V12" s="1460">
        <f>'Table 5C1A-Madison Prep'!U13*90%</f>
        <v>10699.2</v>
      </c>
      <c r="W12" s="1592">
        <f t="shared" si="11"/>
        <v>64195.200000000004</v>
      </c>
      <c r="X12" s="1462"/>
      <c r="Y12" s="1461">
        <f t="shared" si="12"/>
        <v>0</v>
      </c>
      <c r="Z12" s="1461"/>
      <c r="AA12" s="1461">
        <f t="shared" si="13"/>
        <v>0</v>
      </c>
      <c r="AB12" s="1597">
        <f t="shared" si="14"/>
        <v>0</v>
      </c>
      <c r="AC12" s="1592">
        <f t="shared" si="15"/>
        <v>64195.200000000004</v>
      </c>
      <c r="AD12" s="1461">
        <f t="shared" si="16"/>
        <v>-160.48800000000003</v>
      </c>
      <c r="AE12" s="1592">
        <f t="shared" si="17"/>
        <v>64034.712000000007</v>
      </c>
      <c r="AF12" s="1460">
        <v>0</v>
      </c>
      <c r="AG12" s="1592">
        <f t="shared" si="18"/>
        <v>64034.712000000007</v>
      </c>
      <c r="AH12" s="1461"/>
      <c r="AI12" s="1461">
        <f t="shared" si="19"/>
        <v>64034.712000000007</v>
      </c>
      <c r="AJ12" s="1592">
        <f t="shared" si="20"/>
        <v>5336</v>
      </c>
      <c r="AK12" s="1601">
        <f t="shared" si="21"/>
        <v>80193.7982971233</v>
      </c>
      <c r="AL12" s="1601">
        <f t="shared" si="22"/>
        <v>6683</v>
      </c>
    </row>
    <row r="13" spans="1:38" s="317" customFormat="1" ht="16.2" customHeight="1">
      <c r="A13" s="1454">
        <v>8</v>
      </c>
      <c r="B13" s="1455" t="s">
        <v>88</v>
      </c>
      <c r="C13" s="1456">
        <f>+'Table 8 Membership 2.1.14'!J10</f>
        <v>68</v>
      </c>
      <c r="D13" s="1457">
        <f>'Table 3 Levels 1&amp;2'!AL11*90%</f>
        <v>4202.822213602969</v>
      </c>
      <c r="E13" s="1457">
        <f t="shared" si="1"/>
        <v>285791.91052500188</v>
      </c>
      <c r="F13" s="1458">
        <f>'Table 3A Level 3'!C13*90%</f>
        <v>653.18399999999997</v>
      </c>
      <c r="G13" s="1458">
        <f t="shared" si="2"/>
        <v>44416.511999999995</v>
      </c>
      <c r="H13" s="1572">
        <f t="shared" si="3"/>
        <v>330208.42252500186</v>
      </c>
      <c r="I13" s="1458">
        <f>(('Table 3 Levels 1&amp;2'!AL11-D13)+('Table 3A Level 3'!C13-F13))*C13</f>
        <v>36689.824725000188</v>
      </c>
      <c r="J13" s="1458"/>
      <c r="K13" s="1458"/>
      <c r="L13" s="1576">
        <f t="shared" si="4"/>
        <v>0</v>
      </c>
      <c r="M13" s="1572">
        <f t="shared" si="5"/>
        <v>330208.42252500186</v>
      </c>
      <c r="N13" s="1458">
        <f t="shared" si="6"/>
        <v>-825.5210563125047</v>
      </c>
      <c r="O13" s="1572">
        <f t="shared" si="7"/>
        <v>329382.90146868938</v>
      </c>
      <c r="P13" s="1459">
        <v>0</v>
      </c>
      <c r="Q13" s="1572">
        <f t="shared" si="8"/>
        <v>329382.90146868938</v>
      </c>
      <c r="R13" s="1458"/>
      <c r="S13" s="1458">
        <f t="shared" si="9"/>
        <v>329382.90146868938</v>
      </c>
      <c r="T13" s="1572">
        <f t="shared" si="10"/>
        <v>27449</v>
      </c>
      <c r="U13" s="1572">
        <f t="shared" si="23"/>
        <v>329382.90146868938</v>
      </c>
      <c r="V13" s="1460">
        <f>'Table 5C1A-Madison Prep'!U14*90%</f>
        <v>3621.6</v>
      </c>
      <c r="W13" s="1592">
        <f t="shared" si="11"/>
        <v>246268.79999999999</v>
      </c>
      <c r="X13" s="1462"/>
      <c r="Y13" s="1461">
        <f t="shared" si="12"/>
        <v>0</v>
      </c>
      <c r="Z13" s="1461"/>
      <c r="AA13" s="1461">
        <f t="shared" si="13"/>
        <v>0</v>
      </c>
      <c r="AB13" s="1597">
        <f t="shared" si="14"/>
        <v>0</v>
      </c>
      <c r="AC13" s="1592">
        <f t="shared" si="15"/>
        <v>246268.79999999999</v>
      </c>
      <c r="AD13" s="1461">
        <f t="shared" si="16"/>
        <v>-615.67200000000003</v>
      </c>
      <c r="AE13" s="1592">
        <f t="shared" si="17"/>
        <v>245653.128</v>
      </c>
      <c r="AF13" s="1460">
        <v>0</v>
      </c>
      <c r="AG13" s="1592">
        <f t="shared" si="18"/>
        <v>245653.128</v>
      </c>
      <c r="AH13" s="1461"/>
      <c r="AI13" s="1461">
        <f t="shared" si="19"/>
        <v>245653.128</v>
      </c>
      <c r="AJ13" s="1592">
        <f t="shared" si="20"/>
        <v>20471</v>
      </c>
      <c r="AK13" s="1601">
        <f t="shared" si="21"/>
        <v>575036.02946868935</v>
      </c>
      <c r="AL13" s="1601">
        <f t="shared" si="22"/>
        <v>47920</v>
      </c>
    </row>
    <row r="14" spans="1:38" s="317" customFormat="1" ht="16.2" customHeight="1">
      <c r="A14" s="1454">
        <v>9</v>
      </c>
      <c r="B14" s="1455" t="s">
        <v>89</v>
      </c>
      <c r="C14" s="1456">
        <f>+'Table 8 Membership 2.1.14'!J11</f>
        <v>101</v>
      </c>
      <c r="D14" s="1457">
        <f>'Table 3 Levels 1&amp;2'!AL12*90%</f>
        <v>4169.215356484051</v>
      </c>
      <c r="E14" s="1457">
        <f t="shared" si="1"/>
        <v>421090.75100488914</v>
      </c>
      <c r="F14" s="1458">
        <f>'Table 3A Level 3'!C14*90%</f>
        <v>670.28399999999999</v>
      </c>
      <c r="G14" s="1458">
        <f t="shared" si="2"/>
        <v>67698.683999999994</v>
      </c>
      <c r="H14" s="1572">
        <f t="shared" si="3"/>
        <v>488789.43500488915</v>
      </c>
      <c r="I14" s="1458">
        <f>(('Table 3 Levels 1&amp;2'!AL12-D14)+('Table 3A Level 3'!C14-F14))*C14</f>
        <v>54309.937222765431</v>
      </c>
      <c r="J14" s="1458"/>
      <c r="K14" s="1458"/>
      <c r="L14" s="1576">
        <f t="shared" si="4"/>
        <v>0</v>
      </c>
      <c r="M14" s="1572">
        <f t="shared" si="5"/>
        <v>488789.43500488915</v>
      </c>
      <c r="N14" s="1458">
        <f t="shared" si="6"/>
        <v>-1221.9735875122228</v>
      </c>
      <c r="O14" s="1572">
        <f t="shared" si="7"/>
        <v>487567.46141737694</v>
      </c>
      <c r="P14" s="1459">
        <v>0</v>
      </c>
      <c r="Q14" s="1572">
        <f t="shared" si="8"/>
        <v>487567.46141737694</v>
      </c>
      <c r="R14" s="1458"/>
      <c r="S14" s="1458">
        <f t="shared" si="9"/>
        <v>487567.46141737694</v>
      </c>
      <c r="T14" s="1572">
        <f t="shared" si="10"/>
        <v>40631</v>
      </c>
      <c r="U14" s="1572">
        <f t="shared" si="23"/>
        <v>487567.46141737694</v>
      </c>
      <c r="V14" s="1460">
        <f>'Table 5C1A-Madison Prep'!U15*90%</f>
        <v>4345.2</v>
      </c>
      <c r="W14" s="1592">
        <f t="shared" si="11"/>
        <v>438865.19999999995</v>
      </c>
      <c r="X14" s="1462"/>
      <c r="Y14" s="1461">
        <f t="shared" si="12"/>
        <v>0</v>
      </c>
      <c r="Z14" s="1461"/>
      <c r="AA14" s="1461">
        <f t="shared" si="13"/>
        <v>0</v>
      </c>
      <c r="AB14" s="1597">
        <f t="shared" si="14"/>
        <v>0</v>
      </c>
      <c r="AC14" s="1592">
        <f t="shared" si="15"/>
        <v>438865.19999999995</v>
      </c>
      <c r="AD14" s="1461">
        <f t="shared" si="16"/>
        <v>-1097.163</v>
      </c>
      <c r="AE14" s="1592">
        <f t="shared" si="17"/>
        <v>437768.03699999995</v>
      </c>
      <c r="AF14" s="1460">
        <v>0</v>
      </c>
      <c r="AG14" s="1592">
        <f t="shared" si="18"/>
        <v>437768.03699999995</v>
      </c>
      <c r="AH14" s="1461"/>
      <c r="AI14" s="1461">
        <f t="shared" si="19"/>
        <v>437768.03699999995</v>
      </c>
      <c r="AJ14" s="1592">
        <f t="shared" si="20"/>
        <v>36481</v>
      </c>
      <c r="AK14" s="1601">
        <f t="shared" si="21"/>
        <v>925335.49841737689</v>
      </c>
      <c r="AL14" s="1601">
        <f t="shared" si="22"/>
        <v>77112</v>
      </c>
    </row>
    <row r="15" spans="1:38" s="317" customFormat="1" ht="16.2" customHeight="1">
      <c r="A15" s="1433">
        <v>10</v>
      </c>
      <c r="B15" s="1434" t="s">
        <v>90</v>
      </c>
      <c r="C15" s="1440">
        <f>+'Table 8 Membership 2.1.14'!J12</f>
        <v>78</v>
      </c>
      <c r="D15" s="1441">
        <f>'Table 3 Levels 1&amp;2'!AL13*90%</f>
        <v>3945.9372605266249</v>
      </c>
      <c r="E15" s="1441">
        <f t="shared" si="1"/>
        <v>307783.10632107675</v>
      </c>
      <c r="F15" s="906">
        <f>'Table 3A Level 3'!C15*90%</f>
        <v>547.2360000000001</v>
      </c>
      <c r="G15" s="906">
        <f t="shared" si="2"/>
        <v>42684.40800000001</v>
      </c>
      <c r="H15" s="1573">
        <f t="shared" si="3"/>
        <v>350467.51432107674</v>
      </c>
      <c r="I15" s="906">
        <f>(('Table 3 Levels 1&amp;2'!AL13-D15)+('Table 3A Level 3'!C15-F15))*C15</f>
        <v>38940.834924564071</v>
      </c>
      <c r="J15" s="906"/>
      <c r="K15" s="906"/>
      <c r="L15" s="1577">
        <f t="shared" si="4"/>
        <v>0</v>
      </c>
      <c r="M15" s="1573">
        <f t="shared" si="5"/>
        <v>350467.51432107674</v>
      </c>
      <c r="N15" s="906">
        <f t="shared" si="6"/>
        <v>-876.1687858026919</v>
      </c>
      <c r="O15" s="1573">
        <f t="shared" si="7"/>
        <v>349591.34553527407</v>
      </c>
      <c r="P15" s="1442">
        <v>0</v>
      </c>
      <c r="Q15" s="1573">
        <f t="shared" si="8"/>
        <v>349591.34553527407</v>
      </c>
      <c r="R15" s="906"/>
      <c r="S15" s="906">
        <f t="shared" si="9"/>
        <v>349591.34553527407</v>
      </c>
      <c r="T15" s="1573">
        <f t="shared" si="10"/>
        <v>29133</v>
      </c>
      <c r="U15" s="1573">
        <f t="shared" si="23"/>
        <v>349591.34553527407</v>
      </c>
      <c r="V15" s="1443">
        <f>'Table 5C1A-Madison Prep'!U16*90%</f>
        <v>4108.5</v>
      </c>
      <c r="W15" s="1593">
        <f t="shared" si="11"/>
        <v>320463</v>
      </c>
      <c r="X15" s="1444"/>
      <c r="Y15" s="907">
        <f t="shared" si="12"/>
        <v>0</v>
      </c>
      <c r="Z15" s="907"/>
      <c r="AA15" s="907">
        <f t="shared" si="13"/>
        <v>0</v>
      </c>
      <c r="AB15" s="1598">
        <f t="shared" si="14"/>
        <v>0</v>
      </c>
      <c r="AC15" s="1593">
        <f t="shared" si="15"/>
        <v>320463</v>
      </c>
      <c r="AD15" s="907">
        <f t="shared" si="16"/>
        <v>-801.15750000000003</v>
      </c>
      <c r="AE15" s="1593">
        <f t="shared" si="17"/>
        <v>319661.84250000003</v>
      </c>
      <c r="AF15" s="1443">
        <v>0</v>
      </c>
      <c r="AG15" s="1593">
        <f t="shared" si="18"/>
        <v>319661.84250000003</v>
      </c>
      <c r="AH15" s="907"/>
      <c r="AI15" s="907">
        <f t="shared" si="19"/>
        <v>319661.84250000003</v>
      </c>
      <c r="AJ15" s="1593">
        <f t="shared" si="20"/>
        <v>26638</v>
      </c>
      <c r="AK15" s="1602">
        <f t="shared" si="21"/>
        <v>669253.18803527416</v>
      </c>
      <c r="AL15" s="1602">
        <f t="shared" si="22"/>
        <v>55771</v>
      </c>
    </row>
    <row r="16" spans="1:38" s="317" customFormat="1" ht="16.2" customHeight="1">
      <c r="A16" s="1445">
        <v>11</v>
      </c>
      <c r="B16" s="1446" t="s">
        <v>91</v>
      </c>
      <c r="C16" s="1447">
        <f>+'Table 8 Membership 2.1.14'!J13</f>
        <v>4</v>
      </c>
      <c r="D16" s="1448">
        <f>'Table 3 Levels 1&amp;2'!AL14*90%</f>
        <v>6388.683501271802</v>
      </c>
      <c r="E16" s="1448">
        <f t="shared" si="1"/>
        <v>25554.734005087208</v>
      </c>
      <c r="F16" s="1449">
        <f>'Table 3A Level 3'!C16*90%</f>
        <v>635.89499999999998</v>
      </c>
      <c r="G16" s="1449">
        <f t="shared" si="2"/>
        <v>2543.58</v>
      </c>
      <c r="H16" s="1571">
        <f t="shared" si="3"/>
        <v>28098.31400508721</v>
      </c>
      <c r="I16" s="1449">
        <f>(('Table 3 Levels 1&amp;2'!AL14-D16)+('Table 3A Level 3'!C16-F16))*C16</f>
        <v>3122.0348894541321</v>
      </c>
      <c r="J16" s="1449"/>
      <c r="K16" s="1449"/>
      <c r="L16" s="1575">
        <f t="shared" si="4"/>
        <v>0</v>
      </c>
      <c r="M16" s="1571">
        <f t="shared" si="5"/>
        <v>28098.31400508721</v>
      </c>
      <c r="N16" s="1449">
        <f t="shared" si="6"/>
        <v>-70.245785012718031</v>
      </c>
      <c r="O16" s="1571">
        <f t="shared" si="7"/>
        <v>28028.068220074492</v>
      </c>
      <c r="P16" s="1450">
        <v>0</v>
      </c>
      <c r="Q16" s="1571">
        <f t="shared" si="8"/>
        <v>28028.068220074492</v>
      </c>
      <c r="R16" s="1449"/>
      <c r="S16" s="1449">
        <f t="shared" si="9"/>
        <v>28028.068220074492</v>
      </c>
      <c r="T16" s="1571">
        <f t="shared" si="10"/>
        <v>2336</v>
      </c>
      <c r="U16" s="1571">
        <f t="shared" si="23"/>
        <v>28028.068220074492</v>
      </c>
      <c r="V16" s="1451">
        <f>'Table 5C1A-Madison Prep'!U17*90%</f>
        <v>3228.3</v>
      </c>
      <c r="W16" s="1591">
        <f t="shared" si="11"/>
        <v>12913.2</v>
      </c>
      <c r="X16" s="1453"/>
      <c r="Y16" s="1452">
        <f t="shared" si="12"/>
        <v>0</v>
      </c>
      <c r="Z16" s="1452"/>
      <c r="AA16" s="1452">
        <f t="shared" si="13"/>
        <v>0</v>
      </c>
      <c r="AB16" s="1596">
        <f t="shared" si="14"/>
        <v>0</v>
      </c>
      <c r="AC16" s="1591">
        <f t="shared" si="15"/>
        <v>12913.2</v>
      </c>
      <c r="AD16" s="1452">
        <f t="shared" si="16"/>
        <v>-32.283000000000001</v>
      </c>
      <c r="AE16" s="1591">
        <f t="shared" si="17"/>
        <v>12880.917000000001</v>
      </c>
      <c r="AF16" s="1451">
        <v>0</v>
      </c>
      <c r="AG16" s="1591">
        <f t="shared" si="18"/>
        <v>12880.917000000001</v>
      </c>
      <c r="AH16" s="1452"/>
      <c r="AI16" s="1452">
        <f t="shared" si="19"/>
        <v>12880.917000000001</v>
      </c>
      <c r="AJ16" s="1591">
        <f t="shared" si="20"/>
        <v>1073</v>
      </c>
      <c r="AK16" s="1600">
        <f t="shared" si="21"/>
        <v>40908.985220074494</v>
      </c>
      <c r="AL16" s="1600">
        <f t="shared" si="22"/>
        <v>3409</v>
      </c>
    </row>
    <row r="17" spans="1:38" s="317" customFormat="1" ht="16.2" customHeight="1">
      <c r="A17" s="1454">
        <v>12</v>
      </c>
      <c r="B17" s="1455" t="s">
        <v>92</v>
      </c>
      <c r="C17" s="1456">
        <f>+'Table 8 Membership 2.1.14'!J14</f>
        <v>2</v>
      </c>
      <c r="D17" s="1457">
        <f>'Table 3 Levels 1&amp;2'!AL15*90%</f>
        <v>1499.9436885245902</v>
      </c>
      <c r="E17" s="1457">
        <f t="shared" si="1"/>
        <v>2999.8873770491805</v>
      </c>
      <c r="F17" s="1458">
        <f>'Table 3A Level 3'!C17*90%</f>
        <v>956.97899999999993</v>
      </c>
      <c r="G17" s="1458">
        <f t="shared" si="2"/>
        <v>1913.9579999999999</v>
      </c>
      <c r="H17" s="1572">
        <f t="shared" si="3"/>
        <v>4913.8453770491806</v>
      </c>
      <c r="I17" s="1458">
        <f>(('Table 3 Levels 1&amp;2'!AL15-D17)+('Table 3A Level 3'!C17-F17))*C17</f>
        <v>545.9828196721312</v>
      </c>
      <c r="J17" s="1458"/>
      <c r="K17" s="1458"/>
      <c r="L17" s="1576">
        <f t="shared" si="4"/>
        <v>0</v>
      </c>
      <c r="M17" s="1572">
        <f t="shared" si="5"/>
        <v>4913.8453770491806</v>
      </c>
      <c r="N17" s="1458">
        <f t="shared" si="6"/>
        <v>-12.284613442622952</v>
      </c>
      <c r="O17" s="1572">
        <f t="shared" si="7"/>
        <v>4901.5607636065579</v>
      </c>
      <c r="P17" s="1459">
        <v>0</v>
      </c>
      <c r="Q17" s="1572">
        <f t="shared" si="8"/>
        <v>4901.5607636065579</v>
      </c>
      <c r="R17" s="1458"/>
      <c r="S17" s="1458">
        <f t="shared" si="9"/>
        <v>4901.5607636065579</v>
      </c>
      <c r="T17" s="1572">
        <f t="shared" si="10"/>
        <v>408</v>
      </c>
      <c r="U17" s="1572">
        <f t="shared" si="23"/>
        <v>4901.5607636065579</v>
      </c>
      <c r="V17" s="1460">
        <f>'Table 5C1A-Madison Prep'!U18*90%</f>
        <v>7284.6</v>
      </c>
      <c r="W17" s="1592">
        <f t="shared" si="11"/>
        <v>14569.2</v>
      </c>
      <c r="X17" s="1462"/>
      <c r="Y17" s="1461">
        <f t="shared" si="12"/>
        <v>0</v>
      </c>
      <c r="Z17" s="1461"/>
      <c r="AA17" s="1461">
        <f t="shared" si="13"/>
        <v>0</v>
      </c>
      <c r="AB17" s="1597">
        <f t="shared" si="14"/>
        <v>0</v>
      </c>
      <c r="AC17" s="1592">
        <f t="shared" si="15"/>
        <v>14569.2</v>
      </c>
      <c r="AD17" s="1461">
        <f t="shared" si="16"/>
        <v>-36.423000000000002</v>
      </c>
      <c r="AE17" s="1592">
        <f t="shared" si="17"/>
        <v>14532.777</v>
      </c>
      <c r="AF17" s="1460">
        <v>0</v>
      </c>
      <c r="AG17" s="1592">
        <f t="shared" si="18"/>
        <v>14532.777</v>
      </c>
      <c r="AH17" s="1461"/>
      <c r="AI17" s="1461">
        <f t="shared" si="19"/>
        <v>14532.777</v>
      </c>
      <c r="AJ17" s="1592">
        <f t="shared" si="20"/>
        <v>1211</v>
      </c>
      <c r="AK17" s="1601">
        <f t="shared" si="21"/>
        <v>19434.337763606556</v>
      </c>
      <c r="AL17" s="1601">
        <f t="shared" si="22"/>
        <v>1619</v>
      </c>
    </row>
    <row r="18" spans="1:38" s="317" customFormat="1" ht="16.2" customHeight="1">
      <c r="A18" s="1454">
        <v>13</v>
      </c>
      <c r="B18" s="1455" t="s">
        <v>93</v>
      </c>
      <c r="C18" s="1456">
        <f>+'Table 8 Membership 2.1.14'!J15</f>
        <v>7</v>
      </c>
      <c r="D18" s="1457">
        <f>'Table 3 Levels 1&amp;2'!AL16*90%</f>
        <v>5790.2667982498988</v>
      </c>
      <c r="E18" s="1457">
        <f t="shared" si="1"/>
        <v>40531.867587749293</v>
      </c>
      <c r="F18" s="1458">
        <f>'Table 3A Level 3'!C18*90%</f>
        <v>674.48700000000008</v>
      </c>
      <c r="G18" s="1458">
        <f t="shared" si="2"/>
        <v>4721.4090000000006</v>
      </c>
      <c r="H18" s="1572">
        <f t="shared" si="3"/>
        <v>45253.276587749293</v>
      </c>
      <c r="I18" s="1458">
        <f>(('Table 3 Levels 1&amp;2'!AL16-D18)+('Table 3A Level 3'!C18-F18))*C18</f>
        <v>5028.1418430832564</v>
      </c>
      <c r="J18" s="1458"/>
      <c r="K18" s="1458"/>
      <c r="L18" s="1576">
        <f t="shared" si="4"/>
        <v>0</v>
      </c>
      <c r="M18" s="1572">
        <f t="shared" si="5"/>
        <v>45253.276587749293</v>
      </c>
      <c r="N18" s="1458">
        <f t="shared" si="6"/>
        <v>-113.13319146937323</v>
      </c>
      <c r="O18" s="1572">
        <f t="shared" si="7"/>
        <v>45140.14339627992</v>
      </c>
      <c r="P18" s="1459">
        <v>0</v>
      </c>
      <c r="Q18" s="1572">
        <f t="shared" si="8"/>
        <v>45140.14339627992</v>
      </c>
      <c r="R18" s="1458"/>
      <c r="S18" s="1458">
        <f t="shared" si="9"/>
        <v>45140.14339627992</v>
      </c>
      <c r="T18" s="1572">
        <f t="shared" si="10"/>
        <v>3762</v>
      </c>
      <c r="U18" s="1572">
        <f t="shared" si="23"/>
        <v>45140.14339627992</v>
      </c>
      <c r="V18" s="1460">
        <f>'Table 5C1A-Madison Prep'!U19*90%</f>
        <v>2557.8000000000002</v>
      </c>
      <c r="W18" s="1592">
        <f t="shared" si="11"/>
        <v>17904.600000000002</v>
      </c>
      <c r="X18" s="1462"/>
      <c r="Y18" s="1461">
        <f t="shared" si="12"/>
        <v>0</v>
      </c>
      <c r="Z18" s="1461"/>
      <c r="AA18" s="1461">
        <f t="shared" si="13"/>
        <v>0</v>
      </c>
      <c r="AB18" s="1597">
        <f t="shared" si="14"/>
        <v>0</v>
      </c>
      <c r="AC18" s="1592">
        <f t="shared" si="15"/>
        <v>17904.600000000002</v>
      </c>
      <c r="AD18" s="1461">
        <f t="shared" si="16"/>
        <v>-44.761500000000005</v>
      </c>
      <c r="AE18" s="1592">
        <f t="shared" si="17"/>
        <v>17859.838500000002</v>
      </c>
      <c r="AF18" s="1460">
        <v>0</v>
      </c>
      <c r="AG18" s="1592">
        <f t="shared" si="18"/>
        <v>17859.838500000002</v>
      </c>
      <c r="AH18" s="1461"/>
      <c r="AI18" s="1461">
        <f t="shared" si="19"/>
        <v>17859.838500000002</v>
      </c>
      <c r="AJ18" s="1592">
        <f t="shared" si="20"/>
        <v>1488</v>
      </c>
      <c r="AK18" s="1601">
        <f t="shared" si="21"/>
        <v>62999.981896279918</v>
      </c>
      <c r="AL18" s="1601">
        <f t="shared" si="22"/>
        <v>5250</v>
      </c>
    </row>
    <row r="19" spans="1:38" s="317" customFormat="1" ht="16.2" customHeight="1">
      <c r="A19" s="1454">
        <v>14</v>
      </c>
      <c r="B19" s="1455" t="s">
        <v>94</v>
      </c>
      <c r="C19" s="1456">
        <f>+'Table 8 Membership 2.1.14'!J16</f>
        <v>0</v>
      </c>
      <c r="D19" s="1457">
        <f>'Table 3 Levels 1&amp;2'!AL17*90%</f>
        <v>4801.4558471250002</v>
      </c>
      <c r="E19" s="1457">
        <f t="shared" si="1"/>
        <v>0</v>
      </c>
      <c r="F19" s="1458">
        <f>'Table 3A Level 3'!C19*90%</f>
        <v>728.98199999999997</v>
      </c>
      <c r="G19" s="1458">
        <f t="shared" si="2"/>
        <v>0</v>
      </c>
      <c r="H19" s="1572">
        <f t="shared" si="3"/>
        <v>0</v>
      </c>
      <c r="I19" s="1458">
        <f>(('Table 3 Levels 1&amp;2'!AL17-D19)+('Table 3A Level 3'!C19-F19))*C19</f>
        <v>0</v>
      </c>
      <c r="J19" s="1458"/>
      <c r="K19" s="1458"/>
      <c r="L19" s="1576">
        <f t="shared" si="4"/>
        <v>0</v>
      </c>
      <c r="M19" s="1572">
        <f t="shared" si="5"/>
        <v>0</v>
      </c>
      <c r="N19" s="1458">
        <f t="shared" si="6"/>
        <v>0</v>
      </c>
      <c r="O19" s="1572">
        <f t="shared" si="7"/>
        <v>0</v>
      </c>
      <c r="P19" s="1459">
        <v>0</v>
      </c>
      <c r="Q19" s="1572">
        <f t="shared" si="8"/>
        <v>0</v>
      </c>
      <c r="R19" s="1458"/>
      <c r="S19" s="1458">
        <f t="shared" si="9"/>
        <v>0</v>
      </c>
      <c r="T19" s="1572">
        <f t="shared" si="10"/>
        <v>0</v>
      </c>
      <c r="U19" s="1572">
        <f t="shared" si="23"/>
        <v>0</v>
      </c>
      <c r="V19" s="1460">
        <f>'Table 5C1A-Madison Prep'!U20*90%</f>
        <v>3784.5</v>
      </c>
      <c r="W19" s="1592">
        <f t="shared" si="11"/>
        <v>0</v>
      </c>
      <c r="X19" s="1462"/>
      <c r="Y19" s="1461">
        <f t="shared" si="12"/>
        <v>0</v>
      </c>
      <c r="Z19" s="1461"/>
      <c r="AA19" s="1461">
        <f t="shared" si="13"/>
        <v>0</v>
      </c>
      <c r="AB19" s="1597">
        <f t="shared" si="14"/>
        <v>0</v>
      </c>
      <c r="AC19" s="1592">
        <f t="shared" si="15"/>
        <v>0</v>
      </c>
      <c r="AD19" s="1461">
        <f t="shared" si="16"/>
        <v>0</v>
      </c>
      <c r="AE19" s="1592">
        <f t="shared" si="17"/>
        <v>0</v>
      </c>
      <c r="AF19" s="1460">
        <v>0</v>
      </c>
      <c r="AG19" s="1592">
        <f t="shared" si="18"/>
        <v>0</v>
      </c>
      <c r="AH19" s="1461"/>
      <c r="AI19" s="1461">
        <f t="shared" si="19"/>
        <v>0</v>
      </c>
      <c r="AJ19" s="1592">
        <f t="shared" si="20"/>
        <v>0</v>
      </c>
      <c r="AK19" s="1601">
        <f t="shared" si="21"/>
        <v>0</v>
      </c>
      <c r="AL19" s="1601">
        <f t="shared" si="22"/>
        <v>0</v>
      </c>
    </row>
    <row r="20" spans="1:38" s="317" customFormat="1" ht="16.2" customHeight="1">
      <c r="A20" s="1433">
        <v>15</v>
      </c>
      <c r="B20" s="1434" t="s">
        <v>95</v>
      </c>
      <c r="C20" s="1440">
        <f>+'Table 8 Membership 2.1.14'!J17</f>
        <v>22</v>
      </c>
      <c r="D20" s="1441">
        <f>'Table 3 Levels 1&amp;2'!AL18*90%</f>
        <v>5174.8456692653954</v>
      </c>
      <c r="E20" s="1441">
        <f t="shared" si="1"/>
        <v>113846.6047238387</v>
      </c>
      <c r="F20" s="906">
        <f>'Table 3A Level 3'!C20*90%</f>
        <v>498.41999999999996</v>
      </c>
      <c r="G20" s="906">
        <f t="shared" si="2"/>
        <v>10965.24</v>
      </c>
      <c r="H20" s="1573">
        <f t="shared" si="3"/>
        <v>124811.8447238387</v>
      </c>
      <c r="I20" s="906">
        <f>(('Table 3 Levels 1&amp;2'!AL18-D20)+('Table 3A Level 3'!C20-F20))*C20</f>
        <v>13867.982747093196</v>
      </c>
      <c r="J20" s="906"/>
      <c r="K20" s="906"/>
      <c r="L20" s="1577">
        <f t="shared" si="4"/>
        <v>0</v>
      </c>
      <c r="M20" s="1573">
        <f t="shared" si="5"/>
        <v>124811.8447238387</v>
      </c>
      <c r="N20" s="906">
        <f t="shared" si="6"/>
        <v>-312.02961180959676</v>
      </c>
      <c r="O20" s="1573">
        <f t="shared" si="7"/>
        <v>124499.8151120291</v>
      </c>
      <c r="P20" s="1442">
        <v>0</v>
      </c>
      <c r="Q20" s="1573">
        <f t="shared" si="8"/>
        <v>124499.8151120291</v>
      </c>
      <c r="R20" s="906"/>
      <c r="S20" s="906">
        <f t="shared" si="9"/>
        <v>124499.8151120291</v>
      </c>
      <c r="T20" s="1573">
        <f t="shared" si="10"/>
        <v>10375</v>
      </c>
      <c r="U20" s="1573">
        <f t="shared" si="23"/>
        <v>124499.8151120291</v>
      </c>
      <c r="V20" s="1443">
        <f>'Table 5C1A-Madison Prep'!U21*90%</f>
        <v>2281.5</v>
      </c>
      <c r="W20" s="1593">
        <f t="shared" si="11"/>
        <v>50193</v>
      </c>
      <c r="X20" s="1444"/>
      <c r="Y20" s="907">
        <f t="shared" si="12"/>
        <v>0</v>
      </c>
      <c r="Z20" s="907"/>
      <c r="AA20" s="907">
        <f t="shared" si="13"/>
        <v>0</v>
      </c>
      <c r="AB20" s="1598">
        <f t="shared" si="14"/>
        <v>0</v>
      </c>
      <c r="AC20" s="1593">
        <f t="shared" si="15"/>
        <v>50193</v>
      </c>
      <c r="AD20" s="907">
        <f t="shared" si="16"/>
        <v>-125.4825</v>
      </c>
      <c r="AE20" s="1593">
        <f t="shared" si="17"/>
        <v>50067.517500000002</v>
      </c>
      <c r="AF20" s="1443">
        <v>0</v>
      </c>
      <c r="AG20" s="1593">
        <f t="shared" si="18"/>
        <v>50067.517500000002</v>
      </c>
      <c r="AH20" s="907"/>
      <c r="AI20" s="907">
        <f t="shared" si="19"/>
        <v>50067.517500000002</v>
      </c>
      <c r="AJ20" s="1593">
        <f t="shared" si="20"/>
        <v>4172</v>
      </c>
      <c r="AK20" s="1602">
        <f t="shared" si="21"/>
        <v>174567.3326120291</v>
      </c>
      <c r="AL20" s="1602">
        <f t="shared" si="22"/>
        <v>14547</v>
      </c>
    </row>
    <row r="21" spans="1:38" s="317" customFormat="1" ht="16.2" customHeight="1">
      <c r="A21" s="1445">
        <v>16</v>
      </c>
      <c r="B21" s="1446" t="s">
        <v>96</v>
      </c>
      <c r="C21" s="1447">
        <f>+'Table 8 Membership 2.1.14'!J18</f>
        <v>19</v>
      </c>
      <c r="D21" s="1448">
        <f>'Table 3 Levels 1&amp;2'!AL19*90%</f>
        <v>1782.2244918907822</v>
      </c>
      <c r="E21" s="1448">
        <f t="shared" si="1"/>
        <v>33862.265345924861</v>
      </c>
      <c r="F21" s="1449">
        <f>'Table 3A Level 3'!C21*90%</f>
        <v>618.05700000000002</v>
      </c>
      <c r="G21" s="1449">
        <f t="shared" si="2"/>
        <v>11743.083000000001</v>
      </c>
      <c r="H21" s="1571">
        <f t="shared" si="3"/>
        <v>45605.34834592486</v>
      </c>
      <c r="I21" s="1449">
        <f>(('Table 3 Levels 1&amp;2'!AL19-D21)+('Table 3A Level 3'!C21-F21))*C21</f>
        <v>5067.2609273249846</v>
      </c>
      <c r="J21" s="1449"/>
      <c r="K21" s="1449"/>
      <c r="L21" s="1575">
        <f t="shared" si="4"/>
        <v>0</v>
      </c>
      <c r="M21" s="1571">
        <f t="shared" si="5"/>
        <v>45605.34834592486</v>
      </c>
      <c r="N21" s="1449">
        <f t="shared" si="6"/>
        <v>-114.01337086481215</v>
      </c>
      <c r="O21" s="1571">
        <f t="shared" si="7"/>
        <v>45491.334975060046</v>
      </c>
      <c r="P21" s="1450">
        <v>0</v>
      </c>
      <c r="Q21" s="1571">
        <f t="shared" si="8"/>
        <v>45491.334975060046</v>
      </c>
      <c r="R21" s="1449"/>
      <c r="S21" s="1449">
        <f t="shared" si="9"/>
        <v>45491.334975060046</v>
      </c>
      <c r="T21" s="1571">
        <f t="shared" si="10"/>
        <v>3791</v>
      </c>
      <c r="U21" s="1571">
        <f t="shared" si="23"/>
        <v>45491.334975060046</v>
      </c>
      <c r="V21" s="1451">
        <f>'Table 5C1A-Madison Prep'!U22*90%</f>
        <v>11491.2</v>
      </c>
      <c r="W21" s="1591">
        <f t="shared" si="11"/>
        <v>218332.80000000002</v>
      </c>
      <c r="X21" s="1453"/>
      <c r="Y21" s="1452">
        <f t="shared" si="12"/>
        <v>0</v>
      </c>
      <c r="Z21" s="1452"/>
      <c r="AA21" s="1452">
        <f t="shared" si="13"/>
        <v>0</v>
      </c>
      <c r="AB21" s="1596">
        <f t="shared" si="14"/>
        <v>0</v>
      </c>
      <c r="AC21" s="1591">
        <f t="shared" si="15"/>
        <v>218332.80000000002</v>
      </c>
      <c r="AD21" s="1452">
        <f t="shared" si="16"/>
        <v>-545.83200000000011</v>
      </c>
      <c r="AE21" s="1591">
        <f t="shared" si="17"/>
        <v>217786.96800000002</v>
      </c>
      <c r="AF21" s="1451">
        <v>0</v>
      </c>
      <c r="AG21" s="1591">
        <f t="shared" si="18"/>
        <v>217786.96800000002</v>
      </c>
      <c r="AH21" s="1452"/>
      <c r="AI21" s="1452">
        <f t="shared" si="19"/>
        <v>217786.96800000002</v>
      </c>
      <c r="AJ21" s="1591">
        <f t="shared" si="20"/>
        <v>18149</v>
      </c>
      <c r="AK21" s="1600">
        <f t="shared" si="21"/>
        <v>263278.30297506007</v>
      </c>
      <c r="AL21" s="1600">
        <f t="shared" si="22"/>
        <v>21940</v>
      </c>
    </row>
    <row r="22" spans="1:38" s="317" customFormat="1" ht="16.2" customHeight="1">
      <c r="A22" s="1454">
        <v>17</v>
      </c>
      <c r="B22" s="1455" t="s">
        <v>97</v>
      </c>
      <c r="C22" s="1456">
        <f>+'Table 8 Membership 2.1.14'!J19</f>
        <v>104</v>
      </c>
      <c r="D22" s="1457">
        <f>'Table 3 Levels 1&amp;2'!AL20*90%</f>
        <v>3027.2382331429048</v>
      </c>
      <c r="E22" s="1457">
        <f t="shared" si="1"/>
        <v>314832.77624686208</v>
      </c>
      <c r="F22" s="1458">
        <f>'Table 3A Level 3'!C22*90%</f>
        <v>721.32986175126121</v>
      </c>
      <c r="G22" s="1458">
        <f t="shared" si="2"/>
        <v>75018.305622131171</v>
      </c>
      <c r="H22" s="1572">
        <f t="shared" si="3"/>
        <v>389851.08186899323</v>
      </c>
      <c r="I22" s="1458">
        <f>(('Table 3 Levels 1&amp;2'!AL20-D22)+('Table 3A Level 3'!C22-F22))*C22</f>
        <v>43316.786874332553</v>
      </c>
      <c r="J22" s="1458"/>
      <c r="K22" s="1458"/>
      <c r="L22" s="1576">
        <f t="shared" si="4"/>
        <v>0</v>
      </c>
      <c r="M22" s="1572">
        <f t="shared" si="5"/>
        <v>389851.08186899323</v>
      </c>
      <c r="N22" s="1458">
        <f t="shared" si="6"/>
        <v>-974.62770467248311</v>
      </c>
      <c r="O22" s="1572">
        <f t="shared" si="7"/>
        <v>388876.45416432078</v>
      </c>
      <c r="P22" s="1459">
        <v>0</v>
      </c>
      <c r="Q22" s="1572">
        <f t="shared" si="8"/>
        <v>388876.45416432078</v>
      </c>
      <c r="R22" s="1458"/>
      <c r="S22" s="1458">
        <f t="shared" si="9"/>
        <v>388876.45416432078</v>
      </c>
      <c r="T22" s="1572">
        <f t="shared" si="10"/>
        <v>32406</v>
      </c>
      <c r="U22" s="1572">
        <f t="shared" si="23"/>
        <v>388876.45416432078</v>
      </c>
      <c r="V22" s="1460">
        <f>'Table 5C1A-Madison Prep'!U23*90%</f>
        <v>6345</v>
      </c>
      <c r="W22" s="1592">
        <f t="shared" si="11"/>
        <v>659880</v>
      </c>
      <c r="X22" s="1462"/>
      <c r="Y22" s="1461">
        <f t="shared" si="12"/>
        <v>0</v>
      </c>
      <c r="Z22" s="1461"/>
      <c r="AA22" s="1461">
        <f t="shared" si="13"/>
        <v>0</v>
      </c>
      <c r="AB22" s="1597">
        <f t="shared" si="14"/>
        <v>0</v>
      </c>
      <c r="AC22" s="1592">
        <f t="shared" si="15"/>
        <v>659880</v>
      </c>
      <c r="AD22" s="1461">
        <f t="shared" si="16"/>
        <v>-1649.7</v>
      </c>
      <c r="AE22" s="1592">
        <f t="shared" si="17"/>
        <v>658230.30000000005</v>
      </c>
      <c r="AF22" s="1460">
        <v>0</v>
      </c>
      <c r="AG22" s="1592">
        <f t="shared" si="18"/>
        <v>658230.30000000005</v>
      </c>
      <c r="AH22" s="1461"/>
      <c r="AI22" s="1461">
        <f t="shared" si="19"/>
        <v>658230.30000000005</v>
      </c>
      <c r="AJ22" s="1592">
        <f t="shared" si="20"/>
        <v>54853</v>
      </c>
      <c r="AK22" s="1601">
        <f t="shared" si="21"/>
        <v>1047106.7541643209</v>
      </c>
      <c r="AL22" s="1601">
        <f t="shared" si="22"/>
        <v>87259</v>
      </c>
    </row>
    <row r="23" spans="1:38" s="317" customFormat="1" ht="16.2" customHeight="1">
      <c r="A23" s="1454">
        <v>18</v>
      </c>
      <c r="B23" s="1455" t="s">
        <v>98</v>
      </c>
      <c r="C23" s="1456">
        <f>+'Table 8 Membership 2.1.14'!J20</f>
        <v>3</v>
      </c>
      <c r="D23" s="1457">
        <f>'Table 3 Levels 1&amp;2'!AL21*90%</f>
        <v>5719.0980150428159</v>
      </c>
      <c r="E23" s="1457">
        <f t="shared" si="1"/>
        <v>17157.294045128448</v>
      </c>
      <c r="F23" s="1458">
        <f>'Table 3A Level 3'!C23*90%</f>
        <v>761.3549999999999</v>
      </c>
      <c r="G23" s="1458">
        <f t="shared" si="2"/>
        <v>2284.0649999999996</v>
      </c>
      <c r="H23" s="1572">
        <f t="shared" si="3"/>
        <v>19441.359045128447</v>
      </c>
      <c r="I23" s="1458">
        <f>(('Table 3 Levels 1&amp;2'!AL21-D23)+('Table 3A Level 3'!C23-F23))*C23</f>
        <v>2160.1510050142715</v>
      </c>
      <c r="J23" s="1458"/>
      <c r="K23" s="1458"/>
      <c r="L23" s="1576">
        <f t="shared" si="4"/>
        <v>0</v>
      </c>
      <c r="M23" s="1572">
        <f t="shared" si="5"/>
        <v>19441.359045128447</v>
      </c>
      <c r="N23" s="1458">
        <f t="shared" si="6"/>
        <v>-48.603397612821119</v>
      </c>
      <c r="O23" s="1572">
        <f t="shared" si="7"/>
        <v>19392.755647515627</v>
      </c>
      <c r="P23" s="1459">
        <v>0</v>
      </c>
      <c r="Q23" s="1572">
        <f t="shared" si="8"/>
        <v>19392.755647515627</v>
      </c>
      <c r="R23" s="1458"/>
      <c r="S23" s="1458">
        <f t="shared" si="9"/>
        <v>19392.755647515627</v>
      </c>
      <c r="T23" s="1572">
        <f t="shared" si="10"/>
        <v>1616</v>
      </c>
      <c r="U23" s="1572">
        <f t="shared" si="23"/>
        <v>19392.755647515627</v>
      </c>
      <c r="V23" s="1460">
        <f>'Table 5C1A-Madison Prep'!U24*90%</f>
        <v>2273.4</v>
      </c>
      <c r="W23" s="1592">
        <f t="shared" si="11"/>
        <v>6820.2000000000007</v>
      </c>
      <c r="X23" s="1462"/>
      <c r="Y23" s="1461">
        <f t="shared" si="12"/>
        <v>0</v>
      </c>
      <c r="Z23" s="1461"/>
      <c r="AA23" s="1461">
        <f t="shared" si="13"/>
        <v>0</v>
      </c>
      <c r="AB23" s="1597">
        <f t="shared" si="14"/>
        <v>0</v>
      </c>
      <c r="AC23" s="1592">
        <f t="shared" si="15"/>
        <v>6820.2000000000007</v>
      </c>
      <c r="AD23" s="1461">
        <f t="shared" si="16"/>
        <v>-17.050500000000003</v>
      </c>
      <c r="AE23" s="1592">
        <f t="shared" si="17"/>
        <v>6803.1495000000004</v>
      </c>
      <c r="AF23" s="1460">
        <v>0</v>
      </c>
      <c r="AG23" s="1592">
        <f t="shared" si="18"/>
        <v>6803.1495000000004</v>
      </c>
      <c r="AH23" s="1461"/>
      <c r="AI23" s="1461">
        <f t="shared" si="19"/>
        <v>6803.1495000000004</v>
      </c>
      <c r="AJ23" s="1592">
        <f t="shared" si="20"/>
        <v>567</v>
      </c>
      <c r="AK23" s="1601">
        <f t="shared" si="21"/>
        <v>26195.905147515627</v>
      </c>
      <c r="AL23" s="1601">
        <f t="shared" si="22"/>
        <v>2183</v>
      </c>
    </row>
    <row r="24" spans="1:38" s="317" customFormat="1" ht="16.2" customHeight="1">
      <c r="A24" s="1454">
        <v>19</v>
      </c>
      <c r="B24" s="1455" t="s">
        <v>99</v>
      </c>
      <c r="C24" s="1456">
        <f>+'Table 8 Membership 2.1.14'!J21</f>
        <v>14</v>
      </c>
      <c r="D24" s="1457">
        <f>'Table 3 Levels 1&amp;2'!AL22*90%</f>
        <v>4782.9529682514403</v>
      </c>
      <c r="E24" s="1457">
        <f t="shared" si="1"/>
        <v>66961.341555520165</v>
      </c>
      <c r="F24" s="1458">
        <f>'Table 3A Level 3'!C24*90%</f>
        <v>814.88699999999994</v>
      </c>
      <c r="G24" s="1458">
        <f t="shared" si="2"/>
        <v>11408.418</v>
      </c>
      <c r="H24" s="1572">
        <f t="shared" si="3"/>
        <v>78369.75955552017</v>
      </c>
      <c r="I24" s="1458">
        <f>(('Table 3 Levels 1&amp;2'!AL22-D24)+('Table 3A Level 3'!C24-F24))*C24</f>
        <v>8707.7510617244607</v>
      </c>
      <c r="J24" s="1458"/>
      <c r="K24" s="1458"/>
      <c r="L24" s="1576">
        <f t="shared" si="4"/>
        <v>0</v>
      </c>
      <c r="M24" s="1572">
        <f t="shared" si="5"/>
        <v>78369.75955552017</v>
      </c>
      <c r="N24" s="1458">
        <f t="shared" si="6"/>
        <v>-195.92439888880043</v>
      </c>
      <c r="O24" s="1572">
        <f t="shared" si="7"/>
        <v>78173.835156631365</v>
      </c>
      <c r="P24" s="1459">
        <v>0</v>
      </c>
      <c r="Q24" s="1572">
        <f t="shared" si="8"/>
        <v>78173.835156631365</v>
      </c>
      <c r="R24" s="1458"/>
      <c r="S24" s="1458">
        <f t="shared" si="9"/>
        <v>78173.835156631365</v>
      </c>
      <c r="T24" s="1572">
        <f t="shared" si="10"/>
        <v>6514</v>
      </c>
      <c r="U24" s="1572">
        <f t="shared" si="23"/>
        <v>78173.835156631365</v>
      </c>
      <c r="V24" s="1460">
        <f>'Table 5C1A-Madison Prep'!U25*90%</f>
        <v>2617.2000000000003</v>
      </c>
      <c r="W24" s="1592">
        <f t="shared" si="11"/>
        <v>36640.800000000003</v>
      </c>
      <c r="X24" s="1462"/>
      <c r="Y24" s="1461">
        <f t="shared" si="12"/>
        <v>0</v>
      </c>
      <c r="Z24" s="1461"/>
      <c r="AA24" s="1461">
        <f t="shared" si="13"/>
        <v>0</v>
      </c>
      <c r="AB24" s="1597">
        <f t="shared" si="14"/>
        <v>0</v>
      </c>
      <c r="AC24" s="1592">
        <f t="shared" si="15"/>
        <v>36640.800000000003</v>
      </c>
      <c r="AD24" s="1461">
        <f t="shared" si="16"/>
        <v>-91.602000000000004</v>
      </c>
      <c r="AE24" s="1592">
        <f t="shared" si="17"/>
        <v>36549.198000000004</v>
      </c>
      <c r="AF24" s="1460">
        <v>0</v>
      </c>
      <c r="AG24" s="1592">
        <f t="shared" si="18"/>
        <v>36549.198000000004</v>
      </c>
      <c r="AH24" s="1461"/>
      <c r="AI24" s="1461">
        <f t="shared" si="19"/>
        <v>36549.198000000004</v>
      </c>
      <c r="AJ24" s="1592">
        <f t="shared" si="20"/>
        <v>3046</v>
      </c>
      <c r="AK24" s="1601">
        <f t="shared" si="21"/>
        <v>114723.03315663137</v>
      </c>
      <c r="AL24" s="1601">
        <f t="shared" si="22"/>
        <v>9560</v>
      </c>
    </row>
    <row r="25" spans="1:38" s="317" customFormat="1" ht="16.2" customHeight="1">
      <c r="A25" s="1433">
        <v>20</v>
      </c>
      <c r="B25" s="1434" t="s">
        <v>100</v>
      </c>
      <c r="C25" s="1440">
        <f>+'Table 8 Membership 2.1.14'!J22</f>
        <v>8</v>
      </c>
      <c r="D25" s="1441">
        <f>'Table 3 Levels 1&amp;2'!AL23*90%</f>
        <v>4750.6681409005814</v>
      </c>
      <c r="E25" s="1441">
        <f t="shared" si="1"/>
        <v>38005.345127204651</v>
      </c>
      <c r="F25" s="906">
        <f>'Table 3A Level 3'!C25*90%</f>
        <v>527.553</v>
      </c>
      <c r="G25" s="906">
        <f t="shared" si="2"/>
        <v>4220.424</v>
      </c>
      <c r="H25" s="1573">
        <f t="shared" si="3"/>
        <v>42225.76912720465</v>
      </c>
      <c r="I25" s="906">
        <f>(('Table 3 Levels 1&amp;2'!AL23-D25)+('Table 3A Level 3'!C25-F25))*C25</f>
        <v>4691.7521252449569</v>
      </c>
      <c r="J25" s="906"/>
      <c r="K25" s="906"/>
      <c r="L25" s="1577">
        <f t="shared" si="4"/>
        <v>0</v>
      </c>
      <c r="M25" s="1573">
        <f t="shared" si="5"/>
        <v>42225.76912720465</v>
      </c>
      <c r="N25" s="906">
        <f t="shared" si="6"/>
        <v>-105.56442281801162</v>
      </c>
      <c r="O25" s="1573">
        <f t="shared" si="7"/>
        <v>42120.204704386641</v>
      </c>
      <c r="P25" s="1442">
        <v>0</v>
      </c>
      <c r="Q25" s="1573">
        <f t="shared" si="8"/>
        <v>42120.204704386641</v>
      </c>
      <c r="R25" s="906"/>
      <c r="S25" s="906">
        <f t="shared" si="9"/>
        <v>42120.204704386641</v>
      </c>
      <c r="T25" s="1573">
        <f t="shared" si="10"/>
        <v>3510</v>
      </c>
      <c r="U25" s="1573">
        <f t="shared" si="23"/>
        <v>42120.204704386641</v>
      </c>
      <c r="V25" s="1443">
        <f>'Table 5C1A-Madison Prep'!U26*90%</f>
        <v>2188.8000000000002</v>
      </c>
      <c r="W25" s="1593">
        <f t="shared" si="11"/>
        <v>17510.400000000001</v>
      </c>
      <c r="X25" s="1444"/>
      <c r="Y25" s="907">
        <f t="shared" si="12"/>
        <v>0</v>
      </c>
      <c r="Z25" s="907"/>
      <c r="AA25" s="907">
        <f t="shared" si="13"/>
        <v>0</v>
      </c>
      <c r="AB25" s="1598">
        <f t="shared" si="14"/>
        <v>0</v>
      </c>
      <c r="AC25" s="1593">
        <f t="shared" si="15"/>
        <v>17510.400000000001</v>
      </c>
      <c r="AD25" s="907">
        <f t="shared" si="16"/>
        <v>-43.776000000000003</v>
      </c>
      <c r="AE25" s="1593">
        <f t="shared" si="17"/>
        <v>17466.624</v>
      </c>
      <c r="AF25" s="1443">
        <v>0</v>
      </c>
      <c r="AG25" s="1593">
        <f t="shared" si="18"/>
        <v>17466.624</v>
      </c>
      <c r="AH25" s="907"/>
      <c r="AI25" s="907">
        <f t="shared" si="19"/>
        <v>17466.624</v>
      </c>
      <c r="AJ25" s="1593">
        <f t="shared" si="20"/>
        <v>1456</v>
      </c>
      <c r="AK25" s="1602">
        <f t="shared" si="21"/>
        <v>59586.828704386644</v>
      </c>
      <c r="AL25" s="1602">
        <f t="shared" si="22"/>
        <v>4966</v>
      </c>
    </row>
    <row r="26" spans="1:38" s="317" customFormat="1" ht="16.2" customHeight="1">
      <c r="A26" s="1445">
        <v>21</v>
      </c>
      <c r="B26" s="1446" t="s">
        <v>101</v>
      </c>
      <c r="C26" s="1447">
        <f>+'Table 8 Membership 2.1.14'!J23</f>
        <v>6</v>
      </c>
      <c r="D26" s="1448">
        <f>'Table 3 Levels 1&amp;2'!AL24*90%</f>
        <v>5474.0738066280992</v>
      </c>
      <c r="E26" s="1448">
        <f t="shared" si="1"/>
        <v>32844.442839768599</v>
      </c>
      <c r="F26" s="1449">
        <f>'Table 3A Level 3'!C26*90%</f>
        <v>549.31500000000005</v>
      </c>
      <c r="G26" s="1449">
        <f t="shared" si="2"/>
        <v>3295.8900000000003</v>
      </c>
      <c r="H26" s="1571">
        <f t="shared" si="3"/>
        <v>36140.332839768598</v>
      </c>
      <c r="I26" s="1449">
        <f>(('Table 3 Levels 1&amp;2'!AL24-D26)+('Table 3A Level 3'!C26-F26))*C26</f>
        <v>4015.5925377520625</v>
      </c>
      <c r="J26" s="1449"/>
      <c r="K26" s="1449"/>
      <c r="L26" s="1575">
        <f t="shared" si="4"/>
        <v>0</v>
      </c>
      <c r="M26" s="1571">
        <f t="shared" si="5"/>
        <v>36140.332839768598</v>
      </c>
      <c r="N26" s="1449">
        <f t="shared" si="6"/>
        <v>-90.350832099421496</v>
      </c>
      <c r="O26" s="1571">
        <f t="shared" si="7"/>
        <v>36049.982007669176</v>
      </c>
      <c r="P26" s="1450">
        <v>0</v>
      </c>
      <c r="Q26" s="1571">
        <f t="shared" si="8"/>
        <v>36049.982007669176</v>
      </c>
      <c r="R26" s="1449"/>
      <c r="S26" s="1449">
        <f t="shared" si="9"/>
        <v>36049.982007669176</v>
      </c>
      <c r="T26" s="1571">
        <f t="shared" si="10"/>
        <v>3004</v>
      </c>
      <c r="U26" s="1571">
        <f t="shared" si="23"/>
        <v>36049.982007669176</v>
      </c>
      <c r="V26" s="1451">
        <f>'Table 5C1A-Madison Prep'!U27*90%</f>
        <v>2214</v>
      </c>
      <c r="W26" s="1591">
        <f t="shared" si="11"/>
        <v>13284</v>
      </c>
      <c r="X26" s="1453"/>
      <c r="Y26" s="1452">
        <f t="shared" si="12"/>
        <v>0</v>
      </c>
      <c r="Z26" s="1452"/>
      <c r="AA26" s="1452">
        <f t="shared" si="13"/>
        <v>0</v>
      </c>
      <c r="AB26" s="1596">
        <f t="shared" si="14"/>
        <v>0</v>
      </c>
      <c r="AC26" s="1591">
        <f t="shared" si="15"/>
        <v>13284</v>
      </c>
      <c r="AD26" s="1452">
        <f t="shared" si="16"/>
        <v>-33.21</v>
      </c>
      <c r="AE26" s="1591">
        <f t="shared" si="17"/>
        <v>13250.79</v>
      </c>
      <c r="AF26" s="1451">
        <v>0</v>
      </c>
      <c r="AG26" s="1591">
        <f t="shared" si="18"/>
        <v>13250.79</v>
      </c>
      <c r="AH26" s="1452"/>
      <c r="AI26" s="1452">
        <f t="shared" si="19"/>
        <v>13250.79</v>
      </c>
      <c r="AJ26" s="1591">
        <f t="shared" si="20"/>
        <v>1104</v>
      </c>
      <c r="AK26" s="1600">
        <f t="shared" si="21"/>
        <v>49300.772007669177</v>
      </c>
      <c r="AL26" s="1600">
        <f t="shared" si="22"/>
        <v>4108</v>
      </c>
    </row>
    <row r="27" spans="1:38" s="317" customFormat="1" ht="16.2" customHeight="1">
      <c r="A27" s="1454">
        <v>22</v>
      </c>
      <c r="B27" s="1455" t="s">
        <v>102</v>
      </c>
      <c r="C27" s="1456">
        <f>+'Table 8 Membership 2.1.14'!J24</f>
        <v>8</v>
      </c>
      <c r="D27" s="1457">
        <f>'Table 3 Levels 1&amp;2'!AL25*90%</f>
        <v>5774.4989827376394</v>
      </c>
      <c r="E27" s="1457">
        <f t="shared" si="1"/>
        <v>46195.991861901115</v>
      </c>
      <c r="F27" s="1458">
        <f>'Table 3A Level 3'!C27*90%</f>
        <v>446.72400000000005</v>
      </c>
      <c r="G27" s="1458">
        <f t="shared" si="2"/>
        <v>3573.7920000000004</v>
      </c>
      <c r="H27" s="1572">
        <f t="shared" si="3"/>
        <v>49769.783861901116</v>
      </c>
      <c r="I27" s="1458">
        <f>(('Table 3 Levels 1&amp;2'!AL25-D27)+('Table 3A Level 3'!C27-F27))*C27</f>
        <v>5529.9759846556808</v>
      </c>
      <c r="J27" s="1458"/>
      <c r="K27" s="1458"/>
      <c r="L27" s="1576">
        <f t="shared" si="4"/>
        <v>0</v>
      </c>
      <c r="M27" s="1572">
        <f t="shared" si="5"/>
        <v>49769.783861901116</v>
      </c>
      <c r="N27" s="1458">
        <f t="shared" si="6"/>
        <v>-124.42445965475279</v>
      </c>
      <c r="O27" s="1572">
        <f t="shared" si="7"/>
        <v>49645.359402246366</v>
      </c>
      <c r="P27" s="1459">
        <v>0</v>
      </c>
      <c r="Q27" s="1572">
        <f t="shared" si="8"/>
        <v>49645.359402246366</v>
      </c>
      <c r="R27" s="1458"/>
      <c r="S27" s="1458">
        <f t="shared" si="9"/>
        <v>49645.359402246366</v>
      </c>
      <c r="T27" s="1572">
        <f t="shared" si="10"/>
        <v>4137</v>
      </c>
      <c r="U27" s="1572">
        <f t="shared" si="23"/>
        <v>49645.359402246366</v>
      </c>
      <c r="V27" s="1460">
        <f>'Table 5C1A-Madison Prep'!U28*90%</f>
        <v>1451.7</v>
      </c>
      <c r="W27" s="1592">
        <f t="shared" si="11"/>
        <v>11613.6</v>
      </c>
      <c r="X27" s="1462"/>
      <c r="Y27" s="1461">
        <f t="shared" si="12"/>
        <v>0</v>
      </c>
      <c r="Z27" s="1461"/>
      <c r="AA27" s="1461">
        <f t="shared" si="13"/>
        <v>0</v>
      </c>
      <c r="AB27" s="1597">
        <f t="shared" si="14"/>
        <v>0</v>
      </c>
      <c r="AC27" s="1592">
        <f t="shared" si="15"/>
        <v>11613.6</v>
      </c>
      <c r="AD27" s="1461">
        <f t="shared" si="16"/>
        <v>-29.034000000000002</v>
      </c>
      <c r="AE27" s="1592">
        <f t="shared" si="17"/>
        <v>11584.566000000001</v>
      </c>
      <c r="AF27" s="1460">
        <v>0</v>
      </c>
      <c r="AG27" s="1592">
        <f t="shared" si="18"/>
        <v>11584.566000000001</v>
      </c>
      <c r="AH27" s="1461"/>
      <c r="AI27" s="1461">
        <f t="shared" si="19"/>
        <v>11584.566000000001</v>
      </c>
      <c r="AJ27" s="1592">
        <f t="shared" si="20"/>
        <v>965</v>
      </c>
      <c r="AK27" s="1601">
        <f t="shared" si="21"/>
        <v>61229.925402246365</v>
      </c>
      <c r="AL27" s="1601">
        <f t="shared" si="22"/>
        <v>5102</v>
      </c>
    </row>
    <row r="28" spans="1:38" s="317" customFormat="1" ht="16.2" customHeight="1">
      <c r="A28" s="1454">
        <v>23</v>
      </c>
      <c r="B28" s="1455" t="s">
        <v>103</v>
      </c>
      <c r="C28" s="1456">
        <f>+'Table 8 Membership 2.1.14'!J25</f>
        <v>19</v>
      </c>
      <c r="D28" s="1457">
        <f>'Table 3 Levels 1&amp;2'!AL26*90%</f>
        <v>4509.9193739381244</v>
      </c>
      <c r="E28" s="1457">
        <f t="shared" si="1"/>
        <v>85688.468104824366</v>
      </c>
      <c r="F28" s="1458">
        <f>'Table 3A Level 3'!C28*90%</f>
        <v>619.72200000000009</v>
      </c>
      <c r="G28" s="1458">
        <f t="shared" si="2"/>
        <v>11774.718000000003</v>
      </c>
      <c r="H28" s="1572">
        <f t="shared" si="3"/>
        <v>97463.186104824374</v>
      </c>
      <c r="I28" s="1458">
        <f>(('Table 3 Levels 1&amp;2'!AL26-D28)+('Table 3A Level 3'!C28-F28))*C28</f>
        <v>10829.242900536037</v>
      </c>
      <c r="J28" s="1458"/>
      <c r="K28" s="1458"/>
      <c r="L28" s="1576">
        <f t="shared" si="4"/>
        <v>0</v>
      </c>
      <c r="M28" s="1572">
        <f t="shared" si="5"/>
        <v>97463.186104824374</v>
      </c>
      <c r="N28" s="1458">
        <f t="shared" si="6"/>
        <v>-243.65796526206094</v>
      </c>
      <c r="O28" s="1572">
        <f t="shared" si="7"/>
        <v>97219.528139562317</v>
      </c>
      <c r="P28" s="1459">
        <v>0</v>
      </c>
      <c r="Q28" s="1572">
        <f t="shared" si="8"/>
        <v>97219.528139562317</v>
      </c>
      <c r="R28" s="1458"/>
      <c r="S28" s="1458">
        <f t="shared" si="9"/>
        <v>97219.528139562317</v>
      </c>
      <c r="T28" s="1572">
        <f t="shared" si="10"/>
        <v>8102</v>
      </c>
      <c r="U28" s="1572">
        <f t="shared" si="23"/>
        <v>97219.528139562317</v>
      </c>
      <c r="V28" s="1460">
        <f>'Table 5C1A-Madison Prep'!U29*90%</f>
        <v>3125.7000000000003</v>
      </c>
      <c r="W28" s="1592">
        <f t="shared" si="11"/>
        <v>59388.3</v>
      </c>
      <c r="X28" s="1462"/>
      <c r="Y28" s="1461">
        <f t="shared" si="12"/>
        <v>0</v>
      </c>
      <c r="Z28" s="1461"/>
      <c r="AA28" s="1461">
        <f t="shared" si="13"/>
        <v>0</v>
      </c>
      <c r="AB28" s="1597">
        <f t="shared" si="14"/>
        <v>0</v>
      </c>
      <c r="AC28" s="1592">
        <f t="shared" si="15"/>
        <v>59388.3</v>
      </c>
      <c r="AD28" s="1461">
        <f t="shared" si="16"/>
        <v>-148.47075000000001</v>
      </c>
      <c r="AE28" s="1592">
        <f t="shared" si="17"/>
        <v>59239.829250000003</v>
      </c>
      <c r="AF28" s="1460">
        <v>0</v>
      </c>
      <c r="AG28" s="1592">
        <f t="shared" si="18"/>
        <v>59239.829250000003</v>
      </c>
      <c r="AH28" s="1461"/>
      <c r="AI28" s="1461">
        <f t="shared" si="19"/>
        <v>59239.829250000003</v>
      </c>
      <c r="AJ28" s="1592">
        <f t="shared" si="20"/>
        <v>4937</v>
      </c>
      <c r="AK28" s="1601">
        <f t="shared" si="21"/>
        <v>156459.35738956233</v>
      </c>
      <c r="AL28" s="1601">
        <f t="shared" si="22"/>
        <v>13039</v>
      </c>
    </row>
    <row r="29" spans="1:38" s="317" customFormat="1" ht="16.2" customHeight="1">
      <c r="A29" s="1454">
        <v>24</v>
      </c>
      <c r="B29" s="1455" t="s">
        <v>104</v>
      </c>
      <c r="C29" s="1456">
        <f>+'Table 8 Membership 2.1.14'!J26</f>
        <v>14</v>
      </c>
      <c r="D29" s="1457">
        <f>'Table 3 Levels 1&amp;2'!AL27*90%</f>
        <v>2350.5066325419298</v>
      </c>
      <c r="E29" s="1457">
        <f t="shared" si="1"/>
        <v>32907.09285558702</v>
      </c>
      <c r="F29" s="1458">
        <f>'Table 3A Level 3'!C29*90%</f>
        <v>768.82499999999993</v>
      </c>
      <c r="G29" s="1458">
        <f t="shared" si="2"/>
        <v>10763.55</v>
      </c>
      <c r="H29" s="1572">
        <f t="shared" si="3"/>
        <v>43670.642855587022</v>
      </c>
      <c r="I29" s="1458">
        <f>(('Table 3 Levels 1&amp;2'!AL27-D29)+('Table 3A Level 3'!C29-F29))*C29</f>
        <v>4852.2936506207807</v>
      </c>
      <c r="J29" s="1458"/>
      <c r="K29" s="1458"/>
      <c r="L29" s="1576">
        <f t="shared" si="4"/>
        <v>0</v>
      </c>
      <c r="M29" s="1572">
        <f t="shared" si="5"/>
        <v>43670.642855587022</v>
      </c>
      <c r="N29" s="1458">
        <f t="shared" si="6"/>
        <v>-109.17660713896755</v>
      </c>
      <c r="O29" s="1572">
        <f t="shared" si="7"/>
        <v>43561.466248448058</v>
      </c>
      <c r="P29" s="1459">
        <v>-2112.6964302257361</v>
      </c>
      <c r="Q29" s="1572">
        <f t="shared" si="8"/>
        <v>41448.769818222325</v>
      </c>
      <c r="R29" s="1458"/>
      <c r="S29" s="1458">
        <f t="shared" si="9"/>
        <v>41448.769818222325</v>
      </c>
      <c r="T29" s="1572">
        <f t="shared" si="10"/>
        <v>3454</v>
      </c>
      <c r="U29" s="1572">
        <f t="shared" si="23"/>
        <v>41448.769818222325</v>
      </c>
      <c r="V29" s="1460">
        <f>'Table 5C1A-Madison Prep'!U30*90%</f>
        <v>9047.7000000000007</v>
      </c>
      <c r="W29" s="1592">
        <f t="shared" si="11"/>
        <v>126667.80000000002</v>
      </c>
      <c r="X29" s="1462"/>
      <c r="Y29" s="1461">
        <f t="shared" si="12"/>
        <v>0</v>
      </c>
      <c r="Z29" s="1461"/>
      <c r="AA29" s="1461">
        <f t="shared" si="13"/>
        <v>0</v>
      </c>
      <c r="AB29" s="1597">
        <f t="shared" si="14"/>
        <v>0</v>
      </c>
      <c r="AC29" s="1592">
        <f t="shared" si="15"/>
        <v>126667.80000000002</v>
      </c>
      <c r="AD29" s="1461">
        <f t="shared" si="16"/>
        <v>-316.66950000000003</v>
      </c>
      <c r="AE29" s="1592">
        <f t="shared" si="17"/>
        <v>126351.13050000001</v>
      </c>
      <c r="AF29" s="1460">
        <v>0</v>
      </c>
      <c r="AG29" s="1592">
        <f t="shared" si="18"/>
        <v>126351.13050000001</v>
      </c>
      <c r="AH29" s="1461"/>
      <c r="AI29" s="1461">
        <f t="shared" si="19"/>
        <v>126351.13050000001</v>
      </c>
      <c r="AJ29" s="1592">
        <f t="shared" si="20"/>
        <v>10529</v>
      </c>
      <c r="AK29" s="1601">
        <f t="shared" si="21"/>
        <v>167799.90031822235</v>
      </c>
      <c r="AL29" s="1601">
        <f t="shared" si="22"/>
        <v>13983</v>
      </c>
    </row>
    <row r="30" spans="1:38" s="317" customFormat="1" ht="16.2" customHeight="1">
      <c r="A30" s="1433">
        <v>25</v>
      </c>
      <c r="B30" s="1434" t="s">
        <v>105</v>
      </c>
      <c r="C30" s="1440">
        <f>+'Table 8 Membership 2.1.14'!J27</f>
        <v>1</v>
      </c>
      <c r="D30" s="1441">
        <f>'Table 3 Levels 1&amp;2'!AL28*90%</f>
        <v>3755.7648247451129</v>
      </c>
      <c r="E30" s="1441">
        <f t="shared" si="1"/>
        <v>3755.7648247451129</v>
      </c>
      <c r="F30" s="906">
        <f>'Table 3A Level 3'!C30*90%</f>
        <v>588.35700000000008</v>
      </c>
      <c r="G30" s="906">
        <f t="shared" si="2"/>
        <v>588.35700000000008</v>
      </c>
      <c r="H30" s="1573">
        <f t="shared" si="3"/>
        <v>4344.1218247451134</v>
      </c>
      <c r="I30" s="906">
        <f>(('Table 3 Levels 1&amp;2'!AL28-D30)+('Table 3A Level 3'!C30-F30))*C30</f>
        <v>482.68020274945673</v>
      </c>
      <c r="J30" s="906"/>
      <c r="K30" s="906"/>
      <c r="L30" s="1577">
        <f t="shared" si="4"/>
        <v>0</v>
      </c>
      <c r="M30" s="1573">
        <f t="shared" si="5"/>
        <v>4344.1218247451134</v>
      </c>
      <c r="N30" s="906">
        <f t="shared" si="6"/>
        <v>-10.860304561862783</v>
      </c>
      <c r="O30" s="1573">
        <f t="shared" si="7"/>
        <v>4333.2615201832505</v>
      </c>
      <c r="P30" s="1442">
        <v>0</v>
      </c>
      <c r="Q30" s="1573">
        <f t="shared" si="8"/>
        <v>4333.2615201832505</v>
      </c>
      <c r="R30" s="906"/>
      <c r="S30" s="906">
        <f t="shared" si="9"/>
        <v>4333.2615201832505</v>
      </c>
      <c r="T30" s="1573">
        <f t="shared" si="10"/>
        <v>361</v>
      </c>
      <c r="U30" s="1573">
        <f t="shared" si="23"/>
        <v>4333.2615201832505</v>
      </c>
      <c r="V30" s="1443">
        <f>'Table 5C1A-Madison Prep'!U31*90%</f>
        <v>4565.7</v>
      </c>
      <c r="W30" s="1593">
        <f t="shared" si="11"/>
        <v>4565.7</v>
      </c>
      <c r="X30" s="1444"/>
      <c r="Y30" s="907">
        <f t="shared" si="12"/>
        <v>0</v>
      </c>
      <c r="Z30" s="907"/>
      <c r="AA30" s="907">
        <f t="shared" si="13"/>
        <v>0</v>
      </c>
      <c r="AB30" s="1598">
        <f t="shared" si="14"/>
        <v>0</v>
      </c>
      <c r="AC30" s="1593">
        <f t="shared" si="15"/>
        <v>4565.7</v>
      </c>
      <c r="AD30" s="907">
        <f t="shared" si="16"/>
        <v>-11.414249999999999</v>
      </c>
      <c r="AE30" s="1593">
        <f t="shared" si="17"/>
        <v>4554.28575</v>
      </c>
      <c r="AF30" s="1443">
        <v>0</v>
      </c>
      <c r="AG30" s="1593">
        <f t="shared" si="18"/>
        <v>4554.28575</v>
      </c>
      <c r="AH30" s="907"/>
      <c r="AI30" s="907">
        <f t="shared" si="19"/>
        <v>4554.28575</v>
      </c>
      <c r="AJ30" s="1593">
        <f t="shared" si="20"/>
        <v>380</v>
      </c>
      <c r="AK30" s="1602">
        <f t="shared" si="21"/>
        <v>8887.5472701832514</v>
      </c>
      <c r="AL30" s="1602">
        <f t="shared" si="22"/>
        <v>741</v>
      </c>
    </row>
    <row r="31" spans="1:38" s="317" customFormat="1" ht="16.2" customHeight="1">
      <c r="A31" s="1445">
        <v>26</v>
      </c>
      <c r="B31" s="1446" t="s">
        <v>106</v>
      </c>
      <c r="C31" s="1447">
        <f>+'Table 8 Membership 2.1.14'!J28</f>
        <v>167</v>
      </c>
      <c r="D31" s="1448">
        <f>'Table 3 Levels 1&amp;2'!AL29*90%</f>
        <v>3082.1084973513753</v>
      </c>
      <c r="E31" s="1448">
        <f t="shared" si="1"/>
        <v>514712.11905767967</v>
      </c>
      <c r="F31" s="1449">
        <f>'Table 3A Level 3'!C31*90%</f>
        <v>753.14700000000005</v>
      </c>
      <c r="G31" s="1449">
        <f t="shared" si="2"/>
        <v>125775.54900000001</v>
      </c>
      <c r="H31" s="1571">
        <f t="shared" si="3"/>
        <v>640487.66805767966</v>
      </c>
      <c r="I31" s="1449">
        <f>(('Table 3 Levels 1&amp;2'!AL29-D31)+('Table 3A Level 3'!C31-F31))*C31</f>
        <v>71165.296450853275</v>
      </c>
      <c r="J31" s="1449"/>
      <c r="K31" s="1449"/>
      <c r="L31" s="1575">
        <f t="shared" si="4"/>
        <v>0</v>
      </c>
      <c r="M31" s="1571">
        <f t="shared" si="5"/>
        <v>640487.66805767966</v>
      </c>
      <c r="N31" s="1449">
        <f t="shared" si="6"/>
        <v>-1601.2191701441991</v>
      </c>
      <c r="O31" s="1571">
        <f t="shared" si="7"/>
        <v>638886.44888753549</v>
      </c>
      <c r="P31" s="1450">
        <v>-2125.533771711006</v>
      </c>
      <c r="Q31" s="1571">
        <f t="shared" si="8"/>
        <v>636760.91511582443</v>
      </c>
      <c r="R31" s="1449"/>
      <c r="S31" s="1449">
        <f t="shared" si="9"/>
        <v>636760.91511582443</v>
      </c>
      <c r="T31" s="1571">
        <f t="shared" si="10"/>
        <v>53063</v>
      </c>
      <c r="U31" s="1571">
        <f t="shared" si="23"/>
        <v>636760.91511582443</v>
      </c>
      <c r="V31" s="1451">
        <f>'Table 5C1A-Madison Prep'!U32*90%</f>
        <v>4734</v>
      </c>
      <c r="W31" s="1591">
        <f t="shared" si="11"/>
        <v>790578</v>
      </c>
      <c r="X31" s="1453"/>
      <c r="Y31" s="1452">
        <f t="shared" si="12"/>
        <v>0</v>
      </c>
      <c r="Z31" s="1452"/>
      <c r="AA31" s="1452">
        <f t="shared" si="13"/>
        <v>0</v>
      </c>
      <c r="AB31" s="1596">
        <f t="shared" si="14"/>
        <v>0</v>
      </c>
      <c r="AC31" s="1591">
        <f t="shared" si="15"/>
        <v>790578</v>
      </c>
      <c r="AD31" s="1452">
        <f t="shared" si="16"/>
        <v>-1976.4449999999999</v>
      </c>
      <c r="AE31" s="1591">
        <f t="shared" si="17"/>
        <v>788601.55500000005</v>
      </c>
      <c r="AF31" s="1451">
        <v>0</v>
      </c>
      <c r="AG31" s="1591">
        <f t="shared" si="18"/>
        <v>788601.55500000005</v>
      </c>
      <c r="AH31" s="1452"/>
      <c r="AI31" s="1452">
        <f t="shared" si="19"/>
        <v>788601.55500000005</v>
      </c>
      <c r="AJ31" s="1591">
        <f t="shared" si="20"/>
        <v>65717</v>
      </c>
      <c r="AK31" s="1600">
        <f t="shared" si="21"/>
        <v>1425362.4701158246</v>
      </c>
      <c r="AL31" s="1600">
        <f t="shared" si="22"/>
        <v>118780</v>
      </c>
    </row>
    <row r="32" spans="1:38" s="317" customFormat="1" ht="16.2" customHeight="1">
      <c r="A32" s="1454">
        <v>27</v>
      </c>
      <c r="B32" s="1455" t="s">
        <v>107</v>
      </c>
      <c r="C32" s="1456">
        <f>+'Table 8 Membership 2.1.14'!J29</f>
        <v>12</v>
      </c>
      <c r="D32" s="1457">
        <f>'Table 3 Levels 1&amp;2'!AL30*90%</f>
        <v>5224.4112455979302</v>
      </c>
      <c r="E32" s="1457">
        <f t="shared" si="1"/>
        <v>62692.934947175163</v>
      </c>
      <c r="F32" s="1458">
        <f>'Table 3A Level 3'!C32*90%</f>
        <v>623.75400000000002</v>
      </c>
      <c r="G32" s="1458">
        <f t="shared" si="2"/>
        <v>7485.0480000000007</v>
      </c>
      <c r="H32" s="1572">
        <f t="shared" si="3"/>
        <v>70177.982947175158</v>
      </c>
      <c r="I32" s="1458">
        <f>(('Table 3 Levels 1&amp;2'!AL30-D32)+('Table 3A Level 3'!C32-F32))*C32</f>
        <v>7797.5536607972426</v>
      </c>
      <c r="J32" s="1458"/>
      <c r="K32" s="1458"/>
      <c r="L32" s="1576">
        <f t="shared" si="4"/>
        <v>0</v>
      </c>
      <c r="M32" s="1572">
        <f t="shared" si="5"/>
        <v>70177.982947175158</v>
      </c>
      <c r="N32" s="1458">
        <f t="shared" si="6"/>
        <v>-175.44495736793789</v>
      </c>
      <c r="O32" s="1572">
        <f t="shared" si="7"/>
        <v>70002.537989807213</v>
      </c>
      <c r="P32" s="1459">
        <v>0</v>
      </c>
      <c r="Q32" s="1572">
        <f t="shared" si="8"/>
        <v>70002.537989807213</v>
      </c>
      <c r="R32" s="1458"/>
      <c r="S32" s="1458">
        <f t="shared" si="9"/>
        <v>70002.537989807213</v>
      </c>
      <c r="T32" s="1572">
        <f t="shared" si="10"/>
        <v>5834</v>
      </c>
      <c r="U32" s="1572">
        <f t="shared" si="23"/>
        <v>70002.537989807213</v>
      </c>
      <c r="V32" s="1460">
        <f>'Table 5C1A-Madison Prep'!U33*90%</f>
        <v>2852.1</v>
      </c>
      <c r="W32" s="1592">
        <f t="shared" si="11"/>
        <v>34225.199999999997</v>
      </c>
      <c r="X32" s="1462"/>
      <c r="Y32" s="1461">
        <f t="shared" si="12"/>
        <v>0</v>
      </c>
      <c r="Z32" s="1461"/>
      <c r="AA32" s="1461">
        <f t="shared" si="13"/>
        <v>0</v>
      </c>
      <c r="AB32" s="1597">
        <f t="shared" si="14"/>
        <v>0</v>
      </c>
      <c r="AC32" s="1592">
        <f t="shared" si="15"/>
        <v>34225.199999999997</v>
      </c>
      <c r="AD32" s="1461">
        <f t="shared" si="16"/>
        <v>-85.562999999999988</v>
      </c>
      <c r="AE32" s="1592">
        <f t="shared" si="17"/>
        <v>34139.636999999995</v>
      </c>
      <c r="AF32" s="1460">
        <v>0</v>
      </c>
      <c r="AG32" s="1592">
        <f t="shared" si="18"/>
        <v>34139.636999999995</v>
      </c>
      <c r="AH32" s="1461"/>
      <c r="AI32" s="1461">
        <f t="shared" si="19"/>
        <v>34139.636999999995</v>
      </c>
      <c r="AJ32" s="1592">
        <f t="shared" si="20"/>
        <v>2845</v>
      </c>
      <c r="AK32" s="1601">
        <f t="shared" si="21"/>
        <v>104142.17498980722</v>
      </c>
      <c r="AL32" s="1601">
        <f t="shared" si="22"/>
        <v>8679</v>
      </c>
    </row>
    <row r="33" spans="1:38" s="317" customFormat="1" ht="16.2" customHeight="1">
      <c r="A33" s="1454">
        <v>28</v>
      </c>
      <c r="B33" s="1455" t="s">
        <v>108</v>
      </c>
      <c r="C33" s="1456">
        <f>+'Table 8 Membership 2.1.14'!J30</f>
        <v>87</v>
      </c>
      <c r="D33" s="1457">
        <f>'Table 3 Levels 1&amp;2'!AL31*90%</f>
        <v>2823.6742961911941</v>
      </c>
      <c r="E33" s="1457">
        <f t="shared" si="1"/>
        <v>245659.66376863388</v>
      </c>
      <c r="F33" s="1458">
        <f>'Table 3A Level 3'!C33*90%</f>
        <v>624.96</v>
      </c>
      <c r="G33" s="1458">
        <f t="shared" si="2"/>
        <v>54371.520000000004</v>
      </c>
      <c r="H33" s="1572">
        <f t="shared" si="3"/>
        <v>300031.18376863387</v>
      </c>
      <c r="I33" s="1458">
        <f>(('Table 3 Levels 1&amp;2'!AL31-D33)+('Table 3A Level 3'!C33-F33))*C33</f>
        <v>33336.79819651485</v>
      </c>
      <c r="J33" s="1458"/>
      <c r="K33" s="1458"/>
      <c r="L33" s="1576">
        <f t="shared" si="4"/>
        <v>0</v>
      </c>
      <c r="M33" s="1572">
        <f t="shared" si="5"/>
        <v>300031.18376863387</v>
      </c>
      <c r="N33" s="1458">
        <f t="shared" si="6"/>
        <v>-750.07795942158464</v>
      </c>
      <c r="O33" s="1572">
        <f t="shared" si="7"/>
        <v>299281.10580921231</v>
      </c>
      <c r="P33" s="1459">
        <v>-3003.4643194548398</v>
      </c>
      <c r="Q33" s="1572">
        <f t="shared" si="8"/>
        <v>296277.64148975746</v>
      </c>
      <c r="R33" s="1458"/>
      <c r="S33" s="1458">
        <f t="shared" si="9"/>
        <v>296277.64148975746</v>
      </c>
      <c r="T33" s="1572">
        <f t="shared" si="10"/>
        <v>24690</v>
      </c>
      <c r="U33" s="1572">
        <f t="shared" si="23"/>
        <v>296277.64148975746</v>
      </c>
      <c r="V33" s="1460">
        <f>'Table 5C1A-Madison Prep'!U34*90%</f>
        <v>5211</v>
      </c>
      <c r="W33" s="1592">
        <f t="shared" si="11"/>
        <v>453357</v>
      </c>
      <c r="X33" s="1462"/>
      <c r="Y33" s="1461">
        <f t="shared" si="12"/>
        <v>0</v>
      </c>
      <c r="Z33" s="1461"/>
      <c r="AA33" s="1461">
        <f t="shared" si="13"/>
        <v>0</v>
      </c>
      <c r="AB33" s="1597">
        <f t="shared" si="14"/>
        <v>0</v>
      </c>
      <c r="AC33" s="1592">
        <f t="shared" si="15"/>
        <v>453357</v>
      </c>
      <c r="AD33" s="1461">
        <f t="shared" si="16"/>
        <v>-1133.3924999999999</v>
      </c>
      <c r="AE33" s="1592">
        <f t="shared" si="17"/>
        <v>452223.60749999998</v>
      </c>
      <c r="AF33" s="1460">
        <v>0</v>
      </c>
      <c r="AG33" s="1592">
        <f t="shared" si="18"/>
        <v>452223.60749999998</v>
      </c>
      <c r="AH33" s="1461"/>
      <c r="AI33" s="1461">
        <f t="shared" si="19"/>
        <v>452223.60749999998</v>
      </c>
      <c r="AJ33" s="1592">
        <f t="shared" si="20"/>
        <v>37685</v>
      </c>
      <c r="AK33" s="1601">
        <f t="shared" si="21"/>
        <v>748501.24898975738</v>
      </c>
      <c r="AL33" s="1601">
        <f t="shared" si="22"/>
        <v>62375</v>
      </c>
    </row>
    <row r="34" spans="1:38" s="317" customFormat="1" ht="16.2" customHeight="1">
      <c r="A34" s="1454">
        <v>29</v>
      </c>
      <c r="B34" s="1455" t="s">
        <v>109</v>
      </c>
      <c r="C34" s="1456">
        <f>+'Table 8 Membership 2.1.14'!J31</f>
        <v>24</v>
      </c>
      <c r="D34" s="1457">
        <f>'Table 3 Levels 1&amp;2'!AL32*90%</f>
        <v>3455.1110889156353</v>
      </c>
      <c r="E34" s="1457">
        <f t="shared" si="1"/>
        <v>82922.666133975246</v>
      </c>
      <c r="F34" s="1458">
        <f>'Table 3A Level 3'!C34*90%</f>
        <v>679.45499999999993</v>
      </c>
      <c r="G34" s="1458">
        <f t="shared" si="2"/>
        <v>16306.919999999998</v>
      </c>
      <c r="H34" s="1572">
        <f t="shared" si="3"/>
        <v>99229.586133975245</v>
      </c>
      <c r="I34" s="1458">
        <f>(('Table 3 Levels 1&amp;2'!AL32-D34)+('Table 3A Level 3'!C34-F34))*C34</f>
        <v>11025.509570441693</v>
      </c>
      <c r="J34" s="1458"/>
      <c r="K34" s="1458"/>
      <c r="L34" s="1576">
        <f t="shared" si="4"/>
        <v>0</v>
      </c>
      <c r="M34" s="1572">
        <f t="shared" si="5"/>
        <v>99229.586133975245</v>
      </c>
      <c r="N34" s="1458">
        <f t="shared" si="6"/>
        <v>-248.07396533493812</v>
      </c>
      <c r="O34" s="1572">
        <f t="shared" si="7"/>
        <v>98981.5121686403</v>
      </c>
      <c r="P34" s="1459">
        <v>0</v>
      </c>
      <c r="Q34" s="1572">
        <f t="shared" si="8"/>
        <v>98981.5121686403</v>
      </c>
      <c r="R34" s="1458"/>
      <c r="S34" s="1458">
        <f t="shared" si="9"/>
        <v>98981.5121686403</v>
      </c>
      <c r="T34" s="1572">
        <f t="shared" si="10"/>
        <v>8248</v>
      </c>
      <c r="U34" s="1572">
        <f t="shared" si="23"/>
        <v>98981.5121686403</v>
      </c>
      <c r="V34" s="1460">
        <f>'Table 5C1A-Madison Prep'!U35*90%</f>
        <v>4562.1000000000004</v>
      </c>
      <c r="W34" s="1592">
        <f t="shared" si="11"/>
        <v>109490.40000000001</v>
      </c>
      <c r="X34" s="1462"/>
      <c r="Y34" s="1461">
        <f t="shared" si="12"/>
        <v>0</v>
      </c>
      <c r="Z34" s="1461"/>
      <c r="AA34" s="1461">
        <f t="shared" si="13"/>
        <v>0</v>
      </c>
      <c r="AB34" s="1597">
        <f t="shared" si="14"/>
        <v>0</v>
      </c>
      <c r="AC34" s="1592">
        <f t="shared" si="15"/>
        <v>109490.40000000001</v>
      </c>
      <c r="AD34" s="1461">
        <f t="shared" si="16"/>
        <v>-273.726</v>
      </c>
      <c r="AE34" s="1592">
        <f t="shared" si="17"/>
        <v>109216.67400000001</v>
      </c>
      <c r="AF34" s="1460">
        <v>0</v>
      </c>
      <c r="AG34" s="1592">
        <f t="shared" si="18"/>
        <v>109216.67400000001</v>
      </c>
      <c r="AH34" s="1461"/>
      <c r="AI34" s="1461">
        <f t="shared" si="19"/>
        <v>109216.67400000001</v>
      </c>
      <c r="AJ34" s="1592">
        <f t="shared" si="20"/>
        <v>9101</v>
      </c>
      <c r="AK34" s="1601">
        <f t="shared" si="21"/>
        <v>208198.18616864033</v>
      </c>
      <c r="AL34" s="1601">
        <f t="shared" si="22"/>
        <v>17349</v>
      </c>
    </row>
    <row r="35" spans="1:38" s="317" customFormat="1" ht="16.2" customHeight="1">
      <c r="A35" s="1433">
        <v>30</v>
      </c>
      <c r="B35" s="1434" t="s">
        <v>110</v>
      </c>
      <c r="C35" s="1440">
        <f>+'Table 8 Membership 2.1.14'!J32</f>
        <v>5</v>
      </c>
      <c r="D35" s="1441">
        <f>'Table 3 Levels 1&amp;2'!AL33*90%</f>
        <v>5224.079454659709</v>
      </c>
      <c r="E35" s="1441">
        <f t="shared" si="1"/>
        <v>26120.397273298546</v>
      </c>
      <c r="F35" s="906">
        <f>'Table 3A Level 3'!C35*90%</f>
        <v>654.45299999999997</v>
      </c>
      <c r="G35" s="906">
        <f t="shared" si="2"/>
        <v>3272.2649999999999</v>
      </c>
      <c r="H35" s="1573">
        <f t="shared" si="3"/>
        <v>29392.662273298545</v>
      </c>
      <c r="I35" s="906">
        <f>(('Table 3 Levels 1&amp;2'!AL33-D35)+('Table 3A Level 3'!C35-F35))*C35</f>
        <v>3265.8513636998368</v>
      </c>
      <c r="J35" s="906"/>
      <c r="K35" s="906"/>
      <c r="L35" s="1577">
        <f t="shared" si="4"/>
        <v>0</v>
      </c>
      <c r="M35" s="1573">
        <f t="shared" si="5"/>
        <v>29392.662273298545</v>
      </c>
      <c r="N35" s="906">
        <f t="shared" si="6"/>
        <v>-73.481655683246359</v>
      </c>
      <c r="O35" s="1573">
        <f t="shared" si="7"/>
        <v>29319.1806176153</v>
      </c>
      <c r="P35" s="1442">
        <v>0</v>
      </c>
      <c r="Q35" s="1573">
        <f t="shared" si="8"/>
        <v>29319.1806176153</v>
      </c>
      <c r="R35" s="906"/>
      <c r="S35" s="906">
        <f t="shared" si="9"/>
        <v>29319.1806176153</v>
      </c>
      <c r="T35" s="1573">
        <f t="shared" si="10"/>
        <v>2443</v>
      </c>
      <c r="U35" s="1573">
        <f t="shared" si="23"/>
        <v>29319.1806176153</v>
      </c>
      <c r="V35" s="1443">
        <f>'Table 5C1A-Madison Prep'!U36*90%</f>
        <v>3248.1</v>
      </c>
      <c r="W35" s="1593">
        <f t="shared" si="11"/>
        <v>16240.5</v>
      </c>
      <c r="X35" s="1444"/>
      <c r="Y35" s="907">
        <f t="shared" si="12"/>
        <v>0</v>
      </c>
      <c r="Z35" s="907"/>
      <c r="AA35" s="907">
        <f t="shared" si="13"/>
        <v>0</v>
      </c>
      <c r="AB35" s="1598">
        <f t="shared" si="14"/>
        <v>0</v>
      </c>
      <c r="AC35" s="1593">
        <f t="shared" si="15"/>
        <v>16240.5</v>
      </c>
      <c r="AD35" s="907">
        <f t="shared" si="16"/>
        <v>-40.60125</v>
      </c>
      <c r="AE35" s="1593">
        <f t="shared" si="17"/>
        <v>16199.89875</v>
      </c>
      <c r="AF35" s="1443">
        <v>0</v>
      </c>
      <c r="AG35" s="1593">
        <f t="shared" si="18"/>
        <v>16199.89875</v>
      </c>
      <c r="AH35" s="907"/>
      <c r="AI35" s="907">
        <f t="shared" si="19"/>
        <v>16199.89875</v>
      </c>
      <c r="AJ35" s="1593">
        <f t="shared" si="20"/>
        <v>1350</v>
      </c>
      <c r="AK35" s="1602">
        <f t="shared" si="21"/>
        <v>45519.079367615297</v>
      </c>
      <c r="AL35" s="1602">
        <f t="shared" si="22"/>
        <v>3793</v>
      </c>
    </row>
    <row r="36" spans="1:38" s="317" customFormat="1" ht="16.2" customHeight="1">
      <c r="A36" s="1445">
        <v>31</v>
      </c>
      <c r="B36" s="1446" t="s">
        <v>111</v>
      </c>
      <c r="C36" s="1447">
        <f>+'Table 8 Membership 2.1.14'!J33</f>
        <v>5</v>
      </c>
      <c r="D36" s="1448">
        <f>'Table 3 Levels 1&amp;2'!AL34*90%</f>
        <v>4068.5559045181681</v>
      </c>
      <c r="E36" s="1448">
        <f t="shared" si="1"/>
        <v>20342.779522590841</v>
      </c>
      <c r="F36" s="1449">
        <f>'Table 3A Level 3'!C36*90%</f>
        <v>558.74700000000007</v>
      </c>
      <c r="G36" s="1449">
        <f t="shared" si="2"/>
        <v>2793.7350000000006</v>
      </c>
      <c r="H36" s="1571">
        <f t="shared" si="3"/>
        <v>23136.514522590842</v>
      </c>
      <c r="I36" s="1449">
        <f>(('Table 3 Levels 1&amp;2'!AL34-D36)+('Table 3A Level 3'!C36-F36))*C36</f>
        <v>2570.7238358434251</v>
      </c>
      <c r="J36" s="1449"/>
      <c r="K36" s="1449"/>
      <c r="L36" s="1575">
        <f t="shared" si="4"/>
        <v>0</v>
      </c>
      <c r="M36" s="1571">
        <f t="shared" si="5"/>
        <v>23136.514522590842</v>
      </c>
      <c r="N36" s="1449">
        <f t="shared" si="6"/>
        <v>-57.841286306477109</v>
      </c>
      <c r="O36" s="1571">
        <f t="shared" si="7"/>
        <v>23078.673236284365</v>
      </c>
      <c r="P36" s="1450">
        <v>0</v>
      </c>
      <c r="Q36" s="1571">
        <f t="shared" si="8"/>
        <v>23078.673236284365</v>
      </c>
      <c r="R36" s="1449"/>
      <c r="S36" s="1449">
        <f t="shared" si="9"/>
        <v>23078.673236284365</v>
      </c>
      <c r="T36" s="1571">
        <f t="shared" si="10"/>
        <v>1923</v>
      </c>
      <c r="U36" s="1571">
        <f t="shared" si="23"/>
        <v>23078.673236284365</v>
      </c>
      <c r="V36" s="1451">
        <f>'Table 5C1A-Madison Prep'!U37*90%</f>
        <v>4538.7</v>
      </c>
      <c r="W36" s="1591">
        <f t="shared" si="11"/>
        <v>22693.5</v>
      </c>
      <c r="X36" s="1453"/>
      <c r="Y36" s="1452">
        <f t="shared" si="12"/>
        <v>0</v>
      </c>
      <c r="Z36" s="1452"/>
      <c r="AA36" s="1452">
        <f t="shared" si="13"/>
        <v>0</v>
      </c>
      <c r="AB36" s="1596">
        <f t="shared" si="14"/>
        <v>0</v>
      </c>
      <c r="AC36" s="1591">
        <f t="shared" si="15"/>
        <v>22693.5</v>
      </c>
      <c r="AD36" s="1452">
        <f t="shared" si="16"/>
        <v>-56.733750000000001</v>
      </c>
      <c r="AE36" s="1591">
        <f t="shared" si="17"/>
        <v>22636.766250000001</v>
      </c>
      <c r="AF36" s="1451">
        <v>0</v>
      </c>
      <c r="AG36" s="1591">
        <f t="shared" si="18"/>
        <v>22636.766250000001</v>
      </c>
      <c r="AH36" s="1452"/>
      <c r="AI36" s="1452">
        <f t="shared" si="19"/>
        <v>22636.766250000001</v>
      </c>
      <c r="AJ36" s="1591">
        <f t="shared" si="20"/>
        <v>1886</v>
      </c>
      <c r="AK36" s="1600">
        <f t="shared" si="21"/>
        <v>45715.439486284362</v>
      </c>
      <c r="AL36" s="1600">
        <f t="shared" si="22"/>
        <v>3809</v>
      </c>
    </row>
    <row r="37" spans="1:38" s="317" customFormat="1" ht="16.2" customHeight="1">
      <c r="A37" s="1454">
        <v>32</v>
      </c>
      <c r="B37" s="1455" t="s">
        <v>112</v>
      </c>
      <c r="C37" s="1456">
        <f>+'Table 8 Membership 2.1.14'!J34</f>
        <v>79</v>
      </c>
      <c r="D37" s="1457">
        <f>'Table 3 Levels 1&amp;2'!AL35*90%</f>
        <v>5087.5372701550141</v>
      </c>
      <c r="E37" s="1457">
        <f t="shared" si="1"/>
        <v>401915.4443422461</v>
      </c>
      <c r="F37" s="1458">
        <f>'Table 3A Level 3'!C37*90%</f>
        <v>503.79300000000001</v>
      </c>
      <c r="G37" s="1458">
        <f t="shared" si="2"/>
        <v>39799.646999999997</v>
      </c>
      <c r="H37" s="1572">
        <f t="shared" si="3"/>
        <v>441715.0913422461</v>
      </c>
      <c r="I37" s="1458">
        <f>(('Table 3 Levels 1&amp;2'!AL35-D37)+('Table 3A Level 3'!C37-F37))*C37</f>
        <v>49079.454593582916</v>
      </c>
      <c r="J37" s="1458"/>
      <c r="K37" s="1458"/>
      <c r="L37" s="1576">
        <f t="shared" si="4"/>
        <v>0</v>
      </c>
      <c r="M37" s="1572">
        <f t="shared" si="5"/>
        <v>441715.0913422461</v>
      </c>
      <c r="N37" s="1458">
        <f t="shared" si="6"/>
        <v>-1104.2877283556152</v>
      </c>
      <c r="O37" s="1572">
        <f t="shared" si="7"/>
        <v>440610.80361389049</v>
      </c>
      <c r="P37" s="1459">
        <v>0</v>
      </c>
      <c r="Q37" s="1572">
        <f t="shared" si="8"/>
        <v>440610.80361389049</v>
      </c>
      <c r="R37" s="1458"/>
      <c r="S37" s="1458">
        <f t="shared" si="9"/>
        <v>440610.80361389049</v>
      </c>
      <c r="T37" s="1572">
        <f t="shared" si="10"/>
        <v>36718</v>
      </c>
      <c r="U37" s="1572">
        <f t="shared" si="23"/>
        <v>440610.80361389049</v>
      </c>
      <c r="V37" s="1460">
        <f>'Table 5C1A-Madison Prep'!U38*90%</f>
        <v>1908.9</v>
      </c>
      <c r="W37" s="1592">
        <f t="shared" si="11"/>
        <v>150803.1</v>
      </c>
      <c r="X37" s="1462"/>
      <c r="Y37" s="1461">
        <f t="shared" si="12"/>
        <v>0</v>
      </c>
      <c r="Z37" s="1461"/>
      <c r="AA37" s="1461">
        <f t="shared" si="13"/>
        <v>0</v>
      </c>
      <c r="AB37" s="1597">
        <f t="shared" si="14"/>
        <v>0</v>
      </c>
      <c r="AC37" s="1592">
        <f t="shared" si="15"/>
        <v>150803.1</v>
      </c>
      <c r="AD37" s="1461">
        <f t="shared" si="16"/>
        <v>-377.00775000000004</v>
      </c>
      <c r="AE37" s="1592">
        <f t="shared" si="17"/>
        <v>150426.09225000002</v>
      </c>
      <c r="AF37" s="1460">
        <v>0</v>
      </c>
      <c r="AG37" s="1592">
        <f t="shared" si="18"/>
        <v>150426.09225000002</v>
      </c>
      <c r="AH37" s="1461"/>
      <c r="AI37" s="1461">
        <f t="shared" si="19"/>
        <v>150426.09225000002</v>
      </c>
      <c r="AJ37" s="1592">
        <f t="shared" si="20"/>
        <v>12536</v>
      </c>
      <c r="AK37" s="1601">
        <f t="shared" si="21"/>
        <v>591036.89586389053</v>
      </c>
      <c r="AL37" s="1601">
        <f t="shared" si="22"/>
        <v>49254</v>
      </c>
    </row>
    <row r="38" spans="1:38" s="317" customFormat="1" ht="16.2" customHeight="1">
      <c r="A38" s="1454">
        <v>33</v>
      </c>
      <c r="B38" s="1455" t="s">
        <v>113</v>
      </c>
      <c r="C38" s="1456">
        <f>+'Table 8 Membership 2.1.14'!J35</f>
        <v>2</v>
      </c>
      <c r="D38" s="1457">
        <f>'Table 3 Levels 1&amp;2'!AL36*90%</f>
        <v>4910.6029102276707</v>
      </c>
      <c r="E38" s="1457">
        <f t="shared" ref="E38:E69" si="24">C38*D38</f>
        <v>9821.2058204553414</v>
      </c>
      <c r="F38" s="1458">
        <f>'Table 3A Level 3'!C38*90%</f>
        <v>589.77900000000011</v>
      </c>
      <c r="G38" s="1458">
        <f t="shared" ref="G38:G69" si="25">F38*C38</f>
        <v>1179.5580000000002</v>
      </c>
      <c r="H38" s="1572">
        <f t="shared" ref="H38:H69" si="26">E38+G38</f>
        <v>11000.763820455342</v>
      </c>
      <c r="I38" s="1458">
        <f>(('Table 3 Levels 1&amp;2'!AL36-D38)+('Table 3A Level 3'!C38-F38))*C38</f>
        <v>1222.3070911617051</v>
      </c>
      <c r="J38" s="1458"/>
      <c r="K38" s="1458"/>
      <c r="L38" s="1576">
        <f t="shared" ref="L38:L69" si="27">+J38+K38</f>
        <v>0</v>
      </c>
      <c r="M38" s="1572">
        <f t="shared" ref="M38:M69" si="28">H38+L38</f>
        <v>11000.763820455342</v>
      </c>
      <c r="N38" s="1458">
        <f t="shared" ref="N38:N69" si="29">-0.25%*M38</f>
        <v>-27.501909551138358</v>
      </c>
      <c r="O38" s="1572">
        <f t="shared" ref="O38:O69" si="30">M38+N38</f>
        <v>10973.261910904204</v>
      </c>
      <c r="P38" s="1459">
        <v>0</v>
      </c>
      <c r="Q38" s="1572">
        <f t="shared" ref="Q38:Q69" si="31">SUM(O38:P38)</f>
        <v>10973.261910904204</v>
      </c>
      <c r="R38" s="1458"/>
      <c r="S38" s="1458">
        <f t="shared" ref="S38:S69" si="32">Q38-R38</f>
        <v>10973.261910904204</v>
      </c>
      <c r="T38" s="1572">
        <f t="shared" ref="T38:T69" si="33">ROUND(S38/12,0)</f>
        <v>914</v>
      </c>
      <c r="U38" s="1572">
        <f t="shared" si="23"/>
        <v>10973.261910904204</v>
      </c>
      <c r="V38" s="1460">
        <f>'Table 5C1A-Madison Prep'!U39*90%</f>
        <v>3254.4</v>
      </c>
      <c r="W38" s="1592">
        <f t="shared" ref="W38:W69" si="34">V38*C38</f>
        <v>6508.8</v>
      </c>
      <c r="X38" s="1462"/>
      <c r="Y38" s="1461">
        <f t="shared" ref="Y38:Y69" si="35">X38*V38</f>
        <v>0</v>
      </c>
      <c r="Z38" s="1461"/>
      <c r="AA38" s="1461">
        <f t="shared" ref="AA38:AA69" si="36">+V38*Z38*0.5</f>
        <v>0</v>
      </c>
      <c r="AB38" s="1597">
        <f t="shared" ref="AB38:AB69" si="37">+Y38+AA38</f>
        <v>0</v>
      </c>
      <c r="AC38" s="1592">
        <f t="shared" ref="AC38:AC69" si="38">AB38+W38</f>
        <v>6508.8</v>
      </c>
      <c r="AD38" s="1461">
        <f t="shared" ref="AD38:AD69" si="39">AC38*-0.25%</f>
        <v>-16.272000000000002</v>
      </c>
      <c r="AE38" s="1592">
        <f t="shared" ref="AE38:AE69" si="40">SUM(AC38:AD38)</f>
        <v>6492.5280000000002</v>
      </c>
      <c r="AF38" s="1460">
        <v>0</v>
      </c>
      <c r="AG38" s="1592">
        <f t="shared" ref="AG38:AG69" si="41">SUM(AE38:AF38)</f>
        <v>6492.5280000000002</v>
      </c>
      <c r="AH38" s="1461"/>
      <c r="AI38" s="1461">
        <f t="shared" ref="AI38:AI69" si="42">AG38-AH38</f>
        <v>6492.5280000000002</v>
      </c>
      <c r="AJ38" s="1592">
        <f t="shared" ref="AJ38:AJ69" si="43">ROUND(AI38/12,0)</f>
        <v>541</v>
      </c>
      <c r="AK38" s="1601">
        <f t="shared" si="21"/>
        <v>17465.789910904205</v>
      </c>
      <c r="AL38" s="1601">
        <f t="shared" ref="AL38:AL74" si="44">T38+AJ38</f>
        <v>1455</v>
      </c>
    </row>
    <row r="39" spans="1:38" s="317" customFormat="1" ht="16.2" customHeight="1">
      <c r="A39" s="1454">
        <v>34</v>
      </c>
      <c r="B39" s="1455" t="s">
        <v>114</v>
      </c>
      <c r="C39" s="1456">
        <f>+'Table 8 Membership 2.1.14'!J36</f>
        <v>24</v>
      </c>
      <c r="D39" s="1457">
        <f>'Table 3 Levels 1&amp;2'!AL37*90%</f>
        <v>5662.8879158510108</v>
      </c>
      <c r="E39" s="1457">
        <f t="shared" si="24"/>
        <v>135909.30998042427</v>
      </c>
      <c r="F39" s="1458">
        <f>'Table 3A Level 3'!C39*90%</f>
        <v>579.69900000000018</v>
      </c>
      <c r="G39" s="1458">
        <f t="shared" si="25"/>
        <v>13912.776000000005</v>
      </c>
      <c r="H39" s="1572">
        <f t="shared" si="26"/>
        <v>149822.08598042428</v>
      </c>
      <c r="I39" s="1458">
        <f>(('Table 3 Levels 1&amp;2'!AL37-D39)+('Table 3A Level 3'!C39-F39))*C39</f>
        <v>16646.89844226935</v>
      </c>
      <c r="J39" s="1458"/>
      <c r="K39" s="1458"/>
      <c r="L39" s="1576">
        <f t="shared" si="27"/>
        <v>0</v>
      </c>
      <c r="M39" s="1572">
        <f t="shared" si="28"/>
        <v>149822.08598042428</v>
      </c>
      <c r="N39" s="1458">
        <f t="shared" si="29"/>
        <v>-374.55521495106069</v>
      </c>
      <c r="O39" s="1572">
        <f t="shared" si="30"/>
        <v>149447.53076547323</v>
      </c>
      <c r="P39" s="1459">
        <v>0</v>
      </c>
      <c r="Q39" s="1572">
        <f t="shared" si="31"/>
        <v>149447.53076547323</v>
      </c>
      <c r="R39" s="1458"/>
      <c r="S39" s="1458">
        <f t="shared" si="32"/>
        <v>149447.53076547323</v>
      </c>
      <c r="T39" s="1572">
        <f t="shared" si="33"/>
        <v>12454</v>
      </c>
      <c r="U39" s="1572">
        <f t="shared" si="23"/>
        <v>149447.53076547323</v>
      </c>
      <c r="V39" s="1460">
        <f>'Table 5C1A-Madison Prep'!U40*90%</f>
        <v>2448.9</v>
      </c>
      <c r="W39" s="1592">
        <f t="shared" si="34"/>
        <v>58773.600000000006</v>
      </c>
      <c r="X39" s="1462"/>
      <c r="Y39" s="1461">
        <f t="shared" si="35"/>
        <v>0</v>
      </c>
      <c r="Z39" s="1461"/>
      <c r="AA39" s="1461">
        <f t="shared" si="36"/>
        <v>0</v>
      </c>
      <c r="AB39" s="1597">
        <f t="shared" si="37"/>
        <v>0</v>
      </c>
      <c r="AC39" s="1592">
        <f t="shared" si="38"/>
        <v>58773.600000000006</v>
      </c>
      <c r="AD39" s="1461">
        <f t="shared" si="39"/>
        <v>-146.93400000000003</v>
      </c>
      <c r="AE39" s="1592">
        <f t="shared" si="40"/>
        <v>58626.666000000005</v>
      </c>
      <c r="AF39" s="1460">
        <v>0</v>
      </c>
      <c r="AG39" s="1592">
        <f t="shared" si="41"/>
        <v>58626.666000000005</v>
      </c>
      <c r="AH39" s="1461"/>
      <c r="AI39" s="1461">
        <f t="shared" si="42"/>
        <v>58626.666000000005</v>
      </c>
      <c r="AJ39" s="1592">
        <f t="shared" si="43"/>
        <v>4886</v>
      </c>
      <c r="AK39" s="1601">
        <f t="shared" si="21"/>
        <v>208074.19676547323</v>
      </c>
      <c r="AL39" s="1601">
        <f t="shared" si="44"/>
        <v>17340</v>
      </c>
    </row>
    <row r="40" spans="1:38" s="317" customFormat="1" ht="16.2" customHeight="1">
      <c r="A40" s="1433">
        <v>35</v>
      </c>
      <c r="B40" s="1434" t="s">
        <v>115</v>
      </c>
      <c r="C40" s="1440">
        <f>+'Table 8 Membership 2.1.14'!J37</f>
        <v>17</v>
      </c>
      <c r="D40" s="1441">
        <f>'Table 3 Levels 1&amp;2'!AL38*90%</f>
        <v>4649.6233854429847</v>
      </c>
      <c r="E40" s="1441">
        <f t="shared" si="24"/>
        <v>79043.597552530744</v>
      </c>
      <c r="F40" s="906">
        <f>'Table 3A Level 3'!C40*90%</f>
        <v>484.16400000000004</v>
      </c>
      <c r="G40" s="906">
        <f t="shared" si="25"/>
        <v>8230.7880000000005</v>
      </c>
      <c r="H40" s="1573">
        <f t="shared" si="26"/>
        <v>87274.385552530744</v>
      </c>
      <c r="I40" s="906">
        <f>(('Table 3 Levels 1&amp;2'!AL38-D40)+('Table 3A Level 3'!C40-F40))*C40</f>
        <v>9697.1539502811884</v>
      </c>
      <c r="J40" s="906"/>
      <c r="K40" s="906"/>
      <c r="L40" s="1577">
        <f t="shared" si="27"/>
        <v>0</v>
      </c>
      <c r="M40" s="1573">
        <f t="shared" si="28"/>
        <v>87274.385552530744</v>
      </c>
      <c r="N40" s="906">
        <f t="shared" si="29"/>
        <v>-218.18596388132687</v>
      </c>
      <c r="O40" s="1573">
        <f t="shared" si="30"/>
        <v>87056.199588649411</v>
      </c>
      <c r="P40" s="1442">
        <v>0</v>
      </c>
      <c r="Q40" s="1573">
        <f t="shared" si="31"/>
        <v>87056.199588649411</v>
      </c>
      <c r="R40" s="906"/>
      <c r="S40" s="906">
        <f t="shared" si="32"/>
        <v>87056.199588649411</v>
      </c>
      <c r="T40" s="1573">
        <f t="shared" si="33"/>
        <v>7255</v>
      </c>
      <c r="U40" s="1573">
        <f t="shared" si="23"/>
        <v>87056.199588649411</v>
      </c>
      <c r="V40" s="1443">
        <f>'Table 5C1A-Madison Prep'!U41*90%</f>
        <v>2929.5</v>
      </c>
      <c r="W40" s="1593">
        <f t="shared" si="34"/>
        <v>49801.5</v>
      </c>
      <c r="X40" s="1444"/>
      <c r="Y40" s="907">
        <f t="shared" si="35"/>
        <v>0</v>
      </c>
      <c r="Z40" s="907"/>
      <c r="AA40" s="907">
        <f t="shared" si="36"/>
        <v>0</v>
      </c>
      <c r="AB40" s="1598">
        <f t="shared" si="37"/>
        <v>0</v>
      </c>
      <c r="AC40" s="1593">
        <f t="shared" si="38"/>
        <v>49801.5</v>
      </c>
      <c r="AD40" s="907">
        <f t="shared" si="39"/>
        <v>-124.50375</v>
      </c>
      <c r="AE40" s="1593">
        <f t="shared" si="40"/>
        <v>49676.996249999997</v>
      </c>
      <c r="AF40" s="1443">
        <v>0</v>
      </c>
      <c r="AG40" s="1593">
        <f t="shared" si="41"/>
        <v>49676.996249999997</v>
      </c>
      <c r="AH40" s="907"/>
      <c r="AI40" s="907">
        <f t="shared" si="42"/>
        <v>49676.996249999997</v>
      </c>
      <c r="AJ40" s="1593">
        <f t="shared" si="43"/>
        <v>4140</v>
      </c>
      <c r="AK40" s="1602">
        <f t="shared" si="21"/>
        <v>136733.19583864941</v>
      </c>
      <c r="AL40" s="1602">
        <f t="shared" si="44"/>
        <v>11395</v>
      </c>
    </row>
    <row r="41" spans="1:38" s="317" customFormat="1" ht="16.2" customHeight="1">
      <c r="A41" s="1445">
        <v>36</v>
      </c>
      <c r="B41" s="1446" t="s">
        <v>116</v>
      </c>
      <c r="C41" s="1447">
        <f>+'Table 8 Membership 2.1.14'!J38</f>
        <v>65</v>
      </c>
      <c r="D41" s="1448">
        <f>'Table 3 Levels 1&amp;2'!AL39*90%</f>
        <v>3242.4308976895072</v>
      </c>
      <c r="E41" s="1448">
        <f t="shared" si="24"/>
        <v>210758.00834981797</v>
      </c>
      <c r="F41" s="1449">
        <f>'Table 5B1_RSD_Orleans'!F80*90%</f>
        <v>671.43020547945218</v>
      </c>
      <c r="G41" s="1449">
        <f t="shared" si="25"/>
        <v>43642.963356164393</v>
      </c>
      <c r="H41" s="1571">
        <f t="shared" si="26"/>
        <v>254400.97170598237</v>
      </c>
      <c r="I41" s="1449">
        <f>(('Table 3 Levels 1&amp;2'!AL39-D41)+('Table 3A Level 3'!C41-F41))*C41</f>
        <v>27044.658660720183</v>
      </c>
      <c r="J41" s="1449"/>
      <c r="K41" s="1449"/>
      <c r="L41" s="1575">
        <f t="shared" si="27"/>
        <v>0</v>
      </c>
      <c r="M41" s="1571">
        <f t="shared" si="28"/>
        <v>254400.97170598237</v>
      </c>
      <c r="N41" s="1449">
        <f t="shared" si="29"/>
        <v>-636.00242926495594</v>
      </c>
      <c r="O41" s="1571">
        <f t="shared" si="30"/>
        <v>253764.96927671743</v>
      </c>
      <c r="P41" s="1450">
        <v>0</v>
      </c>
      <c r="Q41" s="1571">
        <f t="shared" si="31"/>
        <v>253764.96927671743</v>
      </c>
      <c r="R41" s="1449"/>
      <c r="S41" s="1449">
        <f t="shared" si="32"/>
        <v>253764.96927671743</v>
      </c>
      <c r="T41" s="1571">
        <f t="shared" si="33"/>
        <v>21147</v>
      </c>
      <c r="U41" s="1571">
        <f t="shared" si="23"/>
        <v>253764.96927671743</v>
      </c>
      <c r="V41" s="1451">
        <f>'Table 5C1A-Madison Prep'!U42*90%</f>
        <v>4891.5</v>
      </c>
      <c r="W41" s="1591">
        <f t="shared" si="34"/>
        <v>317947.5</v>
      </c>
      <c r="X41" s="1453"/>
      <c r="Y41" s="1452">
        <f t="shared" si="35"/>
        <v>0</v>
      </c>
      <c r="Z41" s="1452"/>
      <c r="AA41" s="1452">
        <f t="shared" si="36"/>
        <v>0</v>
      </c>
      <c r="AB41" s="1596">
        <f t="shared" si="37"/>
        <v>0</v>
      </c>
      <c r="AC41" s="1591">
        <f t="shared" si="38"/>
        <v>317947.5</v>
      </c>
      <c r="AD41" s="1452">
        <f t="shared" si="39"/>
        <v>-794.86874999999998</v>
      </c>
      <c r="AE41" s="1591">
        <f t="shared" si="40"/>
        <v>317152.63124999998</v>
      </c>
      <c r="AF41" s="1451">
        <v>0</v>
      </c>
      <c r="AG41" s="1591">
        <f t="shared" si="41"/>
        <v>317152.63124999998</v>
      </c>
      <c r="AH41" s="1452"/>
      <c r="AI41" s="1452">
        <f t="shared" si="42"/>
        <v>317152.63124999998</v>
      </c>
      <c r="AJ41" s="1591">
        <f t="shared" si="43"/>
        <v>26429</v>
      </c>
      <c r="AK41" s="1600">
        <f t="shared" si="21"/>
        <v>570917.60052671738</v>
      </c>
      <c r="AL41" s="1600">
        <f t="shared" si="44"/>
        <v>47576</v>
      </c>
    </row>
    <row r="42" spans="1:38" s="317" customFormat="1" ht="16.2" customHeight="1">
      <c r="A42" s="1454">
        <v>37</v>
      </c>
      <c r="B42" s="1455" t="s">
        <v>117</v>
      </c>
      <c r="C42" s="1456">
        <f>+'Table 8 Membership 2.1.14'!J39</f>
        <v>54</v>
      </c>
      <c r="D42" s="1457">
        <f>'Table 3 Levels 1&amp;2'!AL40*90%</f>
        <v>5098.8455334285927</v>
      </c>
      <c r="E42" s="1457">
        <f t="shared" si="24"/>
        <v>275337.65880514402</v>
      </c>
      <c r="F42" s="1458">
        <f>'Table 3A Level 3'!C42*90%</f>
        <v>588.24900000000002</v>
      </c>
      <c r="G42" s="1458">
        <f t="shared" si="25"/>
        <v>31765.446</v>
      </c>
      <c r="H42" s="1572">
        <f t="shared" si="26"/>
        <v>307103.10480514402</v>
      </c>
      <c r="I42" s="1458">
        <f>(('Table 3 Levels 1&amp;2'!AL40-D42)+('Table 3A Level 3'!C42-F42))*C42</f>
        <v>34122.567200571524</v>
      </c>
      <c r="J42" s="1458"/>
      <c r="K42" s="1458"/>
      <c r="L42" s="1576">
        <f t="shared" si="27"/>
        <v>0</v>
      </c>
      <c r="M42" s="1572">
        <f t="shared" si="28"/>
        <v>307103.10480514402</v>
      </c>
      <c r="N42" s="1458">
        <f t="shared" si="29"/>
        <v>-767.7577620128601</v>
      </c>
      <c r="O42" s="1572">
        <f t="shared" si="30"/>
        <v>306335.34704313113</v>
      </c>
      <c r="P42" s="1459">
        <v>0</v>
      </c>
      <c r="Q42" s="1572">
        <f t="shared" si="31"/>
        <v>306335.34704313113</v>
      </c>
      <c r="R42" s="1458"/>
      <c r="S42" s="1458">
        <f t="shared" si="32"/>
        <v>306335.34704313113</v>
      </c>
      <c r="T42" s="1572">
        <f t="shared" si="33"/>
        <v>25528</v>
      </c>
      <c r="U42" s="1572">
        <f t="shared" si="23"/>
        <v>306335.34704313113</v>
      </c>
      <c r="V42" s="1460">
        <f>'Table 5C1A-Madison Prep'!U43*90%</f>
        <v>3168</v>
      </c>
      <c r="W42" s="1592">
        <f t="shared" si="34"/>
        <v>171072</v>
      </c>
      <c r="X42" s="1462"/>
      <c r="Y42" s="1461">
        <f t="shared" si="35"/>
        <v>0</v>
      </c>
      <c r="Z42" s="1461"/>
      <c r="AA42" s="1461">
        <f t="shared" si="36"/>
        <v>0</v>
      </c>
      <c r="AB42" s="1597">
        <f t="shared" si="37"/>
        <v>0</v>
      </c>
      <c r="AC42" s="1592">
        <f t="shared" si="38"/>
        <v>171072</v>
      </c>
      <c r="AD42" s="1461">
        <f t="shared" si="39"/>
        <v>-427.68</v>
      </c>
      <c r="AE42" s="1592">
        <f t="shared" si="40"/>
        <v>170644.32</v>
      </c>
      <c r="AF42" s="1460">
        <v>0</v>
      </c>
      <c r="AG42" s="1592">
        <f t="shared" si="41"/>
        <v>170644.32</v>
      </c>
      <c r="AH42" s="1461"/>
      <c r="AI42" s="1461">
        <f t="shared" si="42"/>
        <v>170644.32</v>
      </c>
      <c r="AJ42" s="1592">
        <f t="shared" si="43"/>
        <v>14220</v>
      </c>
      <c r="AK42" s="1601">
        <f t="shared" si="21"/>
        <v>476979.66704313114</v>
      </c>
      <c r="AL42" s="1601">
        <f t="shared" si="44"/>
        <v>39748</v>
      </c>
    </row>
    <row r="43" spans="1:38" s="317" customFormat="1" ht="16.2" customHeight="1">
      <c r="A43" s="1454">
        <v>38</v>
      </c>
      <c r="B43" s="1455" t="s">
        <v>118</v>
      </c>
      <c r="C43" s="1456">
        <f>+'Table 8 Membership 2.1.14'!J40</f>
        <v>6</v>
      </c>
      <c r="D43" s="1457">
        <f>'Table 3 Levels 1&amp;2'!AL41*90%</f>
        <v>1879.9215797625193</v>
      </c>
      <c r="E43" s="1457">
        <f t="shared" si="24"/>
        <v>11279.529478575116</v>
      </c>
      <c r="F43" s="1458">
        <f>'Table 3A Level 3'!C43*90%</f>
        <v>746.92800000000011</v>
      </c>
      <c r="G43" s="1458">
        <f t="shared" si="25"/>
        <v>4481.5680000000011</v>
      </c>
      <c r="H43" s="1572">
        <f t="shared" si="26"/>
        <v>15761.097478575117</v>
      </c>
      <c r="I43" s="1458">
        <f>(('Table 3 Levels 1&amp;2'!AL41-D43)+('Table 3A Level 3'!C43-F43))*C43</f>
        <v>1751.2330531750126</v>
      </c>
      <c r="J43" s="1458"/>
      <c r="K43" s="1458"/>
      <c r="L43" s="1576">
        <f t="shared" si="27"/>
        <v>0</v>
      </c>
      <c r="M43" s="1572">
        <f t="shared" si="28"/>
        <v>15761.097478575117</v>
      </c>
      <c r="N43" s="1458">
        <f t="shared" si="29"/>
        <v>-39.402743696437796</v>
      </c>
      <c r="O43" s="1572">
        <f t="shared" si="30"/>
        <v>15721.69473487868</v>
      </c>
      <c r="P43" s="1459">
        <v>0</v>
      </c>
      <c r="Q43" s="1572">
        <f t="shared" si="31"/>
        <v>15721.69473487868</v>
      </c>
      <c r="R43" s="1458"/>
      <c r="S43" s="1458">
        <f t="shared" si="32"/>
        <v>15721.69473487868</v>
      </c>
      <c r="T43" s="1572">
        <f t="shared" si="33"/>
        <v>1310</v>
      </c>
      <c r="U43" s="1572">
        <f t="shared" si="23"/>
        <v>15721.69473487868</v>
      </c>
      <c r="V43" s="1460">
        <f>'Table 5C1A-Madison Prep'!U44*90%</f>
        <v>10241.1</v>
      </c>
      <c r="W43" s="1592">
        <f t="shared" si="34"/>
        <v>61446.600000000006</v>
      </c>
      <c r="X43" s="1462"/>
      <c r="Y43" s="1461">
        <f t="shared" si="35"/>
        <v>0</v>
      </c>
      <c r="Z43" s="1461"/>
      <c r="AA43" s="1461">
        <f t="shared" si="36"/>
        <v>0</v>
      </c>
      <c r="AB43" s="1597">
        <f t="shared" si="37"/>
        <v>0</v>
      </c>
      <c r="AC43" s="1592">
        <f t="shared" si="38"/>
        <v>61446.600000000006</v>
      </c>
      <c r="AD43" s="1461">
        <f t="shared" si="39"/>
        <v>-153.61650000000003</v>
      </c>
      <c r="AE43" s="1592">
        <f t="shared" si="40"/>
        <v>61292.983500000009</v>
      </c>
      <c r="AF43" s="1460">
        <v>0</v>
      </c>
      <c r="AG43" s="1592">
        <f t="shared" si="41"/>
        <v>61292.983500000009</v>
      </c>
      <c r="AH43" s="1461"/>
      <c r="AI43" s="1461">
        <f t="shared" si="42"/>
        <v>61292.983500000009</v>
      </c>
      <c r="AJ43" s="1592">
        <f t="shared" si="43"/>
        <v>5108</v>
      </c>
      <c r="AK43" s="1601">
        <f t="shared" si="21"/>
        <v>77014.678234878695</v>
      </c>
      <c r="AL43" s="1601">
        <f t="shared" si="44"/>
        <v>6418</v>
      </c>
    </row>
    <row r="44" spans="1:38" s="317" customFormat="1" ht="16.2" customHeight="1">
      <c r="A44" s="1454">
        <v>39</v>
      </c>
      <c r="B44" s="1455" t="s">
        <v>119</v>
      </c>
      <c r="C44" s="1456">
        <f>+'Table 8 Membership 2.1.14'!J41</f>
        <v>5</v>
      </c>
      <c r="D44" s="1457">
        <f>'Table 3 Levels 1&amp;2'!AL42*90%</f>
        <v>3291.2151128366108</v>
      </c>
      <c r="E44" s="1457">
        <f t="shared" si="24"/>
        <v>16456.075564183055</v>
      </c>
      <c r="F44" s="1458">
        <f>'Table 3A Level 3'!C44*90%</f>
        <v>701.69015738498763</v>
      </c>
      <c r="G44" s="1458">
        <f t="shared" si="25"/>
        <v>3508.4507869249383</v>
      </c>
      <c r="H44" s="1572">
        <f t="shared" si="26"/>
        <v>19964.526351107994</v>
      </c>
      <c r="I44" s="1458">
        <f>(('Table 3 Levels 1&amp;2'!AL42-D44)+('Table 3A Level 3'!C44-F44))*C44</f>
        <v>2218.2807056786651</v>
      </c>
      <c r="J44" s="1458"/>
      <c r="K44" s="1458"/>
      <c r="L44" s="1576">
        <f t="shared" si="27"/>
        <v>0</v>
      </c>
      <c r="M44" s="1572">
        <f t="shared" si="28"/>
        <v>19964.526351107994</v>
      </c>
      <c r="N44" s="1458">
        <f t="shared" si="29"/>
        <v>-49.911315877769987</v>
      </c>
      <c r="O44" s="1572">
        <f t="shared" si="30"/>
        <v>19914.615035230225</v>
      </c>
      <c r="P44" s="1459">
        <v>-2876.4013667720719</v>
      </c>
      <c r="Q44" s="1572">
        <f t="shared" si="31"/>
        <v>17038.213668458153</v>
      </c>
      <c r="R44" s="1458"/>
      <c r="S44" s="1458">
        <f t="shared" si="32"/>
        <v>17038.213668458153</v>
      </c>
      <c r="T44" s="1572">
        <f t="shared" si="33"/>
        <v>1420</v>
      </c>
      <c r="U44" s="1572">
        <f t="shared" si="23"/>
        <v>17038.213668458153</v>
      </c>
      <c r="V44" s="1460">
        <f>'Table 5C1A-Madison Prep'!U45*90%</f>
        <v>4459.5</v>
      </c>
      <c r="W44" s="1592">
        <f t="shared" si="34"/>
        <v>22297.5</v>
      </c>
      <c r="X44" s="1462"/>
      <c r="Y44" s="1461">
        <f t="shared" si="35"/>
        <v>0</v>
      </c>
      <c r="Z44" s="1461"/>
      <c r="AA44" s="1461">
        <f t="shared" si="36"/>
        <v>0</v>
      </c>
      <c r="AB44" s="1597">
        <f t="shared" si="37"/>
        <v>0</v>
      </c>
      <c r="AC44" s="1592">
        <f t="shared" si="38"/>
        <v>22297.5</v>
      </c>
      <c r="AD44" s="1461">
        <f t="shared" si="39"/>
        <v>-55.743749999999999</v>
      </c>
      <c r="AE44" s="1592">
        <f t="shared" si="40"/>
        <v>22241.756249999999</v>
      </c>
      <c r="AF44" s="1460">
        <v>0</v>
      </c>
      <c r="AG44" s="1592">
        <f t="shared" si="41"/>
        <v>22241.756249999999</v>
      </c>
      <c r="AH44" s="1461"/>
      <c r="AI44" s="1461">
        <f t="shared" si="42"/>
        <v>22241.756249999999</v>
      </c>
      <c r="AJ44" s="1592">
        <f t="shared" si="43"/>
        <v>1853</v>
      </c>
      <c r="AK44" s="1601">
        <f t="shared" si="21"/>
        <v>39279.969918458155</v>
      </c>
      <c r="AL44" s="1601">
        <f t="shared" si="44"/>
        <v>3273</v>
      </c>
    </row>
    <row r="45" spans="1:38" s="317" customFormat="1" ht="16.2" customHeight="1">
      <c r="A45" s="1433">
        <v>40</v>
      </c>
      <c r="B45" s="1434" t="s">
        <v>120</v>
      </c>
      <c r="C45" s="1440">
        <f>+'Table 8 Membership 2.1.14'!J42</f>
        <v>59</v>
      </c>
      <c r="D45" s="1441">
        <f>'Table 3 Levels 1&amp;2'!AL43*90%</f>
        <v>4609.6299257128567</v>
      </c>
      <c r="E45" s="1441">
        <f t="shared" si="24"/>
        <v>271968.16561705852</v>
      </c>
      <c r="F45" s="906">
        <f>'Table 3A Level 3'!C45*90%</f>
        <v>630.24300000000005</v>
      </c>
      <c r="G45" s="906">
        <f t="shared" si="25"/>
        <v>37184.337</v>
      </c>
      <c r="H45" s="1573">
        <f t="shared" si="26"/>
        <v>309152.50261705852</v>
      </c>
      <c r="I45" s="906">
        <f>(('Table 3 Levels 1&amp;2'!AL43-D45)+('Table 3A Level 3'!C45-F45))*C45</f>
        <v>34350.278068562038</v>
      </c>
      <c r="J45" s="906"/>
      <c r="K45" s="906"/>
      <c r="L45" s="1577">
        <f t="shared" si="27"/>
        <v>0</v>
      </c>
      <c r="M45" s="1573">
        <f t="shared" si="28"/>
        <v>309152.50261705852</v>
      </c>
      <c r="N45" s="906">
        <f t="shared" si="29"/>
        <v>-772.88125654264627</v>
      </c>
      <c r="O45" s="1573">
        <f t="shared" si="30"/>
        <v>308379.62136051588</v>
      </c>
      <c r="P45" s="1442">
        <v>0</v>
      </c>
      <c r="Q45" s="1573">
        <f t="shared" si="31"/>
        <v>308379.62136051588</v>
      </c>
      <c r="R45" s="906"/>
      <c r="S45" s="906">
        <f t="shared" si="32"/>
        <v>308379.62136051588</v>
      </c>
      <c r="T45" s="1573">
        <f t="shared" si="33"/>
        <v>25698</v>
      </c>
      <c r="U45" s="1573">
        <f t="shared" si="23"/>
        <v>308379.62136051588</v>
      </c>
      <c r="V45" s="1443">
        <f>'Table 5C1A-Madison Prep'!U46*90%</f>
        <v>2762.1</v>
      </c>
      <c r="W45" s="1593">
        <f t="shared" si="34"/>
        <v>162963.9</v>
      </c>
      <c r="X45" s="1444"/>
      <c r="Y45" s="907">
        <f t="shared" si="35"/>
        <v>0</v>
      </c>
      <c r="Z45" s="907"/>
      <c r="AA45" s="907">
        <f t="shared" si="36"/>
        <v>0</v>
      </c>
      <c r="AB45" s="1598">
        <f t="shared" si="37"/>
        <v>0</v>
      </c>
      <c r="AC45" s="1593">
        <f t="shared" si="38"/>
        <v>162963.9</v>
      </c>
      <c r="AD45" s="907">
        <f t="shared" si="39"/>
        <v>-407.40974999999997</v>
      </c>
      <c r="AE45" s="1593">
        <f t="shared" si="40"/>
        <v>162556.49025</v>
      </c>
      <c r="AF45" s="1443">
        <v>0</v>
      </c>
      <c r="AG45" s="1593">
        <f t="shared" si="41"/>
        <v>162556.49025</v>
      </c>
      <c r="AH45" s="907"/>
      <c r="AI45" s="907">
        <f t="shared" si="42"/>
        <v>162556.49025</v>
      </c>
      <c r="AJ45" s="1593">
        <f t="shared" si="43"/>
        <v>13546</v>
      </c>
      <c r="AK45" s="1602">
        <f t="shared" si="21"/>
        <v>470936.11161051586</v>
      </c>
      <c r="AL45" s="1602">
        <f t="shared" si="44"/>
        <v>39244</v>
      </c>
    </row>
    <row r="46" spans="1:38" s="317" customFormat="1" ht="16.2" customHeight="1">
      <c r="A46" s="1445">
        <v>41</v>
      </c>
      <c r="B46" s="1446" t="s">
        <v>121</v>
      </c>
      <c r="C46" s="1447">
        <f>+'Table 8 Membership 2.1.14'!J43</f>
        <v>0</v>
      </c>
      <c r="D46" s="1448">
        <f>'Table 3 Levels 1&amp;2'!AL44*90%</f>
        <v>2962.0753717244829</v>
      </c>
      <c r="E46" s="1448">
        <f t="shared" si="24"/>
        <v>0</v>
      </c>
      <c r="F46" s="1449">
        <f>'Table 3A Level 3'!C46*90%</f>
        <v>797.59800000000007</v>
      </c>
      <c r="G46" s="1449">
        <f t="shared" si="25"/>
        <v>0</v>
      </c>
      <c r="H46" s="1571">
        <f t="shared" si="26"/>
        <v>0</v>
      </c>
      <c r="I46" s="1449">
        <f>(('Table 3 Levels 1&amp;2'!AL44-D46)+('Table 3A Level 3'!C46-F46))*C46</f>
        <v>0</v>
      </c>
      <c r="J46" s="1449"/>
      <c r="K46" s="1449"/>
      <c r="L46" s="1575">
        <f t="shared" si="27"/>
        <v>0</v>
      </c>
      <c r="M46" s="1571">
        <f t="shared" si="28"/>
        <v>0</v>
      </c>
      <c r="N46" s="1449">
        <f t="shared" si="29"/>
        <v>0</v>
      </c>
      <c r="O46" s="1571">
        <f t="shared" si="30"/>
        <v>0</v>
      </c>
      <c r="P46" s="1450">
        <v>0</v>
      </c>
      <c r="Q46" s="1571">
        <f t="shared" si="31"/>
        <v>0</v>
      </c>
      <c r="R46" s="1449"/>
      <c r="S46" s="1449">
        <f t="shared" si="32"/>
        <v>0</v>
      </c>
      <c r="T46" s="1571">
        <f t="shared" si="33"/>
        <v>0</v>
      </c>
      <c r="U46" s="1571">
        <f t="shared" si="23"/>
        <v>0</v>
      </c>
      <c r="V46" s="1451">
        <f>'Table 5C1A-Madison Prep'!U47*90%</f>
        <v>7630.2</v>
      </c>
      <c r="W46" s="1591">
        <f t="shared" si="34"/>
        <v>0</v>
      </c>
      <c r="X46" s="1453"/>
      <c r="Y46" s="1452">
        <f t="shared" si="35"/>
        <v>0</v>
      </c>
      <c r="Z46" s="1452"/>
      <c r="AA46" s="1452">
        <f t="shared" si="36"/>
        <v>0</v>
      </c>
      <c r="AB46" s="1596">
        <f t="shared" si="37"/>
        <v>0</v>
      </c>
      <c r="AC46" s="1591">
        <f t="shared" si="38"/>
        <v>0</v>
      </c>
      <c r="AD46" s="1452">
        <f t="shared" si="39"/>
        <v>0</v>
      </c>
      <c r="AE46" s="1591">
        <f t="shared" si="40"/>
        <v>0</v>
      </c>
      <c r="AF46" s="1451">
        <v>0</v>
      </c>
      <c r="AG46" s="1591">
        <f t="shared" si="41"/>
        <v>0</v>
      </c>
      <c r="AH46" s="1452"/>
      <c r="AI46" s="1452">
        <f t="shared" si="42"/>
        <v>0</v>
      </c>
      <c r="AJ46" s="1591">
        <f t="shared" si="43"/>
        <v>0</v>
      </c>
      <c r="AK46" s="1600">
        <f t="shared" si="21"/>
        <v>0</v>
      </c>
      <c r="AL46" s="1600">
        <f t="shared" si="44"/>
        <v>0</v>
      </c>
    </row>
    <row r="47" spans="1:38" s="317" customFormat="1" ht="16.2" customHeight="1">
      <c r="A47" s="1454">
        <v>42</v>
      </c>
      <c r="B47" s="1455" t="s">
        <v>122</v>
      </c>
      <c r="C47" s="1456">
        <f>+'Table 8 Membership 2.1.14'!J44</f>
        <v>5</v>
      </c>
      <c r="D47" s="1457">
        <f>'Table 3 Levels 1&amp;2'!AL45*90%</f>
        <v>4602.2469976231814</v>
      </c>
      <c r="E47" s="1457">
        <f t="shared" si="24"/>
        <v>23011.234988115906</v>
      </c>
      <c r="F47" s="1458">
        <f>'Table 3A Level 3'!C47*90%</f>
        <v>480.85199999999998</v>
      </c>
      <c r="G47" s="1458">
        <f t="shared" si="25"/>
        <v>2404.2599999999998</v>
      </c>
      <c r="H47" s="1572">
        <f t="shared" si="26"/>
        <v>25415.494988115905</v>
      </c>
      <c r="I47" s="1458">
        <f>(('Table 3 Levels 1&amp;2'!AL45-D47)+('Table 3A Level 3'!C47-F47))*C47</f>
        <v>2823.943887568435</v>
      </c>
      <c r="J47" s="1458"/>
      <c r="K47" s="1458"/>
      <c r="L47" s="1576">
        <f t="shared" si="27"/>
        <v>0</v>
      </c>
      <c r="M47" s="1572">
        <f t="shared" si="28"/>
        <v>25415.494988115905</v>
      </c>
      <c r="N47" s="1458">
        <f t="shared" si="29"/>
        <v>-63.53873747028976</v>
      </c>
      <c r="O47" s="1572">
        <f t="shared" si="30"/>
        <v>25351.956250645613</v>
      </c>
      <c r="P47" s="1459">
        <v>0</v>
      </c>
      <c r="Q47" s="1572">
        <f t="shared" si="31"/>
        <v>25351.956250645613</v>
      </c>
      <c r="R47" s="1458"/>
      <c r="S47" s="1458">
        <f t="shared" si="32"/>
        <v>25351.956250645613</v>
      </c>
      <c r="T47" s="1572">
        <f t="shared" si="33"/>
        <v>2113</v>
      </c>
      <c r="U47" s="1572">
        <f t="shared" si="23"/>
        <v>25351.956250645613</v>
      </c>
      <c r="V47" s="1460">
        <f>'Table 5C1A-Madison Prep'!U48*90%</f>
        <v>3220.2000000000003</v>
      </c>
      <c r="W47" s="1592">
        <f t="shared" si="34"/>
        <v>16101.000000000002</v>
      </c>
      <c r="X47" s="1462"/>
      <c r="Y47" s="1461">
        <f t="shared" si="35"/>
        <v>0</v>
      </c>
      <c r="Z47" s="1461"/>
      <c r="AA47" s="1461">
        <f t="shared" si="36"/>
        <v>0</v>
      </c>
      <c r="AB47" s="1597">
        <f t="shared" si="37"/>
        <v>0</v>
      </c>
      <c r="AC47" s="1592">
        <f t="shared" si="38"/>
        <v>16101.000000000002</v>
      </c>
      <c r="AD47" s="1461">
        <f t="shared" si="39"/>
        <v>-40.252500000000005</v>
      </c>
      <c r="AE47" s="1592">
        <f t="shared" si="40"/>
        <v>16060.747500000001</v>
      </c>
      <c r="AF47" s="1460">
        <v>0</v>
      </c>
      <c r="AG47" s="1592">
        <f t="shared" si="41"/>
        <v>16060.747500000001</v>
      </c>
      <c r="AH47" s="1461"/>
      <c r="AI47" s="1461">
        <f t="shared" si="42"/>
        <v>16060.747500000001</v>
      </c>
      <c r="AJ47" s="1592">
        <f t="shared" si="43"/>
        <v>1338</v>
      </c>
      <c r="AK47" s="1601">
        <f t="shared" si="21"/>
        <v>41412.703750645611</v>
      </c>
      <c r="AL47" s="1601">
        <f t="shared" si="44"/>
        <v>3451</v>
      </c>
    </row>
    <row r="48" spans="1:38" s="317" customFormat="1" ht="16.2" customHeight="1">
      <c r="A48" s="1454">
        <v>43</v>
      </c>
      <c r="B48" s="1455" t="s">
        <v>123</v>
      </c>
      <c r="C48" s="1456">
        <f>+'Table 8 Membership 2.1.14'!J45</f>
        <v>10</v>
      </c>
      <c r="D48" s="1457">
        <f>'Table 3 Levels 1&amp;2'!AL46*90%</f>
        <v>5209.8694848535233</v>
      </c>
      <c r="E48" s="1457">
        <f t="shared" si="24"/>
        <v>52098.694848535233</v>
      </c>
      <c r="F48" s="1458">
        <f>'Table 3A Level 3'!C48*90%</f>
        <v>517.14899999999989</v>
      </c>
      <c r="G48" s="1458">
        <f t="shared" si="25"/>
        <v>5171.4899999999989</v>
      </c>
      <c r="H48" s="1572">
        <f t="shared" si="26"/>
        <v>57270.184848535231</v>
      </c>
      <c r="I48" s="1458">
        <f>(('Table 3 Levels 1&amp;2'!AL46-D48)+('Table 3A Level 3'!C48-F48))*C48</f>
        <v>6363.3538720594679</v>
      </c>
      <c r="J48" s="1458"/>
      <c r="K48" s="1458"/>
      <c r="L48" s="1576">
        <f t="shared" si="27"/>
        <v>0</v>
      </c>
      <c r="M48" s="1572">
        <f t="shared" si="28"/>
        <v>57270.184848535231</v>
      </c>
      <c r="N48" s="1458">
        <f t="shared" si="29"/>
        <v>-143.17546212133809</v>
      </c>
      <c r="O48" s="1572">
        <f t="shared" si="30"/>
        <v>57127.009386413891</v>
      </c>
      <c r="P48" s="1459">
        <v>0</v>
      </c>
      <c r="Q48" s="1572">
        <f t="shared" si="31"/>
        <v>57127.009386413891</v>
      </c>
      <c r="R48" s="1458"/>
      <c r="S48" s="1458">
        <f t="shared" si="32"/>
        <v>57127.009386413891</v>
      </c>
      <c r="T48" s="1572">
        <f t="shared" si="33"/>
        <v>4761</v>
      </c>
      <c r="U48" s="1572">
        <f t="shared" si="23"/>
        <v>57127.009386413891</v>
      </c>
      <c r="V48" s="1460">
        <f>'Table 5C1A-Madison Prep'!U49*90%</f>
        <v>2884.5</v>
      </c>
      <c r="W48" s="1592">
        <f t="shared" si="34"/>
        <v>28845</v>
      </c>
      <c r="X48" s="1462"/>
      <c r="Y48" s="1461">
        <f t="shared" si="35"/>
        <v>0</v>
      </c>
      <c r="Z48" s="1461"/>
      <c r="AA48" s="1461">
        <f t="shared" si="36"/>
        <v>0</v>
      </c>
      <c r="AB48" s="1597">
        <f t="shared" si="37"/>
        <v>0</v>
      </c>
      <c r="AC48" s="1592">
        <f t="shared" si="38"/>
        <v>28845</v>
      </c>
      <c r="AD48" s="1461">
        <f t="shared" si="39"/>
        <v>-72.112499999999997</v>
      </c>
      <c r="AE48" s="1592">
        <f t="shared" si="40"/>
        <v>28772.887500000001</v>
      </c>
      <c r="AF48" s="1460">
        <v>0</v>
      </c>
      <c r="AG48" s="1592">
        <f t="shared" si="41"/>
        <v>28772.887500000001</v>
      </c>
      <c r="AH48" s="1461"/>
      <c r="AI48" s="1461">
        <f t="shared" si="42"/>
        <v>28772.887500000001</v>
      </c>
      <c r="AJ48" s="1592">
        <f t="shared" si="43"/>
        <v>2398</v>
      </c>
      <c r="AK48" s="1601">
        <f t="shared" si="21"/>
        <v>85899.896886413888</v>
      </c>
      <c r="AL48" s="1601">
        <f t="shared" si="44"/>
        <v>7159</v>
      </c>
    </row>
    <row r="49" spans="1:38" s="317" customFormat="1" ht="16.2" customHeight="1">
      <c r="A49" s="1454">
        <v>44</v>
      </c>
      <c r="B49" s="1455" t="s">
        <v>124</v>
      </c>
      <c r="C49" s="1456">
        <f>+'Table 8 Membership 2.1.14'!J46</f>
        <v>16</v>
      </c>
      <c r="D49" s="1457">
        <f>'Table 3 Levels 1&amp;2'!AL47*90%</f>
        <v>4407.8362336638329</v>
      </c>
      <c r="E49" s="1457">
        <f t="shared" si="24"/>
        <v>70525.379738621326</v>
      </c>
      <c r="F49" s="1458">
        <f>'Table 3A Level 3'!C49*90%</f>
        <v>596.84400000000005</v>
      </c>
      <c r="G49" s="1458">
        <f t="shared" si="25"/>
        <v>9549.5040000000008</v>
      </c>
      <c r="H49" s="1572">
        <f t="shared" si="26"/>
        <v>80074.883738621327</v>
      </c>
      <c r="I49" s="1458">
        <f>(('Table 3 Levels 1&amp;2'!AL47-D49)+('Table 3A Level 3'!C49-F49))*C49</f>
        <v>8897.2093042912493</v>
      </c>
      <c r="J49" s="1458"/>
      <c r="K49" s="1458"/>
      <c r="L49" s="1576">
        <f t="shared" si="27"/>
        <v>0</v>
      </c>
      <c r="M49" s="1572">
        <f t="shared" si="28"/>
        <v>80074.883738621327</v>
      </c>
      <c r="N49" s="1458">
        <f t="shared" si="29"/>
        <v>-200.18720934655332</v>
      </c>
      <c r="O49" s="1572">
        <f t="shared" si="30"/>
        <v>79874.696529274777</v>
      </c>
      <c r="P49" s="1459">
        <v>0</v>
      </c>
      <c r="Q49" s="1572">
        <f t="shared" si="31"/>
        <v>79874.696529274777</v>
      </c>
      <c r="R49" s="1458"/>
      <c r="S49" s="1458">
        <f t="shared" si="32"/>
        <v>79874.696529274777</v>
      </c>
      <c r="T49" s="1572">
        <f t="shared" si="33"/>
        <v>6656</v>
      </c>
      <c r="U49" s="1572">
        <f t="shared" si="23"/>
        <v>79874.696529274777</v>
      </c>
      <c r="V49" s="1460">
        <f>'Table 5C1A-Madison Prep'!U50*90%</f>
        <v>3347.1</v>
      </c>
      <c r="W49" s="1592">
        <f t="shared" si="34"/>
        <v>53553.599999999999</v>
      </c>
      <c r="X49" s="1462"/>
      <c r="Y49" s="1461">
        <f t="shared" si="35"/>
        <v>0</v>
      </c>
      <c r="Z49" s="1461"/>
      <c r="AA49" s="1461">
        <f t="shared" si="36"/>
        <v>0</v>
      </c>
      <c r="AB49" s="1597">
        <f t="shared" si="37"/>
        <v>0</v>
      </c>
      <c r="AC49" s="1592">
        <f t="shared" si="38"/>
        <v>53553.599999999999</v>
      </c>
      <c r="AD49" s="1461">
        <f t="shared" si="39"/>
        <v>-133.88399999999999</v>
      </c>
      <c r="AE49" s="1592">
        <f t="shared" si="40"/>
        <v>53419.716</v>
      </c>
      <c r="AF49" s="1460">
        <v>0</v>
      </c>
      <c r="AG49" s="1592">
        <f t="shared" si="41"/>
        <v>53419.716</v>
      </c>
      <c r="AH49" s="1461"/>
      <c r="AI49" s="1461">
        <f t="shared" si="42"/>
        <v>53419.716</v>
      </c>
      <c r="AJ49" s="1592">
        <f t="shared" si="43"/>
        <v>4452</v>
      </c>
      <c r="AK49" s="1601">
        <f t="shared" si="21"/>
        <v>133294.41252927476</v>
      </c>
      <c r="AL49" s="1601">
        <f t="shared" si="44"/>
        <v>11108</v>
      </c>
    </row>
    <row r="50" spans="1:38" s="317" customFormat="1" ht="16.2" customHeight="1">
      <c r="A50" s="1433">
        <v>45</v>
      </c>
      <c r="B50" s="1434" t="s">
        <v>125</v>
      </c>
      <c r="C50" s="1440">
        <f>+'Table 8 Membership 2.1.14'!J47</f>
        <v>11</v>
      </c>
      <c r="D50" s="1441">
        <f>'Table 3 Levels 1&amp;2'!AL48*90%</f>
        <v>1848.6425249522192</v>
      </c>
      <c r="E50" s="1441">
        <f t="shared" si="24"/>
        <v>20335.06777447441</v>
      </c>
      <c r="F50" s="906">
        <f>'Table 3A Level 3'!C50*90%</f>
        <v>678.56400000000019</v>
      </c>
      <c r="G50" s="906">
        <f t="shared" si="25"/>
        <v>7464.2040000000025</v>
      </c>
      <c r="H50" s="1573">
        <f t="shared" si="26"/>
        <v>27799.271774474411</v>
      </c>
      <c r="I50" s="906">
        <f>(('Table 3 Levels 1&amp;2'!AL48-D50)+('Table 3A Level 3'!C50-F50))*C50</f>
        <v>3088.8079749415997</v>
      </c>
      <c r="J50" s="906"/>
      <c r="K50" s="906"/>
      <c r="L50" s="1577">
        <f t="shared" si="27"/>
        <v>0</v>
      </c>
      <c r="M50" s="1573">
        <f t="shared" si="28"/>
        <v>27799.271774474411</v>
      </c>
      <c r="N50" s="906">
        <f t="shared" si="29"/>
        <v>-69.498179436186035</v>
      </c>
      <c r="O50" s="1573">
        <f t="shared" si="30"/>
        <v>27729.773595038227</v>
      </c>
      <c r="P50" s="1442">
        <v>0</v>
      </c>
      <c r="Q50" s="1573">
        <f t="shared" si="31"/>
        <v>27729.773595038227</v>
      </c>
      <c r="R50" s="906"/>
      <c r="S50" s="906">
        <f t="shared" si="32"/>
        <v>27729.773595038227</v>
      </c>
      <c r="T50" s="1573">
        <f t="shared" si="33"/>
        <v>2311</v>
      </c>
      <c r="U50" s="1573">
        <f t="shared" si="23"/>
        <v>27729.773595038227</v>
      </c>
      <c r="V50" s="1443">
        <f>'Table 5C1A-Madison Prep'!U51*90%</f>
        <v>10952.1</v>
      </c>
      <c r="W50" s="1593">
        <f t="shared" si="34"/>
        <v>120473.1</v>
      </c>
      <c r="X50" s="1444"/>
      <c r="Y50" s="907">
        <f t="shared" si="35"/>
        <v>0</v>
      </c>
      <c r="Z50" s="907"/>
      <c r="AA50" s="907">
        <f t="shared" si="36"/>
        <v>0</v>
      </c>
      <c r="AB50" s="1598">
        <f t="shared" si="37"/>
        <v>0</v>
      </c>
      <c r="AC50" s="1593">
        <f t="shared" si="38"/>
        <v>120473.1</v>
      </c>
      <c r="AD50" s="907">
        <f t="shared" si="39"/>
        <v>-301.18275</v>
      </c>
      <c r="AE50" s="1593">
        <f t="shared" si="40"/>
        <v>120171.91725</v>
      </c>
      <c r="AF50" s="1443">
        <v>0</v>
      </c>
      <c r="AG50" s="1593">
        <f t="shared" si="41"/>
        <v>120171.91725</v>
      </c>
      <c r="AH50" s="907"/>
      <c r="AI50" s="907">
        <f t="shared" si="42"/>
        <v>120171.91725</v>
      </c>
      <c r="AJ50" s="1593">
        <f t="shared" si="43"/>
        <v>10014</v>
      </c>
      <c r="AK50" s="1602">
        <f t="shared" si="21"/>
        <v>147901.69084503822</v>
      </c>
      <c r="AL50" s="1602">
        <f t="shared" si="44"/>
        <v>12325</v>
      </c>
    </row>
    <row r="51" spans="1:38" s="317" customFormat="1" ht="16.2" customHeight="1">
      <c r="A51" s="1445">
        <v>46</v>
      </c>
      <c r="B51" s="1446" t="s">
        <v>126</v>
      </c>
      <c r="C51" s="1447">
        <f>+'Table 8 Membership 2.1.14'!J48</f>
        <v>8</v>
      </c>
      <c r="D51" s="1448">
        <f>'Table 3 Levels 1&amp;2'!AL49*90%</f>
        <v>5446.0930021279546</v>
      </c>
      <c r="E51" s="1448">
        <f t="shared" si="24"/>
        <v>43568.744017023637</v>
      </c>
      <c r="F51" s="1449">
        <f>'Table 3A Level 3'!C51*90%</f>
        <v>655.25400000000002</v>
      </c>
      <c r="G51" s="1449">
        <f t="shared" si="25"/>
        <v>5242.0320000000002</v>
      </c>
      <c r="H51" s="1571">
        <f t="shared" si="26"/>
        <v>48810.776017023636</v>
      </c>
      <c r="I51" s="1449">
        <f>(('Table 3 Levels 1&amp;2'!AL49-D51)+('Table 3A Level 3'!C51-F51))*C51</f>
        <v>5423.4195574470677</v>
      </c>
      <c r="J51" s="1449"/>
      <c r="K51" s="1449"/>
      <c r="L51" s="1575">
        <f t="shared" si="27"/>
        <v>0</v>
      </c>
      <c r="M51" s="1571">
        <f t="shared" si="28"/>
        <v>48810.776017023636</v>
      </c>
      <c r="N51" s="1449">
        <f t="shared" si="29"/>
        <v>-122.02694004255909</v>
      </c>
      <c r="O51" s="1571">
        <f t="shared" si="30"/>
        <v>48688.749076981076</v>
      </c>
      <c r="P51" s="1450">
        <v>0</v>
      </c>
      <c r="Q51" s="1571">
        <f t="shared" si="31"/>
        <v>48688.749076981076</v>
      </c>
      <c r="R51" s="1449"/>
      <c r="S51" s="1449">
        <f t="shared" si="32"/>
        <v>48688.749076981076</v>
      </c>
      <c r="T51" s="1571">
        <f t="shared" si="33"/>
        <v>4057</v>
      </c>
      <c r="U51" s="1571">
        <f t="shared" si="23"/>
        <v>48688.749076981076</v>
      </c>
      <c r="V51" s="1451">
        <f>'Table 5C1A-Madison Prep'!U52*90%</f>
        <v>2441.7000000000003</v>
      </c>
      <c r="W51" s="1591">
        <f t="shared" si="34"/>
        <v>19533.600000000002</v>
      </c>
      <c r="X51" s="1453"/>
      <c r="Y51" s="1452">
        <f t="shared" si="35"/>
        <v>0</v>
      </c>
      <c r="Z51" s="1452"/>
      <c r="AA51" s="1452">
        <f t="shared" si="36"/>
        <v>0</v>
      </c>
      <c r="AB51" s="1596">
        <f t="shared" si="37"/>
        <v>0</v>
      </c>
      <c r="AC51" s="1591">
        <f t="shared" si="38"/>
        <v>19533.600000000002</v>
      </c>
      <c r="AD51" s="1452">
        <f t="shared" si="39"/>
        <v>-48.834000000000003</v>
      </c>
      <c r="AE51" s="1591">
        <f t="shared" si="40"/>
        <v>19484.766000000003</v>
      </c>
      <c r="AF51" s="1451">
        <v>0</v>
      </c>
      <c r="AG51" s="1591">
        <f t="shared" si="41"/>
        <v>19484.766000000003</v>
      </c>
      <c r="AH51" s="1452"/>
      <c r="AI51" s="1452">
        <f t="shared" si="42"/>
        <v>19484.766000000003</v>
      </c>
      <c r="AJ51" s="1591">
        <f t="shared" si="43"/>
        <v>1624</v>
      </c>
      <c r="AK51" s="1600">
        <f t="shared" si="21"/>
        <v>68173.515076981072</v>
      </c>
      <c r="AL51" s="1600">
        <f t="shared" si="44"/>
        <v>5681</v>
      </c>
    </row>
    <row r="52" spans="1:38" s="317" customFormat="1" ht="16.2" customHeight="1">
      <c r="A52" s="1454">
        <v>47</v>
      </c>
      <c r="B52" s="1455" t="s">
        <v>127</v>
      </c>
      <c r="C52" s="1456">
        <f>+'Table 8 Membership 2.1.14'!J49</f>
        <v>2</v>
      </c>
      <c r="D52" s="1457">
        <f>'Table 3 Levels 1&amp;2'!AL50*90%</f>
        <v>2271.7336731882065</v>
      </c>
      <c r="E52" s="1457">
        <f t="shared" si="24"/>
        <v>4543.4673463764129</v>
      </c>
      <c r="F52" s="1458">
        <f>'Table 3A Level 3'!C52*90%</f>
        <v>819.68399999999997</v>
      </c>
      <c r="G52" s="1458">
        <f t="shared" si="25"/>
        <v>1639.3679999999999</v>
      </c>
      <c r="H52" s="1572">
        <f t="shared" si="26"/>
        <v>6182.8353463764124</v>
      </c>
      <c r="I52" s="1458">
        <f>(('Table 3 Levels 1&amp;2'!AL50-D52)+('Table 3A Level 3'!C52-F52))*C52</f>
        <v>686.98170515293441</v>
      </c>
      <c r="J52" s="1458"/>
      <c r="K52" s="1458"/>
      <c r="L52" s="1576">
        <f t="shared" si="27"/>
        <v>0</v>
      </c>
      <c r="M52" s="1572">
        <f t="shared" si="28"/>
        <v>6182.8353463764124</v>
      </c>
      <c r="N52" s="1458">
        <f t="shared" si="29"/>
        <v>-15.457088365941031</v>
      </c>
      <c r="O52" s="1572">
        <f t="shared" si="30"/>
        <v>6167.3782580104717</v>
      </c>
      <c r="P52" s="1459">
        <v>0</v>
      </c>
      <c r="Q52" s="1572">
        <f t="shared" si="31"/>
        <v>6167.3782580104717</v>
      </c>
      <c r="R52" s="1458"/>
      <c r="S52" s="1458">
        <f t="shared" si="32"/>
        <v>6167.3782580104717</v>
      </c>
      <c r="T52" s="1572">
        <f t="shared" si="33"/>
        <v>514</v>
      </c>
      <c r="U52" s="1572">
        <f t="shared" si="23"/>
        <v>6167.3782580104717</v>
      </c>
      <c r="V52" s="1460">
        <f>'Table 5C1A-Madison Prep'!U53*90%</f>
        <v>10530.9</v>
      </c>
      <c r="W52" s="1592">
        <f t="shared" si="34"/>
        <v>21061.8</v>
      </c>
      <c r="X52" s="1462"/>
      <c r="Y52" s="1461">
        <f t="shared" si="35"/>
        <v>0</v>
      </c>
      <c r="Z52" s="1461"/>
      <c r="AA52" s="1461">
        <f t="shared" si="36"/>
        <v>0</v>
      </c>
      <c r="AB52" s="1597">
        <f t="shared" si="37"/>
        <v>0</v>
      </c>
      <c r="AC52" s="1592">
        <f t="shared" si="38"/>
        <v>21061.8</v>
      </c>
      <c r="AD52" s="1461">
        <f t="shared" si="39"/>
        <v>-52.654499999999999</v>
      </c>
      <c r="AE52" s="1592">
        <f t="shared" si="40"/>
        <v>21009.145499999999</v>
      </c>
      <c r="AF52" s="1460">
        <v>0</v>
      </c>
      <c r="AG52" s="1592">
        <f t="shared" si="41"/>
        <v>21009.145499999999</v>
      </c>
      <c r="AH52" s="1461"/>
      <c r="AI52" s="1461">
        <f t="shared" si="42"/>
        <v>21009.145499999999</v>
      </c>
      <c r="AJ52" s="1592">
        <f t="shared" si="43"/>
        <v>1751</v>
      </c>
      <c r="AK52" s="1601">
        <f t="shared" si="21"/>
        <v>27176.523758010469</v>
      </c>
      <c r="AL52" s="1601">
        <f t="shared" si="44"/>
        <v>2265</v>
      </c>
    </row>
    <row r="53" spans="1:38" s="317" customFormat="1" ht="16.2" customHeight="1">
      <c r="A53" s="1454">
        <v>48</v>
      </c>
      <c r="B53" s="1455" t="s">
        <v>178</v>
      </c>
      <c r="C53" s="1456">
        <f>+'Table 8 Membership 2.1.14'!J50</f>
        <v>25</v>
      </c>
      <c r="D53" s="1457">
        <f>'Table 3 Levels 1&amp;2'!AL51*90%</f>
        <v>3585.022427682065</v>
      </c>
      <c r="E53" s="1457">
        <f t="shared" si="24"/>
        <v>89625.560692051629</v>
      </c>
      <c r="F53" s="1458">
        <f>'Table 3A Level 3'!C53*90%</f>
        <v>783.96300000000008</v>
      </c>
      <c r="G53" s="1458">
        <f t="shared" si="25"/>
        <v>19599.075000000001</v>
      </c>
      <c r="H53" s="1572">
        <f t="shared" si="26"/>
        <v>109224.63569205163</v>
      </c>
      <c r="I53" s="1458">
        <f>(('Table 3 Levels 1&amp;2'!AL51-D53)+('Table 3A Level 3'!C53-F53))*C53</f>
        <v>12136.070632450173</v>
      </c>
      <c r="J53" s="1458"/>
      <c r="K53" s="1458"/>
      <c r="L53" s="1576">
        <f t="shared" si="27"/>
        <v>0</v>
      </c>
      <c r="M53" s="1572">
        <f t="shared" si="28"/>
        <v>109224.63569205163</v>
      </c>
      <c r="N53" s="1458">
        <f t="shared" si="29"/>
        <v>-273.06158923012907</v>
      </c>
      <c r="O53" s="1572">
        <f t="shared" si="30"/>
        <v>108951.5741028215</v>
      </c>
      <c r="P53" s="1459">
        <v>0</v>
      </c>
      <c r="Q53" s="1572">
        <f t="shared" si="31"/>
        <v>108951.5741028215</v>
      </c>
      <c r="R53" s="1458"/>
      <c r="S53" s="1458">
        <f t="shared" si="32"/>
        <v>108951.5741028215</v>
      </c>
      <c r="T53" s="1572">
        <f t="shared" si="33"/>
        <v>9079</v>
      </c>
      <c r="U53" s="1572">
        <f t="shared" si="23"/>
        <v>108951.5741028215</v>
      </c>
      <c r="V53" s="1460">
        <f>'Table 5C1A-Madison Prep'!U54*90%</f>
        <v>6604.2</v>
      </c>
      <c r="W53" s="1592">
        <f t="shared" si="34"/>
        <v>165105</v>
      </c>
      <c r="X53" s="1462"/>
      <c r="Y53" s="1461">
        <f t="shared" si="35"/>
        <v>0</v>
      </c>
      <c r="Z53" s="1461"/>
      <c r="AA53" s="1461">
        <f t="shared" si="36"/>
        <v>0</v>
      </c>
      <c r="AB53" s="1597">
        <f t="shared" si="37"/>
        <v>0</v>
      </c>
      <c r="AC53" s="1592">
        <f t="shared" si="38"/>
        <v>165105</v>
      </c>
      <c r="AD53" s="1461">
        <f t="shared" si="39"/>
        <v>-412.76249999999999</v>
      </c>
      <c r="AE53" s="1592">
        <f t="shared" si="40"/>
        <v>164692.23749999999</v>
      </c>
      <c r="AF53" s="1460">
        <v>0</v>
      </c>
      <c r="AG53" s="1592">
        <f t="shared" si="41"/>
        <v>164692.23749999999</v>
      </c>
      <c r="AH53" s="1461"/>
      <c r="AI53" s="1461">
        <f t="shared" si="42"/>
        <v>164692.23749999999</v>
      </c>
      <c r="AJ53" s="1592">
        <f t="shared" si="43"/>
        <v>13724</v>
      </c>
      <c r="AK53" s="1601">
        <f t="shared" si="21"/>
        <v>273643.81160282146</v>
      </c>
      <c r="AL53" s="1601">
        <f t="shared" si="44"/>
        <v>22803</v>
      </c>
    </row>
    <row r="54" spans="1:38" s="317" customFormat="1" ht="16.2" customHeight="1">
      <c r="A54" s="1454">
        <v>49</v>
      </c>
      <c r="B54" s="1455" t="s">
        <v>128</v>
      </c>
      <c r="C54" s="1456">
        <f>+'Table 8 Membership 2.1.14'!J51</f>
        <v>67</v>
      </c>
      <c r="D54" s="1457">
        <f>'Table 3 Levels 1&amp;2'!AL52*90%</f>
        <v>4496.2879784093275</v>
      </c>
      <c r="E54" s="1457">
        <f t="shared" si="24"/>
        <v>301251.29455342493</v>
      </c>
      <c r="F54" s="1458">
        <f>'Table 3A Level 3'!C54*90%</f>
        <v>516.99599999999998</v>
      </c>
      <c r="G54" s="1458">
        <f t="shared" si="25"/>
        <v>34638.731999999996</v>
      </c>
      <c r="H54" s="1572">
        <f t="shared" si="26"/>
        <v>335890.02655342495</v>
      </c>
      <c r="I54" s="1458">
        <f>(('Table 3 Levels 1&amp;2'!AL52-D54)+('Table 3A Level 3'!C54-F54))*C54</f>
        <v>37321.114061491637</v>
      </c>
      <c r="J54" s="1458"/>
      <c r="K54" s="1458"/>
      <c r="L54" s="1576">
        <f t="shared" si="27"/>
        <v>0</v>
      </c>
      <c r="M54" s="1572">
        <f t="shared" si="28"/>
        <v>335890.02655342495</v>
      </c>
      <c r="N54" s="1458">
        <f t="shared" si="29"/>
        <v>-839.72506638356242</v>
      </c>
      <c r="O54" s="1572">
        <f t="shared" si="30"/>
        <v>335050.3014870414</v>
      </c>
      <c r="P54" s="1459">
        <v>-4529.1390381840029</v>
      </c>
      <c r="Q54" s="1572">
        <f t="shared" si="31"/>
        <v>330521.16244885739</v>
      </c>
      <c r="R54" s="1458"/>
      <c r="S54" s="1458">
        <f t="shared" si="32"/>
        <v>330521.16244885739</v>
      </c>
      <c r="T54" s="1572">
        <f t="shared" si="33"/>
        <v>27543</v>
      </c>
      <c r="U54" s="1572">
        <f t="shared" si="23"/>
        <v>330521.16244885739</v>
      </c>
      <c r="V54" s="1460">
        <f>'Table 5C1A-Madison Prep'!U55*90%</f>
        <v>2117.7000000000003</v>
      </c>
      <c r="W54" s="1592">
        <f t="shared" si="34"/>
        <v>141885.90000000002</v>
      </c>
      <c r="X54" s="1462"/>
      <c r="Y54" s="1461">
        <f t="shared" si="35"/>
        <v>0</v>
      </c>
      <c r="Z54" s="1461"/>
      <c r="AA54" s="1461">
        <f t="shared" si="36"/>
        <v>0</v>
      </c>
      <c r="AB54" s="1597">
        <f t="shared" si="37"/>
        <v>0</v>
      </c>
      <c r="AC54" s="1592">
        <f t="shared" si="38"/>
        <v>141885.90000000002</v>
      </c>
      <c r="AD54" s="1461">
        <f t="shared" si="39"/>
        <v>-354.71475000000004</v>
      </c>
      <c r="AE54" s="1592">
        <f t="shared" si="40"/>
        <v>141531.18525000001</v>
      </c>
      <c r="AF54" s="1460">
        <v>0</v>
      </c>
      <c r="AG54" s="1592">
        <f t="shared" si="41"/>
        <v>141531.18525000001</v>
      </c>
      <c r="AH54" s="1461"/>
      <c r="AI54" s="1461">
        <f t="shared" si="42"/>
        <v>141531.18525000001</v>
      </c>
      <c r="AJ54" s="1592">
        <f t="shared" si="43"/>
        <v>11794</v>
      </c>
      <c r="AK54" s="1601">
        <f t="shared" si="21"/>
        <v>472052.34769885743</v>
      </c>
      <c r="AL54" s="1601">
        <f t="shared" si="44"/>
        <v>39337</v>
      </c>
    </row>
    <row r="55" spans="1:38" s="317" customFormat="1" ht="16.2" customHeight="1">
      <c r="A55" s="1433">
        <v>50</v>
      </c>
      <c r="B55" s="1434" t="s">
        <v>129</v>
      </c>
      <c r="C55" s="1440">
        <f>+'Table 8 Membership 2.1.14'!J52</f>
        <v>24</v>
      </c>
      <c r="D55" s="1441">
        <f>'Table 3 Levels 1&amp;2'!AL53*90%</f>
        <v>4659.9203450431514</v>
      </c>
      <c r="E55" s="1441">
        <f t="shared" si="24"/>
        <v>111838.08828103563</v>
      </c>
      <c r="F55" s="906">
        <f>'Table 3A Level 3'!C55*90%</f>
        <v>571.01400000000001</v>
      </c>
      <c r="G55" s="906">
        <f t="shared" si="25"/>
        <v>13704.335999999999</v>
      </c>
      <c r="H55" s="1573">
        <f t="shared" si="26"/>
        <v>125542.42428103562</v>
      </c>
      <c r="I55" s="906">
        <f>(('Table 3 Levels 1&amp;2'!AL53-D55)+('Table 3A Level 3'!C55-F55))*C55</f>
        <v>13949.158253448393</v>
      </c>
      <c r="J55" s="906"/>
      <c r="K55" s="906"/>
      <c r="L55" s="1577">
        <f t="shared" si="27"/>
        <v>0</v>
      </c>
      <c r="M55" s="1573">
        <f t="shared" si="28"/>
        <v>125542.42428103562</v>
      </c>
      <c r="N55" s="906">
        <f t="shared" si="29"/>
        <v>-313.85606070258905</v>
      </c>
      <c r="O55" s="1573">
        <f t="shared" si="30"/>
        <v>125228.56822033304</v>
      </c>
      <c r="P55" s="1442">
        <v>0</v>
      </c>
      <c r="Q55" s="1573">
        <f t="shared" si="31"/>
        <v>125228.56822033304</v>
      </c>
      <c r="R55" s="906"/>
      <c r="S55" s="906">
        <f t="shared" si="32"/>
        <v>125228.56822033304</v>
      </c>
      <c r="T55" s="1573">
        <f t="shared" si="33"/>
        <v>10436</v>
      </c>
      <c r="U55" s="1573">
        <f t="shared" si="23"/>
        <v>125228.56822033304</v>
      </c>
      <c r="V55" s="1443">
        <f>'Table 5C1A-Madison Prep'!U56*90%</f>
        <v>3159</v>
      </c>
      <c r="W55" s="1593">
        <f t="shared" si="34"/>
        <v>75816</v>
      </c>
      <c r="X55" s="1444"/>
      <c r="Y55" s="907">
        <f t="shared" si="35"/>
        <v>0</v>
      </c>
      <c r="Z55" s="907"/>
      <c r="AA55" s="907">
        <f t="shared" si="36"/>
        <v>0</v>
      </c>
      <c r="AB55" s="1598">
        <f t="shared" si="37"/>
        <v>0</v>
      </c>
      <c r="AC55" s="1593">
        <f t="shared" si="38"/>
        <v>75816</v>
      </c>
      <c r="AD55" s="907">
        <f t="shared" si="39"/>
        <v>-189.54</v>
      </c>
      <c r="AE55" s="1593">
        <f t="shared" si="40"/>
        <v>75626.460000000006</v>
      </c>
      <c r="AF55" s="1443">
        <v>0</v>
      </c>
      <c r="AG55" s="1593">
        <f t="shared" si="41"/>
        <v>75626.460000000006</v>
      </c>
      <c r="AH55" s="907"/>
      <c r="AI55" s="907">
        <f t="shared" si="42"/>
        <v>75626.460000000006</v>
      </c>
      <c r="AJ55" s="1593">
        <f t="shared" si="43"/>
        <v>6302</v>
      </c>
      <c r="AK55" s="1602">
        <f t="shared" si="21"/>
        <v>200855.02822033304</v>
      </c>
      <c r="AL55" s="1602">
        <f t="shared" si="44"/>
        <v>16738</v>
      </c>
    </row>
    <row r="56" spans="1:38" s="317" customFormat="1" ht="16.2" customHeight="1">
      <c r="A56" s="1445">
        <v>51</v>
      </c>
      <c r="B56" s="1446" t="s">
        <v>130</v>
      </c>
      <c r="C56" s="1447">
        <f>+'Table 8 Membership 2.1.14'!J53</f>
        <v>18</v>
      </c>
      <c r="D56" s="1448">
        <f>'Table 3 Levels 1&amp;2'!AL54*90%</f>
        <v>3738.7735741961096</v>
      </c>
      <c r="E56" s="1448">
        <f t="shared" si="24"/>
        <v>67297.92433552997</v>
      </c>
      <c r="F56" s="1449">
        <f>'Table 3A Level 3'!C56*90%</f>
        <v>635.99400000000003</v>
      </c>
      <c r="G56" s="1449">
        <f t="shared" si="25"/>
        <v>11447.892</v>
      </c>
      <c r="H56" s="1571">
        <f t="shared" si="26"/>
        <v>78745.816335529962</v>
      </c>
      <c r="I56" s="1449">
        <f>(('Table 3 Levels 1&amp;2'!AL54-D56)+('Table 3A Level 3'!C56-F56))*C56</f>
        <v>8749.5351483922186</v>
      </c>
      <c r="J56" s="1449"/>
      <c r="K56" s="1449"/>
      <c r="L56" s="1575">
        <f t="shared" si="27"/>
        <v>0</v>
      </c>
      <c r="M56" s="1571">
        <f t="shared" si="28"/>
        <v>78745.816335529962</v>
      </c>
      <c r="N56" s="1449">
        <f t="shared" si="29"/>
        <v>-196.86454083882492</v>
      </c>
      <c r="O56" s="1571">
        <f t="shared" si="30"/>
        <v>78548.951794691136</v>
      </c>
      <c r="P56" s="1450">
        <v>0</v>
      </c>
      <c r="Q56" s="1571">
        <f t="shared" si="31"/>
        <v>78548.951794691136</v>
      </c>
      <c r="R56" s="1449"/>
      <c r="S56" s="1449">
        <f t="shared" si="32"/>
        <v>78548.951794691136</v>
      </c>
      <c r="T56" s="1571">
        <f t="shared" si="33"/>
        <v>6546</v>
      </c>
      <c r="U56" s="1571">
        <f t="shared" si="23"/>
        <v>78548.951794691136</v>
      </c>
      <c r="V56" s="1451">
        <f>'Table 5C1A-Madison Prep'!U57*90%</f>
        <v>4137.3</v>
      </c>
      <c r="W56" s="1591">
        <f t="shared" si="34"/>
        <v>74471.400000000009</v>
      </c>
      <c r="X56" s="1453"/>
      <c r="Y56" s="1452">
        <f t="shared" si="35"/>
        <v>0</v>
      </c>
      <c r="Z56" s="1452"/>
      <c r="AA56" s="1452">
        <f t="shared" si="36"/>
        <v>0</v>
      </c>
      <c r="AB56" s="1596">
        <f t="shared" si="37"/>
        <v>0</v>
      </c>
      <c r="AC56" s="1591">
        <f t="shared" si="38"/>
        <v>74471.400000000009</v>
      </c>
      <c r="AD56" s="1452">
        <f t="shared" si="39"/>
        <v>-186.17850000000001</v>
      </c>
      <c r="AE56" s="1591">
        <f t="shared" si="40"/>
        <v>74285.221500000014</v>
      </c>
      <c r="AF56" s="1451">
        <v>0</v>
      </c>
      <c r="AG56" s="1591">
        <f t="shared" si="41"/>
        <v>74285.221500000014</v>
      </c>
      <c r="AH56" s="1452"/>
      <c r="AI56" s="1452">
        <f t="shared" si="42"/>
        <v>74285.221500000014</v>
      </c>
      <c r="AJ56" s="1591">
        <f t="shared" si="43"/>
        <v>6190</v>
      </c>
      <c r="AK56" s="1600">
        <f t="shared" si="21"/>
        <v>152834.17329469114</v>
      </c>
      <c r="AL56" s="1600">
        <f t="shared" si="44"/>
        <v>12736</v>
      </c>
    </row>
    <row r="57" spans="1:38" s="317" customFormat="1" ht="16.2" customHeight="1">
      <c r="A57" s="1454">
        <v>52</v>
      </c>
      <c r="B57" s="1455" t="s">
        <v>131</v>
      </c>
      <c r="C57" s="1456">
        <f>+'Table 8 Membership 2.1.14'!J54</f>
        <v>97</v>
      </c>
      <c r="D57" s="1457">
        <f>'Table 3 Levels 1&amp;2'!AL55*90%</f>
        <v>4556.0471260705353</v>
      </c>
      <c r="E57" s="1457">
        <f t="shared" si="24"/>
        <v>441936.5712288419</v>
      </c>
      <c r="F57" s="1458">
        <f>'Table 3A Level 3'!C57*90%</f>
        <v>592.53300000000002</v>
      </c>
      <c r="G57" s="1458">
        <f t="shared" si="25"/>
        <v>57475.701000000001</v>
      </c>
      <c r="H57" s="1572">
        <f t="shared" si="26"/>
        <v>499412.2722288419</v>
      </c>
      <c r="I57" s="1458">
        <f>(('Table 3 Levels 1&amp;2'!AL55-D57)+('Table 3A Level 3'!C57-F57))*C57</f>
        <v>55490.252469871353</v>
      </c>
      <c r="J57" s="1458"/>
      <c r="K57" s="1458"/>
      <c r="L57" s="1576">
        <f t="shared" si="27"/>
        <v>0</v>
      </c>
      <c r="M57" s="1572">
        <f t="shared" si="28"/>
        <v>499412.2722288419</v>
      </c>
      <c r="N57" s="1458">
        <f t="shared" si="29"/>
        <v>-1248.5306805721048</v>
      </c>
      <c r="O57" s="1572">
        <f t="shared" si="30"/>
        <v>498163.74154826981</v>
      </c>
      <c r="P57" s="1459">
        <v>-1825.915311891375</v>
      </c>
      <c r="Q57" s="1572">
        <f t="shared" si="31"/>
        <v>496337.82623637846</v>
      </c>
      <c r="R57" s="1458"/>
      <c r="S57" s="1458">
        <f t="shared" si="32"/>
        <v>496337.82623637846</v>
      </c>
      <c r="T57" s="1572">
        <f t="shared" si="33"/>
        <v>41361</v>
      </c>
      <c r="U57" s="1572">
        <f t="shared" si="23"/>
        <v>496337.82623637846</v>
      </c>
      <c r="V57" s="1460">
        <f>'Table 5C1A-Madison Prep'!U58*90%</f>
        <v>4690.8</v>
      </c>
      <c r="W57" s="1592">
        <f t="shared" si="34"/>
        <v>455007.60000000003</v>
      </c>
      <c r="X57" s="1462"/>
      <c r="Y57" s="1461">
        <f t="shared" si="35"/>
        <v>0</v>
      </c>
      <c r="Z57" s="1461"/>
      <c r="AA57" s="1461">
        <f t="shared" si="36"/>
        <v>0</v>
      </c>
      <c r="AB57" s="1597">
        <f t="shared" si="37"/>
        <v>0</v>
      </c>
      <c r="AC57" s="1592">
        <f t="shared" si="38"/>
        <v>455007.60000000003</v>
      </c>
      <c r="AD57" s="1461">
        <f t="shared" si="39"/>
        <v>-1137.519</v>
      </c>
      <c r="AE57" s="1592">
        <f t="shared" si="40"/>
        <v>453870.08100000006</v>
      </c>
      <c r="AF57" s="1460">
        <v>0</v>
      </c>
      <c r="AG57" s="1592">
        <f t="shared" si="41"/>
        <v>453870.08100000006</v>
      </c>
      <c r="AH57" s="1461"/>
      <c r="AI57" s="1461">
        <f t="shared" si="42"/>
        <v>453870.08100000006</v>
      </c>
      <c r="AJ57" s="1592">
        <f t="shared" si="43"/>
        <v>37823</v>
      </c>
      <c r="AK57" s="1601">
        <f t="shared" si="21"/>
        <v>950207.90723637852</v>
      </c>
      <c r="AL57" s="1601">
        <f t="shared" si="44"/>
        <v>79184</v>
      </c>
    </row>
    <row r="58" spans="1:38" s="317" customFormat="1" ht="16.2" customHeight="1">
      <c r="A58" s="1454">
        <v>53</v>
      </c>
      <c r="B58" s="1455" t="s">
        <v>132</v>
      </c>
      <c r="C58" s="1456">
        <f>+'Table 8 Membership 2.1.14'!J55</f>
        <v>103</v>
      </c>
      <c r="D58" s="1457">
        <f>'Table 3 Levels 1&amp;2'!AL56*90%</f>
        <v>4554.1357374640938</v>
      </c>
      <c r="E58" s="1457">
        <f t="shared" si="24"/>
        <v>469075.98095880169</v>
      </c>
      <c r="F58" s="1458">
        <f>'Table 3A Level 3'!C58*90%</f>
        <v>620.76600000000008</v>
      </c>
      <c r="G58" s="1458">
        <f t="shared" si="25"/>
        <v>63938.898000000008</v>
      </c>
      <c r="H58" s="1572">
        <f t="shared" si="26"/>
        <v>533014.87895880174</v>
      </c>
      <c r="I58" s="1458">
        <f>(('Table 3 Levels 1&amp;2'!AL56-D58)+('Table 3A Level 3'!C58-F58))*C58</f>
        <v>59223.875439866795</v>
      </c>
      <c r="J58" s="1458"/>
      <c r="K58" s="1458"/>
      <c r="L58" s="1576">
        <f t="shared" si="27"/>
        <v>0</v>
      </c>
      <c r="M58" s="1572">
        <f t="shared" si="28"/>
        <v>533014.87895880174</v>
      </c>
      <c r="N58" s="1458">
        <f t="shared" si="29"/>
        <v>-1332.5371973970043</v>
      </c>
      <c r="O58" s="1572">
        <f t="shared" si="30"/>
        <v>531682.34176140476</v>
      </c>
      <c r="P58" s="1459">
        <v>0</v>
      </c>
      <c r="Q58" s="1572">
        <f t="shared" si="31"/>
        <v>531682.34176140476</v>
      </c>
      <c r="R58" s="1458"/>
      <c r="S58" s="1458">
        <f t="shared" si="32"/>
        <v>531682.34176140476</v>
      </c>
      <c r="T58" s="1572">
        <f t="shared" si="33"/>
        <v>44307</v>
      </c>
      <c r="U58" s="1572">
        <f t="shared" si="23"/>
        <v>531682.34176140476</v>
      </c>
      <c r="V58" s="1460">
        <f>'Table 5C1A-Madison Prep'!U59*90%</f>
        <v>1848.6000000000001</v>
      </c>
      <c r="W58" s="1592">
        <f t="shared" si="34"/>
        <v>190405.80000000002</v>
      </c>
      <c r="X58" s="1462"/>
      <c r="Y58" s="1461">
        <f t="shared" si="35"/>
        <v>0</v>
      </c>
      <c r="Z58" s="1461"/>
      <c r="AA58" s="1461">
        <f t="shared" si="36"/>
        <v>0</v>
      </c>
      <c r="AB58" s="1597">
        <f t="shared" si="37"/>
        <v>0</v>
      </c>
      <c r="AC58" s="1592">
        <f t="shared" si="38"/>
        <v>190405.80000000002</v>
      </c>
      <c r="AD58" s="1461">
        <f t="shared" si="39"/>
        <v>-476.01450000000006</v>
      </c>
      <c r="AE58" s="1592">
        <f t="shared" si="40"/>
        <v>189929.78550000003</v>
      </c>
      <c r="AF58" s="1460">
        <v>0</v>
      </c>
      <c r="AG58" s="1592">
        <f t="shared" si="41"/>
        <v>189929.78550000003</v>
      </c>
      <c r="AH58" s="1461"/>
      <c r="AI58" s="1461">
        <f t="shared" si="42"/>
        <v>189929.78550000003</v>
      </c>
      <c r="AJ58" s="1592">
        <f t="shared" si="43"/>
        <v>15827</v>
      </c>
      <c r="AK58" s="1601">
        <f t="shared" si="21"/>
        <v>721612.12726140476</v>
      </c>
      <c r="AL58" s="1601">
        <f t="shared" si="44"/>
        <v>60134</v>
      </c>
    </row>
    <row r="59" spans="1:38" s="317" customFormat="1" ht="16.2" customHeight="1">
      <c r="A59" s="1454">
        <v>54</v>
      </c>
      <c r="B59" s="1455" t="s">
        <v>133</v>
      </c>
      <c r="C59" s="1456">
        <f>+'Table 8 Membership 2.1.14'!J56</f>
        <v>0</v>
      </c>
      <c r="D59" s="1457">
        <f>'Table 3 Levels 1&amp;2'!AL57*90%</f>
        <v>5280.3718533465044</v>
      </c>
      <c r="E59" s="1457">
        <f t="shared" si="24"/>
        <v>0</v>
      </c>
      <c r="F59" s="1458">
        <f>'Table 3A Level 3'!C59*90%</f>
        <v>856.30500000000006</v>
      </c>
      <c r="G59" s="1458">
        <f t="shared" si="25"/>
        <v>0</v>
      </c>
      <c r="H59" s="1572">
        <f t="shared" si="26"/>
        <v>0</v>
      </c>
      <c r="I59" s="1458">
        <f>(('Table 3 Levels 1&amp;2'!AL57-D59)+('Table 3A Level 3'!C59-F59))*C59</f>
        <v>0</v>
      </c>
      <c r="J59" s="1458"/>
      <c r="K59" s="1458"/>
      <c r="L59" s="1576">
        <f t="shared" si="27"/>
        <v>0</v>
      </c>
      <c r="M59" s="1572">
        <f t="shared" si="28"/>
        <v>0</v>
      </c>
      <c r="N59" s="1458">
        <f t="shared" si="29"/>
        <v>0</v>
      </c>
      <c r="O59" s="1572">
        <f t="shared" si="30"/>
        <v>0</v>
      </c>
      <c r="P59" s="1459">
        <v>0</v>
      </c>
      <c r="Q59" s="1572">
        <f t="shared" si="31"/>
        <v>0</v>
      </c>
      <c r="R59" s="1458"/>
      <c r="S59" s="1458">
        <f t="shared" si="32"/>
        <v>0</v>
      </c>
      <c r="T59" s="1572">
        <f t="shared" si="33"/>
        <v>0</v>
      </c>
      <c r="U59" s="1572">
        <f t="shared" si="23"/>
        <v>0</v>
      </c>
      <c r="V59" s="1460">
        <f>'Table 5C1A-Madison Prep'!U60*90%</f>
        <v>3704.4</v>
      </c>
      <c r="W59" s="1592">
        <f t="shared" si="34"/>
        <v>0</v>
      </c>
      <c r="X59" s="1462"/>
      <c r="Y59" s="1461">
        <f t="shared" si="35"/>
        <v>0</v>
      </c>
      <c r="Z59" s="1461"/>
      <c r="AA59" s="1461">
        <f t="shared" si="36"/>
        <v>0</v>
      </c>
      <c r="AB59" s="1597">
        <f t="shared" si="37"/>
        <v>0</v>
      </c>
      <c r="AC59" s="1592">
        <f t="shared" si="38"/>
        <v>0</v>
      </c>
      <c r="AD59" s="1461">
        <f t="shared" si="39"/>
        <v>0</v>
      </c>
      <c r="AE59" s="1592">
        <f t="shared" si="40"/>
        <v>0</v>
      </c>
      <c r="AF59" s="1460">
        <v>0</v>
      </c>
      <c r="AG59" s="1592">
        <f t="shared" si="41"/>
        <v>0</v>
      </c>
      <c r="AH59" s="1461"/>
      <c r="AI59" s="1461">
        <f t="shared" si="42"/>
        <v>0</v>
      </c>
      <c r="AJ59" s="1592">
        <f t="shared" si="43"/>
        <v>0</v>
      </c>
      <c r="AK59" s="1601">
        <f t="shared" si="21"/>
        <v>0</v>
      </c>
      <c r="AL59" s="1601">
        <f t="shared" si="44"/>
        <v>0</v>
      </c>
    </row>
    <row r="60" spans="1:38" s="317" customFormat="1" ht="16.2" customHeight="1">
      <c r="A60" s="1433">
        <v>55</v>
      </c>
      <c r="B60" s="1434" t="s">
        <v>134</v>
      </c>
      <c r="C60" s="1440">
        <f>+'Table 8 Membership 2.1.14'!J57</f>
        <v>37</v>
      </c>
      <c r="D60" s="1441">
        <f>'Table 3 Levels 1&amp;2'!AL58*90%</f>
        <v>3840.1402942168634</v>
      </c>
      <c r="E60" s="1441">
        <f t="shared" si="24"/>
        <v>142085.19088602395</v>
      </c>
      <c r="F60" s="906">
        <f>'Table 3A Level 3'!C60*90%</f>
        <v>715.62599999999998</v>
      </c>
      <c r="G60" s="906">
        <f t="shared" si="25"/>
        <v>26478.162</v>
      </c>
      <c r="H60" s="1573">
        <f t="shared" si="26"/>
        <v>168563.35288602396</v>
      </c>
      <c r="I60" s="906">
        <f>(('Table 3 Levels 1&amp;2'!AL58-D60)+('Table 3A Level 3'!C60-F60))*C60</f>
        <v>18729.261431780436</v>
      </c>
      <c r="J60" s="906"/>
      <c r="K60" s="906"/>
      <c r="L60" s="1577">
        <f t="shared" si="27"/>
        <v>0</v>
      </c>
      <c r="M60" s="1573">
        <f t="shared" si="28"/>
        <v>168563.35288602396</v>
      </c>
      <c r="N60" s="906">
        <f t="shared" si="29"/>
        <v>-421.40838221505993</v>
      </c>
      <c r="O60" s="1573">
        <f t="shared" si="30"/>
        <v>168141.94450380889</v>
      </c>
      <c r="P60" s="1442">
        <v>0</v>
      </c>
      <c r="Q60" s="1573">
        <f t="shared" si="31"/>
        <v>168141.94450380889</v>
      </c>
      <c r="R60" s="906"/>
      <c r="S60" s="906">
        <f t="shared" si="32"/>
        <v>168141.94450380889</v>
      </c>
      <c r="T60" s="1573">
        <f t="shared" si="33"/>
        <v>14012</v>
      </c>
      <c r="U60" s="1573">
        <f t="shared" si="23"/>
        <v>168141.94450380889</v>
      </c>
      <c r="V60" s="1443">
        <f>'Table 5C1A-Madison Prep'!U61*90%</f>
        <v>3178.8</v>
      </c>
      <c r="W60" s="1593">
        <f t="shared" si="34"/>
        <v>117615.6</v>
      </c>
      <c r="X60" s="1444"/>
      <c r="Y60" s="907">
        <f t="shared" si="35"/>
        <v>0</v>
      </c>
      <c r="Z60" s="907"/>
      <c r="AA60" s="907">
        <f t="shared" si="36"/>
        <v>0</v>
      </c>
      <c r="AB60" s="1598">
        <f t="shared" si="37"/>
        <v>0</v>
      </c>
      <c r="AC60" s="1593">
        <f t="shared" si="38"/>
        <v>117615.6</v>
      </c>
      <c r="AD60" s="907">
        <f t="shared" si="39"/>
        <v>-294.03900000000004</v>
      </c>
      <c r="AE60" s="1593">
        <f t="shared" si="40"/>
        <v>117321.561</v>
      </c>
      <c r="AF60" s="1443">
        <v>0</v>
      </c>
      <c r="AG60" s="1593">
        <f t="shared" si="41"/>
        <v>117321.561</v>
      </c>
      <c r="AH60" s="907"/>
      <c r="AI60" s="907">
        <f t="shared" si="42"/>
        <v>117321.561</v>
      </c>
      <c r="AJ60" s="1593">
        <f t="shared" si="43"/>
        <v>9777</v>
      </c>
      <c r="AK60" s="1602">
        <f t="shared" si="21"/>
        <v>285463.5055038089</v>
      </c>
      <c r="AL60" s="1602">
        <f t="shared" si="44"/>
        <v>23789</v>
      </c>
    </row>
    <row r="61" spans="1:38" s="317" customFormat="1" ht="16.2" customHeight="1">
      <c r="A61" s="1445">
        <v>56</v>
      </c>
      <c r="B61" s="1446" t="s">
        <v>135</v>
      </c>
      <c r="C61" s="1447">
        <f>+'Table 8 Membership 2.1.14'!J58</f>
        <v>6</v>
      </c>
      <c r="D61" s="1448">
        <f>'Table 3 Levels 1&amp;2'!AL59*90%</f>
        <v>4525.6418467459462</v>
      </c>
      <c r="E61" s="1448">
        <f t="shared" si="24"/>
        <v>27153.851080475677</v>
      </c>
      <c r="F61" s="1449">
        <f>'Table 3A Level 3'!C61*90%</f>
        <v>553.19400000000007</v>
      </c>
      <c r="G61" s="1449">
        <f t="shared" si="25"/>
        <v>3319.1640000000007</v>
      </c>
      <c r="H61" s="1571">
        <f t="shared" si="26"/>
        <v>30473.015080475678</v>
      </c>
      <c r="I61" s="1449">
        <f>(('Table 3 Levels 1&amp;2'!AL59-D61)+('Table 3A Level 3'!C61-F61))*C61</f>
        <v>3385.8905644972947</v>
      </c>
      <c r="J61" s="1449"/>
      <c r="K61" s="1449"/>
      <c r="L61" s="1575">
        <f t="shared" si="27"/>
        <v>0</v>
      </c>
      <c r="M61" s="1571">
        <f t="shared" si="28"/>
        <v>30473.015080475678</v>
      </c>
      <c r="N61" s="1449">
        <f t="shared" si="29"/>
        <v>-76.18253770118919</v>
      </c>
      <c r="O61" s="1571">
        <f t="shared" si="30"/>
        <v>30396.832542774489</v>
      </c>
      <c r="P61" s="1450">
        <v>0</v>
      </c>
      <c r="Q61" s="1571">
        <f t="shared" si="31"/>
        <v>30396.832542774489</v>
      </c>
      <c r="R61" s="1449"/>
      <c r="S61" s="1449">
        <f t="shared" si="32"/>
        <v>30396.832542774489</v>
      </c>
      <c r="T61" s="1571">
        <f t="shared" si="33"/>
        <v>2533</v>
      </c>
      <c r="U61" s="1571">
        <f t="shared" si="23"/>
        <v>30396.832542774489</v>
      </c>
      <c r="V61" s="1451">
        <f>'Table 5C1A-Madison Prep'!U62*90%</f>
        <v>2578.5</v>
      </c>
      <c r="W61" s="1591">
        <f t="shared" si="34"/>
        <v>15471</v>
      </c>
      <c r="X61" s="1453"/>
      <c r="Y61" s="1452">
        <f t="shared" si="35"/>
        <v>0</v>
      </c>
      <c r="Z61" s="1452"/>
      <c r="AA61" s="1452">
        <f t="shared" si="36"/>
        <v>0</v>
      </c>
      <c r="AB61" s="1596">
        <f t="shared" si="37"/>
        <v>0</v>
      </c>
      <c r="AC61" s="1591">
        <f t="shared" si="38"/>
        <v>15471</v>
      </c>
      <c r="AD61" s="1452">
        <f t="shared" si="39"/>
        <v>-38.677500000000002</v>
      </c>
      <c r="AE61" s="1591">
        <f t="shared" si="40"/>
        <v>15432.3225</v>
      </c>
      <c r="AF61" s="1451">
        <v>0</v>
      </c>
      <c r="AG61" s="1591">
        <f t="shared" si="41"/>
        <v>15432.3225</v>
      </c>
      <c r="AH61" s="1452"/>
      <c r="AI61" s="1452">
        <f t="shared" si="42"/>
        <v>15432.3225</v>
      </c>
      <c r="AJ61" s="1591">
        <f t="shared" si="43"/>
        <v>1286</v>
      </c>
      <c r="AK61" s="1600">
        <f t="shared" si="21"/>
        <v>45829.155042774488</v>
      </c>
      <c r="AL61" s="1600">
        <f t="shared" si="44"/>
        <v>3819</v>
      </c>
    </row>
    <row r="62" spans="1:38" s="317" customFormat="1" ht="16.2" customHeight="1">
      <c r="A62" s="1454">
        <v>57</v>
      </c>
      <c r="B62" s="1455" t="s">
        <v>136</v>
      </c>
      <c r="C62" s="1456">
        <f>+'Table 8 Membership 2.1.14'!J59</f>
        <v>23</v>
      </c>
      <c r="D62" s="1457">
        <f>'Table 3 Levels 1&amp;2'!AL60*90%</f>
        <v>4163.393068130762</v>
      </c>
      <c r="E62" s="1457">
        <f t="shared" si="24"/>
        <v>95758.040567007527</v>
      </c>
      <c r="F62" s="1458">
        <f>'Table 3A Level 3'!C62*90%</f>
        <v>688.05899999999997</v>
      </c>
      <c r="G62" s="1458">
        <f t="shared" si="25"/>
        <v>15825.357</v>
      </c>
      <c r="H62" s="1572">
        <f t="shared" si="26"/>
        <v>111583.39756700753</v>
      </c>
      <c r="I62" s="1458">
        <f>(('Table 3 Levels 1&amp;2'!AL60-D62)+('Table 3A Level 3'!C62-F62))*C62</f>
        <v>12398.155285223054</v>
      </c>
      <c r="J62" s="1458"/>
      <c r="K62" s="1458"/>
      <c r="L62" s="1576">
        <f t="shared" si="27"/>
        <v>0</v>
      </c>
      <c r="M62" s="1572">
        <f t="shared" si="28"/>
        <v>111583.39756700753</v>
      </c>
      <c r="N62" s="1458">
        <f t="shared" si="29"/>
        <v>-278.95849391751881</v>
      </c>
      <c r="O62" s="1572">
        <f t="shared" si="30"/>
        <v>111304.43907309</v>
      </c>
      <c r="P62" s="1459">
        <v>0</v>
      </c>
      <c r="Q62" s="1572">
        <f t="shared" si="31"/>
        <v>111304.43907309</v>
      </c>
      <c r="R62" s="1458"/>
      <c r="S62" s="1458">
        <f t="shared" si="32"/>
        <v>111304.43907309</v>
      </c>
      <c r="T62" s="1572">
        <f t="shared" si="33"/>
        <v>9275</v>
      </c>
      <c r="U62" s="1572">
        <f t="shared" si="23"/>
        <v>111304.43907309</v>
      </c>
      <c r="V62" s="1460">
        <f>'Table 5C1A-Madison Prep'!U63*90%</f>
        <v>3055.5</v>
      </c>
      <c r="W62" s="1592">
        <f t="shared" si="34"/>
        <v>70276.5</v>
      </c>
      <c r="X62" s="1462"/>
      <c r="Y62" s="1461">
        <f t="shared" si="35"/>
        <v>0</v>
      </c>
      <c r="Z62" s="1461"/>
      <c r="AA62" s="1461">
        <f t="shared" si="36"/>
        <v>0</v>
      </c>
      <c r="AB62" s="1597">
        <f t="shared" si="37"/>
        <v>0</v>
      </c>
      <c r="AC62" s="1592">
        <f t="shared" si="38"/>
        <v>70276.5</v>
      </c>
      <c r="AD62" s="1461">
        <f t="shared" si="39"/>
        <v>-175.69125</v>
      </c>
      <c r="AE62" s="1592">
        <f t="shared" si="40"/>
        <v>70100.808749999997</v>
      </c>
      <c r="AF62" s="1460">
        <v>0</v>
      </c>
      <c r="AG62" s="1592">
        <f t="shared" si="41"/>
        <v>70100.808749999997</v>
      </c>
      <c r="AH62" s="1461"/>
      <c r="AI62" s="1461">
        <f t="shared" si="42"/>
        <v>70100.808749999997</v>
      </c>
      <c r="AJ62" s="1592">
        <f t="shared" si="43"/>
        <v>5842</v>
      </c>
      <c r="AK62" s="1601">
        <f t="shared" si="21"/>
        <v>181405.24782309</v>
      </c>
      <c r="AL62" s="1601">
        <f t="shared" si="44"/>
        <v>15117</v>
      </c>
    </row>
    <row r="63" spans="1:38" s="317" customFormat="1" ht="16.2" customHeight="1">
      <c r="A63" s="1454">
        <v>58</v>
      </c>
      <c r="B63" s="1455" t="s">
        <v>137</v>
      </c>
      <c r="C63" s="1456">
        <f>+'Table 8 Membership 2.1.14'!J60</f>
        <v>52</v>
      </c>
      <c r="D63" s="1457">
        <f>'Table 3 Levels 1&amp;2'!AL61*90%</f>
        <v>5105.8016674093915</v>
      </c>
      <c r="E63" s="1457">
        <f t="shared" si="24"/>
        <v>265501.68670528836</v>
      </c>
      <c r="F63" s="1458">
        <f>'Table 3A Level 3'!C63*90%</f>
        <v>627.33600000000001</v>
      </c>
      <c r="G63" s="1458">
        <f t="shared" si="25"/>
        <v>32621.472000000002</v>
      </c>
      <c r="H63" s="1572">
        <f t="shared" si="26"/>
        <v>298123.15870528837</v>
      </c>
      <c r="I63" s="1458">
        <f>(('Table 3 Levels 1&amp;2'!AL61-D63)+('Table 3A Level 3'!C63-F63))*C63</f>
        <v>33124.79541169868</v>
      </c>
      <c r="J63" s="1458"/>
      <c r="K63" s="1458"/>
      <c r="L63" s="1576">
        <f t="shared" si="27"/>
        <v>0</v>
      </c>
      <c r="M63" s="1572">
        <f t="shared" si="28"/>
        <v>298123.15870528837</v>
      </c>
      <c r="N63" s="1458">
        <f t="shared" si="29"/>
        <v>-745.30789676322092</v>
      </c>
      <c r="O63" s="1572">
        <f t="shared" si="30"/>
        <v>297377.85080852517</v>
      </c>
      <c r="P63" s="1459">
        <v>0</v>
      </c>
      <c r="Q63" s="1572">
        <f t="shared" si="31"/>
        <v>297377.85080852517</v>
      </c>
      <c r="R63" s="1458"/>
      <c r="S63" s="1458">
        <f t="shared" si="32"/>
        <v>297377.85080852517</v>
      </c>
      <c r="T63" s="1572">
        <f t="shared" si="33"/>
        <v>24781</v>
      </c>
      <c r="U63" s="1572">
        <f t="shared" si="23"/>
        <v>297377.85080852517</v>
      </c>
      <c r="V63" s="1460">
        <f>'Table 5C1A-Madison Prep'!U64*90%</f>
        <v>1875.6000000000001</v>
      </c>
      <c r="W63" s="1592">
        <f t="shared" si="34"/>
        <v>97531.200000000012</v>
      </c>
      <c r="X63" s="1462"/>
      <c r="Y63" s="1461">
        <f t="shared" si="35"/>
        <v>0</v>
      </c>
      <c r="Z63" s="1461"/>
      <c r="AA63" s="1461">
        <f t="shared" si="36"/>
        <v>0</v>
      </c>
      <c r="AB63" s="1597">
        <f t="shared" si="37"/>
        <v>0</v>
      </c>
      <c r="AC63" s="1592">
        <f t="shared" si="38"/>
        <v>97531.200000000012</v>
      </c>
      <c r="AD63" s="1461">
        <f t="shared" si="39"/>
        <v>-243.82800000000003</v>
      </c>
      <c r="AE63" s="1592">
        <f t="shared" si="40"/>
        <v>97287.372000000018</v>
      </c>
      <c r="AF63" s="1460">
        <v>0</v>
      </c>
      <c r="AG63" s="1592">
        <f t="shared" si="41"/>
        <v>97287.372000000018</v>
      </c>
      <c r="AH63" s="1461"/>
      <c r="AI63" s="1461">
        <f t="shared" si="42"/>
        <v>97287.372000000018</v>
      </c>
      <c r="AJ63" s="1592">
        <f t="shared" si="43"/>
        <v>8107</v>
      </c>
      <c r="AK63" s="1601">
        <f t="shared" si="21"/>
        <v>394665.2228085252</v>
      </c>
      <c r="AL63" s="1601">
        <f t="shared" si="44"/>
        <v>32888</v>
      </c>
    </row>
    <row r="64" spans="1:38" s="317" customFormat="1" ht="16.2" customHeight="1">
      <c r="A64" s="1454">
        <v>59</v>
      </c>
      <c r="B64" s="1455" t="s">
        <v>138</v>
      </c>
      <c r="C64" s="1456">
        <f>+'Table 8 Membership 2.1.14'!J61</f>
        <v>24</v>
      </c>
      <c r="D64" s="1457">
        <f>'Table 3 Levels 1&amp;2'!AL62*90%</f>
        <v>5959.7516641696629</v>
      </c>
      <c r="E64" s="1457">
        <f t="shared" si="24"/>
        <v>143034.0399400719</v>
      </c>
      <c r="F64" s="1458">
        <f>'Table 3A Level 3'!C64*90%</f>
        <v>620.56799999999998</v>
      </c>
      <c r="G64" s="1458">
        <f t="shared" si="25"/>
        <v>14893.632</v>
      </c>
      <c r="H64" s="1572">
        <f t="shared" si="26"/>
        <v>157927.67194007192</v>
      </c>
      <c r="I64" s="1458">
        <f>(('Table 3 Levels 1&amp;2'!AL62-D64)+('Table 3A Level 3'!C64-F64))*C64</f>
        <v>17547.51910445244</v>
      </c>
      <c r="J64" s="1458"/>
      <c r="K64" s="1458"/>
      <c r="L64" s="1576">
        <f t="shared" si="27"/>
        <v>0</v>
      </c>
      <c r="M64" s="1572">
        <f t="shared" si="28"/>
        <v>157927.67194007192</v>
      </c>
      <c r="N64" s="1458">
        <f t="shared" si="29"/>
        <v>-394.81917985017981</v>
      </c>
      <c r="O64" s="1572">
        <f t="shared" si="30"/>
        <v>157532.85276022172</v>
      </c>
      <c r="P64" s="1459">
        <v>0</v>
      </c>
      <c r="Q64" s="1572">
        <f t="shared" si="31"/>
        <v>157532.85276022172</v>
      </c>
      <c r="R64" s="1458"/>
      <c r="S64" s="1458">
        <f t="shared" si="32"/>
        <v>157532.85276022172</v>
      </c>
      <c r="T64" s="1572">
        <f t="shared" si="33"/>
        <v>13128</v>
      </c>
      <c r="U64" s="1572">
        <f t="shared" si="23"/>
        <v>157532.85276022172</v>
      </c>
      <c r="V64" s="1460">
        <f>'Table 5C1A-Madison Prep'!U65*90%</f>
        <v>1419.3</v>
      </c>
      <c r="W64" s="1592">
        <f t="shared" si="34"/>
        <v>34063.199999999997</v>
      </c>
      <c r="X64" s="1462"/>
      <c r="Y64" s="1461">
        <f t="shared" si="35"/>
        <v>0</v>
      </c>
      <c r="Z64" s="1461"/>
      <c r="AA64" s="1461">
        <f t="shared" si="36"/>
        <v>0</v>
      </c>
      <c r="AB64" s="1597">
        <f t="shared" si="37"/>
        <v>0</v>
      </c>
      <c r="AC64" s="1592">
        <f t="shared" si="38"/>
        <v>34063.199999999997</v>
      </c>
      <c r="AD64" s="1461">
        <f t="shared" si="39"/>
        <v>-85.158000000000001</v>
      </c>
      <c r="AE64" s="1592">
        <f t="shared" si="40"/>
        <v>33978.041999999994</v>
      </c>
      <c r="AF64" s="1460">
        <v>0</v>
      </c>
      <c r="AG64" s="1592">
        <f t="shared" si="41"/>
        <v>33978.041999999994</v>
      </c>
      <c r="AH64" s="1461"/>
      <c r="AI64" s="1461">
        <f t="shared" si="42"/>
        <v>33978.041999999994</v>
      </c>
      <c r="AJ64" s="1592">
        <f t="shared" si="43"/>
        <v>2832</v>
      </c>
      <c r="AK64" s="1601">
        <f t="shared" si="21"/>
        <v>191510.89476022171</v>
      </c>
      <c r="AL64" s="1601">
        <f t="shared" si="44"/>
        <v>15960</v>
      </c>
    </row>
    <row r="65" spans="1:38" s="317" customFormat="1" ht="16.2" customHeight="1">
      <c r="A65" s="1433">
        <v>60</v>
      </c>
      <c r="B65" s="1434" t="s">
        <v>139</v>
      </c>
      <c r="C65" s="1440">
        <f>+'Table 8 Membership 2.1.14'!J62</f>
        <v>14</v>
      </c>
      <c r="D65" s="1441">
        <f>'Table 3 Levels 1&amp;2'!AL63*90%</f>
        <v>4771.1016810574456</v>
      </c>
      <c r="E65" s="1441">
        <f t="shared" si="24"/>
        <v>66795.423534804242</v>
      </c>
      <c r="F65" s="906">
        <f>'Table 3A Level 3'!C65*90%</f>
        <v>534.63599999999997</v>
      </c>
      <c r="G65" s="906">
        <f t="shared" si="25"/>
        <v>7484.9039999999995</v>
      </c>
      <c r="H65" s="1573">
        <f t="shared" si="26"/>
        <v>74280.327534804237</v>
      </c>
      <c r="I65" s="906">
        <f>(('Table 3 Levels 1&amp;2'!AL63-D65)+('Table 3A Level 3'!C65-F65))*C65</f>
        <v>8253.3697260893532</v>
      </c>
      <c r="J65" s="906"/>
      <c r="K65" s="906"/>
      <c r="L65" s="1577">
        <f t="shared" si="27"/>
        <v>0</v>
      </c>
      <c r="M65" s="1573">
        <f t="shared" si="28"/>
        <v>74280.327534804237</v>
      </c>
      <c r="N65" s="906">
        <f t="shared" si="29"/>
        <v>-185.70081883701059</v>
      </c>
      <c r="O65" s="1573">
        <f t="shared" si="30"/>
        <v>74094.626715967228</v>
      </c>
      <c r="P65" s="1442">
        <v>0</v>
      </c>
      <c r="Q65" s="1573">
        <f t="shared" si="31"/>
        <v>74094.626715967228</v>
      </c>
      <c r="R65" s="906"/>
      <c r="S65" s="906">
        <f t="shared" si="32"/>
        <v>74094.626715967228</v>
      </c>
      <c r="T65" s="1573">
        <f t="shared" si="33"/>
        <v>6175</v>
      </c>
      <c r="U65" s="1573">
        <f t="shared" si="23"/>
        <v>74094.626715967228</v>
      </c>
      <c r="V65" s="1443">
        <f>'Table 5C1A-Madison Prep'!U66*90%</f>
        <v>3529.8</v>
      </c>
      <c r="W65" s="1593">
        <f t="shared" si="34"/>
        <v>49417.200000000004</v>
      </c>
      <c r="X65" s="1444"/>
      <c r="Y65" s="907">
        <f t="shared" si="35"/>
        <v>0</v>
      </c>
      <c r="Z65" s="907"/>
      <c r="AA65" s="907">
        <f t="shared" si="36"/>
        <v>0</v>
      </c>
      <c r="AB65" s="1598">
        <f t="shared" si="37"/>
        <v>0</v>
      </c>
      <c r="AC65" s="1593">
        <f t="shared" si="38"/>
        <v>49417.200000000004</v>
      </c>
      <c r="AD65" s="907">
        <f t="shared" si="39"/>
        <v>-123.54300000000002</v>
      </c>
      <c r="AE65" s="1593">
        <f t="shared" si="40"/>
        <v>49293.657000000007</v>
      </c>
      <c r="AF65" s="1443">
        <v>0</v>
      </c>
      <c r="AG65" s="1593">
        <f t="shared" si="41"/>
        <v>49293.657000000007</v>
      </c>
      <c r="AH65" s="907"/>
      <c r="AI65" s="907">
        <f t="shared" si="42"/>
        <v>49293.657000000007</v>
      </c>
      <c r="AJ65" s="1593">
        <f t="shared" si="43"/>
        <v>4108</v>
      </c>
      <c r="AK65" s="1602">
        <f t="shared" si="21"/>
        <v>123388.28371596723</v>
      </c>
      <c r="AL65" s="1602">
        <f t="shared" si="44"/>
        <v>10283</v>
      </c>
    </row>
    <row r="66" spans="1:38" s="317" customFormat="1" ht="16.2" customHeight="1">
      <c r="A66" s="1445">
        <v>61</v>
      </c>
      <c r="B66" s="1446" t="s">
        <v>140</v>
      </c>
      <c r="C66" s="1447">
        <f>+'Table 8 Membership 2.1.14'!J63</f>
        <v>6</v>
      </c>
      <c r="D66" s="1448">
        <f>'Table 3 Levels 1&amp;2'!AL64*90%</f>
        <v>2568.7417820732267</v>
      </c>
      <c r="E66" s="1448">
        <f t="shared" si="24"/>
        <v>15412.450692439361</v>
      </c>
      <c r="F66" s="1449">
        <f>'Table 3A Level 3'!C66*90%</f>
        <v>750.33899999999994</v>
      </c>
      <c r="G66" s="1449">
        <f t="shared" si="25"/>
        <v>4502.0339999999997</v>
      </c>
      <c r="H66" s="1571">
        <f t="shared" si="26"/>
        <v>19914.484692439361</v>
      </c>
      <c r="I66" s="1449">
        <f>(('Table 3 Levels 1&amp;2'!AL64-D66)+('Table 3A Level 3'!C66-F66))*C66</f>
        <v>2212.7205213821508</v>
      </c>
      <c r="J66" s="1449"/>
      <c r="K66" s="1449"/>
      <c r="L66" s="1575">
        <f t="shared" si="27"/>
        <v>0</v>
      </c>
      <c r="M66" s="1571">
        <f t="shared" si="28"/>
        <v>19914.484692439361</v>
      </c>
      <c r="N66" s="1449">
        <f t="shared" si="29"/>
        <v>-49.786211731098405</v>
      </c>
      <c r="O66" s="1571">
        <f t="shared" si="30"/>
        <v>19864.698480708263</v>
      </c>
      <c r="P66" s="1450">
        <v>0</v>
      </c>
      <c r="Q66" s="1571">
        <f t="shared" si="31"/>
        <v>19864.698480708263</v>
      </c>
      <c r="R66" s="1449"/>
      <c r="S66" s="1449">
        <f t="shared" si="32"/>
        <v>19864.698480708263</v>
      </c>
      <c r="T66" s="1571">
        <f t="shared" si="33"/>
        <v>1655</v>
      </c>
      <c r="U66" s="1571">
        <f t="shared" si="23"/>
        <v>19864.698480708263</v>
      </c>
      <c r="V66" s="1451">
        <f>'Table 5C1A-Madison Prep'!U67*90%</f>
        <v>6070.5</v>
      </c>
      <c r="W66" s="1591">
        <f t="shared" si="34"/>
        <v>36423</v>
      </c>
      <c r="X66" s="1453"/>
      <c r="Y66" s="1452">
        <f t="shared" si="35"/>
        <v>0</v>
      </c>
      <c r="Z66" s="1452"/>
      <c r="AA66" s="1452">
        <f t="shared" si="36"/>
        <v>0</v>
      </c>
      <c r="AB66" s="1596">
        <f t="shared" si="37"/>
        <v>0</v>
      </c>
      <c r="AC66" s="1591">
        <f t="shared" si="38"/>
        <v>36423</v>
      </c>
      <c r="AD66" s="1452">
        <f t="shared" si="39"/>
        <v>-91.057500000000005</v>
      </c>
      <c r="AE66" s="1591">
        <f t="shared" si="40"/>
        <v>36331.942499999997</v>
      </c>
      <c r="AF66" s="1451">
        <v>0</v>
      </c>
      <c r="AG66" s="1591">
        <f t="shared" si="41"/>
        <v>36331.942499999997</v>
      </c>
      <c r="AH66" s="1452"/>
      <c r="AI66" s="1452">
        <f t="shared" si="42"/>
        <v>36331.942499999997</v>
      </c>
      <c r="AJ66" s="1591">
        <f t="shared" si="43"/>
        <v>3028</v>
      </c>
      <c r="AK66" s="1600">
        <f t="shared" si="21"/>
        <v>56196.64098070826</v>
      </c>
      <c r="AL66" s="1600">
        <f t="shared" si="44"/>
        <v>4683</v>
      </c>
    </row>
    <row r="67" spans="1:38" s="317" customFormat="1" ht="16.2" customHeight="1">
      <c r="A67" s="1454">
        <v>62</v>
      </c>
      <c r="B67" s="1455" t="s">
        <v>141</v>
      </c>
      <c r="C67" s="1456">
        <f>+'Table 8 Membership 2.1.14'!J64</f>
        <v>10</v>
      </c>
      <c r="D67" s="1457">
        <f>'Table 3 Levels 1&amp;2'!AL65*90%</f>
        <v>5310.9670846644076</v>
      </c>
      <c r="E67" s="1457">
        <f t="shared" si="24"/>
        <v>53109.670846644076</v>
      </c>
      <c r="F67" s="1458">
        <f>'Table 3A Level 3'!C67*90%</f>
        <v>464.47200000000004</v>
      </c>
      <c r="G67" s="1458">
        <f t="shared" si="25"/>
        <v>4644.72</v>
      </c>
      <c r="H67" s="1572">
        <f t="shared" si="26"/>
        <v>57754.390846644077</v>
      </c>
      <c r="I67" s="1458">
        <f>(('Table 3 Levels 1&amp;2'!AL65-D67)+('Table 3A Level 3'!C67-F67))*C67</f>
        <v>6417.1545385160043</v>
      </c>
      <c r="J67" s="1458"/>
      <c r="K67" s="1458"/>
      <c r="L67" s="1576">
        <f t="shared" si="27"/>
        <v>0</v>
      </c>
      <c r="M67" s="1572">
        <f t="shared" si="28"/>
        <v>57754.390846644077</v>
      </c>
      <c r="N67" s="1458">
        <f t="shared" si="29"/>
        <v>-144.38597711661021</v>
      </c>
      <c r="O67" s="1572">
        <f t="shared" si="30"/>
        <v>57610.004869527467</v>
      </c>
      <c r="P67" s="1459">
        <v>0</v>
      </c>
      <c r="Q67" s="1572">
        <f t="shared" si="31"/>
        <v>57610.004869527467</v>
      </c>
      <c r="R67" s="1458"/>
      <c r="S67" s="1458">
        <f t="shared" si="32"/>
        <v>57610.004869527467</v>
      </c>
      <c r="T67" s="1572">
        <f t="shared" si="33"/>
        <v>4801</v>
      </c>
      <c r="U67" s="1572">
        <f t="shared" si="23"/>
        <v>57610.004869527467</v>
      </c>
      <c r="V67" s="1460">
        <f>'Table 5C1A-Madison Prep'!U68*90%</f>
        <v>1717.2</v>
      </c>
      <c r="W67" s="1592">
        <f t="shared" si="34"/>
        <v>17172</v>
      </c>
      <c r="X67" s="1462"/>
      <c r="Y67" s="1461">
        <f t="shared" si="35"/>
        <v>0</v>
      </c>
      <c r="Z67" s="1461"/>
      <c r="AA67" s="1461">
        <f t="shared" si="36"/>
        <v>0</v>
      </c>
      <c r="AB67" s="1597">
        <f t="shared" si="37"/>
        <v>0</v>
      </c>
      <c r="AC67" s="1592">
        <f t="shared" si="38"/>
        <v>17172</v>
      </c>
      <c r="AD67" s="1461">
        <f t="shared" si="39"/>
        <v>-42.93</v>
      </c>
      <c r="AE67" s="1592">
        <f t="shared" si="40"/>
        <v>17129.07</v>
      </c>
      <c r="AF67" s="1460">
        <v>0</v>
      </c>
      <c r="AG67" s="1592">
        <f t="shared" si="41"/>
        <v>17129.07</v>
      </c>
      <c r="AH67" s="1461"/>
      <c r="AI67" s="1461">
        <f t="shared" si="42"/>
        <v>17129.07</v>
      </c>
      <c r="AJ67" s="1592">
        <f t="shared" si="43"/>
        <v>1427</v>
      </c>
      <c r="AK67" s="1601">
        <f t="shared" si="21"/>
        <v>74739.074869527467</v>
      </c>
      <c r="AL67" s="1601">
        <f t="shared" si="44"/>
        <v>6228</v>
      </c>
    </row>
    <row r="68" spans="1:38" s="317" customFormat="1" ht="16.2" customHeight="1">
      <c r="A68" s="1454">
        <v>63</v>
      </c>
      <c r="B68" s="1455" t="s">
        <v>142</v>
      </c>
      <c r="C68" s="1456">
        <f>+'Table 8 Membership 2.1.14'!J65</f>
        <v>3</v>
      </c>
      <c r="D68" s="1457">
        <f>'Table 3 Levels 1&amp;2'!AL66*90%</f>
        <v>3711.9432133663286</v>
      </c>
      <c r="E68" s="1457">
        <f t="shared" si="24"/>
        <v>11135.829640098986</v>
      </c>
      <c r="F68" s="1458">
        <f>'Table 3A Level 3'!C68*90%</f>
        <v>681.11099999999999</v>
      </c>
      <c r="G68" s="1458">
        <f t="shared" si="25"/>
        <v>2043.3330000000001</v>
      </c>
      <c r="H68" s="1572">
        <f t="shared" si="26"/>
        <v>13179.162640098986</v>
      </c>
      <c r="I68" s="1458">
        <f>(('Table 3 Levels 1&amp;2'!AL66-D68)+('Table 3A Level 3'!C68-F68))*C68</f>
        <v>1464.3514044554418</v>
      </c>
      <c r="J68" s="1458"/>
      <c r="K68" s="1458"/>
      <c r="L68" s="1576">
        <f t="shared" si="27"/>
        <v>0</v>
      </c>
      <c r="M68" s="1572">
        <f t="shared" si="28"/>
        <v>13179.162640098986</v>
      </c>
      <c r="N68" s="1458">
        <f t="shared" si="29"/>
        <v>-32.947906600247464</v>
      </c>
      <c r="O68" s="1572">
        <f t="shared" si="30"/>
        <v>13146.214733498738</v>
      </c>
      <c r="P68" s="1459">
        <v>0</v>
      </c>
      <c r="Q68" s="1572">
        <f t="shared" si="31"/>
        <v>13146.214733498738</v>
      </c>
      <c r="R68" s="1458"/>
      <c r="S68" s="1458">
        <f t="shared" si="32"/>
        <v>13146.214733498738</v>
      </c>
      <c r="T68" s="1572">
        <f t="shared" si="33"/>
        <v>1096</v>
      </c>
      <c r="U68" s="1572">
        <f t="shared" si="23"/>
        <v>13146.214733498738</v>
      </c>
      <c r="V68" s="1460">
        <f>'Table 5C1A-Madison Prep'!U69*90%</f>
        <v>6561</v>
      </c>
      <c r="W68" s="1592">
        <f t="shared" si="34"/>
        <v>19683</v>
      </c>
      <c r="X68" s="1462"/>
      <c r="Y68" s="1461">
        <f t="shared" si="35"/>
        <v>0</v>
      </c>
      <c r="Z68" s="1461"/>
      <c r="AA68" s="1461">
        <f t="shared" si="36"/>
        <v>0</v>
      </c>
      <c r="AB68" s="1597">
        <f t="shared" si="37"/>
        <v>0</v>
      </c>
      <c r="AC68" s="1592">
        <f t="shared" si="38"/>
        <v>19683</v>
      </c>
      <c r="AD68" s="1461">
        <f t="shared" si="39"/>
        <v>-49.207500000000003</v>
      </c>
      <c r="AE68" s="1592">
        <f t="shared" si="40"/>
        <v>19633.7925</v>
      </c>
      <c r="AF68" s="1460">
        <v>0</v>
      </c>
      <c r="AG68" s="1592">
        <f t="shared" si="41"/>
        <v>19633.7925</v>
      </c>
      <c r="AH68" s="1461"/>
      <c r="AI68" s="1461">
        <f t="shared" si="42"/>
        <v>19633.7925</v>
      </c>
      <c r="AJ68" s="1592">
        <f t="shared" si="43"/>
        <v>1636</v>
      </c>
      <c r="AK68" s="1601">
        <f t="shared" si="21"/>
        <v>32780.007233498734</v>
      </c>
      <c r="AL68" s="1601">
        <f t="shared" si="44"/>
        <v>2732</v>
      </c>
    </row>
    <row r="69" spans="1:38" s="317" customFormat="1" ht="16.2" customHeight="1">
      <c r="A69" s="1454">
        <v>64</v>
      </c>
      <c r="B69" s="1455" t="s">
        <v>143</v>
      </c>
      <c r="C69" s="1456">
        <f>+'Table 8 Membership 2.1.14'!J66</f>
        <v>5</v>
      </c>
      <c r="D69" s="1457">
        <f>'Table 3 Levels 1&amp;2'!AL67*90%</f>
        <v>5650.0476779500432</v>
      </c>
      <c r="E69" s="1457">
        <f t="shared" si="24"/>
        <v>28250.238389750215</v>
      </c>
      <c r="F69" s="1458">
        <f>'Table 3A Level 3'!C69*90%</f>
        <v>533.39400000000001</v>
      </c>
      <c r="G69" s="1458">
        <f t="shared" si="25"/>
        <v>2666.9700000000003</v>
      </c>
      <c r="H69" s="1572">
        <f t="shared" si="26"/>
        <v>30917.208389750216</v>
      </c>
      <c r="I69" s="1458">
        <f>(('Table 3 Levels 1&amp;2'!AL67-D69)+('Table 3A Level 3'!C69-F69))*C69</f>
        <v>3435.2453766389108</v>
      </c>
      <c r="J69" s="1458"/>
      <c r="K69" s="1458"/>
      <c r="L69" s="1576">
        <f t="shared" si="27"/>
        <v>0</v>
      </c>
      <c r="M69" s="1572">
        <f t="shared" si="28"/>
        <v>30917.208389750216</v>
      </c>
      <c r="N69" s="1458">
        <f t="shared" si="29"/>
        <v>-77.293020974375537</v>
      </c>
      <c r="O69" s="1572">
        <f t="shared" si="30"/>
        <v>30839.915368775841</v>
      </c>
      <c r="P69" s="1459">
        <v>0</v>
      </c>
      <c r="Q69" s="1572">
        <f t="shared" si="31"/>
        <v>30839.915368775841</v>
      </c>
      <c r="R69" s="1458"/>
      <c r="S69" s="1458">
        <f t="shared" si="32"/>
        <v>30839.915368775841</v>
      </c>
      <c r="T69" s="1572">
        <f t="shared" si="33"/>
        <v>2570</v>
      </c>
      <c r="U69" s="1572">
        <f t="shared" si="23"/>
        <v>30839.915368775841</v>
      </c>
      <c r="V69" s="1460">
        <f>'Table 5C1A-Madison Prep'!U70*90%</f>
        <v>2448.9</v>
      </c>
      <c r="W69" s="1592">
        <f t="shared" si="34"/>
        <v>12244.5</v>
      </c>
      <c r="X69" s="1462"/>
      <c r="Y69" s="1461">
        <f t="shared" si="35"/>
        <v>0</v>
      </c>
      <c r="Z69" s="1461"/>
      <c r="AA69" s="1461">
        <f t="shared" si="36"/>
        <v>0</v>
      </c>
      <c r="AB69" s="1597">
        <f t="shared" si="37"/>
        <v>0</v>
      </c>
      <c r="AC69" s="1592">
        <f t="shared" si="38"/>
        <v>12244.5</v>
      </c>
      <c r="AD69" s="1461">
        <f t="shared" si="39"/>
        <v>-30.611250000000002</v>
      </c>
      <c r="AE69" s="1592">
        <f t="shared" si="40"/>
        <v>12213.88875</v>
      </c>
      <c r="AF69" s="1460">
        <v>0</v>
      </c>
      <c r="AG69" s="1592">
        <f t="shared" si="41"/>
        <v>12213.88875</v>
      </c>
      <c r="AH69" s="1461"/>
      <c r="AI69" s="1461">
        <f t="shared" si="42"/>
        <v>12213.88875</v>
      </c>
      <c r="AJ69" s="1592">
        <f t="shared" si="43"/>
        <v>1018</v>
      </c>
      <c r="AK69" s="1601">
        <f t="shared" si="21"/>
        <v>43053.804118775843</v>
      </c>
      <c r="AL69" s="1601">
        <f t="shared" si="44"/>
        <v>3588</v>
      </c>
    </row>
    <row r="70" spans="1:38" s="317" customFormat="1" ht="16.2" customHeight="1">
      <c r="A70" s="1433">
        <v>65</v>
      </c>
      <c r="B70" s="1434" t="s">
        <v>144</v>
      </c>
      <c r="C70" s="1440">
        <f>+'Table 8 Membership 2.1.14'!J67</f>
        <v>0</v>
      </c>
      <c r="D70" s="1441">
        <f>'Table 3 Levels 1&amp;2'!AL68*90%</f>
        <v>4297.6444989549282</v>
      </c>
      <c r="E70" s="1441">
        <f t="shared" ref="E70:E74" si="45">C70*D70</f>
        <v>0</v>
      </c>
      <c r="F70" s="906">
        <f>'Table 3A Level 3'!C70*90%</f>
        <v>746.20799999999997</v>
      </c>
      <c r="G70" s="906">
        <f t="shared" ref="G70:G74" si="46">F70*C70</f>
        <v>0</v>
      </c>
      <c r="H70" s="1573">
        <f t="shared" ref="H70:H74" si="47">E70+G70</f>
        <v>0</v>
      </c>
      <c r="I70" s="906">
        <f>(('Table 3 Levels 1&amp;2'!AL68-D70)+('Table 3A Level 3'!C70-F70))*C70</f>
        <v>0</v>
      </c>
      <c r="J70" s="906"/>
      <c r="K70" s="906"/>
      <c r="L70" s="1577">
        <f t="shared" ref="L70:L74" si="48">+J70+K70</f>
        <v>0</v>
      </c>
      <c r="M70" s="1573">
        <f t="shared" ref="M70:M74" si="49">H70+L70</f>
        <v>0</v>
      </c>
      <c r="N70" s="906">
        <f t="shared" ref="N70:N74" si="50">-0.25%*M70</f>
        <v>0</v>
      </c>
      <c r="O70" s="1573">
        <f t="shared" ref="O70:O74" si="51">M70+N70</f>
        <v>0</v>
      </c>
      <c r="P70" s="1442">
        <v>0</v>
      </c>
      <c r="Q70" s="1573">
        <f t="shared" ref="Q70:Q74" si="52">SUM(O70:P70)</f>
        <v>0</v>
      </c>
      <c r="R70" s="906"/>
      <c r="S70" s="906">
        <f t="shared" ref="S70:S74" si="53">Q70-R70</f>
        <v>0</v>
      </c>
      <c r="T70" s="1573">
        <f t="shared" ref="T70:T74" si="54">ROUND(S70/12,0)</f>
        <v>0</v>
      </c>
      <c r="U70" s="1573">
        <f t="shared" si="23"/>
        <v>0</v>
      </c>
      <c r="V70" s="1443">
        <f>'Table 5C1A-Madison Prep'!U71*90%</f>
        <v>4599</v>
      </c>
      <c r="W70" s="1593">
        <f t="shared" ref="W70:W74" si="55">V70*C70</f>
        <v>0</v>
      </c>
      <c r="X70" s="1444"/>
      <c r="Y70" s="907">
        <f t="shared" ref="Y70:Y74" si="56">X70*V70</f>
        <v>0</v>
      </c>
      <c r="Z70" s="907"/>
      <c r="AA70" s="907">
        <f t="shared" ref="AA70:AA74" si="57">+V70*Z70*0.5</f>
        <v>0</v>
      </c>
      <c r="AB70" s="1598">
        <f t="shared" ref="AB70:AB74" si="58">+Y70+AA70</f>
        <v>0</v>
      </c>
      <c r="AC70" s="1593">
        <f t="shared" ref="AC70:AC74" si="59">AB70+W70</f>
        <v>0</v>
      </c>
      <c r="AD70" s="907">
        <f t="shared" ref="AD70:AD74" si="60">AC70*-0.25%</f>
        <v>0</v>
      </c>
      <c r="AE70" s="1593">
        <f t="shared" ref="AE70:AE74" si="61">SUM(AC70:AD70)</f>
        <v>0</v>
      </c>
      <c r="AF70" s="1443">
        <v>0</v>
      </c>
      <c r="AG70" s="1593">
        <f t="shared" ref="AG70:AG74" si="62">SUM(AE70:AF70)</f>
        <v>0</v>
      </c>
      <c r="AH70" s="907"/>
      <c r="AI70" s="907">
        <f t="shared" ref="AI70:AI74" si="63">AG70-AH70</f>
        <v>0</v>
      </c>
      <c r="AJ70" s="1593">
        <f t="shared" ref="AJ70:AJ74" si="64">ROUND(AI70/12,0)</f>
        <v>0</v>
      </c>
      <c r="AK70" s="1602">
        <f t="shared" ref="AK70:AK74" si="65">AG70+U70</f>
        <v>0</v>
      </c>
      <c r="AL70" s="1602">
        <f t="shared" si="44"/>
        <v>0</v>
      </c>
    </row>
    <row r="71" spans="1:38" s="317" customFormat="1" ht="16.2" customHeight="1">
      <c r="A71" s="1454">
        <v>66</v>
      </c>
      <c r="B71" s="1455" t="s">
        <v>145</v>
      </c>
      <c r="C71" s="1447">
        <f>+'Table 8 Membership 2.1.14'!J68</f>
        <v>15</v>
      </c>
      <c r="D71" s="1448">
        <f>'Table 3 Levels 1&amp;2'!AL69*90%</f>
        <v>5907.6076890519034</v>
      </c>
      <c r="E71" s="1448">
        <f t="shared" si="45"/>
        <v>88614.115335778552</v>
      </c>
      <c r="F71" s="1449">
        <f>'Table 3A Level 3'!C71*90%</f>
        <v>657.05399999999997</v>
      </c>
      <c r="G71" s="1449">
        <f t="shared" si="46"/>
        <v>9855.81</v>
      </c>
      <c r="H71" s="1571">
        <f t="shared" si="47"/>
        <v>98469.925335778549</v>
      </c>
      <c r="I71" s="1449">
        <f>(('Table 3 Levels 1&amp;2'!AL69-D71)+('Table 3A Level 3'!C71-F71))*C71</f>
        <v>10941.1028150865</v>
      </c>
      <c r="J71" s="1449"/>
      <c r="K71" s="1449"/>
      <c r="L71" s="1575">
        <f t="shared" si="48"/>
        <v>0</v>
      </c>
      <c r="M71" s="1571">
        <f t="shared" si="49"/>
        <v>98469.925335778549</v>
      </c>
      <c r="N71" s="1449">
        <f t="shared" si="50"/>
        <v>-246.17481333944639</v>
      </c>
      <c r="O71" s="1571">
        <f t="shared" si="51"/>
        <v>98223.750522439106</v>
      </c>
      <c r="P71" s="1450">
        <v>-4753.7892498192186</v>
      </c>
      <c r="Q71" s="1571">
        <f t="shared" si="52"/>
        <v>93469.961272619883</v>
      </c>
      <c r="R71" s="1458"/>
      <c r="S71" s="1449">
        <f t="shared" si="53"/>
        <v>93469.961272619883</v>
      </c>
      <c r="T71" s="1572">
        <f t="shared" si="54"/>
        <v>7789</v>
      </c>
      <c r="U71" s="1572">
        <f t="shared" ref="U71:U74" si="66">+Q71</f>
        <v>93469.961272619883</v>
      </c>
      <c r="V71" s="1451">
        <f>'Table 5C1A-Madison Prep'!U72*90%</f>
        <v>3032.1</v>
      </c>
      <c r="W71" s="1591">
        <f t="shared" si="55"/>
        <v>45481.5</v>
      </c>
      <c r="X71" s="1453"/>
      <c r="Y71" s="1452">
        <f t="shared" si="56"/>
        <v>0</v>
      </c>
      <c r="Z71" s="1452"/>
      <c r="AA71" s="1452">
        <f t="shared" si="57"/>
        <v>0</v>
      </c>
      <c r="AB71" s="1596">
        <f t="shared" si="58"/>
        <v>0</v>
      </c>
      <c r="AC71" s="1591">
        <f t="shared" si="59"/>
        <v>45481.5</v>
      </c>
      <c r="AD71" s="1452">
        <f t="shared" si="60"/>
        <v>-113.70375</v>
      </c>
      <c r="AE71" s="1591">
        <f t="shared" si="61"/>
        <v>45367.796249999999</v>
      </c>
      <c r="AF71" s="1451">
        <v>0</v>
      </c>
      <c r="AG71" s="1591">
        <f t="shared" si="62"/>
        <v>45367.796249999999</v>
      </c>
      <c r="AH71" s="1461"/>
      <c r="AI71" s="1452">
        <f t="shared" si="63"/>
        <v>45367.796249999999</v>
      </c>
      <c r="AJ71" s="1592">
        <f t="shared" si="64"/>
        <v>3781</v>
      </c>
      <c r="AK71" s="1600">
        <f t="shared" si="65"/>
        <v>138837.75752261988</v>
      </c>
      <c r="AL71" s="1600">
        <f t="shared" si="44"/>
        <v>11570</v>
      </c>
    </row>
    <row r="72" spans="1:38" s="317" customFormat="1" ht="16.2" customHeight="1">
      <c r="A72" s="1454">
        <v>67</v>
      </c>
      <c r="B72" s="1455" t="s">
        <v>30</v>
      </c>
      <c r="C72" s="1456">
        <f>+'Table 8 Membership 2.1.14'!J69</f>
        <v>4</v>
      </c>
      <c r="D72" s="1457">
        <f>'Table 3 Levels 1&amp;2'!AL70*90%</f>
        <v>4526.2320962520707</v>
      </c>
      <c r="E72" s="1457">
        <f t="shared" si="45"/>
        <v>18104.928385008283</v>
      </c>
      <c r="F72" s="1458">
        <f>'Table 3A Level 3'!C72*90%</f>
        <v>644.04899999999998</v>
      </c>
      <c r="G72" s="1458">
        <f t="shared" si="46"/>
        <v>2576.1959999999999</v>
      </c>
      <c r="H72" s="1572">
        <f t="shared" si="47"/>
        <v>20681.124385008283</v>
      </c>
      <c r="I72" s="1458">
        <f>(('Table 3 Levels 1&amp;2'!AL70-D72)+('Table 3A Level 3'!C72-F72))*C72</f>
        <v>2297.9027094453645</v>
      </c>
      <c r="J72" s="1458"/>
      <c r="K72" s="1458"/>
      <c r="L72" s="1576">
        <f t="shared" si="48"/>
        <v>0</v>
      </c>
      <c r="M72" s="1572">
        <f t="shared" si="49"/>
        <v>20681.124385008283</v>
      </c>
      <c r="N72" s="1458">
        <f t="shared" si="50"/>
        <v>-51.702810962520708</v>
      </c>
      <c r="O72" s="1572">
        <f t="shared" si="51"/>
        <v>20629.421574045762</v>
      </c>
      <c r="P72" s="1459">
        <v>0</v>
      </c>
      <c r="Q72" s="1572">
        <f t="shared" si="52"/>
        <v>20629.421574045762</v>
      </c>
      <c r="R72" s="1458"/>
      <c r="S72" s="1458">
        <f t="shared" si="53"/>
        <v>20629.421574045762</v>
      </c>
      <c r="T72" s="1572">
        <f t="shared" si="54"/>
        <v>1719</v>
      </c>
      <c r="U72" s="1572">
        <f t="shared" si="66"/>
        <v>20629.421574045762</v>
      </c>
      <c r="V72" s="1460">
        <f>'Table 5C1A-Madison Prep'!U73*90%</f>
        <v>4513.5</v>
      </c>
      <c r="W72" s="1592">
        <f t="shared" si="55"/>
        <v>18054</v>
      </c>
      <c r="X72" s="1462"/>
      <c r="Y72" s="1461">
        <f t="shared" si="56"/>
        <v>0</v>
      </c>
      <c r="Z72" s="1461"/>
      <c r="AA72" s="1461">
        <f t="shared" si="57"/>
        <v>0</v>
      </c>
      <c r="AB72" s="1597">
        <f t="shared" si="58"/>
        <v>0</v>
      </c>
      <c r="AC72" s="1592">
        <f t="shared" si="59"/>
        <v>18054</v>
      </c>
      <c r="AD72" s="1461">
        <f t="shared" si="60"/>
        <v>-45.134999999999998</v>
      </c>
      <c r="AE72" s="1592">
        <f t="shared" si="61"/>
        <v>18008.865000000002</v>
      </c>
      <c r="AF72" s="1460">
        <v>0</v>
      </c>
      <c r="AG72" s="1592">
        <f t="shared" si="62"/>
        <v>18008.865000000002</v>
      </c>
      <c r="AH72" s="1461"/>
      <c r="AI72" s="1461">
        <f t="shared" si="63"/>
        <v>18008.865000000002</v>
      </c>
      <c r="AJ72" s="1592">
        <f t="shared" si="64"/>
        <v>1501</v>
      </c>
      <c r="AK72" s="1601">
        <f t="shared" si="65"/>
        <v>38638.286574045764</v>
      </c>
      <c r="AL72" s="1601">
        <f t="shared" si="44"/>
        <v>3220</v>
      </c>
    </row>
    <row r="73" spans="1:38" s="317" customFormat="1" ht="16.2" customHeight="1">
      <c r="A73" s="1454">
        <v>68</v>
      </c>
      <c r="B73" s="1455" t="s">
        <v>28</v>
      </c>
      <c r="C73" s="1456">
        <f>+'Table 8 Membership 2.1.14'!J70</f>
        <v>5</v>
      </c>
      <c r="D73" s="1457">
        <f>'Table 3 Levels 1&amp;2'!AL71*90%</f>
        <v>5751.1479782304541</v>
      </c>
      <c r="E73" s="1457">
        <f t="shared" si="45"/>
        <v>28755.739891152269</v>
      </c>
      <c r="F73" s="1458">
        <f>'Table 3A Level 3'!C73*90%</f>
        <v>718.83</v>
      </c>
      <c r="G73" s="1458">
        <f t="shared" si="46"/>
        <v>3594.15</v>
      </c>
      <c r="H73" s="1572">
        <f t="shared" si="47"/>
        <v>32349.88989115227</v>
      </c>
      <c r="I73" s="1458">
        <f>(('Table 3 Levels 1&amp;2'!AL71-D73)+('Table 3A Level 3'!C73-F73))*C73</f>
        <v>3594.43221012803</v>
      </c>
      <c r="J73" s="1458"/>
      <c r="K73" s="1458"/>
      <c r="L73" s="1576">
        <f t="shared" si="48"/>
        <v>0</v>
      </c>
      <c r="M73" s="1572">
        <f t="shared" si="49"/>
        <v>32349.88989115227</v>
      </c>
      <c r="N73" s="1458">
        <f t="shared" si="50"/>
        <v>-80.874724727880675</v>
      </c>
      <c r="O73" s="1572">
        <f t="shared" si="51"/>
        <v>32269.015166424389</v>
      </c>
      <c r="P73" s="1459">
        <v>0</v>
      </c>
      <c r="Q73" s="1572">
        <f t="shared" si="52"/>
        <v>32269.015166424389</v>
      </c>
      <c r="R73" s="1458"/>
      <c r="S73" s="1458">
        <f t="shared" si="53"/>
        <v>32269.015166424389</v>
      </c>
      <c r="T73" s="1572">
        <f t="shared" si="54"/>
        <v>2689</v>
      </c>
      <c r="U73" s="1572">
        <f t="shared" si="66"/>
        <v>32269.015166424389</v>
      </c>
      <c r="V73" s="1460">
        <f>'Table 5C1A-Madison Prep'!U74*90%</f>
        <v>2402.1</v>
      </c>
      <c r="W73" s="1592">
        <f t="shared" si="55"/>
        <v>12010.5</v>
      </c>
      <c r="X73" s="1462"/>
      <c r="Y73" s="1461">
        <f t="shared" si="56"/>
        <v>0</v>
      </c>
      <c r="Z73" s="1461"/>
      <c r="AA73" s="1461">
        <f t="shared" si="57"/>
        <v>0</v>
      </c>
      <c r="AB73" s="1597">
        <f t="shared" si="58"/>
        <v>0</v>
      </c>
      <c r="AC73" s="1592">
        <f t="shared" si="59"/>
        <v>12010.5</v>
      </c>
      <c r="AD73" s="1461">
        <f t="shared" si="60"/>
        <v>-30.026250000000001</v>
      </c>
      <c r="AE73" s="1592">
        <f t="shared" si="61"/>
        <v>11980.473749999999</v>
      </c>
      <c r="AF73" s="1460">
        <v>0</v>
      </c>
      <c r="AG73" s="1592">
        <f t="shared" si="62"/>
        <v>11980.473749999999</v>
      </c>
      <c r="AH73" s="1461"/>
      <c r="AI73" s="1461">
        <f t="shared" si="63"/>
        <v>11980.473749999999</v>
      </c>
      <c r="AJ73" s="1592">
        <f t="shared" si="64"/>
        <v>998</v>
      </c>
      <c r="AK73" s="1601">
        <f t="shared" si="65"/>
        <v>44249.488916424387</v>
      </c>
      <c r="AL73" s="1601">
        <f t="shared" si="44"/>
        <v>3687</v>
      </c>
    </row>
    <row r="74" spans="1:38" s="317" customFormat="1" ht="16.2" customHeight="1">
      <c r="A74" s="1431">
        <v>69</v>
      </c>
      <c r="B74" s="1432" t="s">
        <v>183</v>
      </c>
      <c r="C74" s="1435">
        <f>+'Table 8 Membership 2.1.14'!J71</f>
        <v>12</v>
      </c>
      <c r="D74" s="1436">
        <f>'Table 3 Levels 1&amp;2'!AL72*90%</f>
        <v>5150.24531291532</v>
      </c>
      <c r="E74" s="1436">
        <f t="shared" si="45"/>
        <v>61802.94375498384</v>
      </c>
      <c r="F74" s="1074">
        <f>'Table 3A Level 3'!C74*90%</f>
        <v>635.10299999999995</v>
      </c>
      <c r="G74" s="1074">
        <f t="shared" si="46"/>
        <v>7621.235999999999</v>
      </c>
      <c r="H74" s="1574">
        <f t="shared" si="47"/>
        <v>69424.179754983837</v>
      </c>
      <c r="I74" s="1074">
        <f>(('Table 3 Levels 1&amp;2'!AL72-D74)+('Table 3A Level 3'!C74-F74))*C74</f>
        <v>7713.7977505537638</v>
      </c>
      <c r="J74" s="1074"/>
      <c r="K74" s="1074"/>
      <c r="L74" s="1578">
        <f t="shared" si="48"/>
        <v>0</v>
      </c>
      <c r="M74" s="1574">
        <f t="shared" si="49"/>
        <v>69424.179754983837</v>
      </c>
      <c r="N74" s="1074">
        <f t="shared" si="50"/>
        <v>-173.56044938745958</v>
      </c>
      <c r="O74" s="1574">
        <f t="shared" si="51"/>
        <v>69250.619305596381</v>
      </c>
      <c r="P74" s="1437">
        <v>0</v>
      </c>
      <c r="Q74" s="1574">
        <f t="shared" si="52"/>
        <v>69250.619305596381</v>
      </c>
      <c r="R74" s="906"/>
      <c r="S74" s="1074">
        <f t="shared" si="53"/>
        <v>69250.619305596381</v>
      </c>
      <c r="T74" s="1574">
        <f t="shared" si="54"/>
        <v>5771</v>
      </c>
      <c r="U74" s="1574">
        <f t="shared" si="66"/>
        <v>69250.619305596381</v>
      </c>
      <c r="V74" s="1438">
        <f>'Table 5C1A-Madison Prep'!U75*90%</f>
        <v>3054.6</v>
      </c>
      <c r="W74" s="1594">
        <f t="shared" si="55"/>
        <v>36655.199999999997</v>
      </c>
      <c r="X74" s="1439"/>
      <c r="Y74" s="1075">
        <f t="shared" si="56"/>
        <v>0</v>
      </c>
      <c r="Z74" s="1075"/>
      <c r="AA74" s="1075">
        <f t="shared" si="57"/>
        <v>0</v>
      </c>
      <c r="AB74" s="1599">
        <f t="shared" si="58"/>
        <v>0</v>
      </c>
      <c r="AC74" s="1594">
        <f t="shared" si="59"/>
        <v>36655.199999999997</v>
      </c>
      <c r="AD74" s="1075">
        <f t="shared" si="60"/>
        <v>-91.637999999999991</v>
      </c>
      <c r="AE74" s="1594">
        <f t="shared" si="61"/>
        <v>36563.561999999998</v>
      </c>
      <c r="AF74" s="1438">
        <v>0</v>
      </c>
      <c r="AG74" s="1594">
        <f t="shared" si="62"/>
        <v>36563.561999999998</v>
      </c>
      <c r="AH74" s="1075"/>
      <c r="AI74" s="1075">
        <f t="shared" si="63"/>
        <v>36563.561999999998</v>
      </c>
      <c r="AJ74" s="1594">
        <f t="shared" si="64"/>
        <v>3047</v>
      </c>
      <c r="AK74" s="1603">
        <f t="shared" si="65"/>
        <v>105814.18130559637</v>
      </c>
      <c r="AL74" s="1603">
        <f t="shared" si="44"/>
        <v>8818</v>
      </c>
    </row>
    <row r="75" spans="1:38" s="380" customFormat="1" ht="16.2" customHeight="1" thickBot="1">
      <c r="A75" s="2221" t="s">
        <v>1045</v>
      </c>
      <c r="B75" s="2194" t="s">
        <v>329</v>
      </c>
      <c r="C75" s="1106">
        <f>SUM(C6:C74)</f>
        <v>1826</v>
      </c>
      <c r="D75" s="471"/>
      <c r="E75" s="480">
        <f>SUM(E6:E74)</f>
        <v>7548310.8440492442</v>
      </c>
      <c r="F75" s="480"/>
      <c r="G75" s="480">
        <f t="shared" ref="G75:U75" si="67">SUM(G6:G74)</f>
        <v>1149789.8007652205</v>
      </c>
      <c r="H75" s="1542">
        <f t="shared" si="67"/>
        <v>8698100.6448144615</v>
      </c>
      <c r="I75" s="640">
        <f t="shared" si="67"/>
        <v>965233.51122832892</v>
      </c>
      <c r="J75" s="640">
        <f t="shared" si="67"/>
        <v>0</v>
      </c>
      <c r="K75" s="640">
        <f t="shared" si="67"/>
        <v>0</v>
      </c>
      <c r="L75" s="1579">
        <f t="shared" si="67"/>
        <v>0</v>
      </c>
      <c r="M75" s="1548">
        <f t="shared" si="67"/>
        <v>8698100.6448144615</v>
      </c>
      <c r="N75" s="636">
        <f t="shared" si="67"/>
        <v>-21745.251612036154</v>
      </c>
      <c r="O75" s="1542">
        <f t="shared" si="67"/>
        <v>8676355.3932024296</v>
      </c>
      <c r="P75" s="636">
        <f t="shared" si="67"/>
        <v>-38683.595887617179</v>
      </c>
      <c r="Q75" s="1561">
        <f t="shared" si="67"/>
        <v>8637671.7973148115</v>
      </c>
      <c r="R75" s="640">
        <f t="shared" si="67"/>
        <v>0</v>
      </c>
      <c r="S75" s="636">
        <f t="shared" si="67"/>
        <v>8637671.7973148115</v>
      </c>
      <c r="T75" s="1548">
        <f t="shared" si="67"/>
        <v>719808</v>
      </c>
      <c r="U75" s="1585">
        <f t="shared" si="67"/>
        <v>8637671.7973148115</v>
      </c>
      <c r="V75" s="660">
        <f>'Table 5C1A-Madison Prep'!U76*90%</f>
        <v>4196.7</v>
      </c>
      <c r="W75" s="1595">
        <f t="shared" ref="W75:AL75" si="68">SUM(W6:W74)</f>
        <v>7150576.4999999981</v>
      </c>
      <c r="X75" s="647">
        <f t="shared" si="68"/>
        <v>0</v>
      </c>
      <c r="Y75" s="646">
        <f t="shared" si="68"/>
        <v>0</v>
      </c>
      <c r="Z75" s="647">
        <f t="shared" si="68"/>
        <v>0</v>
      </c>
      <c r="AA75" s="647">
        <f t="shared" si="68"/>
        <v>0</v>
      </c>
      <c r="AB75" s="633">
        <f t="shared" si="68"/>
        <v>0</v>
      </c>
      <c r="AC75" s="1518">
        <f t="shared" si="68"/>
        <v>7150576.4999999981</v>
      </c>
      <c r="AD75" s="660">
        <f t="shared" si="68"/>
        <v>-17876.441250000007</v>
      </c>
      <c r="AE75" s="1518">
        <f t="shared" si="68"/>
        <v>7132700.0587499989</v>
      </c>
      <c r="AF75" s="660">
        <f t="shared" si="68"/>
        <v>0</v>
      </c>
      <c r="AG75" s="1520">
        <f t="shared" si="68"/>
        <v>7132700.0587499989</v>
      </c>
      <c r="AH75" s="647">
        <f t="shared" si="68"/>
        <v>0</v>
      </c>
      <c r="AI75" s="660">
        <f t="shared" si="68"/>
        <v>7132700.0587499989</v>
      </c>
      <c r="AJ75" s="1513">
        <f t="shared" si="68"/>
        <v>594390</v>
      </c>
      <c r="AK75" s="1532">
        <f t="shared" si="68"/>
        <v>15770371.856064811</v>
      </c>
      <c r="AL75" s="1532">
        <f t="shared" si="68"/>
        <v>1314198</v>
      </c>
    </row>
    <row r="76" spans="1:38" s="609" customFormat="1" ht="16.2" customHeight="1" thickTop="1">
      <c r="A76" s="2330" t="s">
        <v>1039</v>
      </c>
      <c r="B76" s="2338"/>
      <c r="C76" s="1425"/>
      <c r="D76" s="1198"/>
      <c r="E76" s="1198"/>
      <c r="F76" s="1198"/>
      <c r="G76" s="1198"/>
      <c r="H76" s="1198"/>
      <c r="I76" s="1200"/>
      <c r="J76" s="1200"/>
      <c r="K76" s="1200"/>
      <c r="L76" s="1198"/>
      <c r="M76" s="1200"/>
      <c r="N76" s="1200"/>
      <c r="O76" s="1198"/>
      <c r="P76" s="1200"/>
      <c r="Q76" s="1398">
        <f>+'Table 4 Level 4'!$E$98</f>
        <v>0</v>
      </c>
      <c r="R76" s="1200"/>
      <c r="S76" s="1200">
        <f t="shared" ref="S76:S80" si="69">Q76-R76</f>
        <v>0</v>
      </c>
      <c r="T76" s="1398">
        <f t="shared" ref="T76:T80" si="70">ROUND(S76/12,0)</f>
        <v>0</v>
      </c>
      <c r="U76" s="1582">
        <f>+'Table 4 Level 4'!$E$98</f>
        <v>0</v>
      </c>
      <c r="V76" s="1392"/>
      <c r="W76" s="1391"/>
      <c r="X76" s="1392"/>
      <c r="Y76" s="1391"/>
      <c r="Z76" s="1392"/>
      <c r="AA76" s="1392"/>
      <c r="AB76" s="1395"/>
      <c r="AC76" s="1392"/>
      <c r="AD76" s="1395"/>
      <c r="AE76" s="1395"/>
      <c r="AF76" s="1395"/>
      <c r="AG76" s="1395"/>
      <c r="AH76" s="1395"/>
      <c r="AI76" s="1395"/>
      <c r="AJ76" s="1395"/>
      <c r="AK76" s="1505">
        <f>AG76+U76</f>
        <v>0</v>
      </c>
      <c r="AL76" s="1601">
        <f t="shared" ref="AL76:AL80" si="71">T76+AJ76</f>
        <v>0</v>
      </c>
    </row>
    <row r="77" spans="1:38" s="609" customFormat="1" ht="16.2" customHeight="1">
      <c r="A77" s="2332" t="s">
        <v>1040</v>
      </c>
      <c r="B77" s="2339"/>
      <c r="C77" s="1425"/>
      <c r="D77" s="1198"/>
      <c r="E77" s="1198"/>
      <c r="F77" s="1198"/>
      <c r="G77" s="1198"/>
      <c r="H77" s="1198"/>
      <c r="I77" s="1200"/>
      <c r="J77" s="1200"/>
      <c r="K77" s="1200"/>
      <c r="L77" s="1198"/>
      <c r="M77" s="1200"/>
      <c r="N77" s="1200"/>
      <c r="O77" s="1198"/>
      <c r="P77" s="1200"/>
      <c r="Q77" s="1200">
        <v>0</v>
      </c>
      <c r="R77" s="1200"/>
      <c r="S77" s="1200">
        <f t="shared" si="69"/>
        <v>0</v>
      </c>
      <c r="T77" s="1200">
        <f t="shared" si="70"/>
        <v>0</v>
      </c>
      <c r="U77" s="1582">
        <f>+'Table 4 Level 4'!$J$98</f>
        <v>0</v>
      </c>
      <c r="V77" s="1392"/>
      <c r="W77" s="1391"/>
      <c r="X77" s="1392"/>
      <c r="Y77" s="1391"/>
      <c r="Z77" s="1392"/>
      <c r="AA77" s="1392"/>
      <c r="AB77" s="1395"/>
      <c r="AC77" s="1392"/>
      <c r="AD77" s="1395"/>
      <c r="AE77" s="1395"/>
      <c r="AF77" s="1395"/>
      <c r="AG77" s="1395"/>
      <c r="AH77" s="1395"/>
      <c r="AI77" s="1395"/>
      <c r="AJ77" s="1395"/>
      <c r="AK77" s="1395">
        <f t="shared" ref="AK77:AK80" si="72">AG77+U77</f>
        <v>0</v>
      </c>
      <c r="AL77" s="1601">
        <f t="shared" si="71"/>
        <v>0</v>
      </c>
    </row>
    <row r="78" spans="1:38" s="609" customFormat="1" ht="16.2" customHeight="1">
      <c r="A78" s="2332" t="s">
        <v>1041</v>
      </c>
      <c r="B78" s="2339"/>
      <c r="C78" s="1425"/>
      <c r="D78" s="1198"/>
      <c r="E78" s="1198"/>
      <c r="F78" s="1198"/>
      <c r="G78" s="1198"/>
      <c r="H78" s="1198"/>
      <c r="I78" s="1200"/>
      <c r="J78" s="1200"/>
      <c r="K78" s="1200"/>
      <c r="L78" s="1198"/>
      <c r="M78" s="1200"/>
      <c r="N78" s="1200"/>
      <c r="O78" s="1198"/>
      <c r="P78" s="1200"/>
      <c r="Q78" s="1200">
        <v>0</v>
      </c>
      <c r="R78" s="1200"/>
      <c r="S78" s="1200">
        <f t="shared" si="69"/>
        <v>0</v>
      </c>
      <c r="T78" s="1200">
        <f t="shared" si="70"/>
        <v>0</v>
      </c>
      <c r="U78" s="1582">
        <f>+'Table 4 Level 4'!$K$98</f>
        <v>0</v>
      </c>
      <c r="V78" s="1392"/>
      <c r="W78" s="1391"/>
      <c r="X78" s="1392"/>
      <c r="Y78" s="1391"/>
      <c r="Z78" s="1392"/>
      <c r="AA78" s="1392"/>
      <c r="AB78" s="1395"/>
      <c r="AC78" s="1392"/>
      <c r="AD78" s="1395"/>
      <c r="AE78" s="1395"/>
      <c r="AF78" s="1395"/>
      <c r="AG78" s="1395"/>
      <c r="AH78" s="1395"/>
      <c r="AI78" s="1395"/>
      <c r="AJ78" s="1395"/>
      <c r="AK78" s="1395">
        <f t="shared" si="72"/>
        <v>0</v>
      </c>
      <c r="AL78" s="1601">
        <f t="shared" si="71"/>
        <v>0</v>
      </c>
    </row>
    <row r="79" spans="1:38" s="609" customFormat="1" ht="16.2" customHeight="1">
      <c r="A79" s="2332" t="s">
        <v>1042</v>
      </c>
      <c r="B79" s="2339"/>
      <c r="C79" s="1425"/>
      <c r="D79" s="1198"/>
      <c r="E79" s="1198"/>
      <c r="F79" s="1198"/>
      <c r="G79" s="1198"/>
      <c r="H79" s="1198"/>
      <c r="I79" s="1200"/>
      <c r="J79" s="1200"/>
      <c r="K79" s="1200"/>
      <c r="L79" s="1198"/>
      <c r="M79" s="1200"/>
      <c r="N79" s="1200"/>
      <c r="O79" s="1198"/>
      <c r="P79" s="1200"/>
      <c r="Q79" s="1200">
        <v>0</v>
      </c>
      <c r="R79" s="1200"/>
      <c r="S79" s="1200">
        <f t="shared" si="69"/>
        <v>0</v>
      </c>
      <c r="T79" s="1200">
        <f t="shared" si="70"/>
        <v>0</v>
      </c>
      <c r="U79" s="1582">
        <f>+'Table 4 Level 4'!$L$98</f>
        <v>0</v>
      </c>
      <c r="V79" s="1392"/>
      <c r="W79" s="1391"/>
      <c r="X79" s="1392"/>
      <c r="Y79" s="1391"/>
      <c r="Z79" s="1392"/>
      <c r="AA79" s="1392"/>
      <c r="AB79" s="1395"/>
      <c r="AC79" s="1392"/>
      <c r="AD79" s="1395"/>
      <c r="AE79" s="1395"/>
      <c r="AF79" s="1395"/>
      <c r="AG79" s="1395"/>
      <c r="AH79" s="1395"/>
      <c r="AI79" s="1395"/>
      <c r="AJ79" s="1395"/>
      <c r="AK79" s="1395">
        <f t="shared" si="72"/>
        <v>0</v>
      </c>
      <c r="AL79" s="1601">
        <f t="shared" si="71"/>
        <v>0</v>
      </c>
    </row>
    <row r="80" spans="1:38" s="609" customFormat="1" ht="16.2" customHeight="1">
      <c r="A80" s="2340" t="s">
        <v>1043</v>
      </c>
      <c r="B80" s="2341"/>
      <c r="C80" s="1417"/>
      <c r="D80" s="1193"/>
      <c r="E80" s="1193"/>
      <c r="F80" s="1193"/>
      <c r="G80" s="1193"/>
      <c r="H80" s="1193"/>
      <c r="I80" s="1195"/>
      <c r="J80" s="1195"/>
      <c r="K80" s="1195"/>
      <c r="L80" s="1193"/>
      <c r="M80" s="1195"/>
      <c r="N80" s="1195"/>
      <c r="O80" s="1193"/>
      <c r="P80" s="1195"/>
      <c r="Q80" s="1547">
        <f>+'Table 4 Level 4'!$N$98</f>
        <v>23686</v>
      </c>
      <c r="R80" s="1195"/>
      <c r="S80" s="1195">
        <f t="shared" si="69"/>
        <v>23686</v>
      </c>
      <c r="T80" s="1547">
        <f t="shared" si="70"/>
        <v>1974</v>
      </c>
      <c r="U80" s="1583">
        <f>+'Table 4 Level 4'!$N$98</f>
        <v>23686</v>
      </c>
      <c r="V80" s="1408"/>
      <c r="W80" s="1407"/>
      <c r="X80" s="1408"/>
      <c r="Y80" s="1407"/>
      <c r="Z80" s="1408"/>
      <c r="AA80" s="1408"/>
      <c r="AB80" s="1416"/>
      <c r="AC80" s="1408"/>
      <c r="AD80" s="1416"/>
      <c r="AE80" s="1416"/>
      <c r="AF80" s="1416"/>
      <c r="AG80" s="1416"/>
      <c r="AH80" s="1416"/>
      <c r="AI80" s="1416"/>
      <c r="AJ80" s="1416"/>
      <c r="AK80" s="1506">
        <f t="shared" si="72"/>
        <v>23686</v>
      </c>
      <c r="AL80" s="1602">
        <f t="shared" si="71"/>
        <v>1974</v>
      </c>
    </row>
    <row r="81" spans="1:38" ht="16.2" customHeight="1" thickBot="1">
      <c r="A81" s="2221" t="s">
        <v>1044</v>
      </c>
      <c r="B81" s="2194"/>
      <c r="C81" s="1107">
        <f>SUM(C75:C80)</f>
        <v>1826</v>
      </c>
      <c r="D81" s="1046">
        <f t="shared" ref="D81:AL81" si="73">SUM(D75:D80)</f>
        <v>0</v>
      </c>
      <c r="E81" s="1046">
        <f t="shared" si="73"/>
        <v>7548310.8440492442</v>
      </c>
      <c r="F81" s="1046">
        <f t="shared" si="73"/>
        <v>0</v>
      </c>
      <c r="G81" s="1046">
        <f t="shared" si="73"/>
        <v>1149789.8007652205</v>
      </c>
      <c r="H81" s="1046">
        <f t="shared" si="73"/>
        <v>8698100.6448144615</v>
      </c>
      <c r="I81" s="1053">
        <f t="shared" si="73"/>
        <v>965233.51122832892</v>
      </c>
      <c r="J81" s="1053">
        <f t="shared" si="73"/>
        <v>0</v>
      </c>
      <c r="K81" s="1053">
        <f t="shared" si="73"/>
        <v>0</v>
      </c>
      <c r="L81" s="1046">
        <f t="shared" si="73"/>
        <v>0</v>
      </c>
      <c r="M81" s="1053">
        <f t="shared" si="73"/>
        <v>8698100.6448144615</v>
      </c>
      <c r="N81" s="1053">
        <f t="shared" si="73"/>
        <v>-21745.251612036154</v>
      </c>
      <c r="O81" s="1046">
        <f t="shared" si="73"/>
        <v>8676355.3932024296</v>
      </c>
      <c r="P81" s="1053">
        <f t="shared" si="73"/>
        <v>-38683.595887617179</v>
      </c>
      <c r="Q81" s="1549">
        <f t="shared" si="73"/>
        <v>8661357.7973148115</v>
      </c>
      <c r="R81" s="1053">
        <f t="shared" si="73"/>
        <v>0</v>
      </c>
      <c r="S81" s="1053">
        <f t="shared" si="73"/>
        <v>8661357.7973148115</v>
      </c>
      <c r="T81" s="1549">
        <f t="shared" si="73"/>
        <v>721782</v>
      </c>
      <c r="U81" s="1584">
        <f t="shared" si="73"/>
        <v>8661357.7973148115</v>
      </c>
      <c r="V81" s="1055">
        <f t="shared" si="73"/>
        <v>4196.7</v>
      </c>
      <c r="W81" s="1057">
        <f t="shared" si="73"/>
        <v>7150576.4999999981</v>
      </c>
      <c r="X81" s="1055">
        <f t="shared" si="73"/>
        <v>0</v>
      </c>
      <c r="Y81" s="1057">
        <f t="shared" si="73"/>
        <v>0</v>
      </c>
      <c r="Z81" s="1055">
        <f t="shared" si="73"/>
        <v>0</v>
      </c>
      <c r="AA81" s="1055">
        <f t="shared" si="73"/>
        <v>0</v>
      </c>
      <c r="AB81" s="1055">
        <f t="shared" si="73"/>
        <v>0</v>
      </c>
      <c r="AC81" s="1055">
        <f t="shared" si="73"/>
        <v>7150576.4999999981</v>
      </c>
      <c r="AD81" s="1055">
        <f t="shared" si="73"/>
        <v>-17876.441250000007</v>
      </c>
      <c r="AE81" s="1055">
        <f t="shared" si="73"/>
        <v>7132700.0587499989</v>
      </c>
      <c r="AF81" s="1055">
        <f t="shared" si="73"/>
        <v>0</v>
      </c>
      <c r="AG81" s="1055">
        <f t="shared" si="73"/>
        <v>7132700.0587499989</v>
      </c>
      <c r="AH81" s="1055">
        <f t="shared" si="73"/>
        <v>0</v>
      </c>
      <c r="AI81" s="1055">
        <f t="shared" si="73"/>
        <v>7132700.0587499989</v>
      </c>
      <c r="AJ81" s="1056">
        <f t="shared" si="73"/>
        <v>594390</v>
      </c>
      <c r="AK81" s="1504">
        <f t="shared" si="73"/>
        <v>15794057.856064811</v>
      </c>
      <c r="AL81" s="1504">
        <f t="shared" si="73"/>
        <v>1316172</v>
      </c>
    </row>
    <row r="82" spans="1:38" s="609" customFormat="1" ht="16.2" customHeight="1" thickTop="1">
      <c r="B82" s="318"/>
      <c r="C82" s="319"/>
      <c r="D82" s="320"/>
      <c r="E82" s="319"/>
      <c r="F82" s="319"/>
      <c r="G82" s="319"/>
      <c r="H82" s="600"/>
      <c r="I82" s="600"/>
      <c r="J82" s="600"/>
      <c r="K82" s="600"/>
      <c r="L82" s="600"/>
      <c r="M82" s="600"/>
      <c r="N82" s="600"/>
      <c r="O82" s="600"/>
      <c r="P82" s="600"/>
      <c r="Q82" s="600"/>
      <c r="R82" s="600"/>
      <c r="S82" s="600"/>
      <c r="T82" s="600"/>
      <c r="U82" s="600"/>
    </row>
    <row r="83" spans="1:38" s="609" customFormat="1" ht="16.2" customHeight="1">
      <c r="B83" s="318"/>
      <c r="C83" s="319"/>
      <c r="D83" s="320"/>
      <c r="E83" s="319"/>
      <c r="F83" s="319"/>
      <c r="G83" s="319"/>
      <c r="H83" s="600"/>
      <c r="I83" s="600"/>
      <c r="J83" s="600"/>
      <c r="K83" s="600"/>
      <c r="L83" s="600"/>
      <c r="M83" s="600"/>
      <c r="N83" s="600"/>
      <c r="O83" s="600"/>
      <c r="P83" s="600"/>
      <c r="Q83" s="600"/>
      <c r="R83" s="600"/>
      <c r="S83" s="600"/>
      <c r="T83" s="600"/>
      <c r="U83" s="600"/>
    </row>
    <row r="84" spans="1:38" s="370" customFormat="1" ht="16.2" customHeight="1">
      <c r="C84" s="368"/>
      <c r="D84" s="369"/>
      <c r="E84" s="369"/>
      <c r="F84" s="369"/>
      <c r="G84" s="369"/>
      <c r="H84" s="369"/>
      <c r="I84" s="369"/>
      <c r="J84" s="369"/>
      <c r="K84" s="369"/>
      <c r="L84" s="369"/>
      <c r="M84" s="369"/>
      <c r="N84" s="369"/>
      <c r="R84" s="601"/>
      <c r="S84" s="601"/>
      <c r="U84" s="605"/>
      <c r="X84" s="603"/>
      <c r="Y84" s="603"/>
      <c r="Z84" s="605"/>
      <c r="AA84" s="605"/>
      <c r="AB84" s="605"/>
      <c r="AC84" s="603"/>
      <c r="AH84" s="605"/>
      <c r="AI84" s="605"/>
    </row>
    <row r="85" spans="1:38" ht="16.2" customHeight="1"/>
    <row r="86" spans="1:38" ht="16.2" customHeight="1"/>
  </sheetData>
  <mergeCells count="47">
    <mergeCell ref="P3:P4"/>
    <mergeCell ref="Q3:Q4"/>
    <mergeCell ref="T3:T4"/>
    <mergeCell ref="I3:I4"/>
    <mergeCell ref="J3:J4"/>
    <mergeCell ref="K3:K4"/>
    <mergeCell ref="L3:L4"/>
    <mergeCell ref="M3:M4"/>
    <mergeCell ref="S3:S4"/>
    <mergeCell ref="AD1:AJ1"/>
    <mergeCell ref="V1:AC1"/>
    <mergeCell ref="A1:B4"/>
    <mergeCell ref="J2:L2"/>
    <mergeCell ref="X2:AB2"/>
    <mergeCell ref="U3:U4"/>
    <mergeCell ref="C1:L1"/>
    <mergeCell ref="M1:U1"/>
    <mergeCell ref="D3:D4"/>
    <mergeCell ref="C3:C4"/>
    <mergeCell ref="E3:E4"/>
    <mergeCell ref="F3:F4"/>
    <mergeCell ref="G3:G4"/>
    <mergeCell ref="H3:H4"/>
    <mergeCell ref="O3:O4"/>
    <mergeCell ref="Y3:Y4"/>
    <mergeCell ref="AK3:AK4"/>
    <mergeCell ref="AL3:AL4"/>
    <mergeCell ref="AF3:AF4"/>
    <mergeCell ref="AG3:AG4"/>
    <mergeCell ref="AJ3:AJ4"/>
    <mergeCell ref="AI3:AI4"/>
    <mergeCell ref="AH3:AH4"/>
    <mergeCell ref="V3:V4"/>
    <mergeCell ref="W3:W4"/>
    <mergeCell ref="AE3:AE4"/>
    <mergeCell ref="R3:R4"/>
    <mergeCell ref="AC3:AC4"/>
    <mergeCell ref="AA3:AA4"/>
    <mergeCell ref="X3:X4"/>
    <mergeCell ref="Z3:Z4"/>
    <mergeCell ref="A75:B75"/>
    <mergeCell ref="A80:B80"/>
    <mergeCell ref="A81:B81"/>
    <mergeCell ref="A76:B76"/>
    <mergeCell ref="A77:B77"/>
    <mergeCell ref="A78:B78"/>
    <mergeCell ref="A79:B79"/>
  </mergeCells>
  <printOptions horizontalCentered="1"/>
  <pageMargins left="0.32" right="0.32" top="0.75" bottom="0.75" header="0.3" footer="0.3"/>
  <pageSetup paperSize="5" scale="60" firstPageNumber="66" orientation="portrait" r:id="rId1"/>
  <headerFooter alignWithMargins="0">
    <oddHeader>&amp;L&amp;"Arial,Bold"&amp;20&amp;K000000Table 5C2: FY2014-15 Budget Letter 
Louisiana Virtual Charter Academy</oddHeader>
    <oddFooter>&amp;R&amp;P</oddFooter>
  </headerFooter>
  <colBreaks count="2" manualBreakCount="2">
    <brk id="21" max="1048575" man="1"/>
    <brk id="29" max="80"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tint="0.79998168889431442"/>
  </sheetPr>
  <dimension ref="A1:AL86"/>
  <sheetViews>
    <sheetView view="pageBreakPreview" zoomScale="80" zoomScaleNormal="85" zoomScaleSheetLayoutView="80" workbookViewId="0">
      <pane xSplit="2" ySplit="5" topLeftCell="C6" activePane="bottomRight" state="frozen"/>
      <selection sqref="A1:H1"/>
      <selection pane="topRight" sqref="A1:H1"/>
      <selection pane="bottomLeft" sqref="A1:H1"/>
      <selection pane="bottomRight" sqref="A1:H1"/>
    </sheetView>
  </sheetViews>
  <sheetFormatPr defaultColWidth="9.109375" defaultRowHeight="18" customHeight="1"/>
  <cols>
    <col min="1" max="1" width="5.109375" style="315" customWidth="1"/>
    <col min="2" max="2" width="37.6640625" style="315" customWidth="1"/>
    <col min="3" max="3" width="12.109375" style="315" bestFit="1" customWidth="1"/>
    <col min="4" max="4" width="14.33203125" style="315" bestFit="1" customWidth="1"/>
    <col min="5" max="5" width="9.88671875" style="321" customWidth="1"/>
    <col min="6" max="7" width="12.33203125" style="321" customWidth="1"/>
    <col min="8" max="8" width="11.5546875" style="315" customWidth="1"/>
    <col min="9" max="9" width="11.33203125" style="315" bestFit="1" customWidth="1"/>
    <col min="10" max="13" width="11.88671875" style="609" customWidth="1"/>
    <col min="14" max="14" width="10.5546875" style="315" bestFit="1" customWidth="1"/>
    <col min="15" max="17" width="11.88671875" style="315" bestFit="1" customWidth="1"/>
    <col min="18" max="18" width="9.5546875" style="609" bestFit="1" customWidth="1"/>
    <col min="19" max="19" width="10.6640625" style="609" bestFit="1" customWidth="1"/>
    <col min="20" max="20" width="9.88671875" style="315" bestFit="1" customWidth="1"/>
    <col min="21" max="21" width="11.88671875" style="609" bestFit="1" customWidth="1"/>
    <col min="22" max="23" width="15.44140625" style="315" customWidth="1"/>
    <col min="24" max="24" width="12.109375" style="609" bestFit="1" customWidth="1"/>
    <col min="25" max="25" width="10.88671875" style="609" bestFit="1" customWidth="1"/>
    <col min="26" max="27" width="12.109375" style="609" bestFit="1" customWidth="1"/>
    <col min="28" max="28" width="10.88671875" style="609" bestFit="1" customWidth="1"/>
    <col min="29" max="29" width="14.44140625" style="609" bestFit="1" customWidth="1"/>
    <col min="30" max="30" width="10.5546875" style="315" bestFit="1" customWidth="1"/>
    <col min="31" max="31" width="11.88671875" style="315" bestFit="1" customWidth="1"/>
    <col min="32" max="32" width="15.44140625" style="315" bestFit="1" customWidth="1"/>
    <col min="33" max="33" width="16.33203125" style="315" bestFit="1" customWidth="1"/>
    <col min="34" max="34" width="9.5546875" style="609" bestFit="1" customWidth="1"/>
    <col min="35" max="35" width="10.6640625" style="609" bestFit="1" customWidth="1"/>
    <col min="36" max="36" width="14" style="315" customWidth="1"/>
    <col min="37" max="37" width="14.44140625" style="315" bestFit="1" customWidth="1"/>
    <col min="38" max="38" width="14.109375" style="315" customWidth="1"/>
    <col min="39" max="16384" width="9.109375" style="315"/>
  </cols>
  <sheetData>
    <row r="1" spans="1:38" s="609" customFormat="1" ht="22.2" customHeight="1">
      <c r="A1" s="2226" t="s">
        <v>350</v>
      </c>
      <c r="B1" s="2226"/>
      <c r="C1" s="2390" t="s">
        <v>1089</v>
      </c>
      <c r="D1" s="2391"/>
      <c r="E1" s="2391"/>
      <c r="F1" s="2391"/>
      <c r="G1" s="2391"/>
      <c r="H1" s="2391"/>
      <c r="I1" s="2391"/>
      <c r="J1" s="2391"/>
      <c r="K1" s="2391"/>
      <c r="L1" s="2392"/>
      <c r="M1" s="2390" t="s">
        <v>1089</v>
      </c>
      <c r="N1" s="2391"/>
      <c r="O1" s="2391"/>
      <c r="P1" s="2391"/>
      <c r="Q1" s="2391"/>
      <c r="R1" s="2391"/>
      <c r="S1" s="2391"/>
      <c r="T1" s="2391"/>
      <c r="U1" s="2392"/>
      <c r="V1" s="2268" t="s">
        <v>1247</v>
      </c>
      <c r="W1" s="2266"/>
      <c r="X1" s="2266"/>
      <c r="Y1" s="2266"/>
      <c r="Z1" s="2266"/>
      <c r="AA1" s="2266"/>
      <c r="AB1" s="2266"/>
      <c r="AC1" s="2267"/>
      <c r="AD1" s="2268" t="s">
        <v>1247</v>
      </c>
      <c r="AE1" s="2266"/>
      <c r="AF1" s="2266"/>
      <c r="AG1" s="2266"/>
      <c r="AH1" s="2266"/>
      <c r="AI1" s="2266"/>
      <c r="AJ1" s="2267"/>
    </row>
    <row r="2" spans="1:38" s="609" customFormat="1" ht="25.95" customHeight="1">
      <c r="A2" s="2226"/>
      <c r="B2" s="2226"/>
      <c r="C2" s="973"/>
      <c r="D2" s="619"/>
      <c r="E2" s="621"/>
      <c r="F2" s="621"/>
      <c r="G2" s="621"/>
      <c r="H2" s="619"/>
      <c r="I2" s="619"/>
      <c r="J2" s="2227" t="s">
        <v>531</v>
      </c>
      <c r="K2" s="2228"/>
      <c r="L2" s="2229"/>
      <c r="M2" s="973"/>
      <c r="N2" s="619"/>
      <c r="O2" s="619"/>
      <c r="P2" s="619"/>
      <c r="Q2" s="619"/>
      <c r="R2" s="619"/>
      <c r="S2" s="619"/>
      <c r="T2" s="619"/>
      <c r="U2" s="620"/>
      <c r="V2" s="1586"/>
      <c r="W2" s="1587"/>
      <c r="X2" s="2362" t="s">
        <v>531</v>
      </c>
      <c r="Y2" s="2363"/>
      <c r="Z2" s="2363"/>
      <c r="AA2" s="2363"/>
      <c r="AB2" s="2364"/>
      <c r="AC2" s="1588"/>
      <c r="AD2" s="1586"/>
      <c r="AE2" s="1587"/>
      <c r="AF2" s="1587"/>
      <c r="AG2" s="1587"/>
      <c r="AH2" s="1587"/>
      <c r="AI2" s="1587"/>
      <c r="AJ2" s="1588"/>
    </row>
    <row r="3" spans="1:38" ht="168.6" customHeight="1">
      <c r="A3" s="2226"/>
      <c r="B3" s="2226"/>
      <c r="C3" s="2400" t="s">
        <v>935</v>
      </c>
      <c r="D3" s="2402" t="s">
        <v>1144</v>
      </c>
      <c r="E3" s="2401" t="s">
        <v>1142</v>
      </c>
      <c r="F3" s="2402" t="s">
        <v>1145</v>
      </c>
      <c r="G3" s="2402" t="s">
        <v>1143</v>
      </c>
      <c r="H3" s="2401" t="s">
        <v>549</v>
      </c>
      <c r="I3" s="2402" t="s">
        <v>1146</v>
      </c>
      <c r="J3" s="2312" t="s">
        <v>770</v>
      </c>
      <c r="K3" s="2312" t="s">
        <v>769</v>
      </c>
      <c r="L3" s="2312" t="s">
        <v>551</v>
      </c>
      <c r="M3" s="2398" t="s">
        <v>1088</v>
      </c>
      <c r="N3" s="1605" t="s">
        <v>1095</v>
      </c>
      <c r="O3" s="2397" t="s">
        <v>1024</v>
      </c>
      <c r="P3" s="2261" t="s">
        <v>1036</v>
      </c>
      <c r="Q3" s="2397" t="s">
        <v>1056</v>
      </c>
      <c r="R3" s="2384" t="s">
        <v>760</v>
      </c>
      <c r="S3" s="2384" t="s">
        <v>761</v>
      </c>
      <c r="T3" s="2256" t="s">
        <v>550</v>
      </c>
      <c r="U3" s="2243" t="s">
        <v>1080</v>
      </c>
      <c r="V3" s="2294" t="s">
        <v>1274</v>
      </c>
      <c r="W3" s="2294" t="s">
        <v>1275</v>
      </c>
      <c r="X3" s="2387" t="s">
        <v>1253</v>
      </c>
      <c r="Y3" s="2387" t="s">
        <v>1251</v>
      </c>
      <c r="Z3" s="2387" t="s">
        <v>1254</v>
      </c>
      <c r="AA3" s="2387" t="s">
        <v>1259</v>
      </c>
      <c r="AB3" s="1499" t="s">
        <v>551</v>
      </c>
      <c r="AC3" s="2386" t="s">
        <v>1255</v>
      </c>
      <c r="AD3" s="1589" t="s">
        <v>1094</v>
      </c>
      <c r="AE3" s="2383" t="s">
        <v>1256</v>
      </c>
      <c r="AF3" s="2399" t="s">
        <v>1036</v>
      </c>
      <c r="AG3" s="2383" t="s">
        <v>1271</v>
      </c>
      <c r="AH3" s="2388" t="s">
        <v>981</v>
      </c>
      <c r="AI3" s="2388" t="s">
        <v>761</v>
      </c>
      <c r="AJ3" s="2388" t="s">
        <v>1242</v>
      </c>
      <c r="AK3" s="2132" t="s">
        <v>1265</v>
      </c>
      <c r="AL3" s="2132" t="s">
        <v>1264</v>
      </c>
    </row>
    <row r="4" spans="1:38" ht="21.6" customHeight="1">
      <c r="A4" s="2226"/>
      <c r="B4" s="2226"/>
      <c r="C4" s="2394"/>
      <c r="D4" s="2257"/>
      <c r="E4" s="2385"/>
      <c r="F4" s="2257"/>
      <c r="G4" s="2257"/>
      <c r="H4" s="2385"/>
      <c r="I4" s="2257"/>
      <c r="J4" s="2251"/>
      <c r="K4" s="2251"/>
      <c r="L4" s="2251"/>
      <c r="M4" s="2301"/>
      <c r="N4" s="1581">
        <v>2.5000000000000001E-3</v>
      </c>
      <c r="O4" s="2397"/>
      <c r="P4" s="2262"/>
      <c r="Q4" s="2397"/>
      <c r="R4" s="2385"/>
      <c r="S4" s="2385"/>
      <c r="T4" s="2385"/>
      <c r="U4" s="2244"/>
      <c r="V4" s="2238"/>
      <c r="W4" s="2238"/>
      <c r="X4" s="2251"/>
      <c r="Y4" s="2251"/>
      <c r="Z4" s="2251"/>
      <c r="AA4" s="2251"/>
      <c r="AB4" s="1494"/>
      <c r="AC4" s="2280"/>
      <c r="AD4" s="1590">
        <v>2.5000000000000001E-3</v>
      </c>
      <c r="AE4" s="2253"/>
      <c r="AF4" s="2262"/>
      <c r="AG4" s="2253"/>
      <c r="AH4" s="2389"/>
      <c r="AI4" s="2389"/>
      <c r="AJ4" s="2389"/>
      <c r="AK4" s="2133"/>
      <c r="AL4" s="2133"/>
    </row>
    <row r="5" spans="1:38" s="316" customFormat="1" ht="16.5" customHeight="1">
      <c r="A5" s="1071"/>
      <c r="B5" s="1071"/>
      <c r="C5" s="1072">
        <v>1</v>
      </c>
      <c r="D5" s="1073">
        <f>C5+1</f>
        <v>2</v>
      </c>
      <c r="E5" s="1073">
        <f>D5+1</f>
        <v>3</v>
      </c>
      <c r="F5" s="1073">
        <f>E5+1</f>
        <v>4</v>
      </c>
      <c r="G5" s="1073">
        <f>F5+1</f>
        <v>5</v>
      </c>
      <c r="H5" s="1073">
        <f t="shared" ref="H5" si="0">G5+1</f>
        <v>6</v>
      </c>
      <c r="I5" s="1073">
        <f t="shared" ref="I5" si="1">H5+1</f>
        <v>7</v>
      </c>
      <c r="J5" s="1073">
        <f t="shared" ref="J5" si="2">I5+1</f>
        <v>8</v>
      </c>
      <c r="K5" s="1073">
        <f t="shared" ref="K5" si="3">J5+1</f>
        <v>9</v>
      </c>
      <c r="L5" s="1073">
        <f t="shared" ref="L5" si="4">K5+1</f>
        <v>10</v>
      </c>
      <c r="M5" s="1073">
        <f t="shared" ref="M5:N5" si="5">L5+1</f>
        <v>11</v>
      </c>
      <c r="N5" s="1073">
        <f t="shared" si="5"/>
        <v>12</v>
      </c>
      <c r="O5" s="1073">
        <f t="shared" ref="O5" si="6">N5+1</f>
        <v>13</v>
      </c>
      <c r="P5" s="1073">
        <f t="shared" ref="P5" si="7">O5+1</f>
        <v>14</v>
      </c>
      <c r="Q5" s="1073">
        <f t="shared" ref="Q5" si="8">P5+1</f>
        <v>15</v>
      </c>
      <c r="R5" s="1073">
        <f t="shared" ref="R5" si="9">Q5+1</f>
        <v>16</v>
      </c>
      <c r="S5" s="1073">
        <f t="shared" ref="S5" si="10">R5+1</f>
        <v>17</v>
      </c>
      <c r="T5" s="1073">
        <f t="shared" ref="T5" si="11">S5+1</f>
        <v>18</v>
      </c>
      <c r="U5" s="1073">
        <f t="shared" ref="U5" si="12">T5+1</f>
        <v>19</v>
      </c>
      <c r="V5" s="1073">
        <f t="shared" ref="V5" si="13">U5+1</f>
        <v>20</v>
      </c>
      <c r="W5" s="1073">
        <f t="shared" ref="W5" si="14">V5+1</f>
        <v>21</v>
      </c>
      <c r="X5" s="1073">
        <f t="shared" ref="X5" si="15">W5+1</f>
        <v>22</v>
      </c>
      <c r="Y5" s="1073">
        <f t="shared" ref="Y5" si="16">X5+1</f>
        <v>23</v>
      </c>
      <c r="Z5" s="1073">
        <f t="shared" ref="Z5" si="17">Y5+1</f>
        <v>24</v>
      </c>
      <c r="AA5" s="1073">
        <f t="shared" ref="AA5" si="18">Z5+1</f>
        <v>25</v>
      </c>
      <c r="AB5" s="1073">
        <f t="shared" ref="AB5" si="19">AA5+1</f>
        <v>26</v>
      </c>
      <c r="AC5" s="1073">
        <f t="shared" ref="AC5" si="20">AB5+1</f>
        <v>27</v>
      </c>
      <c r="AD5" s="1073">
        <f t="shared" ref="AD5" si="21">AC5+1</f>
        <v>28</v>
      </c>
      <c r="AE5" s="1073">
        <f t="shared" ref="AE5" si="22">AD5+1</f>
        <v>29</v>
      </c>
      <c r="AF5" s="1073">
        <f t="shared" ref="AF5" si="23">AE5+1</f>
        <v>30</v>
      </c>
      <c r="AG5" s="1073">
        <f t="shared" ref="AG5" si="24">AF5+1</f>
        <v>31</v>
      </c>
      <c r="AH5" s="1073">
        <f t="shared" ref="AH5" si="25">AG5+1</f>
        <v>32</v>
      </c>
      <c r="AI5" s="1073">
        <f t="shared" ref="AI5" si="26">AH5+1</f>
        <v>33</v>
      </c>
      <c r="AJ5" s="1073">
        <f t="shared" ref="AJ5" si="27">AI5+1</f>
        <v>34</v>
      </c>
      <c r="AK5" s="1073">
        <f t="shared" ref="AK5" si="28">AJ5+1</f>
        <v>35</v>
      </c>
      <c r="AL5" s="1073">
        <f t="shared" ref="AL5" si="29">AK5+1</f>
        <v>36</v>
      </c>
    </row>
    <row r="6" spans="1:38" s="317" customFormat="1" ht="16.5" customHeight="1">
      <c r="A6" s="1445">
        <v>1</v>
      </c>
      <c r="B6" s="1446" t="s">
        <v>81</v>
      </c>
      <c r="C6" s="1447">
        <f>+'Table 8 Membership 2.1.14'!L3</f>
        <v>14</v>
      </c>
      <c r="D6" s="1448">
        <f>'Table 3 Levels 1&amp;2'!AL4*90%</f>
        <v>4289.272597201485</v>
      </c>
      <c r="E6" s="1448">
        <f>C6*D6</f>
        <v>60049.816360820791</v>
      </c>
      <c r="F6" s="1449">
        <f>'Table 3A Level 3'!C6*90%</f>
        <v>699.73200000000008</v>
      </c>
      <c r="G6" s="1449">
        <f>F6*C6</f>
        <v>9796.2480000000014</v>
      </c>
      <c r="H6" s="1571">
        <f>E6+G6</f>
        <v>69846.06436082079</v>
      </c>
      <c r="I6" s="1449">
        <f>(('Table 3 Levels 1&amp;2'!AL4-D6)+('Table 3A Level 3'!C6-F6))*C6</f>
        <v>7760.6738178689784</v>
      </c>
      <c r="J6" s="1449"/>
      <c r="K6" s="1449"/>
      <c r="L6" s="1575">
        <f>+J6+K6</f>
        <v>0</v>
      </c>
      <c r="M6" s="1571">
        <f>+H6+L6</f>
        <v>69846.06436082079</v>
      </c>
      <c r="N6" s="1449">
        <f>-0.25%*M6</f>
        <v>-174.61516090205197</v>
      </c>
      <c r="O6" s="1571">
        <f t="shared" ref="O6:O37" si="30">M6+N6</f>
        <v>69671.449199918745</v>
      </c>
      <c r="P6" s="1450">
        <v>0</v>
      </c>
      <c r="Q6" s="1571">
        <f>SUM(O6:P6)</f>
        <v>69671.449199918745</v>
      </c>
      <c r="R6" s="1449"/>
      <c r="S6" s="1449">
        <f>+Q6-R6</f>
        <v>69671.449199918745</v>
      </c>
      <c r="T6" s="1571">
        <f t="shared" ref="T6:T69" si="31">ROUND(S6/12,0)</f>
        <v>5806</v>
      </c>
      <c r="U6" s="1571">
        <f t="shared" ref="U6:U69" si="32">+Q6</f>
        <v>69671.449199918745</v>
      </c>
      <c r="V6" s="1451">
        <f>'Table 5C1A-Madison Prep'!U7*90%</f>
        <v>2168.1</v>
      </c>
      <c r="W6" s="1591">
        <f t="shared" ref="W6:W37" si="33">V6*C6</f>
        <v>30353.399999999998</v>
      </c>
      <c r="X6" s="1453"/>
      <c r="Y6" s="1452">
        <f>+V6*X6</f>
        <v>0</v>
      </c>
      <c r="Z6" s="1452"/>
      <c r="AA6" s="1452">
        <f t="shared" ref="AA6:AA69" si="34">+V6*Z6*0.5</f>
        <v>0</v>
      </c>
      <c r="AB6" s="1596">
        <f t="shared" ref="AB6:AB69" si="35">+Y6+AA6</f>
        <v>0</v>
      </c>
      <c r="AC6" s="1591">
        <f t="shared" ref="AC6:AC69" si="36">+W6+AB6</f>
        <v>30353.399999999998</v>
      </c>
      <c r="AD6" s="1452">
        <f t="shared" ref="AD6:AD69" si="37">AC6*-0.25%</f>
        <v>-75.883499999999998</v>
      </c>
      <c r="AE6" s="1591">
        <f>SUM(AC6:AD6)</f>
        <v>30277.516499999998</v>
      </c>
      <c r="AF6" s="1451">
        <v>0</v>
      </c>
      <c r="AG6" s="1591">
        <f>SUM(AE6:AF6)</f>
        <v>30277.516499999998</v>
      </c>
      <c r="AH6" s="1452"/>
      <c r="AI6" s="1452">
        <f>+AG6-AH6</f>
        <v>30277.516499999998</v>
      </c>
      <c r="AJ6" s="1591">
        <f>ROUND(AI6/12,0)</f>
        <v>2523</v>
      </c>
      <c r="AK6" s="1600">
        <f t="shared" ref="AK6:AK69" si="38">AG6+U6</f>
        <v>99948.965699918743</v>
      </c>
      <c r="AL6" s="1600">
        <f>T6+AJ6</f>
        <v>8329</v>
      </c>
    </row>
    <row r="7" spans="1:38" s="317" customFormat="1" ht="16.2" customHeight="1">
      <c r="A7" s="1454">
        <v>2</v>
      </c>
      <c r="B7" s="1455" t="s">
        <v>82</v>
      </c>
      <c r="C7" s="1456">
        <f>+'Table 8 Membership 2.1.14'!L4</f>
        <v>9</v>
      </c>
      <c r="D7" s="1457">
        <f>'Table 3 Levels 1&amp;2'!AL5*90%</f>
        <v>5684.9639775647975</v>
      </c>
      <c r="E7" s="1457">
        <f t="shared" ref="E7:E70" si="39">C7*D7</f>
        <v>51164.675798083175</v>
      </c>
      <c r="F7" s="1458">
        <f>'Table 3A Level 3'!C7*90%</f>
        <v>758.08800000000008</v>
      </c>
      <c r="G7" s="1458">
        <f t="shared" ref="G7:G70" si="40">F7*C7</f>
        <v>6822.7920000000004</v>
      </c>
      <c r="H7" s="1572">
        <f t="shared" ref="H7:H70" si="41">E7+G7</f>
        <v>57987.467798083177</v>
      </c>
      <c r="I7" s="1458">
        <f>(('Table 3 Levels 1&amp;2'!AL5-D7)+('Table 3A Level 3'!C7-F7))*C7</f>
        <v>6443.0519775647999</v>
      </c>
      <c r="J7" s="1458"/>
      <c r="K7" s="1458"/>
      <c r="L7" s="1576">
        <f t="shared" ref="L7:L70" si="42">+J7+K7</f>
        <v>0</v>
      </c>
      <c r="M7" s="1572">
        <f t="shared" ref="M7:M70" si="43">+H7+L7</f>
        <v>57987.467798083177</v>
      </c>
      <c r="N7" s="1458">
        <f t="shared" ref="N7:N70" si="44">-0.25%*M7</f>
        <v>-144.96866949520793</v>
      </c>
      <c r="O7" s="1572">
        <f t="shared" si="30"/>
        <v>57842.499128587966</v>
      </c>
      <c r="P7" s="1459">
        <v>0</v>
      </c>
      <c r="Q7" s="1572">
        <f t="shared" ref="Q7:Q70" si="45">SUM(O7:P7)</f>
        <v>57842.499128587966</v>
      </c>
      <c r="R7" s="1458"/>
      <c r="S7" s="1458">
        <f t="shared" ref="S7:S70" si="46">+Q7-R7</f>
        <v>57842.499128587966</v>
      </c>
      <c r="T7" s="1572">
        <f t="shared" si="31"/>
        <v>4820</v>
      </c>
      <c r="U7" s="1572">
        <f t="shared" si="32"/>
        <v>57842.499128587966</v>
      </c>
      <c r="V7" s="1460">
        <f>'Table 5C1A-Madison Prep'!U8*90%</f>
        <v>2546.1</v>
      </c>
      <c r="W7" s="1592">
        <f t="shared" si="33"/>
        <v>22914.899999999998</v>
      </c>
      <c r="X7" s="1462"/>
      <c r="Y7" s="1461">
        <f t="shared" ref="Y7:Y70" si="47">+V7*X7</f>
        <v>0</v>
      </c>
      <c r="Z7" s="1461"/>
      <c r="AA7" s="1461">
        <f t="shared" si="34"/>
        <v>0</v>
      </c>
      <c r="AB7" s="1597">
        <f t="shared" si="35"/>
        <v>0</v>
      </c>
      <c r="AC7" s="1592">
        <f t="shared" si="36"/>
        <v>22914.899999999998</v>
      </c>
      <c r="AD7" s="1461">
        <f t="shared" si="37"/>
        <v>-57.287249999999993</v>
      </c>
      <c r="AE7" s="1592">
        <f t="shared" ref="AE7:AE70" si="48">SUM(AC7:AD7)</f>
        <v>22857.612749999997</v>
      </c>
      <c r="AF7" s="1460">
        <v>0</v>
      </c>
      <c r="AG7" s="1592">
        <f t="shared" ref="AG7:AG70" si="49">SUM(AE7:AF7)</f>
        <v>22857.612749999997</v>
      </c>
      <c r="AH7" s="1461"/>
      <c r="AI7" s="1461">
        <f t="shared" ref="AI7:AI70" si="50">+AG7-AH7</f>
        <v>22857.612749999997</v>
      </c>
      <c r="AJ7" s="1592">
        <f t="shared" ref="AJ7:AJ70" si="51">ROUND(AI7/12,0)</f>
        <v>1905</v>
      </c>
      <c r="AK7" s="1601">
        <f t="shared" si="38"/>
        <v>80700.111878587966</v>
      </c>
      <c r="AL7" s="1601">
        <f t="shared" ref="AL7:AL70" si="52">T7+AJ7</f>
        <v>6725</v>
      </c>
    </row>
    <row r="8" spans="1:38" s="317" customFormat="1" ht="16.2" customHeight="1">
      <c r="A8" s="1454">
        <v>3</v>
      </c>
      <c r="B8" s="1455" t="s">
        <v>83</v>
      </c>
      <c r="C8" s="1456">
        <f>+'Table 8 Membership 2.1.14'!L5</f>
        <v>43</v>
      </c>
      <c r="D8" s="1457">
        <f>'Table 3 Levels 1&amp;2'!AL6*90%</f>
        <v>3739.6675824657136</v>
      </c>
      <c r="E8" s="1457">
        <f t="shared" si="39"/>
        <v>160805.70604602568</v>
      </c>
      <c r="F8" s="1458">
        <f>'Table 3A Level 3'!C8*90%</f>
        <v>537.15600000000006</v>
      </c>
      <c r="G8" s="1458">
        <f t="shared" si="40"/>
        <v>23097.708000000002</v>
      </c>
      <c r="H8" s="1572">
        <f t="shared" si="41"/>
        <v>183903.41404602569</v>
      </c>
      <c r="I8" s="1458">
        <f>(('Table 3 Levels 1&amp;2'!AL6-D8)+('Table 3A Level 3'!C8-F8))*C8</f>
        <v>20433.712671780635</v>
      </c>
      <c r="J8" s="1458"/>
      <c r="K8" s="1458"/>
      <c r="L8" s="1576">
        <f t="shared" si="42"/>
        <v>0</v>
      </c>
      <c r="M8" s="1572">
        <f t="shared" si="43"/>
        <v>183903.41404602569</v>
      </c>
      <c r="N8" s="1458">
        <f t="shared" si="44"/>
        <v>-459.75853511506421</v>
      </c>
      <c r="O8" s="1572">
        <f t="shared" si="30"/>
        <v>183443.65551091061</v>
      </c>
      <c r="P8" s="1459">
        <v>0</v>
      </c>
      <c r="Q8" s="1572">
        <f t="shared" si="45"/>
        <v>183443.65551091061</v>
      </c>
      <c r="R8" s="1458"/>
      <c r="S8" s="1458">
        <f t="shared" si="46"/>
        <v>183443.65551091061</v>
      </c>
      <c r="T8" s="1572">
        <f t="shared" si="31"/>
        <v>15287</v>
      </c>
      <c r="U8" s="1572">
        <f t="shared" si="32"/>
        <v>183443.65551091061</v>
      </c>
      <c r="V8" s="1460">
        <f>'Table 5C1A-Madison Prep'!U9*90%</f>
        <v>5193</v>
      </c>
      <c r="W8" s="1592">
        <f t="shared" si="33"/>
        <v>223299</v>
      </c>
      <c r="X8" s="1462"/>
      <c r="Y8" s="1461">
        <f t="shared" si="47"/>
        <v>0</v>
      </c>
      <c r="Z8" s="1461"/>
      <c r="AA8" s="1461">
        <f t="shared" si="34"/>
        <v>0</v>
      </c>
      <c r="AB8" s="1597">
        <f t="shared" si="35"/>
        <v>0</v>
      </c>
      <c r="AC8" s="1592">
        <f t="shared" si="36"/>
        <v>223299</v>
      </c>
      <c r="AD8" s="1461">
        <f t="shared" si="37"/>
        <v>-558.24750000000006</v>
      </c>
      <c r="AE8" s="1592">
        <f t="shared" si="48"/>
        <v>222740.7525</v>
      </c>
      <c r="AF8" s="1460">
        <v>0</v>
      </c>
      <c r="AG8" s="1592">
        <f t="shared" si="49"/>
        <v>222740.7525</v>
      </c>
      <c r="AH8" s="1461"/>
      <c r="AI8" s="1461">
        <f t="shared" si="50"/>
        <v>222740.7525</v>
      </c>
      <c r="AJ8" s="1592">
        <f t="shared" si="51"/>
        <v>18562</v>
      </c>
      <c r="AK8" s="1601">
        <f t="shared" si="38"/>
        <v>406184.40801091061</v>
      </c>
      <c r="AL8" s="1601">
        <f t="shared" si="52"/>
        <v>33849</v>
      </c>
    </row>
    <row r="9" spans="1:38" s="317" customFormat="1" ht="16.2" customHeight="1">
      <c r="A9" s="1454">
        <v>4</v>
      </c>
      <c r="B9" s="1455" t="s">
        <v>84</v>
      </c>
      <c r="C9" s="1456">
        <f>+'Table 8 Membership 2.1.14'!L6</f>
        <v>3</v>
      </c>
      <c r="D9" s="1457">
        <f>'Table 3 Levels 1&amp;2'!AL7*90%</f>
        <v>5507.1523302190717</v>
      </c>
      <c r="E9" s="1457">
        <f t="shared" si="39"/>
        <v>16521.456990657214</v>
      </c>
      <c r="F9" s="1458">
        <f>'Table 3A Level 3'!C9*90%</f>
        <v>527.18399999999997</v>
      </c>
      <c r="G9" s="1458">
        <f t="shared" si="40"/>
        <v>1581.5519999999999</v>
      </c>
      <c r="H9" s="1572">
        <f t="shared" si="41"/>
        <v>18103.008990657214</v>
      </c>
      <c r="I9" s="1458">
        <f>(('Table 3 Levels 1&amp;2'!AL7-D9)+('Table 3A Level 3'!C9-F9))*C9</f>
        <v>2011.4454434063555</v>
      </c>
      <c r="J9" s="1458"/>
      <c r="K9" s="1458"/>
      <c r="L9" s="1576">
        <f t="shared" si="42"/>
        <v>0</v>
      </c>
      <c r="M9" s="1572">
        <f t="shared" si="43"/>
        <v>18103.008990657214</v>
      </c>
      <c r="N9" s="1458">
        <f t="shared" si="44"/>
        <v>-45.257522476643032</v>
      </c>
      <c r="O9" s="1572">
        <f t="shared" si="30"/>
        <v>18057.75146818057</v>
      </c>
      <c r="P9" s="1459">
        <v>0</v>
      </c>
      <c r="Q9" s="1572">
        <f t="shared" si="45"/>
        <v>18057.75146818057</v>
      </c>
      <c r="R9" s="1458"/>
      <c r="S9" s="1458">
        <f t="shared" si="46"/>
        <v>18057.75146818057</v>
      </c>
      <c r="T9" s="1572">
        <f t="shared" si="31"/>
        <v>1505</v>
      </c>
      <c r="U9" s="1572">
        <f t="shared" si="32"/>
        <v>18057.75146818057</v>
      </c>
      <c r="V9" s="1460">
        <f>'Table 5C1A-Madison Prep'!U10*90%</f>
        <v>2958.3</v>
      </c>
      <c r="W9" s="1592">
        <f t="shared" si="33"/>
        <v>8874.9000000000015</v>
      </c>
      <c r="X9" s="1462"/>
      <c r="Y9" s="1461">
        <f t="shared" si="47"/>
        <v>0</v>
      </c>
      <c r="Z9" s="1461"/>
      <c r="AA9" s="1461">
        <f t="shared" si="34"/>
        <v>0</v>
      </c>
      <c r="AB9" s="1597">
        <f t="shared" si="35"/>
        <v>0</v>
      </c>
      <c r="AC9" s="1592">
        <f t="shared" si="36"/>
        <v>8874.9000000000015</v>
      </c>
      <c r="AD9" s="1461">
        <f t="shared" si="37"/>
        <v>-22.187250000000002</v>
      </c>
      <c r="AE9" s="1592">
        <f t="shared" si="48"/>
        <v>8852.7127500000006</v>
      </c>
      <c r="AF9" s="1460">
        <v>0</v>
      </c>
      <c r="AG9" s="1592">
        <f t="shared" si="49"/>
        <v>8852.7127500000006</v>
      </c>
      <c r="AH9" s="1461"/>
      <c r="AI9" s="1461">
        <f t="shared" si="50"/>
        <v>8852.7127500000006</v>
      </c>
      <c r="AJ9" s="1592">
        <f t="shared" si="51"/>
        <v>738</v>
      </c>
      <c r="AK9" s="1601">
        <f t="shared" si="38"/>
        <v>26910.464218180568</v>
      </c>
      <c r="AL9" s="1601">
        <f t="shared" si="52"/>
        <v>2243</v>
      </c>
    </row>
    <row r="10" spans="1:38" s="317" customFormat="1" ht="16.2" customHeight="1">
      <c r="A10" s="1433">
        <v>5</v>
      </c>
      <c r="B10" s="1434" t="s">
        <v>85</v>
      </c>
      <c r="C10" s="1440">
        <f>+'Table 8 Membership 2.1.14'!L7</f>
        <v>12</v>
      </c>
      <c r="D10" s="1441">
        <f>'Table 3 Levels 1&amp;2'!AL8*90%</f>
        <v>4742.0465094089204</v>
      </c>
      <c r="E10" s="1441">
        <f t="shared" si="39"/>
        <v>56904.558112907049</v>
      </c>
      <c r="F10" s="906">
        <f>'Table 3A Level 3'!C10*90%</f>
        <v>500.31899999999996</v>
      </c>
      <c r="G10" s="906">
        <f t="shared" si="40"/>
        <v>6003.8279999999995</v>
      </c>
      <c r="H10" s="1573">
        <f t="shared" si="41"/>
        <v>62908.38611290705</v>
      </c>
      <c r="I10" s="906">
        <f>(('Table 3 Levels 1&amp;2'!AL8-D10)+('Table 3A Level 3'!C10-F10))*C10</f>
        <v>6989.8206792118872</v>
      </c>
      <c r="J10" s="906"/>
      <c r="K10" s="906"/>
      <c r="L10" s="1577">
        <f t="shared" si="42"/>
        <v>0</v>
      </c>
      <c r="M10" s="1573">
        <f t="shared" si="43"/>
        <v>62908.38611290705</v>
      </c>
      <c r="N10" s="906">
        <f t="shared" si="44"/>
        <v>-157.27096528226764</v>
      </c>
      <c r="O10" s="1573">
        <f t="shared" si="30"/>
        <v>62751.115147624783</v>
      </c>
      <c r="P10" s="1442">
        <v>0</v>
      </c>
      <c r="Q10" s="1573">
        <f t="shared" si="45"/>
        <v>62751.115147624783</v>
      </c>
      <c r="R10" s="906"/>
      <c r="S10" s="906">
        <f t="shared" si="46"/>
        <v>62751.115147624783</v>
      </c>
      <c r="T10" s="1573">
        <f t="shared" si="31"/>
        <v>5229</v>
      </c>
      <c r="U10" s="1573">
        <f t="shared" si="32"/>
        <v>62751.115147624783</v>
      </c>
      <c r="V10" s="1443">
        <f>'Table 5C1A-Madison Prep'!U11*90%</f>
        <v>1728.9</v>
      </c>
      <c r="W10" s="1593">
        <f t="shared" si="33"/>
        <v>20746.800000000003</v>
      </c>
      <c r="X10" s="1444"/>
      <c r="Y10" s="907">
        <f t="shared" si="47"/>
        <v>0</v>
      </c>
      <c r="Z10" s="907"/>
      <c r="AA10" s="907">
        <f t="shared" si="34"/>
        <v>0</v>
      </c>
      <c r="AB10" s="1598">
        <f t="shared" si="35"/>
        <v>0</v>
      </c>
      <c r="AC10" s="1593">
        <f t="shared" si="36"/>
        <v>20746.800000000003</v>
      </c>
      <c r="AD10" s="907">
        <f t="shared" si="37"/>
        <v>-51.867000000000012</v>
      </c>
      <c r="AE10" s="1593">
        <f t="shared" si="48"/>
        <v>20694.933000000005</v>
      </c>
      <c r="AF10" s="1443">
        <v>0</v>
      </c>
      <c r="AG10" s="1593">
        <f t="shared" si="49"/>
        <v>20694.933000000005</v>
      </c>
      <c r="AH10" s="907"/>
      <c r="AI10" s="907">
        <f t="shared" si="50"/>
        <v>20694.933000000005</v>
      </c>
      <c r="AJ10" s="1593">
        <f t="shared" si="51"/>
        <v>1725</v>
      </c>
      <c r="AK10" s="1602">
        <f t="shared" si="38"/>
        <v>83446.048147624795</v>
      </c>
      <c r="AL10" s="1602">
        <f t="shared" si="52"/>
        <v>6954</v>
      </c>
    </row>
    <row r="11" spans="1:38" s="317" customFormat="1" ht="16.2" customHeight="1">
      <c r="A11" s="1445">
        <v>6</v>
      </c>
      <c r="B11" s="1446" t="s">
        <v>86</v>
      </c>
      <c r="C11" s="1447">
        <f>+'Table 8 Membership 2.1.14'!L8</f>
        <v>10</v>
      </c>
      <c r="D11" s="1448">
        <f>'Table 3 Levels 1&amp;2'!AL9*90%</f>
        <v>4840.6577512460281</v>
      </c>
      <c r="E11" s="1448">
        <f t="shared" si="39"/>
        <v>48406.577512460281</v>
      </c>
      <c r="F11" s="1449">
        <f>'Table 3A Level 3'!C11*90%</f>
        <v>490.9319999999999</v>
      </c>
      <c r="G11" s="1449">
        <f t="shared" si="40"/>
        <v>4909.3199999999988</v>
      </c>
      <c r="H11" s="1571">
        <f t="shared" si="41"/>
        <v>53315.89751246028</v>
      </c>
      <c r="I11" s="1449">
        <f>(('Table 3 Levels 1&amp;2'!AL9-D11)+('Table 3A Level 3'!C11-F11))*C11</f>
        <v>5923.9886124955883</v>
      </c>
      <c r="J11" s="1449"/>
      <c r="K11" s="1449"/>
      <c r="L11" s="1575">
        <f t="shared" si="42"/>
        <v>0</v>
      </c>
      <c r="M11" s="1571">
        <f t="shared" si="43"/>
        <v>53315.89751246028</v>
      </c>
      <c r="N11" s="1449">
        <f t="shared" si="44"/>
        <v>-133.28974378115069</v>
      </c>
      <c r="O11" s="1571">
        <f t="shared" si="30"/>
        <v>53182.607768679132</v>
      </c>
      <c r="P11" s="1450">
        <v>0</v>
      </c>
      <c r="Q11" s="1571">
        <f t="shared" si="45"/>
        <v>53182.607768679132</v>
      </c>
      <c r="R11" s="1449"/>
      <c r="S11" s="1449">
        <f t="shared" si="46"/>
        <v>53182.607768679132</v>
      </c>
      <c r="T11" s="1571">
        <f t="shared" si="31"/>
        <v>4432</v>
      </c>
      <c r="U11" s="1571">
        <f t="shared" si="32"/>
        <v>53182.607768679132</v>
      </c>
      <c r="V11" s="1451">
        <f>'Table 5C1A-Madison Prep'!U12*90%</f>
        <v>3426.3</v>
      </c>
      <c r="W11" s="1591">
        <f t="shared" si="33"/>
        <v>34263</v>
      </c>
      <c r="X11" s="1453"/>
      <c r="Y11" s="1452">
        <f t="shared" si="47"/>
        <v>0</v>
      </c>
      <c r="Z11" s="1452"/>
      <c r="AA11" s="1452">
        <f t="shared" si="34"/>
        <v>0</v>
      </c>
      <c r="AB11" s="1596">
        <f t="shared" si="35"/>
        <v>0</v>
      </c>
      <c r="AC11" s="1591">
        <f t="shared" si="36"/>
        <v>34263</v>
      </c>
      <c r="AD11" s="1452">
        <f t="shared" si="37"/>
        <v>-85.657499999999999</v>
      </c>
      <c r="AE11" s="1591">
        <f t="shared" si="48"/>
        <v>34177.342499999999</v>
      </c>
      <c r="AF11" s="1451">
        <v>0</v>
      </c>
      <c r="AG11" s="1591">
        <f t="shared" si="49"/>
        <v>34177.342499999999</v>
      </c>
      <c r="AH11" s="1452"/>
      <c r="AI11" s="1452">
        <f t="shared" si="50"/>
        <v>34177.342499999999</v>
      </c>
      <c r="AJ11" s="1591">
        <f t="shared" si="51"/>
        <v>2848</v>
      </c>
      <c r="AK11" s="1600">
        <f t="shared" si="38"/>
        <v>87359.950268679124</v>
      </c>
      <c r="AL11" s="1600">
        <f t="shared" si="52"/>
        <v>7280</v>
      </c>
    </row>
    <row r="12" spans="1:38" s="317" customFormat="1" ht="16.2" customHeight="1">
      <c r="A12" s="1454">
        <v>7</v>
      </c>
      <c r="B12" s="1455" t="s">
        <v>87</v>
      </c>
      <c r="C12" s="1456">
        <f>+'Table 8 Membership 2.1.14'!L9</f>
        <v>6</v>
      </c>
      <c r="D12" s="1457">
        <f>'Table 3 Levels 1&amp;2'!AL10*90%</f>
        <v>2018.7028767123288</v>
      </c>
      <c r="E12" s="1457">
        <f t="shared" si="39"/>
        <v>12112.217260273974</v>
      </c>
      <c r="F12" s="1458">
        <f>'Table 3A Level 3'!C12*90%</f>
        <v>681.22799999999984</v>
      </c>
      <c r="G12" s="1458">
        <f t="shared" si="40"/>
        <v>4087.367999999999</v>
      </c>
      <c r="H12" s="1572">
        <f t="shared" si="41"/>
        <v>16199.585260273972</v>
      </c>
      <c r="I12" s="1458">
        <f>(('Table 3 Levels 1&amp;2'!AL10-D12)+('Table 3A Level 3'!C12-F12))*C12</f>
        <v>1799.9539178082186</v>
      </c>
      <c r="J12" s="1458"/>
      <c r="K12" s="1458"/>
      <c r="L12" s="1576">
        <f t="shared" si="42"/>
        <v>0</v>
      </c>
      <c r="M12" s="1572">
        <f t="shared" si="43"/>
        <v>16199.585260273972</v>
      </c>
      <c r="N12" s="1458">
        <f t="shared" si="44"/>
        <v>-40.498963150684929</v>
      </c>
      <c r="O12" s="1572">
        <f t="shared" si="30"/>
        <v>16159.086297123287</v>
      </c>
      <c r="P12" s="1459">
        <v>0</v>
      </c>
      <c r="Q12" s="1572">
        <f t="shared" si="45"/>
        <v>16159.086297123287</v>
      </c>
      <c r="R12" s="1458"/>
      <c r="S12" s="1458">
        <f t="shared" si="46"/>
        <v>16159.086297123287</v>
      </c>
      <c r="T12" s="1572">
        <f t="shared" si="31"/>
        <v>1347</v>
      </c>
      <c r="U12" s="1572">
        <f t="shared" si="32"/>
        <v>16159.086297123287</v>
      </c>
      <c r="V12" s="1460">
        <f>'Table 5C1A-Madison Prep'!U13*90%</f>
        <v>10699.2</v>
      </c>
      <c r="W12" s="1592">
        <f t="shared" si="33"/>
        <v>64195.200000000004</v>
      </c>
      <c r="X12" s="1462"/>
      <c r="Y12" s="1461">
        <f t="shared" si="47"/>
        <v>0</v>
      </c>
      <c r="Z12" s="1461"/>
      <c r="AA12" s="1461">
        <f t="shared" si="34"/>
        <v>0</v>
      </c>
      <c r="AB12" s="1597">
        <f t="shared" si="35"/>
        <v>0</v>
      </c>
      <c r="AC12" s="1592">
        <f t="shared" si="36"/>
        <v>64195.200000000004</v>
      </c>
      <c r="AD12" s="1461">
        <f t="shared" si="37"/>
        <v>-160.48800000000003</v>
      </c>
      <c r="AE12" s="1592">
        <f t="shared" si="48"/>
        <v>64034.712000000007</v>
      </c>
      <c r="AF12" s="1460">
        <v>0</v>
      </c>
      <c r="AG12" s="1592">
        <f t="shared" si="49"/>
        <v>64034.712000000007</v>
      </c>
      <c r="AH12" s="1461"/>
      <c r="AI12" s="1461">
        <f t="shared" si="50"/>
        <v>64034.712000000007</v>
      </c>
      <c r="AJ12" s="1592">
        <f t="shared" si="51"/>
        <v>5336</v>
      </c>
      <c r="AK12" s="1601">
        <f t="shared" si="38"/>
        <v>80193.7982971233</v>
      </c>
      <c r="AL12" s="1601">
        <f t="shared" si="52"/>
        <v>6683</v>
      </c>
    </row>
    <row r="13" spans="1:38" s="317" customFormat="1" ht="16.2" customHeight="1">
      <c r="A13" s="1454">
        <v>8</v>
      </c>
      <c r="B13" s="1455" t="s">
        <v>88</v>
      </c>
      <c r="C13" s="1456">
        <f>+'Table 8 Membership 2.1.14'!L10</f>
        <v>39</v>
      </c>
      <c r="D13" s="1457">
        <f>'Table 3 Levels 1&amp;2'!AL11*90%</f>
        <v>4202.822213602969</v>
      </c>
      <c r="E13" s="1457">
        <f t="shared" si="39"/>
        <v>163910.06633051578</v>
      </c>
      <c r="F13" s="1458">
        <f>'Table 3A Level 3'!C13*90%</f>
        <v>653.18399999999997</v>
      </c>
      <c r="G13" s="1458">
        <f t="shared" si="40"/>
        <v>25474.175999999999</v>
      </c>
      <c r="H13" s="1572">
        <f t="shared" si="41"/>
        <v>189384.24233051579</v>
      </c>
      <c r="I13" s="1458">
        <f>(('Table 3 Levels 1&amp;2'!AL11-D13)+('Table 3A Level 3'!C13-F13))*C13</f>
        <v>21042.693592279516</v>
      </c>
      <c r="J13" s="1458"/>
      <c r="K13" s="1458"/>
      <c r="L13" s="1576">
        <f t="shared" si="42"/>
        <v>0</v>
      </c>
      <c r="M13" s="1572">
        <f t="shared" si="43"/>
        <v>189384.24233051579</v>
      </c>
      <c r="N13" s="1458">
        <f t="shared" si="44"/>
        <v>-473.46060582628945</v>
      </c>
      <c r="O13" s="1572">
        <f t="shared" si="30"/>
        <v>188910.7817246895</v>
      </c>
      <c r="P13" s="1459">
        <v>0</v>
      </c>
      <c r="Q13" s="1572">
        <f t="shared" si="45"/>
        <v>188910.7817246895</v>
      </c>
      <c r="R13" s="1458"/>
      <c r="S13" s="1458">
        <f t="shared" si="46"/>
        <v>188910.7817246895</v>
      </c>
      <c r="T13" s="1572">
        <f t="shared" si="31"/>
        <v>15743</v>
      </c>
      <c r="U13" s="1572">
        <f t="shared" si="32"/>
        <v>188910.7817246895</v>
      </c>
      <c r="V13" s="1460">
        <f>'Table 5C1A-Madison Prep'!U14*90%</f>
        <v>3621.6</v>
      </c>
      <c r="W13" s="1592">
        <f t="shared" si="33"/>
        <v>141242.4</v>
      </c>
      <c r="X13" s="1462"/>
      <c r="Y13" s="1461">
        <f t="shared" si="47"/>
        <v>0</v>
      </c>
      <c r="Z13" s="1461"/>
      <c r="AA13" s="1461">
        <f t="shared" si="34"/>
        <v>0</v>
      </c>
      <c r="AB13" s="1597">
        <f t="shared" si="35"/>
        <v>0</v>
      </c>
      <c r="AC13" s="1592">
        <f t="shared" si="36"/>
        <v>141242.4</v>
      </c>
      <c r="AD13" s="1461">
        <f t="shared" si="37"/>
        <v>-353.10599999999999</v>
      </c>
      <c r="AE13" s="1592">
        <f t="shared" si="48"/>
        <v>140889.29399999999</v>
      </c>
      <c r="AF13" s="1460">
        <v>0</v>
      </c>
      <c r="AG13" s="1592">
        <f t="shared" si="49"/>
        <v>140889.29399999999</v>
      </c>
      <c r="AH13" s="1461"/>
      <c r="AI13" s="1461">
        <f t="shared" si="50"/>
        <v>140889.29399999999</v>
      </c>
      <c r="AJ13" s="1592">
        <f t="shared" si="51"/>
        <v>11741</v>
      </c>
      <c r="AK13" s="1601">
        <f t="shared" si="38"/>
        <v>329800.07572468952</v>
      </c>
      <c r="AL13" s="1601">
        <f t="shared" si="52"/>
        <v>27484</v>
      </c>
    </row>
    <row r="14" spans="1:38" s="317" customFormat="1" ht="16.2" customHeight="1">
      <c r="A14" s="1454">
        <v>9</v>
      </c>
      <c r="B14" s="1455" t="s">
        <v>89</v>
      </c>
      <c r="C14" s="1456">
        <f>+'Table 8 Membership 2.1.14'!L11</f>
        <v>65</v>
      </c>
      <c r="D14" s="1457">
        <f>'Table 3 Levels 1&amp;2'!AL12*90%</f>
        <v>4169.215356484051</v>
      </c>
      <c r="E14" s="1457">
        <f t="shared" si="39"/>
        <v>270998.99817146332</v>
      </c>
      <c r="F14" s="1458">
        <f>'Table 3A Level 3'!C14*90%</f>
        <v>670.28399999999999</v>
      </c>
      <c r="G14" s="1458">
        <f t="shared" si="40"/>
        <v>43568.46</v>
      </c>
      <c r="H14" s="1572">
        <f t="shared" si="41"/>
        <v>314567.45817146334</v>
      </c>
      <c r="I14" s="1458">
        <f>(('Table 3 Levels 1&amp;2'!AL12-D14)+('Table 3A Level 3'!C14-F14))*C14</f>
        <v>34951.93979682924</v>
      </c>
      <c r="J14" s="1458"/>
      <c r="K14" s="1458"/>
      <c r="L14" s="1576">
        <f t="shared" si="42"/>
        <v>0</v>
      </c>
      <c r="M14" s="1572">
        <f t="shared" si="43"/>
        <v>314567.45817146334</v>
      </c>
      <c r="N14" s="1458">
        <f t="shared" si="44"/>
        <v>-786.41864542865835</v>
      </c>
      <c r="O14" s="1572">
        <f t="shared" si="30"/>
        <v>313781.03952603467</v>
      </c>
      <c r="P14" s="1459">
        <v>0</v>
      </c>
      <c r="Q14" s="1572">
        <f t="shared" si="45"/>
        <v>313781.03952603467</v>
      </c>
      <c r="R14" s="1458"/>
      <c r="S14" s="1458">
        <f t="shared" si="46"/>
        <v>313781.03952603467</v>
      </c>
      <c r="T14" s="1572">
        <f t="shared" si="31"/>
        <v>26148</v>
      </c>
      <c r="U14" s="1572">
        <f t="shared" si="32"/>
        <v>313781.03952603467</v>
      </c>
      <c r="V14" s="1460">
        <f>'Table 5C1A-Madison Prep'!U15*90%</f>
        <v>4345.2</v>
      </c>
      <c r="W14" s="1592">
        <f t="shared" si="33"/>
        <v>282438</v>
      </c>
      <c r="X14" s="1462"/>
      <c r="Y14" s="1461">
        <f t="shared" si="47"/>
        <v>0</v>
      </c>
      <c r="Z14" s="1461"/>
      <c r="AA14" s="1461">
        <f t="shared" si="34"/>
        <v>0</v>
      </c>
      <c r="AB14" s="1597">
        <f t="shared" si="35"/>
        <v>0</v>
      </c>
      <c r="AC14" s="1592">
        <f t="shared" si="36"/>
        <v>282438</v>
      </c>
      <c r="AD14" s="1461">
        <f t="shared" si="37"/>
        <v>-706.09500000000003</v>
      </c>
      <c r="AE14" s="1592">
        <f t="shared" si="48"/>
        <v>281731.90500000003</v>
      </c>
      <c r="AF14" s="1460">
        <v>0</v>
      </c>
      <c r="AG14" s="1592">
        <f t="shared" si="49"/>
        <v>281731.90500000003</v>
      </c>
      <c r="AH14" s="1461"/>
      <c r="AI14" s="1461">
        <f t="shared" si="50"/>
        <v>281731.90500000003</v>
      </c>
      <c r="AJ14" s="1592">
        <f t="shared" si="51"/>
        <v>23478</v>
      </c>
      <c r="AK14" s="1601">
        <f t="shared" si="38"/>
        <v>595512.94452603464</v>
      </c>
      <c r="AL14" s="1601">
        <f t="shared" si="52"/>
        <v>49626</v>
      </c>
    </row>
    <row r="15" spans="1:38" s="317" customFormat="1" ht="16.2" customHeight="1">
      <c r="A15" s="1433">
        <v>10</v>
      </c>
      <c r="B15" s="1434" t="s">
        <v>90</v>
      </c>
      <c r="C15" s="1440">
        <f>+'Table 8 Membership 2.1.14'!L12</f>
        <v>47</v>
      </c>
      <c r="D15" s="1441">
        <f>'Table 3 Levels 1&amp;2'!AL13*90%</f>
        <v>3945.9372605266249</v>
      </c>
      <c r="E15" s="1441">
        <f t="shared" si="39"/>
        <v>185459.05124475138</v>
      </c>
      <c r="F15" s="906">
        <f>'Table 3A Level 3'!C15*90%</f>
        <v>547.2360000000001</v>
      </c>
      <c r="G15" s="906">
        <f t="shared" si="40"/>
        <v>25720.092000000004</v>
      </c>
      <c r="H15" s="1573">
        <f t="shared" si="41"/>
        <v>211179.14324475138</v>
      </c>
      <c r="I15" s="906">
        <f>(('Table 3 Levels 1&amp;2'!AL13-D15)+('Table 3A Level 3'!C15-F15))*C15</f>
        <v>23464.349249416813</v>
      </c>
      <c r="J15" s="906"/>
      <c r="K15" s="906"/>
      <c r="L15" s="1577">
        <f t="shared" si="42"/>
        <v>0</v>
      </c>
      <c r="M15" s="1573">
        <f t="shared" si="43"/>
        <v>211179.14324475138</v>
      </c>
      <c r="N15" s="906">
        <f t="shared" si="44"/>
        <v>-527.94785811187842</v>
      </c>
      <c r="O15" s="1573">
        <f t="shared" si="30"/>
        <v>210651.19538663951</v>
      </c>
      <c r="P15" s="1442">
        <v>0</v>
      </c>
      <c r="Q15" s="1573">
        <f t="shared" si="45"/>
        <v>210651.19538663951</v>
      </c>
      <c r="R15" s="906"/>
      <c r="S15" s="906">
        <f t="shared" si="46"/>
        <v>210651.19538663951</v>
      </c>
      <c r="T15" s="1573">
        <f t="shared" si="31"/>
        <v>17554</v>
      </c>
      <c r="U15" s="1573">
        <f t="shared" si="32"/>
        <v>210651.19538663951</v>
      </c>
      <c r="V15" s="1443">
        <f>'Table 5C1A-Madison Prep'!U16*90%</f>
        <v>4108.5</v>
      </c>
      <c r="W15" s="1593">
        <f t="shared" si="33"/>
        <v>193099.5</v>
      </c>
      <c r="X15" s="1444"/>
      <c r="Y15" s="907">
        <f t="shared" si="47"/>
        <v>0</v>
      </c>
      <c r="Z15" s="907"/>
      <c r="AA15" s="907">
        <f t="shared" si="34"/>
        <v>0</v>
      </c>
      <c r="AB15" s="1598">
        <f t="shared" si="35"/>
        <v>0</v>
      </c>
      <c r="AC15" s="1593">
        <f t="shared" si="36"/>
        <v>193099.5</v>
      </c>
      <c r="AD15" s="907">
        <f t="shared" si="37"/>
        <v>-482.74875000000003</v>
      </c>
      <c r="AE15" s="1593">
        <f t="shared" si="48"/>
        <v>192616.75125</v>
      </c>
      <c r="AF15" s="1443">
        <v>0</v>
      </c>
      <c r="AG15" s="1593">
        <f t="shared" si="49"/>
        <v>192616.75125</v>
      </c>
      <c r="AH15" s="907"/>
      <c r="AI15" s="907">
        <f t="shared" si="50"/>
        <v>192616.75125</v>
      </c>
      <c r="AJ15" s="1593">
        <f t="shared" si="51"/>
        <v>16051</v>
      </c>
      <c r="AK15" s="1602">
        <f t="shared" si="38"/>
        <v>403267.94663663954</v>
      </c>
      <c r="AL15" s="1602">
        <f t="shared" si="52"/>
        <v>33605</v>
      </c>
    </row>
    <row r="16" spans="1:38" s="317" customFormat="1" ht="16.2" customHeight="1">
      <c r="A16" s="1445">
        <v>11</v>
      </c>
      <c r="B16" s="1446" t="s">
        <v>91</v>
      </c>
      <c r="C16" s="1447">
        <f>+'Table 8 Membership 2.1.14'!L13</f>
        <v>1</v>
      </c>
      <c r="D16" s="1448">
        <f>'Table 3 Levels 1&amp;2'!AL14*90%</f>
        <v>6388.683501271802</v>
      </c>
      <c r="E16" s="1448">
        <f t="shared" si="39"/>
        <v>6388.683501271802</v>
      </c>
      <c r="F16" s="1449">
        <f>'Table 3A Level 3'!C16*90%</f>
        <v>635.89499999999998</v>
      </c>
      <c r="G16" s="1449">
        <f t="shared" si="40"/>
        <v>635.89499999999998</v>
      </c>
      <c r="H16" s="1571">
        <f t="shared" si="41"/>
        <v>7024.5785012718025</v>
      </c>
      <c r="I16" s="1449">
        <f>(('Table 3 Levels 1&amp;2'!AL14-D16)+('Table 3A Level 3'!C16-F16))*C16</f>
        <v>780.50872236353302</v>
      </c>
      <c r="J16" s="1449"/>
      <c r="K16" s="1449"/>
      <c r="L16" s="1575">
        <f t="shared" si="42"/>
        <v>0</v>
      </c>
      <c r="M16" s="1571">
        <f t="shared" si="43"/>
        <v>7024.5785012718025</v>
      </c>
      <c r="N16" s="1449">
        <f t="shared" si="44"/>
        <v>-17.561446253179508</v>
      </c>
      <c r="O16" s="1571">
        <f t="shared" si="30"/>
        <v>7007.0170550186231</v>
      </c>
      <c r="P16" s="1450">
        <v>0</v>
      </c>
      <c r="Q16" s="1571">
        <f t="shared" si="45"/>
        <v>7007.0170550186231</v>
      </c>
      <c r="R16" s="1449"/>
      <c r="S16" s="1449">
        <f t="shared" si="46"/>
        <v>7007.0170550186231</v>
      </c>
      <c r="T16" s="1571">
        <f t="shared" si="31"/>
        <v>584</v>
      </c>
      <c r="U16" s="1571">
        <f t="shared" si="32"/>
        <v>7007.0170550186231</v>
      </c>
      <c r="V16" s="1451">
        <f>'Table 5C1A-Madison Prep'!U17*90%</f>
        <v>3228.3</v>
      </c>
      <c r="W16" s="1591">
        <f t="shared" si="33"/>
        <v>3228.3</v>
      </c>
      <c r="X16" s="1453"/>
      <c r="Y16" s="1452">
        <f t="shared" si="47"/>
        <v>0</v>
      </c>
      <c r="Z16" s="1452"/>
      <c r="AA16" s="1452">
        <f t="shared" si="34"/>
        <v>0</v>
      </c>
      <c r="AB16" s="1596">
        <f t="shared" si="35"/>
        <v>0</v>
      </c>
      <c r="AC16" s="1591">
        <f t="shared" si="36"/>
        <v>3228.3</v>
      </c>
      <c r="AD16" s="1452">
        <f t="shared" si="37"/>
        <v>-8.0707500000000003</v>
      </c>
      <c r="AE16" s="1591">
        <f t="shared" si="48"/>
        <v>3220.2292500000003</v>
      </c>
      <c r="AF16" s="1451">
        <v>0</v>
      </c>
      <c r="AG16" s="1591">
        <f t="shared" si="49"/>
        <v>3220.2292500000003</v>
      </c>
      <c r="AH16" s="1452"/>
      <c r="AI16" s="1452">
        <f t="shared" si="50"/>
        <v>3220.2292500000003</v>
      </c>
      <c r="AJ16" s="1591">
        <f t="shared" si="51"/>
        <v>268</v>
      </c>
      <c r="AK16" s="1600">
        <f t="shared" si="38"/>
        <v>10227.246305018623</v>
      </c>
      <c r="AL16" s="1600">
        <f t="shared" si="52"/>
        <v>852</v>
      </c>
    </row>
    <row r="17" spans="1:38" s="317" customFormat="1" ht="16.2" customHeight="1">
      <c r="A17" s="1454">
        <v>12</v>
      </c>
      <c r="B17" s="1455" t="s">
        <v>92</v>
      </c>
      <c r="C17" s="1456">
        <f>+'Table 8 Membership 2.1.14'!L14</f>
        <v>1</v>
      </c>
      <c r="D17" s="1457">
        <f>'Table 3 Levels 1&amp;2'!AL15*90%</f>
        <v>1499.9436885245902</v>
      </c>
      <c r="E17" s="1457">
        <f t="shared" si="39"/>
        <v>1499.9436885245902</v>
      </c>
      <c r="F17" s="1458">
        <f>'Table 3A Level 3'!C17*90%</f>
        <v>956.97899999999993</v>
      </c>
      <c r="G17" s="1458">
        <f t="shared" si="40"/>
        <v>956.97899999999993</v>
      </c>
      <c r="H17" s="1572">
        <f t="shared" si="41"/>
        <v>2456.9226885245903</v>
      </c>
      <c r="I17" s="1458">
        <f>(('Table 3 Levels 1&amp;2'!AL15-D17)+('Table 3A Level 3'!C17-F17))*C17</f>
        <v>272.9914098360656</v>
      </c>
      <c r="J17" s="1458"/>
      <c r="K17" s="1458"/>
      <c r="L17" s="1576">
        <f t="shared" si="42"/>
        <v>0</v>
      </c>
      <c r="M17" s="1572">
        <f t="shared" si="43"/>
        <v>2456.9226885245903</v>
      </c>
      <c r="N17" s="1458">
        <f t="shared" si="44"/>
        <v>-6.1423067213114759</v>
      </c>
      <c r="O17" s="1572">
        <f t="shared" si="30"/>
        <v>2450.7803818032789</v>
      </c>
      <c r="P17" s="1459">
        <v>0</v>
      </c>
      <c r="Q17" s="1572">
        <f t="shared" si="45"/>
        <v>2450.7803818032789</v>
      </c>
      <c r="R17" s="1458"/>
      <c r="S17" s="1458">
        <f t="shared" si="46"/>
        <v>2450.7803818032789</v>
      </c>
      <c r="T17" s="1572">
        <f t="shared" si="31"/>
        <v>204</v>
      </c>
      <c r="U17" s="1572">
        <f t="shared" si="32"/>
        <v>2450.7803818032789</v>
      </c>
      <c r="V17" s="1460">
        <f>'Table 5C1A-Madison Prep'!U18*90%</f>
        <v>7284.6</v>
      </c>
      <c r="W17" s="1592">
        <f t="shared" si="33"/>
        <v>7284.6</v>
      </c>
      <c r="X17" s="1462"/>
      <c r="Y17" s="1461">
        <f t="shared" si="47"/>
        <v>0</v>
      </c>
      <c r="Z17" s="1461"/>
      <c r="AA17" s="1461">
        <f t="shared" si="34"/>
        <v>0</v>
      </c>
      <c r="AB17" s="1597">
        <f t="shared" si="35"/>
        <v>0</v>
      </c>
      <c r="AC17" s="1592">
        <f t="shared" si="36"/>
        <v>7284.6</v>
      </c>
      <c r="AD17" s="1461">
        <f t="shared" si="37"/>
        <v>-18.211500000000001</v>
      </c>
      <c r="AE17" s="1592">
        <f t="shared" si="48"/>
        <v>7266.3885</v>
      </c>
      <c r="AF17" s="1460">
        <v>0</v>
      </c>
      <c r="AG17" s="1592">
        <f t="shared" si="49"/>
        <v>7266.3885</v>
      </c>
      <c r="AH17" s="1461"/>
      <c r="AI17" s="1461">
        <f t="shared" si="50"/>
        <v>7266.3885</v>
      </c>
      <c r="AJ17" s="1592">
        <f t="shared" si="51"/>
        <v>606</v>
      </c>
      <c r="AK17" s="1601">
        <f t="shared" si="38"/>
        <v>9717.1688818032781</v>
      </c>
      <c r="AL17" s="1601">
        <f t="shared" si="52"/>
        <v>810</v>
      </c>
    </row>
    <row r="18" spans="1:38" s="317" customFormat="1" ht="16.2" customHeight="1">
      <c r="A18" s="1454">
        <v>13</v>
      </c>
      <c r="B18" s="1455" t="s">
        <v>93</v>
      </c>
      <c r="C18" s="1456">
        <f>+'Table 8 Membership 2.1.14'!L15</f>
        <v>9</v>
      </c>
      <c r="D18" s="1457">
        <f>'Table 3 Levels 1&amp;2'!AL16*90%</f>
        <v>5790.2667982498988</v>
      </c>
      <c r="E18" s="1457">
        <f t="shared" si="39"/>
        <v>52112.401184249087</v>
      </c>
      <c r="F18" s="1458">
        <f>'Table 3A Level 3'!C18*90%</f>
        <v>674.48700000000008</v>
      </c>
      <c r="G18" s="1458">
        <f t="shared" si="40"/>
        <v>6070.3830000000007</v>
      </c>
      <c r="H18" s="1572">
        <f t="shared" si="41"/>
        <v>58182.784184249089</v>
      </c>
      <c r="I18" s="1458">
        <f>(('Table 3 Levels 1&amp;2'!AL16-D18)+('Table 3A Level 3'!C18-F18))*C18</f>
        <v>6464.7537982499016</v>
      </c>
      <c r="J18" s="1458"/>
      <c r="K18" s="1458"/>
      <c r="L18" s="1576">
        <f t="shared" si="42"/>
        <v>0</v>
      </c>
      <c r="M18" s="1572">
        <f t="shared" si="43"/>
        <v>58182.784184249089</v>
      </c>
      <c r="N18" s="1458">
        <f t="shared" si="44"/>
        <v>-145.45696046062272</v>
      </c>
      <c r="O18" s="1572">
        <f t="shared" si="30"/>
        <v>58037.327223788467</v>
      </c>
      <c r="P18" s="1459">
        <v>0</v>
      </c>
      <c r="Q18" s="1572">
        <f t="shared" si="45"/>
        <v>58037.327223788467</v>
      </c>
      <c r="R18" s="1458"/>
      <c r="S18" s="1458">
        <f t="shared" si="46"/>
        <v>58037.327223788467</v>
      </c>
      <c r="T18" s="1572">
        <f t="shared" si="31"/>
        <v>4836</v>
      </c>
      <c r="U18" s="1572">
        <f t="shared" si="32"/>
        <v>58037.327223788467</v>
      </c>
      <c r="V18" s="1460">
        <f>'Table 5C1A-Madison Prep'!U19*90%</f>
        <v>2557.8000000000002</v>
      </c>
      <c r="W18" s="1592">
        <f t="shared" si="33"/>
        <v>23020.2</v>
      </c>
      <c r="X18" s="1462"/>
      <c r="Y18" s="1461">
        <f t="shared" si="47"/>
        <v>0</v>
      </c>
      <c r="Z18" s="1461"/>
      <c r="AA18" s="1461">
        <f t="shared" si="34"/>
        <v>0</v>
      </c>
      <c r="AB18" s="1597">
        <f t="shared" si="35"/>
        <v>0</v>
      </c>
      <c r="AC18" s="1592">
        <f t="shared" si="36"/>
        <v>23020.2</v>
      </c>
      <c r="AD18" s="1461">
        <f t="shared" si="37"/>
        <v>-57.5505</v>
      </c>
      <c r="AE18" s="1592">
        <f t="shared" si="48"/>
        <v>22962.6495</v>
      </c>
      <c r="AF18" s="1460">
        <v>0</v>
      </c>
      <c r="AG18" s="1592">
        <f t="shared" si="49"/>
        <v>22962.6495</v>
      </c>
      <c r="AH18" s="1461"/>
      <c r="AI18" s="1461">
        <f t="shared" si="50"/>
        <v>22962.6495</v>
      </c>
      <c r="AJ18" s="1592">
        <f t="shared" si="51"/>
        <v>1914</v>
      </c>
      <c r="AK18" s="1601">
        <f t="shared" si="38"/>
        <v>80999.976723788466</v>
      </c>
      <c r="AL18" s="1601">
        <f t="shared" si="52"/>
        <v>6750</v>
      </c>
    </row>
    <row r="19" spans="1:38" s="317" customFormat="1" ht="16.2" customHeight="1">
      <c r="A19" s="1454">
        <v>14</v>
      </c>
      <c r="B19" s="1455" t="s">
        <v>94</v>
      </c>
      <c r="C19" s="1456">
        <f>+'Table 8 Membership 2.1.14'!L16</f>
        <v>17</v>
      </c>
      <c r="D19" s="1457">
        <f>'Table 3 Levels 1&amp;2'!AL17*90%</f>
        <v>4801.4558471250002</v>
      </c>
      <c r="E19" s="1457">
        <f t="shared" si="39"/>
        <v>81624.749401125009</v>
      </c>
      <c r="F19" s="1458">
        <f>'Table 3A Level 3'!C19*90%</f>
        <v>728.98199999999997</v>
      </c>
      <c r="G19" s="1458">
        <f t="shared" si="40"/>
        <v>12392.694</v>
      </c>
      <c r="H19" s="1572">
        <f t="shared" si="41"/>
        <v>94017.443401125012</v>
      </c>
      <c r="I19" s="1458">
        <f>(('Table 3 Levels 1&amp;2'!AL17-D19)+('Table 3A Level 3'!C19-F19))*C19</f>
        <v>10446.382600124998</v>
      </c>
      <c r="J19" s="1458"/>
      <c r="K19" s="1458"/>
      <c r="L19" s="1576">
        <f t="shared" si="42"/>
        <v>0</v>
      </c>
      <c r="M19" s="1572">
        <f t="shared" si="43"/>
        <v>94017.443401125012</v>
      </c>
      <c r="N19" s="1458">
        <f t="shared" si="44"/>
        <v>-235.04360850281253</v>
      </c>
      <c r="O19" s="1572">
        <f t="shared" si="30"/>
        <v>93782.399792622193</v>
      </c>
      <c r="P19" s="1459">
        <v>0</v>
      </c>
      <c r="Q19" s="1572">
        <f t="shared" si="45"/>
        <v>93782.399792622193</v>
      </c>
      <c r="R19" s="1458"/>
      <c r="S19" s="1458">
        <f t="shared" si="46"/>
        <v>93782.399792622193</v>
      </c>
      <c r="T19" s="1572">
        <f t="shared" si="31"/>
        <v>7815</v>
      </c>
      <c r="U19" s="1572">
        <f t="shared" si="32"/>
        <v>93782.399792622193</v>
      </c>
      <c r="V19" s="1460">
        <f>'Table 5C1A-Madison Prep'!U20*90%</f>
        <v>3784.5</v>
      </c>
      <c r="W19" s="1592">
        <f t="shared" si="33"/>
        <v>64336.5</v>
      </c>
      <c r="X19" s="1462"/>
      <c r="Y19" s="1461">
        <f t="shared" si="47"/>
        <v>0</v>
      </c>
      <c r="Z19" s="1461"/>
      <c r="AA19" s="1461">
        <f t="shared" si="34"/>
        <v>0</v>
      </c>
      <c r="AB19" s="1597">
        <f t="shared" si="35"/>
        <v>0</v>
      </c>
      <c r="AC19" s="1592">
        <f t="shared" si="36"/>
        <v>64336.5</v>
      </c>
      <c r="AD19" s="1461">
        <f t="shared" si="37"/>
        <v>-160.84125</v>
      </c>
      <c r="AE19" s="1592">
        <f t="shared" si="48"/>
        <v>64175.658750000002</v>
      </c>
      <c r="AF19" s="1460">
        <v>0</v>
      </c>
      <c r="AG19" s="1592">
        <f t="shared" si="49"/>
        <v>64175.658750000002</v>
      </c>
      <c r="AH19" s="1461"/>
      <c r="AI19" s="1461">
        <f t="shared" si="50"/>
        <v>64175.658750000002</v>
      </c>
      <c r="AJ19" s="1592">
        <f t="shared" si="51"/>
        <v>5348</v>
      </c>
      <c r="AK19" s="1601">
        <f t="shared" si="38"/>
        <v>157958.0585426222</v>
      </c>
      <c r="AL19" s="1601">
        <f t="shared" si="52"/>
        <v>13163</v>
      </c>
    </row>
    <row r="20" spans="1:38" s="317" customFormat="1" ht="16.2" customHeight="1">
      <c r="A20" s="1433">
        <v>15</v>
      </c>
      <c r="B20" s="1434" t="s">
        <v>95</v>
      </c>
      <c r="C20" s="1440">
        <f>+'Table 8 Membership 2.1.14'!L17</f>
        <v>5</v>
      </c>
      <c r="D20" s="1441">
        <f>'Table 3 Levels 1&amp;2'!AL18*90%</f>
        <v>5174.8456692653954</v>
      </c>
      <c r="E20" s="1441">
        <f t="shared" si="39"/>
        <v>25874.228346326978</v>
      </c>
      <c r="F20" s="906">
        <f>'Table 3A Level 3'!C20*90%</f>
        <v>498.41999999999996</v>
      </c>
      <c r="G20" s="906">
        <f t="shared" si="40"/>
        <v>2492.1</v>
      </c>
      <c r="H20" s="1573">
        <f t="shared" si="41"/>
        <v>28366.328346326976</v>
      </c>
      <c r="I20" s="906">
        <f>(('Table 3 Levels 1&amp;2'!AL18-D20)+('Table 3A Level 3'!C20-F20))*C20</f>
        <v>3151.814260702999</v>
      </c>
      <c r="J20" s="906"/>
      <c r="K20" s="906"/>
      <c r="L20" s="1577">
        <f t="shared" si="42"/>
        <v>0</v>
      </c>
      <c r="M20" s="1573">
        <f t="shared" si="43"/>
        <v>28366.328346326976</v>
      </c>
      <c r="N20" s="906">
        <f t="shared" si="44"/>
        <v>-70.915820865817437</v>
      </c>
      <c r="O20" s="1573">
        <f t="shared" si="30"/>
        <v>28295.412525461157</v>
      </c>
      <c r="P20" s="1442">
        <v>0</v>
      </c>
      <c r="Q20" s="1573">
        <f t="shared" si="45"/>
        <v>28295.412525461157</v>
      </c>
      <c r="R20" s="906"/>
      <c r="S20" s="906">
        <f t="shared" si="46"/>
        <v>28295.412525461157</v>
      </c>
      <c r="T20" s="1573">
        <f t="shared" si="31"/>
        <v>2358</v>
      </c>
      <c r="U20" s="1573">
        <f t="shared" si="32"/>
        <v>28295.412525461157</v>
      </c>
      <c r="V20" s="1443">
        <f>'Table 5C1A-Madison Prep'!U21*90%</f>
        <v>2281.5</v>
      </c>
      <c r="W20" s="1593">
        <f t="shared" si="33"/>
        <v>11407.5</v>
      </c>
      <c r="X20" s="1444"/>
      <c r="Y20" s="907">
        <f t="shared" si="47"/>
        <v>0</v>
      </c>
      <c r="Z20" s="907"/>
      <c r="AA20" s="907">
        <f t="shared" si="34"/>
        <v>0</v>
      </c>
      <c r="AB20" s="1598">
        <f t="shared" si="35"/>
        <v>0</v>
      </c>
      <c r="AC20" s="1593">
        <f t="shared" si="36"/>
        <v>11407.5</v>
      </c>
      <c r="AD20" s="907">
        <f t="shared" si="37"/>
        <v>-28.518750000000001</v>
      </c>
      <c r="AE20" s="1593">
        <f t="shared" si="48"/>
        <v>11378.981250000001</v>
      </c>
      <c r="AF20" s="1443">
        <v>0</v>
      </c>
      <c r="AG20" s="1593">
        <f t="shared" si="49"/>
        <v>11378.981250000001</v>
      </c>
      <c r="AH20" s="907"/>
      <c r="AI20" s="907">
        <f t="shared" si="50"/>
        <v>11378.981250000001</v>
      </c>
      <c r="AJ20" s="1593">
        <f t="shared" si="51"/>
        <v>948</v>
      </c>
      <c r="AK20" s="1602">
        <f t="shared" si="38"/>
        <v>39674.393775461154</v>
      </c>
      <c r="AL20" s="1602">
        <f t="shared" si="52"/>
        <v>3306</v>
      </c>
    </row>
    <row r="21" spans="1:38" s="317" customFormat="1" ht="16.2" customHeight="1">
      <c r="A21" s="1445">
        <v>16</v>
      </c>
      <c r="B21" s="1446" t="s">
        <v>96</v>
      </c>
      <c r="C21" s="1447">
        <f>+'Table 8 Membership 2.1.14'!L18</f>
        <v>4</v>
      </c>
      <c r="D21" s="1448">
        <f>'Table 3 Levels 1&amp;2'!AL19*90%</f>
        <v>1782.2244918907822</v>
      </c>
      <c r="E21" s="1448">
        <f t="shared" si="39"/>
        <v>7128.897967563129</v>
      </c>
      <c r="F21" s="1449">
        <f>'Table 3A Level 3'!C21*90%</f>
        <v>618.05700000000002</v>
      </c>
      <c r="G21" s="1449">
        <f t="shared" si="40"/>
        <v>2472.2280000000001</v>
      </c>
      <c r="H21" s="1571">
        <f t="shared" si="41"/>
        <v>9601.12596756313</v>
      </c>
      <c r="I21" s="1449">
        <f>(('Table 3 Levels 1&amp;2'!AL19-D21)+('Table 3A Level 3'!C21-F21))*C21</f>
        <v>1066.791774173681</v>
      </c>
      <c r="J21" s="1449"/>
      <c r="K21" s="1449"/>
      <c r="L21" s="1575">
        <f t="shared" si="42"/>
        <v>0</v>
      </c>
      <c r="M21" s="1571">
        <f t="shared" si="43"/>
        <v>9601.12596756313</v>
      </c>
      <c r="N21" s="1449">
        <f t="shared" si="44"/>
        <v>-24.002814918907827</v>
      </c>
      <c r="O21" s="1571">
        <f t="shared" si="30"/>
        <v>9577.1231526442225</v>
      </c>
      <c r="P21" s="1450">
        <v>0</v>
      </c>
      <c r="Q21" s="1571">
        <f t="shared" si="45"/>
        <v>9577.1231526442225</v>
      </c>
      <c r="R21" s="1449"/>
      <c r="S21" s="1449">
        <f t="shared" si="46"/>
        <v>9577.1231526442225</v>
      </c>
      <c r="T21" s="1571">
        <f t="shared" si="31"/>
        <v>798</v>
      </c>
      <c r="U21" s="1571">
        <f t="shared" si="32"/>
        <v>9577.1231526442225</v>
      </c>
      <c r="V21" s="1451">
        <f>'Table 5C1A-Madison Prep'!U22*90%</f>
        <v>11491.2</v>
      </c>
      <c r="W21" s="1591">
        <f t="shared" si="33"/>
        <v>45964.800000000003</v>
      </c>
      <c r="X21" s="1453"/>
      <c r="Y21" s="1452">
        <f t="shared" si="47"/>
        <v>0</v>
      </c>
      <c r="Z21" s="1452"/>
      <c r="AA21" s="1452">
        <f t="shared" si="34"/>
        <v>0</v>
      </c>
      <c r="AB21" s="1596">
        <f t="shared" si="35"/>
        <v>0</v>
      </c>
      <c r="AC21" s="1591">
        <f t="shared" si="36"/>
        <v>45964.800000000003</v>
      </c>
      <c r="AD21" s="1452">
        <f t="shared" si="37"/>
        <v>-114.91200000000001</v>
      </c>
      <c r="AE21" s="1591">
        <f t="shared" si="48"/>
        <v>45849.888000000006</v>
      </c>
      <c r="AF21" s="1451">
        <v>0</v>
      </c>
      <c r="AG21" s="1591">
        <f t="shared" si="49"/>
        <v>45849.888000000006</v>
      </c>
      <c r="AH21" s="1452"/>
      <c r="AI21" s="1452">
        <f t="shared" si="50"/>
        <v>45849.888000000006</v>
      </c>
      <c r="AJ21" s="1591">
        <f t="shared" si="51"/>
        <v>3821</v>
      </c>
      <c r="AK21" s="1600">
        <f t="shared" si="38"/>
        <v>55427.011152644227</v>
      </c>
      <c r="AL21" s="1600">
        <f t="shared" si="52"/>
        <v>4619</v>
      </c>
    </row>
    <row r="22" spans="1:38" s="317" customFormat="1" ht="16.2" customHeight="1">
      <c r="A22" s="1454">
        <v>17</v>
      </c>
      <c r="B22" s="1455" t="s">
        <v>97</v>
      </c>
      <c r="C22" s="1456">
        <f>+'Table 8 Membership 2.1.14'!L19</f>
        <v>85</v>
      </c>
      <c r="D22" s="1457">
        <f>'Table 3 Levels 1&amp;2'!AL20*90%</f>
        <v>3027.2382331429048</v>
      </c>
      <c r="E22" s="1457">
        <f t="shared" si="39"/>
        <v>257315.24981714692</v>
      </c>
      <c r="F22" s="1458">
        <f>'Table 3A Level 3'!C22*90%</f>
        <v>721.32986175126121</v>
      </c>
      <c r="G22" s="1458">
        <f t="shared" si="40"/>
        <v>61313.0382488572</v>
      </c>
      <c r="H22" s="1572">
        <f t="shared" si="41"/>
        <v>318628.28806600411</v>
      </c>
      <c r="I22" s="1458">
        <f>(('Table 3 Levels 1&amp;2'!AL20-D22)+('Table 3A Level 3'!C22-F22))*C22</f>
        <v>35403.143118444874</v>
      </c>
      <c r="J22" s="1458"/>
      <c r="K22" s="1458"/>
      <c r="L22" s="1576">
        <f t="shared" si="42"/>
        <v>0</v>
      </c>
      <c r="M22" s="1572">
        <f t="shared" si="43"/>
        <v>318628.28806600411</v>
      </c>
      <c r="N22" s="1458">
        <f t="shared" si="44"/>
        <v>-796.57072016501024</v>
      </c>
      <c r="O22" s="1572">
        <f t="shared" si="30"/>
        <v>317831.71734583908</v>
      </c>
      <c r="P22" s="1459">
        <v>1888.7409487239493</v>
      </c>
      <c r="Q22" s="1572">
        <f t="shared" si="45"/>
        <v>319720.458294563</v>
      </c>
      <c r="R22" s="1458"/>
      <c r="S22" s="1458">
        <f t="shared" si="46"/>
        <v>319720.458294563</v>
      </c>
      <c r="T22" s="1572">
        <f t="shared" si="31"/>
        <v>26643</v>
      </c>
      <c r="U22" s="1572">
        <f t="shared" si="32"/>
        <v>319720.458294563</v>
      </c>
      <c r="V22" s="1460">
        <f>'Table 5C1A-Madison Prep'!U23*90%</f>
        <v>6345</v>
      </c>
      <c r="W22" s="1592">
        <f t="shared" si="33"/>
        <v>539325</v>
      </c>
      <c r="X22" s="1462"/>
      <c r="Y22" s="1461">
        <f t="shared" si="47"/>
        <v>0</v>
      </c>
      <c r="Z22" s="1461"/>
      <c r="AA22" s="1461">
        <f t="shared" si="34"/>
        <v>0</v>
      </c>
      <c r="AB22" s="1597">
        <f t="shared" si="35"/>
        <v>0</v>
      </c>
      <c r="AC22" s="1592">
        <f t="shared" si="36"/>
        <v>539325</v>
      </c>
      <c r="AD22" s="1461">
        <f t="shared" si="37"/>
        <v>-1348.3125</v>
      </c>
      <c r="AE22" s="1592">
        <f t="shared" si="48"/>
        <v>537976.6875</v>
      </c>
      <c r="AF22" s="1460">
        <v>2970.4500000000003</v>
      </c>
      <c r="AG22" s="1592">
        <f t="shared" si="49"/>
        <v>540947.13749999995</v>
      </c>
      <c r="AH22" s="1461"/>
      <c r="AI22" s="1461">
        <f t="shared" si="50"/>
        <v>540947.13749999995</v>
      </c>
      <c r="AJ22" s="1592">
        <f t="shared" si="51"/>
        <v>45079</v>
      </c>
      <c r="AK22" s="1601">
        <f t="shared" si="38"/>
        <v>860667.59579456295</v>
      </c>
      <c r="AL22" s="1601">
        <f t="shared" si="52"/>
        <v>71722</v>
      </c>
    </row>
    <row r="23" spans="1:38" s="317" customFormat="1" ht="16.2" customHeight="1">
      <c r="A23" s="1454">
        <v>18</v>
      </c>
      <c r="B23" s="1455" t="s">
        <v>98</v>
      </c>
      <c r="C23" s="1456">
        <f>+'Table 8 Membership 2.1.14'!L20</f>
        <v>0</v>
      </c>
      <c r="D23" s="1457">
        <f>'Table 3 Levels 1&amp;2'!AL21*90%</f>
        <v>5719.0980150428159</v>
      </c>
      <c r="E23" s="1457">
        <f t="shared" si="39"/>
        <v>0</v>
      </c>
      <c r="F23" s="1458">
        <f>'Table 3A Level 3'!C23*90%</f>
        <v>761.3549999999999</v>
      </c>
      <c r="G23" s="1458">
        <f t="shared" si="40"/>
        <v>0</v>
      </c>
      <c r="H23" s="1572">
        <f t="shared" si="41"/>
        <v>0</v>
      </c>
      <c r="I23" s="1458">
        <f>(('Table 3 Levels 1&amp;2'!AL21-D23)+('Table 3A Level 3'!C23-F23))*C23</f>
        <v>0</v>
      </c>
      <c r="J23" s="1458"/>
      <c r="K23" s="1458"/>
      <c r="L23" s="1576">
        <f t="shared" si="42"/>
        <v>0</v>
      </c>
      <c r="M23" s="1572">
        <f t="shared" si="43"/>
        <v>0</v>
      </c>
      <c r="N23" s="1458">
        <f t="shared" si="44"/>
        <v>0</v>
      </c>
      <c r="O23" s="1572">
        <f t="shared" si="30"/>
        <v>0</v>
      </c>
      <c r="P23" s="1459">
        <v>0</v>
      </c>
      <c r="Q23" s="1572">
        <f t="shared" si="45"/>
        <v>0</v>
      </c>
      <c r="R23" s="1458"/>
      <c r="S23" s="1458">
        <f t="shared" si="46"/>
        <v>0</v>
      </c>
      <c r="T23" s="1572">
        <f t="shared" si="31"/>
        <v>0</v>
      </c>
      <c r="U23" s="1572">
        <f t="shared" si="32"/>
        <v>0</v>
      </c>
      <c r="V23" s="1460">
        <f>'Table 5C1A-Madison Prep'!U24*90%</f>
        <v>2273.4</v>
      </c>
      <c r="W23" s="1592">
        <f t="shared" si="33"/>
        <v>0</v>
      </c>
      <c r="X23" s="1462"/>
      <c r="Y23" s="1461">
        <f t="shared" si="47"/>
        <v>0</v>
      </c>
      <c r="Z23" s="1461"/>
      <c r="AA23" s="1461">
        <f t="shared" si="34"/>
        <v>0</v>
      </c>
      <c r="AB23" s="1597">
        <f t="shared" si="35"/>
        <v>0</v>
      </c>
      <c r="AC23" s="1592">
        <f t="shared" si="36"/>
        <v>0</v>
      </c>
      <c r="AD23" s="1461">
        <f t="shared" si="37"/>
        <v>0</v>
      </c>
      <c r="AE23" s="1592">
        <f t="shared" si="48"/>
        <v>0</v>
      </c>
      <c r="AF23" s="1460">
        <v>0</v>
      </c>
      <c r="AG23" s="1592">
        <f t="shared" si="49"/>
        <v>0</v>
      </c>
      <c r="AH23" s="1461"/>
      <c r="AI23" s="1461">
        <f t="shared" si="50"/>
        <v>0</v>
      </c>
      <c r="AJ23" s="1592">
        <f t="shared" si="51"/>
        <v>0</v>
      </c>
      <c r="AK23" s="1601">
        <f t="shared" si="38"/>
        <v>0</v>
      </c>
      <c r="AL23" s="1601">
        <f t="shared" si="52"/>
        <v>0</v>
      </c>
    </row>
    <row r="24" spans="1:38" s="317" customFormat="1" ht="16.2" customHeight="1">
      <c r="A24" s="1454">
        <v>19</v>
      </c>
      <c r="B24" s="1455" t="s">
        <v>99</v>
      </c>
      <c r="C24" s="1456">
        <f>+'Table 8 Membership 2.1.14'!L21</f>
        <v>6</v>
      </c>
      <c r="D24" s="1457">
        <f>'Table 3 Levels 1&amp;2'!AL22*90%</f>
        <v>4782.9529682514403</v>
      </c>
      <c r="E24" s="1457">
        <f t="shared" si="39"/>
        <v>28697.717809508642</v>
      </c>
      <c r="F24" s="1458">
        <f>'Table 3A Level 3'!C24*90%</f>
        <v>814.88699999999994</v>
      </c>
      <c r="G24" s="1458">
        <f t="shared" si="40"/>
        <v>4889.3220000000001</v>
      </c>
      <c r="H24" s="1572">
        <f t="shared" si="41"/>
        <v>33587.039809508642</v>
      </c>
      <c r="I24" s="1458">
        <f>(('Table 3 Levels 1&amp;2'!AL22-D24)+('Table 3A Level 3'!C24-F24))*C24</f>
        <v>3731.8933121676255</v>
      </c>
      <c r="J24" s="1458"/>
      <c r="K24" s="1458"/>
      <c r="L24" s="1576">
        <f t="shared" si="42"/>
        <v>0</v>
      </c>
      <c r="M24" s="1572">
        <f t="shared" si="43"/>
        <v>33587.039809508642</v>
      </c>
      <c r="N24" s="1458">
        <f t="shared" si="44"/>
        <v>-83.967599523771611</v>
      </c>
      <c r="O24" s="1572">
        <f t="shared" si="30"/>
        <v>33503.072209984872</v>
      </c>
      <c r="P24" s="1459">
        <v>0</v>
      </c>
      <c r="Q24" s="1572">
        <f t="shared" si="45"/>
        <v>33503.072209984872</v>
      </c>
      <c r="R24" s="1458"/>
      <c r="S24" s="1458">
        <f t="shared" si="46"/>
        <v>33503.072209984872</v>
      </c>
      <c r="T24" s="1572">
        <f t="shared" si="31"/>
        <v>2792</v>
      </c>
      <c r="U24" s="1572">
        <f t="shared" si="32"/>
        <v>33503.072209984872</v>
      </c>
      <c r="V24" s="1460">
        <f>'Table 5C1A-Madison Prep'!U25*90%</f>
        <v>2617.2000000000003</v>
      </c>
      <c r="W24" s="1592">
        <f t="shared" si="33"/>
        <v>15703.2</v>
      </c>
      <c r="X24" s="1462"/>
      <c r="Y24" s="1461">
        <f t="shared" si="47"/>
        <v>0</v>
      </c>
      <c r="Z24" s="1461"/>
      <c r="AA24" s="1461">
        <f t="shared" si="34"/>
        <v>0</v>
      </c>
      <c r="AB24" s="1597">
        <f t="shared" si="35"/>
        <v>0</v>
      </c>
      <c r="AC24" s="1592">
        <f t="shared" si="36"/>
        <v>15703.2</v>
      </c>
      <c r="AD24" s="1461">
        <f t="shared" si="37"/>
        <v>-39.258000000000003</v>
      </c>
      <c r="AE24" s="1592">
        <f t="shared" si="48"/>
        <v>15663.942000000001</v>
      </c>
      <c r="AF24" s="1460">
        <v>0</v>
      </c>
      <c r="AG24" s="1592">
        <f t="shared" si="49"/>
        <v>15663.942000000001</v>
      </c>
      <c r="AH24" s="1461"/>
      <c r="AI24" s="1461">
        <f t="shared" si="50"/>
        <v>15663.942000000001</v>
      </c>
      <c r="AJ24" s="1592">
        <f t="shared" si="51"/>
        <v>1305</v>
      </c>
      <c r="AK24" s="1601">
        <f t="shared" si="38"/>
        <v>49167.014209984874</v>
      </c>
      <c r="AL24" s="1601">
        <f t="shared" si="52"/>
        <v>4097</v>
      </c>
    </row>
    <row r="25" spans="1:38" s="317" customFormat="1" ht="16.2" customHeight="1">
      <c r="A25" s="1433">
        <v>20</v>
      </c>
      <c r="B25" s="1434" t="s">
        <v>100</v>
      </c>
      <c r="C25" s="1440">
        <f>+'Table 8 Membership 2.1.14'!L22</f>
        <v>6</v>
      </c>
      <c r="D25" s="1441">
        <f>'Table 3 Levels 1&amp;2'!AL23*90%</f>
        <v>4750.6681409005814</v>
      </c>
      <c r="E25" s="1441">
        <f t="shared" si="39"/>
        <v>28504.008845403489</v>
      </c>
      <c r="F25" s="906">
        <f>'Table 3A Level 3'!C25*90%</f>
        <v>527.553</v>
      </c>
      <c r="G25" s="906">
        <f t="shared" si="40"/>
        <v>3165.3180000000002</v>
      </c>
      <c r="H25" s="1573">
        <f t="shared" si="41"/>
        <v>31669.326845403488</v>
      </c>
      <c r="I25" s="906">
        <f>(('Table 3 Levels 1&amp;2'!AL23-D25)+('Table 3A Level 3'!C25-F25))*C25</f>
        <v>3518.8140939337177</v>
      </c>
      <c r="J25" s="906"/>
      <c r="K25" s="906"/>
      <c r="L25" s="1577">
        <f t="shared" si="42"/>
        <v>0</v>
      </c>
      <c r="M25" s="1573">
        <f t="shared" si="43"/>
        <v>31669.326845403488</v>
      </c>
      <c r="N25" s="906">
        <f t="shared" si="44"/>
        <v>-79.173317113508716</v>
      </c>
      <c r="O25" s="1573">
        <f t="shared" si="30"/>
        <v>31590.153528289979</v>
      </c>
      <c r="P25" s="1442">
        <v>0</v>
      </c>
      <c r="Q25" s="1573">
        <f t="shared" si="45"/>
        <v>31590.153528289979</v>
      </c>
      <c r="R25" s="906"/>
      <c r="S25" s="906">
        <f t="shared" si="46"/>
        <v>31590.153528289979</v>
      </c>
      <c r="T25" s="1573">
        <f t="shared" si="31"/>
        <v>2633</v>
      </c>
      <c r="U25" s="1573">
        <f t="shared" si="32"/>
        <v>31590.153528289979</v>
      </c>
      <c r="V25" s="1443">
        <f>'Table 5C1A-Madison Prep'!U26*90%</f>
        <v>2188.8000000000002</v>
      </c>
      <c r="W25" s="1593">
        <f t="shared" si="33"/>
        <v>13132.800000000001</v>
      </c>
      <c r="X25" s="1444"/>
      <c r="Y25" s="907">
        <f t="shared" si="47"/>
        <v>0</v>
      </c>
      <c r="Z25" s="907"/>
      <c r="AA25" s="907">
        <f t="shared" si="34"/>
        <v>0</v>
      </c>
      <c r="AB25" s="1598">
        <f t="shared" si="35"/>
        <v>0</v>
      </c>
      <c r="AC25" s="1593">
        <f t="shared" si="36"/>
        <v>13132.800000000001</v>
      </c>
      <c r="AD25" s="907">
        <f t="shared" si="37"/>
        <v>-32.832000000000001</v>
      </c>
      <c r="AE25" s="1593">
        <f t="shared" si="48"/>
        <v>13099.968000000001</v>
      </c>
      <c r="AF25" s="1443">
        <v>0</v>
      </c>
      <c r="AG25" s="1593">
        <f t="shared" si="49"/>
        <v>13099.968000000001</v>
      </c>
      <c r="AH25" s="907"/>
      <c r="AI25" s="907">
        <f t="shared" si="50"/>
        <v>13099.968000000001</v>
      </c>
      <c r="AJ25" s="1593">
        <f t="shared" si="51"/>
        <v>1092</v>
      </c>
      <c r="AK25" s="1602">
        <f t="shared" si="38"/>
        <v>44690.121528289979</v>
      </c>
      <c r="AL25" s="1602">
        <f t="shared" si="52"/>
        <v>3725</v>
      </c>
    </row>
    <row r="26" spans="1:38" s="317" customFormat="1" ht="16.2" customHeight="1">
      <c r="A26" s="1445">
        <v>21</v>
      </c>
      <c r="B26" s="1446" t="s">
        <v>101</v>
      </c>
      <c r="C26" s="1447">
        <f>+'Table 8 Membership 2.1.14'!L23</f>
        <v>6</v>
      </c>
      <c r="D26" s="1448">
        <f>'Table 3 Levels 1&amp;2'!AL24*90%</f>
        <v>5474.0738066280992</v>
      </c>
      <c r="E26" s="1448">
        <f t="shared" si="39"/>
        <v>32844.442839768599</v>
      </c>
      <c r="F26" s="1449">
        <f>'Table 3A Level 3'!C26*90%</f>
        <v>549.31500000000005</v>
      </c>
      <c r="G26" s="1449">
        <f t="shared" si="40"/>
        <v>3295.8900000000003</v>
      </c>
      <c r="H26" s="1571">
        <f t="shared" si="41"/>
        <v>36140.332839768598</v>
      </c>
      <c r="I26" s="1449">
        <f>(('Table 3 Levels 1&amp;2'!AL24-D26)+('Table 3A Level 3'!C26-F26))*C26</f>
        <v>4015.5925377520625</v>
      </c>
      <c r="J26" s="1449"/>
      <c r="K26" s="1449"/>
      <c r="L26" s="1575">
        <f t="shared" si="42"/>
        <v>0</v>
      </c>
      <c r="M26" s="1571">
        <f t="shared" si="43"/>
        <v>36140.332839768598</v>
      </c>
      <c r="N26" s="1449">
        <f t="shared" si="44"/>
        <v>-90.350832099421496</v>
      </c>
      <c r="O26" s="1571">
        <f t="shared" si="30"/>
        <v>36049.982007669176</v>
      </c>
      <c r="P26" s="1450">
        <v>0</v>
      </c>
      <c r="Q26" s="1571">
        <f t="shared" si="45"/>
        <v>36049.982007669176</v>
      </c>
      <c r="R26" s="1449"/>
      <c r="S26" s="1449">
        <f t="shared" si="46"/>
        <v>36049.982007669176</v>
      </c>
      <c r="T26" s="1571">
        <f t="shared" si="31"/>
        <v>3004</v>
      </c>
      <c r="U26" s="1571">
        <f t="shared" si="32"/>
        <v>36049.982007669176</v>
      </c>
      <c r="V26" s="1451">
        <f>'Table 5C1A-Madison Prep'!U27*90%</f>
        <v>2214</v>
      </c>
      <c r="W26" s="1591">
        <f t="shared" si="33"/>
        <v>13284</v>
      </c>
      <c r="X26" s="1453"/>
      <c r="Y26" s="1452">
        <f t="shared" si="47"/>
        <v>0</v>
      </c>
      <c r="Z26" s="1452"/>
      <c r="AA26" s="1452">
        <f t="shared" si="34"/>
        <v>0</v>
      </c>
      <c r="AB26" s="1596">
        <f t="shared" si="35"/>
        <v>0</v>
      </c>
      <c r="AC26" s="1591">
        <f t="shared" si="36"/>
        <v>13284</v>
      </c>
      <c r="AD26" s="1452">
        <f t="shared" si="37"/>
        <v>-33.21</v>
      </c>
      <c r="AE26" s="1591">
        <f t="shared" si="48"/>
        <v>13250.79</v>
      </c>
      <c r="AF26" s="1451">
        <v>0</v>
      </c>
      <c r="AG26" s="1591">
        <f t="shared" si="49"/>
        <v>13250.79</v>
      </c>
      <c r="AH26" s="1452"/>
      <c r="AI26" s="1452">
        <f t="shared" si="50"/>
        <v>13250.79</v>
      </c>
      <c r="AJ26" s="1591">
        <f t="shared" si="51"/>
        <v>1104</v>
      </c>
      <c r="AK26" s="1600">
        <f t="shared" si="38"/>
        <v>49300.772007669177</v>
      </c>
      <c r="AL26" s="1600">
        <f t="shared" si="52"/>
        <v>4108</v>
      </c>
    </row>
    <row r="27" spans="1:38" s="317" customFormat="1" ht="16.2" customHeight="1">
      <c r="A27" s="1454">
        <v>22</v>
      </c>
      <c r="B27" s="1455" t="s">
        <v>102</v>
      </c>
      <c r="C27" s="1456">
        <f>+'Table 8 Membership 2.1.14'!L24</f>
        <v>9</v>
      </c>
      <c r="D27" s="1457">
        <f>'Table 3 Levels 1&amp;2'!AL25*90%</f>
        <v>5774.4989827376394</v>
      </c>
      <c r="E27" s="1457">
        <f t="shared" si="39"/>
        <v>51970.490844638756</v>
      </c>
      <c r="F27" s="1458">
        <f>'Table 3A Level 3'!C27*90%</f>
        <v>446.72400000000005</v>
      </c>
      <c r="G27" s="1458">
        <f t="shared" si="40"/>
        <v>4020.5160000000005</v>
      </c>
      <c r="H27" s="1572">
        <f t="shared" si="41"/>
        <v>55991.00684463876</v>
      </c>
      <c r="I27" s="1458">
        <f>(('Table 3 Levels 1&amp;2'!AL25-D27)+('Table 3A Level 3'!C27-F27))*C27</f>
        <v>6221.2229827376414</v>
      </c>
      <c r="J27" s="1458"/>
      <c r="K27" s="1458"/>
      <c r="L27" s="1576">
        <f t="shared" si="42"/>
        <v>0</v>
      </c>
      <c r="M27" s="1572">
        <f t="shared" si="43"/>
        <v>55991.00684463876</v>
      </c>
      <c r="N27" s="1458">
        <f t="shared" si="44"/>
        <v>-139.97751711159691</v>
      </c>
      <c r="O27" s="1572">
        <f t="shared" si="30"/>
        <v>55851.029327527162</v>
      </c>
      <c r="P27" s="1459">
        <v>0</v>
      </c>
      <c r="Q27" s="1572">
        <f t="shared" si="45"/>
        <v>55851.029327527162</v>
      </c>
      <c r="R27" s="1458"/>
      <c r="S27" s="1458">
        <f t="shared" si="46"/>
        <v>55851.029327527162</v>
      </c>
      <c r="T27" s="1572">
        <f t="shared" si="31"/>
        <v>4654</v>
      </c>
      <c r="U27" s="1572">
        <f t="shared" si="32"/>
        <v>55851.029327527162</v>
      </c>
      <c r="V27" s="1460">
        <f>'Table 5C1A-Madison Prep'!U28*90%</f>
        <v>1451.7</v>
      </c>
      <c r="W27" s="1592">
        <f t="shared" si="33"/>
        <v>13065.300000000001</v>
      </c>
      <c r="X27" s="1462"/>
      <c r="Y27" s="1461">
        <f t="shared" si="47"/>
        <v>0</v>
      </c>
      <c r="Z27" s="1461"/>
      <c r="AA27" s="1461">
        <f t="shared" si="34"/>
        <v>0</v>
      </c>
      <c r="AB27" s="1597">
        <f t="shared" si="35"/>
        <v>0</v>
      </c>
      <c r="AC27" s="1592">
        <f t="shared" si="36"/>
        <v>13065.300000000001</v>
      </c>
      <c r="AD27" s="1461">
        <f t="shared" si="37"/>
        <v>-32.663250000000005</v>
      </c>
      <c r="AE27" s="1592">
        <f t="shared" si="48"/>
        <v>13032.636750000001</v>
      </c>
      <c r="AF27" s="1460">
        <v>0</v>
      </c>
      <c r="AG27" s="1592">
        <f t="shared" si="49"/>
        <v>13032.636750000001</v>
      </c>
      <c r="AH27" s="1461"/>
      <c r="AI27" s="1461">
        <f t="shared" si="50"/>
        <v>13032.636750000001</v>
      </c>
      <c r="AJ27" s="1592">
        <f t="shared" si="51"/>
        <v>1086</v>
      </c>
      <c r="AK27" s="1601">
        <f t="shared" si="38"/>
        <v>68883.666077527159</v>
      </c>
      <c r="AL27" s="1601">
        <f t="shared" si="52"/>
        <v>5740</v>
      </c>
    </row>
    <row r="28" spans="1:38" s="317" customFormat="1" ht="16.2" customHeight="1">
      <c r="A28" s="1454">
        <v>23</v>
      </c>
      <c r="B28" s="1455" t="s">
        <v>103</v>
      </c>
      <c r="C28" s="1456">
        <f>+'Table 8 Membership 2.1.14'!L25</f>
        <v>24</v>
      </c>
      <c r="D28" s="1457">
        <f>'Table 3 Levels 1&amp;2'!AL26*90%</f>
        <v>4509.9193739381244</v>
      </c>
      <c r="E28" s="1457">
        <f t="shared" si="39"/>
        <v>108238.06497451499</v>
      </c>
      <c r="F28" s="1458">
        <f>'Table 3A Level 3'!C28*90%</f>
        <v>619.72200000000009</v>
      </c>
      <c r="G28" s="1458">
        <f t="shared" si="40"/>
        <v>14873.328000000001</v>
      </c>
      <c r="H28" s="1572">
        <f t="shared" si="41"/>
        <v>123111.39297451498</v>
      </c>
      <c r="I28" s="1458">
        <f>(('Table 3 Levels 1&amp;2'!AL26-D28)+('Table 3A Level 3'!C28-F28))*C28</f>
        <v>13679.043663834995</v>
      </c>
      <c r="J28" s="1458"/>
      <c r="K28" s="1458"/>
      <c r="L28" s="1576">
        <f t="shared" si="42"/>
        <v>0</v>
      </c>
      <c r="M28" s="1572">
        <f t="shared" si="43"/>
        <v>123111.39297451498</v>
      </c>
      <c r="N28" s="1458">
        <f t="shared" si="44"/>
        <v>-307.77848243628745</v>
      </c>
      <c r="O28" s="1572">
        <f t="shared" si="30"/>
        <v>122803.61449207869</v>
      </c>
      <c r="P28" s="1459">
        <v>0</v>
      </c>
      <c r="Q28" s="1572">
        <f t="shared" si="45"/>
        <v>122803.61449207869</v>
      </c>
      <c r="R28" s="1458"/>
      <c r="S28" s="1458">
        <f t="shared" si="46"/>
        <v>122803.61449207869</v>
      </c>
      <c r="T28" s="1572">
        <f t="shared" si="31"/>
        <v>10234</v>
      </c>
      <c r="U28" s="1572">
        <f t="shared" si="32"/>
        <v>122803.61449207869</v>
      </c>
      <c r="V28" s="1460">
        <f>'Table 5C1A-Madison Prep'!U29*90%</f>
        <v>3125.7000000000003</v>
      </c>
      <c r="W28" s="1592">
        <f t="shared" si="33"/>
        <v>75016.800000000003</v>
      </c>
      <c r="X28" s="1462"/>
      <c r="Y28" s="1461">
        <f t="shared" si="47"/>
        <v>0</v>
      </c>
      <c r="Z28" s="1461"/>
      <c r="AA28" s="1461">
        <f t="shared" si="34"/>
        <v>0</v>
      </c>
      <c r="AB28" s="1597">
        <f t="shared" si="35"/>
        <v>0</v>
      </c>
      <c r="AC28" s="1592">
        <f t="shared" si="36"/>
        <v>75016.800000000003</v>
      </c>
      <c r="AD28" s="1461">
        <f t="shared" si="37"/>
        <v>-187.542</v>
      </c>
      <c r="AE28" s="1592">
        <f t="shared" si="48"/>
        <v>74829.258000000002</v>
      </c>
      <c r="AF28" s="1460">
        <v>0</v>
      </c>
      <c r="AG28" s="1592">
        <f t="shared" si="49"/>
        <v>74829.258000000002</v>
      </c>
      <c r="AH28" s="1461"/>
      <c r="AI28" s="1461">
        <f t="shared" si="50"/>
        <v>74829.258000000002</v>
      </c>
      <c r="AJ28" s="1592">
        <f t="shared" si="51"/>
        <v>6236</v>
      </c>
      <c r="AK28" s="1601">
        <f t="shared" si="38"/>
        <v>197632.87249207869</v>
      </c>
      <c r="AL28" s="1601">
        <f t="shared" si="52"/>
        <v>16470</v>
      </c>
    </row>
    <row r="29" spans="1:38" s="317" customFormat="1" ht="16.2" customHeight="1">
      <c r="A29" s="1454">
        <v>24</v>
      </c>
      <c r="B29" s="1455" t="s">
        <v>104</v>
      </c>
      <c r="C29" s="1456">
        <f>+'Table 8 Membership 2.1.14'!L26</f>
        <v>2</v>
      </c>
      <c r="D29" s="1457">
        <f>'Table 3 Levels 1&amp;2'!AL27*90%</f>
        <v>2350.5066325419298</v>
      </c>
      <c r="E29" s="1457">
        <f t="shared" si="39"/>
        <v>4701.0132650838596</v>
      </c>
      <c r="F29" s="1458">
        <f>'Table 3A Level 3'!C29*90%</f>
        <v>768.82499999999993</v>
      </c>
      <c r="G29" s="1458">
        <f t="shared" si="40"/>
        <v>1537.6499999999999</v>
      </c>
      <c r="H29" s="1572">
        <f t="shared" si="41"/>
        <v>6238.6632650838592</v>
      </c>
      <c r="I29" s="1458">
        <f>(('Table 3 Levels 1&amp;2'!AL27-D29)+('Table 3A Level 3'!C29-F29))*C29</f>
        <v>693.18480723154016</v>
      </c>
      <c r="J29" s="1458"/>
      <c r="K29" s="1458"/>
      <c r="L29" s="1576">
        <f t="shared" si="42"/>
        <v>0</v>
      </c>
      <c r="M29" s="1572">
        <f t="shared" si="43"/>
        <v>6238.6632650838592</v>
      </c>
      <c r="N29" s="1458">
        <f t="shared" si="44"/>
        <v>-15.596658162709648</v>
      </c>
      <c r="O29" s="1572">
        <f t="shared" si="30"/>
        <v>6223.0666069211493</v>
      </c>
      <c r="P29" s="1459">
        <v>0</v>
      </c>
      <c r="Q29" s="1572">
        <f t="shared" si="45"/>
        <v>6223.0666069211493</v>
      </c>
      <c r="R29" s="1458"/>
      <c r="S29" s="1458">
        <f t="shared" si="46"/>
        <v>6223.0666069211493</v>
      </c>
      <c r="T29" s="1572">
        <f t="shared" si="31"/>
        <v>519</v>
      </c>
      <c r="U29" s="1572">
        <f t="shared" si="32"/>
        <v>6223.0666069211493</v>
      </c>
      <c r="V29" s="1460">
        <f>'Table 5C1A-Madison Prep'!U30*90%</f>
        <v>9047.7000000000007</v>
      </c>
      <c r="W29" s="1592">
        <f t="shared" si="33"/>
        <v>18095.400000000001</v>
      </c>
      <c r="X29" s="1462"/>
      <c r="Y29" s="1461">
        <f t="shared" si="47"/>
        <v>0</v>
      </c>
      <c r="Z29" s="1461"/>
      <c r="AA29" s="1461">
        <f t="shared" si="34"/>
        <v>0</v>
      </c>
      <c r="AB29" s="1597">
        <f t="shared" si="35"/>
        <v>0</v>
      </c>
      <c r="AC29" s="1592">
        <f t="shared" si="36"/>
        <v>18095.400000000001</v>
      </c>
      <c r="AD29" s="1461">
        <f t="shared" si="37"/>
        <v>-45.238500000000002</v>
      </c>
      <c r="AE29" s="1592">
        <f t="shared" si="48"/>
        <v>18050.161500000002</v>
      </c>
      <c r="AF29" s="1460">
        <v>0</v>
      </c>
      <c r="AG29" s="1592">
        <f t="shared" si="49"/>
        <v>18050.161500000002</v>
      </c>
      <c r="AH29" s="1461"/>
      <c r="AI29" s="1461">
        <f t="shared" si="50"/>
        <v>18050.161500000002</v>
      </c>
      <c r="AJ29" s="1592">
        <f t="shared" si="51"/>
        <v>1504</v>
      </c>
      <c r="AK29" s="1601">
        <f t="shared" si="38"/>
        <v>24273.228106921153</v>
      </c>
      <c r="AL29" s="1601">
        <f t="shared" si="52"/>
        <v>2023</v>
      </c>
    </row>
    <row r="30" spans="1:38" s="317" customFormat="1" ht="16.2" customHeight="1">
      <c r="A30" s="1433">
        <v>25</v>
      </c>
      <c r="B30" s="1434" t="s">
        <v>105</v>
      </c>
      <c r="C30" s="1440">
        <f>+'Table 8 Membership 2.1.14'!L27</f>
        <v>1</v>
      </c>
      <c r="D30" s="1441">
        <f>'Table 3 Levels 1&amp;2'!AL28*90%</f>
        <v>3755.7648247451129</v>
      </c>
      <c r="E30" s="1441">
        <f t="shared" si="39"/>
        <v>3755.7648247451129</v>
      </c>
      <c r="F30" s="906">
        <f>'Table 3A Level 3'!C30*90%</f>
        <v>588.35700000000008</v>
      </c>
      <c r="G30" s="906">
        <f t="shared" si="40"/>
        <v>588.35700000000008</v>
      </c>
      <c r="H30" s="1573">
        <f t="shared" si="41"/>
        <v>4344.1218247451134</v>
      </c>
      <c r="I30" s="906">
        <f>(('Table 3 Levels 1&amp;2'!AL28-D30)+('Table 3A Level 3'!C30-F30))*C30</f>
        <v>482.68020274945673</v>
      </c>
      <c r="J30" s="906"/>
      <c r="K30" s="906"/>
      <c r="L30" s="1577">
        <f t="shared" si="42"/>
        <v>0</v>
      </c>
      <c r="M30" s="1573">
        <f t="shared" si="43"/>
        <v>4344.1218247451134</v>
      </c>
      <c r="N30" s="906">
        <f t="shared" si="44"/>
        <v>-10.860304561862783</v>
      </c>
      <c r="O30" s="1573">
        <f t="shared" si="30"/>
        <v>4333.2615201832505</v>
      </c>
      <c r="P30" s="1442">
        <v>0</v>
      </c>
      <c r="Q30" s="1573">
        <f t="shared" si="45"/>
        <v>4333.2615201832505</v>
      </c>
      <c r="R30" s="906"/>
      <c r="S30" s="906">
        <f t="shared" si="46"/>
        <v>4333.2615201832505</v>
      </c>
      <c r="T30" s="1573">
        <f t="shared" si="31"/>
        <v>361</v>
      </c>
      <c r="U30" s="1573">
        <f t="shared" si="32"/>
        <v>4333.2615201832505</v>
      </c>
      <c r="V30" s="1443">
        <f>'Table 5C1A-Madison Prep'!U31*90%</f>
        <v>4565.7</v>
      </c>
      <c r="W30" s="1593">
        <f t="shared" si="33"/>
        <v>4565.7</v>
      </c>
      <c r="X30" s="1444"/>
      <c r="Y30" s="907">
        <f t="shared" si="47"/>
        <v>0</v>
      </c>
      <c r="Z30" s="907"/>
      <c r="AA30" s="907">
        <f t="shared" si="34"/>
        <v>0</v>
      </c>
      <c r="AB30" s="1598">
        <f t="shared" si="35"/>
        <v>0</v>
      </c>
      <c r="AC30" s="1593">
        <f t="shared" si="36"/>
        <v>4565.7</v>
      </c>
      <c r="AD30" s="907">
        <f t="shared" si="37"/>
        <v>-11.414249999999999</v>
      </c>
      <c r="AE30" s="1593">
        <f t="shared" si="48"/>
        <v>4554.28575</v>
      </c>
      <c r="AF30" s="1443">
        <v>0</v>
      </c>
      <c r="AG30" s="1593">
        <f t="shared" si="49"/>
        <v>4554.28575</v>
      </c>
      <c r="AH30" s="907"/>
      <c r="AI30" s="907">
        <f t="shared" si="50"/>
        <v>4554.28575</v>
      </c>
      <c r="AJ30" s="1593">
        <f t="shared" si="51"/>
        <v>380</v>
      </c>
      <c r="AK30" s="1602">
        <f t="shared" si="38"/>
        <v>8887.5472701832514</v>
      </c>
      <c r="AL30" s="1602">
        <f t="shared" si="52"/>
        <v>741</v>
      </c>
    </row>
    <row r="31" spans="1:38" s="317" customFormat="1" ht="16.2" customHeight="1">
      <c r="A31" s="1445">
        <v>26</v>
      </c>
      <c r="B31" s="1446" t="s">
        <v>106</v>
      </c>
      <c r="C31" s="1447">
        <f>+'Table 8 Membership 2.1.14'!L28</f>
        <v>102</v>
      </c>
      <c r="D31" s="1448">
        <f>'Table 3 Levels 1&amp;2'!AL29*90%</f>
        <v>3082.1084973513753</v>
      </c>
      <c r="E31" s="1448">
        <f t="shared" si="39"/>
        <v>314375.0667298403</v>
      </c>
      <c r="F31" s="1449">
        <f>'Table 3A Level 3'!C31*90%</f>
        <v>753.14700000000005</v>
      </c>
      <c r="G31" s="1449">
        <f t="shared" si="40"/>
        <v>76820.994000000006</v>
      </c>
      <c r="H31" s="1571">
        <f t="shared" si="41"/>
        <v>391196.0607298403</v>
      </c>
      <c r="I31" s="1449">
        <f>(('Table 3 Levels 1&amp;2'!AL29-D31)+('Table 3A Level 3'!C31-F31))*C31</f>
        <v>43466.228969982236</v>
      </c>
      <c r="J31" s="1449"/>
      <c r="K31" s="1449"/>
      <c r="L31" s="1575">
        <f t="shared" si="42"/>
        <v>0</v>
      </c>
      <c r="M31" s="1571">
        <f t="shared" si="43"/>
        <v>391196.0607298403</v>
      </c>
      <c r="N31" s="1449">
        <f t="shared" si="44"/>
        <v>-977.99015182460073</v>
      </c>
      <c r="O31" s="1571">
        <f t="shared" si="30"/>
        <v>390218.0705780157</v>
      </c>
      <c r="P31" s="1450">
        <v>0</v>
      </c>
      <c r="Q31" s="1571">
        <f t="shared" si="45"/>
        <v>390218.0705780157</v>
      </c>
      <c r="R31" s="1449"/>
      <c r="S31" s="1449">
        <f t="shared" si="46"/>
        <v>390218.0705780157</v>
      </c>
      <c r="T31" s="1571">
        <f t="shared" si="31"/>
        <v>32518</v>
      </c>
      <c r="U31" s="1571">
        <f t="shared" si="32"/>
        <v>390218.0705780157</v>
      </c>
      <c r="V31" s="1451">
        <f>'Table 5C1A-Madison Prep'!U32*90%</f>
        <v>4734</v>
      </c>
      <c r="W31" s="1591">
        <f t="shared" si="33"/>
        <v>482868</v>
      </c>
      <c r="X31" s="1453"/>
      <c r="Y31" s="1452">
        <f t="shared" si="47"/>
        <v>0</v>
      </c>
      <c r="Z31" s="1452"/>
      <c r="AA31" s="1452">
        <f t="shared" si="34"/>
        <v>0</v>
      </c>
      <c r="AB31" s="1596">
        <f t="shared" si="35"/>
        <v>0</v>
      </c>
      <c r="AC31" s="1591">
        <f t="shared" si="36"/>
        <v>482868</v>
      </c>
      <c r="AD31" s="1452">
        <f t="shared" si="37"/>
        <v>-1207.17</v>
      </c>
      <c r="AE31" s="1591">
        <f t="shared" si="48"/>
        <v>481660.83</v>
      </c>
      <c r="AF31" s="1451">
        <v>0</v>
      </c>
      <c r="AG31" s="1591">
        <f t="shared" si="49"/>
        <v>481660.83</v>
      </c>
      <c r="AH31" s="1452"/>
      <c r="AI31" s="1452">
        <f t="shared" si="50"/>
        <v>481660.83</v>
      </c>
      <c r="AJ31" s="1591">
        <f t="shared" si="51"/>
        <v>40138</v>
      </c>
      <c r="AK31" s="1600">
        <f t="shared" si="38"/>
        <v>871878.90057801572</v>
      </c>
      <c r="AL31" s="1600">
        <f t="shared" si="52"/>
        <v>72656</v>
      </c>
    </row>
    <row r="32" spans="1:38" s="317" customFormat="1" ht="16.2" customHeight="1">
      <c r="A32" s="1454">
        <v>27</v>
      </c>
      <c r="B32" s="1455" t="s">
        <v>107</v>
      </c>
      <c r="C32" s="1456">
        <f>+'Table 8 Membership 2.1.14'!L29</f>
        <v>5</v>
      </c>
      <c r="D32" s="1457">
        <f>'Table 3 Levels 1&amp;2'!AL30*90%</f>
        <v>5224.4112455979302</v>
      </c>
      <c r="E32" s="1457">
        <f t="shared" si="39"/>
        <v>26122.056227989651</v>
      </c>
      <c r="F32" s="1458">
        <f>'Table 3A Level 3'!C32*90%</f>
        <v>623.75400000000002</v>
      </c>
      <c r="G32" s="1458">
        <f t="shared" si="40"/>
        <v>3118.77</v>
      </c>
      <c r="H32" s="1572">
        <f t="shared" si="41"/>
        <v>29240.826227989652</v>
      </c>
      <c r="I32" s="1458">
        <f>(('Table 3 Levels 1&amp;2'!AL30-D32)+('Table 3A Level 3'!C32-F32))*C32</f>
        <v>3248.9806919988514</v>
      </c>
      <c r="J32" s="1458"/>
      <c r="K32" s="1458"/>
      <c r="L32" s="1576">
        <f t="shared" si="42"/>
        <v>0</v>
      </c>
      <c r="M32" s="1572">
        <f t="shared" si="43"/>
        <v>29240.826227989652</v>
      </c>
      <c r="N32" s="1458">
        <f t="shared" si="44"/>
        <v>-73.10206556997413</v>
      </c>
      <c r="O32" s="1572">
        <f t="shared" si="30"/>
        <v>29167.724162419676</v>
      </c>
      <c r="P32" s="1459">
        <v>0</v>
      </c>
      <c r="Q32" s="1572">
        <f t="shared" si="45"/>
        <v>29167.724162419676</v>
      </c>
      <c r="R32" s="1458"/>
      <c r="S32" s="1458">
        <f t="shared" si="46"/>
        <v>29167.724162419676</v>
      </c>
      <c r="T32" s="1572">
        <f t="shared" si="31"/>
        <v>2431</v>
      </c>
      <c r="U32" s="1572">
        <f t="shared" si="32"/>
        <v>29167.724162419676</v>
      </c>
      <c r="V32" s="1460">
        <f>'Table 5C1A-Madison Prep'!U33*90%</f>
        <v>2852.1</v>
      </c>
      <c r="W32" s="1592">
        <f t="shared" si="33"/>
        <v>14260.5</v>
      </c>
      <c r="X32" s="1462"/>
      <c r="Y32" s="1461">
        <f t="shared" si="47"/>
        <v>0</v>
      </c>
      <c r="Z32" s="1461"/>
      <c r="AA32" s="1461">
        <f t="shared" si="34"/>
        <v>0</v>
      </c>
      <c r="AB32" s="1597">
        <f t="shared" si="35"/>
        <v>0</v>
      </c>
      <c r="AC32" s="1592">
        <f t="shared" si="36"/>
        <v>14260.5</v>
      </c>
      <c r="AD32" s="1461">
        <f t="shared" si="37"/>
        <v>-35.651249999999997</v>
      </c>
      <c r="AE32" s="1592">
        <f t="shared" si="48"/>
        <v>14224.848749999999</v>
      </c>
      <c r="AF32" s="1460">
        <v>0</v>
      </c>
      <c r="AG32" s="1592">
        <f t="shared" si="49"/>
        <v>14224.848749999999</v>
      </c>
      <c r="AH32" s="1461"/>
      <c r="AI32" s="1461">
        <f t="shared" si="50"/>
        <v>14224.848749999999</v>
      </c>
      <c r="AJ32" s="1592">
        <f t="shared" si="51"/>
        <v>1185</v>
      </c>
      <c r="AK32" s="1601">
        <f t="shared" si="38"/>
        <v>43392.572912419673</v>
      </c>
      <c r="AL32" s="1601">
        <f t="shared" si="52"/>
        <v>3616</v>
      </c>
    </row>
    <row r="33" spans="1:38" s="317" customFormat="1" ht="16.2" customHeight="1">
      <c r="A33" s="1454">
        <v>28</v>
      </c>
      <c r="B33" s="1455" t="s">
        <v>108</v>
      </c>
      <c r="C33" s="1456">
        <f>+'Table 8 Membership 2.1.14'!L30</f>
        <v>53</v>
      </c>
      <c r="D33" s="1457">
        <f>'Table 3 Levels 1&amp;2'!AL31*90%</f>
        <v>2823.6742961911941</v>
      </c>
      <c r="E33" s="1457">
        <f t="shared" si="39"/>
        <v>149654.73769813328</v>
      </c>
      <c r="F33" s="1458">
        <f>'Table 3A Level 3'!C33*90%</f>
        <v>624.96</v>
      </c>
      <c r="G33" s="1458">
        <f t="shared" si="40"/>
        <v>33122.880000000005</v>
      </c>
      <c r="H33" s="1572">
        <f t="shared" si="41"/>
        <v>182777.61769813328</v>
      </c>
      <c r="I33" s="1458">
        <f>(('Table 3 Levels 1&amp;2'!AL31-D33)+('Table 3A Level 3'!C33-F33))*C33</f>
        <v>20308.624188681461</v>
      </c>
      <c r="J33" s="1458"/>
      <c r="K33" s="1458"/>
      <c r="L33" s="1576">
        <f t="shared" si="42"/>
        <v>0</v>
      </c>
      <c r="M33" s="1572">
        <f t="shared" si="43"/>
        <v>182777.61769813328</v>
      </c>
      <c r="N33" s="1458">
        <f t="shared" si="44"/>
        <v>-456.9440442453332</v>
      </c>
      <c r="O33" s="1572">
        <f t="shared" si="30"/>
        <v>182320.67365388796</v>
      </c>
      <c r="P33" s="1459">
        <v>0</v>
      </c>
      <c r="Q33" s="1572">
        <f t="shared" si="45"/>
        <v>182320.67365388796</v>
      </c>
      <c r="R33" s="1458"/>
      <c r="S33" s="1458">
        <f t="shared" si="46"/>
        <v>182320.67365388796</v>
      </c>
      <c r="T33" s="1572">
        <f t="shared" si="31"/>
        <v>15193</v>
      </c>
      <c r="U33" s="1572">
        <f t="shared" si="32"/>
        <v>182320.67365388796</v>
      </c>
      <c r="V33" s="1460">
        <f>'Table 5C1A-Madison Prep'!U34*90%</f>
        <v>5211</v>
      </c>
      <c r="W33" s="1592">
        <f t="shared" si="33"/>
        <v>276183</v>
      </c>
      <c r="X33" s="1462"/>
      <c r="Y33" s="1461">
        <f t="shared" si="47"/>
        <v>0</v>
      </c>
      <c r="Z33" s="1461"/>
      <c r="AA33" s="1461">
        <f t="shared" si="34"/>
        <v>0</v>
      </c>
      <c r="AB33" s="1597">
        <f t="shared" si="35"/>
        <v>0</v>
      </c>
      <c r="AC33" s="1592">
        <f t="shared" si="36"/>
        <v>276183</v>
      </c>
      <c r="AD33" s="1461">
        <f t="shared" si="37"/>
        <v>-690.45749999999998</v>
      </c>
      <c r="AE33" s="1592">
        <f t="shared" si="48"/>
        <v>275492.54249999998</v>
      </c>
      <c r="AF33" s="1460">
        <v>0</v>
      </c>
      <c r="AG33" s="1592">
        <f t="shared" si="49"/>
        <v>275492.54249999998</v>
      </c>
      <c r="AH33" s="1461"/>
      <c r="AI33" s="1461">
        <f t="shared" si="50"/>
        <v>275492.54249999998</v>
      </c>
      <c r="AJ33" s="1592">
        <f t="shared" si="51"/>
        <v>22958</v>
      </c>
      <c r="AK33" s="1601">
        <f t="shared" si="38"/>
        <v>457813.21615388792</v>
      </c>
      <c r="AL33" s="1601">
        <f t="shared" si="52"/>
        <v>38151</v>
      </c>
    </row>
    <row r="34" spans="1:38" s="317" customFormat="1" ht="16.2" customHeight="1">
      <c r="A34" s="1454">
        <v>29</v>
      </c>
      <c r="B34" s="1455" t="s">
        <v>109</v>
      </c>
      <c r="C34" s="1456">
        <f>+'Table 8 Membership 2.1.14'!L31</f>
        <v>3</v>
      </c>
      <c r="D34" s="1457">
        <f>'Table 3 Levels 1&amp;2'!AL32*90%</f>
        <v>3455.1110889156353</v>
      </c>
      <c r="E34" s="1457">
        <f t="shared" si="39"/>
        <v>10365.333266746906</v>
      </c>
      <c r="F34" s="1458">
        <f>'Table 3A Level 3'!C34*90%</f>
        <v>679.45499999999993</v>
      </c>
      <c r="G34" s="1458">
        <f t="shared" si="40"/>
        <v>2038.3649999999998</v>
      </c>
      <c r="H34" s="1572">
        <f t="shared" si="41"/>
        <v>12403.698266746906</v>
      </c>
      <c r="I34" s="1458">
        <f>(('Table 3 Levels 1&amp;2'!AL32-D34)+('Table 3A Level 3'!C34-F34))*C34</f>
        <v>1378.1886963052116</v>
      </c>
      <c r="J34" s="1458"/>
      <c r="K34" s="1458"/>
      <c r="L34" s="1576">
        <f t="shared" si="42"/>
        <v>0</v>
      </c>
      <c r="M34" s="1572">
        <f t="shared" si="43"/>
        <v>12403.698266746906</v>
      </c>
      <c r="N34" s="1458">
        <f t="shared" si="44"/>
        <v>-31.009245666867265</v>
      </c>
      <c r="O34" s="1572">
        <f t="shared" si="30"/>
        <v>12372.689021080037</v>
      </c>
      <c r="P34" s="1459">
        <v>0</v>
      </c>
      <c r="Q34" s="1572">
        <f t="shared" si="45"/>
        <v>12372.689021080037</v>
      </c>
      <c r="R34" s="1458"/>
      <c r="S34" s="1458">
        <f t="shared" si="46"/>
        <v>12372.689021080037</v>
      </c>
      <c r="T34" s="1572">
        <f t="shared" si="31"/>
        <v>1031</v>
      </c>
      <c r="U34" s="1572">
        <f t="shared" si="32"/>
        <v>12372.689021080037</v>
      </c>
      <c r="V34" s="1460">
        <f>'Table 5C1A-Madison Prep'!U35*90%</f>
        <v>4562.1000000000004</v>
      </c>
      <c r="W34" s="1592">
        <f t="shared" si="33"/>
        <v>13686.300000000001</v>
      </c>
      <c r="X34" s="1462"/>
      <c r="Y34" s="1461">
        <f t="shared" si="47"/>
        <v>0</v>
      </c>
      <c r="Z34" s="1461"/>
      <c r="AA34" s="1461">
        <f t="shared" si="34"/>
        <v>0</v>
      </c>
      <c r="AB34" s="1597">
        <f t="shared" si="35"/>
        <v>0</v>
      </c>
      <c r="AC34" s="1592">
        <f t="shared" si="36"/>
        <v>13686.300000000001</v>
      </c>
      <c r="AD34" s="1461">
        <f t="shared" si="37"/>
        <v>-34.21575</v>
      </c>
      <c r="AE34" s="1592">
        <f t="shared" si="48"/>
        <v>13652.084250000002</v>
      </c>
      <c r="AF34" s="1460">
        <v>0</v>
      </c>
      <c r="AG34" s="1592">
        <f t="shared" si="49"/>
        <v>13652.084250000002</v>
      </c>
      <c r="AH34" s="1461"/>
      <c r="AI34" s="1461">
        <f t="shared" si="50"/>
        <v>13652.084250000002</v>
      </c>
      <c r="AJ34" s="1592">
        <f t="shared" si="51"/>
        <v>1138</v>
      </c>
      <c r="AK34" s="1601">
        <f t="shared" si="38"/>
        <v>26024.773271080041</v>
      </c>
      <c r="AL34" s="1601">
        <f t="shared" si="52"/>
        <v>2169</v>
      </c>
    </row>
    <row r="35" spans="1:38" s="317" customFormat="1" ht="16.2" customHeight="1">
      <c r="A35" s="1433">
        <v>30</v>
      </c>
      <c r="B35" s="1434" t="s">
        <v>110</v>
      </c>
      <c r="C35" s="1440">
        <f>+'Table 8 Membership 2.1.14'!L32</f>
        <v>3</v>
      </c>
      <c r="D35" s="1441">
        <f>'Table 3 Levels 1&amp;2'!AL33*90%</f>
        <v>5224.079454659709</v>
      </c>
      <c r="E35" s="1441">
        <f t="shared" si="39"/>
        <v>15672.238363979126</v>
      </c>
      <c r="F35" s="906">
        <f>'Table 3A Level 3'!C35*90%</f>
        <v>654.45299999999997</v>
      </c>
      <c r="G35" s="906">
        <f t="shared" si="40"/>
        <v>1963.3589999999999</v>
      </c>
      <c r="H35" s="1573">
        <f t="shared" si="41"/>
        <v>17635.597363979126</v>
      </c>
      <c r="I35" s="906">
        <f>(('Table 3 Levels 1&amp;2'!AL33-D35)+('Table 3A Level 3'!C35-F35))*C35</f>
        <v>1959.5108182199019</v>
      </c>
      <c r="J35" s="906"/>
      <c r="K35" s="906"/>
      <c r="L35" s="1577">
        <f t="shared" si="42"/>
        <v>0</v>
      </c>
      <c r="M35" s="1573">
        <f t="shared" si="43"/>
        <v>17635.597363979126</v>
      </c>
      <c r="N35" s="906">
        <f t="shared" si="44"/>
        <v>-44.088993409947818</v>
      </c>
      <c r="O35" s="1573">
        <f t="shared" si="30"/>
        <v>17591.50837056918</v>
      </c>
      <c r="P35" s="1442">
        <v>0</v>
      </c>
      <c r="Q35" s="1573">
        <f t="shared" si="45"/>
        <v>17591.50837056918</v>
      </c>
      <c r="R35" s="906"/>
      <c r="S35" s="906">
        <f t="shared" si="46"/>
        <v>17591.50837056918</v>
      </c>
      <c r="T35" s="1573">
        <f t="shared" si="31"/>
        <v>1466</v>
      </c>
      <c r="U35" s="1573">
        <f t="shared" si="32"/>
        <v>17591.50837056918</v>
      </c>
      <c r="V35" s="1443">
        <f>'Table 5C1A-Madison Prep'!U36*90%</f>
        <v>3248.1</v>
      </c>
      <c r="W35" s="1593">
        <f t="shared" si="33"/>
        <v>9744.2999999999993</v>
      </c>
      <c r="X35" s="1444"/>
      <c r="Y35" s="907">
        <f t="shared" si="47"/>
        <v>0</v>
      </c>
      <c r="Z35" s="907"/>
      <c r="AA35" s="907">
        <f t="shared" si="34"/>
        <v>0</v>
      </c>
      <c r="AB35" s="1598">
        <f t="shared" si="35"/>
        <v>0</v>
      </c>
      <c r="AC35" s="1593">
        <f t="shared" si="36"/>
        <v>9744.2999999999993</v>
      </c>
      <c r="AD35" s="907">
        <f t="shared" si="37"/>
        <v>-24.360749999999999</v>
      </c>
      <c r="AE35" s="1593">
        <f t="shared" si="48"/>
        <v>9719.9392499999994</v>
      </c>
      <c r="AF35" s="1443">
        <v>0</v>
      </c>
      <c r="AG35" s="1593">
        <f t="shared" si="49"/>
        <v>9719.9392499999994</v>
      </c>
      <c r="AH35" s="907"/>
      <c r="AI35" s="907">
        <f t="shared" si="50"/>
        <v>9719.9392499999994</v>
      </c>
      <c r="AJ35" s="1593">
        <f t="shared" si="51"/>
        <v>810</v>
      </c>
      <c r="AK35" s="1602">
        <f t="shared" si="38"/>
        <v>27311.447620569179</v>
      </c>
      <c r="AL35" s="1602">
        <f t="shared" si="52"/>
        <v>2276</v>
      </c>
    </row>
    <row r="36" spans="1:38" s="317" customFormat="1" ht="16.2" customHeight="1">
      <c r="A36" s="1445">
        <v>31</v>
      </c>
      <c r="B36" s="1446" t="s">
        <v>111</v>
      </c>
      <c r="C36" s="1447">
        <f>+'Table 8 Membership 2.1.14'!L33</f>
        <v>3</v>
      </c>
      <c r="D36" s="1448">
        <f>'Table 3 Levels 1&amp;2'!AL34*90%</f>
        <v>4068.5559045181681</v>
      </c>
      <c r="E36" s="1448">
        <f t="shared" si="39"/>
        <v>12205.667713554503</v>
      </c>
      <c r="F36" s="1449">
        <f>'Table 3A Level 3'!C36*90%</f>
        <v>558.74700000000007</v>
      </c>
      <c r="G36" s="1449">
        <f t="shared" si="40"/>
        <v>1676.2410000000002</v>
      </c>
      <c r="H36" s="1571">
        <f t="shared" si="41"/>
        <v>13881.908713554503</v>
      </c>
      <c r="I36" s="1449">
        <f>(('Table 3 Levels 1&amp;2'!AL34-D36)+('Table 3A Level 3'!C36-F36))*C36</f>
        <v>1542.4343015060549</v>
      </c>
      <c r="J36" s="1449"/>
      <c r="K36" s="1449"/>
      <c r="L36" s="1575">
        <f t="shared" si="42"/>
        <v>0</v>
      </c>
      <c r="M36" s="1571">
        <f t="shared" si="43"/>
        <v>13881.908713554503</v>
      </c>
      <c r="N36" s="1449">
        <f t="shared" si="44"/>
        <v>-34.704771783886258</v>
      </c>
      <c r="O36" s="1571">
        <f t="shared" si="30"/>
        <v>13847.203941770616</v>
      </c>
      <c r="P36" s="1450">
        <v>0</v>
      </c>
      <c r="Q36" s="1571">
        <f t="shared" si="45"/>
        <v>13847.203941770616</v>
      </c>
      <c r="R36" s="1449"/>
      <c r="S36" s="1449">
        <f t="shared" si="46"/>
        <v>13847.203941770616</v>
      </c>
      <c r="T36" s="1571">
        <f t="shared" si="31"/>
        <v>1154</v>
      </c>
      <c r="U36" s="1571">
        <f t="shared" si="32"/>
        <v>13847.203941770616</v>
      </c>
      <c r="V36" s="1451">
        <f>'Table 5C1A-Madison Prep'!U37*90%</f>
        <v>4538.7</v>
      </c>
      <c r="W36" s="1591">
        <f t="shared" si="33"/>
        <v>13616.099999999999</v>
      </c>
      <c r="X36" s="1453"/>
      <c r="Y36" s="1452">
        <f t="shared" si="47"/>
        <v>0</v>
      </c>
      <c r="Z36" s="1452"/>
      <c r="AA36" s="1452">
        <f t="shared" si="34"/>
        <v>0</v>
      </c>
      <c r="AB36" s="1596">
        <f t="shared" si="35"/>
        <v>0</v>
      </c>
      <c r="AC36" s="1591">
        <f t="shared" si="36"/>
        <v>13616.099999999999</v>
      </c>
      <c r="AD36" s="1452">
        <f t="shared" si="37"/>
        <v>-34.04025</v>
      </c>
      <c r="AE36" s="1591">
        <f t="shared" si="48"/>
        <v>13582.059749999999</v>
      </c>
      <c r="AF36" s="1451">
        <v>0</v>
      </c>
      <c r="AG36" s="1591">
        <f t="shared" si="49"/>
        <v>13582.059749999999</v>
      </c>
      <c r="AH36" s="1452"/>
      <c r="AI36" s="1452">
        <f t="shared" si="50"/>
        <v>13582.059749999999</v>
      </c>
      <c r="AJ36" s="1591">
        <f t="shared" si="51"/>
        <v>1132</v>
      </c>
      <c r="AK36" s="1600">
        <f t="shared" si="38"/>
        <v>27429.263691770615</v>
      </c>
      <c r="AL36" s="1600">
        <f t="shared" si="52"/>
        <v>2286</v>
      </c>
    </row>
    <row r="37" spans="1:38" s="317" customFormat="1" ht="16.2" customHeight="1">
      <c r="A37" s="1454">
        <v>32</v>
      </c>
      <c r="B37" s="1455" t="s">
        <v>112</v>
      </c>
      <c r="C37" s="1456">
        <f>+'Table 8 Membership 2.1.14'!L34</f>
        <v>73</v>
      </c>
      <c r="D37" s="1457">
        <f>'Table 3 Levels 1&amp;2'!AL35*90%</f>
        <v>5087.5372701550141</v>
      </c>
      <c r="E37" s="1457">
        <f t="shared" si="39"/>
        <v>371390.220721316</v>
      </c>
      <c r="F37" s="1458">
        <f>'Table 3A Level 3'!C37*90%</f>
        <v>503.79300000000001</v>
      </c>
      <c r="G37" s="1458">
        <f t="shared" si="40"/>
        <v>36776.889000000003</v>
      </c>
      <c r="H37" s="1572">
        <f t="shared" si="41"/>
        <v>408167.10972131602</v>
      </c>
      <c r="I37" s="1458">
        <f>(('Table 3 Levels 1&amp;2'!AL35-D37)+('Table 3A Level 3'!C37-F37))*C37</f>
        <v>45351.901080146235</v>
      </c>
      <c r="J37" s="1458"/>
      <c r="K37" s="1458"/>
      <c r="L37" s="1576">
        <f t="shared" si="42"/>
        <v>0</v>
      </c>
      <c r="M37" s="1572">
        <f t="shared" si="43"/>
        <v>408167.10972131602</v>
      </c>
      <c r="N37" s="1458">
        <f t="shared" si="44"/>
        <v>-1020.4177743032901</v>
      </c>
      <c r="O37" s="1572">
        <f t="shared" si="30"/>
        <v>407146.69194701273</v>
      </c>
      <c r="P37" s="1459">
        <v>0</v>
      </c>
      <c r="Q37" s="1572">
        <f t="shared" si="45"/>
        <v>407146.69194701273</v>
      </c>
      <c r="R37" s="1458"/>
      <c r="S37" s="1458">
        <f t="shared" si="46"/>
        <v>407146.69194701273</v>
      </c>
      <c r="T37" s="1572">
        <f t="shared" si="31"/>
        <v>33929</v>
      </c>
      <c r="U37" s="1572">
        <f t="shared" si="32"/>
        <v>407146.69194701273</v>
      </c>
      <c r="V37" s="1460">
        <f>'Table 5C1A-Madison Prep'!U38*90%</f>
        <v>1908.9</v>
      </c>
      <c r="W37" s="1592">
        <f t="shared" si="33"/>
        <v>139349.70000000001</v>
      </c>
      <c r="X37" s="1462"/>
      <c r="Y37" s="1461">
        <f t="shared" si="47"/>
        <v>0</v>
      </c>
      <c r="Z37" s="1461"/>
      <c r="AA37" s="1461">
        <f t="shared" si="34"/>
        <v>0</v>
      </c>
      <c r="AB37" s="1597">
        <f t="shared" si="35"/>
        <v>0</v>
      </c>
      <c r="AC37" s="1592">
        <f t="shared" si="36"/>
        <v>139349.70000000001</v>
      </c>
      <c r="AD37" s="1461">
        <f t="shared" si="37"/>
        <v>-348.37425000000002</v>
      </c>
      <c r="AE37" s="1592">
        <f t="shared" si="48"/>
        <v>139001.32575000002</v>
      </c>
      <c r="AF37" s="1460">
        <v>0</v>
      </c>
      <c r="AG37" s="1592">
        <f t="shared" si="49"/>
        <v>139001.32575000002</v>
      </c>
      <c r="AH37" s="1461"/>
      <c r="AI37" s="1461">
        <f t="shared" si="50"/>
        <v>139001.32575000002</v>
      </c>
      <c r="AJ37" s="1592">
        <f t="shared" si="51"/>
        <v>11583</v>
      </c>
      <c r="AK37" s="1601">
        <f t="shared" si="38"/>
        <v>546148.01769701275</v>
      </c>
      <c r="AL37" s="1601">
        <f t="shared" si="52"/>
        <v>45512</v>
      </c>
    </row>
    <row r="38" spans="1:38" s="317" customFormat="1" ht="16.2" customHeight="1">
      <c r="A38" s="1454">
        <v>33</v>
      </c>
      <c r="B38" s="1455" t="s">
        <v>113</v>
      </c>
      <c r="C38" s="1456">
        <f>+'Table 8 Membership 2.1.14'!L35</f>
        <v>0</v>
      </c>
      <c r="D38" s="1457">
        <f>'Table 3 Levels 1&amp;2'!AL36*90%</f>
        <v>4910.6029102276707</v>
      </c>
      <c r="E38" s="1457">
        <f t="shared" si="39"/>
        <v>0</v>
      </c>
      <c r="F38" s="1458">
        <f>'Table 3A Level 3'!C38*90%</f>
        <v>589.77900000000011</v>
      </c>
      <c r="G38" s="1458">
        <f t="shared" si="40"/>
        <v>0</v>
      </c>
      <c r="H38" s="1572">
        <f t="shared" si="41"/>
        <v>0</v>
      </c>
      <c r="I38" s="1458">
        <f>(('Table 3 Levels 1&amp;2'!AL36-D38)+('Table 3A Level 3'!C38-F38))*C38</f>
        <v>0</v>
      </c>
      <c r="J38" s="1458"/>
      <c r="K38" s="1458"/>
      <c r="L38" s="1576">
        <f t="shared" si="42"/>
        <v>0</v>
      </c>
      <c r="M38" s="1572">
        <f t="shared" si="43"/>
        <v>0</v>
      </c>
      <c r="N38" s="1458">
        <f t="shared" si="44"/>
        <v>0</v>
      </c>
      <c r="O38" s="1572">
        <f t="shared" ref="O38:O69" si="53">M38+N38</f>
        <v>0</v>
      </c>
      <c r="P38" s="1459">
        <v>0</v>
      </c>
      <c r="Q38" s="1572">
        <f t="shared" si="45"/>
        <v>0</v>
      </c>
      <c r="R38" s="1458"/>
      <c r="S38" s="1458">
        <f t="shared" si="46"/>
        <v>0</v>
      </c>
      <c r="T38" s="1572">
        <f t="shared" si="31"/>
        <v>0</v>
      </c>
      <c r="U38" s="1572">
        <f t="shared" si="32"/>
        <v>0</v>
      </c>
      <c r="V38" s="1460">
        <f>'Table 5C1A-Madison Prep'!U39*90%</f>
        <v>3254.4</v>
      </c>
      <c r="W38" s="1592">
        <f t="shared" ref="W38:W69" si="54">V38*C38</f>
        <v>0</v>
      </c>
      <c r="X38" s="1462"/>
      <c r="Y38" s="1461">
        <f t="shared" si="47"/>
        <v>0</v>
      </c>
      <c r="Z38" s="1461"/>
      <c r="AA38" s="1461">
        <f t="shared" si="34"/>
        <v>0</v>
      </c>
      <c r="AB38" s="1597">
        <f t="shared" si="35"/>
        <v>0</v>
      </c>
      <c r="AC38" s="1592">
        <f t="shared" si="36"/>
        <v>0</v>
      </c>
      <c r="AD38" s="1461">
        <f t="shared" si="37"/>
        <v>0</v>
      </c>
      <c r="AE38" s="1592">
        <f t="shared" si="48"/>
        <v>0</v>
      </c>
      <c r="AF38" s="1460">
        <v>0</v>
      </c>
      <c r="AG38" s="1592">
        <f t="shared" si="49"/>
        <v>0</v>
      </c>
      <c r="AH38" s="1461"/>
      <c r="AI38" s="1461">
        <f t="shared" si="50"/>
        <v>0</v>
      </c>
      <c r="AJ38" s="1592">
        <f t="shared" si="51"/>
        <v>0</v>
      </c>
      <c r="AK38" s="1601">
        <f t="shared" si="38"/>
        <v>0</v>
      </c>
      <c r="AL38" s="1601">
        <f t="shared" si="52"/>
        <v>0</v>
      </c>
    </row>
    <row r="39" spans="1:38" s="317" customFormat="1" ht="16.2" customHeight="1">
      <c r="A39" s="1454">
        <v>34</v>
      </c>
      <c r="B39" s="1455" t="s">
        <v>114</v>
      </c>
      <c r="C39" s="1456">
        <f>+'Table 8 Membership 2.1.14'!L36</f>
        <v>4</v>
      </c>
      <c r="D39" s="1457">
        <f>'Table 3 Levels 1&amp;2'!AL37*90%</f>
        <v>5662.8879158510108</v>
      </c>
      <c r="E39" s="1457">
        <f t="shared" si="39"/>
        <v>22651.551663404043</v>
      </c>
      <c r="F39" s="1458">
        <f>'Table 3A Level 3'!C39*90%</f>
        <v>579.69900000000018</v>
      </c>
      <c r="G39" s="1458">
        <f t="shared" si="40"/>
        <v>2318.7960000000007</v>
      </c>
      <c r="H39" s="1572">
        <f t="shared" si="41"/>
        <v>24970.347663404045</v>
      </c>
      <c r="I39" s="1458">
        <f>(('Table 3 Levels 1&amp;2'!AL37-D39)+('Table 3A Level 3'!C39-F39))*C39</f>
        <v>2774.4830737115585</v>
      </c>
      <c r="J39" s="1458"/>
      <c r="K39" s="1458"/>
      <c r="L39" s="1576">
        <f t="shared" si="42"/>
        <v>0</v>
      </c>
      <c r="M39" s="1572">
        <f t="shared" si="43"/>
        <v>24970.347663404045</v>
      </c>
      <c r="N39" s="1458">
        <f t="shared" si="44"/>
        <v>-62.425869158510118</v>
      </c>
      <c r="O39" s="1572">
        <f t="shared" si="53"/>
        <v>24907.921794245536</v>
      </c>
      <c r="P39" s="1459">
        <v>0</v>
      </c>
      <c r="Q39" s="1572">
        <f t="shared" si="45"/>
        <v>24907.921794245536</v>
      </c>
      <c r="R39" s="1458"/>
      <c r="S39" s="1458">
        <f t="shared" si="46"/>
        <v>24907.921794245536</v>
      </c>
      <c r="T39" s="1572">
        <f t="shared" si="31"/>
        <v>2076</v>
      </c>
      <c r="U39" s="1572">
        <f t="shared" si="32"/>
        <v>24907.921794245536</v>
      </c>
      <c r="V39" s="1460">
        <f>'Table 5C1A-Madison Prep'!U40*90%</f>
        <v>2448.9</v>
      </c>
      <c r="W39" s="1592">
        <f t="shared" si="54"/>
        <v>9795.6</v>
      </c>
      <c r="X39" s="1462"/>
      <c r="Y39" s="1461">
        <f t="shared" si="47"/>
        <v>0</v>
      </c>
      <c r="Z39" s="1461"/>
      <c r="AA39" s="1461">
        <f t="shared" si="34"/>
        <v>0</v>
      </c>
      <c r="AB39" s="1597">
        <f t="shared" si="35"/>
        <v>0</v>
      </c>
      <c r="AC39" s="1592">
        <f t="shared" si="36"/>
        <v>9795.6</v>
      </c>
      <c r="AD39" s="1461">
        <f t="shared" si="37"/>
        <v>-24.489000000000001</v>
      </c>
      <c r="AE39" s="1592">
        <f t="shared" si="48"/>
        <v>9771.1110000000008</v>
      </c>
      <c r="AF39" s="1460">
        <v>0</v>
      </c>
      <c r="AG39" s="1592">
        <f t="shared" si="49"/>
        <v>9771.1110000000008</v>
      </c>
      <c r="AH39" s="1461"/>
      <c r="AI39" s="1461">
        <f t="shared" si="50"/>
        <v>9771.1110000000008</v>
      </c>
      <c r="AJ39" s="1592">
        <f t="shared" si="51"/>
        <v>814</v>
      </c>
      <c r="AK39" s="1601">
        <f t="shared" si="38"/>
        <v>34679.032794245533</v>
      </c>
      <c r="AL39" s="1601">
        <f t="shared" si="52"/>
        <v>2890</v>
      </c>
    </row>
    <row r="40" spans="1:38" s="317" customFormat="1" ht="16.2" customHeight="1">
      <c r="A40" s="1433">
        <v>35</v>
      </c>
      <c r="B40" s="1434" t="s">
        <v>115</v>
      </c>
      <c r="C40" s="1440">
        <f>+'Table 8 Membership 2.1.14'!L37</f>
        <v>19</v>
      </c>
      <c r="D40" s="1441">
        <f>'Table 3 Levels 1&amp;2'!AL38*90%</f>
        <v>4649.6233854429847</v>
      </c>
      <c r="E40" s="1441">
        <f t="shared" si="39"/>
        <v>88342.844323416706</v>
      </c>
      <c r="F40" s="906">
        <f>'Table 3A Level 3'!C40*90%</f>
        <v>484.16400000000004</v>
      </c>
      <c r="G40" s="906">
        <f t="shared" si="40"/>
        <v>9199.116</v>
      </c>
      <c r="H40" s="1573">
        <f t="shared" si="41"/>
        <v>97541.960323416701</v>
      </c>
      <c r="I40" s="906">
        <f>(('Table 3 Levels 1&amp;2'!AL38-D40)+('Table 3A Level 3'!C40-F40))*C40</f>
        <v>10837.99559149074</v>
      </c>
      <c r="J40" s="906"/>
      <c r="K40" s="906"/>
      <c r="L40" s="1577">
        <f t="shared" si="42"/>
        <v>0</v>
      </c>
      <c r="M40" s="1573">
        <f t="shared" si="43"/>
        <v>97541.960323416701</v>
      </c>
      <c r="N40" s="906">
        <f t="shared" si="44"/>
        <v>-243.85490080854174</v>
      </c>
      <c r="O40" s="1573">
        <f t="shared" si="53"/>
        <v>97298.105422608161</v>
      </c>
      <c r="P40" s="1442">
        <v>0</v>
      </c>
      <c r="Q40" s="1573">
        <f t="shared" si="45"/>
        <v>97298.105422608161</v>
      </c>
      <c r="R40" s="906"/>
      <c r="S40" s="906">
        <f t="shared" si="46"/>
        <v>97298.105422608161</v>
      </c>
      <c r="T40" s="1573">
        <f t="shared" si="31"/>
        <v>8108</v>
      </c>
      <c r="U40" s="1573">
        <f t="shared" si="32"/>
        <v>97298.105422608161</v>
      </c>
      <c r="V40" s="1443">
        <f>'Table 5C1A-Madison Prep'!U41*90%</f>
        <v>2929.5</v>
      </c>
      <c r="W40" s="1593">
        <f t="shared" si="54"/>
        <v>55660.5</v>
      </c>
      <c r="X40" s="1444"/>
      <c r="Y40" s="907">
        <f t="shared" si="47"/>
        <v>0</v>
      </c>
      <c r="Z40" s="907"/>
      <c r="AA40" s="907">
        <f t="shared" si="34"/>
        <v>0</v>
      </c>
      <c r="AB40" s="1598">
        <f t="shared" si="35"/>
        <v>0</v>
      </c>
      <c r="AC40" s="1593">
        <f t="shared" si="36"/>
        <v>55660.5</v>
      </c>
      <c r="AD40" s="907">
        <f t="shared" si="37"/>
        <v>-139.15125</v>
      </c>
      <c r="AE40" s="1593">
        <f t="shared" si="48"/>
        <v>55521.348749999997</v>
      </c>
      <c r="AF40" s="1443">
        <v>0</v>
      </c>
      <c r="AG40" s="1593">
        <f t="shared" si="49"/>
        <v>55521.348749999997</v>
      </c>
      <c r="AH40" s="907"/>
      <c r="AI40" s="907">
        <f t="shared" si="50"/>
        <v>55521.348749999997</v>
      </c>
      <c r="AJ40" s="1593">
        <f t="shared" si="51"/>
        <v>4627</v>
      </c>
      <c r="AK40" s="1602">
        <f t="shared" si="38"/>
        <v>152819.45417260815</v>
      </c>
      <c r="AL40" s="1602">
        <f t="shared" si="52"/>
        <v>12735</v>
      </c>
    </row>
    <row r="41" spans="1:38" s="317" customFormat="1" ht="16.2" customHeight="1">
      <c r="A41" s="1445">
        <v>36</v>
      </c>
      <c r="B41" s="1446" t="s">
        <v>116</v>
      </c>
      <c r="C41" s="1447">
        <f>+'Table 8 Membership 2.1.14'!L38</f>
        <v>31</v>
      </c>
      <c r="D41" s="1448">
        <f>'Table 3 Levels 1&amp;2'!AL39*90%</f>
        <v>3242.4308976895072</v>
      </c>
      <c r="E41" s="1448">
        <f t="shared" si="39"/>
        <v>100515.35782837472</v>
      </c>
      <c r="F41" s="1449">
        <f>'Table 5B1_RSD_Orleans'!F80*90%</f>
        <v>671.43020547945218</v>
      </c>
      <c r="G41" s="1449">
        <f t="shared" si="40"/>
        <v>20814.336369863016</v>
      </c>
      <c r="H41" s="1571">
        <f t="shared" si="41"/>
        <v>121329.69419823773</v>
      </c>
      <c r="I41" s="1449">
        <f>(('Table 3 Levels 1&amp;2'!AL39-D41)+('Table 3A Level 3'!C41-F41))*C41</f>
        <v>12898.221822805011</v>
      </c>
      <c r="J41" s="1449"/>
      <c r="K41" s="1449"/>
      <c r="L41" s="1575">
        <f t="shared" si="42"/>
        <v>0</v>
      </c>
      <c r="M41" s="1571">
        <f t="shared" si="43"/>
        <v>121329.69419823773</v>
      </c>
      <c r="N41" s="1449">
        <f t="shared" si="44"/>
        <v>-303.32423549559434</v>
      </c>
      <c r="O41" s="1571">
        <f t="shared" si="53"/>
        <v>121026.36996274214</v>
      </c>
      <c r="P41" s="1450">
        <v>0</v>
      </c>
      <c r="Q41" s="1571">
        <f t="shared" si="45"/>
        <v>121026.36996274214</v>
      </c>
      <c r="R41" s="1449"/>
      <c r="S41" s="1449">
        <f t="shared" si="46"/>
        <v>121026.36996274214</v>
      </c>
      <c r="T41" s="1571">
        <f t="shared" si="31"/>
        <v>10086</v>
      </c>
      <c r="U41" s="1571">
        <f t="shared" si="32"/>
        <v>121026.36996274214</v>
      </c>
      <c r="V41" s="1451">
        <f>'Table 5C1A-Madison Prep'!U42*90%</f>
        <v>4891.5</v>
      </c>
      <c r="W41" s="1591">
        <f t="shared" si="54"/>
        <v>151636.5</v>
      </c>
      <c r="X41" s="1453"/>
      <c r="Y41" s="1452">
        <f t="shared" si="47"/>
        <v>0</v>
      </c>
      <c r="Z41" s="1452"/>
      <c r="AA41" s="1452">
        <f t="shared" si="34"/>
        <v>0</v>
      </c>
      <c r="AB41" s="1596">
        <f t="shared" si="35"/>
        <v>0</v>
      </c>
      <c r="AC41" s="1591">
        <f t="shared" si="36"/>
        <v>151636.5</v>
      </c>
      <c r="AD41" s="1452">
        <f t="shared" si="37"/>
        <v>-379.09125</v>
      </c>
      <c r="AE41" s="1591">
        <f t="shared" si="48"/>
        <v>151257.40875</v>
      </c>
      <c r="AF41" s="1451">
        <v>0</v>
      </c>
      <c r="AG41" s="1591">
        <f t="shared" si="49"/>
        <v>151257.40875</v>
      </c>
      <c r="AH41" s="1452"/>
      <c r="AI41" s="1452">
        <f t="shared" si="50"/>
        <v>151257.40875</v>
      </c>
      <c r="AJ41" s="1591">
        <f t="shared" si="51"/>
        <v>12605</v>
      </c>
      <c r="AK41" s="1600">
        <f t="shared" si="38"/>
        <v>272283.77871274215</v>
      </c>
      <c r="AL41" s="1600">
        <f t="shared" si="52"/>
        <v>22691</v>
      </c>
    </row>
    <row r="42" spans="1:38" s="317" customFormat="1" ht="16.2" customHeight="1">
      <c r="A42" s="1454">
        <v>37</v>
      </c>
      <c r="B42" s="1455" t="s">
        <v>117</v>
      </c>
      <c r="C42" s="1456">
        <f>+'Table 8 Membership 2.1.14'!L39</f>
        <v>30</v>
      </c>
      <c r="D42" s="1457">
        <f>'Table 3 Levels 1&amp;2'!AL40*90%</f>
        <v>5098.8455334285927</v>
      </c>
      <c r="E42" s="1457">
        <f t="shared" si="39"/>
        <v>152965.36600285777</v>
      </c>
      <c r="F42" s="1458">
        <f>'Table 3A Level 3'!C42*90%</f>
        <v>588.24900000000002</v>
      </c>
      <c r="G42" s="1458">
        <f t="shared" si="40"/>
        <v>17647.47</v>
      </c>
      <c r="H42" s="1572">
        <f t="shared" si="41"/>
        <v>170612.83600285777</v>
      </c>
      <c r="I42" s="1458">
        <f>(('Table 3 Levels 1&amp;2'!AL40-D42)+('Table 3A Level 3'!C42-F42))*C42</f>
        <v>18956.981778095291</v>
      </c>
      <c r="J42" s="1458"/>
      <c r="K42" s="1458"/>
      <c r="L42" s="1576">
        <f t="shared" si="42"/>
        <v>0</v>
      </c>
      <c r="M42" s="1572">
        <f t="shared" si="43"/>
        <v>170612.83600285777</v>
      </c>
      <c r="N42" s="1458">
        <f t="shared" si="44"/>
        <v>-426.53209000714446</v>
      </c>
      <c r="O42" s="1572">
        <f t="shared" si="53"/>
        <v>170186.30391285062</v>
      </c>
      <c r="P42" s="1459">
        <v>0</v>
      </c>
      <c r="Q42" s="1572">
        <f t="shared" si="45"/>
        <v>170186.30391285062</v>
      </c>
      <c r="R42" s="1458"/>
      <c r="S42" s="1458">
        <f t="shared" si="46"/>
        <v>170186.30391285062</v>
      </c>
      <c r="T42" s="1572">
        <f t="shared" si="31"/>
        <v>14182</v>
      </c>
      <c r="U42" s="1572">
        <f t="shared" si="32"/>
        <v>170186.30391285062</v>
      </c>
      <c r="V42" s="1460">
        <f>'Table 5C1A-Madison Prep'!U43*90%</f>
        <v>3168</v>
      </c>
      <c r="W42" s="1592">
        <f t="shared" si="54"/>
        <v>95040</v>
      </c>
      <c r="X42" s="1462"/>
      <c r="Y42" s="1461">
        <f t="shared" si="47"/>
        <v>0</v>
      </c>
      <c r="Z42" s="1461"/>
      <c r="AA42" s="1461">
        <f t="shared" si="34"/>
        <v>0</v>
      </c>
      <c r="AB42" s="1597">
        <f t="shared" si="35"/>
        <v>0</v>
      </c>
      <c r="AC42" s="1592">
        <f t="shared" si="36"/>
        <v>95040</v>
      </c>
      <c r="AD42" s="1461">
        <f t="shared" si="37"/>
        <v>-237.6</v>
      </c>
      <c r="AE42" s="1592">
        <f t="shared" si="48"/>
        <v>94802.4</v>
      </c>
      <c r="AF42" s="1460">
        <v>0</v>
      </c>
      <c r="AG42" s="1592">
        <f t="shared" si="49"/>
        <v>94802.4</v>
      </c>
      <c r="AH42" s="1461"/>
      <c r="AI42" s="1461">
        <f t="shared" si="50"/>
        <v>94802.4</v>
      </c>
      <c r="AJ42" s="1592">
        <f t="shared" si="51"/>
        <v>7900</v>
      </c>
      <c r="AK42" s="1601">
        <f t="shared" si="38"/>
        <v>264988.70391285059</v>
      </c>
      <c r="AL42" s="1601">
        <f t="shared" si="52"/>
        <v>22082</v>
      </c>
    </row>
    <row r="43" spans="1:38" s="317" customFormat="1" ht="16.2" customHeight="1">
      <c r="A43" s="1454">
        <v>38</v>
      </c>
      <c r="B43" s="1455" t="s">
        <v>118</v>
      </c>
      <c r="C43" s="1456">
        <f>+'Table 8 Membership 2.1.14'!L40</f>
        <v>6</v>
      </c>
      <c r="D43" s="1457">
        <f>'Table 3 Levels 1&amp;2'!AL41*90%</f>
        <v>1879.9215797625193</v>
      </c>
      <c r="E43" s="1457">
        <f t="shared" si="39"/>
        <v>11279.529478575116</v>
      </c>
      <c r="F43" s="1458">
        <f>'Table 3A Level 3'!C43*90%</f>
        <v>746.92800000000011</v>
      </c>
      <c r="G43" s="1458">
        <f t="shared" si="40"/>
        <v>4481.5680000000011</v>
      </c>
      <c r="H43" s="1572">
        <f t="shared" si="41"/>
        <v>15761.097478575117</v>
      </c>
      <c r="I43" s="1458">
        <f>(('Table 3 Levels 1&amp;2'!AL41-D43)+('Table 3A Level 3'!C43-F43))*C43</f>
        <v>1751.2330531750126</v>
      </c>
      <c r="J43" s="1458"/>
      <c r="K43" s="1458"/>
      <c r="L43" s="1576">
        <f t="shared" si="42"/>
        <v>0</v>
      </c>
      <c r="M43" s="1572">
        <f t="shared" si="43"/>
        <v>15761.097478575117</v>
      </c>
      <c r="N43" s="1458">
        <f t="shared" si="44"/>
        <v>-39.402743696437796</v>
      </c>
      <c r="O43" s="1572">
        <f t="shared" si="53"/>
        <v>15721.69473487868</v>
      </c>
      <c r="P43" s="1459">
        <v>0</v>
      </c>
      <c r="Q43" s="1572">
        <f t="shared" si="45"/>
        <v>15721.69473487868</v>
      </c>
      <c r="R43" s="1458"/>
      <c r="S43" s="1458">
        <f t="shared" si="46"/>
        <v>15721.69473487868</v>
      </c>
      <c r="T43" s="1572">
        <f t="shared" si="31"/>
        <v>1310</v>
      </c>
      <c r="U43" s="1572">
        <f t="shared" si="32"/>
        <v>15721.69473487868</v>
      </c>
      <c r="V43" s="1460">
        <f>'Table 5C1A-Madison Prep'!U44*90%</f>
        <v>10241.1</v>
      </c>
      <c r="W43" s="1592">
        <f t="shared" si="54"/>
        <v>61446.600000000006</v>
      </c>
      <c r="X43" s="1462"/>
      <c r="Y43" s="1461">
        <f t="shared" si="47"/>
        <v>0</v>
      </c>
      <c r="Z43" s="1461"/>
      <c r="AA43" s="1461">
        <f t="shared" si="34"/>
        <v>0</v>
      </c>
      <c r="AB43" s="1597">
        <f t="shared" si="35"/>
        <v>0</v>
      </c>
      <c r="AC43" s="1592">
        <f t="shared" si="36"/>
        <v>61446.600000000006</v>
      </c>
      <c r="AD43" s="1461">
        <f t="shared" si="37"/>
        <v>-153.61650000000003</v>
      </c>
      <c r="AE43" s="1592">
        <f t="shared" si="48"/>
        <v>61292.983500000009</v>
      </c>
      <c r="AF43" s="1460">
        <v>0</v>
      </c>
      <c r="AG43" s="1592">
        <f t="shared" si="49"/>
        <v>61292.983500000009</v>
      </c>
      <c r="AH43" s="1461"/>
      <c r="AI43" s="1461">
        <f t="shared" si="50"/>
        <v>61292.983500000009</v>
      </c>
      <c r="AJ43" s="1592">
        <f t="shared" si="51"/>
        <v>5108</v>
      </c>
      <c r="AK43" s="1601">
        <f t="shared" si="38"/>
        <v>77014.678234878695</v>
      </c>
      <c r="AL43" s="1601">
        <f t="shared" si="52"/>
        <v>6418</v>
      </c>
    </row>
    <row r="44" spans="1:38" s="317" customFormat="1" ht="16.2" customHeight="1">
      <c r="A44" s="1454">
        <v>39</v>
      </c>
      <c r="B44" s="1455" t="s">
        <v>119</v>
      </c>
      <c r="C44" s="1456">
        <f>+'Table 8 Membership 2.1.14'!L41</f>
        <v>9</v>
      </c>
      <c r="D44" s="1457">
        <f>'Table 3 Levels 1&amp;2'!AL42*90%</f>
        <v>3291.2151128366108</v>
      </c>
      <c r="E44" s="1457">
        <f t="shared" si="39"/>
        <v>29620.936015529496</v>
      </c>
      <c r="F44" s="1458">
        <f>'Table 3A Level 3'!C44*90%</f>
        <v>701.69015738498763</v>
      </c>
      <c r="G44" s="1458">
        <f t="shared" si="40"/>
        <v>6315.2114164648883</v>
      </c>
      <c r="H44" s="1572">
        <f t="shared" si="41"/>
        <v>35936.147431994381</v>
      </c>
      <c r="I44" s="1458">
        <f>(('Table 3 Levels 1&amp;2'!AL42-D44)+('Table 3A Level 3'!C44-F44))*C44</f>
        <v>3992.9052702215972</v>
      </c>
      <c r="J44" s="1458"/>
      <c r="K44" s="1458"/>
      <c r="L44" s="1576">
        <f t="shared" si="42"/>
        <v>0</v>
      </c>
      <c r="M44" s="1572">
        <f t="shared" si="43"/>
        <v>35936.147431994381</v>
      </c>
      <c r="N44" s="1458">
        <f t="shared" si="44"/>
        <v>-89.840368579985949</v>
      </c>
      <c r="O44" s="1572">
        <f t="shared" si="53"/>
        <v>35846.307063414395</v>
      </c>
      <c r="P44" s="1459">
        <v>0</v>
      </c>
      <c r="Q44" s="1572">
        <f t="shared" si="45"/>
        <v>35846.307063414395</v>
      </c>
      <c r="R44" s="1458"/>
      <c r="S44" s="1458">
        <f t="shared" si="46"/>
        <v>35846.307063414395</v>
      </c>
      <c r="T44" s="1572">
        <f t="shared" si="31"/>
        <v>2987</v>
      </c>
      <c r="U44" s="1572">
        <f t="shared" si="32"/>
        <v>35846.307063414395</v>
      </c>
      <c r="V44" s="1460">
        <f>'Table 5C1A-Madison Prep'!U45*90%</f>
        <v>4459.5</v>
      </c>
      <c r="W44" s="1592">
        <f t="shared" si="54"/>
        <v>40135.5</v>
      </c>
      <c r="X44" s="1462"/>
      <c r="Y44" s="1461">
        <f t="shared" si="47"/>
        <v>0</v>
      </c>
      <c r="Z44" s="1461"/>
      <c r="AA44" s="1461">
        <f t="shared" si="34"/>
        <v>0</v>
      </c>
      <c r="AB44" s="1597">
        <f t="shared" si="35"/>
        <v>0</v>
      </c>
      <c r="AC44" s="1592">
        <f t="shared" si="36"/>
        <v>40135.5</v>
      </c>
      <c r="AD44" s="1461">
        <f t="shared" si="37"/>
        <v>-100.33875</v>
      </c>
      <c r="AE44" s="1592">
        <f t="shared" si="48"/>
        <v>40035.161249999997</v>
      </c>
      <c r="AF44" s="1460">
        <v>0</v>
      </c>
      <c r="AG44" s="1592">
        <f t="shared" si="49"/>
        <v>40035.161249999997</v>
      </c>
      <c r="AH44" s="1461"/>
      <c r="AI44" s="1461">
        <f t="shared" si="50"/>
        <v>40035.161249999997</v>
      </c>
      <c r="AJ44" s="1592">
        <f t="shared" si="51"/>
        <v>3336</v>
      </c>
      <c r="AK44" s="1601">
        <f t="shared" si="38"/>
        <v>75881.4683134144</v>
      </c>
      <c r="AL44" s="1601">
        <f t="shared" si="52"/>
        <v>6323</v>
      </c>
    </row>
    <row r="45" spans="1:38" s="317" customFormat="1" ht="16.2" customHeight="1">
      <c r="A45" s="1433">
        <v>40</v>
      </c>
      <c r="B45" s="1434" t="s">
        <v>120</v>
      </c>
      <c r="C45" s="1440">
        <f>+'Table 8 Membership 2.1.14'!L42</f>
        <v>35</v>
      </c>
      <c r="D45" s="1441">
        <f>'Table 3 Levels 1&amp;2'!AL43*90%</f>
        <v>4609.6299257128567</v>
      </c>
      <c r="E45" s="1441">
        <f t="shared" si="39"/>
        <v>161337.04739994998</v>
      </c>
      <c r="F45" s="906">
        <f>'Table 3A Level 3'!C45*90%</f>
        <v>630.24300000000005</v>
      </c>
      <c r="G45" s="906">
        <f t="shared" si="40"/>
        <v>22058.505000000001</v>
      </c>
      <c r="H45" s="1573">
        <f t="shared" si="41"/>
        <v>183395.55239994999</v>
      </c>
      <c r="I45" s="906">
        <f>(('Table 3 Levels 1&amp;2'!AL43-D45)+('Table 3A Level 3'!C45-F45))*C45</f>
        <v>20377.283599994429</v>
      </c>
      <c r="J45" s="906"/>
      <c r="K45" s="906"/>
      <c r="L45" s="1577">
        <f t="shared" si="42"/>
        <v>0</v>
      </c>
      <c r="M45" s="1573">
        <f t="shared" si="43"/>
        <v>183395.55239994999</v>
      </c>
      <c r="N45" s="906">
        <f t="shared" si="44"/>
        <v>-458.48888099987499</v>
      </c>
      <c r="O45" s="1573">
        <f t="shared" si="53"/>
        <v>182937.0635189501</v>
      </c>
      <c r="P45" s="1442">
        <v>0</v>
      </c>
      <c r="Q45" s="1573">
        <f t="shared" si="45"/>
        <v>182937.0635189501</v>
      </c>
      <c r="R45" s="906"/>
      <c r="S45" s="906">
        <f t="shared" si="46"/>
        <v>182937.0635189501</v>
      </c>
      <c r="T45" s="1573">
        <f t="shared" si="31"/>
        <v>15245</v>
      </c>
      <c r="U45" s="1573">
        <f t="shared" si="32"/>
        <v>182937.0635189501</v>
      </c>
      <c r="V45" s="1443">
        <f>'Table 5C1A-Madison Prep'!U46*90%</f>
        <v>2762.1</v>
      </c>
      <c r="W45" s="1593">
        <f t="shared" si="54"/>
        <v>96673.5</v>
      </c>
      <c r="X45" s="1444"/>
      <c r="Y45" s="907">
        <f t="shared" si="47"/>
        <v>0</v>
      </c>
      <c r="Z45" s="907"/>
      <c r="AA45" s="907">
        <f t="shared" si="34"/>
        <v>0</v>
      </c>
      <c r="AB45" s="1598">
        <f t="shared" si="35"/>
        <v>0</v>
      </c>
      <c r="AC45" s="1593">
        <f t="shared" si="36"/>
        <v>96673.5</v>
      </c>
      <c r="AD45" s="907">
        <f t="shared" si="37"/>
        <v>-241.68375</v>
      </c>
      <c r="AE45" s="1593">
        <f t="shared" si="48"/>
        <v>96431.816250000003</v>
      </c>
      <c r="AF45" s="1443">
        <v>0</v>
      </c>
      <c r="AG45" s="1593">
        <f t="shared" si="49"/>
        <v>96431.816250000003</v>
      </c>
      <c r="AH45" s="907"/>
      <c r="AI45" s="907">
        <f t="shared" si="50"/>
        <v>96431.816250000003</v>
      </c>
      <c r="AJ45" s="1593">
        <f t="shared" si="51"/>
        <v>8036</v>
      </c>
      <c r="AK45" s="1602">
        <f t="shared" si="38"/>
        <v>279368.87976895011</v>
      </c>
      <c r="AL45" s="1602">
        <f t="shared" si="52"/>
        <v>23281</v>
      </c>
    </row>
    <row r="46" spans="1:38" s="317" customFormat="1" ht="16.2" customHeight="1">
      <c r="A46" s="1445">
        <v>41</v>
      </c>
      <c r="B46" s="1446" t="s">
        <v>121</v>
      </c>
      <c r="C46" s="1447">
        <f>+'Table 8 Membership 2.1.14'!L43</f>
        <v>0</v>
      </c>
      <c r="D46" s="1448">
        <f>'Table 3 Levels 1&amp;2'!AL44*90%</f>
        <v>2962.0753717244829</v>
      </c>
      <c r="E46" s="1448">
        <f t="shared" si="39"/>
        <v>0</v>
      </c>
      <c r="F46" s="1449">
        <f>'Table 3A Level 3'!C46*90%</f>
        <v>797.59800000000007</v>
      </c>
      <c r="G46" s="1449">
        <f t="shared" si="40"/>
        <v>0</v>
      </c>
      <c r="H46" s="1571">
        <f t="shared" si="41"/>
        <v>0</v>
      </c>
      <c r="I46" s="1449">
        <f>(('Table 3 Levels 1&amp;2'!AL44-D46)+('Table 3A Level 3'!C46-F46))*C46</f>
        <v>0</v>
      </c>
      <c r="J46" s="1449"/>
      <c r="K46" s="1449"/>
      <c r="L46" s="1575">
        <f t="shared" si="42"/>
        <v>0</v>
      </c>
      <c r="M46" s="1571">
        <f t="shared" si="43"/>
        <v>0</v>
      </c>
      <c r="N46" s="1449">
        <f t="shared" si="44"/>
        <v>0</v>
      </c>
      <c r="O46" s="1571">
        <f t="shared" si="53"/>
        <v>0</v>
      </c>
      <c r="P46" s="1450">
        <v>0</v>
      </c>
      <c r="Q46" s="1571">
        <f t="shared" si="45"/>
        <v>0</v>
      </c>
      <c r="R46" s="1449"/>
      <c r="S46" s="1449">
        <f t="shared" si="46"/>
        <v>0</v>
      </c>
      <c r="T46" s="1571">
        <f t="shared" si="31"/>
        <v>0</v>
      </c>
      <c r="U46" s="1571">
        <f t="shared" si="32"/>
        <v>0</v>
      </c>
      <c r="V46" s="1451">
        <f>'Table 5C1A-Madison Prep'!U47*90%</f>
        <v>7630.2</v>
      </c>
      <c r="W46" s="1591">
        <f t="shared" si="54"/>
        <v>0</v>
      </c>
      <c r="X46" s="1453"/>
      <c r="Y46" s="1452">
        <f t="shared" si="47"/>
        <v>0</v>
      </c>
      <c r="Z46" s="1452"/>
      <c r="AA46" s="1452">
        <f t="shared" si="34"/>
        <v>0</v>
      </c>
      <c r="AB46" s="1596">
        <f t="shared" si="35"/>
        <v>0</v>
      </c>
      <c r="AC46" s="1591">
        <f t="shared" si="36"/>
        <v>0</v>
      </c>
      <c r="AD46" s="1452">
        <f t="shared" si="37"/>
        <v>0</v>
      </c>
      <c r="AE46" s="1591">
        <f t="shared" si="48"/>
        <v>0</v>
      </c>
      <c r="AF46" s="1451">
        <v>0</v>
      </c>
      <c r="AG46" s="1591">
        <f t="shared" si="49"/>
        <v>0</v>
      </c>
      <c r="AH46" s="1452"/>
      <c r="AI46" s="1452">
        <f t="shared" si="50"/>
        <v>0</v>
      </c>
      <c r="AJ46" s="1591">
        <f t="shared" si="51"/>
        <v>0</v>
      </c>
      <c r="AK46" s="1600">
        <f t="shared" si="38"/>
        <v>0</v>
      </c>
      <c r="AL46" s="1600">
        <f t="shared" si="52"/>
        <v>0</v>
      </c>
    </row>
    <row r="47" spans="1:38" s="317" customFormat="1" ht="16.2" customHeight="1">
      <c r="A47" s="1454">
        <v>42</v>
      </c>
      <c r="B47" s="1455" t="s">
        <v>122</v>
      </c>
      <c r="C47" s="1456">
        <f>+'Table 8 Membership 2.1.14'!L44</f>
        <v>5</v>
      </c>
      <c r="D47" s="1457">
        <f>'Table 3 Levels 1&amp;2'!AL45*90%</f>
        <v>4602.2469976231814</v>
      </c>
      <c r="E47" s="1457">
        <f t="shared" si="39"/>
        <v>23011.234988115906</v>
      </c>
      <c r="F47" s="1458">
        <f>'Table 3A Level 3'!C47*90%</f>
        <v>480.85199999999998</v>
      </c>
      <c r="G47" s="1458">
        <f t="shared" si="40"/>
        <v>2404.2599999999998</v>
      </c>
      <c r="H47" s="1572">
        <f t="shared" si="41"/>
        <v>25415.494988115905</v>
      </c>
      <c r="I47" s="1458">
        <f>(('Table 3 Levels 1&amp;2'!AL45-D47)+('Table 3A Level 3'!C47-F47))*C47</f>
        <v>2823.943887568435</v>
      </c>
      <c r="J47" s="1458"/>
      <c r="K47" s="1458"/>
      <c r="L47" s="1576">
        <f t="shared" si="42"/>
        <v>0</v>
      </c>
      <c r="M47" s="1572">
        <f t="shared" si="43"/>
        <v>25415.494988115905</v>
      </c>
      <c r="N47" s="1458">
        <f t="shared" si="44"/>
        <v>-63.53873747028976</v>
      </c>
      <c r="O47" s="1572">
        <f t="shared" si="53"/>
        <v>25351.956250645613</v>
      </c>
      <c r="P47" s="1459">
        <v>0</v>
      </c>
      <c r="Q47" s="1572">
        <f t="shared" si="45"/>
        <v>25351.956250645613</v>
      </c>
      <c r="R47" s="1458"/>
      <c r="S47" s="1458">
        <f t="shared" si="46"/>
        <v>25351.956250645613</v>
      </c>
      <c r="T47" s="1572">
        <f t="shared" si="31"/>
        <v>2113</v>
      </c>
      <c r="U47" s="1572">
        <f t="shared" si="32"/>
        <v>25351.956250645613</v>
      </c>
      <c r="V47" s="1460">
        <f>'Table 5C1A-Madison Prep'!U48*90%</f>
        <v>3220.2000000000003</v>
      </c>
      <c r="W47" s="1592">
        <f t="shared" si="54"/>
        <v>16101.000000000002</v>
      </c>
      <c r="X47" s="1462"/>
      <c r="Y47" s="1461">
        <f t="shared" si="47"/>
        <v>0</v>
      </c>
      <c r="Z47" s="1461"/>
      <c r="AA47" s="1461">
        <f t="shared" si="34"/>
        <v>0</v>
      </c>
      <c r="AB47" s="1597">
        <f t="shared" si="35"/>
        <v>0</v>
      </c>
      <c r="AC47" s="1592">
        <f t="shared" si="36"/>
        <v>16101.000000000002</v>
      </c>
      <c r="AD47" s="1461">
        <f t="shared" si="37"/>
        <v>-40.252500000000005</v>
      </c>
      <c r="AE47" s="1592">
        <f t="shared" si="48"/>
        <v>16060.747500000001</v>
      </c>
      <c r="AF47" s="1460">
        <v>0</v>
      </c>
      <c r="AG47" s="1592">
        <f t="shared" si="49"/>
        <v>16060.747500000001</v>
      </c>
      <c r="AH47" s="1461"/>
      <c r="AI47" s="1461">
        <f t="shared" si="50"/>
        <v>16060.747500000001</v>
      </c>
      <c r="AJ47" s="1592">
        <f t="shared" si="51"/>
        <v>1338</v>
      </c>
      <c r="AK47" s="1601">
        <f t="shared" si="38"/>
        <v>41412.703750645611</v>
      </c>
      <c r="AL47" s="1601">
        <f t="shared" si="52"/>
        <v>3451</v>
      </c>
    </row>
    <row r="48" spans="1:38" s="317" customFormat="1" ht="16.2" customHeight="1">
      <c r="A48" s="1454">
        <v>43</v>
      </c>
      <c r="B48" s="1455" t="s">
        <v>123</v>
      </c>
      <c r="C48" s="1456">
        <f>+'Table 8 Membership 2.1.14'!L45</f>
        <v>6</v>
      </c>
      <c r="D48" s="1457">
        <f>'Table 3 Levels 1&amp;2'!AL46*90%</f>
        <v>5209.8694848535233</v>
      </c>
      <c r="E48" s="1457">
        <f t="shared" si="39"/>
        <v>31259.21690912114</v>
      </c>
      <c r="F48" s="1458">
        <f>'Table 3A Level 3'!C48*90%</f>
        <v>517.14899999999989</v>
      </c>
      <c r="G48" s="1458">
        <f t="shared" si="40"/>
        <v>3102.8939999999993</v>
      </c>
      <c r="H48" s="1572">
        <f t="shared" si="41"/>
        <v>34362.11090912114</v>
      </c>
      <c r="I48" s="1458">
        <f>(('Table 3 Levels 1&amp;2'!AL46-D48)+('Table 3A Level 3'!C48-F48))*C48</f>
        <v>3818.0123232356805</v>
      </c>
      <c r="J48" s="1458"/>
      <c r="K48" s="1458"/>
      <c r="L48" s="1576">
        <f t="shared" si="42"/>
        <v>0</v>
      </c>
      <c r="M48" s="1572">
        <f t="shared" si="43"/>
        <v>34362.11090912114</v>
      </c>
      <c r="N48" s="1458">
        <f t="shared" si="44"/>
        <v>-85.905277272802849</v>
      </c>
      <c r="O48" s="1572">
        <f t="shared" si="53"/>
        <v>34276.205631848337</v>
      </c>
      <c r="P48" s="1459">
        <v>0</v>
      </c>
      <c r="Q48" s="1572">
        <f t="shared" si="45"/>
        <v>34276.205631848337</v>
      </c>
      <c r="R48" s="1458"/>
      <c r="S48" s="1458">
        <f t="shared" si="46"/>
        <v>34276.205631848337</v>
      </c>
      <c r="T48" s="1572">
        <f t="shared" si="31"/>
        <v>2856</v>
      </c>
      <c r="U48" s="1572">
        <f t="shared" si="32"/>
        <v>34276.205631848337</v>
      </c>
      <c r="V48" s="1460">
        <f>'Table 5C1A-Madison Prep'!U49*90%</f>
        <v>2884.5</v>
      </c>
      <c r="W48" s="1592">
        <f t="shared" si="54"/>
        <v>17307</v>
      </c>
      <c r="X48" s="1462"/>
      <c r="Y48" s="1461">
        <f t="shared" si="47"/>
        <v>0</v>
      </c>
      <c r="Z48" s="1461"/>
      <c r="AA48" s="1461">
        <f t="shared" si="34"/>
        <v>0</v>
      </c>
      <c r="AB48" s="1597">
        <f t="shared" si="35"/>
        <v>0</v>
      </c>
      <c r="AC48" s="1592">
        <f t="shared" si="36"/>
        <v>17307</v>
      </c>
      <c r="AD48" s="1461">
        <f t="shared" si="37"/>
        <v>-43.267499999999998</v>
      </c>
      <c r="AE48" s="1592">
        <f t="shared" si="48"/>
        <v>17263.732499999998</v>
      </c>
      <c r="AF48" s="1460">
        <v>0</v>
      </c>
      <c r="AG48" s="1592">
        <f t="shared" si="49"/>
        <v>17263.732499999998</v>
      </c>
      <c r="AH48" s="1461"/>
      <c r="AI48" s="1461">
        <f t="shared" si="50"/>
        <v>17263.732499999998</v>
      </c>
      <c r="AJ48" s="1592">
        <f t="shared" si="51"/>
        <v>1439</v>
      </c>
      <c r="AK48" s="1601">
        <f t="shared" si="38"/>
        <v>51539.938131848336</v>
      </c>
      <c r="AL48" s="1601">
        <f t="shared" si="52"/>
        <v>4295</v>
      </c>
    </row>
    <row r="49" spans="1:38" s="317" customFormat="1" ht="16.2" customHeight="1">
      <c r="A49" s="1454">
        <v>44</v>
      </c>
      <c r="B49" s="1455" t="s">
        <v>124</v>
      </c>
      <c r="C49" s="1456">
        <f>+'Table 8 Membership 2.1.14'!L46</f>
        <v>6</v>
      </c>
      <c r="D49" s="1457">
        <f>'Table 3 Levels 1&amp;2'!AL47*90%</f>
        <v>4407.8362336638329</v>
      </c>
      <c r="E49" s="1457">
        <f t="shared" si="39"/>
        <v>26447.017401982997</v>
      </c>
      <c r="F49" s="1458">
        <f>'Table 3A Level 3'!C49*90%</f>
        <v>596.84400000000005</v>
      </c>
      <c r="G49" s="1458">
        <f t="shared" si="40"/>
        <v>3581.0640000000003</v>
      </c>
      <c r="H49" s="1572">
        <f t="shared" si="41"/>
        <v>30028.081401983</v>
      </c>
      <c r="I49" s="1458">
        <f>(('Table 3 Levels 1&amp;2'!AL47-D49)+('Table 3A Level 3'!C49-F49))*C49</f>
        <v>3336.4534891092185</v>
      </c>
      <c r="J49" s="1458"/>
      <c r="K49" s="1458"/>
      <c r="L49" s="1576">
        <f t="shared" si="42"/>
        <v>0</v>
      </c>
      <c r="M49" s="1572">
        <f t="shared" si="43"/>
        <v>30028.081401983</v>
      </c>
      <c r="N49" s="1458">
        <f t="shared" si="44"/>
        <v>-75.070203504957504</v>
      </c>
      <c r="O49" s="1572">
        <f t="shared" si="53"/>
        <v>29953.011198478041</v>
      </c>
      <c r="P49" s="1459">
        <v>0</v>
      </c>
      <c r="Q49" s="1572">
        <f t="shared" si="45"/>
        <v>29953.011198478041</v>
      </c>
      <c r="R49" s="1458"/>
      <c r="S49" s="1458">
        <f t="shared" si="46"/>
        <v>29953.011198478041</v>
      </c>
      <c r="T49" s="1572">
        <f t="shared" si="31"/>
        <v>2496</v>
      </c>
      <c r="U49" s="1572">
        <f t="shared" si="32"/>
        <v>29953.011198478041</v>
      </c>
      <c r="V49" s="1460">
        <f>'Table 5C1A-Madison Prep'!U50*90%</f>
        <v>3347.1</v>
      </c>
      <c r="W49" s="1592">
        <f t="shared" si="54"/>
        <v>20082.599999999999</v>
      </c>
      <c r="X49" s="1462"/>
      <c r="Y49" s="1461">
        <f t="shared" si="47"/>
        <v>0</v>
      </c>
      <c r="Z49" s="1461"/>
      <c r="AA49" s="1461">
        <f t="shared" si="34"/>
        <v>0</v>
      </c>
      <c r="AB49" s="1597">
        <f t="shared" si="35"/>
        <v>0</v>
      </c>
      <c r="AC49" s="1592">
        <f t="shared" si="36"/>
        <v>20082.599999999999</v>
      </c>
      <c r="AD49" s="1461">
        <f t="shared" si="37"/>
        <v>-50.206499999999998</v>
      </c>
      <c r="AE49" s="1592">
        <f t="shared" si="48"/>
        <v>20032.393499999998</v>
      </c>
      <c r="AF49" s="1460">
        <v>0</v>
      </c>
      <c r="AG49" s="1592">
        <f t="shared" si="49"/>
        <v>20032.393499999998</v>
      </c>
      <c r="AH49" s="1461"/>
      <c r="AI49" s="1461">
        <f t="shared" si="50"/>
        <v>20032.393499999998</v>
      </c>
      <c r="AJ49" s="1592">
        <f t="shared" si="51"/>
        <v>1669</v>
      </c>
      <c r="AK49" s="1601">
        <f t="shared" si="38"/>
        <v>49985.404698478043</v>
      </c>
      <c r="AL49" s="1601">
        <f t="shared" si="52"/>
        <v>4165</v>
      </c>
    </row>
    <row r="50" spans="1:38" s="317" customFormat="1" ht="16.2" customHeight="1">
      <c r="A50" s="1433">
        <v>45</v>
      </c>
      <c r="B50" s="1434" t="s">
        <v>125</v>
      </c>
      <c r="C50" s="1440">
        <f>+'Table 8 Membership 2.1.14'!L47</f>
        <v>13</v>
      </c>
      <c r="D50" s="1441">
        <f>'Table 3 Levels 1&amp;2'!AL48*90%</f>
        <v>1848.6425249522192</v>
      </c>
      <c r="E50" s="1441">
        <f t="shared" si="39"/>
        <v>24032.35282437885</v>
      </c>
      <c r="F50" s="906">
        <f>'Table 3A Level 3'!C50*90%</f>
        <v>678.56400000000019</v>
      </c>
      <c r="G50" s="906">
        <f t="shared" si="40"/>
        <v>8821.3320000000022</v>
      </c>
      <c r="H50" s="1573">
        <f t="shared" si="41"/>
        <v>32853.684824378855</v>
      </c>
      <c r="I50" s="906">
        <f>(('Table 3 Levels 1&amp;2'!AL48-D50)+('Table 3A Level 3'!C50-F50))*C50</f>
        <v>3650.4094249309815</v>
      </c>
      <c r="J50" s="906"/>
      <c r="K50" s="906"/>
      <c r="L50" s="1577">
        <f t="shared" si="42"/>
        <v>0</v>
      </c>
      <c r="M50" s="1573">
        <f t="shared" si="43"/>
        <v>32853.684824378855</v>
      </c>
      <c r="N50" s="906">
        <f t="shared" si="44"/>
        <v>-82.134212060947135</v>
      </c>
      <c r="O50" s="1573">
        <f t="shared" si="53"/>
        <v>32771.550612317908</v>
      </c>
      <c r="P50" s="1442">
        <v>0</v>
      </c>
      <c r="Q50" s="1573">
        <f t="shared" si="45"/>
        <v>32771.550612317908</v>
      </c>
      <c r="R50" s="906"/>
      <c r="S50" s="906">
        <f t="shared" si="46"/>
        <v>32771.550612317908</v>
      </c>
      <c r="T50" s="1573">
        <f t="shared" si="31"/>
        <v>2731</v>
      </c>
      <c r="U50" s="1573">
        <f t="shared" si="32"/>
        <v>32771.550612317908</v>
      </c>
      <c r="V50" s="1443">
        <f>'Table 5C1A-Madison Prep'!U51*90%</f>
        <v>10952.1</v>
      </c>
      <c r="W50" s="1593">
        <f t="shared" si="54"/>
        <v>142377.30000000002</v>
      </c>
      <c r="X50" s="1444"/>
      <c r="Y50" s="907">
        <f t="shared" si="47"/>
        <v>0</v>
      </c>
      <c r="Z50" s="907"/>
      <c r="AA50" s="907">
        <f t="shared" si="34"/>
        <v>0</v>
      </c>
      <c r="AB50" s="1598">
        <f t="shared" si="35"/>
        <v>0</v>
      </c>
      <c r="AC50" s="1593">
        <f t="shared" si="36"/>
        <v>142377.30000000002</v>
      </c>
      <c r="AD50" s="907">
        <f t="shared" si="37"/>
        <v>-355.94325000000003</v>
      </c>
      <c r="AE50" s="1593">
        <f t="shared" si="48"/>
        <v>142021.35675000001</v>
      </c>
      <c r="AF50" s="1443">
        <v>0</v>
      </c>
      <c r="AG50" s="1593">
        <f t="shared" si="49"/>
        <v>142021.35675000001</v>
      </c>
      <c r="AH50" s="907"/>
      <c r="AI50" s="907">
        <f t="shared" si="50"/>
        <v>142021.35675000001</v>
      </c>
      <c r="AJ50" s="1593">
        <f t="shared" si="51"/>
        <v>11835</v>
      </c>
      <c r="AK50" s="1602">
        <f t="shared" si="38"/>
        <v>174792.9073623179</v>
      </c>
      <c r="AL50" s="1602">
        <f t="shared" si="52"/>
        <v>14566</v>
      </c>
    </row>
    <row r="51" spans="1:38" s="317" customFormat="1" ht="16.2" customHeight="1">
      <c r="A51" s="1445">
        <v>46</v>
      </c>
      <c r="B51" s="1446" t="s">
        <v>126</v>
      </c>
      <c r="C51" s="1447">
        <f>+'Table 8 Membership 2.1.14'!L48</f>
        <v>6</v>
      </c>
      <c r="D51" s="1448">
        <f>'Table 3 Levels 1&amp;2'!AL49*90%</f>
        <v>5446.0930021279546</v>
      </c>
      <c r="E51" s="1448">
        <f t="shared" si="39"/>
        <v>32676.558012767728</v>
      </c>
      <c r="F51" s="1449">
        <f>'Table 3A Level 3'!C51*90%</f>
        <v>655.25400000000002</v>
      </c>
      <c r="G51" s="1449">
        <f t="shared" si="40"/>
        <v>3931.5240000000003</v>
      </c>
      <c r="H51" s="1571">
        <f t="shared" si="41"/>
        <v>36608.082012767729</v>
      </c>
      <c r="I51" s="1449">
        <f>(('Table 3 Levels 1&amp;2'!AL49-D51)+('Table 3A Level 3'!C51-F51))*C51</f>
        <v>4067.5646680853006</v>
      </c>
      <c r="J51" s="1449"/>
      <c r="K51" s="1449"/>
      <c r="L51" s="1575">
        <f t="shared" si="42"/>
        <v>0</v>
      </c>
      <c r="M51" s="1571">
        <f t="shared" si="43"/>
        <v>36608.082012767729</v>
      </c>
      <c r="N51" s="1449">
        <f t="shared" si="44"/>
        <v>-91.520205031919318</v>
      </c>
      <c r="O51" s="1571">
        <f t="shared" si="53"/>
        <v>36516.561807735809</v>
      </c>
      <c r="P51" s="1450">
        <v>0</v>
      </c>
      <c r="Q51" s="1571">
        <f t="shared" si="45"/>
        <v>36516.561807735809</v>
      </c>
      <c r="R51" s="1449"/>
      <c r="S51" s="1449">
        <f t="shared" si="46"/>
        <v>36516.561807735809</v>
      </c>
      <c r="T51" s="1571">
        <f t="shared" si="31"/>
        <v>3043</v>
      </c>
      <c r="U51" s="1571">
        <f t="shared" si="32"/>
        <v>36516.561807735809</v>
      </c>
      <c r="V51" s="1451">
        <f>'Table 5C1A-Madison Prep'!U52*90%</f>
        <v>2441.7000000000003</v>
      </c>
      <c r="W51" s="1591">
        <f t="shared" si="54"/>
        <v>14650.2</v>
      </c>
      <c r="X51" s="1453"/>
      <c r="Y51" s="1452">
        <f t="shared" si="47"/>
        <v>0</v>
      </c>
      <c r="Z51" s="1452"/>
      <c r="AA51" s="1452">
        <f t="shared" si="34"/>
        <v>0</v>
      </c>
      <c r="AB51" s="1596">
        <f t="shared" si="35"/>
        <v>0</v>
      </c>
      <c r="AC51" s="1591">
        <f t="shared" si="36"/>
        <v>14650.2</v>
      </c>
      <c r="AD51" s="1452">
        <f t="shared" si="37"/>
        <v>-36.625500000000002</v>
      </c>
      <c r="AE51" s="1591">
        <f t="shared" si="48"/>
        <v>14613.574500000001</v>
      </c>
      <c r="AF51" s="1451">
        <v>0</v>
      </c>
      <c r="AG51" s="1591">
        <f t="shared" si="49"/>
        <v>14613.574500000001</v>
      </c>
      <c r="AH51" s="1452"/>
      <c r="AI51" s="1452">
        <f t="shared" si="50"/>
        <v>14613.574500000001</v>
      </c>
      <c r="AJ51" s="1591">
        <f t="shared" si="51"/>
        <v>1218</v>
      </c>
      <c r="AK51" s="1600">
        <f t="shared" si="38"/>
        <v>51130.136307735811</v>
      </c>
      <c r="AL51" s="1600">
        <f t="shared" si="52"/>
        <v>4261</v>
      </c>
    </row>
    <row r="52" spans="1:38" s="317" customFormat="1" ht="16.2" customHeight="1">
      <c r="A52" s="1454">
        <v>47</v>
      </c>
      <c r="B52" s="1455" t="s">
        <v>127</v>
      </c>
      <c r="C52" s="1456">
        <f>+'Table 8 Membership 2.1.14'!L49</f>
        <v>1</v>
      </c>
      <c r="D52" s="1457">
        <f>'Table 3 Levels 1&amp;2'!AL50*90%</f>
        <v>2271.7336731882065</v>
      </c>
      <c r="E52" s="1457">
        <f t="shared" si="39"/>
        <v>2271.7336731882065</v>
      </c>
      <c r="F52" s="1458">
        <f>'Table 3A Level 3'!C52*90%</f>
        <v>819.68399999999997</v>
      </c>
      <c r="G52" s="1458">
        <f t="shared" si="40"/>
        <v>819.68399999999997</v>
      </c>
      <c r="H52" s="1572">
        <f t="shared" si="41"/>
        <v>3091.4176731882062</v>
      </c>
      <c r="I52" s="1458">
        <f>(('Table 3 Levels 1&amp;2'!AL50-D52)+('Table 3A Level 3'!C52-F52))*C52</f>
        <v>343.4908525764672</v>
      </c>
      <c r="J52" s="1458"/>
      <c r="K52" s="1458"/>
      <c r="L52" s="1576">
        <f t="shared" si="42"/>
        <v>0</v>
      </c>
      <c r="M52" s="1572">
        <f t="shared" si="43"/>
        <v>3091.4176731882062</v>
      </c>
      <c r="N52" s="1458">
        <f t="shared" si="44"/>
        <v>-7.7285441829705155</v>
      </c>
      <c r="O52" s="1572">
        <f t="shared" si="53"/>
        <v>3083.6891290052358</v>
      </c>
      <c r="P52" s="1459">
        <v>0</v>
      </c>
      <c r="Q52" s="1572">
        <f t="shared" si="45"/>
        <v>3083.6891290052358</v>
      </c>
      <c r="R52" s="1458"/>
      <c r="S52" s="1458">
        <f t="shared" si="46"/>
        <v>3083.6891290052358</v>
      </c>
      <c r="T52" s="1572">
        <f t="shared" si="31"/>
        <v>257</v>
      </c>
      <c r="U52" s="1572">
        <f t="shared" si="32"/>
        <v>3083.6891290052358</v>
      </c>
      <c r="V52" s="1460">
        <f>'Table 5C1A-Madison Prep'!U53*90%</f>
        <v>10530.9</v>
      </c>
      <c r="W52" s="1592">
        <f t="shared" si="54"/>
        <v>10530.9</v>
      </c>
      <c r="X52" s="1462"/>
      <c r="Y52" s="1461">
        <f t="shared" si="47"/>
        <v>0</v>
      </c>
      <c r="Z52" s="1461"/>
      <c r="AA52" s="1461">
        <f t="shared" si="34"/>
        <v>0</v>
      </c>
      <c r="AB52" s="1597">
        <f t="shared" si="35"/>
        <v>0</v>
      </c>
      <c r="AC52" s="1592">
        <f t="shared" si="36"/>
        <v>10530.9</v>
      </c>
      <c r="AD52" s="1461">
        <f t="shared" si="37"/>
        <v>-26.327249999999999</v>
      </c>
      <c r="AE52" s="1592">
        <f t="shared" si="48"/>
        <v>10504.572749999999</v>
      </c>
      <c r="AF52" s="1460">
        <v>0</v>
      </c>
      <c r="AG52" s="1592">
        <f t="shared" si="49"/>
        <v>10504.572749999999</v>
      </c>
      <c r="AH52" s="1461"/>
      <c r="AI52" s="1461">
        <f t="shared" si="50"/>
        <v>10504.572749999999</v>
      </c>
      <c r="AJ52" s="1592">
        <f t="shared" si="51"/>
        <v>875</v>
      </c>
      <c r="AK52" s="1601">
        <f t="shared" si="38"/>
        <v>13588.261879005235</v>
      </c>
      <c r="AL52" s="1601">
        <f t="shared" si="52"/>
        <v>1132</v>
      </c>
    </row>
    <row r="53" spans="1:38" s="317" customFormat="1" ht="16.2" customHeight="1">
      <c r="A53" s="1454">
        <v>48</v>
      </c>
      <c r="B53" s="1455" t="s">
        <v>178</v>
      </c>
      <c r="C53" s="1456">
        <f>+'Table 8 Membership 2.1.14'!L50</f>
        <v>28</v>
      </c>
      <c r="D53" s="1457">
        <f>'Table 3 Levels 1&amp;2'!AL51*90%</f>
        <v>3585.022427682065</v>
      </c>
      <c r="E53" s="1457">
        <f t="shared" si="39"/>
        <v>100380.62797509781</v>
      </c>
      <c r="F53" s="1458">
        <f>'Table 3A Level 3'!C53*90%</f>
        <v>783.96300000000008</v>
      </c>
      <c r="G53" s="1458">
        <f t="shared" si="40"/>
        <v>21950.964000000004</v>
      </c>
      <c r="H53" s="1572">
        <f t="shared" si="41"/>
        <v>122331.59197509782</v>
      </c>
      <c r="I53" s="1458">
        <f>(('Table 3 Levels 1&amp;2'!AL51-D53)+('Table 3A Level 3'!C53-F53))*C53</f>
        <v>13592.399108344194</v>
      </c>
      <c r="J53" s="1458"/>
      <c r="K53" s="1458"/>
      <c r="L53" s="1576">
        <f t="shared" si="42"/>
        <v>0</v>
      </c>
      <c r="M53" s="1572">
        <f t="shared" si="43"/>
        <v>122331.59197509782</v>
      </c>
      <c r="N53" s="1458">
        <f t="shared" si="44"/>
        <v>-305.82897993774458</v>
      </c>
      <c r="O53" s="1572">
        <f t="shared" si="53"/>
        <v>122025.76299516008</v>
      </c>
      <c r="P53" s="1459">
        <v>0</v>
      </c>
      <c r="Q53" s="1572">
        <f t="shared" si="45"/>
        <v>122025.76299516008</v>
      </c>
      <c r="R53" s="1458"/>
      <c r="S53" s="1458">
        <f t="shared" si="46"/>
        <v>122025.76299516008</v>
      </c>
      <c r="T53" s="1572">
        <f t="shared" si="31"/>
        <v>10169</v>
      </c>
      <c r="U53" s="1572">
        <f t="shared" si="32"/>
        <v>122025.76299516008</v>
      </c>
      <c r="V53" s="1460">
        <f>'Table 5C1A-Madison Prep'!U54*90%</f>
        <v>6604.2</v>
      </c>
      <c r="W53" s="1592">
        <f t="shared" si="54"/>
        <v>184917.6</v>
      </c>
      <c r="X53" s="1462"/>
      <c r="Y53" s="1461">
        <f t="shared" si="47"/>
        <v>0</v>
      </c>
      <c r="Z53" s="1461"/>
      <c r="AA53" s="1461">
        <f t="shared" si="34"/>
        <v>0</v>
      </c>
      <c r="AB53" s="1597">
        <f t="shared" si="35"/>
        <v>0</v>
      </c>
      <c r="AC53" s="1592">
        <f t="shared" si="36"/>
        <v>184917.6</v>
      </c>
      <c r="AD53" s="1461">
        <f t="shared" si="37"/>
        <v>-462.29400000000004</v>
      </c>
      <c r="AE53" s="1592">
        <f t="shared" si="48"/>
        <v>184455.30600000001</v>
      </c>
      <c r="AF53" s="1460">
        <v>0</v>
      </c>
      <c r="AG53" s="1592">
        <f t="shared" si="49"/>
        <v>184455.30600000001</v>
      </c>
      <c r="AH53" s="1461"/>
      <c r="AI53" s="1461">
        <f t="shared" si="50"/>
        <v>184455.30600000001</v>
      </c>
      <c r="AJ53" s="1592">
        <f t="shared" si="51"/>
        <v>15371</v>
      </c>
      <c r="AK53" s="1601">
        <f t="shared" si="38"/>
        <v>306481.06899516011</v>
      </c>
      <c r="AL53" s="1601">
        <f t="shared" si="52"/>
        <v>25540</v>
      </c>
    </row>
    <row r="54" spans="1:38" s="317" customFormat="1" ht="16.2" customHeight="1">
      <c r="A54" s="1454">
        <v>49</v>
      </c>
      <c r="B54" s="1455" t="s">
        <v>128</v>
      </c>
      <c r="C54" s="1456">
        <f>+'Table 8 Membership 2.1.14'!L51</f>
        <v>35</v>
      </c>
      <c r="D54" s="1457">
        <f>'Table 3 Levels 1&amp;2'!AL52*90%</f>
        <v>4496.2879784093275</v>
      </c>
      <c r="E54" s="1457">
        <f t="shared" si="39"/>
        <v>157370.07924432645</v>
      </c>
      <c r="F54" s="1458">
        <f>'Table 3A Level 3'!C54*90%</f>
        <v>516.99599999999998</v>
      </c>
      <c r="G54" s="1458">
        <f t="shared" si="40"/>
        <v>18094.86</v>
      </c>
      <c r="H54" s="1572">
        <f t="shared" si="41"/>
        <v>175464.93924432644</v>
      </c>
      <c r="I54" s="1458">
        <f>(('Table 3 Levels 1&amp;2'!AL52-D54)+('Table 3A Level 3'!C54-F54))*C54</f>
        <v>19496.104360480706</v>
      </c>
      <c r="J54" s="1458"/>
      <c r="K54" s="1458"/>
      <c r="L54" s="1576">
        <f t="shared" si="42"/>
        <v>0</v>
      </c>
      <c r="M54" s="1572">
        <f t="shared" si="43"/>
        <v>175464.93924432644</v>
      </c>
      <c r="N54" s="1458">
        <f t="shared" si="44"/>
        <v>-438.66234811081608</v>
      </c>
      <c r="O54" s="1572">
        <f t="shared" si="53"/>
        <v>175026.27689621563</v>
      </c>
      <c r="P54" s="1459">
        <v>0</v>
      </c>
      <c r="Q54" s="1572">
        <f t="shared" si="45"/>
        <v>175026.27689621563</v>
      </c>
      <c r="R54" s="1458"/>
      <c r="S54" s="1458">
        <f t="shared" si="46"/>
        <v>175026.27689621563</v>
      </c>
      <c r="T54" s="1572">
        <f t="shared" si="31"/>
        <v>14586</v>
      </c>
      <c r="U54" s="1572">
        <f t="shared" si="32"/>
        <v>175026.27689621563</v>
      </c>
      <c r="V54" s="1460">
        <f>'Table 5C1A-Madison Prep'!U55*90%</f>
        <v>2117.7000000000003</v>
      </c>
      <c r="W54" s="1592">
        <f t="shared" si="54"/>
        <v>74119.500000000015</v>
      </c>
      <c r="X54" s="1462"/>
      <c r="Y54" s="1461">
        <f t="shared" si="47"/>
        <v>0</v>
      </c>
      <c r="Z54" s="1461"/>
      <c r="AA54" s="1461">
        <f t="shared" si="34"/>
        <v>0</v>
      </c>
      <c r="AB54" s="1597">
        <f t="shared" si="35"/>
        <v>0</v>
      </c>
      <c r="AC54" s="1592">
        <f t="shared" si="36"/>
        <v>74119.500000000015</v>
      </c>
      <c r="AD54" s="1461">
        <f t="shared" si="37"/>
        <v>-185.29875000000004</v>
      </c>
      <c r="AE54" s="1592">
        <f t="shared" si="48"/>
        <v>73934.201250000013</v>
      </c>
      <c r="AF54" s="1460">
        <v>0</v>
      </c>
      <c r="AG54" s="1592">
        <f t="shared" si="49"/>
        <v>73934.201250000013</v>
      </c>
      <c r="AH54" s="1461"/>
      <c r="AI54" s="1461">
        <f t="shared" si="50"/>
        <v>73934.201250000013</v>
      </c>
      <c r="AJ54" s="1592">
        <f t="shared" si="51"/>
        <v>6161</v>
      </c>
      <c r="AK54" s="1601">
        <f t="shared" si="38"/>
        <v>248960.47814621564</v>
      </c>
      <c r="AL54" s="1601">
        <f t="shared" si="52"/>
        <v>20747</v>
      </c>
    </row>
    <row r="55" spans="1:38" s="317" customFormat="1" ht="16.2" customHeight="1">
      <c r="A55" s="1433">
        <v>50</v>
      </c>
      <c r="B55" s="1434" t="s">
        <v>129</v>
      </c>
      <c r="C55" s="1440">
        <f>+'Table 8 Membership 2.1.14'!L52</f>
        <v>6</v>
      </c>
      <c r="D55" s="1441">
        <f>'Table 3 Levels 1&amp;2'!AL53*90%</f>
        <v>4659.9203450431514</v>
      </c>
      <c r="E55" s="1441">
        <f t="shared" si="39"/>
        <v>27959.522070258907</v>
      </c>
      <c r="F55" s="906">
        <f>'Table 3A Level 3'!C55*90%</f>
        <v>571.01400000000001</v>
      </c>
      <c r="G55" s="906">
        <f t="shared" si="40"/>
        <v>3426.0839999999998</v>
      </c>
      <c r="H55" s="1573">
        <f t="shared" si="41"/>
        <v>31385.606070258906</v>
      </c>
      <c r="I55" s="906">
        <f>(('Table 3 Levels 1&amp;2'!AL53-D55)+('Table 3A Level 3'!C55-F55))*C55</f>
        <v>3487.2895633620983</v>
      </c>
      <c r="J55" s="906"/>
      <c r="K55" s="906"/>
      <c r="L55" s="1577">
        <f t="shared" si="42"/>
        <v>0</v>
      </c>
      <c r="M55" s="1573">
        <f t="shared" si="43"/>
        <v>31385.606070258906</v>
      </c>
      <c r="N55" s="906">
        <f t="shared" si="44"/>
        <v>-78.464015175647262</v>
      </c>
      <c r="O55" s="1573">
        <f t="shared" si="53"/>
        <v>31307.142055083259</v>
      </c>
      <c r="P55" s="1442">
        <v>0</v>
      </c>
      <c r="Q55" s="1573">
        <f t="shared" si="45"/>
        <v>31307.142055083259</v>
      </c>
      <c r="R55" s="906"/>
      <c r="S55" s="906">
        <f t="shared" si="46"/>
        <v>31307.142055083259</v>
      </c>
      <c r="T55" s="1573">
        <f t="shared" si="31"/>
        <v>2609</v>
      </c>
      <c r="U55" s="1573">
        <f t="shared" si="32"/>
        <v>31307.142055083259</v>
      </c>
      <c r="V55" s="1443">
        <f>'Table 5C1A-Madison Prep'!U56*90%</f>
        <v>3159</v>
      </c>
      <c r="W55" s="1593">
        <f t="shared" si="54"/>
        <v>18954</v>
      </c>
      <c r="X55" s="1444"/>
      <c r="Y55" s="907">
        <f t="shared" si="47"/>
        <v>0</v>
      </c>
      <c r="Z55" s="907"/>
      <c r="AA55" s="907">
        <f t="shared" si="34"/>
        <v>0</v>
      </c>
      <c r="AB55" s="1598">
        <f t="shared" si="35"/>
        <v>0</v>
      </c>
      <c r="AC55" s="1593">
        <f t="shared" si="36"/>
        <v>18954</v>
      </c>
      <c r="AD55" s="907">
        <f t="shared" si="37"/>
        <v>-47.384999999999998</v>
      </c>
      <c r="AE55" s="1593">
        <f t="shared" si="48"/>
        <v>18906.615000000002</v>
      </c>
      <c r="AF55" s="1443">
        <v>0</v>
      </c>
      <c r="AG55" s="1593">
        <f t="shared" si="49"/>
        <v>18906.615000000002</v>
      </c>
      <c r="AH55" s="907"/>
      <c r="AI55" s="907">
        <f t="shared" si="50"/>
        <v>18906.615000000002</v>
      </c>
      <c r="AJ55" s="1593">
        <f t="shared" si="51"/>
        <v>1576</v>
      </c>
      <c r="AK55" s="1602">
        <f t="shared" si="38"/>
        <v>50213.757055083261</v>
      </c>
      <c r="AL55" s="1602">
        <f t="shared" si="52"/>
        <v>4185</v>
      </c>
    </row>
    <row r="56" spans="1:38" s="317" customFormat="1" ht="16.2" customHeight="1">
      <c r="A56" s="1445">
        <v>51</v>
      </c>
      <c r="B56" s="1446" t="s">
        <v>130</v>
      </c>
      <c r="C56" s="1447">
        <f>+'Table 8 Membership 2.1.14'!L53</f>
        <v>4</v>
      </c>
      <c r="D56" s="1448">
        <f>'Table 3 Levels 1&amp;2'!AL54*90%</f>
        <v>3738.7735741961096</v>
      </c>
      <c r="E56" s="1448">
        <f t="shared" si="39"/>
        <v>14955.094296784438</v>
      </c>
      <c r="F56" s="1449">
        <f>'Table 3A Level 3'!C56*90%</f>
        <v>635.99400000000003</v>
      </c>
      <c r="G56" s="1449">
        <f t="shared" si="40"/>
        <v>2543.9760000000001</v>
      </c>
      <c r="H56" s="1571">
        <f t="shared" si="41"/>
        <v>17499.070296784437</v>
      </c>
      <c r="I56" s="1449">
        <f>(('Table 3 Levels 1&amp;2'!AL54-D56)+('Table 3A Level 3'!C56-F56))*C56</f>
        <v>1944.3411440871596</v>
      </c>
      <c r="J56" s="1449"/>
      <c r="K56" s="1449"/>
      <c r="L56" s="1575">
        <f t="shared" si="42"/>
        <v>0</v>
      </c>
      <c r="M56" s="1571">
        <f t="shared" si="43"/>
        <v>17499.070296784437</v>
      </c>
      <c r="N56" s="1449">
        <f t="shared" si="44"/>
        <v>-43.747675741961096</v>
      </c>
      <c r="O56" s="1571">
        <f t="shared" si="53"/>
        <v>17455.322621042476</v>
      </c>
      <c r="P56" s="1450">
        <v>0</v>
      </c>
      <c r="Q56" s="1571">
        <f t="shared" si="45"/>
        <v>17455.322621042476</v>
      </c>
      <c r="R56" s="1449"/>
      <c r="S56" s="1449">
        <f t="shared" si="46"/>
        <v>17455.322621042476</v>
      </c>
      <c r="T56" s="1571">
        <f t="shared" si="31"/>
        <v>1455</v>
      </c>
      <c r="U56" s="1571">
        <f t="shared" si="32"/>
        <v>17455.322621042476</v>
      </c>
      <c r="V56" s="1451">
        <f>'Table 5C1A-Madison Prep'!U57*90%</f>
        <v>4137.3</v>
      </c>
      <c r="W56" s="1591">
        <f t="shared" si="54"/>
        <v>16549.2</v>
      </c>
      <c r="X56" s="1453"/>
      <c r="Y56" s="1452">
        <f t="shared" si="47"/>
        <v>0</v>
      </c>
      <c r="Z56" s="1452"/>
      <c r="AA56" s="1452">
        <f t="shared" si="34"/>
        <v>0</v>
      </c>
      <c r="AB56" s="1596">
        <f t="shared" si="35"/>
        <v>0</v>
      </c>
      <c r="AC56" s="1591">
        <f t="shared" si="36"/>
        <v>16549.2</v>
      </c>
      <c r="AD56" s="1452">
        <f t="shared" si="37"/>
        <v>-41.373000000000005</v>
      </c>
      <c r="AE56" s="1591">
        <f t="shared" si="48"/>
        <v>16507.827000000001</v>
      </c>
      <c r="AF56" s="1451">
        <v>0</v>
      </c>
      <c r="AG56" s="1591">
        <f t="shared" si="49"/>
        <v>16507.827000000001</v>
      </c>
      <c r="AH56" s="1452"/>
      <c r="AI56" s="1452">
        <f t="shared" si="50"/>
        <v>16507.827000000001</v>
      </c>
      <c r="AJ56" s="1591">
        <f t="shared" si="51"/>
        <v>1376</v>
      </c>
      <c r="AK56" s="1600">
        <f t="shared" si="38"/>
        <v>33963.149621042481</v>
      </c>
      <c r="AL56" s="1600">
        <f t="shared" si="52"/>
        <v>2831</v>
      </c>
    </row>
    <row r="57" spans="1:38" s="317" customFormat="1" ht="16.2" customHeight="1">
      <c r="A57" s="1454">
        <v>52</v>
      </c>
      <c r="B57" s="1455" t="s">
        <v>131</v>
      </c>
      <c r="C57" s="1456">
        <f>+'Table 8 Membership 2.1.14'!L54</f>
        <v>100</v>
      </c>
      <c r="D57" s="1457">
        <f>'Table 3 Levels 1&amp;2'!AL55*90%</f>
        <v>4556.0471260705353</v>
      </c>
      <c r="E57" s="1457">
        <f t="shared" si="39"/>
        <v>455604.71260705352</v>
      </c>
      <c r="F57" s="1458">
        <f>'Table 3A Level 3'!C57*90%</f>
        <v>592.53300000000002</v>
      </c>
      <c r="G57" s="1458">
        <f t="shared" si="40"/>
        <v>59253.3</v>
      </c>
      <c r="H57" s="1572">
        <f t="shared" si="41"/>
        <v>514858.0126070535</v>
      </c>
      <c r="I57" s="1458">
        <f>(('Table 3 Levels 1&amp;2'!AL55-D57)+('Table 3A Level 3'!C57-F57))*C57</f>
        <v>57206.445845228198</v>
      </c>
      <c r="J57" s="1458"/>
      <c r="K57" s="1458"/>
      <c r="L57" s="1576">
        <f t="shared" si="42"/>
        <v>0</v>
      </c>
      <c r="M57" s="1572">
        <f t="shared" si="43"/>
        <v>514858.0126070535</v>
      </c>
      <c r="N57" s="1458">
        <f t="shared" si="44"/>
        <v>-1287.1450315176337</v>
      </c>
      <c r="O57" s="1572">
        <f t="shared" si="53"/>
        <v>513570.86757553584</v>
      </c>
      <c r="P57" s="1459">
        <v>0</v>
      </c>
      <c r="Q57" s="1572">
        <f t="shared" si="45"/>
        <v>513570.86757553584</v>
      </c>
      <c r="R57" s="1458"/>
      <c r="S57" s="1458">
        <f t="shared" si="46"/>
        <v>513570.86757553584</v>
      </c>
      <c r="T57" s="1572">
        <f t="shared" si="31"/>
        <v>42798</v>
      </c>
      <c r="U57" s="1572">
        <f t="shared" si="32"/>
        <v>513570.86757553584</v>
      </c>
      <c r="V57" s="1460">
        <f>'Table 5C1A-Madison Prep'!U58*90%</f>
        <v>4690.8</v>
      </c>
      <c r="W57" s="1592">
        <f t="shared" si="54"/>
        <v>469080</v>
      </c>
      <c r="X57" s="1462"/>
      <c r="Y57" s="1461">
        <f t="shared" si="47"/>
        <v>0</v>
      </c>
      <c r="Z57" s="1461"/>
      <c r="AA57" s="1461">
        <f t="shared" si="34"/>
        <v>0</v>
      </c>
      <c r="AB57" s="1597">
        <f t="shared" si="35"/>
        <v>0</v>
      </c>
      <c r="AC57" s="1592">
        <f t="shared" si="36"/>
        <v>469080</v>
      </c>
      <c r="AD57" s="1461">
        <f t="shared" si="37"/>
        <v>-1172.7</v>
      </c>
      <c r="AE57" s="1592">
        <f t="shared" si="48"/>
        <v>467907.3</v>
      </c>
      <c r="AF57" s="1460">
        <v>0</v>
      </c>
      <c r="AG57" s="1592">
        <f t="shared" si="49"/>
        <v>467907.3</v>
      </c>
      <c r="AH57" s="1461"/>
      <c r="AI57" s="1461">
        <f t="shared" si="50"/>
        <v>467907.3</v>
      </c>
      <c r="AJ57" s="1592">
        <f t="shared" si="51"/>
        <v>38992</v>
      </c>
      <c r="AK57" s="1601">
        <f t="shared" si="38"/>
        <v>981478.16757553583</v>
      </c>
      <c r="AL57" s="1601">
        <f t="shared" si="52"/>
        <v>81790</v>
      </c>
    </row>
    <row r="58" spans="1:38" s="317" customFormat="1" ht="16.2" customHeight="1">
      <c r="A58" s="1454">
        <v>53</v>
      </c>
      <c r="B58" s="1455" t="s">
        <v>132</v>
      </c>
      <c r="C58" s="1456">
        <f>+'Table 8 Membership 2.1.14'!L55</f>
        <v>67</v>
      </c>
      <c r="D58" s="1457">
        <f>'Table 3 Levels 1&amp;2'!AL56*90%</f>
        <v>4554.1357374640938</v>
      </c>
      <c r="E58" s="1457">
        <f t="shared" si="39"/>
        <v>305127.09441009432</v>
      </c>
      <c r="F58" s="1458">
        <f>'Table 3A Level 3'!C58*90%</f>
        <v>620.76600000000008</v>
      </c>
      <c r="G58" s="1458">
        <f t="shared" si="40"/>
        <v>41591.322000000007</v>
      </c>
      <c r="H58" s="1572">
        <f t="shared" si="41"/>
        <v>346718.4164100943</v>
      </c>
      <c r="I58" s="1458">
        <f>(('Table 3 Levels 1&amp;2'!AL56-D58)+('Table 3A Level 3'!C58-F58))*C58</f>
        <v>38524.268490010436</v>
      </c>
      <c r="J58" s="1458"/>
      <c r="K58" s="1458"/>
      <c r="L58" s="1576">
        <f t="shared" si="42"/>
        <v>0</v>
      </c>
      <c r="M58" s="1572">
        <f t="shared" si="43"/>
        <v>346718.4164100943</v>
      </c>
      <c r="N58" s="1458">
        <f t="shared" si="44"/>
        <v>-866.79604102523581</v>
      </c>
      <c r="O58" s="1572">
        <f t="shared" si="53"/>
        <v>345851.62036906905</v>
      </c>
      <c r="P58" s="1459">
        <v>0</v>
      </c>
      <c r="Q58" s="1572">
        <f t="shared" si="45"/>
        <v>345851.62036906905</v>
      </c>
      <c r="R58" s="1458"/>
      <c r="S58" s="1458">
        <f t="shared" si="46"/>
        <v>345851.62036906905</v>
      </c>
      <c r="T58" s="1572">
        <f t="shared" si="31"/>
        <v>28821</v>
      </c>
      <c r="U58" s="1572">
        <f t="shared" si="32"/>
        <v>345851.62036906905</v>
      </c>
      <c r="V58" s="1460">
        <f>'Table 5C1A-Madison Prep'!U59*90%</f>
        <v>1848.6000000000001</v>
      </c>
      <c r="W58" s="1592">
        <f t="shared" si="54"/>
        <v>123856.20000000001</v>
      </c>
      <c r="X58" s="1462"/>
      <c r="Y58" s="1461">
        <f t="shared" si="47"/>
        <v>0</v>
      </c>
      <c r="Z58" s="1461"/>
      <c r="AA58" s="1461">
        <f t="shared" si="34"/>
        <v>0</v>
      </c>
      <c r="AB58" s="1597">
        <f t="shared" si="35"/>
        <v>0</v>
      </c>
      <c r="AC58" s="1592">
        <f t="shared" si="36"/>
        <v>123856.20000000001</v>
      </c>
      <c r="AD58" s="1461">
        <f t="shared" si="37"/>
        <v>-309.64050000000003</v>
      </c>
      <c r="AE58" s="1592">
        <f t="shared" si="48"/>
        <v>123546.55950000002</v>
      </c>
      <c r="AF58" s="1460">
        <v>0</v>
      </c>
      <c r="AG58" s="1592">
        <f t="shared" si="49"/>
        <v>123546.55950000002</v>
      </c>
      <c r="AH58" s="1461"/>
      <c r="AI58" s="1461">
        <f t="shared" si="50"/>
        <v>123546.55950000002</v>
      </c>
      <c r="AJ58" s="1592">
        <f t="shared" si="51"/>
        <v>10296</v>
      </c>
      <c r="AK58" s="1601">
        <f t="shared" si="38"/>
        <v>469398.17986906908</v>
      </c>
      <c r="AL58" s="1601">
        <f t="shared" si="52"/>
        <v>39117</v>
      </c>
    </row>
    <row r="59" spans="1:38" s="317" customFormat="1" ht="16.2" customHeight="1">
      <c r="A59" s="1454">
        <v>54</v>
      </c>
      <c r="B59" s="1455" t="s">
        <v>133</v>
      </c>
      <c r="C59" s="1456">
        <f>+'Table 8 Membership 2.1.14'!L56</f>
        <v>6</v>
      </c>
      <c r="D59" s="1457">
        <f>'Table 3 Levels 1&amp;2'!AL57*90%</f>
        <v>5280.3718533465044</v>
      </c>
      <c r="E59" s="1457">
        <f t="shared" si="39"/>
        <v>31682.231120079028</v>
      </c>
      <c r="F59" s="1458">
        <f>'Table 3A Level 3'!C59*90%</f>
        <v>856.30500000000006</v>
      </c>
      <c r="G59" s="1458">
        <f t="shared" si="40"/>
        <v>5137.83</v>
      </c>
      <c r="H59" s="1572">
        <f t="shared" si="41"/>
        <v>36820.06112007903</v>
      </c>
      <c r="I59" s="1458">
        <f>(('Table 3 Levels 1&amp;2'!AL57-D59)+('Table 3A Level 3'!C59-F59))*C59</f>
        <v>4091.1179022310016</v>
      </c>
      <c r="J59" s="1458"/>
      <c r="K59" s="1458"/>
      <c r="L59" s="1576">
        <f t="shared" si="42"/>
        <v>0</v>
      </c>
      <c r="M59" s="1572">
        <f t="shared" si="43"/>
        <v>36820.06112007903</v>
      </c>
      <c r="N59" s="1458">
        <f t="shared" si="44"/>
        <v>-92.05015280019758</v>
      </c>
      <c r="O59" s="1572">
        <f t="shared" si="53"/>
        <v>36728.010967278831</v>
      </c>
      <c r="P59" s="1459">
        <v>0</v>
      </c>
      <c r="Q59" s="1572">
        <f t="shared" si="45"/>
        <v>36728.010967278831</v>
      </c>
      <c r="R59" s="1458"/>
      <c r="S59" s="1458">
        <f t="shared" si="46"/>
        <v>36728.010967278831</v>
      </c>
      <c r="T59" s="1572">
        <f t="shared" si="31"/>
        <v>3061</v>
      </c>
      <c r="U59" s="1572">
        <f t="shared" si="32"/>
        <v>36728.010967278831</v>
      </c>
      <c r="V59" s="1460">
        <f>'Table 5C1A-Madison Prep'!U60*90%</f>
        <v>3704.4</v>
      </c>
      <c r="W59" s="1592">
        <f t="shared" si="54"/>
        <v>22226.400000000001</v>
      </c>
      <c r="X59" s="1462"/>
      <c r="Y59" s="1461">
        <f t="shared" si="47"/>
        <v>0</v>
      </c>
      <c r="Z59" s="1461"/>
      <c r="AA59" s="1461">
        <f t="shared" si="34"/>
        <v>0</v>
      </c>
      <c r="AB59" s="1597">
        <f t="shared" si="35"/>
        <v>0</v>
      </c>
      <c r="AC59" s="1592">
        <f t="shared" si="36"/>
        <v>22226.400000000001</v>
      </c>
      <c r="AD59" s="1461">
        <f t="shared" si="37"/>
        <v>-55.566000000000003</v>
      </c>
      <c r="AE59" s="1592">
        <f t="shared" si="48"/>
        <v>22170.834000000003</v>
      </c>
      <c r="AF59" s="1460">
        <v>0</v>
      </c>
      <c r="AG59" s="1592">
        <f t="shared" si="49"/>
        <v>22170.834000000003</v>
      </c>
      <c r="AH59" s="1461"/>
      <c r="AI59" s="1461">
        <f t="shared" si="50"/>
        <v>22170.834000000003</v>
      </c>
      <c r="AJ59" s="1592">
        <f t="shared" si="51"/>
        <v>1848</v>
      </c>
      <c r="AK59" s="1601">
        <f t="shared" si="38"/>
        <v>58898.844967278834</v>
      </c>
      <c r="AL59" s="1601">
        <f t="shared" si="52"/>
        <v>4909</v>
      </c>
    </row>
    <row r="60" spans="1:38" s="317" customFormat="1" ht="16.2" customHeight="1">
      <c r="A60" s="1433">
        <v>55</v>
      </c>
      <c r="B60" s="1434" t="s">
        <v>134</v>
      </c>
      <c r="C60" s="1440">
        <f>+'Table 8 Membership 2.1.14'!L57</f>
        <v>31</v>
      </c>
      <c r="D60" s="1441">
        <f>'Table 3 Levels 1&amp;2'!AL58*90%</f>
        <v>3840.1402942168634</v>
      </c>
      <c r="E60" s="1441">
        <f t="shared" si="39"/>
        <v>119044.34912072276</v>
      </c>
      <c r="F60" s="906">
        <f>'Table 3A Level 3'!C60*90%</f>
        <v>715.62599999999998</v>
      </c>
      <c r="G60" s="906">
        <f t="shared" si="40"/>
        <v>22184.405999999999</v>
      </c>
      <c r="H60" s="1573">
        <f t="shared" si="41"/>
        <v>141228.75512072275</v>
      </c>
      <c r="I60" s="906">
        <f>(('Table 3 Levels 1&amp;2'!AL58-D60)+('Table 3A Level 3'!C60-F60))*C60</f>
        <v>15692.083902302527</v>
      </c>
      <c r="J60" s="906"/>
      <c r="K60" s="906"/>
      <c r="L60" s="1577">
        <f t="shared" si="42"/>
        <v>0</v>
      </c>
      <c r="M60" s="1573">
        <f t="shared" si="43"/>
        <v>141228.75512072275</v>
      </c>
      <c r="N60" s="906">
        <f t="shared" si="44"/>
        <v>-353.07188780180689</v>
      </c>
      <c r="O60" s="1573">
        <f t="shared" si="53"/>
        <v>140875.68323292094</v>
      </c>
      <c r="P60" s="1442">
        <v>0</v>
      </c>
      <c r="Q60" s="1573">
        <f t="shared" si="45"/>
        <v>140875.68323292094</v>
      </c>
      <c r="R60" s="906"/>
      <c r="S60" s="906">
        <f t="shared" si="46"/>
        <v>140875.68323292094</v>
      </c>
      <c r="T60" s="1573">
        <f t="shared" si="31"/>
        <v>11740</v>
      </c>
      <c r="U60" s="1573">
        <f t="shared" si="32"/>
        <v>140875.68323292094</v>
      </c>
      <c r="V60" s="1443">
        <f>'Table 5C1A-Madison Prep'!U61*90%</f>
        <v>3178.8</v>
      </c>
      <c r="W60" s="1593">
        <f t="shared" si="54"/>
        <v>98542.8</v>
      </c>
      <c r="X60" s="1444"/>
      <c r="Y60" s="907">
        <f t="shared" si="47"/>
        <v>0</v>
      </c>
      <c r="Z60" s="907"/>
      <c r="AA60" s="907">
        <f t="shared" si="34"/>
        <v>0</v>
      </c>
      <c r="AB60" s="1598">
        <f t="shared" si="35"/>
        <v>0</v>
      </c>
      <c r="AC60" s="1593">
        <f t="shared" si="36"/>
        <v>98542.8</v>
      </c>
      <c r="AD60" s="907">
        <f t="shared" si="37"/>
        <v>-246.357</v>
      </c>
      <c r="AE60" s="1593">
        <f t="shared" si="48"/>
        <v>98296.442999999999</v>
      </c>
      <c r="AF60" s="1443">
        <v>0</v>
      </c>
      <c r="AG60" s="1593">
        <f t="shared" si="49"/>
        <v>98296.442999999999</v>
      </c>
      <c r="AH60" s="907"/>
      <c r="AI60" s="907">
        <f t="shared" si="50"/>
        <v>98296.442999999999</v>
      </c>
      <c r="AJ60" s="1593">
        <f t="shared" si="51"/>
        <v>8191</v>
      </c>
      <c r="AK60" s="1602">
        <f t="shared" si="38"/>
        <v>239172.12623292094</v>
      </c>
      <c r="AL60" s="1602">
        <f t="shared" si="52"/>
        <v>19931</v>
      </c>
    </row>
    <row r="61" spans="1:38" s="317" customFormat="1" ht="16.2" customHeight="1">
      <c r="A61" s="1445">
        <v>56</v>
      </c>
      <c r="B61" s="1446" t="s">
        <v>135</v>
      </c>
      <c r="C61" s="1447">
        <f>+'Table 8 Membership 2.1.14'!L58</f>
        <v>4</v>
      </c>
      <c r="D61" s="1448">
        <f>'Table 3 Levels 1&amp;2'!AL59*90%</f>
        <v>4525.6418467459462</v>
      </c>
      <c r="E61" s="1448">
        <f t="shared" si="39"/>
        <v>18102.567386983785</v>
      </c>
      <c r="F61" s="1449">
        <f>'Table 3A Level 3'!C61*90%</f>
        <v>553.19400000000007</v>
      </c>
      <c r="G61" s="1449">
        <f t="shared" si="40"/>
        <v>2212.7760000000003</v>
      </c>
      <c r="H61" s="1571">
        <f t="shared" si="41"/>
        <v>20315.343386983786</v>
      </c>
      <c r="I61" s="1449">
        <f>(('Table 3 Levels 1&amp;2'!AL59-D61)+('Table 3A Level 3'!C61-F61))*C61</f>
        <v>2257.2603763315296</v>
      </c>
      <c r="J61" s="1449"/>
      <c r="K61" s="1449"/>
      <c r="L61" s="1575">
        <f t="shared" si="42"/>
        <v>0</v>
      </c>
      <c r="M61" s="1571">
        <f t="shared" si="43"/>
        <v>20315.343386983786</v>
      </c>
      <c r="N61" s="1449">
        <f t="shared" si="44"/>
        <v>-50.788358467459467</v>
      </c>
      <c r="O61" s="1571">
        <f t="shared" si="53"/>
        <v>20264.555028516326</v>
      </c>
      <c r="P61" s="1450">
        <v>0</v>
      </c>
      <c r="Q61" s="1571">
        <f t="shared" si="45"/>
        <v>20264.555028516326</v>
      </c>
      <c r="R61" s="1449"/>
      <c r="S61" s="1449">
        <f t="shared" si="46"/>
        <v>20264.555028516326</v>
      </c>
      <c r="T61" s="1571">
        <f t="shared" si="31"/>
        <v>1689</v>
      </c>
      <c r="U61" s="1571">
        <f t="shared" si="32"/>
        <v>20264.555028516326</v>
      </c>
      <c r="V61" s="1451">
        <f>'Table 5C1A-Madison Prep'!U62*90%</f>
        <v>2578.5</v>
      </c>
      <c r="W61" s="1591">
        <f t="shared" si="54"/>
        <v>10314</v>
      </c>
      <c r="X61" s="1453"/>
      <c r="Y61" s="1452">
        <f t="shared" si="47"/>
        <v>0</v>
      </c>
      <c r="Z61" s="1452"/>
      <c r="AA61" s="1452">
        <f t="shared" si="34"/>
        <v>0</v>
      </c>
      <c r="AB61" s="1596">
        <f t="shared" si="35"/>
        <v>0</v>
      </c>
      <c r="AC61" s="1591">
        <f t="shared" si="36"/>
        <v>10314</v>
      </c>
      <c r="AD61" s="1452">
        <f t="shared" si="37"/>
        <v>-25.785</v>
      </c>
      <c r="AE61" s="1591">
        <f t="shared" si="48"/>
        <v>10288.215</v>
      </c>
      <c r="AF61" s="1451">
        <v>0</v>
      </c>
      <c r="AG61" s="1591">
        <f t="shared" si="49"/>
        <v>10288.215</v>
      </c>
      <c r="AH61" s="1452"/>
      <c r="AI61" s="1452">
        <f t="shared" si="50"/>
        <v>10288.215</v>
      </c>
      <c r="AJ61" s="1591">
        <f t="shared" si="51"/>
        <v>857</v>
      </c>
      <c r="AK61" s="1600">
        <f t="shared" si="38"/>
        <v>30552.770028516326</v>
      </c>
      <c r="AL61" s="1600">
        <f t="shared" si="52"/>
        <v>2546</v>
      </c>
    </row>
    <row r="62" spans="1:38" s="317" customFormat="1" ht="16.2" customHeight="1">
      <c r="A62" s="1454">
        <v>57</v>
      </c>
      <c r="B62" s="1455" t="s">
        <v>136</v>
      </c>
      <c r="C62" s="1456">
        <f>+'Table 8 Membership 2.1.14'!L59</f>
        <v>7</v>
      </c>
      <c r="D62" s="1457">
        <f>'Table 3 Levels 1&amp;2'!AL60*90%</f>
        <v>4163.393068130762</v>
      </c>
      <c r="E62" s="1457">
        <f t="shared" si="39"/>
        <v>29143.751476915335</v>
      </c>
      <c r="F62" s="1458">
        <f>'Table 3A Level 3'!C62*90%</f>
        <v>688.05899999999997</v>
      </c>
      <c r="G62" s="1458">
        <f t="shared" si="40"/>
        <v>4816.4129999999996</v>
      </c>
      <c r="H62" s="1572">
        <f t="shared" si="41"/>
        <v>33960.164476915335</v>
      </c>
      <c r="I62" s="1458">
        <f>(('Table 3 Levels 1&amp;2'!AL60-D62)+('Table 3A Level 3'!C62-F62))*C62</f>
        <v>3773.351608546147</v>
      </c>
      <c r="J62" s="1458"/>
      <c r="K62" s="1458"/>
      <c r="L62" s="1576">
        <f t="shared" si="42"/>
        <v>0</v>
      </c>
      <c r="M62" s="1572">
        <f t="shared" si="43"/>
        <v>33960.164476915335</v>
      </c>
      <c r="N62" s="1458">
        <f t="shared" si="44"/>
        <v>-84.900411192288345</v>
      </c>
      <c r="O62" s="1572">
        <f t="shared" si="53"/>
        <v>33875.264065723044</v>
      </c>
      <c r="P62" s="1459">
        <v>0</v>
      </c>
      <c r="Q62" s="1572">
        <f t="shared" si="45"/>
        <v>33875.264065723044</v>
      </c>
      <c r="R62" s="1458"/>
      <c r="S62" s="1458">
        <f t="shared" si="46"/>
        <v>33875.264065723044</v>
      </c>
      <c r="T62" s="1572">
        <f t="shared" si="31"/>
        <v>2823</v>
      </c>
      <c r="U62" s="1572">
        <f t="shared" si="32"/>
        <v>33875.264065723044</v>
      </c>
      <c r="V62" s="1460">
        <f>'Table 5C1A-Madison Prep'!U63*90%</f>
        <v>3055.5</v>
      </c>
      <c r="W62" s="1592">
        <f t="shared" si="54"/>
        <v>21388.5</v>
      </c>
      <c r="X62" s="1462"/>
      <c r="Y62" s="1461">
        <f t="shared" si="47"/>
        <v>0</v>
      </c>
      <c r="Z62" s="1461"/>
      <c r="AA62" s="1461">
        <f t="shared" si="34"/>
        <v>0</v>
      </c>
      <c r="AB62" s="1597">
        <f t="shared" si="35"/>
        <v>0</v>
      </c>
      <c r="AC62" s="1592">
        <f t="shared" si="36"/>
        <v>21388.5</v>
      </c>
      <c r="AD62" s="1461">
        <f t="shared" si="37"/>
        <v>-53.471249999999998</v>
      </c>
      <c r="AE62" s="1592">
        <f t="shared" si="48"/>
        <v>21335.028750000001</v>
      </c>
      <c r="AF62" s="1460">
        <v>0</v>
      </c>
      <c r="AG62" s="1592">
        <f t="shared" si="49"/>
        <v>21335.028750000001</v>
      </c>
      <c r="AH62" s="1461"/>
      <c r="AI62" s="1461">
        <f t="shared" si="50"/>
        <v>21335.028750000001</v>
      </c>
      <c r="AJ62" s="1592">
        <f t="shared" si="51"/>
        <v>1778</v>
      </c>
      <c r="AK62" s="1601">
        <f t="shared" si="38"/>
        <v>55210.292815723049</v>
      </c>
      <c r="AL62" s="1601">
        <f t="shared" si="52"/>
        <v>4601</v>
      </c>
    </row>
    <row r="63" spans="1:38" s="317" customFormat="1" ht="16.2" customHeight="1">
      <c r="A63" s="1454">
        <v>58</v>
      </c>
      <c r="B63" s="1455" t="s">
        <v>137</v>
      </c>
      <c r="C63" s="1456">
        <f>+'Table 8 Membership 2.1.14'!L60</f>
        <v>28</v>
      </c>
      <c r="D63" s="1457">
        <f>'Table 3 Levels 1&amp;2'!AL61*90%</f>
        <v>5105.8016674093915</v>
      </c>
      <c r="E63" s="1457">
        <f t="shared" si="39"/>
        <v>142962.44668746297</v>
      </c>
      <c r="F63" s="1458">
        <f>'Table 3A Level 3'!C63*90%</f>
        <v>627.33600000000001</v>
      </c>
      <c r="G63" s="1458">
        <f t="shared" si="40"/>
        <v>17565.407999999999</v>
      </c>
      <c r="H63" s="1572">
        <f t="shared" si="41"/>
        <v>160527.85468746297</v>
      </c>
      <c r="I63" s="1458">
        <f>(('Table 3 Levels 1&amp;2'!AL61-D63)+('Table 3A Level 3'!C63-F63))*C63</f>
        <v>17836.428298606981</v>
      </c>
      <c r="J63" s="1458"/>
      <c r="K63" s="1458"/>
      <c r="L63" s="1576">
        <f t="shared" si="42"/>
        <v>0</v>
      </c>
      <c r="M63" s="1572">
        <f t="shared" si="43"/>
        <v>160527.85468746297</v>
      </c>
      <c r="N63" s="1458">
        <f t="shared" si="44"/>
        <v>-401.31963671865742</v>
      </c>
      <c r="O63" s="1572">
        <f t="shared" si="53"/>
        <v>160126.53505074431</v>
      </c>
      <c r="P63" s="1459">
        <v>0</v>
      </c>
      <c r="Q63" s="1572">
        <f t="shared" si="45"/>
        <v>160126.53505074431</v>
      </c>
      <c r="R63" s="1458"/>
      <c r="S63" s="1458">
        <f t="shared" si="46"/>
        <v>160126.53505074431</v>
      </c>
      <c r="T63" s="1572">
        <f t="shared" si="31"/>
        <v>13344</v>
      </c>
      <c r="U63" s="1572">
        <f t="shared" si="32"/>
        <v>160126.53505074431</v>
      </c>
      <c r="V63" s="1460">
        <f>'Table 5C1A-Madison Prep'!U64*90%</f>
        <v>1875.6000000000001</v>
      </c>
      <c r="W63" s="1592">
        <f t="shared" si="54"/>
        <v>52516.800000000003</v>
      </c>
      <c r="X63" s="1462"/>
      <c r="Y63" s="1461">
        <f t="shared" si="47"/>
        <v>0</v>
      </c>
      <c r="Z63" s="1461"/>
      <c r="AA63" s="1461">
        <f t="shared" si="34"/>
        <v>0</v>
      </c>
      <c r="AB63" s="1597">
        <f t="shared" si="35"/>
        <v>0</v>
      </c>
      <c r="AC63" s="1592">
        <f t="shared" si="36"/>
        <v>52516.800000000003</v>
      </c>
      <c r="AD63" s="1461">
        <f t="shared" si="37"/>
        <v>-131.292</v>
      </c>
      <c r="AE63" s="1592">
        <f t="shared" si="48"/>
        <v>52385.508000000002</v>
      </c>
      <c r="AF63" s="1460">
        <v>0</v>
      </c>
      <c r="AG63" s="1592">
        <f t="shared" si="49"/>
        <v>52385.508000000002</v>
      </c>
      <c r="AH63" s="1461"/>
      <c r="AI63" s="1461">
        <f t="shared" si="50"/>
        <v>52385.508000000002</v>
      </c>
      <c r="AJ63" s="1592">
        <f t="shared" si="51"/>
        <v>4365</v>
      </c>
      <c r="AK63" s="1601">
        <f t="shared" si="38"/>
        <v>212512.04305074431</v>
      </c>
      <c r="AL63" s="1601">
        <f t="shared" si="52"/>
        <v>17709</v>
      </c>
    </row>
    <row r="64" spans="1:38" s="317" customFormat="1" ht="16.2" customHeight="1">
      <c r="A64" s="1454">
        <v>59</v>
      </c>
      <c r="B64" s="1455" t="s">
        <v>138</v>
      </c>
      <c r="C64" s="1456">
        <f>+'Table 8 Membership 2.1.14'!L61</f>
        <v>9</v>
      </c>
      <c r="D64" s="1457">
        <f>'Table 3 Levels 1&amp;2'!AL62*90%</f>
        <v>5959.7516641696629</v>
      </c>
      <c r="E64" s="1457">
        <f t="shared" si="39"/>
        <v>53637.764977526967</v>
      </c>
      <c r="F64" s="1458">
        <f>'Table 3A Level 3'!C64*90%</f>
        <v>620.56799999999998</v>
      </c>
      <c r="G64" s="1458">
        <f t="shared" si="40"/>
        <v>5585.1120000000001</v>
      </c>
      <c r="H64" s="1572">
        <f t="shared" si="41"/>
        <v>59222.876977526968</v>
      </c>
      <c r="I64" s="1458">
        <f>(('Table 3 Levels 1&amp;2'!AL62-D64)+('Table 3A Level 3'!C64-F64))*C64</f>
        <v>6580.3196641696659</v>
      </c>
      <c r="J64" s="1458"/>
      <c r="K64" s="1458"/>
      <c r="L64" s="1576">
        <f t="shared" si="42"/>
        <v>0</v>
      </c>
      <c r="M64" s="1572">
        <f t="shared" si="43"/>
        <v>59222.876977526968</v>
      </c>
      <c r="N64" s="1458">
        <f t="shared" si="44"/>
        <v>-148.05719244381743</v>
      </c>
      <c r="O64" s="1572">
        <f t="shared" si="53"/>
        <v>59074.819785083149</v>
      </c>
      <c r="P64" s="1459">
        <v>-7319.4290126482447</v>
      </c>
      <c r="Q64" s="1572">
        <f t="shared" si="45"/>
        <v>51755.390772434905</v>
      </c>
      <c r="R64" s="1458"/>
      <c r="S64" s="1458">
        <f t="shared" si="46"/>
        <v>51755.390772434905</v>
      </c>
      <c r="T64" s="1572">
        <f t="shared" si="31"/>
        <v>4313</v>
      </c>
      <c r="U64" s="1572">
        <f t="shared" si="32"/>
        <v>51755.390772434905</v>
      </c>
      <c r="V64" s="1460">
        <f>'Table 5C1A-Madison Prep'!U65*90%</f>
        <v>1419.3</v>
      </c>
      <c r="W64" s="1592">
        <f t="shared" si="54"/>
        <v>12773.699999999999</v>
      </c>
      <c r="X64" s="1462"/>
      <c r="Y64" s="1461">
        <f t="shared" si="47"/>
        <v>0</v>
      </c>
      <c r="Z64" s="1461"/>
      <c r="AA64" s="1461">
        <f t="shared" si="34"/>
        <v>0</v>
      </c>
      <c r="AB64" s="1597">
        <f t="shared" si="35"/>
        <v>0</v>
      </c>
      <c r="AC64" s="1592">
        <f t="shared" si="36"/>
        <v>12773.699999999999</v>
      </c>
      <c r="AD64" s="1461">
        <f t="shared" si="37"/>
        <v>-31.934249999999999</v>
      </c>
      <c r="AE64" s="1592">
        <f t="shared" si="48"/>
        <v>12741.765749999999</v>
      </c>
      <c r="AF64" s="1460">
        <v>-4131</v>
      </c>
      <c r="AG64" s="1592">
        <f t="shared" si="49"/>
        <v>8610.7657499999987</v>
      </c>
      <c r="AH64" s="1461"/>
      <c r="AI64" s="1461">
        <f t="shared" si="50"/>
        <v>8610.7657499999987</v>
      </c>
      <c r="AJ64" s="1592">
        <f t="shared" si="51"/>
        <v>718</v>
      </c>
      <c r="AK64" s="1601">
        <f t="shared" si="38"/>
        <v>60366.156522434903</v>
      </c>
      <c r="AL64" s="1601">
        <f t="shared" si="52"/>
        <v>5031</v>
      </c>
    </row>
    <row r="65" spans="1:38" s="317" customFormat="1" ht="16.2" customHeight="1">
      <c r="A65" s="1433">
        <v>60</v>
      </c>
      <c r="B65" s="1434" t="s">
        <v>139</v>
      </c>
      <c r="C65" s="1440">
        <f>+'Table 8 Membership 2.1.14'!L62</f>
        <v>19</v>
      </c>
      <c r="D65" s="1441">
        <f>'Table 3 Levels 1&amp;2'!AL63*90%</f>
        <v>4771.1016810574456</v>
      </c>
      <c r="E65" s="1441">
        <f t="shared" si="39"/>
        <v>90650.931940091468</v>
      </c>
      <c r="F65" s="906">
        <f>'Table 3A Level 3'!C65*90%</f>
        <v>534.63599999999997</v>
      </c>
      <c r="G65" s="906">
        <f t="shared" si="40"/>
        <v>10158.083999999999</v>
      </c>
      <c r="H65" s="1573">
        <f t="shared" si="41"/>
        <v>100809.01594009147</v>
      </c>
      <c r="I65" s="906">
        <f>(('Table 3 Levels 1&amp;2'!AL63-D65)+('Table 3A Level 3'!C65-F65))*C65</f>
        <v>11201.001771121266</v>
      </c>
      <c r="J65" s="906"/>
      <c r="K65" s="906"/>
      <c r="L65" s="1577">
        <f t="shared" si="42"/>
        <v>0</v>
      </c>
      <c r="M65" s="1573">
        <f t="shared" si="43"/>
        <v>100809.01594009147</v>
      </c>
      <c r="N65" s="906">
        <f t="shared" si="44"/>
        <v>-252.0225398502287</v>
      </c>
      <c r="O65" s="1573">
        <f t="shared" si="53"/>
        <v>100556.99340024125</v>
      </c>
      <c r="P65" s="1442">
        <v>0</v>
      </c>
      <c r="Q65" s="1573">
        <f t="shared" si="45"/>
        <v>100556.99340024125</v>
      </c>
      <c r="R65" s="906"/>
      <c r="S65" s="906">
        <f t="shared" si="46"/>
        <v>100556.99340024125</v>
      </c>
      <c r="T65" s="1573">
        <f t="shared" si="31"/>
        <v>8380</v>
      </c>
      <c r="U65" s="1573">
        <f t="shared" si="32"/>
        <v>100556.99340024125</v>
      </c>
      <c r="V65" s="1443">
        <f>'Table 5C1A-Madison Prep'!U66*90%</f>
        <v>3529.8</v>
      </c>
      <c r="W65" s="1593">
        <f t="shared" si="54"/>
        <v>67066.2</v>
      </c>
      <c r="X65" s="1444"/>
      <c r="Y65" s="907">
        <f t="shared" si="47"/>
        <v>0</v>
      </c>
      <c r="Z65" s="907"/>
      <c r="AA65" s="907">
        <f t="shared" si="34"/>
        <v>0</v>
      </c>
      <c r="AB65" s="1598">
        <f t="shared" si="35"/>
        <v>0</v>
      </c>
      <c r="AC65" s="1593">
        <f t="shared" si="36"/>
        <v>67066.2</v>
      </c>
      <c r="AD65" s="907">
        <f t="shared" si="37"/>
        <v>-167.66550000000001</v>
      </c>
      <c r="AE65" s="1593">
        <f t="shared" si="48"/>
        <v>66898.534499999994</v>
      </c>
      <c r="AF65" s="1443">
        <v>0</v>
      </c>
      <c r="AG65" s="1593">
        <f t="shared" si="49"/>
        <v>66898.534499999994</v>
      </c>
      <c r="AH65" s="907"/>
      <c r="AI65" s="907">
        <f t="shared" si="50"/>
        <v>66898.534499999994</v>
      </c>
      <c r="AJ65" s="1593">
        <f t="shared" si="51"/>
        <v>5575</v>
      </c>
      <c r="AK65" s="1602">
        <f t="shared" si="38"/>
        <v>167455.52790024126</v>
      </c>
      <c r="AL65" s="1602">
        <f t="shared" si="52"/>
        <v>13955</v>
      </c>
    </row>
    <row r="66" spans="1:38" s="317" customFormat="1" ht="16.2" customHeight="1">
      <c r="A66" s="1445">
        <v>61</v>
      </c>
      <c r="B66" s="1446" t="s">
        <v>140</v>
      </c>
      <c r="C66" s="1447">
        <f>+'Table 8 Membership 2.1.14'!L63</f>
        <v>10</v>
      </c>
      <c r="D66" s="1448">
        <f>'Table 3 Levels 1&amp;2'!AL64*90%</f>
        <v>2568.7417820732267</v>
      </c>
      <c r="E66" s="1448">
        <f t="shared" si="39"/>
        <v>25687.417820732266</v>
      </c>
      <c r="F66" s="1449">
        <f>'Table 3A Level 3'!C66*90%</f>
        <v>750.33899999999994</v>
      </c>
      <c r="G66" s="1449">
        <f t="shared" si="40"/>
        <v>7503.3899999999994</v>
      </c>
      <c r="H66" s="1571">
        <f t="shared" si="41"/>
        <v>33190.807820732269</v>
      </c>
      <c r="I66" s="1449">
        <f>(('Table 3 Levels 1&amp;2'!AL64-D66)+('Table 3A Level 3'!C66-F66))*C66</f>
        <v>3687.8675356369185</v>
      </c>
      <c r="J66" s="1449"/>
      <c r="K66" s="1449"/>
      <c r="L66" s="1575">
        <f t="shared" si="42"/>
        <v>0</v>
      </c>
      <c r="M66" s="1571">
        <f t="shared" si="43"/>
        <v>33190.807820732269</v>
      </c>
      <c r="N66" s="1449">
        <f t="shared" si="44"/>
        <v>-82.977019551830679</v>
      </c>
      <c r="O66" s="1571">
        <f t="shared" si="53"/>
        <v>33107.83080118044</v>
      </c>
      <c r="P66" s="1450">
        <v>0</v>
      </c>
      <c r="Q66" s="1571">
        <f t="shared" si="45"/>
        <v>33107.83080118044</v>
      </c>
      <c r="R66" s="1449"/>
      <c r="S66" s="1449">
        <f t="shared" si="46"/>
        <v>33107.83080118044</v>
      </c>
      <c r="T66" s="1571">
        <f t="shared" si="31"/>
        <v>2759</v>
      </c>
      <c r="U66" s="1571">
        <f t="shared" si="32"/>
        <v>33107.83080118044</v>
      </c>
      <c r="V66" s="1451">
        <f>'Table 5C1A-Madison Prep'!U67*90%</f>
        <v>6070.5</v>
      </c>
      <c r="W66" s="1591">
        <f t="shared" si="54"/>
        <v>60705</v>
      </c>
      <c r="X66" s="1453"/>
      <c r="Y66" s="1452">
        <f t="shared" si="47"/>
        <v>0</v>
      </c>
      <c r="Z66" s="1452"/>
      <c r="AA66" s="1452">
        <f t="shared" si="34"/>
        <v>0</v>
      </c>
      <c r="AB66" s="1596">
        <f t="shared" si="35"/>
        <v>0</v>
      </c>
      <c r="AC66" s="1591">
        <f t="shared" si="36"/>
        <v>60705</v>
      </c>
      <c r="AD66" s="1452">
        <f t="shared" si="37"/>
        <v>-151.76250000000002</v>
      </c>
      <c r="AE66" s="1591">
        <f t="shared" si="48"/>
        <v>60553.237500000003</v>
      </c>
      <c r="AF66" s="1451">
        <v>0</v>
      </c>
      <c r="AG66" s="1591">
        <f t="shared" si="49"/>
        <v>60553.237500000003</v>
      </c>
      <c r="AH66" s="1452"/>
      <c r="AI66" s="1452">
        <f t="shared" si="50"/>
        <v>60553.237500000003</v>
      </c>
      <c r="AJ66" s="1591">
        <f t="shared" si="51"/>
        <v>5046</v>
      </c>
      <c r="AK66" s="1600">
        <f t="shared" si="38"/>
        <v>93661.068301180436</v>
      </c>
      <c r="AL66" s="1600">
        <f t="shared" si="52"/>
        <v>7805</v>
      </c>
    </row>
    <row r="67" spans="1:38" s="317" customFormat="1" ht="16.2" customHeight="1">
      <c r="A67" s="1454">
        <v>62</v>
      </c>
      <c r="B67" s="1455" t="s">
        <v>141</v>
      </c>
      <c r="C67" s="1456">
        <f>+'Table 8 Membership 2.1.14'!L64</f>
        <v>1</v>
      </c>
      <c r="D67" s="1457">
        <f>'Table 3 Levels 1&amp;2'!AL65*90%</f>
        <v>5310.9670846644076</v>
      </c>
      <c r="E67" s="1457">
        <f t="shared" si="39"/>
        <v>5310.9670846644076</v>
      </c>
      <c r="F67" s="1458">
        <f>'Table 3A Level 3'!C67*90%</f>
        <v>464.47200000000004</v>
      </c>
      <c r="G67" s="1458">
        <f t="shared" si="40"/>
        <v>464.47200000000004</v>
      </c>
      <c r="H67" s="1572">
        <f t="shared" si="41"/>
        <v>5775.4390846644073</v>
      </c>
      <c r="I67" s="1458">
        <f>(('Table 3 Levels 1&amp;2'!AL65-D67)+('Table 3A Level 3'!C67-F67))*C67</f>
        <v>641.71545385160039</v>
      </c>
      <c r="J67" s="1458"/>
      <c r="K67" s="1458"/>
      <c r="L67" s="1576">
        <f t="shared" si="42"/>
        <v>0</v>
      </c>
      <c r="M67" s="1572">
        <f t="shared" si="43"/>
        <v>5775.4390846644073</v>
      </c>
      <c r="N67" s="1458">
        <f t="shared" si="44"/>
        <v>-14.438597711661018</v>
      </c>
      <c r="O67" s="1572">
        <f t="shared" si="53"/>
        <v>5761.0004869527465</v>
      </c>
      <c r="P67" s="1459">
        <v>0</v>
      </c>
      <c r="Q67" s="1572">
        <f t="shared" si="45"/>
        <v>5761.0004869527465</v>
      </c>
      <c r="R67" s="1458"/>
      <c r="S67" s="1458">
        <f t="shared" si="46"/>
        <v>5761.0004869527465</v>
      </c>
      <c r="T67" s="1572">
        <f t="shared" si="31"/>
        <v>480</v>
      </c>
      <c r="U67" s="1572">
        <f t="shared" si="32"/>
        <v>5761.0004869527465</v>
      </c>
      <c r="V67" s="1460">
        <f>'Table 5C1A-Madison Prep'!U68*90%</f>
        <v>1717.2</v>
      </c>
      <c r="W67" s="1592">
        <f t="shared" si="54"/>
        <v>1717.2</v>
      </c>
      <c r="X67" s="1462"/>
      <c r="Y67" s="1461">
        <f t="shared" si="47"/>
        <v>0</v>
      </c>
      <c r="Z67" s="1461"/>
      <c r="AA67" s="1461">
        <f t="shared" si="34"/>
        <v>0</v>
      </c>
      <c r="AB67" s="1597">
        <f t="shared" si="35"/>
        <v>0</v>
      </c>
      <c r="AC67" s="1592">
        <f t="shared" si="36"/>
        <v>1717.2</v>
      </c>
      <c r="AD67" s="1461">
        <f t="shared" si="37"/>
        <v>-4.2930000000000001</v>
      </c>
      <c r="AE67" s="1592">
        <f t="shared" si="48"/>
        <v>1712.9070000000002</v>
      </c>
      <c r="AF67" s="1460">
        <v>0</v>
      </c>
      <c r="AG67" s="1592">
        <f t="shared" si="49"/>
        <v>1712.9070000000002</v>
      </c>
      <c r="AH67" s="1461"/>
      <c r="AI67" s="1461">
        <f t="shared" si="50"/>
        <v>1712.9070000000002</v>
      </c>
      <c r="AJ67" s="1592">
        <f t="shared" si="51"/>
        <v>143</v>
      </c>
      <c r="AK67" s="1601">
        <f t="shared" si="38"/>
        <v>7473.9074869527467</v>
      </c>
      <c r="AL67" s="1601">
        <f t="shared" si="52"/>
        <v>623</v>
      </c>
    </row>
    <row r="68" spans="1:38" s="317" customFormat="1" ht="16.2" customHeight="1">
      <c r="A68" s="1454">
        <v>63</v>
      </c>
      <c r="B68" s="1455" t="s">
        <v>142</v>
      </c>
      <c r="C68" s="1456">
        <f>+'Table 8 Membership 2.1.14'!L65</f>
        <v>0</v>
      </c>
      <c r="D68" s="1457">
        <f>'Table 3 Levels 1&amp;2'!AL66*90%</f>
        <v>3711.9432133663286</v>
      </c>
      <c r="E68" s="1457">
        <f t="shared" si="39"/>
        <v>0</v>
      </c>
      <c r="F68" s="1458">
        <f>'Table 3A Level 3'!C68*90%</f>
        <v>681.11099999999999</v>
      </c>
      <c r="G68" s="1458">
        <f t="shared" si="40"/>
        <v>0</v>
      </c>
      <c r="H68" s="1572">
        <f t="shared" si="41"/>
        <v>0</v>
      </c>
      <c r="I68" s="1458">
        <f>(('Table 3 Levels 1&amp;2'!AL66-D68)+('Table 3A Level 3'!C68-F68))*C68</f>
        <v>0</v>
      </c>
      <c r="J68" s="1458"/>
      <c r="K68" s="1458"/>
      <c r="L68" s="1576">
        <f t="shared" si="42"/>
        <v>0</v>
      </c>
      <c r="M68" s="1572">
        <f t="shared" si="43"/>
        <v>0</v>
      </c>
      <c r="N68" s="1458">
        <f t="shared" si="44"/>
        <v>0</v>
      </c>
      <c r="O68" s="1572">
        <f t="shared" si="53"/>
        <v>0</v>
      </c>
      <c r="P68" s="1459">
        <v>0</v>
      </c>
      <c r="Q68" s="1572">
        <f t="shared" si="45"/>
        <v>0</v>
      </c>
      <c r="R68" s="1458"/>
      <c r="S68" s="1458">
        <f t="shared" si="46"/>
        <v>0</v>
      </c>
      <c r="T68" s="1572">
        <f t="shared" si="31"/>
        <v>0</v>
      </c>
      <c r="U68" s="1572">
        <f t="shared" si="32"/>
        <v>0</v>
      </c>
      <c r="V68" s="1460">
        <f>'Table 5C1A-Madison Prep'!U69*90%</f>
        <v>6561</v>
      </c>
      <c r="W68" s="1592">
        <f t="shared" si="54"/>
        <v>0</v>
      </c>
      <c r="X68" s="1462"/>
      <c r="Y68" s="1461">
        <f t="shared" si="47"/>
        <v>0</v>
      </c>
      <c r="Z68" s="1461"/>
      <c r="AA68" s="1461">
        <f t="shared" si="34"/>
        <v>0</v>
      </c>
      <c r="AB68" s="1597">
        <f t="shared" si="35"/>
        <v>0</v>
      </c>
      <c r="AC68" s="1592">
        <f t="shared" si="36"/>
        <v>0</v>
      </c>
      <c r="AD68" s="1461">
        <f t="shared" si="37"/>
        <v>0</v>
      </c>
      <c r="AE68" s="1592">
        <f t="shared" si="48"/>
        <v>0</v>
      </c>
      <c r="AF68" s="1460">
        <v>0</v>
      </c>
      <c r="AG68" s="1592">
        <f t="shared" si="49"/>
        <v>0</v>
      </c>
      <c r="AH68" s="1461"/>
      <c r="AI68" s="1461">
        <f t="shared" si="50"/>
        <v>0</v>
      </c>
      <c r="AJ68" s="1592">
        <f t="shared" si="51"/>
        <v>0</v>
      </c>
      <c r="AK68" s="1601">
        <f t="shared" si="38"/>
        <v>0</v>
      </c>
      <c r="AL68" s="1601">
        <f t="shared" si="52"/>
        <v>0</v>
      </c>
    </row>
    <row r="69" spans="1:38" s="317" customFormat="1" ht="16.2" customHeight="1">
      <c r="A69" s="1454">
        <v>64</v>
      </c>
      <c r="B69" s="1455" t="s">
        <v>143</v>
      </c>
      <c r="C69" s="1456">
        <f>+'Table 8 Membership 2.1.14'!L66</f>
        <v>3</v>
      </c>
      <c r="D69" s="1457">
        <f>'Table 3 Levels 1&amp;2'!AL67*90%</f>
        <v>5650.0476779500432</v>
      </c>
      <c r="E69" s="1457">
        <f t="shared" si="39"/>
        <v>16950.14303385013</v>
      </c>
      <c r="F69" s="1458">
        <f>'Table 3A Level 3'!C69*90%</f>
        <v>533.39400000000001</v>
      </c>
      <c r="G69" s="1458">
        <f t="shared" si="40"/>
        <v>1600.182</v>
      </c>
      <c r="H69" s="1572">
        <f t="shared" si="41"/>
        <v>18550.325033850131</v>
      </c>
      <c r="I69" s="1458">
        <f>(('Table 3 Levels 1&amp;2'!AL67-D69)+('Table 3A Level 3'!C69-F69))*C69</f>
        <v>2061.1472259833463</v>
      </c>
      <c r="J69" s="1458"/>
      <c r="K69" s="1458"/>
      <c r="L69" s="1576">
        <f t="shared" si="42"/>
        <v>0</v>
      </c>
      <c r="M69" s="1572">
        <f t="shared" si="43"/>
        <v>18550.325033850131</v>
      </c>
      <c r="N69" s="1458">
        <f t="shared" si="44"/>
        <v>-46.375812584625329</v>
      </c>
      <c r="O69" s="1572">
        <f t="shared" si="53"/>
        <v>18503.949221265506</v>
      </c>
      <c r="P69" s="1459">
        <v>0</v>
      </c>
      <c r="Q69" s="1572">
        <f t="shared" si="45"/>
        <v>18503.949221265506</v>
      </c>
      <c r="R69" s="1458"/>
      <c r="S69" s="1458">
        <f t="shared" si="46"/>
        <v>18503.949221265506</v>
      </c>
      <c r="T69" s="1572">
        <f t="shared" si="31"/>
        <v>1542</v>
      </c>
      <c r="U69" s="1572">
        <f t="shared" si="32"/>
        <v>18503.949221265506</v>
      </c>
      <c r="V69" s="1460">
        <f>'Table 5C1A-Madison Prep'!U70*90%</f>
        <v>2448.9</v>
      </c>
      <c r="W69" s="1592">
        <f t="shared" si="54"/>
        <v>7346.7000000000007</v>
      </c>
      <c r="X69" s="1462"/>
      <c r="Y69" s="1461">
        <f t="shared" si="47"/>
        <v>0</v>
      </c>
      <c r="Z69" s="1461"/>
      <c r="AA69" s="1461">
        <f t="shared" si="34"/>
        <v>0</v>
      </c>
      <c r="AB69" s="1597">
        <f t="shared" si="35"/>
        <v>0</v>
      </c>
      <c r="AC69" s="1592">
        <f t="shared" si="36"/>
        <v>7346.7000000000007</v>
      </c>
      <c r="AD69" s="1461">
        <f t="shared" si="37"/>
        <v>-18.366750000000003</v>
      </c>
      <c r="AE69" s="1592">
        <f t="shared" si="48"/>
        <v>7328.3332500000006</v>
      </c>
      <c r="AF69" s="1460">
        <v>0</v>
      </c>
      <c r="AG69" s="1592">
        <f t="shared" si="49"/>
        <v>7328.3332500000006</v>
      </c>
      <c r="AH69" s="1461"/>
      <c r="AI69" s="1461">
        <f t="shared" si="50"/>
        <v>7328.3332500000006</v>
      </c>
      <c r="AJ69" s="1592">
        <f t="shared" si="51"/>
        <v>611</v>
      </c>
      <c r="AK69" s="1601">
        <f t="shared" si="38"/>
        <v>25832.282471265506</v>
      </c>
      <c r="AL69" s="1601">
        <f t="shared" si="52"/>
        <v>2153</v>
      </c>
    </row>
    <row r="70" spans="1:38" s="317" customFormat="1" ht="16.2" customHeight="1">
      <c r="A70" s="1433">
        <v>65</v>
      </c>
      <c r="B70" s="1434" t="s">
        <v>144</v>
      </c>
      <c r="C70" s="1440">
        <f>+'Table 8 Membership 2.1.14'!L67</f>
        <v>0</v>
      </c>
      <c r="D70" s="1441">
        <f>'Table 3 Levels 1&amp;2'!AL68*90%</f>
        <v>4297.6444989549282</v>
      </c>
      <c r="E70" s="1441">
        <f t="shared" si="39"/>
        <v>0</v>
      </c>
      <c r="F70" s="906">
        <f>'Table 3A Level 3'!C70*90%</f>
        <v>746.20799999999997</v>
      </c>
      <c r="G70" s="906">
        <f t="shared" si="40"/>
        <v>0</v>
      </c>
      <c r="H70" s="1573">
        <f t="shared" si="41"/>
        <v>0</v>
      </c>
      <c r="I70" s="906">
        <f>(('Table 3 Levels 1&amp;2'!AL68-D70)+('Table 3A Level 3'!C70-F70))*C70</f>
        <v>0</v>
      </c>
      <c r="J70" s="906"/>
      <c r="K70" s="906"/>
      <c r="L70" s="1577">
        <f t="shared" si="42"/>
        <v>0</v>
      </c>
      <c r="M70" s="1573">
        <f t="shared" si="43"/>
        <v>0</v>
      </c>
      <c r="N70" s="906">
        <f t="shared" si="44"/>
        <v>0</v>
      </c>
      <c r="O70" s="1573">
        <f t="shared" ref="O70:O74" si="55">M70+N70</f>
        <v>0</v>
      </c>
      <c r="P70" s="1442">
        <v>0</v>
      </c>
      <c r="Q70" s="1573">
        <f t="shared" si="45"/>
        <v>0</v>
      </c>
      <c r="R70" s="906"/>
      <c r="S70" s="906">
        <f t="shared" si="46"/>
        <v>0</v>
      </c>
      <c r="T70" s="1573">
        <f t="shared" ref="T70:T73" si="56">ROUND(S70/12,0)</f>
        <v>0</v>
      </c>
      <c r="U70" s="1573">
        <f t="shared" ref="U70:U73" si="57">+Q70</f>
        <v>0</v>
      </c>
      <c r="V70" s="1443">
        <f>'Table 5C1A-Madison Prep'!U71*90%</f>
        <v>4599</v>
      </c>
      <c r="W70" s="1593">
        <f t="shared" ref="W70:W74" si="58">V70*C70</f>
        <v>0</v>
      </c>
      <c r="X70" s="1444"/>
      <c r="Y70" s="907">
        <f t="shared" si="47"/>
        <v>0</v>
      </c>
      <c r="Z70" s="907"/>
      <c r="AA70" s="907">
        <f t="shared" ref="AA70:AA73" si="59">+V70*Z70*0.5</f>
        <v>0</v>
      </c>
      <c r="AB70" s="1598">
        <f t="shared" ref="AB70:AB73" si="60">+Y70+AA70</f>
        <v>0</v>
      </c>
      <c r="AC70" s="1593">
        <f t="shared" ref="AC70:AC73" si="61">+W70+AB70</f>
        <v>0</v>
      </c>
      <c r="AD70" s="907">
        <f t="shared" ref="AD70:AD73" si="62">AC70*-0.25%</f>
        <v>0</v>
      </c>
      <c r="AE70" s="1593">
        <f t="shared" si="48"/>
        <v>0</v>
      </c>
      <c r="AF70" s="1443">
        <v>0</v>
      </c>
      <c r="AG70" s="1593">
        <f t="shared" si="49"/>
        <v>0</v>
      </c>
      <c r="AH70" s="907"/>
      <c r="AI70" s="907">
        <f t="shared" si="50"/>
        <v>0</v>
      </c>
      <c r="AJ70" s="1593">
        <f t="shared" si="51"/>
        <v>0</v>
      </c>
      <c r="AK70" s="1602">
        <f t="shared" ref="AK70:AK73" si="63">AG70+U70</f>
        <v>0</v>
      </c>
      <c r="AL70" s="1602">
        <f t="shared" si="52"/>
        <v>0</v>
      </c>
    </row>
    <row r="71" spans="1:38" s="317" customFormat="1" ht="16.2" customHeight="1">
      <c r="A71" s="1454">
        <v>66</v>
      </c>
      <c r="B71" s="1455" t="s">
        <v>145</v>
      </c>
      <c r="C71" s="1447">
        <f>+'Table 8 Membership 2.1.14'!L68</f>
        <v>5</v>
      </c>
      <c r="D71" s="1448">
        <f>'Table 3 Levels 1&amp;2'!AL69*90%</f>
        <v>5907.6076890519034</v>
      </c>
      <c r="E71" s="1448">
        <f t="shared" ref="E71:E74" si="64">C71*D71</f>
        <v>29538.038445259517</v>
      </c>
      <c r="F71" s="1449">
        <f>'Table 3A Level 3'!C71*90%</f>
        <v>657.05399999999997</v>
      </c>
      <c r="G71" s="1449">
        <f t="shared" ref="G71:G74" si="65">F71*C71</f>
        <v>3285.27</v>
      </c>
      <c r="H71" s="1571">
        <f t="shared" ref="H71:H74" si="66">E71+G71</f>
        <v>32823.308445259514</v>
      </c>
      <c r="I71" s="1449">
        <f>(('Table 3 Levels 1&amp;2'!AL69-D71)+('Table 3A Level 3'!C71-F71))*C71</f>
        <v>3647.0342716955001</v>
      </c>
      <c r="J71" s="1449"/>
      <c r="K71" s="1449"/>
      <c r="L71" s="1575">
        <f t="shared" ref="L71:L74" si="67">+J71+K71</f>
        <v>0</v>
      </c>
      <c r="M71" s="1571">
        <f t="shared" ref="M71:M74" si="68">+H71+L71</f>
        <v>32823.308445259514</v>
      </c>
      <c r="N71" s="1449">
        <f t="shared" ref="N71:N74" si="69">-0.25%*M71</f>
        <v>-82.058271113148791</v>
      </c>
      <c r="O71" s="1571">
        <f t="shared" si="55"/>
        <v>32741.250174146364</v>
      </c>
      <c r="P71" s="1450">
        <v>4298.7498189699909</v>
      </c>
      <c r="Q71" s="1571">
        <f t="shared" ref="Q71:Q74" si="70">SUM(O71:P71)</f>
        <v>37039.999993116355</v>
      </c>
      <c r="R71" s="1449"/>
      <c r="S71" s="1449">
        <f t="shared" ref="S71:S74" si="71">+Q71-R71</f>
        <v>37039.999993116355</v>
      </c>
      <c r="T71" s="1571">
        <f t="shared" si="56"/>
        <v>3087</v>
      </c>
      <c r="U71" s="1571">
        <f t="shared" si="57"/>
        <v>37039.999993116355</v>
      </c>
      <c r="V71" s="1452">
        <f>'Table 5C1A-Madison Prep'!U72*90%</f>
        <v>3032.1</v>
      </c>
      <c r="W71" s="1591">
        <f t="shared" si="58"/>
        <v>15160.5</v>
      </c>
      <c r="X71" s="1464"/>
      <c r="Y71" s="1452">
        <f t="shared" ref="Y71:Y74" si="72">+V71*X71</f>
        <v>0</v>
      </c>
      <c r="Z71" s="1464"/>
      <c r="AA71" s="1452">
        <f t="shared" si="59"/>
        <v>0</v>
      </c>
      <c r="AB71" s="1596">
        <f t="shared" si="60"/>
        <v>0</v>
      </c>
      <c r="AC71" s="1591">
        <f t="shared" si="61"/>
        <v>15160.5</v>
      </c>
      <c r="AD71" s="1452">
        <f t="shared" si="62"/>
        <v>-37.901249999999997</v>
      </c>
      <c r="AE71" s="1591">
        <f t="shared" ref="AE71:AE74" si="73">SUM(AC71:AD71)</f>
        <v>15122.598749999999</v>
      </c>
      <c r="AF71" s="1451">
        <v>9525.6</v>
      </c>
      <c r="AG71" s="1591">
        <f t="shared" ref="AG71:AG74" si="74">SUM(AE71:AF71)</f>
        <v>24648.19875</v>
      </c>
      <c r="AH71" s="1452"/>
      <c r="AI71" s="1452">
        <f t="shared" ref="AI71:AI74" si="75">+AG71-AH71</f>
        <v>24648.19875</v>
      </c>
      <c r="AJ71" s="1591">
        <f t="shared" ref="AJ71:AJ74" si="76">ROUND(AI71/12,0)</f>
        <v>2054</v>
      </c>
      <c r="AK71" s="1600">
        <f t="shared" si="63"/>
        <v>61688.198743116358</v>
      </c>
      <c r="AL71" s="1600">
        <f t="shared" ref="AL71:AL74" si="77">T71+AJ71</f>
        <v>5141</v>
      </c>
    </row>
    <row r="72" spans="1:38" s="317" customFormat="1" ht="16.2" customHeight="1">
      <c r="A72" s="1454">
        <v>67</v>
      </c>
      <c r="B72" s="1455" t="s">
        <v>30</v>
      </c>
      <c r="C72" s="1456">
        <f>+'Table 8 Membership 2.1.14'!L69</f>
        <v>0</v>
      </c>
      <c r="D72" s="1457">
        <f>'Table 3 Levels 1&amp;2'!AL70*90%</f>
        <v>4526.2320962520707</v>
      </c>
      <c r="E72" s="1457">
        <f t="shared" si="64"/>
        <v>0</v>
      </c>
      <c r="F72" s="1458">
        <f>'Table 3A Level 3'!C72*90%</f>
        <v>644.04899999999998</v>
      </c>
      <c r="G72" s="1458">
        <f t="shared" si="65"/>
        <v>0</v>
      </c>
      <c r="H72" s="1572">
        <f t="shared" si="66"/>
        <v>0</v>
      </c>
      <c r="I72" s="1458">
        <f>(('Table 3 Levels 1&amp;2'!AL70-D72)+('Table 3A Level 3'!C72-F72))*C72</f>
        <v>0</v>
      </c>
      <c r="J72" s="1458"/>
      <c r="K72" s="1458"/>
      <c r="L72" s="1576">
        <f t="shared" si="67"/>
        <v>0</v>
      </c>
      <c r="M72" s="1572">
        <f t="shared" si="68"/>
        <v>0</v>
      </c>
      <c r="N72" s="1458">
        <f t="shared" si="69"/>
        <v>0</v>
      </c>
      <c r="O72" s="1572">
        <f t="shared" si="55"/>
        <v>0</v>
      </c>
      <c r="P72" s="1459">
        <v>0</v>
      </c>
      <c r="Q72" s="1572">
        <f t="shared" si="70"/>
        <v>0</v>
      </c>
      <c r="R72" s="1458"/>
      <c r="S72" s="1458">
        <f t="shared" si="71"/>
        <v>0</v>
      </c>
      <c r="T72" s="1572">
        <f t="shared" si="56"/>
        <v>0</v>
      </c>
      <c r="U72" s="1572">
        <f t="shared" si="57"/>
        <v>0</v>
      </c>
      <c r="V72" s="1461">
        <f>'Table 5C1A-Madison Prep'!U73*90%</f>
        <v>4513.5</v>
      </c>
      <c r="W72" s="1592">
        <f t="shared" si="58"/>
        <v>0</v>
      </c>
      <c r="X72" s="1465"/>
      <c r="Y72" s="1461">
        <f t="shared" si="72"/>
        <v>0</v>
      </c>
      <c r="Z72" s="1465"/>
      <c r="AA72" s="1461">
        <f t="shared" si="59"/>
        <v>0</v>
      </c>
      <c r="AB72" s="1597">
        <f t="shared" si="60"/>
        <v>0</v>
      </c>
      <c r="AC72" s="1592">
        <f t="shared" si="61"/>
        <v>0</v>
      </c>
      <c r="AD72" s="1461">
        <f t="shared" si="62"/>
        <v>0</v>
      </c>
      <c r="AE72" s="1592">
        <f t="shared" si="73"/>
        <v>0</v>
      </c>
      <c r="AF72" s="1460">
        <v>0</v>
      </c>
      <c r="AG72" s="1592">
        <f t="shared" si="74"/>
        <v>0</v>
      </c>
      <c r="AH72" s="1461"/>
      <c r="AI72" s="1461">
        <f t="shared" si="75"/>
        <v>0</v>
      </c>
      <c r="AJ72" s="1592">
        <f t="shared" si="76"/>
        <v>0</v>
      </c>
      <c r="AK72" s="1601">
        <f t="shared" si="63"/>
        <v>0</v>
      </c>
      <c r="AL72" s="1601">
        <f t="shared" si="77"/>
        <v>0</v>
      </c>
    </row>
    <row r="73" spans="1:38" s="317" customFormat="1" ht="16.2" customHeight="1">
      <c r="A73" s="1454">
        <v>68</v>
      </c>
      <c r="B73" s="1455" t="s">
        <v>28</v>
      </c>
      <c r="C73" s="1456">
        <f>+'Table 8 Membership 2.1.14'!L70</f>
        <v>0</v>
      </c>
      <c r="D73" s="1457">
        <f>'Table 3 Levels 1&amp;2'!AL71*90%</f>
        <v>5751.1479782304541</v>
      </c>
      <c r="E73" s="1457">
        <f t="shared" si="64"/>
        <v>0</v>
      </c>
      <c r="F73" s="1458">
        <f>'Table 3A Level 3'!C73*90%</f>
        <v>718.83</v>
      </c>
      <c r="G73" s="1458">
        <f t="shared" si="65"/>
        <v>0</v>
      </c>
      <c r="H73" s="1572">
        <f t="shared" si="66"/>
        <v>0</v>
      </c>
      <c r="I73" s="1458">
        <f>(('Table 3 Levels 1&amp;2'!AL71-D73)+('Table 3A Level 3'!C73-F73))*C73</f>
        <v>0</v>
      </c>
      <c r="J73" s="1458"/>
      <c r="K73" s="1458"/>
      <c r="L73" s="1576">
        <f t="shared" si="67"/>
        <v>0</v>
      </c>
      <c r="M73" s="1572">
        <f t="shared" si="68"/>
        <v>0</v>
      </c>
      <c r="N73" s="1458">
        <f t="shared" si="69"/>
        <v>0</v>
      </c>
      <c r="O73" s="1572">
        <f t="shared" si="55"/>
        <v>0</v>
      </c>
      <c r="P73" s="1459">
        <v>0</v>
      </c>
      <c r="Q73" s="1572">
        <f t="shared" si="70"/>
        <v>0</v>
      </c>
      <c r="R73" s="1458"/>
      <c r="S73" s="1458">
        <f t="shared" si="71"/>
        <v>0</v>
      </c>
      <c r="T73" s="1572">
        <f t="shared" si="56"/>
        <v>0</v>
      </c>
      <c r="U73" s="1572">
        <f t="shared" si="57"/>
        <v>0</v>
      </c>
      <c r="V73" s="1461">
        <f>'Table 5C1A-Madison Prep'!U74*90%</f>
        <v>2402.1</v>
      </c>
      <c r="W73" s="1592">
        <f t="shared" si="58"/>
        <v>0</v>
      </c>
      <c r="X73" s="1465"/>
      <c r="Y73" s="1461">
        <f t="shared" si="72"/>
        <v>0</v>
      </c>
      <c r="Z73" s="1465"/>
      <c r="AA73" s="1461">
        <f t="shared" si="59"/>
        <v>0</v>
      </c>
      <c r="AB73" s="1597">
        <f t="shared" si="60"/>
        <v>0</v>
      </c>
      <c r="AC73" s="1592">
        <f t="shared" si="61"/>
        <v>0</v>
      </c>
      <c r="AD73" s="1461">
        <f t="shared" si="62"/>
        <v>0</v>
      </c>
      <c r="AE73" s="1592">
        <f t="shared" si="73"/>
        <v>0</v>
      </c>
      <c r="AF73" s="1460">
        <v>0</v>
      </c>
      <c r="AG73" s="1592">
        <f t="shared" si="74"/>
        <v>0</v>
      </c>
      <c r="AH73" s="1461"/>
      <c r="AI73" s="1461">
        <f t="shared" si="75"/>
        <v>0</v>
      </c>
      <c r="AJ73" s="1592">
        <f t="shared" si="76"/>
        <v>0</v>
      </c>
      <c r="AK73" s="1601">
        <f t="shared" si="63"/>
        <v>0</v>
      </c>
      <c r="AL73" s="1601">
        <f t="shared" si="77"/>
        <v>0</v>
      </c>
    </row>
    <row r="74" spans="1:38" s="317" customFormat="1" ht="16.2" customHeight="1">
      <c r="A74" s="1431">
        <v>69</v>
      </c>
      <c r="B74" s="1432" t="s">
        <v>183</v>
      </c>
      <c r="C74" s="1435">
        <f>+'Table 8 Membership 2.1.14'!L71</f>
        <v>0</v>
      </c>
      <c r="D74" s="1436">
        <f>'Table 3 Levels 1&amp;2'!AL72*90%</f>
        <v>5150.24531291532</v>
      </c>
      <c r="E74" s="1436">
        <f t="shared" si="64"/>
        <v>0</v>
      </c>
      <c r="F74" s="1074">
        <f>'Table 3A Level 3'!C74*90%</f>
        <v>635.10299999999995</v>
      </c>
      <c r="G74" s="1074">
        <f t="shared" si="65"/>
        <v>0</v>
      </c>
      <c r="H74" s="1574">
        <f t="shared" si="66"/>
        <v>0</v>
      </c>
      <c r="I74" s="1074">
        <f>(('Table 3 Levels 1&amp;2'!AL72-D74)+('Table 3A Level 3'!C74-F74))*C74</f>
        <v>0</v>
      </c>
      <c r="J74" s="1074"/>
      <c r="K74" s="1074"/>
      <c r="L74" s="1578">
        <f t="shared" si="67"/>
        <v>0</v>
      </c>
      <c r="M74" s="1574">
        <f t="shared" si="68"/>
        <v>0</v>
      </c>
      <c r="N74" s="1074">
        <f t="shared" si="69"/>
        <v>0</v>
      </c>
      <c r="O74" s="1574">
        <f t="shared" si="55"/>
        <v>0</v>
      </c>
      <c r="P74" s="1437">
        <v>0</v>
      </c>
      <c r="Q74" s="1574">
        <f t="shared" si="70"/>
        <v>0</v>
      </c>
      <c r="R74" s="1074"/>
      <c r="S74" s="1074">
        <f t="shared" si="71"/>
        <v>0</v>
      </c>
      <c r="T74" s="1574">
        <f>ROUND(S74/12,0)</f>
        <v>0</v>
      </c>
      <c r="U74" s="1574">
        <f>+Q74</f>
        <v>0</v>
      </c>
      <c r="V74" s="1075">
        <f>'Table 5C1A-Madison Prep'!U75*90%</f>
        <v>3054.6</v>
      </c>
      <c r="W74" s="1594">
        <f t="shared" si="58"/>
        <v>0</v>
      </c>
      <c r="X74" s="1463"/>
      <c r="Y74" s="1075">
        <f t="shared" si="72"/>
        <v>0</v>
      </c>
      <c r="Z74" s="1463"/>
      <c r="AA74" s="1075">
        <f>+V74*Z74*0.5</f>
        <v>0</v>
      </c>
      <c r="AB74" s="1599">
        <f t="shared" ref="AB74" si="78">+Y74+AA74</f>
        <v>0</v>
      </c>
      <c r="AC74" s="1594">
        <f t="shared" ref="AC74" si="79">+W74+AB74</f>
        <v>0</v>
      </c>
      <c r="AD74" s="1075">
        <f>AC74*-0.25%</f>
        <v>0</v>
      </c>
      <c r="AE74" s="1594">
        <f t="shared" si="73"/>
        <v>0</v>
      </c>
      <c r="AF74" s="1438">
        <v>0</v>
      </c>
      <c r="AG74" s="1594">
        <f t="shared" si="74"/>
        <v>0</v>
      </c>
      <c r="AH74" s="1075"/>
      <c r="AI74" s="1075">
        <f t="shared" si="75"/>
        <v>0</v>
      </c>
      <c r="AJ74" s="1594">
        <f t="shared" si="76"/>
        <v>0</v>
      </c>
      <c r="AK74" s="1603">
        <f>AG74+U74</f>
        <v>0</v>
      </c>
      <c r="AL74" s="1603">
        <f t="shared" si="77"/>
        <v>0</v>
      </c>
    </row>
    <row r="75" spans="1:38" s="380" customFormat="1" ht="16.2" customHeight="1" thickBot="1">
      <c r="A75" s="2221" t="s">
        <v>1045</v>
      </c>
      <c r="B75" s="2194" t="s">
        <v>329</v>
      </c>
      <c r="C75" s="1106">
        <f>SUM(C6:C74)</f>
        <v>1200</v>
      </c>
      <c r="D75" s="471"/>
      <c r="E75" s="480">
        <f t="shared" ref="E75:AL75" si="80">SUM(E6:E74)</f>
        <v>4947292.5880789561</v>
      </c>
      <c r="F75" s="480"/>
      <c r="G75" s="480">
        <f t="shared" si="80"/>
        <v>758152.35003518523</v>
      </c>
      <c r="H75" s="1542">
        <f t="shared" si="80"/>
        <v>5705444.9381141411</v>
      </c>
      <c r="I75" s="640">
        <f t="shared" si="80"/>
        <v>633355.47114679415</v>
      </c>
      <c r="J75" s="640">
        <f t="shared" si="80"/>
        <v>0</v>
      </c>
      <c r="K75" s="640">
        <f t="shared" si="80"/>
        <v>0</v>
      </c>
      <c r="L75" s="1579">
        <f t="shared" si="80"/>
        <v>0</v>
      </c>
      <c r="M75" s="1548">
        <f t="shared" si="80"/>
        <v>5705444.9381141411</v>
      </c>
      <c r="N75" s="636">
        <f t="shared" si="80"/>
        <v>-14263.612345285348</v>
      </c>
      <c r="O75" s="1542">
        <f t="shared" si="80"/>
        <v>5691181.3257688554</v>
      </c>
      <c r="P75" s="636">
        <f t="shared" si="80"/>
        <v>-1131.9382449543045</v>
      </c>
      <c r="Q75" s="1561">
        <f t="shared" si="80"/>
        <v>5690049.3875239016</v>
      </c>
      <c r="R75" s="640">
        <f t="shared" si="80"/>
        <v>0</v>
      </c>
      <c r="S75" s="636">
        <f t="shared" si="80"/>
        <v>5690049.3875239016</v>
      </c>
      <c r="T75" s="1548">
        <f t="shared" si="80"/>
        <v>474174</v>
      </c>
      <c r="U75" s="1585">
        <f t="shared" si="80"/>
        <v>5690049.3875239016</v>
      </c>
      <c r="V75" s="660">
        <f>'Table 5C1A-Madison Prep'!U76*90%</f>
        <v>4196.7</v>
      </c>
      <c r="W75" s="1595">
        <f t="shared" si="80"/>
        <v>4807236.6000000015</v>
      </c>
      <c r="X75" s="647">
        <f>SUM(X6:X74)</f>
        <v>0</v>
      </c>
      <c r="Y75" s="646">
        <f t="shared" si="80"/>
        <v>0</v>
      </c>
      <c r="Z75" s="647">
        <f t="shared" si="80"/>
        <v>0</v>
      </c>
      <c r="AA75" s="647">
        <f t="shared" si="80"/>
        <v>0</v>
      </c>
      <c r="AB75" s="633">
        <f t="shared" si="80"/>
        <v>0</v>
      </c>
      <c r="AC75" s="1518">
        <f t="shared" si="80"/>
        <v>4807236.6000000015</v>
      </c>
      <c r="AD75" s="660">
        <f t="shared" si="80"/>
        <v>-12018.091500000002</v>
      </c>
      <c r="AE75" s="1518">
        <f t="shared" si="80"/>
        <v>4795218.5084999986</v>
      </c>
      <c r="AF75" s="660">
        <f t="shared" si="80"/>
        <v>8365.0500000000011</v>
      </c>
      <c r="AG75" s="1520">
        <f t="shared" si="80"/>
        <v>4803583.5584999993</v>
      </c>
      <c r="AH75" s="647">
        <f t="shared" si="80"/>
        <v>0</v>
      </c>
      <c r="AI75" s="660">
        <f t="shared" si="80"/>
        <v>4803583.5584999993</v>
      </c>
      <c r="AJ75" s="1513">
        <f t="shared" si="80"/>
        <v>400300</v>
      </c>
      <c r="AK75" s="1532">
        <f t="shared" si="80"/>
        <v>10493632.946023902</v>
      </c>
      <c r="AL75" s="1532">
        <f t="shared" si="80"/>
        <v>874474</v>
      </c>
    </row>
    <row r="76" spans="1:38" s="609" customFormat="1" ht="16.2" customHeight="1" thickTop="1">
      <c r="A76" s="2330" t="s">
        <v>1039</v>
      </c>
      <c r="B76" s="2338"/>
      <c r="C76" s="1425"/>
      <c r="D76" s="1198"/>
      <c r="E76" s="1198"/>
      <c r="F76" s="1198"/>
      <c r="G76" s="1198"/>
      <c r="H76" s="1198"/>
      <c r="I76" s="1200"/>
      <c r="J76" s="1200"/>
      <c r="K76" s="1200"/>
      <c r="L76" s="1198"/>
      <c r="M76" s="1200"/>
      <c r="N76" s="1200"/>
      <c r="O76" s="1198"/>
      <c r="P76" s="1200"/>
      <c r="Q76" s="1398">
        <f>+'Table 4 Level 4'!$E$100</f>
        <v>0</v>
      </c>
      <c r="R76" s="1200"/>
      <c r="S76" s="1200">
        <f t="shared" ref="S76:S80" si="81">Q76-R76</f>
        <v>0</v>
      </c>
      <c r="T76" s="1398">
        <f t="shared" ref="T76:T80" si="82">ROUND(S76/12,0)</f>
        <v>0</v>
      </c>
      <c r="U76" s="1582">
        <f>+'Table 4 Level 4'!$E$100</f>
        <v>0</v>
      </c>
      <c r="V76" s="1392"/>
      <c r="W76" s="1391"/>
      <c r="X76" s="1392"/>
      <c r="Y76" s="1391"/>
      <c r="Z76" s="1392"/>
      <c r="AA76" s="1392"/>
      <c r="AB76" s="1395"/>
      <c r="AC76" s="1392"/>
      <c r="AD76" s="1395"/>
      <c r="AE76" s="1395"/>
      <c r="AF76" s="1395"/>
      <c r="AG76" s="1395"/>
      <c r="AH76" s="1395"/>
      <c r="AI76" s="1395"/>
      <c r="AJ76" s="1395"/>
      <c r="AK76" s="1505">
        <f t="shared" ref="AK76:AK80" si="83">AG76+U76</f>
        <v>0</v>
      </c>
      <c r="AL76" s="1601">
        <f t="shared" ref="AL76:AL80" si="84">T76+AJ76</f>
        <v>0</v>
      </c>
    </row>
    <row r="77" spans="1:38" s="609" customFormat="1" ht="16.2" customHeight="1">
      <c r="A77" s="2332" t="s">
        <v>1040</v>
      </c>
      <c r="B77" s="2339"/>
      <c r="C77" s="1425"/>
      <c r="D77" s="1198"/>
      <c r="E77" s="1198"/>
      <c r="F77" s="1198"/>
      <c r="G77" s="1198"/>
      <c r="H77" s="1198"/>
      <c r="I77" s="1200"/>
      <c r="J77" s="1200"/>
      <c r="K77" s="1200"/>
      <c r="L77" s="1198"/>
      <c r="M77" s="1200"/>
      <c r="N77" s="1200"/>
      <c r="O77" s="1198"/>
      <c r="P77" s="1200"/>
      <c r="Q77" s="1200">
        <v>0</v>
      </c>
      <c r="R77" s="1200"/>
      <c r="S77" s="1200">
        <f t="shared" si="81"/>
        <v>0</v>
      </c>
      <c r="T77" s="1200">
        <f t="shared" si="82"/>
        <v>0</v>
      </c>
      <c r="U77" s="1582">
        <f>+'Table 4 Level 4'!$J$100</f>
        <v>0</v>
      </c>
      <c r="V77" s="1392"/>
      <c r="W77" s="1391"/>
      <c r="X77" s="1392"/>
      <c r="Y77" s="1391"/>
      <c r="Z77" s="1392"/>
      <c r="AA77" s="1392"/>
      <c r="AB77" s="1395"/>
      <c r="AC77" s="1392"/>
      <c r="AD77" s="1395"/>
      <c r="AE77" s="1395"/>
      <c r="AF77" s="1395"/>
      <c r="AG77" s="1395"/>
      <c r="AH77" s="1395"/>
      <c r="AI77" s="1395"/>
      <c r="AJ77" s="1395"/>
      <c r="AK77" s="1395">
        <f t="shared" si="83"/>
        <v>0</v>
      </c>
      <c r="AL77" s="1601">
        <f t="shared" si="84"/>
        <v>0</v>
      </c>
    </row>
    <row r="78" spans="1:38" s="609" customFormat="1" ht="16.2" customHeight="1">
      <c r="A78" s="2332" t="s">
        <v>1041</v>
      </c>
      <c r="B78" s="2339"/>
      <c r="C78" s="1425"/>
      <c r="D78" s="1198"/>
      <c r="E78" s="1198"/>
      <c r="F78" s="1198"/>
      <c r="G78" s="1198"/>
      <c r="H78" s="1198"/>
      <c r="I78" s="1200"/>
      <c r="J78" s="1200"/>
      <c r="K78" s="1200"/>
      <c r="L78" s="1198"/>
      <c r="M78" s="1200"/>
      <c r="N78" s="1200"/>
      <c r="O78" s="1198"/>
      <c r="P78" s="1200"/>
      <c r="Q78" s="1200">
        <v>0</v>
      </c>
      <c r="R78" s="1200"/>
      <c r="S78" s="1200">
        <f t="shared" si="81"/>
        <v>0</v>
      </c>
      <c r="T78" s="1200">
        <f t="shared" si="82"/>
        <v>0</v>
      </c>
      <c r="U78" s="1582">
        <f>+'Table 4 Level 4'!$K$100</f>
        <v>0</v>
      </c>
      <c r="V78" s="1392"/>
      <c r="W78" s="1391"/>
      <c r="X78" s="1392"/>
      <c r="Y78" s="1391"/>
      <c r="Z78" s="1392"/>
      <c r="AA78" s="1392"/>
      <c r="AB78" s="1395"/>
      <c r="AC78" s="1392"/>
      <c r="AD78" s="1395"/>
      <c r="AE78" s="1395"/>
      <c r="AF78" s="1395"/>
      <c r="AG78" s="1395"/>
      <c r="AH78" s="1395"/>
      <c r="AI78" s="1395"/>
      <c r="AJ78" s="1395"/>
      <c r="AK78" s="1395">
        <f t="shared" si="83"/>
        <v>0</v>
      </c>
      <c r="AL78" s="1601">
        <f t="shared" si="84"/>
        <v>0</v>
      </c>
    </row>
    <row r="79" spans="1:38" s="609" customFormat="1" ht="16.2" customHeight="1">
      <c r="A79" s="2332" t="s">
        <v>1042</v>
      </c>
      <c r="B79" s="2339"/>
      <c r="C79" s="1425"/>
      <c r="D79" s="1198"/>
      <c r="E79" s="1198"/>
      <c r="F79" s="1198"/>
      <c r="G79" s="1198"/>
      <c r="H79" s="1198"/>
      <c r="I79" s="1200"/>
      <c r="J79" s="1200"/>
      <c r="K79" s="1200"/>
      <c r="L79" s="1198"/>
      <c r="M79" s="1200"/>
      <c r="N79" s="1200"/>
      <c r="O79" s="1198"/>
      <c r="P79" s="1200"/>
      <c r="Q79" s="1200">
        <v>0</v>
      </c>
      <c r="R79" s="1200"/>
      <c r="S79" s="1200">
        <f t="shared" si="81"/>
        <v>0</v>
      </c>
      <c r="T79" s="1200">
        <f t="shared" si="82"/>
        <v>0</v>
      </c>
      <c r="U79" s="1582">
        <f>+'Table 4 Level 4'!$L$100</f>
        <v>0</v>
      </c>
      <c r="V79" s="1392"/>
      <c r="W79" s="1391"/>
      <c r="X79" s="1392"/>
      <c r="Y79" s="1391"/>
      <c r="Z79" s="1392"/>
      <c r="AA79" s="1392"/>
      <c r="AB79" s="1395"/>
      <c r="AC79" s="1392"/>
      <c r="AD79" s="1395"/>
      <c r="AE79" s="1395"/>
      <c r="AF79" s="1395"/>
      <c r="AG79" s="1395"/>
      <c r="AH79" s="1395"/>
      <c r="AI79" s="1395"/>
      <c r="AJ79" s="1395"/>
      <c r="AK79" s="1395">
        <f t="shared" si="83"/>
        <v>0</v>
      </c>
      <c r="AL79" s="1601">
        <f t="shared" si="84"/>
        <v>0</v>
      </c>
    </row>
    <row r="80" spans="1:38" s="609" customFormat="1" ht="16.2" customHeight="1">
      <c r="A80" s="2340" t="s">
        <v>1043</v>
      </c>
      <c r="B80" s="2341"/>
      <c r="C80" s="1417"/>
      <c r="D80" s="1193"/>
      <c r="E80" s="1193"/>
      <c r="F80" s="1193"/>
      <c r="G80" s="1193"/>
      <c r="H80" s="1193"/>
      <c r="I80" s="1195"/>
      <c r="J80" s="1195"/>
      <c r="K80" s="1195"/>
      <c r="L80" s="1193"/>
      <c r="M80" s="1195"/>
      <c r="N80" s="1195"/>
      <c r="O80" s="1193"/>
      <c r="P80" s="1195"/>
      <c r="Q80" s="1547">
        <f>+'Table 4 Level 4'!$N$100</f>
        <v>20020</v>
      </c>
      <c r="R80" s="1195"/>
      <c r="S80" s="1195">
        <f t="shared" si="81"/>
        <v>20020</v>
      </c>
      <c r="T80" s="1547">
        <f t="shared" si="82"/>
        <v>1668</v>
      </c>
      <c r="U80" s="1583">
        <f>+'Table 4 Level 4'!$N$100</f>
        <v>20020</v>
      </c>
      <c r="V80" s="1408"/>
      <c r="W80" s="1407"/>
      <c r="X80" s="1408"/>
      <c r="Y80" s="1407"/>
      <c r="Z80" s="1408"/>
      <c r="AA80" s="1408"/>
      <c r="AB80" s="1416"/>
      <c r="AC80" s="1408"/>
      <c r="AD80" s="1416"/>
      <c r="AE80" s="1416"/>
      <c r="AF80" s="1416"/>
      <c r="AG80" s="1416"/>
      <c r="AH80" s="1416"/>
      <c r="AI80" s="1416"/>
      <c r="AJ80" s="1416"/>
      <c r="AK80" s="1506">
        <f t="shared" si="83"/>
        <v>20020</v>
      </c>
      <c r="AL80" s="1602">
        <f t="shared" si="84"/>
        <v>1668</v>
      </c>
    </row>
    <row r="81" spans="1:38" s="609" customFormat="1" ht="16.2" customHeight="1" thickBot="1">
      <c r="A81" s="2221" t="s">
        <v>1044</v>
      </c>
      <c r="B81" s="2194"/>
      <c r="C81" s="1107">
        <f>SUM(C75:C80)</f>
        <v>1200</v>
      </c>
      <c r="D81" s="1046">
        <f t="shared" ref="D81:AL81" si="85">SUM(D75:D80)</f>
        <v>0</v>
      </c>
      <c r="E81" s="1046">
        <f t="shared" si="85"/>
        <v>4947292.5880789561</v>
      </c>
      <c r="F81" s="1046">
        <f t="shared" si="85"/>
        <v>0</v>
      </c>
      <c r="G81" s="1046">
        <f t="shared" si="85"/>
        <v>758152.35003518523</v>
      </c>
      <c r="H81" s="1046">
        <f t="shared" si="85"/>
        <v>5705444.9381141411</v>
      </c>
      <c r="I81" s="1053">
        <f t="shared" si="85"/>
        <v>633355.47114679415</v>
      </c>
      <c r="J81" s="1053">
        <f t="shared" si="85"/>
        <v>0</v>
      </c>
      <c r="K81" s="1053">
        <f t="shared" si="85"/>
        <v>0</v>
      </c>
      <c r="L81" s="1046">
        <f t="shared" si="85"/>
        <v>0</v>
      </c>
      <c r="M81" s="1053">
        <f t="shared" si="85"/>
        <v>5705444.9381141411</v>
      </c>
      <c r="N81" s="1053">
        <f t="shared" si="85"/>
        <v>-14263.612345285348</v>
      </c>
      <c r="O81" s="1046">
        <f t="shared" si="85"/>
        <v>5691181.3257688554</v>
      </c>
      <c r="P81" s="1053">
        <f t="shared" si="85"/>
        <v>-1131.9382449543045</v>
      </c>
      <c r="Q81" s="1549">
        <f t="shared" si="85"/>
        <v>5710069.3875239016</v>
      </c>
      <c r="R81" s="1053">
        <f t="shared" si="85"/>
        <v>0</v>
      </c>
      <c r="S81" s="1053">
        <f t="shared" si="85"/>
        <v>5710069.3875239016</v>
      </c>
      <c r="T81" s="1549">
        <f t="shared" si="85"/>
        <v>475842</v>
      </c>
      <c r="U81" s="1584">
        <f t="shared" si="85"/>
        <v>5710069.3875239016</v>
      </c>
      <c r="V81" s="1055">
        <f t="shared" si="85"/>
        <v>4196.7</v>
      </c>
      <c r="W81" s="1057">
        <f t="shared" si="85"/>
        <v>4807236.6000000015</v>
      </c>
      <c r="X81" s="1055">
        <f t="shared" si="85"/>
        <v>0</v>
      </c>
      <c r="Y81" s="1057">
        <f t="shared" si="85"/>
        <v>0</v>
      </c>
      <c r="Z81" s="1055">
        <f t="shared" si="85"/>
        <v>0</v>
      </c>
      <c r="AA81" s="1055">
        <f t="shared" si="85"/>
        <v>0</v>
      </c>
      <c r="AB81" s="1055">
        <f t="shared" si="85"/>
        <v>0</v>
      </c>
      <c r="AC81" s="1055">
        <f t="shared" si="85"/>
        <v>4807236.6000000015</v>
      </c>
      <c r="AD81" s="1055">
        <f t="shared" si="85"/>
        <v>-12018.091500000002</v>
      </c>
      <c r="AE81" s="1055">
        <f t="shared" si="85"/>
        <v>4795218.5084999986</v>
      </c>
      <c r="AF81" s="1055">
        <f t="shared" si="85"/>
        <v>8365.0500000000011</v>
      </c>
      <c r="AG81" s="1055">
        <f t="shared" si="85"/>
        <v>4803583.5584999993</v>
      </c>
      <c r="AH81" s="1055">
        <f t="shared" si="85"/>
        <v>0</v>
      </c>
      <c r="AI81" s="1055">
        <f t="shared" si="85"/>
        <v>4803583.5584999993</v>
      </c>
      <c r="AJ81" s="1056">
        <f t="shared" si="85"/>
        <v>400300</v>
      </c>
      <c r="AK81" s="1504">
        <f t="shared" si="85"/>
        <v>10513652.946023902</v>
      </c>
      <c r="AL81" s="1504">
        <f t="shared" si="85"/>
        <v>876142</v>
      </c>
    </row>
    <row r="82" spans="1:38" ht="16.2" customHeight="1" thickTop="1"/>
    <row r="83" spans="1:38" ht="16.2" customHeight="1"/>
    <row r="84" spans="1:38" ht="16.2" customHeight="1">
      <c r="G84" s="369"/>
    </row>
    <row r="85" spans="1:38" ht="16.2" customHeight="1"/>
    <row r="86" spans="1:38" ht="16.2" customHeight="1"/>
  </sheetData>
  <mergeCells count="47">
    <mergeCell ref="J2:L2"/>
    <mergeCell ref="R3:R4"/>
    <mergeCell ref="J3:J4"/>
    <mergeCell ref="K3:K4"/>
    <mergeCell ref="L3:L4"/>
    <mergeCell ref="M3:M4"/>
    <mergeCell ref="X2:AB2"/>
    <mergeCell ref="AA3:AA4"/>
    <mergeCell ref="AJ3:AJ4"/>
    <mergeCell ref="AD1:AJ1"/>
    <mergeCell ref="V1:AC1"/>
    <mergeCell ref="A1:B4"/>
    <mergeCell ref="C3:C4"/>
    <mergeCell ref="E3:E4"/>
    <mergeCell ref="C1:L1"/>
    <mergeCell ref="M1:U1"/>
    <mergeCell ref="T3:T4"/>
    <mergeCell ref="F3:F4"/>
    <mergeCell ref="G3:G4"/>
    <mergeCell ref="H3:H4"/>
    <mergeCell ref="I3:I4"/>
    <mergeCell ref="D3:D4"/>
    <mergeCell ref="U3:U4"/>
    <mergeCell ref="O3:O4"/>
    <mergeCell ref="P3:P4"/>
    <mergeCell ref="Q3:Q4"/>
    <mergeCell ref="S3:S4"/>
    <mergeCell ref="AL3:AL4"/>
    <mergeCell ref="V3:V4"/>
    <mergeCell ref="W3:W4"/>
    <mergeCell ref="AE3:AE4"/>
    <mergeCell ref="AF3:AF4"/>
    <mergeCell ref="X3:X4"/>
    <mergeCell ref="Y3:Y4"/>
    <mergeCell ref="Z3:Z4"/>
    <mergeCell ref="AG3:AG4"/>
    <mergeCell ref="AK3:AK4"/>
    <mergeCell ref="AC3:AC4"/>
    <mergeCell ref="AI3:AI4"/>
    <mergeCell ref="AH3:AH4"/>
    <mergeCell ref="A75:B75"/>
    <mergeCell ref="A80:B80"/>
    <mergeCell ref="A81:B81"/>
    <mergeCell ref="A76:B76"/>
    <mergeCell ref="A77:B77"/>
    <mergeCell ref="A78:B78"/>
    <mergeCell ref="A79:B79"/>
  </mergeCells>
  <printOptions horizontalCentered="1"/>
  <pageMargins left="0.32" right="0.32" top="0.75" bottom="0.75" header="0.3" footer="0.3"/>
  <pageSetup paperSize="5" scale="60" firstPageNumber="69" orientation="portrait" r:id="rId1"/>
  <headerFooter alignWithMargins="0">
    <oddHeader>&amp;L&amp;"Arial,Bold"&amp;20&amp;K000000Table 5C3: FY2014-15 Budget Letter 
Louisiana Connections Academy</oddHeader>
    <oddFooter>&amp;R&amp;P</oddFooter>
  </headerFooter>
  <colBreaks count="2" manualBreakCount="2">
    <brk id="21" max="85" man="1"/>
    <brk id="29" max="80"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J79"/>
  <sheetViews>
    <sheetView view="pageBreakPreview" zoomScale="90" zoomScaleNormal="85" zoomScaleSheetLayoutView="90" workbookViewId="0">
      <pane xSplit="2" ySplit="5" topLeftCell="C6" activePane="bottomRight" state="frozen"/>
      <selection sqref="A1:H1"/>
      <selection pane="topRight" sqref="A1:H1"/>
      <selection pane="bottomLeft" sqref="A1:H1"/>
      <selection pane="bottomRight" sqref="A1:H1"/>
    </sheetView>
  </sheetViews>
  <sheetFormatPr defaultRowHeight="13.2"/>
  <cols>
    <col min="1" max="1" width="4.6640625" customWidth="1"/>
    <col min="2" max="2" width="18.5546875" customWidth="1"/>
    <col min="3" max="3" width="14.6640625" bestFit="1" customWidth="1"/>
    <col min="4" max="4" width="15.44140625" bestFit="1" customWidth="1"/>
    <col min="5" max="5" width="13" customWidth="1"/>
    <col min="6" max="6" width="14.88671875" customWidth="1"/>
    <col min="7" max="7" width="15.109375" customWidth="1"/>
    <col min="8" max="8" width="13" customWidth="1"/>
    <col min="9" max="9" width="11.6640625" bestFit="1" customWidth="1"/>
    <col min="10" max="10" width="14.44140625" bestFit="1" customWidth="1"/>
  </cols>
  <sheetData>
    <row r="1" spans="1:10" ht="15" hidden="1" customHeight="1">
      <c r="A1" s="39"/>
      <c r="B1" s="39"/>
      <c r="C1" s="2"/>
      <c r="D1" s="2"/>
      <c r="E1" s="461">
        <f>'Table 7 Local Revenue'!AD77</f>
        <v>40.97</v>
      </c>
      <c r="F1" s="2"/>
      <c r="G1" s="2"/>
      <c r="H1" s="462">
        <f>'Table 7 Local Revenue'!AF77</f>
        <v>1.9800000000000002E-2</v>
      </c>
      <c r="I1" s="2"/>
      <c r="J1" s="2"/>
    </row>
    <row r="2" spans="1:10" ht="18.600000000000001" customHeight="1">
      <c r="A2" s="2137" t="s">
        <v>173</v>
      </c>
      <c r="B2" s="2137" t="s">
        <v>1</v>
      </c>
      <c r="C2" s="2405" t="s">
        <v>1111</v>
      </c>
      <c r="D2" s="2406"/>
      <c r="E2" s="2407"/>
      <c r="F2" s="2410" t="s">
        <v>1112</v>
      </c>
      <c r="G2" s="2411"/>
      <c r="H2" s="2412"/>
      <c r="I2" s="2413" t="s">
        <v>900</v>
      </c>
      <c r="J2" s="2180" t="s">
        <v>1113</v>
      </c>
    </row>
    <row r="3" spans="1:10" ht="72.599999999999994" customHeight="1">
      <c r="A3" s="2403"/>
      <c r="B3" s="2403"/>
      <c r="C3" s="2408" t="s">
        <v>601</v>
      </c>
      <c r="D3" s="2408" t="s">
        <v>602</v>
      </c>
      <c r="E3" s="1763" t="s">
        <v>903</v>
      </c>
      <c r="F3" s="2409" t="s">
        <v>603</v>
      </c>
      <c r="G3" s="2409" t="s">
        <v>901</v>
      </c>
      <c r="H3" s="1776" t="s">
        <v>902</v>
      </c>
      <c r="I3" s="2291"/>
      <c r="J3" s="2181"/>
    </row>
    <row r="4" spans="1:10" ht="15.75" customHeight="1">
      <c r="A4" s="2404"/>
      <c r="B4" s="2404"/>
      <c r="C4" s="2408"/>
      <c r="D4" s="2408"/>
      <c r="E4" s="1810">
        <f>'Table 7 Local Revenue'!AD77*F79</f>
        <v>16.601043999999998</v>
      </c>
      <c r="F4" s="2409"/>
      <c r="G4" s="2409"/>
      <c r="H4" s="1811">
        <f>'Table 7 Local Revenue'!AF77*F79</f>
        <v>8.0229600000000009E-3</v>
      </c>
      <c r="I4" s="2414"/>
      <c r="J4" s="2148"/>
    </row>
    <row r="5" spans="1:10" ht="14.4" customHeight="1">
      <c r="A5" s="52"/>
      <c r="B5" s="52"/>
      <c r="C5" s="172">
        <v>1</v>
      </c>
      <c r="D5" s="173">
        <f t="shared" ref="D5:J5" si="0">1+C5</f>
        <v>2</v>
      </c>
      <c r="E5" s="173">
        <f t="shared" si="0"/>
        <v>3</v>
      </c>
      <c r="F5" s="173">
        <f t="shared" si="0"/>
        <v>4</v>
      </c>
      <c r="G5" s="173">
        <f t="shared" si="0"/>
        <v>5</v>
      </c>
      <c r="H5" s="173">
        <f t="shared" si="0"/>
        <v>6</v>
      </c>
      <c r="I5" s="189">
        <f t="shared" si="0"/>
        <v>7</v>
      </c>
      <c r="J5" s="173">
        <f t="shared" si="0"/>
        <v>8</v>
      </c>
    </row>
    <row r="6" spans="1:10" ht="1.5" customHeight="1">
      <c r="A6" s="9"/>
      <c r="B6" s="10"/>
      <c r="C6" s="101"/>
      <c r="D6" s="11"/>
      <c r="E6" s="216"/>
      <c r="F6" s="217"/>
      <c r="G6" s="11"/>
      <c r="I6" s="216"/>
      <c r="J6" s="96"/>
    </row>
    <row r="7" spans="1:10" ht="15" customHeight="1">
      <c r="A7" s="1344">
        <v>1</v>
      </c>
      <c r="B7" s="1287" t="s">
        <v>81</v>
      </c>
      <c r="C7" s="1295">
        <f>'Table 7 Local Revenue'!AE8</f>
        <v>9191385</v>
      </c>
      <c r="D7" s="1295">
        <f>'Table 7 Local Revenue'!H8</f>
        <v>295378020</v>
      </c>
      <c r="E7" s="1295">
        <f t="shared" ref="E7:E38" si="1">ROUND(D7*$E$4/1000,0)</f>
        <v>4903584</v>
      </c>
      <c r="F7" s="1294">
        <f>'Table 7 Local Revenue'!AI8</f>
        <v>11807323</v>
      </c>
      <c r="G7" s="1295">
        <f>'Table 7 Local Revenue'!AM8</f>
        <v>787154867</v>
      </c>
      <c r="H7" s="1295">
        <f t="shared" ref="H7:H38" si="2">ROUND(G7*$H$4,0)</f>
        <v>6315312</v>
      </c>
      <c r="I7" s="1364">
        <f>'Table 7 Local Revenue'!AP8</f>
        <v>498512.5</v>
      </c>
      <c r="J7" s="1956">
        <f t="shared" ref="J7:J38" si="3">E7+H7+I7</f>
        <v>11717408.5</v>
      </c>
    </row>
    <row r="8" spans="1:10" ht="15" customHeight="1">
      <c r="A8" s="1344">
        <v>2</v>
      </c>
      <c r="B8" s="1287" t="s">
        <v>82</v>
      </c>
      <c r="C8" s="1295">
        <f>'Table 7 Local Revenue'!AE9</f>
        <v>4021910</v>
      </c>
      <c r="D8" s="1295">
        <f>'Table 7 Local Revenue'!H9</f>
        <v>83837995</v>
      </c>
      <c r="E8" s="1295">
        <f t="shared" si="1"/>
        <v>1391798</v>
      </c>
      <c r="F8" s="1294">
        <f>'Table 7 Local Revenue'!AI9</f>
        <v>7341075</v>
      </c>
      <c r="G8" s="1295">
        <f>'Table 7 Local Revenue'!AM9</f>
        <v>244702500</v>
      </c>
      <c r="H8" s="1295">
        <f t="shared" si="2"/>
        <v>1963238</v>
      </c>
      <c r="I8" s="1364">
        <f>'Table 7 Local Revenue'!AP9</f>
        <v>101185</v>
      </c>
      <c r="J8" s="1956">
        <f t="shared" si="3"/>
        <v>3456221</v>
      </c>
    </row>
    <row r="9" spans="1:10" ht="15" customHeight="1">
      <c r="A9" s="1344">
        <v>3</v>
      </c>
      <c r="B9" s="1287" t="s">
        <v>83</v>
      </c>
      <c r="C9" s="1295">
        <f>'Table 7 Local Revenue'!AE10</f>
        <v>58686723</v>
      </c>
      <c r="D9" s="1295">
        <f>'Table 7 Local Revenue'!H10</f>
        <v>951983926</v>
      </c>
      <c r="E9" s="1295">
        <f t="shared" si="1"/>
        <v>15803927</v>
      </c>
      <c r="F9" s="1294">
        <f>'Table 7 Local Revenue'!AI10</f>
        <v>59160535</v>
      </c>
      <c r="G9" s="1295">
        <f>'Table 7 Local Revenue'!AM10</f>
        <v>2864876895</v>
      </c>
      <c r="H9" s="1295">
        <f t="shared" si="2"/>
        <v>22984793</v>
      </c>
      <c r="I9" s="1364">
        <f>'Table 7 Local Revenue'!AP10</f>
        <v>201912</v>
      </c>
      <c r="J9" s="1956">
        <f t="shared" si="3"/>
        <v>38990632</v>
      </c>
    </row>
    <row r="10" spans="1:10" ht="15" customHeight="1">
      <c r="A10" s="1344">
        <v>4</v>
      </c>
      <c r="B10" s="1287" t="s">
        <v>84</v>
      </c>
      <c r="C10" s="1295">
        <f>'Table 7 Local Revenue'!AE11</f>
        <v>5586528</v>
      </c>
      <c r="D10" s="1295">
        <f>'Table 7 Local Revenue'!H11</f>
        <v>142951402</v>
      </c>
      <c r="E10" s="1295">
        <f t="shared" si="1"/>
        <v>2373143</v>
      </c>
      <c r="F10" s="1294">
        <f>'Table 7 Local Revenue'!AI11</f>
        <v>7069565</v>
      </c>
      <c r="G10" s="1295">
        <f>'Table 7 Local Revenue'!AM11</f>
        <v>235652167</v>
      </c>
      <c r="H10" s="1295">
        <f t="shared" si="2"/>
        <v>1890628</v>
      </c>
      <c r="I10" s="1364">
        <f>'Table 7 Local Revenue'!AP11</f>
        <v>113761.5</v>
      </c>
      <c r="J10" s="1956">
        <f t="shared" si="3"/>
        <v>4377532.5</v>
      </c>
    </row>
    <row r="11" spans="1:10" ht="15" customHeight="1">
      <c r="A11" s="14">
        <v>5</v>
      </c>
      <c r="B11" s="15" t="s">
        <v>85</v>
      </c>
      <c r="C11" s="16">
        <f>'Table 7 Local Revenue'!AE12</f>
        <v>2821313</v>
      </c>
      <c r="D11" s="16">
        <f>'Table 7 Local Revenue'!H12</f>
        <v>110946858.00000001</v>
      </c>
      <c r="E11" s="16">
        <f t="shared" si="1"/>
        <v>1841834</v>
      </c>
      <c r="F11" s="199">
        <f>'Table 7 Local Revenue'!AI12</f>
        <v>7951403</v>
      </c>
      <c r="G11" s="16">
        <f>'Table 7 Local Revenue'!AM12</f>
        <v>454365886</v>
      </c>
      <c r="H11" s="16">
        <f t="shared" si="2"/>
        <v>3645359</v>
      </c>
      <c r="I11" s="184">
        <f>'Table 7 Local Revenue'!AP12</f>
        <v>862477</v>
      </c>
      <c r="J11" s="1957">
        <f t="shared" si="3"/>
        <v>6349670</v>
      </c>
    </row>
    <row r="12" spans="1:10" ht="15" customHeight="1">
      <c r="A12" s="1344">
        <v>6</v>
      </c>
      <c r="B12" s="1287" t="s">
        <v>86</v>
      </c>
      <c r="C12" s="1295">
        <f>'Table 7 Local Revenue'!AE13</f>
        <v>11382297</v>
      </c>
      <c r="D12" s="1295">
        <f>'Table 7 Local Revenue'!H13</f>
        <v>223025777</v>
      </c>
      <c r="E12" s="1295">
        <f t="shared" si="1"/>
        <v>3702461</v>
      </c>
      <c r="F12" s="1294">
        <f>'Table 7 Local Revenue'!AI13</f>
        <v>10864481</v>
      </c>
      <c r="G12" s="1295">
        <f>'Table 7 Local Revenue'!AM13</f>
        <v>543224050</v>
      </c>
      <c r="H12" s="1295">
        <f t="shared" si="2"/>
        <v>4358265</v>
      </c>
      <c r="I12" s="1364">
        <f>'Table 7 Local Revenue'!AP13</f>
        <v>320094.5</v>
      </c>
      <c r="J12" s="1956">
        <f t="shared" si="3"/>
        <v>8380820.5</v>
      </c>
    </row>
    <row r="13" spans="1:10" ht="15" customHeight="1">
      <c r="A13" s="1344">
        <v>7</v>
      </c>
      <c r="B13" s="1287" t="s">
        <v>87</v>
      </c>
      <c r="C13" s="1295">
        <f>'Table 7 Local Revenue'!AE14</f>
        <v>21900957</v>
      </c>
      <c r="D13" s="1295">
        <f>'Table 7 Local Revenue'!H14</f>
        <v>379221108</v>
      </c>
      <c r="E13" s="1295">
        <f t="shared" si="1"/>
        <v>6295466</v>
      </c>
      <c r="F13" s="1294">
        <f>'Table 7 Local Revenue'!AI14</f>
        <v>4379724</v>
      </c>
      <c r="G13" s="1295">
        <f>'Table 7 Local Revenue'!AM14</f>
        <v>218986200</v>
      </c>
      <c r="H13" s="1295">
        <f t="shared" si="2"/>
        <v>1756918</v>
      </c>
      <c r="I13" s="1364">
        <f>'Table 7 Local Revenue'!AP14</f>
        <v>170485</v>
      </c>
      <c r="J13" s="1956">
        <f t="shared" si="3"/>
        <v>8222869</v>
      </c>
    </row>
    <row r="14" spans="1:10" ht="15" customHeight="1">
      <c r="A14" s="1344">
        <v>8</v>
      </c>
      <c r="B14" s="1287" t="s">
        <v>88</v>
      </c>
      <c r="C14" s="1295">
        <f>'Table 7 Local Revenue'!AE15</f>
        <v>46223489</v>
      </c>
      <c r="D14" s="1295">
        <f>'Table 7 Local Revenue'!H15</f>
        <v>910503364</v>
      </c>
      <c r="E14" s="1295">
        <f t="shared" si="1"/>
        <v>15115306</v>
      </c>
      <c r="F14" s="1294">
        <f>'Table 7 Local Revenue'!AI15</f>
        <v>41235031</v>
      </c>
      <c r="G14" s="1295">
        <f>'Table 7 Local Revenue'!AM15</f>
        <v>2356287486</v>
      </c>
      <c r="H14" s="1295">
        <f t="shared" si="2"/>
        <v>18904400</v>
      </c>
      <c r="I14" s="1364">
        <f>'Table 7 Local Revenue'!AP15</f>
        <v>601391.5</v>
      </c>
      <c r="J14" s="1956">
        <f t="shared" si="3"/>
        <v>34621097.5</v>
      </c>
    </row>
    <row r="15" spans="1:10" ht="15" customHeight="1">
      <c r="A15" s="1344">
        <v>9</v>
      </c>
      <c r="B15" s="1287" t="s">
        <v>89</v>
      </c>
      <c r="C15" s="1295">
        <f>'Table 7 Local Revenue'!AE16</f>
        <v>121438090</v>
      </c>
      <c r="D15" s="1295">
        <f>'Table 7 Local Revenue'!H16</f>
        <v>1627210620</v>
      </c>
      <c r="E15" s="1295">
        <f t="shared" si="1"/>
        <v>27013395</v>
      </c>
      <c r="F15" s="1294">
        <f>'Table 7 Local Revenue'!AI16</f>
        <v>71286828</v>
      </c>
      <c r="G15" s="1295">
        <f>'Table 7 Local Revenue'!AM16</f>
        <v>4752455200</v>
      </c>
      <c r="H15" s="1295">
        <f t="shared" si="2"/>
        <v>38128758</v>
      </c>
      <c r="I15" s="1364">
        <f>'Table 7 Local Revenue'!AP16</f>
        <v>2449843</v>
      </c>
      <c r="J15" s="1956">
        <f t="shared" si="3"/>
        <v>67591996</v>
      </c>
    </row>
    <row r="16" spans="1:10" ht="15" customHeight="1">
      <c r="A16" s="14">
        <v>10</v>
      </c>
      <c r="B16" s="15" t="s">
        <v>90</v>
      </c>
      <c r="C16" s="16">
        <f>'Table 7 Local Revenue'!AE17</f>
        <v>52179716</v>
      </c>
      <c r="D16" s="16">
        <f>'Table 7 Local Revenue'!H17</f>
        <v>1651677335</v>
      </c>
      <c r="E16" s="16">
        <f t="shared" si="1"/>
        <v>27419568</v>
      </c>
      <c r="F16" s="199">
        <f>'Table 7 Local Revenue'!AI17</f>
        <v>93741443</v>
      </c>
      <c r="G16" s="16">
        <f>'Table 7 Local Revenue'!AM17</f>
        <v>4687072150</v>
      </c>
      <c r="H16" s="16">
        <f t="shared" si="2"/>
        <v>37604192</v>
      </c>
      <c r="I16" s="184">
        <f>'Table 7 Local Revenue'!AP17</f>
        <v>1024086.5</v>
      </c>
      <c r="J16" s="1957">
        <f t="shared" si="3"/>
        <v>66047846.5</v>
      </c>
    </row>
    <row r="17" spans="1:10" ht="15" customHeight="1">
      <c r="A17" s="1344">
        <v>11</v>
      </c>
      <c r="B17" s="1287" t="s">
        <v>91</v>
      </c>
      <c r="C17" s="1295">
        <f>'Table 7 Local Revenue'!AE18</f>
        <v>3968055</v>
      </c>
      <c r="D17" s="1295">
        <f>'Table 7 Local Revenue'!H18</f>
        <v>56083753.000000007</v>
      </c>
      <c r="E17" s="1295">
        <f t="shared" si="1"/>
        <v>931049</v>
      </c>
      <c r="F17" s="1294">
        <f>'Table 7 Local Revenue'!AI18</f>
        <v>2054677</v>
      </c>
      <c r="G17" s="1295">
        <f>'Table 7 Local Revenue'!AM18</f>
        <v>102733850</v>
      </c>
      <c r="H17" s="1295">
        <f t="shared" si="2"/>
        <v>824230</v>
      </c>
      <c r="I17" s="1364">
        <f>'Table 7 Local Revenue'!AP18</f>
        <v>85705</v>
      </c>
      <c r="J17" s="1956">
        <f t="shared" si="3"/>
        <v>1840984</v>
      </c>
    </row>
    <row r="18" spans="1:10" ht="15" customHeight="1">
      <c r="A18" s="1344">
        <v>12</v>
      </c>
      <c r="B18" s="1287" t="s">
        <v>92</v>
      </c>
      <c r="C18" s="1295">
        <f>'Table 7 Local Revenue'!AE19</f>
        <v>15442965</v>
      </c>
      <c r="D18" s="1295">
        <f>'Table 7 Local Revenue'!H19</f>
        <v>280163262</v>
      </c>
      <c r="E18" s="1295">
        <f t="shared" si="1"/>
        <v>4651003</v>
      </c>
      <c r="F18" s="1294">
        <f>'Table 7 Local Revenue'!AI19</f>
        <v>0</v>
      </c>
      <c r="G18" s="1295">
        <f>'Table 7 Local Revenue'!AM19</f>
        <v>22455273.25</v>
      </c>
      <c r="H18" s="1295">
        <f t="shared" si="2"/>
        <v>180158</v>
      </c>
      <c r="I18" s="1364">
        <f>'Table 7 Local Revenue'!AP19</f>
        <v>601912</v>
      </c>
      <c r="J18" s="1956">
        <f t="shared" si="3"/>
        <v>5433073</v>
      </c>
    </row>
    <row r="19" spans="1:10" ht="15" customHeight="1">
      <c r="A19" s="1344">
        <v>13</v>
      </c>
      <c r="B19" s="1287" t="s">
        <v>93</v>
      </c>
      <c r="C19" s="1295">
        <f>'Table 7 Local Revenue'!AE20</f>
        <v>975823</v>
      </c>
      <c r="D19" s="1295">
        <f>'Table 7 Local Revenue'!H20</f>
        <v>34910314</v>
      </c>
      <c r="E19" s="1295">
        <f t="shared" si="1"/>
        <v>579548</v>
      </c>
      <c r="F19" s="1294">
        <f>'Table 7 Local Revenue'!AI20</f>
        <v>2985469</v>
      </c>
      <c r="G19" s="1295">
        <f>'Table 7 Local Revenue'!AM20</f>
        <v>99515633</v>
      </c>
      <c r="H19" s="1295">
        <f t="shared" si="2"/>
        <v>798410</v>
      </c>
      <c r="I19" s="1364">
        <f>'Table 7 Local Revenue'!AP20</f>
        <v>109483</v>
      </c>
      <c r="J19" s="1956">
        <f t="shared" si="3"/>
        <v>1487441</v>
      </c>
    </row>
    <row r="20" spans="1:10" ht="15" customHeight="1">
      <c r="A20" s="1344">
        <v>14</v>
      </c>
      <c r="B20" s="1287" t="s">
        <v>94</v>
      </c>
      <c r="C20" s="1295">
        <f>'Table 7 Local Revenue'!AE21</f>
        <v>3922506</v>
      </c>
      <c r="D20" s="1295">
        <f>'Table 7 Local Revenue'!H21</f>
        <v>140316622</v>
      </c>
      <c r="E20" s="1295">
        <f t="shared" si="1"/>
        <v>2329402</v>
      </c>
      <c r="F20" s="1294">
        <f>'Table 7 Local Revenue'!AI21</f>
        <v>3579591</v>
      </c>
      <c r="G20" s="1295">
        <f>'Table 7 Local Revenue'!AM21</f>
        <v>178979550</v>
      </c>
      <c r="H20" s="1295">
        <f t="shared" si="2"/>
        <v>1435946</v>
      </c>
      <c r="I20" s="1364">
        <f>'Table 7 Local Revenue'!AP21</f>
        <v>170753.5</v>
      </c>
      <c r="J20" s="1956">
        <f t="shared" si="3"/>
        <v>3936101.5</v>
      </c>
    </row>
    <row r="21" spans="1:10" ht="15" customHeight="1">
      <c r="A21" s="14">
        <v>15</v>
      </c>
      <c r="B21" s="15" t="s">
        <v>95</v>
      </c>
      <c r="C21" s="16">
        <f>'Table 7 Local Revenue'!AE22</f>
        <v>5176437</v>
      </c>
      <c r="D21" s="16">
        <f>'Table 7 Local Revenue'!H22</f>
        <v>134446812</v>
      </c>
      <c r="E21" s="16">
        <f t="shared" si="1"/>
        <v>2231957</v>
      </c>
      <c r="F21" s="199">
        <f>'Table 7 Local Revenue'!AI22</f>
        <v>5211856</v>
      </c>
      <c r="G21" s="16">
        <f>'Table 7 Local Revenue'!AM22</f>
        <v>260592800</v>
      </c>
      <c r="H21" s="16">
        <f t="shared" si="2"/>
        <v>2090726</v>
      </c>
      <c r="I21" s="184">
        <f>'Table 7 Local Revenue'!AP22</f>
        <v>168879</v>
      </c>
      <c r="J21" s="1957">
        <f t="shared" si="3"/>
        <v>4491562</v>
      </c>
    </row>
    <row r="22" spans="1:10" ht="15" customHeight="1">
      <c r="A22" s="1344">
        <v>16</v>
      </c>
      <c r="B22" s="1287" t="s">
        <v>96</v>
      </c>
      <c r="C22" s="1295">
        <f>'Table 7 Local Revenue'!AE23</f>
        <v>39327537</v>
      </c>
      <c r="D22" s="1295">
        <f>'Table 7 Local Revenue'!H23</f>
        <v>655148947</v>
      </c>
      <c r="E22" s="1295">
        <f t="shared" si="1"/>
        <v>10876156</v>
      </c>
      <c r="F22" s="1294">
        <f>'Table 7 Local Revenue'!AI23</f>
        <v>21954014</v>
      </c>
      <c r="G22" s="1295">
        <f>'Table 7 Local Revenue'!AM23</f>
        <v>878160560</v>
      </c>
      <c r="H22" s="1295">
        <f t="shared" si="2"/>
        <v>7045447</v>
      </c>
      <c r="I22" s="1364">
        <f>'Table 7 Local Revenue'!AP23</f>
        <v>589328</v>
      </c>
      <c r="J22" s="1956">
        <f t="shared" si="3"/>
        <v>18510931</v>
      </c>
    </row>
    <row r="23" spans="1:10" ht="15" customHeight="1">
      <c r="A23" s="1344">
        <v>17</v>
      </c>
      <c r="B23" s="1287" t="s">
        <v>97</v>
      </c>
      <c r="C23" s="1295">
        <f>'Table 7 Local Revenue'!AE24</f>
        <v>137402581</v>
      </c>
      <c r="D23" s="1295">
        <f>'Table 7 Local Revenue'!H24</f>
        <v>3202418035</v>
      </c>
      <c r="E23" s="1295">
        <f t="shared" si="1"/>
        <v>53163483</v>
      </c>
      <c r="F23" s="1294">
        <f>'Table 7 Local Revenue'!AI24</f>
        <v>164449406</v>
      </c>
      <c r="G23" s="1295">
        <f>'Table 7 Local Revenue'!AM24</f>
        <v>8222470300</v>
      </c>
      <c r="H23" s="1295">
        <f t="shared" si="2"/>
        <v>65968550</v>
      </c>
      <c r="I23" s="1364">
        <f>'Table 7 Local Revenue'!AP24</f>
        <v>4089910.5</v>
      </c>
      <c r="J23" s="1956">
        <f t="shared" si="3"/>
        <v>123221943.5</v>
      </c>
    </row>
    <row r="24" spans="1:10" ht="15" customHeight="1">
      <c r="A24" s="1344">
        <v>18</v>
      </c>
      <c r="B24" s="1287" t="s">
        <v>98</v>
      </c>
      <c r="C24" s="1295">
        <f>'Table 7 Local Revenue'!AE25</f>
        <v>722675</v>
      </c>
      <c r="D24" s="1295">
        <f>'Table 7 Local Revenue'!H25</f>
        <v>37619267</v>
      </c>
      <c r="E24" s="1295">
        <f t="shared" si="1"/>
        <v>624519</v>
      </c>
      <c r="F24" s="1294">
        <f>'Table 7 Local Revenue'!AI25</f>
        <v>2589137</v>
      </c>
      <c r="G24" s="1295">
        <f>'Table 7 Local Revenue'!AM25</f>
        <v>70344157.949999988</v>
      </c>
      <c r="H24" s="1295">
        <f t="shared" si="2"/>
        <v>564368</v>
      </c>
      <c r="I24" s="1364">
        <f>'Table 7 Local Revenue'!AP25</f>
        <v>146695.5</v>
      </c>
      <c r="J24" s="1956">
        <f t="shared" si="3"/>
        <v>1335582.5</v>
      </c>
    </row>
    <row r="25" spans="1:10" ht="15" customHeight="1">
      <c r="A25" s="1344">
        <v>19</v>
      </c>
      <c r="B25" s="1287" t="s">
        <v>99</v>
      </c>
      <c r="C25" s="1295">
        <f>'Table 7 Local Revenue'!AE26</f>
        <v>2260952</v>
      </c>
      <c r="D25" s="1295">
        <f>'Table 7 Local Revenue'!H26</f>
        <v>115962540</v>
      </c>
      <c r="E25" s="1295">
        <f t="shared" si="1"/>
        <v>1925099</v>
      </c>
      <c r="F25" s="1294">
        <f>'Table 7 Local Revenue'!AI26</f>
        <v>2596202</v>
      </c>
      <c r="G25" s="1295">
        <f>'Table 7 Local Revenue'!AM26</f>
        <v>129810100</v>
      </c>
      <c r="H25" s="1295">
        <f t="shared" si="2"/>
        <v>1041461</v>
      </c>
      <c r="I25" s="1364">
        <f>'Table 7 Local Revenue'!AP26</f>
        <v>108975.5</v>
      </c>
      <c r="J25" s="1956">
        <f t="shared" si="3"/>
        <v>3075535.5</v>
      </c>
    </row>
    <row r="26" spans="1:10" ht="15" customHeight="1">
      <c r="A26" s="14">
        <v>20</v>
      </c>
      <c r="B26" s="15" t="s">
        <v>100</v>
      </c>
      <c r="C26" s="16">
        <f>'Table 7 Local Revenue'!AE27</f>
        <v>6922868</v>
      </c>
      <c r="D26" s="16">
        <f>'Table 7 Local Revenue'!H27</f>
        <v>235543300</v>
      </c>
      <c r="E26" s="16">
        <f t="shared" si="1"/>
        <v>3910265</v>
      </c>
      <c r="F26" s="199">
        <f>'Table 7 Local Revenue'!AI27</f>
        <v>8341906</v>
      </c>
      <c r="G26" s="16">
        <f>'Table 7 Local Revenue'!AM27</f>
        <v>417095300</v>
      </c>
      <c r="H26" s="16">
        <f t="shared" si="2"/>
        <v>3346339</v>
      </c>
      <c r="I26" s="184">
        <f>'Table 7 Local Revenue'!AP27</f>
        <v>569300.5</v>
      </c>
      <c r="J26" s="1957">
        <f t="shared" si="3"/>
        <v>7825904.5</v>
      </c>
    </row>
    <row r="27" spans="1:10" ht="15" customHeight="1">
      <c r="A27" s="1344">
        <v>21</v>
      </c>
      <c r="B27" s="1287" t="s">
        <v>101</v>
      </c>
      <c r="C27" s="1295">
        <f>'Table 7 Local Revenue'!AE28</f>
        <v>2038224</v>
      </c>
      <c r="D27" s="1295">
        <f>'Table 7 Local Revenue'!H28</f>
        <v>74407970</v>
      </c>
      <c r="E27" s="1295">
        <f t="shared" si="1"/>
        <v>1235250</v>
      </c>
      <c r="F27" s="1294">
        <f>'Table 7 Local Revenue'!AI28</f>
        <v>5145343</v>
      </c>
      <c r="G27" s="1295">
        <f>'Table 7 Local Revenue'!AM28</f>
        <v>257267150</v>
      </c>
      <c r="H27" s="1295">
        <f t="shared" si="2"/>
        <v>2064044</v>
      </c>
      <c r="I27" s="1364">
        <f>'Table 7 Local Revenue'!AP28</f>
        <v>77320</v>
      </c>
      <c r="J27" s="1956">
        <f t="shared" si="3"/>
        <v>3376614</v>
      </c>
    </row>
    <row r="28" spans="1:10" ht="15" customHeight="1">
      <c r="A28" s="1344">
        <v>22</v>
      </c>
      <c r="B28" s="1287" t="s">
        <v>102</v>
      </c>
      <c r="C28" s="1295">
        <f>'Table 7 Local Revenue'!AE29</f>
        <v>2763381</v>
      </c>
      <c r="D28" s="1295">
        <f>'Table 7 Local Revenue'!H29</f>
        <v>40217220</v>
      </c>
      <c r="E28" s="1295">
        <f t="shared" si="1"/>
        <v>667648</v>
      </c>
      <c r="F28" s="1294">
        <f>'Table 7 Local Revenue'!AI29</f>
        <v>2147502</v>
      </c>
      <c r="G28" s="1295">
        <f>'Table 7 Local Revenue'!AM29</f>
        <v>107375100</v>
      </c>
      <c r="H28" s="1295">
        <f t="shared" si="2"/>
        <v>861466</v>
      </c>
      <c r="I28" s="1364">
        <f>'Table 7 Local Revenue'!AP29</f>
        <v>593135</v>
      </c>
      <c r="J28" s="1956">
        <f t="shared" si="3"/>
        <v>2122249</v>
      </c>
    </row>
    <row r="29" spans="1:10" ht="15" customHeight="1">
      <c r="A29" s="1344">
        <v>23</v>
      </c>
      <c r="B29" s="1287" t="s">
        <v>103</v>
      </c>
      <c r="C29" s="1295">
        <f>'Table 7 Local Revenue'!AE30</f>
        <v>17149773</v>
      </c>
      <c r="D29" s="1295">
        <f>'Table 7 Local Revenue'!H30</f>
        <v>526272876</v>
      </c>
      <c r="E29" s="1295">
        <f t="shared" si="1"/>
        <v>8736679</v>
      </c>
      <c r="F29" s="1294">
        <f>'Table 7 Local Revenue'!AI30</f>
        <v>28987769</v>
      </c>
      <c r="G29" s="1295">
        <f>'Table 7 Local Revenue'!AM30</f>
        <v>1449388450</v>
      </c>
      <c r="H29" s="1295">
        <f t="shared" si="2"/>
        <v>11628386</v>
      </c>
      <c r="I29" s="1364">
        <f>'Table 7 Local Revenue'!AP30</f>
        <v>557578</v>
      </c>
      <c r="J29" s="1956">
        <f t="shared" si="3"/>
        <v>20922643</v>
      </c>
    </row>
    <row r="30" spans="1:10" ht="15" customHeight="1">
      <c r="A30" s="1344">
        <v>24</v>
      </c>
      <c r="B30" s="1287" t="s">
        <v>104</v>
      </c>
      <c r="C30" s="1295">
        <f>'Table 7 Local Revenue'!AE31</f>
        <v>28489406</v>
      </c>
      <c r="D30" s="1295">
        <f>'Table 7 Local Revenue'!H31</f>
        <v>466782338.00000006</v>
      </c>
      <c r="E30" s="1295">
        <f t="shared" si="1"/>
        <v>7749074</v>
      </c>
      <c r="F30" s="1294">
        <f>'Table 7 Local Revenue'!AI31</f>
        <v>21041895</v>
      </c>
      <c r="G30" s="1295">
        <f>'Table 7 Local Revenue'!AM31</f>
        <v>1052094750</v>
      </c>
      <c r="H30" s="1295">
        <f t="shared" si="2"/>
        <v>8440914</v>
      </c>
      <c r="I30" s="1364">
        <f>'Table 7 Local Revenue'!AP31</f>
        <v>138588.5</v>
      </c>
      <c r="J30" s="1956">
        <f t="shared" si="3"/>
        <v>16328576.5</v>
      </c>
    </row>
    <row r="31" spans="1:10" ht="15" customHeight="1">
      <c r="A31" s="14">
        <v>25</v>
      </c>
      <c r="B31" s="15" t="s">
        <v>105</v>
      </c>
      <c r="C31" s="16">
        <f>'Table 7 Local Revenue'!AE32</f>
        <v>6502010</v>
      </c>
      <c r="D31" s="16">
        <f>'Table 7 Local Revenue'!H32</f>
        <v>238813430</v>
      </c>
      <c r="E31" s="16">
        <f t="shared" si="1"/>
        <v>3964552</v>
      </c>
      <c r="F31" s="199">
        <f>'Table 7 Local Revenue'!AI32</f>
        <v>5249322</v>
      </c>
      <c r="G31" s="16">
        <f>'Table 7 Local Revenue'!AM32</f>
        <v>174977400</v>
      </c>
      <c r="H31" s="16">
        <f t="shared" si="2"/>
        <v>1403837</v>
      </c>
      <c r="I31" s="184">
        <f>'Table 7 Local Revenue'!AP32</f>
        <v>97597</v>
      </c>
      <c r="J31" s="1957">
        <f t="shared" si="3"/>
        <v>5465986</v>
      </c>
    </row>
    <row r="32" spans="1:10" ht="15" customHeight="1">
      <c r="A32" s="1344">
        <v>26</v>
      </c>
      <c r="B32" s="1287" t="s">
        <v>106</v>
      </c>
      <c r="C32" s="1295">
        <f>'Table 7 Local Revenue'!AE33</f>
        <v>75671906</v>
      </c>
      <c r="D32" s="1295">
        <f>'Table 7 Local Revenue'!H33</f>
        <v>3338024377</v>
      </c>
      <c r="E32" s="1295">
        <f t="shared" si="1"/>
        <v>55414690</v>
      </c>
      <c r="F32" s="1294">
        <f>'Table 7 Local Revenue'!AI33</f>
        <v>181400528</v>
      </c>
      <c r="G32" s="1295">
        <f>'Table 7 Local Revenue'!AM33</f>
        <v>9070026400</v>
      </c>
      <c r="H32" s="1295">
        <f t="shared" si="2"/>
        <v>72768459</v>
      </c>
      <c r="I32" s="1364">
        <f>'Table 7 Local Revenue'!AP33</f>
        <v>2553626.5</v>
      </c>
      <c r="J32" s="1956">
        <f t="shared" si="3"/>
        <v>130736775.5</v>
      </c>
    </row>
    <row r="33" spans="1:10" ht="15" customHeight="1">
      <c r="A33" s="1344">
        <v>27</v>
      </c>
      <c r="B33" s="1287" t="s">
        <v>107</v>
      </c>
      <c r="C33" s="1295">
        <f>'Table 7 Local Revenue'!AE34</f>
        <v>8019640</v>
      </c>
      <c r="D33" s="1295">
        <f>'Table 7 Local Revenue'!H34</f>
        <v>189806103</v>
      </c>
      <c r="E33" s="1295">
        <f t="shared" si="1"/>
        <v>3150979</v>
      </c>
      <c r="F33" s="1294">
        <f>'Table 7 Local Revenue'!AI34</f>
        <v>10615829</v>
      </c>
      <c r="G33" s="1295">
        <f>'Table 7 Local Revenue'!AM34</f>
        <v>424633160</v>
      </c>
      <c r="H33" s="1295">
        <f t="shared" si="2"/>
        <v>3406815</v>
      </c>
      <c r="I33" s="1364">
        <f>'Table 7 Local Revenue'!AP34</f>
        <v>346454</v>
      </c>
      <c r="J33" s="1956">
        <f t="shared" si="3"/>
        <v>6904248</v>
      </c>
    </row>
    <row r="34" spans="1:10" ht="15" customHeight="1">
      <c r="A34" s="1344">
        <v>28</v>
      </c>
      <c r="B34" s="1287" t="s">
        <v>108</v>
      </c>
      <c r="C34" s="1295">
        <f>'Table 7 Local Revenue'!AE35</f>
        <v>57550337</v>
      </c>
      <c r="D34" s="1295">
        <f>'Table 7 Local Revenue'!H35</f>
        <v>1767973082</v>
      </c>
      <c r="E34" s="1295">
        <f t="shared" si="1"/>
        <v>29350199</v>
      </c>
      <c r="F34" s="1294">
        <f>'Table 7 Local Revenue'!AI35</f>
        <v>113564887</v>
      </c>
      <c r="G34" s="1295">
        <f>'Table 7 Local Revenue'!AM35</f>
        <v>5678244350</v>
      </c>
      <c r="H34" s="1295">
        <f t="shared" si="2"/>
        <v>45556327</v>
      </c>
      <c r="I34" s="1364">
        <f>'Table 7 Local Revenue'!AP35</f>
        <v>2196752</v>
      </c>
      <c r="J34" s="1956">
        <f t="shared" si="3"/>
        <v>77103278</v>
      </c>
    </row>
    <row r="35" spans="1:10" ht="15" customHeight="1">
      <c r="A35" s="1344">
        <v>29</v>
      </c>
      <c r="B35" s="1287" t="s">
        <v>109</v>
      </c>
      <c r="C35" s="1295">
        <f>'Table 7 Local Revenue'!AE36</f>
        <v>33630054</v>
      </c>
      <c r="D35" s="1295">
        <f>'Table 7 Local Revenue'!H36</f>
        <v>807061314</v>
      </c>
      <c r="E35" s="1295">
        <f t="shared" si="1"/>
        <v>13398060</v>
      </c>
      <c r="F35" s="1294">
        <f>'Table 7 Local Revenue'!AI36</f>
        <v>32910355</v>
      </c>
      <c r="G35" s="1295">
        <f>'Table 7 Local Revenue'!AM36</f>
        <v>1631969024.9999998</v>
      </c>
      <c r="H35" s="1295">
        <f t="shared" si="2"/>
        <v>13093222</v>
      </c>
      <c r="I35" s="1364">
        <f>'Table 7 Local Revenue'!AP36</f>
        <v>862122.5</v>
      </c>
      <c r="J35" s="1956">
        <f t="shared" si="3"/>
        <v>27353404.5</v>
      </c>
    </row>
    <row r="36" spans="1:10" ht="15" customHeight="1">
      <c r="A36" s="14">
        <v>30</v>
      </c>
      <c r="B36" s="15" t="s">
        <v>110</v>
      </c>
      <c r="C36" s="16">
        <f>'Table 7 Local Revenue'!AE37</f>
        <v>4201140</v>
      </c>
      <c r="D36" s="16">
        <f>'Table 7 Local Revenue'!H37</f>
        <v>73337934</v>
      </c>
      <c r="E36" s="16">
        <f t="shared" si="1"/>
        <v>1217486</v>
      </c>
      <c r="F36" s="199">
        <f>'Table 7 Local Revenue'!AI37</f>
        <v>6440340</v>
      </c>
      <c r="G36" s="16">
        <f>'Table 7 Local Revenue'!AM37</f>
        <v>214678000</v>
      </c>
      <c r="H36" s="16">
        <f t="shared" si="2"/>
        <v>1722353</v>
      </c>
      <c r="I36" s="184">
        <f>'Table 7 Local Revenue'!AP37</f>
        <v>85727.5</v>
      </c>
      <c r="J36" s="1957">
        <f t="shared" si="3"/>
        <v>3025566.5</v>
      </c>
    </row>
    <row r="37" spans="1:10" ht="15" customHeight="1">
      <c r="A37" s="1344">
        <v>31</v>
      </c>
      <c r="B37" s="1287" t="s">
        <v>111</v>
      </c>
      <c r="C37" s="1295">
        <f>'Table 7 Local Revenue'!AE38</f>
        <v>16812735</v>
      </c>
      <c r="D37" s="1295">
        <f>'Table 7 Local Revenue'!H38</f>
        <v>365702090</v>
      </c>
      <c r="E37" s="1295">
        <f t="shared" si="1"/>
        <v>6071036</v>
      </c>
      <c r="F37" s="1294">
        <f>'Table 7 Local Revenue'!AI38</f>
        <v>14907192</v>
      </c>
      <c r="G37" s="1295">
        <f>'Table 7 Local Revenue'!AM38</f>
        <v>745359600</v>
      </c>
      <c r="H37" s="1295">
        <f t="shared" si="2"/>
        <v>5979990</v>
      </c>
      <c r="I37" s="1364">
        <f>'Table 7 Local Revenue'!AP38</f>
        <v>369039</v>
      </c>
      <c r="J37" s="1956">
        <f t="shared" si="3"/>
        <v>12420065</v>
      </c>
    </row>
    <row r="38" spans="1:10" ht="15" customHeight="1">
      <c r="A38" s="1344">
        <v>32</v>
      </c>
      <c r="B38" s="1287" t="s">
        <v>112</v>
      </c>
      <c r="C38" s="1295">
        <f>'Table 7 Local Revenue'!AE39</f>
        <v>15284741</v>
      </c>
      <c r="D38" s="1295">
        <f>'Table 7 Local Revenue'!H39</f>
        <v>442649300</v>
      </c>
      <c r="E38" s="1295">
        <f t="shared" si="1"/>
        <v>7348441</v>
      </c>
      <c r="F38" s="1294">
        <f>'Table 7 Local Revenue'!AI39</f>
        <v>37348390</v>
      </c>
      <c r="G38" s="1295">
        <f>'Table 7 Local Revenue'!AM39</f>
        <v>1493935600</v>
      </c>
      <c r="H38" s="1295">
        <f t="shared" si="2"/>
        <v>11985786</v>
      </c>
      <c r="I38" s="1364">
        <f>'Table 7 Local Revenue'!AP39</f>
        <v>970462.5</v>
      </c>
      <c r="J38" s="1956">
        <f t="shared" si="3"/>
        <v>20304689.5</v>
      </c>
    </row>
    <row r="39" spans="1:10" ht="15" customHeight="1">
      <c r="A39" s="1344">
        <v>33</v>
      </c>
      <c r="B39" s="1287" t="s">
        <v>113</v>
      </c>
      <c r="C39" s="1295">
        <f>'Table 7 Local Revenue'!AE40</f>
        <v>2410915</v>
      </c>
      <c r="D39" s="1295">
        <f>'Table 7 Local Revenue'!H40</f>
        <v>109542933</v>
      </c>
      <c r="E39" s="1295">
        <f t="shared" ref="E39:E70" si="4">ROUND(D39*$E$4/1000,0)</f>
        <v>1818527</v>
      </c>
      <c r="F39" s="1294">
        <f>'Table 7 Local Revenue'!AI40</f>
        <v>3529423</v>
      </c>
      <c r="G39" s="1295">
        <f>'Table 7 Local Revenue'!AM40</f>
        <v>129016751.99999999</v>
      </c>
      <c r="H39" s="1295">
        <f t="shared" ref="H39:H70" si="5">ROUND(G39*$H$4,0)</f>
        <v>1035096</v>
      </c>
      <c r="I39" s="1364">
        <f>'Table 7 Local Revenue'!AP40</f>
        <v>38002</v>
      </c>
      <c r="J39" s="1956">
        <f t="shared" ref="J39:J70" si="6">E39+H39+I39</f>
        <v>2891625</v>
      </c>
    </row>
    <row r="40" spans="1:10" ht="15" customHeight="1">
      <c r="A40" s="1344">
        <v>34</v>
      </c>
      <c r="B40" s="1287" t="s">
        <v>114</v>
      </c>
      <c r="C40" s="1295">
        <f>'Table 7 Local Revenue'!AE41</f>
        <v>6419790</v>
      </c>
      <c r="D40" s="1295">
        <f>'Table 7 Local Revenue'!H41</f>
        <v>137976742</v>
      </c>
      <c r="E40" s="1295">
        <f t="shared" si="4"/>
        <v>2290558</v>
      </c>
      <c r="F40" s="1294">
        <f>'Table 7 Local Revenue'!AI41</f>
        <v>6043034</v>
      </c>
      <c r="G40" s="1295">
        <f>'Table 7 Local Revenue'!AM41</f>
        <v>302151700</v>
      </c>
      <c r="H40" s="1295">
        <f t="shared" si="5"/>
        <v>2424151</v>
      </c>
      <c r="I40" s="1364">
        <f>'Table 7 Local Revenue'!AP41</f>
        <v>233351</v>
      </c>
      <c r="J40" s="1956">
        <f t="shared" si="6"/>
        <v>4948060</v>
      </c>
    </row>
    <row r="41" spans="1:10" ht="15" customHeight="1">
      <c r="A41" s="14">
        <v>35</v>
      </c>
      <c r="B41" s="15" t="s">
        <v>115</v>
      </c>
      <c r="C41" s="16">
        <f>'Table 7 Local Revenue'!AE42</f>
        <v>8723493</v>
      </c>
      <c r="D41" s="16">
        <f>'Table 7 Local Revenue'!H42</f>
        <v>266040108.40000004</v>
      </c>
      <c r="E41" s="16">
        <f t="shared" si="4"/>
        <v>4416544</v>
      </c>
      <c r="F41" s="199">
        <f>'Table 7 Local Revenue'!AI42</f>
        <v>11792760</v>
      </c>
      <c r="G41" s="16">
        <f>'Table 7 Local Revenue'!AM42</f>
        <v>589638000</v>
      </c>
      <c r="H41" s="16">
        <f t="shared" si="5"/>
        <v>4730642</v>
      </c>
      <c r="I41" s="184">
        <f>'Table 7 Local Revenue'!AP42</f>
        <v>606026</v>
      </c>
      <c r="J41" s="1957">
        <f t="shared" si="6"/>
        <v>9753212</v>
      </c>
    </row>
    <row r="42" spans="1:10" s="60" customFormat="1" ht="15" customHeight="1">
      <c r="A42" s="1344">
        <v>36</v>
      </c>
      <c r="B42" s="1287" t="s">
        <v>116</v>
      </c>
      <c r="C42" s="1295">
        <f>'Table 7 Local Revenue'!AE43</f>
        <v>133691064</v>
      </c>
      <c r="D42" s="1295">
        <f>'Table 7 Local Revenue'!H43</f>
        <v>3088964621</v>
      </c>
      <c r="E42" s="1295">
        <f t="shared" si="4"/>
        <v>51280038</v>
      </c>
      <c r="F42" s="1294">
        <f>'Table 7 Local Revenue'!AI43</f>
        <v>108119002</v>
      </c>
      <c r="G42" s="1295">
        <f>'Table 7 Local Revenue'!AM43</f>
        <v>6962926927.0499992</v>
      </c>
      <c r="H42" s="1295">
        <f t="shared" si="5"/>
        <v>55863284</v>
      </c>
      <c r="I42" s="1364">
        <f>'Table 7 Local Revenue'!AP43</f>
        <v>2455088</v>
      </c>
      <c r="J42" s="1956">
        <f t="shared" si="6"/>
        <v>109598410</v>
      </c>
    </row>
    <row r="43" spans="1:10" s="60" customFormat="1" ht="15" customHeight="1">
      <c r="A43" s="1344">
        <v>37</v>
      </c>
      <c r="B43" s="1287" t="s">
        <v>117</v>
      </c>
      <c r="C43" s="1295">
        <f>'Table 7 Local Revenue'!AE44</f>
        <v>24028992</v>
      </c>
      <c r="D43" s="1295">
        <f>'Table 7 Local Revenue'!H44</f>
        <v>589046206</v>
      </c>
      <c r="E43" s="1295">
        <f t="shared" si="4"/>
        <v>9778782</v>
      </c>
      <c r="F43" s="1294">
        <f>'Table 7 Local Revenue'!AI44</f>
        <v>41309080</v>
      </c>
      <c r="G43" s="1295">
        <f>'Table 7 Local Revenue'!AM44</f>
        <v>1376969333</v>
      </c>
      <c r="H43" s="1295">
        <f t="shared" si="5"/>
        <v>11047370</v>
      </c>
      <c r="I43" s="1364">
        <f>'Table 7 Local Revenue'!AP44</f>
        <v>828091</v>
      </c>
      <c r="J43" s="1956">
        <f t="shared" si="6"/>
        <v>21654243</v>
      </c>
    </row>
    <row r="44" spans="1:10" s="60" customFormat="1" ht="15" customHeight="1">
      <c r="A44" s="1344">
        <v>38</v>
      </c>
      <c r="B44" s="1287" t="s">
        <v>118</v>
      </c>
      <c r="C44" s="1295">
        <f>'Table 7 Local Revenue'!AE45</f>
        <v>25359899</v>
      </c>
      <c r="D44" s="1295">
        <f>'Table 7 Local Revenue'!H45</f>
        <v>977850411</v>
      </c>
      <c r="E44" s="1295">
        <f t="shared" si="4"/>
        <v>16233338</v>
      </c>
      <c r="F44" s="1294">
        <f>'Table 7 Local Revenue'!AI45</f>
        <v>23490808</v>
      </c>
      <c r="G44" s="1295">
        <f>'Table 7 Local Revenue'!AM45</f>
        <v>1174540400</v>
      </c>
      <c r="H44" s="1295">
        <f t="shared" si="5"/>
        <v>9423291</v>
      </c>
      <c r="I44" s="1364">
        <f>'Table 7 Local Revenue'!AP45</f>
        <v>86727.5</v>
      </c>
      <c r="J44" s="1956">
        <f t="shared" si="6"/>
        <v>25743356.5</v>
      </c>
    </row>
    <row r="45" spans="1:10" s="60" customFormat="1" ht="15" customHeight="1">
      <c r="A45" s="1344">
        <v>39</v>
      </c>
      <c r="B45" s="1287" t="s">
        <v>119</v>
      </c>
      <c r="C45" s="1295">
        <f>'Table 7 Local Revenue'!AE46</f>
        <v>6543746</v>
      </c>
      <c r="D45" s="1295">
        <f>'Table 7 Local Revenue'!H46</f>
        <v>369330270.10000002</v>
      </c>
      <c r="E45" s="1295">
        <f t="shared" si="4"/>
        <v>6131268</v>
      </c>
      <c r="F45" s="1294">
        <f>'Table 7 Local Revenue'!AI46</f>
        <v>6099336</v>
      </c>
      <c r="G45" s="1295">
        <f>'Table 7 Local Revenue'!AM46</f>
        <v>304966800</v>
      </c>
      <c r="H45" s="1295">
        <f t="shared" si="5"/>
        <v>2446736</v>
      </c>
      <c r="I45" s="1364">
        <f>'Table 7 Local Revenue'!AP46</f>
        <v>173886.5</v>
      </c>
      <c r="J45" s="1956">
        <f t="shared" si="6"/>
        <v>8751890.5</v>
      </c>
    </row>
    <row r="46" spans="1:10" s="60" customFormat="1" ht="15" customHeight="1">
      <c r="A46" s="14">
        <v>40</v>
      </c>
      <c r="B46" s="15" t="s">
        <v>120</v>
      </c>
      <c r="C46" s="16">
        <f>'Table 7 Local Revenue'!AE47</f>
        <v>34766294</v>
      </c>
      <c r="D46" s="16">
        <f>'Table 7 Local Revenue'!H47</f>
        <v>693044031</v>
      </c>
      <c r="E46" s="16">
        <f t="shared" si="4"/>
        <v>11505254</v>
      </c>
      <c r="F46" s="199">
        <f>'Table 7 Local Revenue'!AI47</f>
        <v>35665542</v>
      </c>
      <c r="G46" s="16">
        <f>'Table 7 Local Revenue'!AM47</f>
        <v>2377702800</v>
      </c>
      <c r="H46" s="16">
        <f t="shared" si="5"/>
        <v>19076214</v>
      </c>
      <c r="I46" s="184">
        <f>'Table 7 Local Revenue'!AP47</f>
        <v>853958</v>
      </c>
      <c r="J46" s="1957">
        <f t="shared" si="6"/>
        <v>31435426</v>
      </c>
    </row>
    <row r="47" spans="1:10" s="60" customFormat="1" ht="15" customHeight="1">
      <c r="A47" s="1344">
        <v>41</v>
      </c>
      <c r="B47" s="1287" t="s">
        <v>121</v>
      </c>
      <c r="C47" s="1295">
        <f>'Table 7 Local Revenue'!AE48</f>
        <v>9153188</v>
      </c>
      <c r="D47" s="1295">
        <f>'Table 7 Local Revenue'!H48</f>
        <v>168792745</v>
      </c>
      <c r="E47" s="1295">
        <f t="shared" si="4"/>
        <v>2802136</v>
      </c>
      <c r="F47" s="1294">
        <f>'Table 7 Local Revenue'!AI48</f>
        <v>3995534</v>
      </c>
      <c r="G47" s="1295">
        <f>'Table 7 Local Revenue'!AM48</f>
        <v>199776700</v>
      </c>
      <c r="H47" s="1295">
        <f t="shared" si="5"/>
        <v>1602800</v>
      </c>
      <c r="I47" s="1364">
        <f>'Table 7 Local Revenue'!AP48</f>
        <v>72333</v>
      </c>
      <c r="J47" s="1956">
        <f t="shared" si="6"/>
        <v>4477269</v>
      </c>
    </row>
    <row r="48" spans="1:10" s="60" customFormat="1" ht="15" customHeight="1">
      <c r="A48" s="1344">
        <v>42</v>
      </c>
      <c r="B48" s="1287" t="s">
        <v>122</v>
      </c>
      <c r="C48" s="1295">
        <f>'Table 7 Local Revenue'!AE49</f>
        <v>5587665</v>
      </c>
      <c r="D48" s="1295">
        <f>'Table 7 Local Revenue'!H49</f>
        <v>197519152.60000002</v>
      </c>
      <c r="E48" s="1295">
        <f t="shared" si="4"/>
        <v>3279024</v>
      </c>
      <c r="F48" s="1294">
        <f>'Table 7 Local Revenue'!AI49</f>
        <v>6098883</v>
      </c>
      <c r="G48" s="1295">
        <f>'Table 7 Local Revenue'!AM49</f>
        <v>304944150</v>
      </c>
      <c r="H48" s="1295">
        <f t="shared" si="5"/>
        <v>2446555</v>
      </c>
      <c r="I48" s="1364">
        <f>'Table 7 Local Revenue'!AP49</f>
        <v>224338</v>
      </c>
      <c r="J48" s="1956">
        <f t="shared" si="6"/>
        <v>5949917</v>
      </c>
    </row>
    <row r="49" spans="1:10" s="60" customFormat="1" ht="15" customHeight="1">
      <c r="A49" s="1344">
        <v>43</v>
      </c>
      <c r="B49" s="1287" t="s">
        <v>123</v>
      </c>
      <c r="C49" s="1295">
        <f>'Table 7 Local Revenue'!AE50</f>
        <v>5143832</v>
      </c>
      <c r="D49" s="1295">
        <f>'Table 7 Local Revenue'!H50</f>
        <v>142450465.30000001</v>
      </c>
      <c r="E49" s="1295">
        <f t="shared" si="4"/>
        <v>2364826</v>
      </c>
      <c r="F49" s="1294">
        <f>'Table 7 Local Revenue'!AI50</f>
        <v>9683517</v>
      </c>
      <c r="G49" s="1295">
        <f>'Table 7 Local Revenue'!AM50</f>
        <v>387340680</v>
      </c>
      <c r="H49" s="1295">
        <f t="shared" si="5"/>
        <v>3107619</v>
      </c>
      <c r="I49" s="1364">
        <f>'Table 7 Local Revenue'!AP50</f>
        <v>197610.5</v>
      </c>
      <c r="J49" s="1956">
        <f t="shared" si="6"/>
        <v>5670055.5</v>
      </c>
    </row>
    <row r="50" spans="1:10" s="60" customFormat="1" ht="15" customHeight="1">
      <c r="A50" s="1344">
        <v>44</v>
      </c>
      <c r="B50" s="1287" t="s">
        <v>124</v>
      </c>
      <c r="C50" s="1295">
        <f>'Table 7 Local Revenue'!AE51</f>
        <v>15159056</v>
      </c>
      <c r="D50" s="1295">
        <f>'Table 7 Local Revenue'!H51</f>
        <v>312971319</v>
      </c>
      <c r="E50" s="1295">
        <f t="shared" si="4"/>
        <v>5195651</v>
      </c>
      <c r="F50" s="1294">
        <f>'Table 7 Local Revenue'!AI51</f>
        <v>14948376</v>
      </c>
      <c r="G50" s="1295">
        <f>'Table 7 Local Revenue'!AM51</f>
        <v>747418800</v>
      </c>
      <c r="H50" s="1295">
        <f t="shared" si="5"/>
        <v>5996511</v>
      </c>
      <c r="I50" s="1364">
        <f>'Table 7 Local Revenue'!AP51</f>
        <v>51601</v>
      </c>
      <c r="J50" s="1956">
        <f t="shared" si="6"/>
        <v>11243763</v>
      </c>
    </row>
    <row r="51" spans="1:10" ht="15" customHeight="1">
      <c r="A51" s="14">
        <v>45</v>
      </c>
      <c r="B51" s="15" t="s">
        <v>125</v>
      </c>
      <c r="C51" s="16">
        <f>'Table 7 Local Revenue'!AE52</f>
        <v>62597896</v>
      </c>
      <c r="D51" s="16">
        <f>'Table 7 Local Revenue'!H52</f>
        <v>1156937634</v>
      </c>
      <c r="E51" s="16">
        <f t="shared" si="4"/>
        <v>19206373</v>
      </c>
      <c r="F51" s="199">
        <f>'Table 7 Local Revenue'!AI52</f>
        <v>57527413</v>
      </c>
      <c r="G51" s="16">
        <f>'Table 7 Local Revenue'!AM52</f>
        <v>1917580433</v>
      </c>
      <c r="H51" s="16">
        <f t="shared" si="5"/>
        <v>15384671</v>
      </c>
      <c r="I51" s="184">
        <f>'Table 7 Local Revenue'!AP52</f>
        <v>279338</v>
      </c>
      <c r="J51" s="1957">
        <f t="shared" si="6"/>
        <v>34870382</v>
      </c>
    </row>
    <row r="52" spans="1:10" ht="15" customHeight="1">
      <c r="A52" s="1344">
        <v>46</v>
      </c>
      <c r="B52" s="1287" t="s">
        <v>126</v>
      </c>
      <c r="C52" s="1295">
        <f>'Table 7 Local Revenue'!AE53</f>
        <v>785942</v>
      </c>
      <c r="D52" s="1295">
        <f>'Table 7 Local Revenue'!H53</f>
        <v>44970610</v>
      </c>
      <c r="E52" s="1295">
        <f t="shared" si="4"/>
        <v>746559</v>
      </c>
      <c r="F52" s="1294">
        <f>'Table 7 Local Revenue'!AI53</f>
        <v>1776513</v>
      </c>
      <c r="G52" s="1295">
        <f>'Table 7 Local Revenue'!AM53</f>
        <v>78596750</v>
      </c>
      <c r="H52" s="1295">
        <f t="shared" si="5"/>
        <v>630579</v>
      </c>
      <c r="I52" s="1364">
        <f>'Table 7 Local Revenue'!AP53</f>
        <v>32506.5</v>
      </c>
      <c r="J52" s="1956">
        <f t="shared" si="6"/>
        <v>1409644.5</v>
      </c>
    </row>
    <row r="53" spans="1:10" ht="15" customHeight="1">
      <c r="A53" s="1344">
        <v>47</v>
      </c>
      <c r="B53" s="1287" t="s">
        <v>127</v>
      </c>
      <c r="C53" s="1295">
        <f>'Table 7 Local Revenue'!AE54</f>
        <v>21889993</v>
      </c>
      <c r="D53" s="1295">
        <f>'Table 7 Local Revenue'!H54</f>
        <v>450749524.50000006</v>
      </c>
      <c r="E53" s="1295">
        <f t="shared" si="4"/>
        <v>7482913</v>
      </c>
      <c r="F53" s="1294">
        <f>'Table 7 Local Revenue'!AI54</f>
        <v>25285692</v>
      </c>
      <c r="G53" s="1295">
        <f>'Table 7 Local Revenue'!AM54</f>
        <v>832644895.99999988</v>
      </c>
      <c r="H53" s="1295">
        <f t="shared" si="5"/>
        <v>6680277</v>
      </c>
      <c r="I53" s="1364">
        <f>'Table 7 Local Revenue'!AP54</f>
        <v>87351</v>
      </c>
      <c r="J53" s="1956">
        <f t="shared" si="6"/>
        <v>14250541</v>
      </c>
    </row>
    <row r="54" spans="1:10" ht="15" customHeight="1">
      <c r="A54" s="1344">
        <v>48</v>
      </c>
      <c r="B54" s="1287" t="s">
        <v>178</v>
      </c>
      <c r="C54" s="1295">
        <f>'Table 7 Local Revenue'!AE55</f>
        <v>15358184</v>
      </c>
      <c r="D54" s="1295">
        <f>'Table 7 Local Revenue'!H55</f>
        <v>406107838.40000004</v>
      </c>
      <c r="E54" s="1295">
        <f t="shared" si="4"/>
        <v>6741814</v>
      </c>
      <c r="F54" s="1294">
        <f>'Table 7 Local Revenue'!AI55</f>
        <v>22563829</v>
      </c>
      <c r="G54" s="1295">
        <f>'Table 7 Local Revenue'!AM55</f>
        <v>1002836844</v>
      </c>
      <c r="H54" s="1295">
        <f t="shared" si="5"/>
        <v>8045720</v>
      </c>
      <c r="I54" s="1364">
        <f>'Table 7 Local Revenue'!AP55</f>
        <v>196023</v>
      </c>
      <c r="J54" s="1956">
        <f t="shared" si="6"/>
        <v>14983557</v>
      </c>
    </row>
    <row r="55" spans="1:10" ht="15" customHeight="1">
      <c r="A55" s="1344">
        <v>49</v>
      </c>
      <c r="B55" s="1287" t="s">
        <v>128</v>
      </c>
      <c r="C55" s="1295">
        <f>'Table 7 Local Revenue'!AE56</f>
        <v>11534267</v>
      </c>
      <c r="D55" s="1295">
        <f>'Table 7 Local Revenue'!H56</f>
        <v>572779421</v>
      </c>
      <c r="E55" s="1295">
        <f t="shared" si="4"/>
        <v>9508736</v>
      </c>
      <c r="F55" s="1294">
        <f>'Table 7 Local Revenue'!AI56</f>
        <v>23711915</v>
      </c>
      <c r="G55" s="1295">
        <f>'Table 7 Local Revenue'!AM56</f>
        <v>1185595750</v>
      </c>
      <c r="H55" s="1295">
        <f t="shared" si="5"/>
        <v>9511987</v>
      </c>
      <c r="I55" s="1364">
        <f>'Table 7 Local Revenue'!AP56</f>
        <v>404872</v>
      </c>
      <c r="J55" s="1956">
        <f t="shared" si="6"/>
        <v>19425595</v>
      </c>
    </row>
    <row r="56" spans="1:10" ht="15" customHeight="1">
      <c r="A56" s="14">
        <v>50</v>
      </c>
      <c r="B56" s="15" t="s">
        <v>129</v>
      </c>
      <c r="C56" s="16">
        <f>'Table 7 Local Revenue'!AE57</f>
        <v>9881912</v>
      </c>
      <c r="D56" s="16">
        <f>'Table 7 Local Revenue'!H57</f>
        <v>281508692</v>
      </c>
      <c r="E56" s="16">
        <f t="shared" si="4"/>
        <v>4673338</v>
      </c>
      <c r="F56" s="199">
        <f>'Table 7 Local Revenue'!AI57</f>
        <v>15108947</v>
      </c>
      <c r="G56" s="16">
        <f>'Table 7 Local Revenue'!AM57</f>
        <v>755447350</v>
      </c>
      <c r="H56" s="16">
        <f t="shared" si="5"/>
        <v>6060924</v>
      </c>
      <c r="I56" s="184">
        <f>'Table 7 Local Revenue'!AP57</f>
        <v>454920.5</v>
      </c>
      <c r="J56" s="1957">
        <f t="shared" si="6"/>
        <v>11189182.5</v>
      </c>
    </row>
    <row r="57" spans="1:10" ht="15" customHeight="1">
      <c r="A57" s="1344">
        <v>51</v>
      </c>
      <c r="B57" s="1287" t="s">
        <v>130</v>
      </c>
      <c r="C57" s="1295">
        <f>'Table 7 Local Revenue'!AE58</f>
        <v>21542392</v>
      </c>
      <c r="D57" s="1295">
        <f>'Table 7 Local Revenue'!H58</f>
        <v>713648593.9000001</v>
      </c>
      <c r="E57" s="1295">
        <f t="shared" si="4"/>
        <v>11847312</v>
      </c>
      <c r="F57" s="1294">
        <f>'Table 7 Local Revenue'!AI58</f>
        <v>18001939</v>
      </c>
      <c r="G57" s="1295">
        <f>'Table 7 Local Revenue'!AM58</f>
        <v>1028682229</v>
      </c>
      <c r="H57" s="1295">
        <f t="shared" si="5"/>
        <v>8253076</v>
      </c>
      <c r="I57" s="1364">
        <f>'Table 7 Local Revenue'!AP58</f>
        <v>479552.5</v>
      </c>
      <c r="J57" s="1956">
        <f t="shared" si="6"/>
        <v>20579940.5</v>
      </c>
    </row>
    <row r="58" spans="1:10" ht="15" customHeight="1">
      <c r="A58" s="1344">
        <v>52</v>
      </c>
      <c r="B58" s="1287" t="s">
        <v>131</v>
      </c>
      <c r="C58" s="1295">
        <f>'Table 7 Local Revenue'!AE59</f>
        <v>111376395</v>
      </c>
      <c r="D58" s="1295">
        <f>'Table 7 Local Revenue'!H59</f>
        <v>1670758838</v>
      </c>
      <c r="E58" s="1295">
        <f t="shared" si="4"/>
        <v>27736341</v>
      </c>
      <c r="F58" s="1294">
        <f>'Table 7 Local Revenue'!AI59</f>
        <v>82874124</v>
      </c>
      <c r="G58" s="1295">
        <f>'Table 7 Local Revenue'!AM59</f>
        <v>4143706200</v>
      </c>
      <c r="H58" s="1295">
        <f t="shared" si="5"/>
        <v>33244789</v>
      </c>
      <c r="I58" s="1364">
        <f>'Table 7 Local Revenue'!AP59</f>
        <v>1917347</v>
      </c>
      <c r="J58" s="1956">
        <f t="shared" si="6"/>
        <v>62898477</v>
      </c>
    </row>
    <row r="59" spans="1:10" ht="15" customHeight="1">
      <c r="A59" s="1344">
        <v>53</v>
      </c>
      <c r="B59" s="1287" t="s">
        <v>132</v>
      </c>
      <c r="C59" s="1295">
        <f>'Table 7 Local Revenue'!AE60</f>
        <v>6412303</v>
      </c>
      <c r="D59" s="1295">
        <f>'Table 7 Local Revenue'!H60</f>
        <v>506507915</v>
      </c>
      <c r="E59" s="1295">
        <f t="shared" si="4"/>
        <v>8408560</v>
      </c>
      <c r="F59" s="1294">
        <f>'Table 7 Local Revenue'!AI60</f>
        <v>34729071</v>
      </c>
      <c r="G59" s="1295">
        <f>'Table 7 Local Revenue'!AM60</f>
        <v>1736453550</v>
      </c>
      <c r="H59" s="1295">
        <f t="shared" si="5"/>
        <v>13931497</v>
      </c>
      <c r="I59" s="1364">
        <f>'Table 7 Local Revenue'!AP60</f>
        <v>278754</v>
      </c>
      <c r="J59" s="1956">
        <f t="shared" si="6"/>
        <v>22618811</v>
      </c>
    </row>
    <row r="60" spans="1:10" ht="15" customHeight="1">
      <c r="A60" s="1344">
        <v>54</v>
      </c>
      <c r="B60" s="1287" t="s">
        <v>133</v>
      </c>
      <c r="C60" s="1295">
        <f>'Table 7 Local Revenue'!AE61</f>
        <v>1694303</v>
      </c>
      <c r="D60" s="1295">
        <f>'Table 7 Local Revenue'!H61</f>
        <v>47926275</v>
      </c>
      <c r="E60" s="1295">
        <f t="shared" si="4"/>
        <v>795626</v>
      </c>
      <c r="F60" s="1294">
        <f>'Table 7 Local Revenue'!AI61</f>
        <v>854086</v>
      </c>
      <c r="G60" s="1295">
        <f>'Table 7 Local Revenue'!AM61</f>
        <v>56939067</v>
      </c>
      <c r="H60" s="1295">
        <f t="shared" si="5"/>
        <v>456820</v>
      </c>
      <c r="I60" s="1364">
        <f>'Table 7 Local Revenue'!AP61</f>
        <v>49448.5</v>
      </c>
      <c r="J60" s="1956">
        <f t="shared" si="6"/>
        <v>1301894.5</v>
      </c>
    </row>
    <row r="61" spans="1:10" ht="15" customHeight="1">
      <c r="A61" s="14">
        <v>55</v>
      </c>
      <c r="B61" s="15" t="s">
        <v>134</v>
      </c>
      <c r="C61" s="16">
        <f>'Table 7 Local Revenue'!AE62</f>
        <v>7873462</v>
      </c>
      <c r="D61" s="16">
        <f>'Table 7 Local Revenue'!H62</f>
        <v>810700735</v>
      </c>
      <c r="E61" s="16">
        <f t="shared" si="4"/>
        <v>13458479</v>
      </c>
      <c r="F61" s="199">
        <f>'Table 7 Local Revenue'!AI62</f>
        <v>51933519</v>
      </c>
      <c r="G61" s="16">
        <f>'Table 7 Local Revenue'!AM62</f>
        <v>2496803798</v>
      </c>
      <c r="H61" s="16">
        <f t="shared" si="5"/>
        <v>20031757</v>
      </c>
      <c r="I61" s="184">
        <f>'Table 7 Local Revenue'!AP62</f>
        <v>368880</v>
      </c>
      <c r="J61" s="1957">
        <f t="shared" si="6"/>
        <v>33859116</v>
      </c>
    </row>
    <row r="62" spans="1:10" ht="15" customHeight="1">
      <c r="A62" s="1344">
        <v>56</v>
      </c>
      <c r="B62" s="1287" t="s">
        <v>135</v>
      </c>
      <c r="C62" s="1295">
        <f>'Table 7 Local Revenue'!AE63</f>
        <v>3568839</v>
      </c>
      <c r="D62" s="1295">
        <f>'Table 7 Local Revenue'!H63</f>
        <v>164077587</v>
      </c>
      <c r="E62" s="1295">
        <f t="shared" si="4"/>
        <v>2723859</v>
      </c>
      <c r="F62" s="1294">
        <f>'Table 7 Local Revenue'!AI63</f>
        <v>4863215</v>
      </c>
      <c r="G62" s="1295">
        <f>'Table 7 Local Revenue'!AM63</f>
        <v>243160750</v>
      </c>
      <c r="H62" s="1295">
        <f t="shared" si="5"/>
        <v>1950869</v>
      </c>
      <c r="I62" s="1364">
        <f>'Table 7 Local Revenue'!AP63</f>
        <v>150727.5</v>
      </c>
      <c r="J62" s="1956">
        <f t="shared" si="6"/>
        <v>4825455.5</v>
      </c>
    </row>
    <row r="63" spans="1:10" ht="15" customHeight="1">
      <c r="A63" s="1344">
        <v>57</v>
      </c>
      <c r="B63" s="1287" t="s">
        <v>136</v>
      </c>
      <c r="C63" s="1295">
        <f>'Table 7 Local Revenue'!AE64</f>
        <v>12957733</v>
      </c>
      <c r="D63" s="1295">
        <f>'Table 7 Local Revenue'!H64</f>
        <v>311005060</v>
      </c>
      <c r="E63" s="1295">
        <f t="shared" si="4"/>
        <v>5163009</v>
      </c>
      <c r="F63" s="1294">
        <f>'Table 7 Local Revenue'!AI64</f>
        <v>12408381</v>
      </c>
      <c r="G63" s="1295">
        <f>'Table 7 Local Revenue'!AM64</f>
        <v>827225400</v>
      </c>
      <c r="H63" s="1295">
        <f t="shared" si="5"/>
        <v>6636796</v>
      </c>
      <c r="I63" s="1364">
        <f>'Table 7 Local Revenue'!AP64</f>
        <v>2465745.5</v>
      </c>
      <c r="J63" s="1956">
        <f t="shared" si="6"/>
        <v>14265550.5</v>
      </c>
    </row>
    <row r="64" spans="1:10" ht="15" customHeight="1">
      <c r="A64" s="1344">
        <v>58</v>
      </c>
      <c r="B64" s="1287" t="s">
        <v>137</v>
      </c>
      <c r="C64" s="1295">
        <f>'Table 7 Local Revenue'!AE65</f>
        <v>7665651</v>
      </c>
      <c r="D64" s="1295">
        <f>'Table 7 Local Revenue'!H65</f>
        <v>128415030</v>
      </c>
      <c r="E64" s="1295">
        <f t="shared" si="4"/>
        <v>2131824</v>
      </c>
      <c r="F64" s="1294">
        <f>'Table 7 Local Revenue'!AI65</f>
        <v>12110628</v>
      </c>
      <c r="G64" s="1295">
        <f>'Table 7 Local Revenue'!AM65</f>
        <v>605531400</v>
      </c>
      <c r="H64" s="1295">
        <f t="shared" si="5"/>
        <v>4858154</v>
      </c>
      <c r="I64" s="1364">
        <f>'Table 7 Local Revenue'!AP65</f>
        <v>441684</v>
      </c>
      <c r="J64" s="1956">
        <f t="shared" si="6"/>
        <v>7431662</v>
      </c>
    </row>
    <row r="65" spans="1:10" ht="15" customHeight="1">
      <c r="A65" s="1344">
        <v>59</v>
      </c>
      <c r="B65" s="1287" t="s">
        <v>138</v>
      </c>
      <c r="C65" s="1295">
        <f>'Table 7 Local Revenue'!AE66</f>
        <v>4709072</v>
      </c>
      <c r="D65" s="1295">
        <f>'Table 7 Local Revenue'!H66</f>
        <v>83920545</v>
      </c>
      <c r="E65" s="1295">
        <f t="shared" si="4"/>
        <v>1393169</v>
      </c>
      <c r="F65" s="1294">
        <f>'Table 7 Local Revenue'!AI66</f>
        <v>4328937</v>
      </c>
      <c r="G65" s="1295">
        <f>'Table 7 Local Revenue'!AM66</f>
        <v>216446850</v>
      </c>
      <c r="H65" s="1295">
        <f t="shared" si="5"/>
        <v>1736544</v>
      </c>
      <c r="I65" s="1364">
        <f>'Table 7 Local Revenue'!AP66</f>
        <v>164648</v>
      </c>
      <c r="J65" s="1956">
        <f t="shared" si="6"/>
        <v>3294361</v>
      </c>
    </row>
    <row r="66" spans="1:10" ht="15" customHeight="1">
      <c r="A66" s="14">
        <v>60</v>
      </c>
      <c r="B66" s="15" t="s">
        <v>139</v>
      </c>
      <c r="C66" s="16">
        <f>'Table 7 Local Revenue'!AE67</f>
        <v>11417029</v>
      </c>
      <c r="D66" s="16">
        <f>'Table 7 Local Revenue'!H67</f>
        <v>236369771</v>
      </c>
      <c r="E66" s="16">
        <f t="shared" si="4"/>
        <v>3923985</v>
      </c>
      <c r="F66" s="199">
        <f>'Table 7 Local Revenue'!AI67</f>
        <v>13756234</v>
      </c>
      <c r="G66" s="16">
        <f>'Table 7 Local Revenue'!AM67</f>
        <v>645832582</v>
      </c>
      <c r="H66" s="16">
        <f t="shared" si="5"/>
        <v>5181489</v>
      </c>
      <c r="I66" s="184">
        <f>'Table 7 Local Revenue'!AP67</f>
        <v>305366</v>
      </c>
      <c r="J66" s="1957">
        <f t="shared" si="6"/>
        <v>9410840</v>
      </c>
    </row>
    <row r="67" spans="1:10" ht="15" customHeight="1">
      <c r="A67" s="1344">
        <v>61</v>
      </c>
      <c r="B67" s="1287" t="s">
        <v>140</v>
      </c>
      <c r="C67" s="1295">
        <f>'Table 7 Local Revenue'!AE68</f>
        <v>12171424</v>
      </c>
      <c r="D67" s="1295">
        <f>'Table 7 Local Revenue'!H68</f>
        <v>388179546.70000005</v>
      </c>
      <c r="E67" s="1295">
        <f t="shared" si="4"/>
        <v>6444186</v>
      </c>
      <c r="F67" s="1294">
        <f>'Table 7 Local Revenue'!AI68</f>
        <v>11956789</v>
      </c>
      <c r="G67" s="1295">
        <f>'Table 7 Local Revenue'!AM68</f>
        <v>597839450</v>
      </c>
      <c r="H67" s="1295">
        <f t="shared" si="5"/>
        <v>4796442</v>
      </c>
      <c r="I67" s="1364">
        <f>'Table 7 Local Revenue'!AP68</f>
        <v>220240</v>
      </c>
      <c r="J67" s="1956">
        <f t="shared" si="6"/>
        <v>11460868</v>
      </c>
    </row>
    <row r="68" spans="1:10" ht="15" customHeight="1">
      <c r="A68" s="1344">
        <v>62</v>
      </c>
      <c r="B68" s="1287" t="s">
        <v>141</v>
      </c>
      <c r="C68" s="1295">
        <f>'Table 7 Local Revenue'!AE69</f>
        <v>1572786</v>
      </c>
      <c r="D68" s="1295">
        <f>'Table 7 Local Revenue'!H69</f>
        <v>53737430</v>
      </c>
      <c r="E68" s="1295">
        <f t="shared" si="4"/>
        <v>892097</v>
      </c>
      <c r="F68" s="1294">
        <f>'Table 7 Local Revenue'!AI69</f>
        <v>2653949</v>
      </c>
      <c r="G68" s="1295">
        <f>'Table 7 Local Revenue'!AM69</f>
        <v>132697450</v>
      </c>
      <c r="H68" s="1295">
        <f t="shared" si="5"/>
        <v>1064626</v>
      </c>
      <c r="I68" s="1364">
        <f>'Table 7 Local Revenue'!AP69</f>
        <v>98213</v>
      </c>
      <c r="J68" s="1956">
        <f t="shared" si="6"/>
        <v>2054936</v>
      </c>
    </row>
    <row r="69" spans="1:10" ht="15" customHeight="1">
      <c r="A69" s="1344">
        <v>63</v>
      </c>
      <c r="B69" s="1287" t="s">
        <v>142</v>
      </c>
      <c r="C69" s="1295">
        <f>'Table 7 Local Revenue'!AE70</f>
        <v>9527271</v>
      </c>
      <c r="D69" s="1295">
        <f>'Table 7 Local Revenue'!H70</f>
        <v>272611566</v>
      </c>
      <c r="E69" s="1295">
        <f t="shared" si="4"/>
        <v>4525637</v>
      </c>
      <c r="F69" s="1294">
        <f>'Table 7 Local Revenue'!AI70</f>
        <v>5475976</v>
      </c>
      <c r="G69" s="1295">
        <f>'Table 7 Local Revenue'!AM70</f>
        <v>204758005.99999997</v>
      </c>
      <c r="H69" s="1295">
        <f t="shared" si="5"/>
        <v>1642765</v>
      </c>
      <c r="I69" s="1364">
        <f>'Table 7 Local Revenue'!AP70</f>
        <v>53850.5</v>
      </c>
      <c r="J69" s="1956">
        <f t="shared" si="6"/>
        <v>6222252.5</v>
      </c>
    </row>
    <row r="70" spans="1:10" ht="15" customHeight="1">
      <c r="A70" s="1344">
        <v>64</v>
      </c>
      <c r="B70" s="1287" t="s">
        <v>143</v>
      </c>
      <c r="C70" s="1295">
        <f>'Table 7 Local Revenue'!AE71</f>
        <v>3241653</v>
      </c>
      <c r="D70" s="1295">
        <f>'Table 7 Local Revenue'!H71</f>
        <v>64841518</v>
      </c>
      <c r="E70" s="1295">
        <f t="shared" si="4"/>
        <v>1076437</v>
      </c>
      <c r="F70" s="1294">
        <f>'Table 7 Local Revenue'!AI71</f>
        <v>3775345</v>
      </c>
      <c r="G70" s="1295">
        <f>'Table 7 Local Revenue'!AM71</f>
        <v>188767250</v>
      </c>
      <c r="H70" s="1295">
        <f t="shared" si="5"/>
        <v>1514472</v>
      </c>
      <c r="I70" s="1364">
        <f>'Table 7 Local Revenue'!AP71</f>
        <v>381669</v>
      </c>
      <c r="J70" s="1956">
        <f t="shared" si="6"/>
        <v>2972578</v>
      </c>
    </row>
    <row r="71" spans="1:10" ht="15" customHeight="1">
      <c r="A71" s="14">
        <v>65</v>
      </c>
      <c r="B71" s="15" t="s">
        <v>144</v>
      </c>
      <c r="C71" s="16">
        <f>'Table 7 Local Revenue'!AE72</f>
        <v>13001946</v>
      </c>
      <c r="D71" s="16">
        <f>'Table 7 Local Revenue'!H72</f>
        <v>344250632</v>
      </c>
      <c r="E71" s="16">
        <f>ROUND(D71*$E$4/1000,0)</f>
        <v>5714920</v>
      </c>
      <c r="F71" s="199">
        <f>'Table 7 Local Revenue'!AI72</f>
        <v>26408099</v>
      </c>
      <c r="G71" s="16">
        <f>'Table 7 Local Revenue'!AM72</f>
        <v>1320404950</v>
      </c>
      <c r="H71" s="16">
        <f>ROUND(G71*$H$4,0)</f>
        <v>10593556</v>
      </c>
      <c r="I71" s="184">
        <f>'Table 7 Local Revenue'!AP72</f>
        <v>293555</v>
      </c>
      <c r="J71" s="1957">
        <f>E71+H71+I71</f>
        <v>16602031</v>
      </c>
    </row>
    <row r="72" spans="1:10" ht="15" customHeight="1">
      <c r="A72" s="1365">
        <v>66</v>
      </c>
      <c r="B72" s="1366" t="s">
        <v>145</v>
      </c>
      <c r="C72" s="1367">
        <f>'Table 7 Local Revenue'!AE73</f>
        <v>4673151</v>
      </c>
      <c r="D72" s="1367">
        <f>'Table 7 Local Revenue'!H73</f>
        <v>74421580</v>
      </c>
      <c r="E72" s="1367">
        <f>ROUND(D72*$E$4/1000,0)</f>
        <v>1235476</v>
      </c>
      <c r="F72" s="1368">
        <f>'Table 7 Local Revenue'!AI73</f>
        <v>2506955</v>
      </c>
      <c r="G72" s="1367">
        <f>'Table 7 Local Revenue'!AM73</f>
        <v>250695500</v>
      </c>
      <c r="H72" s="1367">
        <f>ROUND(G72*$H$4,0)</f>
        <v>2011320</v>
      </c>
      <c r="I72" s="1369">
        <f>'Table 7 Local Revenue'!AP73</f>
        <v>212477</v>
      </c>
      <c r="J72" s="1958">
        <f>E72+H72+I72</f>
        <v>3459273</v>
      </c>
    </row>
    <row r="73" spans="1:10" ht="15" customHeight="1">
      <c r="A73" s="1344">
        <v>67</v>
      </c>
      <c r="B73" s="1287" t="s">
        <v>30</v>
      </c>
      <c r="C73" s="1295">
        <f>'Table 7 Local Revenue'!AE74</f>
        <v>16581303</v>
      </c>
      <c r="D73" s="1295">
        <f>'Table 7 Local Revenue'!H74</f>
        <v>211678775</v>
      </c>
      <c r="E73" s="1295">
        <f>ROUND(D73*$E$4/1000,0)</f>
        <v>3514089</v>
      </c>
      <c r="F73" s="1294">
        <f>'Table 7 Local Revenue'!AI74</f>
        <v>10177401</v>
      </c>
      <c r="G73" s="1295">
        <f>'Table 7 Local Revenue'!AM74</f>
        <v>508870050</v>
      </c>
      <c r="H73" s="1295">
        <f>ROUND(G73*$H$4,0)</f>
        <v>4082644</v>
      </c>
      <c r="I73" s="1364">
        <f>'Table 7 Local Revenue'!AP74</f>
        <v>84644</v>
      </c>
      <c r="J73" s="1956">
        <f>E73+H73+I73</f>
        <v>7681377</v>
      </c>
    </row>
    <row r="74" spans="1:10" ht="15" customHeight="1">
      <c r="A74" s="1344">
        <v>68</v>
      </c>
      <c r="B74" s="1287" t="s">
        <v>28</v>
      </c>
      <c r="C74" s="1295">
        <f>'Table 7 Local Revenue'!AE75</f>
        <v>1817805</v>
      </c>
      <c r="D74" s="1295">
        <f>'Table 7 Local Revenue'!H75</f>
        <v>43220750</v>
      </c>
      <c r="E74" s="1295">
        <f>ROUND(D74*$E$4/1000,0)</f>
        <v>717510</v>
      </c>
      <c r="F74" s="1294">
        <f>'Table 7 Local Revenue'!AI75</f>
        <v>2971848</v>
      </c>
      <c r="G74" s="1295">
        <f>'Table 7 Local Revenue'!AM75</f>
        <v>148592400</v>
      </c>
      <c r="H74" s="1295">
        <f>ROUND(G74*$H$4,0)</f>
        <v>1192151</v>
      </c>
      <c r="I74" s="1364">
        <f>'Table 7 Local Revenue'!AP75</f>
        <v>45978</v>
      </c>
      <c r="J74" s="1956">
        <f>E74+H74+I74</f>
        <v>1955639</v>
      </c>
    </row>
    <row r="75" spans="1:10" ht="15" customHeight="1">
      <c r="A75" s="124">
        <v>69</v>
      </c>
      <c r="B75" s="15" t="s">
        <v>183</v>
      </c>
      <c r="C75" s="12">
        <f>'Table 7 Local Revenue'!AE76</f>
        <v>7196548</v>
      </c>
      <c r="D75" s="12">
        <f>'Table 7 Local Revenue'!H76</f>
        <v>120818214.00000001</v>
      </c>
      <c r="E75" s="12">
        <f>ROUND(D75*$E$4/1000,0)</f>
        <v>2005708</v>
      </c>
      <c r="F75" s="198">
        <f>'Table 7 Local Revenue'!AI76</f>
        <v>7130754</v>
      </c>
      <c r="G75" s="12">
        <f>'Table 7 Local Revenue'!AM76</f>
        <v>285230160</v>
      </c>
      <c r="H75" s="12">
        <f>ROUND(G75*$H$4,0)</f>
        <v>2288390</v>
      </c>
      <c r="I75" s="183">
        <f>'Table 7 Local Revenue'!AP76</f>
        <v>205815</v>
      </c>
      <c r="J75" s="1959">
        <f>E75+H75+I75</f>
        <v>4499913</v>
      </c>
    </row>
    <row r="76" spans="1:10" ht="15" customHeight="1" thickBot="1">
      <c r="A76" s="13"/>
      <c r="B76" s="34" t="s">
        <v>78</v>
      </c>
      <c r="C76" s="35">
        <f t="shared" ref="C76:J76" si="7">SUM(C7:C75)</f>
        <v>1475705348</v>
      </c>
      <c r="D76" s="35">
        <f t="shared" si="7"/>
        <v>35814070376.900002</v>
      </c>
      <c r="E76" s="35">
        <f t="shared" si="7"/>
        <v>594550960</v>
      </c>
      <c r="F76" s="35">
        <f t="shared" si="7"/>
        <v>1714025872</v>
      </c>
      <c r="G76" s="35">
        <f t="shared" si="7"/>
        <v>86095616017.25</v>
      </c>
      <c r="H76" s="35">
        <f t="shared" si="7"/>
        <v>690741681</v>
      </c>
      <c r="I76" s="190">
        <f t="shared" si="7"/>
        <v>37327711.5</v>
      </c>
      <c r="J76" s="1960">
        <f t="shared" si="7"/>
        <v>1322620352.5</v>
      </c>
    </row>
    <row r="77" spans="1:10" ht="13.8" thickTop="1"/>
    <row r="78" spans="1:10" hidden="1">
      <c r="F78" s="253">
        <f>'Table 3 Levels 1&amp;2'!V73</f>
        <v>0.65</v>
      </c>
    </row>
    <row r="79" spans="1:10" hidden="1">
      <c r="F79" s="253">
        <v>0.4052</v>
      </c>
    </row>
  </sheetData>
  <mergeCells count="10">
    <mergeCell ref="J2:J4"/>
    <mergeCell ref="A2:A4"/>
    <mergeCell ref="B2:B4"/>
    <mergeCell ref="C2:E2"/>
    <mergeCell ref="C3:C4"/>
    <mergeCell ref="D3:D4"/>
    <mergeCell ref="F3:F4"/>
    <mergeCell ref="G3:G4"/>
    <mergeCell ref="F2:H2"/>
    <mergeCell ref="I2:I4"/>
  </mergeCells>
  <phoneticPr fontId="0" type="noConversion"/>
  <printOptions horizontalCentered="1"/>
  <pageMargins left="0.3" right="0.28999999999999998" top="1.19" bottom="0.38" header="0.33" footer="0.18"/>
  <pageSetup paperSize="5" scale="70" firstPageNumber="95" orientation="portrait" r:id="rId1"/>
  <headerFooter alignWithMargins="0">
    <oddHeader>&amp;L&amp;"Arial,Bold"&amp;18&amp;K000000TABLE 6: FY2014-15 Budget Letter 
Local Deduction Calculation</oddHeader>
    <oddFooter>&amp;R&amp;12&amp;P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R78"/>
  <sheetViews>
    <sheetView view="pageBreakPreview" topLeftCell="A3" zoomScale="80" zoomScaleNormal="85" zoomScaleSheetLayoutView="80" workbookViewId="0">
      <pane xSplit="2" ySplit="4" topLeftCell="C7" activePane="bottomRight" state="frozen"/>
      <selection sqref="A1:H1"/>
      <selection pane="topRight" sqref="A1:H1"/>
      <selection pane="bottomLeft" sqref="A1:H1"/>
      <selection pane="bottomRight" sqref="A1:H1"/>
    </sheetView>
  </sheetViews>
  <sheetFormatPr defaultRowHeight="13.2"/>
  <cols>
    <col min="1" max="1" width="4.6640625" customWidth="1"/>
    <col min="2" max="2" width="18.5546875" customWidth="1"/>
    <col min="3" max="3" width="16" customWidth="1"/>
    <col min="4" max="4" width="14.88671875" customWidth="1"/>
    <col min="5" max="5" width="15.6640625" customWidth="1"/>
    <col min="6" max="6" width="15.33203125" customWidth="1"/>
    <col min="7" max="7" width="9" customWidth="1"/>
    <col min="8" max="8" width="15.88671875" customWidth="1"/>
    <col min="9" max="9" width="10.44140625" bestFit="1" customWidth="1"/>
    <col min="10" max="10" width="13.109375" bestFit="1" customWidth="1"/>
    <col min="11" max="11" width="10.44140625" bestFit="1" customWidth="1"/>
    <col min="12" max="12" width="13" customWidth="1"/>
    <col min="13" max="15" width="8.33203125" bestFit="1" customWidth="1"/>
    <col min="16" max="16" width="11.6640625" bestFit="1" customWidth="1"/>
    <col min="17" max="17" width="15.44140625" customWidth="1"/>
    <col min="18" max="18" width="7.88671875" customWidth="1"/>
    <col min="19" max="19" width="17.109375" bestFit="1" customWidth="1"/>
    <col min="20" max="21" width="10.6640625" customWidth="1"/>
    <col min="22" max="22" width="9.109375" customWidth="1"/>
    <col min="23" max="23" width="16.5546875" bestFit="1" customWidth="1"/>
    <col min="24" max="24" width="13" bestFit="1" customWidth="1"/>
    <col min="25" max="25" width="12.88671875" customWidth="1"/>
    <col min="26" max="26" width="14.44140625" customWidth="1"/>
    <col min="27" max="27" width="12.88671875" customWidth="1"/>
    <col min="28" max="30" width="10.6640625" customWidth="1"/>
    <col min="31" max="31" width="16.109375" customWidth="1"/>
    <col min="32" max="32" width="10.5546875" customWidth="1"/>
    <col min="33" max="33" width="16.44140625" bestFit="1" customWidth="1"/>
    <col min="34" max="34" width="15.44140625" bestFit="1" customWidth="1"/>
    <col min="35" max="35" width="18.44140625" customWidth="1"/>
    <col min="36" max="36" width="16.88671875" bestFit="1" customWidth="1"/>
    <col min="37" max="37" width="17.44140625" bestFit="1" customWidth="1"/>
    <col min="38" max="38" width="12.33203125" bestFit="1" customWidth="1"/>
    <col min="39" max="39" width="20.109375" bestFit="1" customWidth="1"/>
    <col min="40" max="41" width="13.44140625" bestFit="1" customWidth="1"/>
    <col min="42" max="42" width="23.88671875" customWidth="1"/>
    <col min="43" max="43" width="19.109375" bestFit="1" customWidth="1"/>
    <col min="44" max="44" width="14.44140625" bestFit="1" customWidth="1"/>
  </cols>
  <sheetData>
    <row r="1" spans="1:44" ht="20.399999999999999" hidden="1">
      <c r="A1" s="39" t="s">
        <v>179</v>
      </c>
      <c r="B1" s="121"/>
      <c r="C1" s="122"/>
      <c r="D1" s="123"/>
      <c r="E1" s="123"/>
      <c r="F1" s="123"/>
      <c r="G1" s="123"/>
      <c r="H1" s="123"/>
      <c r="I1" s="53"/>
      <c r="J1" s="53"/>
      <c r="K1" s="53"/>
      <c r="L1" s="53"/>
      <c r="M1" s="53"/>
      <c r="N1" s="53"/>
      <c r="O1" s="53"/>
      <c r="P1" s="53"/>
      <c r="Q1" s="53"/>
      <c r="R1" s="53"/>
      <c r="S1" s="53"/>
      <c r="T1" s="53"/>
      <c r="U1" s="53"/>
      <c r="V1" s="53"/>
      <c r="W1" s="53"/>
      <c r="X1" s="53"/>
      <c r="Y1" s="53"/>
      <c r="Z1" s="53"/>
      <c r="AA1" s="53"/>
      <c r="AB1" s="53"/>
      <c r="AC1" s="53"/>
      <c r="AD1" s="53"/>
      <c r="AE1" s="115"/>
      <c r="AF1" s="116"/>
      <c r="AG1" s="2"/>
      <c r="AH1" s="2"/>
      <c r="AI1" s="2"/>
      <c r="AJ1" s="2"/>
      <c r="AK1" s="2"/>
      <c r="AL1" s="2"/>
      <c r="AM1" s="2"/>
      <c r="AN1" s="2"/>
      <c r="AO1" s="2"/>
      <c r="AP1" s="117"/>
      <c r="AQ1" s="2"/>
    </row>
    <row r="2" spans="1:44" ht="39.6" hidden="1">
      <c r="A2" s="39"/>
      <c r="C2" s="2423" t="s">
        <v>23</v>
      </c>
      <c r="D2" s="2424"/>
      <c r="E2" s="104"/>
      <c r="F2" s="104"/>
      <c r="G2" s="104"/>
      <c r="H2" s="104"/>
      <c r="I2" s="121" t="s">
        <v>37</v>
      </c>
      <c r="J2" s="121" t="s">
        <v>38</v>
      </c>
      <c r="K2" s="121" t="s">
        <v>39</v>
      </c>
      <c r="L2" s="121" t="s">
        <v>40</v>
      </c>
      <c r="M2" s="121" t="s">
        <v>41</v>
      </c>
      <c r="N2" s="121" t="s">
        <v>42</v>
      </c>
      <c r="O2" s="121" t="s">
        <v>43</v>
      </c>
      <c r="P2" s="121" t="s">
        <v>44</v>
      </c>
      <c r="Q2" s="104" t="s">
        <v>21</v>
      </c>
      <c r="R2" s="121" t="s">
        <v>45</v>
      </c>
      <c r="S2" s="121" t="s">
        <v>46</v>
      </c>
      <c r="T2" s="121" t="s">
        <v>47</v>
      </c>
      <c r="U2" s="121" t="s">
        <v>48</v>
      </c>
      <c r="V2" s="121" t="s">
        <v>49</v>
      </c>
      <c r="W2" s="121" t="s">
        <v>50</v>
      </c>
      <c r="X2" s="104" t="s">
        <v>22</v>
      </c>
      <c r="Y2" s="104" t="s">
        <v>31</v>
      </c>
      <c r="Z2" s="104" t="s">
        <v>32</v>
      </c>
      <c r="AA2" s="104" t="s">
        <v>33</v>
      </c>
      <c r="AB2" s="104" t="s">
        <v>34</v>
      </c>
      <c r="AC2" s="104" t="s">
        <v>35</v>
      </c>
      <c r="AD2" s="104" t="s">
        <v>24</v>
      </c>
      <c r="AE2" s="204"/>
      <c r="AF2" s="99" t="s">
        <v>63</v>
      </c>
      <c r="AG2" s="99" t="s">
        <v>64</v>
      </c>
      <c r="AH2" s="98" t="s">
        <v>174</v>
      </c>
      <c r="AI2" s="98"/>
      <c r="AJ2" s="100"/>
      <c r="AK2" s="100" t="s">
        <v>25</v>
      </c>
      <c r="AL2" s="143"/>
      <c r="AM2" s="143"/>
      <c r="AN2" s="104" t="s">
        <v>26</v>
      </c>
      <c r="AO2" s="104" t="s">
        <v>27</v>
      </c>
      <c r="AP2" s="108" t="s">
        <v>67</v>
      </c>
      <c r="AQ2" s="131" t="s">
        <v>20</v>
      </c>
      <c r="AR2" s="108" t="s">
        <v>68</v>
      </c>
    </row>
    <row r="3" spans="1:44" ht="39.75" customHeight="1">
      <c r="A3" s="2137" t="s">
        <v>173</v>
      </c>
      <c r="B3" s="2137" t="s">
        <v>1</v>
      </c>
      <c r="C3" s="2427" t="s">
        <v>591</v>
      </c>
      <c r="D3" s="2428"/>
      <c r="E3" s="2429"/>
      <c r="F3" s="2429"/>
      <c r="G3" s="2429"/>
      <c r="H3" s="2430"/>
      <c r="I3" s="2425" t="s">
        <v>2</v>
      </c>
      <c r="J3" s="2426"/>
      <c r="K3" s="2418" t="s">
        <v>51</v>
      </c>
      <c r="L3" s="2419"/>
      <c r="M3" s="2419"/>
      <c r="N3" s="2419"/>
      <c r="O3" s="2419"/>
      <c r="P3" s="2420"/>
      <c r="Q3" s="2415" t="s">
        <v>190</v>
      </c>
      <c r="R3" s="2418" t="s">
        <v>52</v>
      </c>
      <c r="S3" s="2419"/>
      <c r="T3" s="2419"/>
      <c r="U3" s="2419"/>
      <c r="V3" s="2419"/>
      <c r="W3" s="2420"/>
      <c r="X3" s="2415" t="s">
        <v>53</v>
      </c>
      <c r="Y3" s="2418" t="s">
        <v>36</v>
      </c>
      <c r="Z3" s="2419"/>
      <c r="AA3" s="2419"/>
      <c r="AB3" s="2419"/>
      <c r="AC3" s="2419"/>
      <c r="AD3" s="2419"/>
      <c r="AE3" s="2415" t="s">
        <v>592</v>
      </c>
      <c r="AF3" s="2418" t="s">
        <v>65</v>
      </c>
      <c r="AG3" s="2419"/>
      <c r="AH3" s="2419"/>
      <c r="AI3" s="2415" t="s">
        <v>593</v>
      </c>
      <c r="AJ3" s="2418" t="s">
        <v>79</v>
      </c>
      <c r="AK3" s="2419"/>
      <c r="AL3" s="2419"/>
      <c r="AM3" s="2419"/>
      <c r="AN3" s="2419"/>
      <c r="AO3" s="2420"/>
      <c r="AP3" s="2435" t="s">
        <v>594</v>
      </c>
      <c r="AQ3" s="2434" t="s">
        <v>200</v>
      </c>
      <c r="AR3" s="2431" t="s">
        <v>207</v>
      </c>
    </row>
    <row r="4" spans="1:44" ht="71.25" customHeight="1">
      <c r="A4" s="2403"/>
      <c r="B4" s="2403"/>
      <c r="C4" s="2421" t="s">
        <v>595</v>
      </c>
      <c r="D4" s="2421" t="s">
        <v>596</v>
      </c>
      <c r="E4" s="2137" t="s">
        <v>597</v>
      </c>
      <c r="F4" s="2421" t="s">
        <v>599</v>
      </c>
      <c r="G4" s="2421" t="s">
        <v>184</v>
      </c>
      <c r="H4" s="535" t="s">
        <v>598</v>
      </c>
      <c r="I4" s="2421" t="s">
        <v>6</v>
      </c>
      <c r="J4" s="2421" t="s">
        <v>54</v>
      </c>
      <c r="K4" s="2421" t="s">
        <v>6</v>
      </c>
      <c r="L4" s="2421" t="s">
        <v>54</v>
      </c>
      <c r="M4" s="2421" t="s">
        <v>55</v>
      </c>
      <c r="N4" s="2421" t="s">
        <v>56</v>
      </c>
      <c r="O4" s="2421" t="s">
        <v>57</v>
      </c>
      <c r="P4" s="2421" t="s">
        <v>199</v>
      </c>
      <c r="Q4" s="2416"/>
      <c r="R4" s="2421" t="s">
        <v>6</v>
      </c>
      <c r="S4" s="2421" t="s">
        <v>11</v>
      </c>
      <c r="T4" s="2421" t="s">
        <v>7</v>
      </c>
      <c r="U4" s="2421" t="s">
        <v>8</v>
      </c>
      <c r="V4" s="2421" t="s">
        <v>9</v>
      </c>
      <c r="W4" s="2421" t="s">
        <v>10</v>
      </c>
      <c r="X4" s="2416"/>
      <c r="Y4" s="2421" t="s">
        <v>16</v>
      </c>
      <c r="Z4" s="2421" t="s">
        <v>15</v>
      </c>
      <c r="AA4" s="2421" t="s">
        <v>14</v>
      </c>
      <c r="AB4" s="2421" t="s">
        <v>13</v>
      </c>
      <c r="AC4" s="2421" t="s">
        <v>12</v>
      </c>
      <c r="AD4" s="2421" t="s">
        <v>17</v>
      </c>
      <c r="AE4" s="2416"/>
      <c r="AF4" s="2422" t="s">
        <v>3</v>
      </c>
      <c r="AG4" s="2422" t="s">
        <v>4</v>
      </c>
      <c r="AH4" s="2422" t="s">
        <v>5</v>
      </c>
      <c r="AI4" s="2416"/>
      <c r="AJ4" s="2422" t="s">
        <v>780</v>
      </c>
      <c r="AK4" s="2422" t="s">
        <v>590</v>
      </c>
      <c r="AL4" s="2422" t="s">
        <v>182</v>
      </c>
      <c r="AM4" s="221" t="s">
        <v>77</v>
      </c>
      <c r="AN4" s="2422" t="s">
        <v>80</v>
      </c>
      <c r="AO4" s="2422" t="s">
        <v>18</v>
      </c>
      <c r="AP4" s="2436"/>
      <c r="AQ4" s="2432"/>
      <c r="AR4" s="2432"/>
    </row>
    <row r="5" spans="1:44" s="250" customFormat="1" ht="16.5" customHeight="1">
      <c r="A5" s="2404"/>
      <c r="B5" s="2404"/>
      <c r="C5" s="2421"/>
      <c r="D5" s="2421"/>
      <c r="E5" s="2138"/>
      <c r="F5" s="2421"/>
      <c r="G5" s="2421"/>
      <c r="H5" s="330">
        <v>0.1</v>
      </c>
      <c r="I5" s="2421"/>
      <c r="J5" s="2421"/>
      <c r="K5" s="2421"/>
      <c r="L5" s="2421"/>
      <c r="M5" s="2421"/>
      <c r="N5" s="2421"/>
      <c r="O5" s="2421"/>
      <c r="P5" s="2421"/>
      <c r="Q5" s="2417"/>
      <c r="R5" s="2421"/>
      <c r="S5" s="2421"/>
      <c r="T5" s="2421"/>
      <c r="U5" s="2421"/>
      <c r="V5" s="2421"/>
      <c r="W5" s="2421"/>
      <c r="X5" s="2417"/>
      <c r="Y5" s="2421"/>
      <c r="Z5" s="2421"/>
      <c r="AA5" s="2421"/>
      <c r="AB5" s="2421"/>
      <c r="AC5" s="2421"/>
      <c r="AD5" s="2421"/>
      <c r="AE5" s="2417"/>
      <c r="AF5" s="2422"/>
      <c r="AG5" s="2422"/>
      <c r="AH5" s="2422"/>
      <c r="AI5" s="2417"/>
      <c r="AJ5" s="2422"/>
      <c r="AK5" s="2422"/>
      <c r="AL5" s="2422"/>
      <c r="AM5" s="330">
        <v>0.15</v>
      </c>
      <c r="AN5" s="2422"/>
      <c r="AO5" s="2422"/>
      <c r="AP5" s="2437"/>
      <c r="AQ5" s="2433"/>
      <c r="AR5" s="2433"/>
    </row>
    <row r="6" spans="1:44">
      <c r="A6" s="52"/>
      <c r="B6" s="58"/>
      <c r="C6" s="182">
        <v>1</v>
      </c>
      <c r="D6" s="181">
        <f>C6+1</f>
        <v>2</v>
      </c>
      <c r="E6" s="181">
        <v>3</v>
      </c>
      <c r="F6" s="189" t="s">
        <v>186</v>
      </c>
      <c r="G6" s="189" t="s">
        <v>187</v>
      </c>
      <c r="H6" s="173" t="s">
        <v>188</v>
      </c>
      <c r="I6" s="172">
        <f>E6+1</f>
        <v>4</v>
      </c>
      <c r="J6" s="181">
        <f t="shared" ref="J6:AR6" si="0">I6+1</f>
        <v>5</v>
      </c>
      <c r="K6" s="181">
        <f t="shared" si="0"/>
        <v>6</v>
      </c>
      <c r="L6" s="181">
        <f t="shared" si="0"/>
        <v>7</v>
      </c>
      <c r="M6" s="181">
        <f t="shared" si="0"/>
        <v>8</v>
      </c>
      <c r="N6" s="181">
        <f t="shared" si="0"/>
        <v>9</v>
      </c>
      <c r="O6" s="181">
        <f t="shared" si="0"/>
        <v>10</v>
      </c>
      <c r="P6" s="181">
        <f t="shared" si="0"/>
        <v>11</v>
      </c>
      <c r="Q6" s="181">
        <f t="shared" si="0"/>
        <v>12</v>
      </c>
      <c r="R6" s="181">
        <f t="shared" si="0"/>
        <v>13</v>
      </c>
      <c r="S6" s="181">
        <f t="shared" si="0"/>
        <v>14</v>
      </c>
      <c r="T6" s="181">
        <f t="shared" si="0"/>
        <v>15</v>
      </c>
      <c r="U6" s="181">
        <f t="shared" si="0"/>
        <v>16</v>
      </c>
      <c r="V6" s="181">
        <f t="shared" si="0"/>
        <v>17</v>
      </c>
      <c r="W6" s="181">
        <f t="shared" si="0"/>
        <v>18</v>
      </c>
      <c r="X6" s="181">
        <f t="shared" si="0"/>
        <v>19</v>
      </c>
      <c r="Y6" s="181">
        <f t="shared" si="0"/>
        <v>20</v>
      </c>
      <c r="Z6" s="181">
        <f t="shared" si="0"/>
        <v>21</v>
      </c>
      <c r="AA6" s="181">
        <f t="shared" si="0"/>
        <v>22</v>
      </c>
      <c r="AB6" s="181">
        <f t="shared" si="0"/>
        <v>23</v>
      </c>
      <c r="AC6" s="181">
        <f t="shared" si="0"/>
        <v>24</v>
      </c>
      <c r="AD6" s="181">
        <f t="shared" si="0"/>
        <v>25</v>
      </c>
      <c r="AE6" s="181">
        <f t="shared" si="0"/>
        <v>26</v>
      </c>
      <c r="AF6" s="181">
        <f t="shared" si="0"/>
        <v>27</v>
      </c>
      <c r="AG6" s="181">
        <f t="shared" si="0"/>
        <v>28</v>
      </c>
      <c r="AH6" s="181">
        <f t="shared" si="0"/>
        <v>29</v>
      </c>
      <c r="AI6" s="181">
        <f t="shared" si="0"/>
        <v>30</v>
      </c>
      <c r="AJ6" s="181">
        <f t="shared" si="0"/>
        <v>31</v>
      </c>
      <c r="AK6" s="181">
        <f t="shared" si="0"/>
        <v>32</v>
      </c>
      <c r="AL6" s="181">
        <f t="shared" si="0"/>
        <v>33</v>
      </c>
      <c r="AM6" s="181">
        <f t="shared" si="0"/>
        <v>34</v>
      </c>
      <c r="AN6" s="181">
        <f t="shared" si="0"/>
        <v>35</v>
      </c>
      <c r="AO6" s="181">
        <f t="shared" si="0"/>
        <v>36</v>
      </c>
      <c r="AP6" s="181">
        <f t="shared" si="0"/>
        <v>37</v>
      </c>
      <c r="AQ6" s="181">
        <f t="shared" si="0"/>
        <v>38</v>
      </c>
      <c r="AR6" s="172">
        <f t="shared" si="0"/>
        <v>39</v>
      </c>
    </row>
    <row r="7" spans="1:44" ht="0.75" customHeight="1">
      <c r="A7" s="9"/>
      <c r="B7" s="191"/>
      <c r="C7" s="193"/>
      <c r="D7" s="194"/>
      <c r="E7" s="194"/>
      <c r="F7" s="109"/>
      <c r="G7" s="109"/>
      <c r="H7" s="109"/>
      <c r="I7" s="218"/>
      <c r="J7" s="202"/>
      <c r="K7" s="193"/>
      <c r="L7" s="202"/>
      <c r="M7" s="193"/>
      <c r="N7" s="193"/>
      <c r="O7" s="193"/>
      <c r="P7" s="202"/>
      <c r="Q7" s="193"/>
      <c r="R7" s="193"/>
      <c r="S7" s="202"/>
      <c r="T7" s="193"/>
      <c r="U7" s="193"/>
      <c r="V7" s="193"/>
      <c r="W7" s="202"/>
      <c r="X7" s="193"/>
      <c r="Y7" s="193"/>
      <c r="Z7" s="193"/>
      <c r="AA7" s="193"/>
      <c r="AB7" s="193"/>
      <c r="AC7" s="193"/>
      <c r="AD7" s="194"/>
      <c r="AE7" s="205"/>
      <c r="AF7" s="213"/>
      <c r="AG7" s="195"/>
      <c r="AH7" s="196"/>
      <c r="AI7" s="197"/>
      <c r="AJ7" s="10"/>
      <c r="AK7" s="10"/>
      <c r="AL7" s="11"/>
      <c r="AM7" s="11"/>
      <c r="AN7" s="11"/>
      <c r="AO7" s="11"/>
      <c r="AP7" s="56"/>
      <c r="AQ7" s="110"/>
      <c r="AR7" s="110"/>
    </row>
    <row r="8" spans="1:44">
      <c r="A8" s="1344">
        <v>1</v>
      </c>
      <c r="B8" s="1345" t="s">
        <v>81</v>
      </c>
      <c r="C8" s="1295">
        <v>379079961</v>
      </c>
      <c r="D8" s="1295">
        <v>83701941</v>
      </c>
      <c r="E8" s="1295">
        <f>C8-D8</f>
        <v>295378020</v>
      </c>
      <c r="F8" s="1295">
        <v>290512798</v>
      </c>
      <c r="G8" s="1346">
        <f>(E8-F8)/F8</f>
        <v>1.6747014360448245E-2</v>
      </c>
      <c r="H8" s="1347">
        <f t="shared" ref="H8:H39" si="1">IF((E8-F8)/F8&gt;$H$5,F8*(1+$H$5),E8)</f>
        <v>295378020</v>
      </c>
      <c r="I8" s="1348">
        <v>5.15</v>
      </c>
      <c r="J8" s="1349">
        <v>1599928</v>
      </c>
      <c r="K8" s="1348">
        <v>20.059999999999999</v>
      </c>
      <c r="L8" s="1349">
        <v>6060530</v>
      </c>
      <c r="M8" s="1350">
        <v>10</v>
      </c>
      <c r="N8" s="1350">
        <v>13.45</v>
      </c>
      <c r="O8" s="1350">
        <v>2</v>
      </c>
      <c r="P8" s="1349">
        <v>1047329</v>
      </c>
      <c r="Q8" s="1295">
        <f>J8+L8+P8</f>
        <v>8707787</v>
      </c>
      <c r="R8" s="1361">
        <v>0</v>
      </c>
      <c r="S8" s="1349">
        <v>0</v>
      </c>
      <c r="T8" s="1350">
        <v>12</v>
      </c>
      <c r="U8" s="1350">
        <v>12</v>
      </c>
      <c r="V8" s="1350">
        <v>1</v>
      </c>
      <c r="W8" s="1349">
        <v>483598</v>
      </c>
      <c r="X8" s="1295">
        <f>S8+W8</f>
        <v>483598</v>
      </c>
      <c r="Y8" s="1351">
        <f>I8+K8+R8</f>
        <v>25.21</v>
      </c>
      <c r="Z8" s="1295">
        <f>J8+L8+S8</f>
        <v>7660458</v>
      </c>
      <c r="AA8" s="1295">
        <f>P8+W8</f>
        <v>1530927</v>
      </c>
      <c r="AB8" s="1352">
        <f t="shared" ref="AB8:AB39" si="2">ROUND((X8/E8)*1000,2)</f>
        <v>1.64</v>
      </c>
      <c r="AC8" s="1353">
        <f t="shared" ref="AC8:AC39" si="3">ROUND((Q8/E8)*1000,2)</f>
        <v>29.48</v>
      </c>
      <c r="AD8" s="1354">
        <f t="shared" ref="AD8:AD39" si="4">ROUND((AE8/E8)*1000,2)</f>
        <v>31.12</v>
      </c>
      <c r="AE8" s="1355">
        <f>X8+Q8</f>
        <v>9191385</v>
      </c>
      <c r="AF8" s="1356">
        <v>1.4999999999999999E-2</v>
      </c>
      <c r="AG8" s="1357">
        <v>11807323</v>
      </c>
      <c r="AH8" s="1357">
        <v>0</v>
      </c>
      <c r="AI8" s="1358">
        <f>AG8+AH8</f>
        <v>11807323</v>
      </c>
      <c r="AJ8" s="1355">
        <v>757979467</v>
      </c>
      <c r="AK8" s="1355">
        <f t="shared" ref="AK8:AK18" si="5">ROUND(AI8/AF8,0)</f>
        <v>787154867</v>
      </c>
      <c r="AL8" s="1359">
        <f>(AK8-AJ8)/AJ8</f>
        <v>3.8491016274455364E-2</v>
      </c>
      <c r="AM8" s="1360">
        <f>IF((AK8-AJ8)/AJ8&gt;$AM$5,AJ8*(1+$AM$5),AK8)</f>
        <v>787154867</v>
      </c>
      <c r="AN8" s="1346">
        <f t="shared" ref="AN8:AN39" si="6">AG8/AK8</f>
        <v>1.4999999993648009E-2</v>
      </c>
      <c r="AO8" s="1346">
        <f t="shared" ref="AO8:AO39" si="7">AH8/AK8</f>
        <v>0</v>
      </c>
      <c r="AP8" s="1355">
        <v>498512.5</v>
      </c>
      <c r="AQ8" s="1355">
        <f t="shared" ref="AQ8:AQ39" si="8">AP8+AE8+AI8</f>
        <v>21497220.5</v>
      </c>
      <c r="AR8" s="1355">
        <f>ROUND(AQ8/'Table 3 Levels 1&amp;2'!C4,2)</f>
        <v>2217.12</v>
      </c>
    </row>
    <row r="9" spans="1:44">
      <c r="A9" s="1344">
        <v>2</v>
      </c>
      <c r="B9" s="1345" t="s">
        <v>82</v>
      </c>
      <c r="C9" s="1295">
        <v>110092845</v>
      </c>
      <c r="D9" s="1295">
        <v>26254850</v>
      </c>
      <c r="E9" s="1295">
        <f t="shared" ref="E9:E72" si="9">C9-D9</f>
        <v>83837995</v>
      </c>
      <c r="F9" s="1295">
        <v>77481772</v>
      </c>
      <c r="G9" s="1346">
        <f t="shared" ref="G9:G72" si="10">(E9-F9)/F9</f>
        <v>8.2035075294870641E-2</v>
      </c>
      <c r="H9" s="1347">
        <f t="shared" si="1"/>
        <v>83837995</v>
      </c>
      <c r="I9" s="1348">
        <v>4.28</v>
      </c>
      <c r="J9" s="1349">
        <v>341959</v>
      </c>
      <c r="K9" s="1348">
        <v>5.15</v>
      </c>
      <c r="L9" s="1349">
        <v>444909</v>
      </c>
      <c r="M9" s="1350">
        <v>12.89</v>
      </c>
      <c r="N9" s="1350">
        <v>90.06</v>
      </c>
      <c r="O9" s="1350">
        <v>6</v>
      </c>
      <c r="P9" s="1349">
        <v>1672210</v>
      </c>
      <c r="Q9" s="1295">
        <f t="shared" ref="Q9:Q72" si="11">J9+L9+P9</f>
        <v>2459078</v>
      </c>
      <c r="R9" s="1350">
        <v>0</v>
      </c>
      <c r="S9" s="1349">
        <v>0</v>
      </c>
      <c r="T9" s="1350">
        <v>21.8</v>
      </c>
      <c r="U9" s="1350">
        <v>36</v>
      </c>
      <c r="V9" s="1350">
        <v>4</v>
      </c>
      <c r="W9" s="1349">
        <v>1562832</v>
      </c>
      <c r="X9" s="1295">
        <f t="shared" ref="X9:X72" si="12">S9+W9</f>
        <v>1562832</v>
      </c>
      <c r="Y9" s="1351">
        <f t="shared" ref="Y9:Y72" si="13">I9+K9+R9</f>
        <v>9.43</v>
      </c>
      <c r="Z9" s="1295">
        <f t="shared" ref="Z9:Z72" si="14">J9+L9+S9</f>
        <v>786868</v>
      </c>
      <c r="AA9" s="1295">
        <f t="shared" ref="AA9:AA72" si="15">P9+W9</f>
        <v>3235042</v>
      </c>
      <c r="AB9" s="1352">
        <f t="shared" si="2"/>
        <v>18.64</v>
      </c>
      <c r="AC9" s="1353">
        <f t="shared" si="3"/>
        <v>29.33</v>
      </c>
      <c r="AD9" s="1354">
        <f t="shared" si="4"/>
        <v>47.97</v>
      </c>
      <c r="AE9" s="1355">
        <f t="shared" ref="AE9:AE72" si="16">X9+Q9</f>
        <v>4021910</v>
      </c>
      <c r="AF9" s="1356">
        <v>0.03</v>
      </c>
      <c r="AG9" s="1357">
        <v>7341075</v>
      </c>
      <c r="AH9" s="1357">
        <v>0</v>
      </c>
      <c r="AI9" s="1358">
        <f t="shared" ref="AI9:AI72" si="17">AG9+AH9</f>
        <v>7341075</v>
      </c>
      <c r="AJ9" s="1355">
        <v>239069633</v>
      </c>
      <c r="AK9" s="1355">
        <f t="shared" si="5"/>
        <v>244702500</v>
      </c>
      <c r="AL9" s="1359">
        <f t="shared" ref="AL9:AL72" si="18">(AK9-AJ9)/AJ9</f>
        <v>2.356161646008801E-2</v>
      </c>
      <c r="AM9" s="1360">
        <f t="shared" ref="AM9:AM72" si="19">IF((AK9-AJ9)/AJ9&gt;$AM$5,AJ9*(1+$AM$5),AK9)</f>
        <v>244702500</v>
      </c>
      <c r="AN9" s="1346">
        <f t="shared" si="6"/>
        <v>0.03</v>
      </c>
      <c r="AO9" s="1346">
        <f t="shared" si="7"/>
        <v>0</v>
      </c>
      <c r="AP9" s="1355">
        <v>101185</v>
      </c>
      <c r="AQ9" s="1355">
        <f t="shared" si="8"/>
        <v>11464170</v>
      </c>
      <c r="AR9" s="1355">
        <f>ROUND(AQ9/'Table 3 Levels 1&amp;2'!C5,2)</f>
        <v>2805.03</v>
      </c>
    </row>
    <row r="10" spans="1:44">
      <c r="A10" s="1344">
        <v>3</v>
      </c>
      <c r="B10" s="1345" t="s">
        <v>83</v>
      </c>
      <c r="C10" s="1295">
        <v>1153499800</v>
      </c>
      <c r="D10" s="1295">
        <v>201515874</v>
      </c>
      <c r="E10" s="1295">
        <f t="shared" si="9"/>
        <v>951983926</v>
      </c>
      <c r="F10" s="1295">
        <v>875112560</v>
      </c>
      <c r="G10" s="1346">
        <f t="shared" si="10"/>
        <v>8.784168975931507E-2</v>
      </c>
      <c r="H10" s="1347">
        <f t="shared" si="1"/>
        <v>951983926</v>
      </c>
      <c r="I10" s="1348">
        <v>3.61</v>
      </c>
      <c r="J10" s="1349">
        <v>3488335</v>
      </c>
      <c r="K10" s="1348">
        <v>42.9</v>
      </c>
      <c r="L10" s="1349">
        <v>39272040</v>
      </c>
      <c r="M10" s="1350">
        <v>0</v>
      </c>
      <c r="N10" s="1350">
        <v>0</v>
      </c>
      <c r="O10" s="1350">
        <v>0</v>
      </c>
      <c r="P10" s="1349">
        <v>0</v>
      </c>
      <c r="Q10" s="1295">
        <f t="shared" si="11"/>
        <v>42760375</v>
      </c>
      <c r="R10" s="1350">
        <v>15.08</v>
      </c>
      <c r="S10" s="1349">
        <v>15926348</v>
      </c>
      <c r="T10" s="1350">
        <v>0</v>
      </c>
      <c r="U10" s="1350">
        <v>0</v>
      </c>
      <c r="V10" s="1350">
        <v>0</v>
      </c>
      <c r="W10" s="1349">
        <v>0</v>
      </c>
      <c r="X10" s="1295">
        <f t="shared" si="12"/>
        <v>15926348</v>
      </c>
      <c r="Y10" s="1351">
        <f t="shared" si="13"/>
        <v>61.589999999999996</v>
      </c>
      <c r="Z10" s="1295">
        <f t="shared" si="14"/>
        <v>58686723</v>
      </c>
      <c r="AA10" s="1295">
        <f t="shared" si="15"/>
        <v>0</v>
      </c>
      <c r="AB10" s="1352">
        <f t="shared" si="2"/>
        <v>16.73</v>
      </c>
      <c r="AC10" s="1353">
        <f t="shared" si="3"/>
        <v>44.92</v>
      </c>
      <c r="AD10" s="1354">
        <f t="shared" si="4"/>
        <v>61.65</v>
      </c>
      <c r="AE10" s="1355">
        <f t="shared" si="16"/>
        <v>58686723</v>
      </c>
      <c r="AF10" s="1356">
        <v>0.02</v>
      </c>
      <c r="AG10" s="1357">
        <v>59160535</v>
      </c>
      <c r="AH10" s="1357">
        <v>0</v>
      </c>
      <c r="AI10" s="1358">
        <f t="shared" si="17"/>
        <v>59160535</v>
      </c>
      <c r="AJ10" s="1355">
        <v>2491197300</v>
      </c>
      <c r="AK10" s="1355">
        <f t="shared" si="5"/>
        <v>2958026750</v>
      </c>
      <c r="AL10" s="1356">
        <f t="shared" si="18"/>
        <v>0.18739160081780756</v>
      </c>
      <c r="AM10" s="1355">
        <f t="shared" si="19"/>
        <v>2864876895</v>
      </c>
      <c r="AN10" s="1346">
        <f t="shared" si="6"/>
        <v>0.02</v>
      </c>
      <c r="AO10" s="1346">
        <f t="shared" si="7"/>
        <v>0</v>
      </c>
      <c r="AP10" s="1355">
        <v>201912</v>
      </c>
      <c r="AQ10" s="1355">
        <f t="shared" si="8"/>
        <v>118049170</v>
      </c>
      <c r="AR10" s="1355">
        <f>ROUND(AQ10/'Table 3 Levels 1&amp;2'!C6,2)</f>
        <v>5632.65</v>
      </c>
    </row>
    <row r="11" spans="1:44">
      <c r="A11" s="1344">
        <v>4</v>
      </c>
      <c r="B11" s="1345" t="s">
        <v>84</v>
      </c>
      <c r="C11" s="1295">
        <v>179274470</v>
      </c>
      <c r="D11" s="1295">
        <v>36323068</v>
      </c>
      <c r="E11" s="1295">
        <f t="shared" si="9"/>
        <v>142951402</v>
      </c>
      <c r="F11" s="1295">
        <v>140247799</v>
      </c>
      <c r="G11" s="1346">
        <f t="shared" si="10"/>
        <v>1.9277329264896344E-2</v>
      </c>
      <c r="H11" s="1347">
        <f t="shared" si="1"/>
        <v>142951402</v>
      </c>
      <c r="I11" s="1348">
        <v>5.49</v>
      </c>
      <c r="J11" s="1349">
        <v>778161</v>
      </c>
      <c r="K11" s="1348">
        <v>33.880000000000003</v>
      </c>
      <c r="L11" s="1349">
        <v>4806138</v>
      </c>
      <c r="M11" s="1350">
        <v>0</v>
      </c>
      <c r="N11" s="1350">
        <v>0</v>
      </c>
      <c r="O11" s="1350">
        <v>0</v>
      </c>
      <c r="P11" s="1349">
        <v>0</v>
      </c>
      <c r="Q11" s="1295">
        <f t="shared" si="11"/>
        <v>5584299</v>
      </c>
      <c r="R11" s="1350">
        <v>0</v>
      </c>
      <c r="S11" s="1349">
        <v>2229</v>
      </c>
      <c r="T11" s="1350">
        <v>0</v>
      </c>
      <c r="U11" s="1350">
        <v>0</v>
      </c>
      <c r="V11" s="1350">
        <v>0</v>
      </c>
      <c r="W11" s="1349">
        <v>0</v>
      </c>
      <c r="X11" s="1295">
        <f t="shared" si="12"/>
        <v>2229</v>
      </c>
      <c r="Y11" s="1351">
        <f t="shared" si="13"/>
        <v>39.370000000000005</v>
      </c>
      <c r="Z11" s="1295">
        <f t="shared" si="14"/>
        <v>5586528</v>
      </c>
      <c r="AA11" s="1295">
        <f t="shared" si="15"/>
        <v>0</v>
      </c>
      <c r="AB11" s="1352">
        <f t="shared" si="2"/>
        <v>0.02</v>
      </c>
      <c r="AC11" s="1353">
        <f t="shared" si="3"/>
        <v>39.06</v>
      </c>
      <c r="AD11" s="1354">
        <f t="shared" si="4"/>
        <v>39.08</v>
      </c>
      <c r="AE11" s="1355">
        <f t="shared" si="16"/>
        <v>5586528</v>
      </c>
      <c r="AF11" s="1356">
        <v>0.03</v>
      </c>
      <c r="AG11" s="1357">
        <v>7069565</v>
      </c>
      <c r="AH11" s="1357">
        <v>0</v>
      </c>
      <c r="AI11" s="1358">
        <f t="shared" si="17"/>
        <v>7069565</v>
      </c>
      <c r="AJ11" s="1355">
        <v>226148633</v>
      </c>
      <c r="AK11" s="1355">
        <f t="shared" si="5"/>
        <v>235652167</v>
      </c>
      <c r="AL11" s="1356">
        <f t="shared" si="18"/>
        <v>4.202339794819808E-2</v>
      </c>
      <c r="AM11" s="1355">
        <f t="shared" si="19"/>
        <v>235652167</v>
      </c>
      <c r="AN11" s="1346">
        <f t="shared" si="6"/>
        <v>2.9999999957564576E-2</v>
      </c>
      <c r="AO11" s="1346">
        <f t="shared" si="7"/>
        <v>0</v>
      </c>
      <c r="AP11" s="1355">
        <v>113761.5</v>
      </c>
      <c r="AQ11" s="1355">
        <f t="shared" si="8"/>
        <v>12769854.5</v>
      </c>
      <c r="AR11" s="1355">
        <f>ROUND(AQ11/'Table 3 Levels 1&amp;2'!C7,2)</f>
        <v>3577.99</v>
      </c>
    </row>
    <row r="12" spans="1:44">
      <c r="A12" s="14">
        <v>5</v>
      </c>
      <c r="B12" s="57" t="s">
        <v>85</v>
      </c>
      <c r="C12" s="16">
        <v>180693494</v>
      </c>
      <c r="D12" s="16">
        <v>58834511</v>
      </c>
      <c r="E12" s="16">
        <f t="shared" si="9"/>
        <v>121858983</v>
      </c>
      <c r="F12" s="16">
        <v>100860780</v>
      </c>
      <c r="G12" s="107">
        <f t="shared" si="10"/>
        <v>0.20818997235595441</v>
      </c>
      <c r="H12" s="892">
        <f t="shared" si="1"/>
        <v>110946858.00000001</v>
      </c>
      <c r="I12" s="282">
        <v>3.62</v>
      </c>
      <c r="J12" s="273">
        <v>439500</v>
      </c>
      <c r="K12" s="282">
        <v>20</v>
      </c>
      <c r="L12" s="273">
        <v>2381812</v>
      </c>
      <c r="M12" s="272">
        <v>0</v>
      </c>
      <c r="N12" s="272">
        <v>0</v>
      </c>
      <c r="O12" s="272">
        <v>0</v>
      </c>
      <c r="P12" s="273">
        <v>0</v>
      </c>
      <c r="Q12" s="16">
        <f t="shared" si="11"/>
        <v>2821312</v>
      </c>
      <c r="R12" s="272">
        <v>0</v>
      </c>
      <c r="S12" s="273">
        <v>0</v>
      </c>
      <c r="T12" s="272">
        <v>0</v>
      </c>
      <c r="U12" s="272">
        <v>0</v>
      </c>
      <c r="V12" s="272">
        <v>1</v>
      </c>
      <c r="W12" s="273">
        <v>1</v>
      </c>
      <c r="X12" s="16">
        <f t="shared" si="12"/>
        <v>1</v>
      </c>
      <c r="Y12" s="118">
        <f t="shared" si="13"/>
        <v>23.62</v>
      </c>
      <c r="Z12" s="16">
        <f t="shared" si="14"/>
        <v>2821312</v>
      </c>
      <c r="AA12" s="16">
        <f t="shared" si="15"/>
        <v>1</v>
      </c>
      <c r="AB12" s="119">
        <f t="shared" si="2"/>
        <v>0</v>
      </c>
      <c r="AC12" s="120">
        <f t="shared" si="3"/>
        <v>23.15</v>
      </c>
      <c r="AD12" s="105">
        <f t="shared" si="4"/>
        <v>23.15</v>
      </c>
      <c r="AE12" s="63">
        <f t="shared" si="16"/>
        <v>2821313</v>
      </c>
      <c r="AF12" s="126">
        <v>1.7500000000000002E-2</v>
      </c>
      <c r="AG12" s="201">
        <v>7951403</v>
      </c>
      <c r="AH12" s="201">
        <v>0</v>
      </c>
      <c r="AI12" s="280">
        <f t="shared" si="17"/>
        <v>7951403</v>
      </c>
      <c r="AJ12" s="63">
        <v>445566380</v>
      </c>
      <c r="AK12" s="63">
        <f t="shared" si="5"/>
        <v>454365886</v>
      </c>
      <c r="AL12" s="126">
        <f t="shared" si="18"/>
        <v>1.9749034924942049E-2</v>
      </c>
      <c r="AM12" s="63">
        <f t="shared" si="19"/>
        <v>454365886</v>
      </c>
      <c r="AN12" s="107">
        <f t="shared" si="6"/>
        <v>1.7499999988995651E-2</v>
      </c>
      <c r="AO12" s="107">
        <f t="shared" si="7"/>
        <v>0</v>
      </c>
      <c r="AP12" s="63">
        <v>862477</v>
      </c>
      <c r="AQ12" s="63">
        <f t="shared" si="8"/>
        <v>11635193</v>
      </c>
      <c r="AR12" s="63">
        <f>ROUND(AQ12/'Table 3 Levels 1&amp;2'!C8,2)</f>
        <v>2059.33</v>
      </c>
    </row>
    <row r="13" spans="1:44">
      <c r="A13" s="1344">
        <v>6</v>
      </c>
      <c r="B13" s="1345" t="s">
        <v>86</v>
      </c>
      <c r="C13" s="1295">
        <v>275131622</v>
      </c>
      <c r="D13" s="1295">
        <v>52105845</v>
      </c>
      <c r="E13" s="1295">
        <f t="shared" si="9"/>
        <v>223025777</v>
      </c>
      <c r="F13" s="1295">
        <v>205652488</v>
      </c>
      <c r="G13" s="1346">
        <f t="shared" si="10"/>
        <v>8.4478866115152471E-2</v>
      </c>
      <c r="H13" s="1347">
        <f t="shared" si="1"/>
        <v>223025777</v>
      </c>
      <c r="I13" s="1348">
        <v>4.8600000000000003</v>
      </c>
      <c r="J13" s="1349">
        <v>1048028</v>
      </c>
      <c r="K13" s="1348">
        <v>30.12</v>
      </c>
      <c r="L13" s="1349">
        <v>6495265</v>
      </c>
      <c r="M13" s="1350">
        <v>0</v>
      </c>
      <c r="N13" s="1350">
        <v>0</v>
      </c>
      <c r="O13" s="1350">
        <v>0</v>
      </c>
      <c r="P13" s="1349">
        <v>0</v>
      </c>
      <c r="Q13" s="1295">
        <f t="shared" si="11"/>
        <v>7543293</v>
      </c>
      <c r="R13" s="1361">
        <v>17.8</v>
      </c>
      <c r="S13" s="1349">
        <v>3839004</v>
      </c>
      <c r="T13" s="1350">
        <v>0</v>
      </c>
      <c r="U13" s="1350">
        <v>0</v>
      </c>
      <c r="V13" s="1350">
        <v>0</v>
      </c>
      <c r="W13" s="1349">
        <v>0</v>
      </c>
      <c r="X13" s="1295">
        <f t="shared" si="12"/>
        <v>3839004</v>
      </c>
      <c r="Y13" s="1351">
        <f t="shared" si="13"/>
        <v>52.78</v>
      </c>
      <c r="Z13" s="1295">
        <f t="shared" si="14"/>
        <v>11382297</v>
      </c>
      <c r="AA13" s="1295">
        <f t="shared" si="15"/>
        <v>0</v>
      </c>
      <c r="AB13" s="1352">
        <f t="shared" si="2"/>
        <v>17.21</v>
      </c>
      <c r="AC13" s="1353">
        <f t="shared" si="3"/>
        <v>33.82</v>
      </c>
      <c r="AD13" s="1354">
        <f t="shared" si="4"/>
        <v>51.04</v>
      </c>
      <c r="AE13" s="1355">
        <f t="shared" si="16"/>
        <v>11382297</v>
      </c>
      <c r="AF13" s="1356">
        <v>0.02</v>
      </c>
      <c r="AG13" s="1357">
        <v>10864481</v>
      </c>
      <c r="AH13" s="1357">
        <v>0</v>
      </c>
      <c r="AI13" s="1358">
        <f t="shared" si="17"/>
        <v>10864481</v>
      </c>
      <c r="AJ13" s="1355">
        <v>561884400</v>
      </c>
      <c r="AK13" s="1355">
        <f t="shared" si="5"/>
        <v>543224050</v>
      </c>
      <c r="AL13" s="1359">
        <f t="shared" si="18"/>
        <v>-3.321030090887022E-2</v>
      </c>
      <c r="AM13" s="1360">
        <f t="shared" si="19"/>
        <v>543224050</v>
      </c>
      <c r="AN13" s="1346">
        <f t="shared" si="6"/>
        <v>0.02</v>
      </c>
      <c r="AO13" s="1346">
        <f t="shared" si="7"/>
        <v>0</v>
      </c>
      <c r="AP13" s="1355">
        <v>320094.5</v>
      </c>
      <c r="AQ13" s="1355">
        <f t="shared" si="8"/>
        <v>22566872.5</v>
      </c>
      <c r="AR13" s="1355">
        <f>ROUND(AQ13/'Table 3 Levels 1&amp;2'!C9,2)</f>
        <v>3830.09</v>
      </c>
    </row>
    <row r="14" spans="1:44">
      <c r="A14" s="1344">
        <v>7</v>
      </c>
      <c r="B14" s="1345" t="s">
        <v>87</v>
      </c>
      <c r="C14" s="1295">
        <v>395115260</v>
      </c>
      <c r="D14" s="1295">
        <v>15894152</v>
      </c>
      <c r="E14" s="1295">
        <f t="shared" si="9"/>
        <v>379221108</v>
      </c>
      <c r="F14" s="1295">
        <v>362744427</v>
      </c>
      <c r="G14" s="1346">
        <f t="shared" si="10"/>
        <v>4.5422285701993706E-2</v>
      </c>
      <c r="H14" s="1347">
        <f t="shared" si="1"/>
        <v>379221108</v>
      </c>
      <c r="I14" s="1348">
        <v>5.49</v>
      </c>
      <c r="J14" s="1349">
        <v>2122778</v>
      </c>
      <c r="K14" s="1348">
        <v>47.7</v>
      </c>
      <c r="L14" s="1349">
        <v>18402742</v>
      </c>
      <c r="M14" s="1350">
        <v>0</v>
      </c>
      <c r="N14" s="1350">
        <v>0</v>
      </c>
      <c r="O14" s="1350">
        <v>0</v>
      </c>
      <c r="P14" s="1349">
        <v>0</v>
      </c>
      <c r="Q14" s="1295">
        <f t="shared" si="11"/>
        <v>20525520</v>
      </c>
      <c r="R14" s="1350">
        <v>0</v>
      </c>
      <c r="S14" s="1349">
        <v>0</v>
      </c>
      <c r="T14" s="1350">
        <v>4.5999999999999996</v>
      </c>
      <c r="U14" s="1350">
        <v>70</v>
      </c>
      <c r="V14" s="1350">
        <v>3</v>
      </c>
      <c r="W14" s="1349">
        <v>1375437</v>
      </c>
      <c r="X14" s="1295">
        <f t="shared" si="12"/>
        <v>1375437</v>
      </c>
      <c r="Y14" s="1351">
        <f t="shared" si="13"/>
        <v>53.190000000000005</v>
      </c>
      <c r="Z14" s="1295">
        <f t="shared" si="14"/>
        <v>20525520</v>
      </c>
      <c r="AA14" s="1295">
        <f t="shared" si="15"/>
        <v>1375437</v>
      </c>
      <c r="AB14" s="1352">
        <f t="shared" si="2"/>
        <v>3.63</v>
      </c>
      <c r="AC14" s="1353">
        <f t="shared" si="3"/>
        <v>54.13</v>
      </c>
      <c r="AD14" s="1354">
        <f t="shared" si="4"/>
        <v>57.75</v>
      </c>
      <c r="AE14" s="1355">
        <f t="shared" si="16"/>
        <v>21900957</v>
      </c>
      <c r="AF14" s="1356">
        <v>0.02</v>
      </c>
      <c r="AG14" s="1357">
        <v>4379724</v>
      </c>
      <c r="AH14" s="1357">
        <v>0</v>
      </c>
      <c r="AI14" s="1358">
        <f t="shared" si="17"/>
        <v>4379724</v>
      </c>
      <c r="AJ14" s="1355">
        <v>391089800</v>
      </c>
      <c r="AK14" s="1355">
        <f t="shared" si="5"/>
        <v>218986200</v>
      </c>
      <c r="AL14" s="1359">
        <f t="shared" si="18"/>
        <v>-0.44006159199242734</v>
      </c>
      <c r="AM14" s="1360">
        <f t="shared" si="19"/>
        <v>218986200</v>
      </c>
      <c r="AN14" s="1346">
        <f t="shared" si="6"/>
        <v>0.02</v>
      </c>
      <c r="AO14" s="1346">
        <f t="shared" si="7"/>
        <v>0</v>
      </c>
      <c r="AP14" s="1355">
        <v>170485</v>
      </c>
      <c r="AQ14" s="1355">
        <f t="shared" si="8"/>
        <v>26451166</v>
      </c>
      <c r="AR14" s="1355">
        <f>ROUND(AQ14/'Table 3 Levels 1&amp;2'!C10,2)</f>
        <v>12078.16</v>
      </c>
    </row>
    <row r="15" spans="1:44">
      <c r="A15" s="1344">
        <v>8</v>
      </c>
      <c r="B15" s="1345" t="s">
        <v>88</v>
      </c>
      <c r="C15" s="1295">
        <v>1092227240</v>
      </c>
      <c r="D15" s="1295">
        <v>181723876</v>
      </c>
      <c r="E15" s="1295">
        <f t="shared" si="9"/>
        <v>910503364</v>
      </c>
      <c r="F15" s="1295">
        <v>882522656</v>
      </c>
      <c r="G15" s="1346">
        <f t="shared" si="10"/>
        <v>3.1705370745745476E-2</v>
      </c>
      <c r="H15" s="1347">
        <f t="shared" si="1"/>
        <v>910503364</v>
      </c>
      <c r="I15" s="1348">
        <v>3.27</v>
      </c>
      <c r="J15" s="1349">
        <v>2900420</v>
      </c>
      <c r="K15" s="1348">
        <v>35.44</v>
      </c>
      <c r="L15" s="1349">
        <v>31452399</v>
      </c>
      <c r="M15" s="1350">
        <v>0</v>
      </c>
      <c r="N15" s="1350">
        <v>0</v>
      </c>
      <c r="O15" s="1350">
        <v>0</v>
      </c>
      <c r="P15" s="1349">
        <v>0</v>
      </c>
      <c r="Q15" s="1295">
        <f t="shared" si="11"/>
        <v>34352819</v>
      </c>
      <c r="R15" s="1350">
        <v>0</v>
      </c>
      <c r="S15" s="1349">
        <v>0</v>
      </c>
      <c r="T15" s="1350">
        <v>13.55</v>
      </c>
      <c r="U15" s="1350">
        <v>13.55</v>
      </c>
      <c r="V15" s="1350">
        <v>1</v>
      </c>
      <c r="W15" s="1349">
        <v>11870670</v>
      </c>
      <c r="X15" s="1295">
        <f t="shared" si="12"/>
        <v>11870670</v>
      </c>
      <c r="Y15" s="1351">
        <f t="shared" si="13"/>
        <v>38.71</v>
      </c>
      <c r="Z15" s="1295">
        <f t="shared" si="14"/>
        <v>34352819</v>
      </c>
      <c r="AA15" s="1295">
        <f t="shared" si="15"/>
        <v>11870670</v>
      </c>
      <c r="AB15" s="1352">
        <f t="shared" si="2"/>
        <v>13.04</v>
      </c>
      <c r="AC15" s="1353">
        <f t="shared" si="3"/>
        <v>37.729999999999997</v>
      </c>
      <c r="AD15" s="1354">
        <f t="shared" si="4"/>
        <v>50.77</v>
      </c>
      <c r="AE15" s="1355">
        <f t="shared" si="16"/>
        <v>46223489</v>
      </c>
      <c r="AF15" s="1356">
        <v>1.7500000000000002E-2</v>
      </c>
      <c r="AG15" s="1357">
        <v>41235031</v>
      </c>
      <c r="AH15" s="1357">
        <v>0</v>
      </c>
      <c r="AI15" s="1358">
        <f t="shared" si="17"/>
        <v>41235031</v>
      </c>
      <c r="AJ15" s="1355">
        <v>2548680229</v>
      </c>
      <c r="AK15" s="1355">
        <f t="shared" si="5"/>
        <v>2356287486</v>
      </c>
      <c r="AL15" s="1356">
        <f t="shared" si="18"/>
        <v>-7.5487203459606703E-2</v>
      </c>
      <c r="AM15" s="1355">
        <f t="shared" si="19"/>
        <v>2356287486</v>
      </c>
      <c r="AN15" s="1346">
        <f t="shared" si="6"/>
        <v>1.7499999997878019E-2</v>
      </c>
      <c r="AO15" s="1346">
        <f t="shared" si="7"/>
        <v>0</v>
      </c>
      <c r="AP15" s="1355">
        <v>601391.5</v>
      </c>
      <c r="AQ15" s="1355">
        <f t="shared" si="8"/>
        <v>88059911.5</v>
      </c>
      <c r="AR15" s="1355">
        <f>ROUND(AQ15/'Table 3 Levels 1&amp;2'!C11,2)</f>
        <v>4084.03</v>
      </c>
    </row>
    <row r="16" spans="1:44">
      <c r="A16" s="1344">
        <v>9</v>
      </c>
      <c r="B16" s="1345" t="s">
        <v>89</v>
      </c>
      <c r="C16" s="1295">
        <v>1974937310</v>
      </c>
      <c r="D16" s="1295">
        <v>347726690</v>
      </c>
      <c r="E16" s="1295">
        <f t="shared" si="9"/>
        <v>1627210620</v>
      </c>
      <c r="F16" s="1295">
        <v>1541689220</v>
      </c>
      <c r="G16" s="1346">
        <f t="shared" si="10"/>
        <v>5.5472529022418671E-2</v>
      </c>
      <c r="H16" s="1347">
        <f t="shared" si="1"/>
        <v>1627210620</v>
      </c>
      <c r="I16" s="1348">
        <v>7.85</v>
      </c>
      <c r="J16" s="1349">
        <v>12586371</v>
      </c>
      <c r="K16" s="1348">
        <v>61.81</v>
      </c>
      <c r="L16" s="1349">
        <v>99101993</v>
      </c>
      <c r="M16" s="1350">
        <v>0</v>
      </c>
      <c r="N16" s="1350">
        <v>0</v>
      </c>
      <c r="O16" s="1350">
        <v>0</v>
      </c>
      <c r="P16" s="1349">
        <v>0</v>
      </c>
      <c r="Q16" s="1295">
        <f t="shared" si="11"/>
        <v>111688364</v>
      </c>
      <c r="R16" s="1350">
        <v>6</v>
      </c>
      <c r="S16" s="1349">
        <v>9749726</v>
      </c>
      <c r="T16" s="1350">
        <v>0</v>
      </c>
      <c r="U16" s="1350">
        <v>0</v>
      </c>
      <c r="V16" s="1350">
        <v>0</v>
      </c>
      <c r="W16" s="1349">
        <v>0</v>
      </c>
      <c r="X16" s="1295">
        <f t="shared" si="12"/>
        <v>9749726</v>
      </c>
      <c r="Y16" s="1351">
        <f t="shared" si="13"/>
        <v>75.66</v>
      </c>
      <c r="Z16" s="1295">
        <f t="shared" si="14"/>
        <v>121438090</v>
      </c>
      <c r="AA16" s="1295">
        <f t="shared" si="15"/>
        <v>0</v>
      </c>
      <c r="AB16" s="1352">
        <f t="shared" si="2"/>
        <v>5.99</v>
      </c>
      <c r="AC16" s="1353">
        <f t="shared" si="3"/>
        <v>68.64</v>
      </c>
      <c r="AD16" s="1354">
        <f t="shared" si="4"/>
        <v>74.63</v>
      </c>
      <c r="AE16" s="1355">
        <f t="shared" si="16"/>
        <v>121438090</v>
      </c>
      <c r="AF16" s="1356">
        <v>1.4999999999999999E-2</v>
      </c>
      <c r="AG16" s="1357">
        <v>71286828</v>
      </c>
      <c r="AH16" s="1357">
        <v>0</v>
      </c>
      <c r="AI16" s="1358">
        <f t="shared" si="17"/>
        <v>71286828</v>
      </c>
      <c r="AJ16" s="1355">
        <v>4964855267</v>
      </c>
      <c r="AK16" s="1355">
        <f t="shared" si="5"/>
        <v>4752455200</v>
      </c>
      <c r="AL16" s="1356">
        <f t="shared" si="18"/>
        <v>-4.2780716773712146E-2</v>
      </c>
      <c r="AM16" s="1355">
        <f t="shared" si="19"/>
        <v>4752455200</v>
      </c>
      <c r="AN16" s="1346">
        <f t="shared" si="6"/>
        <v>1.4999999999999999E-2</v>
      </c>
      <c r="AO16" s="1346">
        <f t="shared" si="7"/>
        <v>0</v>
      </c>
      <c r="AP16" s="1355">
        <v>2449843</v>
      </c>
      <c r="AQ16" s="1355">
        <f t="shared" si="8"/>
        <v>195174761</v>
      </c>
      <c r="AR16" s="1355">
        <f>ROUND(AQ16/'Table 3 Levels 1&amp;2'!C12,2)</f>
        <v>4805.4799999999996</v>
      </c>
    </row>
    <row r="17" spans="1:44">
      <c r="A17" s="14">
        <v>10</v>
      </c>
      <c r="B17" s="57" t="s">
        <v>90</v>
      </c>
      <c r="C17" s="16">
        <v>1930441100</v>
      </c>
      <c r="D17" s="16">
        <v>278763765</v>
      </c>
      <c r="E17" s="16">
        <f t="shared" si="9"/>
        <v>1651677335</v>
      </c>
      <c r="F17" s="16">
        <v>1507165524</v>
      </c>
      <c r="G17" s="107">
        <f t="shared" si="10"/>
        <v>9.5883171887097912E-2</v>
      </c>
      <c r="H17" s="892">
        <f t="shared" si="1"/>
        <v>1651677335</v>
      </c>
      <c r="I17" s="282">
        <v>5.37</v>
      </c>
      <c r="J17" s="273">
        <v>8817084</v>
      </c>
      <c r="K17" s="282">
        <v>12.67</v>
      </c>
      <c r="L17" s="273">
        <v>20835738</v>
      </c>
      <c r="M17" s="272">
        <v>0</v>
      </c>
      <c r="N17" s="272">
        <v>0</v>
      </c>
      <c r="O17" s="272">
        <v>0</v>
      </c>
      <c r="P17" s="273">
        <v>28725</v>
      </c>
      <c r="Q17" s="16">
        <f t="shared" si="11"/>
        <v>29681547</v>
      </c>
      <c r="R17" s="272">
        <v>0</v>
      </c>
      <c r="S17" s="273">
        <v>0</v>
      </c>
      <c r="T17" s="272">
        <v>8.5</v>
      </c>
      <c r="U17" s="272">
        <v>24</v>
      </c>
      <c r="V17" s="272">
        <v>10</v>
      </c>
      <c r="W17" s="273">
        <v>22498169</v>
      </c>
      <c r="X17" s="16">
        <f t="shared" si="12"/>
        <v>22498169</v>
      </c>
      <c r="Y17" s="118">
        <f t="shared" si="13"/>
        <v>18.04</v>
      </c>
      <c r="Z17" s="16">
        <f t="shared" si="14"/>
        <v>29652822</v>
      </c>
      <c r="AA17" s="16">
        <f t="shared" si="15"/>
        <v>22526894</v>
      </c>
      <c r="AB17" s="119">
        <f t="shared" si="2"/>
        <v>13.62</v>
      </c>
      <c r="AC17" s="120">
        <f t="shared" si="3"/>
        <v>17.97</v>
      </c>
      <c r="AD17" s="105">
        <f t="shared" si="4"/>
        <v>31.59</v>
      </c>
      <c r="AE17" s="63">
        <f t="shared" si="16"/>
        <v>52179716</v>
      </c>
      <c r="AF17" s="126">
        <v>0.02</v>
      </c>
      <c r="AG17" s="201">
        <v>93741443</v>
      </c>
      <c r="AH17" s="201">
        <v>0</v>
      </c>
      <c r="AI17" s="280">
        <f t="shared" si="17"/>
        <v>93741443</v>
      </c>
      <c r="AJ17" s="63">
        <v>4598875350</v>
      </c>
      <c r="AK17" s="63">
        <f t="shared" si="5"/>
        <v>4687072150</v>
      </c>
      <c r="AL17" s="126">
        <f t="shared" si="18"/>
        <v>1.917790618091008E-2</v>
      </c>
      <c r="AM17" s="63">
        <f t="shared" si="19"/>
        <v>4687072150</v>
      </c>
      <c r="AN17" s="107">
        <f t="shared" si="6"/>
        <v>0.02</v>
      </c>
      <c r="AO17" s="107">
        <f t="shared" si="7"/>
        <v>0</v>
      </c>
      <c r="AP17" s="63">
        <v>1024086.5</v>
      </c>
      <c r="AQ17" s="63">
        <f t="shared" si="8"/>
        <v>146945245.5</v>
      </c>
      <c r="AR17" s="63">
        <f>ROUND(AQ17/'Table 3 Levels 1&amp;2'!C13,2)</f>
        <v>4541.37</v>
      </c>
    </row>
    <row r="18" spans="1:44">
      <c r="A18" s="1344">
        <v>11</v>
      </c>
      <c r="B18" s="1345" t="s">
        <v>91</v>
      </c>
      <c r="C18" s="1295">
        <v>70778900</v>
      </c>
      <c r="D18" s="1295">
        <v>13795500</v>
      </c>
      <c r="E18" s="1295">
        <f t="shared" si="9"/>
        <v>56983400</v>
      </c>
      <c r="F18" s="1295">
        <v>50985230</v>
      </c>
      <c r="G18" s="1346">
        <f t="shared" si="10"/>
        <v>0.11764524745695959</v>
      </c>
      <c r="H18" s="1347">
        <f t="shared" si="1"/>
        <v>56083753.000000007</v>
      </c>
      <c r="I18" s="1348">
        <v>5.54</v>
      </c>
      <c r="J18" s="1349">
        <v>321208</v>
      </c>
      <c r="K18" s="1348">
        <v>33.549999999999997</v>
      </c>
      <c r="L18" s="1349">
        <v>1928213</v>
      </c>
      <c r="M18" s="1350">
        <v>0</v>
      </c>
      <c r="N18" s="1350">
        <v>0</v>
      </c>
      <c r="O18" s="1350">
        <v>0</v>
      </c>
      <c r="P18" s="1349">
        <v>0</v>
      </c>
      <c r="Q18" s="1295">
        <f t="shared" si="11"/>
        <v>2249421</v>
      </c>
      <c r="R18" s="1361">
        <v>30</v>
      </c>
      <c r="S18" s="1349">
        <v>1718634</v>
      </c>
      <c r="T18" s="1350">
        <v>0</v>
      </c>
      <c r="U18" s="1350">
        <v>0</v>
      </c>
      <c r="V18" s="1350">
        <v>0</v>
      </c>
      <c r="W18" s="1349">
        <v>0</v>
      </c>
      <c r="X18" s="1295">
        <f t="shared" si="12"/>
        <v>1718634</v>
      </c>
      <c r="Y18" s="1351">
        <f t="shared" si="13"/>
        <v>69.09</v>
      </c>
      <c r="Z18" s="1295">
        <f t="shared" si="14"/>
        <v>3968055</v>
      </c>
      <c r="AA18" s="1295">
        <f t="shared" si="15"/>
        <v>0</v>
      </c>
      <c r="AB18" s="1352">
        <f t="shared" si="2"/>
        <v>30.16</v>
      </c>
      <c r="AC18" s="1353">
        <f t="shared" si="3"/>
        <v>39.479999999999997</v>
      </c>
      <c r="AD18" s="1354">
        <f t="shared" si="4"/>
        <v>69.64</v>
      </c>
      <c r="AE18" s="1355">
        <f t="shared" si="16"/>
        <v>3968055</v>
      </c>
      <c r="AF18" s="1356">
        <v>0.02</v>
      </c>
      <c r="AG18" s="1357">
        <v>2054677</v>
      </c>
      <c r="AH18" s="1357">
        <v>0</v>
      </c>
      <c r="AI18" s="1358">
        <f t="shared" si="17"/>
        <v>2054677</v>
      </c>
      <c r="AJ18" s="1355">
        <v>98279250</v>
      </c>
      <c r="AK18" s="1355">
        <f t="shared" si="5"/>
        <v>102733850</v>
      </c>
      <c r="AL18" s="1359">
        <f t="shared" si="18"/>
        <v>4.532594621957331E-2</v>
      </c>
      <c r="AM18" s="1360">
        <f t="shared" si="19"/>
        <v>102733850</v>
      </c>
      <c r="AN18" s="1346">
        <f t="shared" si="6"/>
        <v>0.02</v>
      </c>
      <c r="AO18" s="1346">
        <f t="shared" si="7"/>
        <v>0</v>
      </c>
      <c r="AP18" s="1355">
        <v>85705</v>
      </c>
      <c r="AQ18" s="1355">
        <f t="shared" si="8"/>
        <v>6108437</v>
      </c>
      <c r="AR18" s="1355">
        <f>ROUND(AQ18/'Table 3 Levels 1&amp;2'!C14,2)</f>
        <v>3893.2</v>
      </c>
    </row>
    <row r="19" spans="1:44">
      <c r="A19" s="1344">
        <v>12</v>
      </c>
      <c r="B19" s="1345" t="s">
        <v>92</v>
      </c>
      <c r="C19" s="1295">
        <v>291598410</v>
      </c>
      <c r="D19" s="1295">
        <v>11435148</v>
      </c>
      <c r="E19" s="1295">
        <f t="shared" si="9"/>
        <v>280163262</v>
      </c>
      <c r="F19" s="1295">
        <v>268450131</v>
      </c>
      <c r="G19" s="1346">
        <f t="shared" si="10"/>
        <v>4.3632427953629871E-2</v>
      </c>
      <c r="H19" s="1347">
        <f t="shared" si="1"/>
        <v>280163262</v>
      </c>
      <c r="I19" s="1348">
        <v>4.3</v>
      </c>
      <c r="J19" s="1349">
        <v>1394711</v>
      </c>
      <c r="K19" s="1348">
        <v>41</v>
      </c>
      <c r="L19" s="1349">
        <v>13268281</v>
      </c>
      <c r="M19" s="1350">
        <v>0</v>
      </c>
      <c r="N19" s="1350">
        <v>0</v>
      </c>
      <c r="O19" s="1350">
        <v>0</v>
      </c>
      <c r="P19" s="1349">
        <v>0</v>
      </c>
      <c r="Q19" s="1295">
        <f t="shared" si="11"/>
        <v>14662992</v>
      </c>
      <c r="R19" s="1350">
        <v>0</v>
      </c>
      <c r="S19" s="1349">
        <v>779973</v>
      </c>
      <c r="T19" s="1350">
        <v>7.25</v>
      </c>
      <c r="U19" s="1350">
        <v>15.65</v>
      </c>
      <c r="V19" s="1350">
        <v>2</v>
      </c>
      <c r="W19" s="1349">
        <v>0</v>
      </c>
      <c r="X19" s="1295">
        <f t="shared" si="12"/>
        <v>779973</v>
      </c>
      <c r="Y19" s="1351">
        <f t="shared" si="13"/>
        <v>45.3</v>
      </c>
      <c r="Z19" s="1295">
        <f t="shared" si="14"/>
        <v>15442965</v>
      </c>
      <c r="AA19" s="1295">
        <f t="shared" si="15"/>
        <v>0</v>
      </c>
      <c r="AB19" s="1352">
        <f t="shared" si="2"/>
        <v>2.78</v>
      </c>
      <c r="AC19" s="1353">
        <f t="shared" si="3"/>
        <v>52.34</v>
      </c>
      <c r="AD19" s="1354">
        <f t="shared" si="4"/>
        <v>55.12</v>
      </c>
      <c r="AE19" s="1355">
        <f t="shared" si="16"/>
        <v>15442965</v>
      </c>
      <c r="AF19" s="1356">
        <v>0</v>
      </c>
      <c r="AG19" s="1357">
        <v>0</v>
      </c>
      <c r="AH19" s="1357">
        <v>0</v>
      </c>
      <c r="AI19" s="1358">
        <f t="shared" si="17"/>
        <v>0</v>
      </c>
      <c r="AJ19" s="1355">
        <v>31303034</v>
      </c>
      <c r="AK19" s="1363">
        <v>22455273.25</v>
      </c>
      <c r="AL19" s="1359">
        <f t="shared" si="18"/>
        <v>-0.28264866434352659</v>
      </c>
      <c r="AM19" s="1360">
        <f t="shared" si="19"/>
        <v>22455273.25</v>
      </c>
      <c r="AN19" s="1346">
        <f t="shared" si="6"/>
        <v>0</v>
      </c>
      <c r="AO19" s="1346">
        <f t="shared" si="7"/>
        <v>0</v>
      </c>
      <c r="AP19" s="1355">
        <v>601912</v>
      </c>
      <c r="AQ19" s="1355">
        <f t="shared" si="8"/>
        <v>16044877</v>
      </c>
      <c r="AR19" s="1355">
        <f>ROUND(AQ19/'Table 3 Levels 1&amp;2'!C15,2)</f>
        <v>13151.54</v>
      </c>
    </row>
    <row r="20" spans="1:44">
      <c r="A20" s="1344">
        <v>13</v>
      </c>
      <c r="B20" s="1345" t="s">
        <v>93</v>
      </c>
      <c r="C20" s="1295">
        <v>49765470</v>
      </c>
      <c r="D20" s="1295">
        <v>14855156</v>
      </c>
      <c r="E20" s="1295">
        <f t="shared" si="9"/>
        <v>34910314</v>
      </c>
      <c r="F20" s="1295">
        <v>35320109</v>
      </c>
      <c r="G20" s="1346">
        <f t="shared" si="10"/>
        <v>-1.1602314137818771E-2</v>
      </c>
      <c r="H20" s="1347">
        <f t="shared" si="1"/>
        <v>34910314</v>
      </c>
      <c r="I20" s="1348">
        <v>4.16</v>
      </c>
      <c r="J20" s="1349">
        <v>145627</v>
      </c>
      <c r="K20" s="1348">
        <v>13.27</v>
      </c>
      <c r="L20" s="1349">
        <v>474685</v>
      </c>
      <c r="M20" s="1350">
        <v>4.01</v>
      </c>
      <c r="N20" s="1350">
        <v>5.56</v>
      </c>
      <c r="O20" s="1350">
        <v>4</v>
      </c>
      <c r="P20" s="1349">
        <v>154530</v>
      </c>
      <c r="Q20" s="1295">
        <f t="shared" si="11"/>
        <v>774842</v>
      </c>
      <c r="R20" s="1350">
        <v>0</v>
      </c>
      <c r="S20" s="1349">
        <v>0</v>
      </c>
      <c r="T20" s="1350">
        <v>19.7</v>
      </c>
      <c r="U20" s="1350">
        <v>25</v>
      </c>
      <c r="V20" s="1350">
        <v>2</v>
      </c>
      <c r="W20" s="1349">
        <v>200981</v>
      </c>
      <c r="X20" s="1295">
        <f t="shared" si="12"/>
        <v>200981</v>
      </c>
      <c r="Y20" s="1351">
        <f t="shared" si="13"/>
        <v>17.43</v>
      </c>
      <c r="Z20" s="1295">
        <f t="shared" si="14"/>
        <v>620312</v>
      </c>
      <c r="AA20" s="1295">
        <f t="shared" si="15"/>
        <v>355511</v>
      </c>
      <c r="AB20" s="1352">
        <f t="shared" si="2"/>
        <v>5.76</v>
      </c>
      <c r="AC20" s="1353">
        <f t="shared" si="3"/>
        <v>22.2</v>
      </c>
      <c r="AD20" s="1354">
        <f t="shared" si="4"/>
        <v>27.95</v>
      </c>
      <c r="AE20" s="1355">
        <f t="shared" si="16"/>
        <v>975823</v>
      </c>
      <c r="AF20" s="1356">
        <v>0.03</v>
      </c>
      <c r="AG20" s="1357">
        <v>2985469</v>
      </c>
      <c r="AH20" s="1357">
        <v>0</v>
      </c>
      <c r="AI20" s="1358">
        <f t="shared" si="17"/>
        <v>2985469</v>
      </c>
      <c r="AJ20" s="1355">
        <v>92401367</v>
      </c>
      <c r="AK20" s="1355">
        <f t="shared" ref="AK20:AK51" si="20">ROUND(AI20/AF20,0)</f>
        <v>99515633</v>
      </c>
      <c r="AL20" s="1356">
        <f t="shared" si="18"/>
        <v>7.6993081714905792E-2</v>
      </c>
      <c r="AM20" s="1355">
        <f t="shared" si="19"/>
        <v>99515633</v>
      </c>
      <c r="AN20" s="1346">
        <f t="shared" si="6"/>
        <v>3.0000000100486725E-2</v>
      </c>
      <c r="AO20" s="1346">
        <f t="shared" si="7"/>
        <v>0</v>
      </c>
      <c r="AP20" s="1355">
        <v>109483</v>
      </c>
      <c r="AQ20" s="1355">
        <f t="shared" si="8"/>
        <v>4070775</v>
      </c>
      <c r="AR20" s="1355">
        <f>ROUND(AQ20/'Table 3 Levels 1&amp;2'!C16,2)</f>
        <v>2737.58</v>
      </c>
    </row>
    <row r="21" spans="1:44">
      <c r="A21" s="1344">
        <v>14</v>
      </c>
      <c r="B21" s="1345" t="s">
        <v>94</v>
      </c>
      <c r="C21" s="1295">
        <v>160024314</v>
      </c>
      <c r="D21" s="1295">
        <v>19707692</v>
      </c>
      <c r="E21" s="1295">
        <f t="shared" si="9"/>
        <v>140316622</v>
      </c>
      <c r="F21" s="1295">
        <v>140151934</v>
      </c>
      <c r="G21" s="1346">
        <f t="shared" si="10"/>
        <v>1.1750676233979048E-3</v>
      </c>
      <c r="H21" s="1347">
        <f t="shared" si="1"/>
        <v>140316622</v>
      </c>
      <c r="I21" s="1348">
        <v>5.29</v>
      </c>
      <c r="J21" s="1349">
        <v>741350</v>
      </c>
      <c r="K21" s="1348">
        <v>10.3</v>
      </c>
      <c r="L21" s="1349">
        <v>1442968</v>
      </c>
      <c r="M21" s="1350">
        <v>3.33</v>
      </c>
      <c r="N21" s="1350">
        <v>11.88</v>
      </c>
      <c r="O21" s="1350">
        <v>4</v>
      </c>
      <c r="P21" s="1349">
        <v>639210</v>
      </c>
      <c r="Q21" s="1295">
        <f t="shared" si="11"/>
        <v>2823528</v>
      </c>
      <c r="R21" s="1350">
        <v>0</v>
      </c>
      <c r="S21" s="1349">
        <v>0</v>
      </c>
      <c r="T21" s="1350">
        <v>13</v>
      </c>
      <c r="U21" s="1350">
        <v>16.5</v>
      </c>
      <c r="V21" s="1350">
        <v>2</v>
      </c>
      <c r="W21" s="1349">
        <v>1098978</v>
      </c>
      <c r="X21" s="1295">
        <f t="shared" si="12"/>
        <v>1098978</v>
      </c>
      <c r="Y21" s="1351">
        <f t="shared" si="13"/>
        <v>15.59</v>
      </c>
      <c r="Z21" s="1295">
        <f t="shared" si="14"/>
        <v>2184318</v>
      </c>
      <c r="AA21" s="1295">
        <f t="shared" si="15"/>
        <v>1738188</v>
      </c>
      <c r="AB21" s="1352">
        <f t="shared" si="2"/>
        <v>7.83</v>
      </c>
      <c r="AC21" s="1353">
        <f t="shared" si="3"/>
        <v>20.12</v>
      </c>
      <c r="AD21" s="1354">
        <f t="shared" si="4"/>
        <v>27.95</v>
      </c>
      <c r="AE21" s="1355">
        <f t="shared" si="16"/>
        <v>3922506</v>
      </c>
      <c r="AF21" s="1356">
        <v>0.02</v>
      </c>
      <c r="AG21" s="1357">
        <v>3579591</v>
      </c>
      <c r="AH21" s="1357">
        <v>0</v>
      </c>
      <c r="AI21" s="1358">
        <f t="shared" si="17"/>
        <v>3579591</v>
      </c>
      <c r="AJ21" s="1355">
        <v>177461800</v>
      </c>
      <c r="AK21" s="1355">
        <f t="shared" si="20"/>
        <v>178979550</v>
      </c>
      <c r="AL21" s="1356">
        <f t="shared" si="18"/>
        <v>8.5525448293660954E-3</v>
      </c>
      <c r="AM21" s="1355">
        <f t="shared" si="19"/>
        <v>178979550</v>
      </c>
      <c r="AN21" s="1346">
        <f t="shared" si="6"/>
        <v>0.02</v>
      </c>
      <c r="AO21" s="1346">
        <f t="shared" si="7"/>
        <v>0</v>
      </c>
      <c r="AP21" s="1355">
        <v>170753.5</v>
      </c>
      <c r="AQ21" s="1355">
        <f t="shared" si="8"/>
        <v>7672850.5</v>
      </c>
      <c r="AR21" s="1355">
        <f>ROUND(AQ21/'Table 3 Levels 1&amp;2'!C17,2)</f>
        <v>4567.17</v>
      </c>
    </row>
    <row r="22" spans="1:44">
      <c r="A22" s="14">
        <v>15</v>
      </c>
      <c r="B22" s="57" t="s">
        <v>95</v>
      </c>
      <c r="C22" s="16">
        <v>162952440</v>
      </c>
      <c r="D22" s="16">
        <v>28505628</v>
      </c>
      <c r="E22" s="16">
        <f t="shared" si="9"/>
        <v>134446812</v>
      </c>
      <c r="F22" s="16">
        <v>132017810</v>
      </c>
      <c r="G22" s="107">
        <f t="shared" si="10"/>
        <v>1.8399047825441127E-2</v>
      </c>
      <c r="H22" s="892">
        <f t="shared" si="1"/>
        <v>134446812</v>
      </c>
      <c r="I22" s="282">
        <v>2.84</v>
      </c>
      <c r="J22" s="273">
        <v>383882</v>
      </c>
      <c r="K22" s="282">
        <v>35.46</v>
      </c>
      <c r="L22" s="273">
        <v>4792555</v>
      </c>
      <c r="M22" s="272">
        <v>0</v>
      </c>
      <c r="N22" s="272">
        <v>0</v>
      </c>
      <c r="O22" s="272">
        <v>0</v>
      </c>
      <c r="P22" s="273">
        <v>0</v>
      </c>
      <c r="Q22" s="16">
        <f t="shared" si="11"/>
        <v>5176437</v>
      </c>
      <c r="R22" s="272"/>
      <c r="S22" s="273"/>
      <c r="T22" s="272"/>
      <c r="U22" s="272"/>
      <c r="V22" s="272"/>
      <c r="W22" s="273"/>
      <c r="X22" s="16">
        <f t="shared" si="12"/>
        <v>0</v>
      </c>
      <c r="Y22" s="118">
        <f t="shared" si="13"/>
        <v>38.299999999999997</v>
      </c>
      <c r="Z22" s="16">
        <f t="shared" si="14"/>
        <v>5176437</v>
      </c>
      <c r="AA22" s="16">
        <f t="shared" si="15"/>
        <v>0</v>
      </c>
      <c r="AB22" s="119">
        <f t="shared" si="2"/>
        <v>0</v>
      </c>
      <c r="AC22" s="120">
        <f t="shared" si="3"/>
        <v>38.5</v>
      </c>
      <c r="AD22" s="105">
        <f t="shared" si="4"/>
        <v>38.5</v>
      </c>
      <c r="AE22" s="63">
        <f t="shared" si="16"/>
        <v>5176437</v>
      </c>
      <c r="AF22" s="126">
        <v>0.02</v>
      </c>
      <c r="AG22" s="201">
        <v>5211856</v>
      </c>
      <c r="AH22" s="201">
        <v>0</v>
      </c>
      <c r="AI22" s="280">
        <f t="shared" si="17"/>
        <v>5211856</v>
      </c>
      <c r="AJ22" s="63">
        <v>248895750</v>
      </c>
      <c r="AK22" s="63">
        <f t="shared" si="20"/>
        <v>260592800</v>
      </c>
      <c r="AL22" s="126">
        <f t="shared" si="18"/>
        <v>4.6995780361858329E-2</v>
      </c>
      <c r="AM22" s="63">
        <f t="shared" si="19"/>
        <v>260592800</v>
      </c>
      <c r="AN22" s="107">
        <f t="shared" si="6"/>
        <v>0.02</v>
      </c>
      <c r="AO22" s="107">
        <f t="shared" si="7"/>
        <v>0</v>
      </c>
      <c r="AP22" s="63">
        <v>168879</v>
      </c>
      <c r="AQ22" s="63">
        <f t="shared" si="8"/>
        <v>10557172</v>
      </c>
      <c r="AR22" s="63">
        <f>ROUND(AQ22/'Table 3 Levels 1&amp;2'!C18,2)</f>
        <v>2876.61</v>
      </c>
    </row>
    <row r="23" spans="1:44">
      <c r="A23" s="1344">
        <v>16</v>
      </c>
      <c r="B23" s="1345" t="s">
        <v>96</v>
      </c>
      <c r="C23" s="1295">
        <v>694943220</v>
      </c>
      <c r="D23" s="1295">
        <v>39794273</v>
      </c>
      <c r="E23" s="1295">
        <f t="shared" si="9"/>
        <v>655148947</v>
      </c>
      <c r="F23" s="1295">
        <v>595761003</v>
      </c>
      <c r="G23" s="1346">
        <f t="shared" si="10"/>
        <v>9.9684174863657535E-2</v>
      </c>
      <c r="H23" s="1347">
        <f t="shared" si="1"/>
        <v>655148947</v>
      </c>
      <c r="I23" s="1348">
        <v>5.32</v>
      </c>
      <c r="J23" s="1349">
        <v>3514985</v>
      </c>
      <c r="K23" s="1348">
        <v>51.34</v>
      </c>
      <c r="L23" s="1349">
        <v>33941590</v>
      </c>
      <c r="M23" s="1350">
        <v>0</v>
      </c>
      <c r="N23" s="1350">
        <v>0</v>
      </c>
      <c r="O23" s="1350">
        <v>5</v>
      </c>
      <c r="P23" s="1349">
        <v>131329</v>
      </c>
      <c r="Q23" s="1295">
        <f t="shared" si="11"/>
        <v>37587904</v>
      </c>
      <c r="R23" s="1361">
        <v>0</v>
      </c>
      <c r="S23" s="1349">
        <v>0</v>
      </c>
      <c r="T23" s="1350">
        <v>0</v>
      </c>
      <c r="U23" s="1350">
        <v>5</v>
      </c>
      <c r="V23" s="1350">
        <v>5</v>
      </c>
      <c r="W23" s="1349">
        <v>1739633</v>
      </c>
      <c r="X23" s="1295">
        <f t="shared" si="12"/>
        <v>1739633</v>
      </c>
      <c r="Y23" s="1351">
        <f t="shared" si="13"/>
        <v>56.660000000000004</v>
      </c>
      <c r="Z23" s="1295">
        <f t="shared" si="14"/>
        <v>37456575</v>
      </c>
      <c r="AA23" s="1295">
        <f t="shared" si="15"/>
        <v>1870962</v>
      </c>
      <c r="AB23" s="1352">
        <f t="shared" si="2"/>
        <v>2.66</v>
      </c>
      <c r="AC23" s="1353">
        <f t="shared" si="3"/>
        <v>57.37</v>
      </c>
      <c r="AD23" s="1354">
        <f t="shared" si="4"/>
        <v>60.03</v>
      </c>
      <c r="AE23" s="1355">
        <f t="shared" si="16"/>
        <v>39327537</v>
      </c>
      <c r="AF23" s="1356">
        <v>2.5000000000000001E-2</v>
      </c>
      <c r="AG23" s="1357">
        <v>19901489</v>
      </c>
      <c r="AH23" s="1357">
        <v>2052525</v>
      </c>
      <c r="AI23" s="1358">
        <f t="shared" si="17"/>
        <v>21954014</v>
      </c>
      <c r="AJ23" s="1355">
        <v>1926367400</v>
      </c>
      <c r="AK23" s="1355">
        <f t="shared" si="20"/>
        <v>878160560</v>
      </c>
      <c r="AL23" s="1359">
        <f t="shared" si="18"/>
        <v>-0.54413651310752043</v>
      </c>
      <c r="AM23" s="1360">
        <f t="shared" si="19"/>
        <v>878160560</v>
      </c>
      <c r="AN23" s="1346">
        <f t="shared" si="6"/>
        <v>2.2662699632058175E-2</v>
      </c>
      <c r="AO23" s="1346">
        <f t="shared" si="7"/>
        <v>2.3373003679418259E-3</v>
      </c>
      <c r="AP23" s="1355">
        <v>589328</v>
      </c>
      <c r="AQ23" s="1355">
        <f t="shared" si="8"/>
        <v>61870879</v>
      </c>
      <c r="AR23" s="1355">
        <f>ROUND(AQ23/'Table 3 Levels 1&amp;2'!C19,2)</f>
        <v>12701.88</v>
      </c>
    </row>
    <row r="24" spans="1:44" s="60" customFormat="1">
      <c r="A24" s="1344">
        <v>17</v>
      </c>
      <c r="B24" s="1345" t="s">
        <v>97</v>
      </c>
      <c r="C24" s="1295">
        <v>3754158035</v>
      </c>
      <c r="D24" s="1295">
        <v>551740000</v>
      </c>
      <c r="E24" s="1295">
        <f>C24-D24</f>
        <v>3202418035</v>
      </c>
      <c r="F24" s="1295">
        <v>3050582980</v>
      </c>
      <c r="G24" s="1346">
        <f t="shared" si="10"/>
        <v>4.9772471686706912E-2</v>
      </c>
      <c r="H24" s="1347">
        <f t="shared" si="1"/>
        <v>3202418035</v>
      </c>
      <c r="I24" s="1348">
        <v>5.25</v>
      </c>
      <c r="J24" s="1349">
        <v>16602239</v>
      </c>
      <c r="K24" s="1348">
        <v>38.200000000000003</v>
      </c>
      <c r="L24" s="1349">
        <v>120800342</v>
      </c>
      <c r="M24" s="1350">
        <v>0</v>
      </c>
      <c r="N24" s="1350">
        <v>0</v>
      </c>
      <c r="O24" s="1350">
        <v>0</v>
      </c>
      <c r="P24" s="1349">
        <v>0</v>
      </c>
      <c r="Q24" s="1295">
        <f>J24+L24+P24</f>
        <v>137402581</v>
      </c>
      <c r="R24" s="1350">
        <v>0</v>
      </c>
      <c r="S24" s="1349">
        <v>0</v>
      </c>
      <c r="T24" s="1350">
        <v>0</v>
      </c>
      <c r="U24" s="1350">
        <v>0</v>
      </c>
      <c r="V24" s="1350">
        <v>0</v>
      </c>
      <c r="W24" s="1349">
        <v>0</v>
      </c>
      <c r="X24" s="1295">
        <f t="shared" si="12"/>
        <v>0</v>
      </c>
      <c r="Y24" s="1351">
        <f t="shared" si="13"/>
        <v>43.45</v>
      </c>
      <c r="Z24" s="1295">
        <f t="shared" si="14"/>
        <v>137402581</v>
      </c>
      <c r="AA24" s="1295">
        <f t="shared" si="15"/>
        <v>0</v>
      </c>
      <c r="AB24" s="1352">
        <f t="shared" si="2"/>
        <v>0</v>
      </c>
      <c r="AC24" s="1353">
        <f t="shared" si="3"/>
        <v>42.91</v>
      </c>
      <c r="AD24" s="1354">
        <f t="shared" si="4"/>
        <v>42.91</v>
      </c>
      <c r="AE24" s="1355">
        <f t="shared" si="16"/>
        <v>137402581</v>
      </c>
      <c r="AF24" s="1356">
        <v>0.02</v>
      </c>
      <c r="AG24" s="1357">
        <v>164449406</v>
      </c>
      <c r="AH24" s="1357">
        <v>0</v>
      </c>
      <c r="AI24" s="1358">
        <f t="shared" si="17"/>
        <v>164449406</v>
      </c>
      <c r="AJ24" s="1355">
        <v>7897815800</v>
      </c>
      <c r="AK24" s="1355">
        <f t="shared" si="20"/>
        <v>8222470300</v>
      </c>
      <c r="AL24" s="1359">
        <f t="shared" si="18"/>
        <v>4.1106871598600714E-2</v>
      </c>
      <c r="AM24" s="1360">
        <f t="shared" si="19"/>
        <v>8222470300</v>
      </c>
      <c r="AN24" s="1346">
        <f t="shared" si="6"/>
        <v>0.02</v>
      </c>
      <c r="AO24" s="1346">
        <f t="shared" si="7"/>
        <v>0</v>
      </c>
      <c r="AP24" s="1355">
        <v>4089910.5</v>
      </c>
      <c r="AQ24" s="1355">
        <f t="shared" si="8"/>
        <v>305941897.5</v>
      </c>
      <c r="AR24" s="1355">
        <f>ROUND(AQ24/'Table 3 Levels 1&amp;2'!C20,2)</f>
        <v>7055.2</v>
      </c>
    </row>
    <row r="25" spans="1:44">
      <c r="A25" s="1344">
        <v>18</v>
      </c>
      <c r="B25" s="1345" t="s">
        <v>98</v>
      </c>
      <c r="C25" s="1295">
        <v>43329935</v>
      </c>
      <c r="D25" s="1295">
        <v>5710668</v>
      </c>
      <c r="E25" s="1295">
        <f t="shared" si="9"/>
        <v>37619267</v>
      </c>
      <c r="F25" s="1295">
        <v>36585559</v>
      </c>
      <c r="G25" s="1346">
        <f t="shared" si="10"/>
        <v>2.8254536168218724E-2</v>
      </c>
      <c r="H25" s="1347">
        <f t="shared" si="1"/>
        <v>37619267</v>
      </c>
      <c r="I25" s="1348">
        <v>8.15</v>
      </c>
      <c r="J25" s="1349">
        <v>306621</v>
      </c>
      <c r="K25" s="1348">
        <v>8.19</v>
      </c>
      <c r="L25" s="1349">
        <v>416054</v>
      </c>
      <c r="M25" s="1350">
        <v>0</v>
      </c>
      <c r="N25" s="1350">
        <v>0</v>
      </c>
      <c r="O25" s="1350">
        <v>0</v>
      </c>
      <c r="P25" s="1349">
        <v>0</v>
      </c>
      <c r="Q25" s="1295">
        <f t="shared" si="11"/>
        <v>722675</v>
      </c>
      <c r="R25" s="1350"/>
      <c r="S25" s="1349"/>
      <c r="T25" s="1350"/>
      <c r="U25" s="1350"/>
      <c r="V25" s="1350"/>
      <c r="W25" s="1349"/>
      <c r="X25" s="1295">
        <f t="shared" si="12"/>
        <v>0</v>
      </c>
      <c r="Y25" s="1351">
        <f t="shared" si="13"/>
        <v>16.34</v>
      </c>
      <c r="Z25" s="1295">
        <f t="shared" si="14"/>
        <v>722675</v>
      </c>
      <c r="AA25" s="1295">
        <f t="shared" si="15"/>
        <v>0</v>
      </c>
      <c r="AB25" s="1352">
        <f t="shared" si="2"/>
        <v>0</v>
      </c>
      <c r="AC25" s="1353">
        <f t="shared" si="3"/>
        <v>19.21</v>
      </c>
      <c r="AD25" s="1354">
        <f t="shared" si="4"/>
        <v>19.21</v>
      </c>
      <c r="AE25" s="1355">
        <f t="shared" si="16"/>
        <v>722675</v>
      </c>
      <c r="AF25" s="1356">
        <v>0.03</v>
      </c>
      <c r="AG25" s="1357">
        <v>2589137</v>
      </c>
      <c r="AH25" s="1357">
        <v>0</v>
      </c>
      <c r="AI25" s="1358">
        <f t="shared" si="17"/>
        <v>2589137</v>
      </c>
      <c r="AJ25" s="1355">
        <v>61168833</v>
      </c>
      <c r="AK25" s="1355">
        <f t="shared" si="20"/>
        <v>86304567</v>
      </c>
      <c r="AL25" s="1356">
        <f t="shared" si="18"/>
        <v>0.41092387687043169</v>
      </c>
      <c r="AM25" s="1355">
        <f t="shared" si="19"/>
        <v>70344157.949999988</v>
      </c>
      <c r="AN25" s="1346">
        <f t="shared" si="6"/>
        <v>2.9999999884131278E-2</v>
      </c>
      <c r="AO25" s="1346">
        <f t="shared" si="7"/>
        <v>0</v>
      </c>
      <c r="AP25" s="1355">
        <v>146695.5</v>
      </c>
      <c r="AQ25" s="1355">
        <f t="shared" si="8"/>
        <v>3458507.5</v>
      </c>
      <c r="AR25" s="1355">
        <f>ROUND(AQ25/'Table 3 Levels 1&amp;2'!C21,2)</f>
        <v>3290.68</v>
      </c>
    </row>
    <row r="26" spans="1:44">
      <c r="A26" s="1344">
        <v>19</v>
      </c>
      <c r="B26" s="1345" t="s">
        <v>99</v>
      </c>
      <c r="C26" s="1295">
        <v>151242920</v>
      </c>
      <c r="D26" s="1295">
        <v>35280380</v>
      </c>
      <c r="E26" s="1295">
        <f t="shared" si="9"/>
        <v>115962540</v>
      </c>
      <c r="F26" s="1295">
        <v>108003600</v>
      </c>
      <c r="G26" s="1346">
        <f t="shared" si="10"/>
        <v>7.3691432507805299E-2</v>
      </c>
      <c r="H26" s="1347">
        <f t="shared" si="1"/>
        <v>115962540</v>
      </c>
      <c r="I26" s="1348">
        <v>3.34</v>
      </c>
      <c r="J26" s="1349">
        <v>371270</v>
      </c>
      <c r="K26" s="1348">
        <v>17</v>
      </c>
      <c r="L26" s="1349">
        <v>1889682</v>
      </c>
      <c r="M26" s="1350">
        <v>0</v>
      </c>
      <c r="N26" s="1350">
        <v>0</v>
      </c>
      <c r="O26" s="1350">
        <v>0</v>
      </c>
      <c r="P26" s="1349">
        <v>0</v>
      </c>
      <c r="Q26" s="1295">
        <f t="shared" si="11"/>
        <v>2260952</v>
      </c>
      <c r="R26" s="1350"/>
      <c r="S26" s="1349"/>
      <c r="T26" s="1350"/>
      <c r="U26" s="1350"/>
      <c r="V26" s="1350"/>
      <c r="W26" s="1349"/>
      <c r="X26" s="1295">
        <f t="shared" si="12"/>
        <v>0</v>
      </c>
      <c r="Y26" s="1351">
        <f t="shared" si="13"/>
        <v>20.34</v>
      </c>
      <c r="Z26" s="1295">
        <f t="shared" si="14"/>
        <v>2260952</v>
      </c>
      <c r="AA26" s="1295">
        <f t="shared" si="15"/>
        <v>0</v>
      </c>
      <c r="AB26" s="1352">
        <f t="shared" si="2"/>
        <v>0</v>
      </c>
      <c r="AC26" s="1353">
        <f t="shared" si="3"/>
        <v>19.5</v>
      </c>
      <c r="AD26" s="1354">
        <f t="shared" si="4"/>
        <v>19.5</v>
      </c>
      <c r="AE26" s="1355">
        <f t="shared" si="16"/>
        <v>2260952</v>
      </c>
      <c r="AF26" s="1356">
        <v>0.02</v>
      </c>
      <c r="AG26" s="1357">
        <v>2596202</v>
      </c>
      <c r="AH26" s="1357">
        <v>0</v>
      </c>
      <c r="AI26" s="1358">
        <f t="shared" si="17"/>
        <v>2596202</v>
      </c>
      <c r="AJ26" s="1355">
        <v>152517700</v>
      </c>
      <c r="AK26" s="1355">
        <f t="shared" si="20"/>
        <v>129810100</v>
      </c>
      <c r="AL26" s="1356">
        <f t="shared" si="18"/>
        <v>-0.14888501465731518</v>
      </c>
      <c r="AM26" s="1355">
        <f t="shared" si="19"/>
        <v>129810100</v>
      </c>
      <c r="AN26" s="1346">
        <f t="shared" si="6"/>
        <v>0.02</v>
      </c>
      <c r="AO26" s="1346">
        <f t="shared" si="7"/>
        <v>0</v>
      </c>
      <c r="AP26" s="1355">
        <v>108975.5</v>
      </c>
      <c r="AQ26" s="1355">
        <f t="shared" si="8"/>
        <v>4966129.5</v>
      </c>
      <c r="AR26" s="1355">
        <f>ROUND(AQ26/'Table 3 Levels 1&amp;2'!C22,2)</f>
        <v>2601.4299999999998</v>
      </c>
    </row>
    <row r="27" spans="1:44">
      <c r="A27" s="14">
        <v>20</v>
      </c>
      <c r="B27" s="57" t="s">
        <v>100</v>
      </c>
      <c r="C27" s="16">
        <v>283990130</v>
      </c>
      <c r="D27" s="16">
        <v>48446830</v>
      </c>
      <c r="E27" s="16">
        <f t="shared" si="9"/>
        <v>235543300</v>
      </c>
      <c r="F27" s="16">
        <v>221134640</v>
      </c>
      <c r="G27" s="107">
        <f t="shared" si="10"/>
        <v>6.5157860387680552E-2</v>
      </c>
      <c r="H27" s="892">
        <f t="shared" si="1"/>
        <v>235543300</v>
      </c>
      <c r="I27" s="282">
        <v>4.59</v>
      </c>
      <c r="J27" s="273">
        <v>995796</v>
      </c>
      <c r="K27" s="282">
        <v>10.18</v>
      </c>
      <c r="L27" s="273">
        <v>2208541</v>
      </c>
      <c r="M27" s="272">
        <v>2</v>
      </c>
      <c r="N27" s="272">
        <v>12.13</v>
      </c>
      <c r="O27" s="272">
        <v>3</v>
      </c>
      <c r="P27" s="273">
        <v>3120300</v>
      </c>
      <c r="Q27" s="16">
        <f t="shared" si="11"/>
        <v>6324637</v>
      </c>
      <c r="R27" s="272">
        <v>0</v>
      </c>
      <c r="S27" s="273">
        <v>0</v>
      </c>
      <c r="T27" s="272">
        <v>14</v>
      </c>
      <c r="U27" s="272">
        <v>14</v>
      </c>
      <c r="V27" s="272">
        <v>1</v>
      </c>
      <c r="W27" s="273">
        <v>598231</v>
      </c>
      <c r="X27" s="16">
        <f t="shared" si="12"/>
        <v>598231</v>
      </c>
      <c r="Y27" s="118">
        <f t="shared" si="13"/>
        <v>14.77</v>
      </c>
      <c r="Z27" s="16">
        <f t="shared" si="14"/>
        <v>3204337</v>
      </c>
      <c r="AA27" s="16">
        <f t="shared" si="15"/>
        <v>3718531</v>
      </c>
      <c r="AB27" s="119">
        <f t="shared" si="2"/>
        <v>2.54</v>
      </c>
      <c r="AC27" s="120">
        <f t="shared" si="3"/>
        <v>26.85</v>
      </c>
      <c r="AD27" s="105">
        <f t="shared" si="4"/>
        <v>29.39</v>
      </c>
      <c r="AE27" s="63">
        <f t="shared" si="16"/>
        <v>6922868</v>
      </c>
      <c r="AF27" s="126">
        <v>0.02</v>
      </c>
      <c r="AG27" s="201">
        <v>8341906</v>
      </c>
      <c r="AH27" s="201">
        <v>0</v>
      </c>
      <c r="AI27" s="280">
        <f t="shared" si="17"/>
        <v>8341906</v>
      </c>
      <c r="AJ27" s="63">
        <v>386464700</v>
      </c>
      <c r="AK27" s="63">
        <f t="shared" si="20"/>
        <v>417095300</v>
      </c>
      <c r="AL27" s="126">
        <f t="shared" si="18"/>
        <v>7.9258467849715644E-2</v>
      </c>
      <c r="AM27" s="63">
        <f t="shared" si="19"/>
        <v>417095300</v>
      </c>
      <c r="AN27" s="107">
        <f t="shared" si="6"/>
        <v>0.02</v>
      </c>
      <c r="AO27" s="107">
        <f t="shared" si="7"/>
        <v>0</v>
      </c>
      <c r="AP27" s="63">
        <v>569300.5</v>
      </c>
      <c r="AQ27" s="63">
        <f t="shared" si="8"/>
        <v>15834074.5</v>
      </c>
      <c r="AR27" s="63">
        <f>ROUND(AQ27/'Table 3 Levels 1&amp;2'!C23,2)</f>
        <v>2704.83</v>
      </c>
    </row>
    <row r="28" spans="1:44">
      <c r="A28" s="1344">
        <v>21</v>
      </c>
      <c r="B28" s="1345" t="s">
        <v>101</v>
      </c>
      <c r="C28" s="1295">
        <v>102754345</v>
      </c>
      <c r="D28" s="1295">
        <v>28346375</v>
      </c>
      <c r="E28" s="1295">
        <f t="shared" si="9"/>
        <v>74407970</v>
      </c>
      <c r="F28" s="1295">
        <v>69264456</v>
      </c>
      <c r="G28" s="1346">
        <f t="shared" si="10"/>
        <v>7.4259068749489635E-2</v>
      </c>
      <c r="H28" s="1347">
        <f t="shared" si="1"/>
        <v>74407970</v>
      </c>
      <c r="I28" s="1348">
        <v>4.5999999999999996</v>
      </c>
      <c r="J28" s="1349">
        <v>489652</v>
      </c>
      <c r="K28" s="1348">
        <v>20.16</v>
      </c>
      <c r="L28" s="1349">
        <v>1548572</v>
      </c>
      <c r="M28" s="1350">
        <v>20.16</v>
      </c>
      <c r="N28" s="1350">
        <v>20.16</v>
      </c>
      <c r="O28" s="1350">
        <v>0</v>
      </c>
      <c r="P28" s="1349">
        <v>0</v>
      </c>
      <c r="Q28" s="1295">
        <f t="shared" si="11"/>
        <v>2038224</v>
      </c>
      <c r="R28" s="1361"/>
      <c r="S28" s="1349"/>
      <c r="T28" s="1350"/>
      <c r="U28" s="1350"/>
      <c r="V28" s="1350"/>
      <c r="W28" s="1349"/>
      <c r="X28" s="1295">
        <f t="shared" si="12"/>
        <v>0</v>
      </c>
      <c r="Y28" s="1351">
        <f t="shared" si="13"/>
        <v>24.759999999999998</v>
      </c>
      <c r="Z28" s="1295">
        <f t="shared" si="14"/>
        <v>2038224</v>
      </c>
      <c r="AA28" s="1295">
        <f t="shared" si="15"/>
        <v>0</v>
      </c>
      <c r="AB28" s="1352">
        <f t="shared" si="2"/>
        <v>0</v>
      </c>
      <c r="AC28" s="1353">
        <f t="shared" si="3"/>
        <v>27.39</v>
      </c>
      <c r="AD28" s="1354">
        <f t="shared" si="4"/>
        <v>27.39</v>
      </c>
      <c r="AE28" s="1355">
        <f t="shared" si="16"/>
        <v>2038224</v>
      </c>
      <c r="AF28" s="1356">
        <v>0.02</v>
      </c>
      <c r="AG28" s="1357">
        <v>5145343</v>
      </c>
      <c r="AH28" s="1357">
        <v>0</v>
      </c>
      <c r="AI28" s="1358">
        <f t="shared" si="17"/>
        <v>5145343</v>
      </c>
      <c r="AJ28" s="1355">
        <v>240663250</v>
      </c>
      <c r="AK28" s="1355">
        <f t="shared" si="20"/>
        <v>257267150</v>
      </c>
      <c r="AL28" s="1359">
        <f t="shared" si="18"/>
        <v>6.8992253698892544E-2</v>
      </c>
      <c r="AM28" s="1360">
        <f t="shared" si="19"/>
        <v>257267150</v>
      </c>
      <c r="AN28" s="1346">
        <f t="shared" si="6"/>
        <v>0.02</v>
      </c>
      <c r="AO28" s="1346">
        <f t="shared" si="7"/>
        <v>0</v>
      </c>
      <c r="AP28" s="1355">
        <v>77320</v>
      </c>
      <c r="AQ28" s="1355">
        <f t="shared" si="8"/>
        <v>7260887</v>
      </c>
      <c r="AR28" s="1355">
        <f>ROUND(AQ28/'Table 3 Levels 1&amp;2'!C24,2)</f>
        <v>2500.31</v>
      </c>
    </row>
    <row r="29" spans="1:44">
      <c r="A29" s="1344">
        <v>22</v>
      </c>
      <c r="B29" s="1345" t="s">
        <v>102</v>
      </c>
      <c r="C29" s="1295">
        <v>70351786</v>
      </c>
      <c r="D29" s="1295">
        <v>30134566</v>
      </c>
      <c r="E29" s="1295">
        <f t="shared" si="9"/>
        <v>40217220</v>
      </c>
      <c r="F29" s="1295">
        <v>37430667</v>
      </c>
      <c r="G29" s="1346">
        <f t="shared" si="10"/>
        <v>7.4445721205021534E-2</v>
      </c>
      <c r="H29" s="1347">
        <f t="shared" si="1"/>
        <v>40217220</v>
      </c>
      <c r="I29" s="1348">
        <v>5.62</v>
      </c>
      <c r="J29" s="1349">
        <v>225114</v>
      </c>
      <c r="K29" s="1348">
        <v>23.27</v>
      </c>
      <c r="L29" s="1349">
        <v>728433</v>
      </c>
      <c r="M29" s="1350">
        <v>2</v>
      </c>
      <c r="N29" s="1350">
        <v>16.18</v>
      </c>
      <c r="O29" s="1350">
        <v>16</v>
      </c>
      <c r="P29" s="1349">
        <v>588472</v>
      </c>
      <c r="Q29" s="1295">
        <f t="shared" si="11"/>
        <v>1542019</v>
      </c>
      <c r="R29" s="1350">
        <v>81</v>
      </c>
      <c r="S29" s="1349">
        <v>0</v>
      </c>
      <c r="T29" s="1350">
        <v>18</v>
      </c>
      <c r="U29" s="1350">
        <v>38</v>
      </c>
      <c r="V29" s="1350">
        <v>9</v>
      </c>
      <c r="W29" s="1349">
        <v>1221362</v>
      </c>
      <c r="X29" s="1295">
        <f t="shared" si="12"/>
        <v>1221362</v>
      </c>
      <c r="Y29" s="1351">
        <f t="shared" si="13"/>
        <v>109.89</v>
      </c>
      <c r="Z29" s="1295">
        <f t="shared" si="14"/>
        <v>953547</v>
      </c>
      <c r="AA29" s="1295">
        <f t="shared" si="15"/>
        <v>1809834</v>
      </c>
      <c r="AB29" s="1352">
        <f t="shared" si="2"/>
        <v>30.37</v>
      </c>
      <c r="AC29" s="1353">
        <f t="shared" si="3"/>
        <v>38.340000000000003</v>
      </c>
      <c r="AD29" s="1354">
        <f t="shared" si="4"/>
        <v>68.709999999999994</v>
      </c>
      <c r="AE29" s="1355">
        <f t="shared" si="16"/>
        <v>2763381</v>
      </c>
      <c r="AF29" s="1356">
        <v>0.02</v>
      </c>
      <c r="AG29" s="1357">
        <v>2147502</v>
      </c>
      <c r="AH29" s="1357">
        <v>0</v>
      </c>
      <c r="AI29" s="1358">
        <f t="shared" si="17"/>
        <v>2147502</v>
      </c>
      <c r="AJ29" s="1355">
        <v>102440800</v>
      </c>
      <c r="AK29" s="1355">
        <f t="shared" si="20"/>
        <v>107375100</v>
      </c>
      <c r="AL29" s="1359">
        <f t="shared" si="18"/>
        <v>4.8167331766249384E-2</v>
      </c>
      <c r="AM29" s="1360">
        <f t="shared" si="19"/>
        <v>107375100</v>
      </c>
      <c r="AN29" s="1346">
        <f t="shared" si="6"/>
        <v>0.02</v>
      </c>
      <c r="AO29" s="1346">
        <f t="shared" si="7"/>
        <v>0</v>
      </c>
      <c r="AP29" s="1355">
        <v>593135</v>
      </c>
      <c r="AQ29" s="1355">
        <f t="shared" si="8"/>
        <v>5504018</v>
      </c>
      <c r="AR29" s="1355">
        <f>ROUND(AQ29/'Table 3 Levels 1&amp;2'!C25,2)</f>
        <v>1751.2</v>
      </c>
    </row>
    <row r="30" spans="1:44">
      <c r="A30" s="1344">
        <v>23</v>
      </c>
      <c r="B30" s="1345" t="s">
        <v>103</v>
      </c>
      <c r="C30" s="1295">
        <v>636191558</v>
      </c>
      <c r="D30" s="1295">
        <v>109918682</v>
      </c>
      <c r="E30" s="1295">
        <f t="shared" si="9"/>
        <v>526272876</v>
      </c>
      <c r="F30" s="1295">
        <v>496990013</v>
      </c>
      <c r="G30" s="1346">
        <f t="shared" si="10"/>
        <v>5.8920425429152434E-2</v>
      </c>
      <c r="H30" s="1347">
        <f t="shared" si="1"/>
        <v>526272876</v>
      </c>
      <c r="I30" s="1348">
        <v>4.47</v>
      </c>
      <c r="J30" s="1349">
        <v>2358402</v>
      </c>
      <c r="K30" s="1348">
        <v>6.15</v>
      </c>
      <c r="L30" s="1349">
        <v>3242290</v>
      </c>
      <c r="M30" s="1350">
        <v>0</v>
      </c>
      <c r="N30" s="1350">
        <v>0</v>
      </c>
      <c r="O30" s="1350">
        <v>0</v>
      </c>
      <c r="P30" s="1349">
        <v>0</v>
      </c>
      <c r="Q30" s="1295">
        <f t="shared" si="11"/>
        <v>5600692</v>
      </c>
      <c r="R30" s="1350">
        <v>21.9</v>
      </c>
      <c r="S30" s="1349">
        <v>11549081</v>
      </c>
      <c r="T30" s="1350">
        <v>0</v>
      </c>
      <c r="U30" s="1350">
        <v>0</v>
      </c>
      <c r="V30" s="1350">
        <v>0</v>
      </c>
      <c r="W30" s="1349">
        <v>0</v>
      </c>
      <c r="X30" s="1295">
        <f t="shared" si="12"/>
        <v>11549081</v>
      </c>
      <c r="Y30" s="1351">
        <f t="shared" si="13"/>
        <v>32.519999999999996</v>
      </c>
      <c r="Z30" s="1295">
        <f t="shared" si="14"/>
        <v>17149773</v>
      </c>
      <c r="AA30" s="1295">
        <f t="shared" si="15"/>
        <v>0</v>
      </c>
      <c r="AB30" s="1352">
        <f t="shared" si="2"/>
        <v>21.95</v>
      </c>
      <c r="AC30" s="1353">
        <f t="shared" si="3"/>
        <v>10.64</v>
      </c>
      <c r="AD30" s="1354">
        <f t="shared" si="4"/>
        <v>32.590000000000003</v>
      </c>
      <c r="AE30" s="1355">
        <f t="shared" si="16"/>
        <v>17149773</v>
      </c>
      <c r="AF30" s="1356">
        <v>0.02</v>
      </c>
      <c r="AG30" s="1357">
        <v>28987769</v>
      </c>
      <c r="AH30" s="1357">
        <v>0</v>
      </c>
      <c r="AI30" s="1358">
        <f t="shared" si="17"/>
        <v>28987769</v>
      </c>
      <c r="AJ30" s="1355">
        <v>1424322250</v>
      </c>
      <c r="AK30" s="1355">
        <f t="shared" si="20"/>
        <v>1449388450</v>
      </c>
      <c r="AL30" s="1356">
        <f t="shared" si="18"/>
        <v>1.7598685971520842E-2</v>
      </c>
      <c r="AM30" s="1355">
        <f t="shared" si="19"/>
        <v>1449388450</v>
      </c>
      <c r="AN30" s="1346">
        <f t="shared" si="6"/>
        <v>0.02</v>
      </c>
      <c r="AO30" s="1346">
        <f t="shared" si="7"/>
        <v>0</v>
      </c>
      <c r="AP30" s="1355">
        <v>557578</v>
      </c>
      <c r="AQ30" s="1355">
        <f t="shared" si="8"/>
        <v>46695120</v>
      </c>
      <c r="AR30" s="1355">
        <f>ROUND(AQ30/'Table 3 Levels 1&amp;2'!C26,2)</f>
        <v>3449.44</v>
      </c>
    </row>
    <row r="31" spans="1:44">
      <c r="A31" s="1344">
        <v>24</v>
      </c>
      <c r="B31" s="1345" t="s">
        <v>104</v>
      </c>
      <c r="C31" s="1295">
        <v>535974437</v>
      </c>
      <c r="D31" s="1295">
        <v>45812305</v>
      </c>
      <c r="E31" s="1295">
        <f t="shared" si="9"/>
        <v>490162132</v>
      </c>
      <c r="F31" s="1295">
        <v>424347580</v>
      </c>
      <c r="G31" s="1346">
        <f t="shared" si="10"/>
        <v>0.15509585797567174</v>
      </c>
      <c r="H31" s="1347">
        <f t="shared" si="1"/>
        <v>466782338.00000006</v>
      </c>
      <c r="I31" s="1348">
        <v>3.49</v>
      </c>
      <c r="J31" s="1349">
        <v>1697334</v>
      </c>
      <c r="K31" s="1348">
        <v>54.34</v>
      </c>
      <c r="L31" s="1349">
        <v>23691868</v>
      </c>
      <c r="M31" s="1350">
        <v>0</v>
      </c>
      <c r="N31" s="1350">
        <v>0</v>
      </c>
      <c r="O31" s="1350">
        <v>0</v>
      </c>
      <c r="P31" s="1349">
        <v>0</v>
      </c>
      <c r="Q31" s="1295">
        <f t="shared" si="11"/>
        <v>25389202</v>
      </c>
      <c r="R31" s="1350">
        <v>0</v>
      </c>
      <c r="S31" s="1349">
        <v>3100204</v>
      </c>
      <c r="T31" s="1350">
        <v>0</v>
      </c>
      <c r="U31" s="1350">
        <v>0</v>
      </c>
      <c r="V31" s="1350">
        <v>0</v>
      </c>
      <c r="W31" s="1349">
        <v>0</v>
      </c>
      <c r="X31" s="1295">
        <f t="shared" si="12"/>
        <v>3100204</v>
      </c>
      <c r="Y31" s="1351">
        <f t="shared" si="13"/>
        <v>57.830000000000005</v>
      </c>
      <c r="Z31" s="1295">
        <f t="shared" si="14"/>
        <v>28489406</v>
      </c>
      <c r="AA31" s="1295">
        <f t="shared" si="15"/>
        <v>0</v>
      </c>
      <c r="AB31" s="1352">
        <f t="shared" si="2"/>
        <v>6.32</v>
      </c>
      <c r="AC31" s="1353">
        <f t="shared" si="3"/>
        <v>51.8</v>
      </c>
      <c r="AD31" s="1354">
        <f t="shared" si="4"/>
        <v>58.12</v>
      </c>
      <c r="AE31" s="1355">
        <f t="shared" si="16"/>
        <v>28489406</v>
      </c>
      <c r="AF31" s="1356">
        <v>0.02</v>
      </c>
      <c r="AG31" s="1357">
        <v>21041895</v>
      </c>
      <c r="AH31" s="1357">
        <v>0</v>
      </c>
      <c r="AI31" s="1358">
        <f t="shared" si="17"/>
        <v>21041895</v>
      </c>
      <c r="AJ31" s="1355">
        <v>933176000</v>
      </c>
      <c r="AK31" s="1355">
        <f t="shared" si="20"/>
        <v>1052094750</v>
      </c>
      <c r="AL31" s="1356">
        <f t="shared" si="18"/>
        <v>0.1274344282321877</v>
      </c>
      <c r="AM31" s="1355">
        <f t="shared" si="19"/>
        <v>1052094750</v>
      </c>
      <c r="AN31" s="1346">
        <f t="shared" si="6"/>
        <v>0.02</v>
      </c>
      <c r="AO31" s="1346">
        <f t="shared" si="7"/>
        <v>0</v>
      </c>
      <c r="AP31" s="1355">
        <v>138588.5</v>
      </c>
      <c r="AQ31" s="1355">
        <f t="shared" si="8"/>
        <v>49669889.5</v>
      </c>
      <c r="AR31" s="1355">
        <f>ROUND(AQ31/'Table 3 Levels 1&amp;2'!C27,2)</f>
        <v>10818.97</v>
      </c>
    </row>
    <row r="32" spans="1:44">
      <c r="A32" s="14">
        <v>25</v>
      </c>
      <c r="B32" s="57" t="s">
        <v>105</v>
      </c>
      <c r="C32" s="16">
        <v>258353690</v>
      </c>
      <c r="D32" s="16">
        <v>19540260</v>
      </c>
      <c r="E32" s="16">
        <f t="shared" si="9"/>
        <v>238813430</v>
      </c>
      <c r="F32" s="16">
        <v>234609150</v>
      </c>
      <c r="G32" s="107">
        <f t="shared" si="10"/>
        <v>1.7920358178698487E-2</v>
      </c>
      <c r="H32" s="892">
        <f t="shared" si="1"/>
        <v>238813430</v>
      </c>
      <c r="I32" s="282">
        <v>4.6500000000000004</v>
      </c>
      <c r="J32" s="273">
        <v>1146264</v>
      </c>
      <c r="K32" s="282">
        <v>20.16</v>
      </c>
      <c r="L32" s="273">
        <v>4974801</v>
      </c>
      <c r="M32" s="272">
        <v>0</v>
      </c>
      <c r="N32" s="272">
        <v>0</v>
      </c>
      <c r="O32" s="272">
        <v>0</v>
      </c>
      <c r="P32" s="273">
        <v>0</v>
      </c>
      <c r="Q32" s="16">
        <f t="shared" si="11"/>
        <v>6121065</v>
      </c>
      <c r="R32" s="272">
        <v>7</v>
      </c>
      <c r="S32" s="273">
        <v>380945</v>
      </c>
      <c r="T32" s="272">
        <v>0</v>
      </c>
      <c r="U32" s="272">
        <v>0</v>
      </c>
      <c r="V32" s="272">
        <v>0</v>
      </c>
      <c r="W32" s="273">
        <v>0</v>
      </c>
      <c r="X32" s="16">
        <f t="shared" si="12"/>
        <v>380945</v>
      </c>
      <c r="Y32" s="118">
        <f t="shared" si="13"/>
        <v>31.810000000000002</v>
      </c>
      <c r="Z32" s="16">
        <f t="shared" si="14"/>
        <v>6502010</v>
      </c>
      <c r="AA32" s="16">
        <f t="shared" si="15"/>
        <v>0</v>
      </c>
      <c r="AB32" s="119">
        <f t="shared" si="2"/>
        <v>1.6</v>
      </c>
      <c r="AC32" s="120">
        <f t="shared" si="3"/>
        <v>25.63</v>
      </c>
      <c r="AD32" s="105">
        <f t="shared" si="4"/>
        <v>27.23</v>
      </c>
      <c r="AE32" s="63">
        <f t="shared" si="16"/>
        <v>6502010</v>
      </c>
      <c r="AF32" s="126">
        <v>0.03</v>
      </c>
      <c r="AG32" s="201">
        <v>5249322</v>
      </c>
      <c r="AH32" s="201">
        <v>0</v>
      </c>
      <c r="AI32" s="280">
        <f t="shared" si="17"/>
        <v>5249322</v>
      </c>
      <c r="AJ32" s="63">
        <v>202203800</v>
      </c>
      <c r="AK32" s="63">
        <f t="shared" si="20"/>
        <v>174977400</v>
      </c>
      <c r="AL32" s="126">
        <f t="shared" si="18"/>
        <v>-0.13464831026914431</v>
      </c>
      <c r="AM32" s="63">
        <f t="shared" si="19"/>
        <v>174977400</v>
      </c>
      <c r="AN32" s="107">
        <f t="shared" si="6"/>
        <v>0.03</v>
      </c>
      <c r="AO32" s="107">
        <f t="shared" si="7"/>
        <v>0</v>
      </c>
      <c r="AP32" s="63">
        <v>97597</v>
      </c>
      <c r="AQ32" s="63">
        <f t="shared" si="8"/>
        <v>11848929</v>
      </c>
      <c r="AR32" s="63">
        <f>ROUND(AQ32/'Table 3 Levels 1&amp;2'!C28,2)</f>
        <v>5180.99</v>
      </c>
    </row>
    <row r="33" spans="1:44" s="60" customFormat="1">
      <c r="A33" s="1344">
        <v>26</v>
      </c>
      <c r="B33" s="1345" t="s">
        <v>106</v>
      </c>
      <c r="C33" s="1295">
        <v>4089295257</v>
      </c>
      <c r="D33" s="1295">
        <v>751270880</v>
      </c>
      <c r="E33" s="1295">
        <f t="shared" si="9"/>
        <v>3338024377</v>
      </c>
      <c r="F33" s="1295">
        <v>3247560992</v>
      </c>
      <c r="G33" s="1346">
        <f t="shared" si="10"/>
        <v>2.7855792461741701E-2</v>
      </c>
      <c r="H33" s="1347">
        <f t="shared" si="1"/>
        <v>3338024377</v>
      </c>
      <c r="I33" s="1348">
        <v>2.91</v>
      </c>
      <c r="J33" s="1349">
        <v>9623392</v>
      </c>
      <c r="K33" s="1348">
        <v>20</v>
      </c>
      <c r="L33" s="1349">
        <v>66048514</v>
      </c>
      <c r="M33" s="1350">
        <v>0</v>
      </c>
      <c r="N33" s="1350">
        <v>0</v>
      </c>
      <c r="O33" s="1350">
        <v>0</v>
      </c>
      <c r="P33" s="1349">
        <v>0</v>
      </c>
      <c r="Q33" s="1295">
        <f t="shared" si="11"/>
        <v>75671906</v>
      </c>
      <c r="R33" s="1361">
        <v>0</v>
      </c>
      <c r="S33" s="1349">
        <v>0</v>
      </c>
      <c r="T33" s="1350">
        <v>0</v>
      </c>
      <c r="U33" s="1350">
        <v>0</v>
      </c>
      <c r="V33" s="1350">
        <v>0</v>
      </c>
      <c r="W33" s="1349">
        <v>0</v>
      </c>
      <c r="X33" s="1295">
        <f t="shared" si="12"/>
        <v>0</v>
      </c>
      <c r="Y33" s="1351">
        <f t="shared" si="13"/>
        <v>22.91</v>
      </c>
      <c r="Z33" s="1295">
        <f t="shared" si="14"/>
        <v>75671906</v>
      </c>
      <c r="AA33" s="1295">
        <f t="shared" si="15"/>
        <v>0</v>
      </c>
      <c r="AB33" s="1352">
        <f t="shared" si="2"/>
        <v>0</v>
      </c>
      <c r="AC33" s="1353">
        <f t="shared" si="3"/>
        <v>22.67</v>
      </c>
      <c r="AD33" s="1354">
        <f t="shared" si="4"/>
        <v>22.67</v>
      </c>
      <c r="AE33" s="1355">
        <f t="shared" si="16"/>
        <v>75671906</v>
      </c>
      <c r="AF33" s="1356">
        <v>0.02</v>
      </c>
      <c r="AG33" s="1357">
        <v>156354593</v>
      </c>
      <c r="AH33" s="1357">
        <v>25045935</v>
      </c>
      <c r="AI33" s="1358">
        <f t="shared" si="17"/>
        <v>181400528</v>
      </c>
      <c r="AJ33" s="1355">
        <v>8540097500</v>
      </c>
      <c r="AK33" s="1355">
        <f t="shared" si="20"/>
        <v>9070026400</v>
      </c>
      <c r="AL33" s="1359">
        <f t="shared" si="18"/>
        <v>6.2051855965344661E-2</v>
      </c>
      <c r="AM33" s="1360">
        <f t="shared" si="19"/>
        <v>9070026400</v>
      </c>
      <c r="AN33" s="1346">
        <f t="shared" si="6"/>
        <v>1.723860395819796E-2</v>
      </c>
      <c r="AO33" s="1346">
        <f t="shared" si="7"/>
        <v>2.7613960418020394E-3</v>
      </c>
      <c r="AP33" s="1355">
        <v>2553626.5</v>
      </c>
      <c r="AQ33" s="1355">
        <f t="shared" si="8"/>
        <v>259626060.5</v>
      </c>
      <c r="AR33" s="1355">
        <f>ROUND(AQ33/'Table 3 Levels 1&amp;2'!C29,2)</f>
        <v>5714.99</v>
      </c>
    </row>
    <row r="34" spans="1:44">
      <c r="A34" s="1344">
        <v>27</v>
      </c>
      <c r="B34" s="1345" t="s">
        <v>107</v>
      </c>
      <c r="C34" s="1295">
        <v>237086416</v>
      </c>
      <c r="D34" s="1295">
        <v>47280313</v>
      </c>
      <c r="E34" s="1295">
        <f t="shared" si="9"/>
        <v>189806103</v>
      </c>
      <c r="F34" s="1295">
        <v>177777062</v>
      </c>
      <c r="G34" s="1346">
        <f t="shared" si="10"/>
        <v>6.7663628055682462E-2</v>
      </c>
      <c r="H34" s="1347">
        <f t="shared" si="1"/>
        <v>189806103</v>
      </c>
      <c r="I34" s="1348">
        <v>6.48</v>
      </c>
      <c r="J34" s="1349">
        <v>1353983</v>
      </c>
      <c r="K34" s="1348">
        <v>10.77</v>
      </c>
      <c r="L34" s="1349">
        <v>2249787</v>
      </c>
      <c r="M34" s="1350">
        <v>3.95</v>
      </c>
      <c r="N34" s="1350">
        <v>17.3</v>
      </c>
      <c r="O34" s="1350">
        <v>7</v>
      </c>
      <c r="P34" s="1349">
        <v>2210395</v>
      </c>
      <c r="Q34" s="1295">
        <f t="shared" si="11"/>
        <v>5814165</v>
      </c>
      <c r="R34" s="1350">
        <v>0</v>
      </c>
      <c r="S34" s="1349">
        <v>0</v>
      </c>
      <c r="T34" s="1350">
        <v>3</v>
      </c>
      <c r="U34" s="1350">
        <v>15.5</v>
      </c>
      <c r="V34" s="1350">
        <v>7</v>
      </c>
      <c r="W34" s="1349">
        <v>2205475</v>
      </c>
      <c r="X34" s="1295">
        <f t="shared" si="12"/>
        <v>2205475</v>
      </c>
      <c r="Y34" s="1351">
        <f t="shared" si="13"/>
        <v>17.25</v>
      </c>
      <c r="Z34" s="1295">
        <f t="shared" si="14"/>
        <v>3603770</v>
      </c>
      <c r="AA34" s="1295">
        <f t="shared" si="15"/>
        <v>4415870</v>
      </c>
      <c r="AB34" s="1352">
        <f t="shared" si="2"/>
        <v>11.62</v>
      </c>
      <c r="AC34" s="1353">
        <f t="shared" si="3"/>
        <v>30.63</v>
      </c>
      <c r="AD34" s="1354">
        <f t="shared" si="4"/>
        <v>42.25</v>
      </c>
      <c r="AE34" s="1355">
        <f t="shared" si="16"/>
        <v>8019640</v>
      </c>
      <c r="AF34" s="1356">
        <v>2.5000000000000001E-2</v>
      </c>
      <c r="AG34" s="1357">
        <v>9298997</v>
      </c>
      <c r="AH34" s="1357">
        <v>1316832</v>
      </c>
      <c r="AI34" s="1358">
        <f t="shared" si="17"/>
        <v>10615829</v>
      </c>
      <c r="AJ34" s="1355">
        <v>418083000</v>
      </c>
      <c r="AK34" s="1355">
        <f t="shared" si="20"/>
        <v>424633160</v>
      </c>
      <c r="AL34" s="1359">
        <f t="shared" si="18"/>
        <v>1.566712829749117E-2</v>
      </c>
      <c r="AM34" s="1360">
        <f t="shared" si="19"/>
        <v>424633160</v>
      </c>
      <c r="AN34" s="1346">
        <f t="shared" si="6"/>
        <v>2.1898895036836029E-2</v>
      </c>
      <c r="AO34" s="1346">
        <f t="shared" si="7"/>
        <v>3.1011049631639695E-3</v>
      </c>
      <c r="AP34" s="1355">
        <v>346454</v>
      </c>
      <c r="AQ34" s="1355">
        <f t="shared" si="8"/>
        <v>18981923</v>
      </c>
      <c r="AR34" s="1355">
        <f>ROUND(AQ34/'Table 3 Levels 1&amp;2'!C30,2)</f>
        <v>3367.38</v>
      </c>
    </row>
    <row r="35" spans="1:44">
      <c r="A35" s="1344">
        <v>28</v>
      </c>
      <c r="B35" s="1345" t="s">
        <v>108</v>
      </c>
      <c r="C35" s="1295">
        <v>2123625080</v>
      </c>
      <c r="D35" s="1295">
        <v>355651998</v>
      </c>
      <c r="E35" s="1295">
        <f t="shared" si="9"/>
        <v>1767973082</v>
      </c>
      <c r="F35" s="1295">
        <v>1643740403</v>
      </c>
      <c r="G35" s="1346">
        <f t="shared" si="10"/>
        <v>7.5579257389586721E-2</v>
      </c>
      <c r="H35" s="1347">
        <f t="shared" si="1"/>
        <v>1767973082</v>
      </c>
      <c r="I35" s="1348">
        <v>4.59</v>
      </c>
      <c r="J35" s="1349">
        <v>7861651</v>
      </c>
      <c r="K35" s="1348">
        <v>28.97</v>
      </c>
      <c r="L35" s="1349">
        <v>49688686</v>
      </c>
      <c r="M35" s="1350">
        <v>0</v>
      </c>
      <c r="N35" s="1350">
        <v>0</v>
      </c>
      <c r="O35" s="1350">
        <v>0</v>
      </c>
      <c r="P35" s="1349">
        <v>0</v>
      </c>
      <c r="Q35" s="1295">
        <f t="shared" si="11"/>
        <v>57550337</v>
      </c>
      <c r="R35" s="1350">
        <v>0</v>
      </c>
      <c r="S35" s="1349">
        <v>0</v>
      </c>
      <c r="T35" s="1350">
        <v>0</v>
      </c>
      <c r="U35" s="1350">
        <v>0</v>
      </c>
      <c r="V35" s="1350">
        <v>0</v>
      </c>
      <c r="W35" s="1349">
        <v>0</v>
      </c>
      <c r="X35" s="1295">
        <f t="shared" si="12"/>
        <v>0</v>
      </c>
      <c r="Y35" s="1351">
        <f t="shared" si="13"/>
        <v>33.56</v>
      </c>
      <c r="Z35" s="1295">
        <f t="shared" si="14"/>
        <v>57550337</v>
      </c>
      <c r="AA35" s="1295">
        <f t="shared" si="15"/>
        <v>0</v>
      </c>
      <c r="AB35" s="1352">
        <f t="shared" si="2"/>
        <v>0</v>
      </c>
      <c r="AC35" s="1353">
        <f t="shared" si="3"/>
        <v>32.549999999999997</v>
      </c>
      <c r="AD35" s="1354">
        <f t="shared" si="4"/>
        <v>32.549999999999997</v>
      </c>
      <c r="AE35" s="1355">
        <f t="shared" si="16"/>
        <v>57550337</v>
      </c>
      <c r="AF35" s="1356">
        <v>0.02</v>
      </c>
      <c r="AG35" s="1357">
        <v>106083908</v>
      </c>
      <c r="AH35" s="1357">
        <v>7480979</v>
      </c>
      <c r="AI35" s="1358">
        <f t="shared" si="17"/>
        <v>113564887</v>
      </c>
      <c r="AJ35" s="1355">
        <v>5318943700</v>
      </c>
      <c r="AK35" s="1355">
        <f t="shared" si="20"/>
        <v>5678244350</v>
      </c>
      <c r="AL35" s="1356">
        <f t="shared" si="18"/>
        <v>6.7551128619767115E-2</v>
      </c>
      <c r="AM35" s="1355">
        <f t="shared" si="19"/>
        <v>5678244350</v>
      </c>
      <c r="AN35" s="1346">
        <f t="shared" si="6"/>
        <v>1.8682519007833822E-2</v>
      </c>
      <c r="AO35" s="1346">
        <f t="shared" si="7"/>
        <v>1.3174809921661791E-3</v>
      </c>
      <c r="AP35" s="1355">
        <v>2196752</v>
      </c>
      <c r="AQ35" s="1355">
        <f t="shared" si="8"/>
        <v>173311976</v>
      </c>
      <c r="AR35" s="1355">
        <f>ROUND(AQ35/'Table 3 Levels 1&amp;2'!C31,2)</f>
        <v>5737.86</v>
      </c>
    </row>
    <row r="36" spans="1:44">
      <c r="A36" s="1344">
        <v>29</v>
      </c>
      <c r="B36" s="1345" t="s">
        <v>109</v>
      </c>
      <c r="C36" s="1295">
        <v>974187580</v>
      </c>
      <c r="D36" s="1295">
        <v>167126266</v>
      </c>
      <c r="E36" s="1295">
        <f t="shared" si="9"/>
        <v>807061314</v>
      </c>
      <c r="F36" s="1295">
        <v>749161181</v>
      </c>
      <c r="G36" s="1346">
        <f t="shared" si="10"/>
        <v>7.7286616643314834E-2</v>
      </c>
      <c r="H36" s="1347">
        <f t="shared" si="1"/>
        <v>807061314</v>
      </c>
      <c r="I36" s="1348">
        <v>3.63</v>
      </c>
      <c r="J36" s="1349">
        <v>2819334</v>
      </c>
      <c r="K36" s="1348">
        <v>24.47</v>
      </c>
      <c r="L36" s="1349">
        <v>19005473</v>
      </c>
      <c r="M36" s="1350">
        <v>0</v>
      </c>
      <c r="N36" s="1350">
        <v>0</v>
      </c>
      <c r="O36" s="1350">
        <v>0</v>
      </c>
      <c r="P36" s="1349">
        <v>0</v>
      </c>
      <c r="Q36" s="1295">
        <f t="shared" si="11"/>
        <v>21824807</v>
      </c>
      <c r="R36" s="1350">
        <v>15.2</v>
      </c>
      <c r="S36" s="1349">
        <v>11805247</v>
      </c>
      <c r="T36" s="1350">
        <v>0</v>
      </c>
      <c r="U36" s="1350">
        <v>0</v>
      </c>
      <c r="V36" s="1350">
        <v>0</v>
      </c>
      <c r="W36" s="1349">
        <v>0</v>
      </c>
      <c r="X36" s="1295">
        <f t="shared" si="12"/>
        <v>11805247</v>
      </c>
      <c r="Y36" s="1351">
        <f t="shared" si="13"/>
        <v>43.3</v>
      </c>
      <c r="Z36" s="1295">
        <f t="shared" si="14"/>
        <v>33630054</v>
      </c>
      <c r="AA36" s="1295">
        <f t="shared" si="15"/>
        <v>0</v>
      </c>
      <c r="AB36" s="1352">
        <f t="shared" si="2"/>
        <v>14.63</v>
      </c>
      <c r="AC36" s="1353">
        <f t="shared" si="3"/>
        <v>27.04</v>
      </c>
      <c r="AD36" s="1354">
        <f t="shared" si="4"/>
        <v>41.67</v>
      </c>
      <c r="AE36" s="1355">
        <f t="shared" si="16"/>
        <v>33630054</v>
      </c>
      <c r="AF36" s="1356">
        <v>0.02</v>
      </c>
      <c r="AG36" s="1357">
        <v>32910355</v>
      </c>
      <c r="AH36" s="1357">
        <v>0</v>
      </c>
      <c r="AI36" s="1358">
        <f t="shared" si="17"/>
        <v>32910355</v>
      </c>
      <c r="AJ36" s="1355">
        <v>1419103500</v>
      </c>
      <c r="AK36" s="1355">
        <f t="shared" si="20"/>
        <v>1645517750</v>
      </c>
      <c r="AL36" s="1356">
        <f t="shared" si="18"/>
        <v>0.15954738325992432</v>
      </c>
      <c r="AM36" s="1355">
        <f t="shared" si="19"/>
        <v>1631969024.9999998</v>
      </c>
      <c r="AN36" s="1346">
        <f t="shared" si="6"/>
        <v>0.02</v>
      </c>
      <c r="AO36" s="1346">
        <f t="shared" si="7"/>
        <v>0</v>
      </c>
      <c r="AP36" s="1355">
        <v>862122.5</v>
      </c>
      <c r="AQ36" s="1355">
        <f t="shared" si="8"/>
        <v>67402531.5</v>
      </c>
      <c r="AR36" s="1355">
        <f>ROUND(AQ36/'Table 3 Levels 1&amp;2'!C32,2)</f>
        <v>4870.83</v>
      </c>
    </row>
    <row r="37" spans="1:44">
      <c r="A37" s="14">
        <v>30</v>
      </c>
      <c r="B37" s="57" t="s">
        <v>110</v>
      </c>
      <c r="C37" s="16">
        <v>94770570</v>
      </c>
      <c r="D37" s="16">
        <v>21432636</v>
      </c>
      <c r="E37" s="16">
        <f t="shared" si="9"/>
        <v>73337934</v>
      </c>
      <c r="F37" s="16">
        <v>67108707</v>
      </c>
      <c r="G37" s="107">
        <f t="shared" si="10"/>
        <v>9.282293279767706E-2</v>
      </c>
      <c r="H37" s="892">
        <f t="shared" si="1"/>
        <v>73337934</v>
      </c>
      <c r="I37" s="282">
        <v>4.76</v>
      </c>
      <c r="J37" s="273">
        <v>429187</v>
      </c>
      <c r="K37" s="282">
        <v>41.69</v>
      </c>
      <c r="L37" s="273">
        <v>3771953</v>
      </c>
      <c r="M37" s="272">
        <v>0</v>
      </c>
      <c r="N37" s="272">
        <v>0</v>
      </c>
      <c r="O37" s="272">
        <v>0</v>
      </c>
      <c r="P37" s="273">
        <v>0</v>
      </c>
      <c r="Q37" s="16">
        <f t="shared" si="11"/>
        <v>4201140</v>
      </c>
      <c r="R37" s="272">
        <v>0</v>
      </c>
      <c r="S37" s="273">
        <v>0</v>
      </c>
      <c r="T37" s="272">
        <v>0</v>
      </c>
      <c r="U37" s="272">
        <v>0</v>
      </c>
      <c r="V37" s="272">
        <v>0</v>
      </c>
      <c r="W37" s="273">
        <v>0</v>
      </c>
      <c r="X37" s="16">
        <f t="shared" si="12"/>
        <v>0</v>
      </c>
      <c r="Y37" s="118">
        <f t="shared" si="13"/>
        <v>46.449999999999996</v>
      </c>
      <c r="Z37" s="16">
        <f t="shared" si="14"/>
        <v>4201140</v>
      </c>
      <c r="AA37" s="16">
        <f t="shared" si="15"/>
        <v>0</v>
      </c>
      <c r="AB37" s="119">
        <f t="shared" si="2"/>
        <v>0</v>
      </c>
      <c r="AC37" s="120">
        <f t="shared" si="3"/>
        <v>57.28</v>
      </c>
      <c r="AD37" s="105">
        <f t="shared" si="4"/>
        <v>57.28</v>
      </c>
      <c r="AE37" s="63">
        <f t="shared" si="16"/>
        <v>4201140</v>
      </c>
      <c r="AF37" s="126">
        <v>0.03</v>
      </c>
      <c r="AG37" s="201">
        <v>5014177</v>
      </c>
      <c r="AH37" s="201">
        <v>1426163</v>
      </c>
      <c r="AI37" s="280">
        <f t="shared" si="17"/>
        <v>6440340</v>
      </c>
      <c r="AJ37" s="63">
        <v>207830367</v>
      </c>
      <c r="AK37" s="63">
        <f t="shared" si="20"/>
        <v>214678000</v>
      </c>
      <c r="AL37" s="126">
        <f t="shared" si="18"/>
        <v>3.2948183169016876E-2</v>
      </c>
      <c r="AM37" s="63">
        <f t="shared" si="19"/>
        <v>214678000</v>
      </c>
      <c r="AN37" s="107">
        <f t="shared" si="6"/>
        <v>2.3356734271793102E-2</v>
      </c>
      <c r="AO37" s="107">
        <f t="shared" si="7"/>
        <v>6.6432657282068956E-3</v>
      </c>
      <c r="AP37" s="63">
        <v>85727.5</v>
      </c>
      <c r="AQ37" s="63">
        <f t="shared" si="8"/>
        <v>10727207.5</v>
      </c>
      <c r="AR37" s="63">
        <f>ROUND(AQ37/'Table 3 Levels 1&amp;2'!C33,2)</f>
        <v>4346.5200000000004</v>
      </c>
    </row>
    <row r="38" spans="1:44">
      <c r="A38" s="1344">
        <v>31</v>
      </c>
      <c r="B38" s="1345" t="s">
        <v>111</v>
      </c>
      <c r="C38" s="1295">
        <v>422955540</v>
      </c>
      <c r="D38" s="1295">
        <v>57253450</v>
      </c>
      <c r="E38" s="1295">
        <f t="shared" si="9"/>
        <v>365702090</v>
      </c>
      <c r="F38" s="1295">
        <v>354926711</v>
      </c>
      <c r="G38" s="1346">
        <f t="shared" si="10"/>
        <v>3.0359447925574698E-2</v>
      </c>
      <c r="H38" s="1347">
        <f t="shared" si="1"/>
        <v>365702090</v>
      </c>
      <c r="I38" s="1348">
        <v>4.2300000000000004</v>
      </c>
      <c r="J38" s="1349">
        <v>1575238</v>
      </c>
      <c r="K38" s="1348">
        <v>28.6</v>
      </c>
      <c r="L38" s="1349">
        <v>10457064</v>
      </c>
      <c r="M38" s="1350">
        <v>0</v>
      </c>
      <c r="N38" s="1350">
        <v>0</v>
      </c>
      <c r="O38" s="1350">
        <v>4</v>
      </c>
      <c r="P38" s="1349">
        <v>999022</v>
      </c>
      <c r="Q38" s="1295">
        <f t="shared" si="11"/>
        <v>13031324</v>
      </c>
      <c r="R38" s="1361">
        <v>0</v>
      </c>
      <c r="S38" s="1349">
        <v>0</v>
      </c>
      <c r="T38" s="1350">
        <v>11.77</v>
      </c>
      <c r="U38" s="1350">
        <v>40</v>
      </c>
      <c r="V38" s="1350">
        <v>4</v>
      </c>
      <c r="W38" s="1349">
        <v>3781411</v>
      </c>
      <c r="X38" s="1295">
        <f t="shared" si="12"/>
        <v>3781411</v>
      </c>
      <c r="Y38" s="1351">
        <f t="shared" si="13"/>
        <v>32.83</v>
      </c>
      <c r="Z38" s="1295">
        <f t="shared" si="14"/>
        <v>12032302</v>
      </c>
      <c r="AA38" s="1295">
        <f t="shared" si="15"/>
        <v>4780433</v>
      </c>
      <c r="AB38" s="1352">
        <f t="shared" si="2"/>
        <v>10.34</v>
      </c>
      <c r="AC38" s="1353">
        <f t="shared" si="3"/>
        <v>35.630000000000003</v>
      </c>
      <c r="AD38" s="1354">
        <f t="shared" si="4"/>
        <v>45.97</v>
      </c>
      <c r="AE38" s="1355">
        <f t="shared" si="16"/>
        <v>16812735</v>
      </c>
      <c r="AF38" s="1356">
        <v>0.02</v>
      </c>
      <c r="AG38" s="1357">
        <v>14907192</v>
      </c>
      <c r="AH38" s="1357">
        <v>0</v>
      </c>
      <c r="AI38" s="1358">
        <f t="shared" si="17"/>
        <v>14907192</v>
      </c>
      <c r="AJ38" s="1355">
        <v>717052450</v>
      </c>
      <c r="AK38" s="1355">
        <f t="shared" si="20"/>
        <v>745359600</v>
      </c>
      <c r="AL38" s="1359">
        <f t="shared" si="18"/>
        <v>3.9477098223428424E-2</v>
      </c>
      <c r="AM38" s="1360">
        <f t="shared" si="19"/>
        <v>745359600</v>
      </c>
      <c r="AN38" s="1346">
        <f t="shared" si="6"/>
        <v>0.02</v>
      </c>
      <c r="AO38" s="1346">
        <f t="shared" si="7"/>
        <v>0</v>
      </c>
      <c r="AP38" s="1355">
        <v>369039</v>
      </c>
      <c r="AQ38" s="1355">
        <f t="shared" si="8"/>
        <v>32088966</v>
      </c>
      <c r="AR38" s="1355">
        <f>ROUND(AQ38/'Table 3 Levels 1&amp;2'!C34,2)</f>
        <v>5034.3500000000004</v>
      </c>
    </row>
    <row r="39" spans="1:44">
      <c r="A39" s="1344">
        <v>32</v>
      </c>
      <c r="B39" s="1345" t="s">
        <v>112</v>
      </c>
      <c r="C39" s="1295">
        <v>667583720</v>
      </c>
      <c r="D39" s="1295">
        <v>224934420</v>
      </c>
      <c r="E39" s="1295">
        <f t="shared" si="9"/>
        <v>442649300</v>
      </c>
      <c r="F39" s="1295">
        <v>422388150</v>
      </c>
      <c r="G39" s="1346">
        <f t="shared" si="10"/>
        <v>4.7968083384915039E-2</v>
      </c>
      <c r="H39" s="1347">
        <f t="shared" si="1"/>
        <v>442649300</v>
      </c>
      <c r="I39" s="1348">
        <v>3.29</v>
      </c>
      <c r="J39" s="1349">
        <v>1458050</v>
      </c>
      <c r="K39" s="1348">
        <v>18.91</v>
      </c>
      <c r="L39" s="1349">
        <v>8384050</v>
      </c>
      <c r="M39" s="1350">
        <v>0</v>
      </c>
      <c r="N39" s="1350">
        <v>0</v>
      </c>
      <c r="O39" s="1350">
        <v>0</v>
      </c>
      <c r="P39" s="1349">
        <v>0</v>
      </c>
      <c r="Q39" s="1295">
        <f t="shared" si="11"/>
        <v>9842100</v>
      </c>
      <c r="R39" s="1350">
        <v>0</v>
      </c>
      <c r="S39" s="1349">
        <v>0</v>
      </c>
      <c r="T39" s="1350">
        <v>3.33</v>
      </c>
      <c r="U39" s="1350">
        <v>43.97</v>
      </c>
      <c r="V39" s="1350">
        <v>10</v>
      </c>
      <c r="W39" s="1349">
        <v>5442641</v>
      </c>
      <c r="X39" s="1295">
        <f t="shared" si="12"/>
        <v>5442641</v>
      </c>
      <c r="Y39" s="1351">
        <f t="shared" si="13"/>
        <v>22.2</v>
      </c>
      <c r="Z39" s="1295">
        <f t="shared" si="14"/>
        <v>9842100</v>
      </c>
      <c r="AA39" s="1295">
        <f t="shared" si="15"/>
        <v>5442641</v>
      </c>
      <c r="AB39" s="1352">
        <f t="shared" si="2"/>
        <v>12.3</v>
      </c>
      <c r="AC39" s="1353">
        <f t="shared" si="3"/>
        <v>22.23</v>
      </c>
      <c r="AD39" s="1354">
        <f t="shared" si="4"/>
        <v>34.53</v>
      </c>
      <c r="AE39" s="1355">
        <f t="shared" si="16"/>
        <v>15284741</v>
      </c>
      <c r="AF39" s="1356">
        <v>2.5000000000000001E-2</v>
      </c>
      <c r="AG39" s="1357">
        <v>35812625</v>
      </c>
      <c r="AH39" s="1357">
        <v>1535765</v>
      </c>
      <c r="AI39" s="1362">
        <f>AG39+AH39</f>
        <v>37348390</v>
      </c>
      <c r="AJ39" s="1355">
        <v>1388024080</v>
      </c>
      <c r="AK39" s="1355">
        <f t="shared" si="20"/>
        <v>1493935600</v>
      </c>
      <c r="AL39" s="1359">
        <f t="shared" si="18"/>
        <v>7.6303805910917621E-2</v>
      </c>
      <c r="AM39" s="1360">
        <f t="shared" si="19"/>
        <v>1493935600</v>
      </c>
      <c r="AN39" s="1346">
        <f t="shared" si="6"/>
        <v>2.3972000533356325E-2</v>
      </c>
      <c r="AO39" s="1346">
        <f t="shared" si="7"/>
        <v>1.0279994666436759E-3</v>
      </c>
      <c r="AP39" s="1355">
        <v>970462.5</v>
      </c>
      <c r="AQ39" s="1355">
        <f t="shared" si="8"/>
        <v>53603593.5</v>
      </c>
      <c r="AR39" s="1355">
        <f>ROUND(AQ39/'Table 3 Levels 1&amp;2'!C35,2)</f>
        <v>2129.0700000000002</v>
      </c>
    </row>
    <row r="40" spans="1:44">
      <c r="A40" s="1344">
        <v>33</v>
      </c>
      <c r="B40" s="1345" t="s">
        <v>113</v>
      </c>
      <c r="C40" s="1295">
        <v>119718650</v>
      </c>
      <c r="D40" s="1295">
        <v>10175717</v>
      </c>
      <c r="E40" s="1295">
        <f t="shared" si="9"/>
        <v>109542933</v>
      </c>
      <c r="F40" s="1295">
        <v>105829543</v>
      </c>
      <c r="G40" s="1346">
        <f t="shared" si="10"/>
        <v>3.5088406268559622E-2</v>
      </c>
      <c r="H40" s="1347">
        <f t="shared" ref="H40:H76" si="21">IF((E40-F40)/F40&gt;$H$5,F40*(1+$H$5),E40)</f>
        <v>109542933</v>
      </c>
      <c r="I40" s="1348">
        <v>4.5999999999999996</v>
      </c>
      <c r="J40" s="1349">
        <v>569746</v>
      </c>
      <c r="K40" s="1348">
        <v>5.09</v>
      </c>
      <c r="L40" s="1349">
        <v>0</v>
      </c>
      <c r="M40" s="1350">
        <v>0</v>
      </c>
      <c r="N40" s="1350">
        <v>0</v>
      </c>
      <c r="O40" s="1350">
        <v>0</v>
      </c>
      <c r="P40" s="1349">
        <v>547218</v>
      </c>
      <c r="Q40" s="1295">
        <f t="shared" si="11"/>
        <v>1116964</v>
      </c>
      <c r="R40" s="1350">
        <v>12</v>
      </c>
      <c r="S40" s="1349">
        <v>1293951</v>
      </c>
      <c r="T40" s="1350">
        <v>0</v>
      </c>
      <c r="U40" s="1350">
        <v>0</v>
      </c>
      <c r="V40" s="1350">
        <v>0</v>
      </c>
      <c r="W40" s="1349">
        <v>0</v>
      </c>
      <c r="X40" s="1295">
        <f t="shared" si="12"/>
        <v>1293951</v>
      </c>
      <c r="Y40" s="1351">
        <f t="shared" si="13"/>
        <v>21.689999999999998</v>
      </c>
      <c r="Z40" s="1295">
        <f t="shared" si="14"/>
        <v>1863697</v>
      </c>
      <c r="AA40" s="1295">
        <f t="shared" si="15"/>
        <v>547218</v>
      </c>
      <c r="AB40" s="1352">
        <f t="shared" ref="AB40:AB71" si="22">ROUND((X40/E40)*1000,2)</f>
        <v>11.81</v>
      </c>
      <c r="AC40" s="1353">
        <f t="shared" ref="AC40:AC71" si="23">ROUND((Q40/E40)*1000,2)</f>
        <v>10.199999999999999</v>
      </c>
      <c r="AD40" s="1354">
        <f t="shared" ref="AD40:AD71" si="24">ROUND((AE40/E40)*1000,2)</f>
        <v>22.01</v>
      </c>
      <c r="AE40" s="1355">
        <f t="shared" si="16"/>
        <v>2410915</v>
      </c>
      <c r="AF40" s="1356">
        <v>2.5000000000000001E-2</v>
      </c>
      <c r="AG40" s="1357">
        <v>2117689</v>
      </c>
      <c r="AH40" s="1357">
        <v>1411734</v>
      </c>
      <c r="AI40" s="1358">
        <f t="shared" si="17"/>
        <v>3529423</v>
      </c>
      <c r="AJ40" s="1355">
        <v>112188480</v>
      </c>
      <c r="AK40" s="1355">
        <f t="shared" si="20"/>
        <v>141176920</v>
      </c>
      <c r="AL40" s="1356">
        <f t="shared" si="18"/>
        <v>0.25839052280590663</v>
      </c>
      <c r="AM40" s="1355">
        <f t="shared" si="19"/>
        <v>129016751.99999999</v>
      </c>
      <c r="AN40" s="1346">
        <f t="shared" ref="AN40:AN76" si="25">AG40/AK40</f>
        <v>1.5000249332539625E-2</v>
      </c>
      <c r="AO40" s="1346">
        <f t="shared" ref="AO40:AO76" si="26">AH40/AK40</f>
        <v>9.9997506674603751E-3</v>
      </c>
      <c r="AP40" s="1355">
        <v>38002</v>
      </c>
      <c r="AQ40" s="1355">
        <f t="shared" ref="AQ40:AQ71" si="27">AP40+AE40+AI40</f>
        <v>5978340</v>
      </c>
      <c r="AR40" s="1355">
        <f>ROUND(AQ40/'Table 3 Levels 1&amp;2'!C36,2)</f>
        <v>3489.98</v>
      </c>
    </row>
    <row r="41" spans="1:44">
      <c r="A41" s="1344">
        <v>34</v>
      </c>
      <c r="B41" s="1345" t="s">
        <v>114</v>
      </c>
      <c r="C41" s="1295">
        <v>173887620</v>
      </c>
      <c r="D41" s="1295">
        <v>35910878</v>
      </c>
      <c r="E41" s="1295">
        <f t="shared" si="9"/>
        <v>137976742</v>
      </c>
      <c r="F41" s="1295">
        <v>152289716</v>
      </c>
      <c r="G41" s="1346">
        <f t="shared" si="10"/>
        <v>-9.3985164434872273E-2</v>
      </c>
      <c r="H41" s="1347">
        <f t="shared" si="21"/>
        <v>137976742</v>
      </c>
      <c r="I41" s="1348">
        <v>5.96</v>
      </c>
      <c r="J41" s="1349">
        <v>802619</v>
      </c>
      <c r="K41" s="1348">
        <v>25.63</v>
      </c>
      <c r="L41" s="1349">
        <v>3702238</v>
      </c>
      <c r="M41" s="1350">
        <v>5.1100000000000003</v>
      </c>
      <c r="N41" s="1350">
        <v>9.9499999999999993</v>
      </c>
      <c r="O41" s="1350">
        <v>2</v>
      </c>
      <c r="P41" s="1349">
        <v>509593</v>
      </c>
      <c r="Q41" s="1295">
        <f t="shared" si="11"/>
        <v>5014450</v>
      </c>
      <c r="R41" s="1350">
        <v>10</v>
      </c>
      <c r="S41" s="1349">
        <v>1405340</v>
      </c>
      <c r="T41" s="1350">
        <v>0</v>
      </c>
      <c r="U41" s="1350">
        <v>0</v>
      </c>
      <c r="V41" s="1350">
        <v>0</v>
      </c>
      <c r="W41" s="1349">
        <v>0</v>
      </c>
      <c r="X41" s="1295">
        <f t="shared" si="12"/>
        <v>1405340</v>
      </c>
      <c r="Y41" s="1351">
        <f t="shared" si="13"/>
        <v>41.59</v>
      </c>
      <c r="Z41" s="1295">
        <f t="shared" si="14"/>
        <v>5910197</v>
      </c>
      <c r="AA41" s="1295">
        <f t="shared" si="15"/>
        <v>509593</v>
      </c>
      <c r="AB41" s="1352">
        <f t="shared" si="22"/>
        <v>10.19</v>
      </c>
      <c r="AC41" s="1353">
        <f t="shared" si="23"/>
        <v>36.340000000000003</v>
      </c>
      <c r="AD41" s="1354">
        <f t="shared" si="24"/>
        <v>46.53</v>
      </c>
      <c r="AE41" s="1355">
        <f t="shared" si="16"/>
        <v>6419790</v>
      </c>
      <c r="AF41" s="1356">
        <v>0.02</v>
      </c>
      <c r="AG41" s="1357">
        <v>6043034</v>
      </c>
      <c r="AH41" s="1357">
        <v>0</v>
      </c>
      <c r="AI41" s="1358">
        <f t="shared" si="17"/>
        <v>6043034</v>
      </c>
      <c r="AJ41" s="1355">
        <v>295607700</v>
      </c>
      <c r="AK41" s="1355">
        <f t="shared" si="20"/>
        <v>302151700</v>
      </c>
      <c r="AL41" s="1356">
        <f t="shared" si="18"/>
        <v>2.2137447705184946E-2</v>
      </c>
      <c r="AM41" s="1355">
        <f t="shared" si="19"/>
        <v>302151700</v>
      </c>
      <c r="AN41" s="1346">
        <f t="shared" si="25"/>
        <v>0.02</v>
      </c>
      <c r="AO41" s="1346">
        <f t="shared" si="26"/>
        <v>0</v>
      </c>
      <c r="AP41" s="1355">
        <v>233351</v>
      </c>
      <c r="AQ41" s="1355">
        <f t="shared" si="27"/>
        <v>12696175</v>
      </c>
      <c r="AR41" s="1355">
        <f>ROUND(AQ41/'Table 3 Levels 1&amp;2'!C37,2)</f>
        <v>2883.53</v>
      </c>
    </row>
    <row r="42" spans="1:44">
      <c r="A42" s="14">
        <v>35</v>
      </c>
      <c r="B42" s="57" t="s">
        <v>115</v>
      </c>
      <c r="C42" s="16">
        <v>357019520</v>
      </c>
      <c r="D42" s="16">
        <v>51584970</v>
      </c>
      <c r="E42" s="16">
        <f t="shared" si="9"/>
        <v>305434550</v>
      </c>
      <c r="F42" s="16">
        <v>241854644</v>
      </c>
      <c r="G42" s="107">
        <f t="shared" si="10"/>
        <v>0.26288478463121839</v>
      </c>
      <c r="H42" s="892">
        <f t="shared" si="21"/>
        <v>266040108.40000004</v>
      </c>
      <c r="I42" s="282">
        <v>4.6500000000000004</v>
      </c>
      <c r="J42" s="273">
        <v>1432063</v>
      </c>
      <c r="K42" s="282">
        <v>7</v>
      </c>
      <c r="L42" s="273">
        <v>2111262</v>
      </c>
      <c r="M42" s="272">
        <v>7</v>
      </c>
      <c r="N42" s="272">
        <v>20</v>
      </c>
      <c r="O42" s="272">
        <v>5</v>
      </c>
      <c r="P42" s="273">
        <v>2628085</v>
      </c>
      <c r="Q42" s="16">
        <f t="shared" si="11"/>
        <v>6171410</v>
      </c>
      <c r="R42" s="272">
        <v>0</v>
      </c>
      <c r="S42" s="273">
        <v>0</v>
      </c>
      <c r="T42" s="272">
        <v>8</v>
      </c>
      <c r="U42" s="272">
        <v>12.5</v>
      </c>
      <c r="V42" s="272">
        <v>2</v>
      </c>
      <c r="W42" s="273">
        <v>2552083</v>
      </c>
      <c r="X42" s="16">
        <f t="shared" si="12"/>
        <v>2552083</v>
      </c>
      <c r="Y42" s="118">
        <f t="shared" si="13"/>
        <v>11.65</v>
      </c>
      <c r="Z42" s="16">
        <f t="shared" si="14"/>
        <v>3543325</v>
      </c>
      <c r="AA42" s="16">
        <f t="shared" si="15"/>
        <v>5180168</v>
      </c>
      <c r="AB42" s="119">
        <f t="shared" si="22"/>
        <v>8.36</v>
      </c>
      <c r="AC42" s="120">
        <f t="shared" si="23"/>
        <v>20.21</v>
      </c>
      <c r="AD42" s="105">
        <f t="shared" si="24"/>
        <v>28.56</v>
      </c>
      <c r="AE42" s="63">
        <f t="shared" si="16"/>
        <v>8723493</v>
      </c>
      <c r="AF42" s="126">
        <v>0.02</v>
      </c>
      <c r="AG42" s="201">
        <v>11792760</v>
      </c>
      <c r="AH42" s="201">
        <v>0</v>
      </c>
      <c r="AI42" s="280">
        <f t="shared" si="17"/>
        <v>11792760</v>
      </c>
      <c r="AJ42" s="63">
        <v>774106750</v>
      </c>
      <c r="AK42" s="63">
        <f t="shared" si="20"/>
        <v>589638000</v>
      </c>
      <c r="AL42" s="126">
        <f t="shared" si="18"/>
        <v>-0.23829885219318911</v>
      </c>
      <c r="AM42" s="63">
        <f t="shared" si="19"/>
        <v>589638000</v>
      </c>
      <c r="AN42" s="107">
        <f t="shared" si="25"/>
        <v>0.02</v>
      </c>
      <c r="AO42" s="107">
        <f t="shared" si="26"/>
        <v>0</v>
      </c>
      <c r="AP42" s="63">
        <v>606026</v>
      </c>
      <c r="AQ42" s="63">
        <f t="shared" si="27"/>
        <v>21122279</v>
      </c>
      <c r="AR42" s="63">
        <f>ROUND(AQ42/'Table 3 Levels 1&amp;2'!C38,2)</f>
        <v>3296.75</v>
      </c>
    </row>
    <row r="43" spans="1:44">
      <c r="A43" s="1344">
        <v>36</v>
      </c>
      <c r="B43" s="1345" t="s">
        <v>116</v>
      </c>
      <c r="C43" s="1295">
        <v>3526858230</v>
      </c>
      <c r="D43" s="1295">
        <v>437893609</v>
      </c>
      <c r="E43" s="1295">
        <f t="shared" si="9"/>
        <v>3088964621</v>
      </c>
      <c r="F43" s="1295">
        <v>2949672237</v>
      </c>
      <c r="G43" s="1346">
        <f t="shared" si="10"/>
        <v>4.7223004052026139E-2</v>
      </c>
      <c r="H43" s="1347">
        <f t="shared" si="21"/>
        <v>3088964621</v>
      </c>
      <c r="I43" s="1348">
        <v>27.65</v>
      </c>
      <c r="J43" s="1349">
        <v>82591467</v>
      </c>
      <c r="K43" s="1348">
        <v>12.69</v>
      </c>
      <c r="L43" s="1349">
        <v>37860736</v>
      </c>
      <c r="M43" s="1350">
        <v>0</v>
      </c>
      <c r="N43" s="1350">
        <v>0</v>
      </c>
      <c r="O43" s="1350">
        <v>0</v>
      </c>
      <c r="P43" s="1349">
        <v>0</v>
      </c>
      <c r="Q43" s="1295">
        <f t="shared" si="11"/>
        <v>120452203</v>
      </c>
      <c r="R43" s="1361">
        <v>4.47</v>
      </c>
      <c r="S43" s="1349">
        <v>13238861</v>
      </c>
      <c r="T43" s="1350">
        <v>0</v>
      </c>
      <c r="U43" s="1350">
        <v>0</v>
      </c>
      <c r="V43" s="1350">
        <v>0</v>
      </c>
      <c r="W43" s="1349">
        <v>0</v>
      </c>
      <c r="X43" s="1295">
        <f t="shared" si="12"/>
        <v>13238861</v>
      </c>
      <c r="Y43" s="1351">
        <f t="shared" si="13"/>
        <v>44.809999999999995</v>
      </c>
      <c r="Z43" s="1295">
        <f t="shared" si="14"/>
        <v>133691064</v>
      </c>
      <c r="AA43" s="1295">
        <f t="shared" si="15"/>
        <v>0</v>
      </c>
      <c r="AB43" s="1352">
        <f t="shared" si="22"/>
        <v>4.29</v>
      </c>
      <c r="AC43" s="1353">
        <f t="shared" si="23"/>
        <v>38.99</v>
      </c>
      <c r="AD43" s="1354">
        <f t="shared" si="24"/>
        <v>43.28</v>
      </c>
      <c r="AE43" s="1355">
        <f t="shared" si="16"/>
        <v>133691064</v>
      </c>
      <c r="AF43" s="1356">
        <v>1.4999999999999999E-2</v>
      </c>
      <c r="AG43" s="1357">
        <v>88276668</v>
      </c>
      <c r="AH43" s="1357">
        <v>19842334</v>
      </c>
      <c r="AI43" s="1358">
        <f t="shared" si="17"/>
        <v>108119002</v>
      </c>
      <c r="AJ43" s="1355">
        <v>6054719067</v>
      </c>
      <c r="AK43" s="1355">
        <f t="shared" si="20"/>
        <v>7207933467</v>
      </c>
      <c r="AL43" s="1359">
        <f t="shared" si="18"/>
        <v>0.1904653853034004</v>
      </c>
      <c r="AM43" s="1360">
        <f t="shared" si="19"/>
        <v>6962926927.0499992</v>
      </c>
      <c r="AN43" s="1346">
        <f t="shared" si="25"/>
        <v>1.2247153557140346E-2</v>
      </c>
      <c r="AO43" s="1346">
        <f t="shared" si="26"/>
        <v>2.7528464421659733E-3</v>
      </c>
      <c r="AP43" s="1355">
        <v>2455088</v>
      </c>
      <c r="AQ43" s="1355">
        <f t="shared" si="27"/>
        <v>244265154</v>
      </c>
      <c r="AR43" s="1355">
        <f>ROUND(AQ43/'Table 3 Levels 1&amp;2'!C39,2)</f>
        <v>5799.68</v>
      </c>
    </row>
    <row r="44" spans="1:44">
      <c r="A44" s="1344">
        <v>37</v>
      </c>
      <c r="B44" s="1345" t="s">
        <v>117</v>
      </c>
      <c r="C44" s="1295">
        <v>747784999</v>
      </c>
      <c r="D44" s="1295">
        <v>158738793</v>
      </c>
      <c r="E44" s="1295">
        <f t="shared" si="9"/>
        <v>589046206</v>
      </c>
      <c r="F44" s="1295">
        <v>556225024</v>
      </c>
      <c r="G44" s="1346">
        <f t="shared" si="10"/>
        <v>5.9007021589880859E-2</v>
      </c>
      <c r="H44" s="1347">
        <f t="shared" si="21"/>
        <v>589046206</v>
      </c>
      <c r="I44" s="1348">
        <v>5.18</v>
      </c>
      <c r="J44" s="1349">
        <v>3624443</v>
      </c>
      <c r="K44" s="1348">
        <v>24.15</v>
      </c>
      <c r="L44" s="1349">
        <v>13879685</v>
      </c>
      <c r="M44" s="1350">
        <v>0</v>
      </c>
      <c r="N44" s="1350">
        <v>0</v>
      </c>
      <c r="O44" s="1350">
        <v>0</v>
      </c>
      <c r="P44" s="1349">
        <v>0</v>
      </c>
      <c r="Q44" s="1295">
        <f t="shared" si="11"/>
        <v>17504128</v>
      </c>
      <c r="R44" s="1350">
        <v>0</v>
      </c>
      <c r="S44" s="1349">
        <v>6524864</v>
      </c>
      <c r="T44" s="1350">
        <v>30</v>
      </c>
      <c r="U44" s="1350">
        <v>30</v>
      </c>
      <c r="V44" s="1350">
        <v>0</v>
      </c>
      <c r="W44" s="1349">
        <v>0</v>
      </c>
      <c r="X44" s="1295">
        <f t="shared" si="12"/>
        <v>6524864</v>
      </c>
      <c r="Y44" s="1351">
        <f t="shared" si="13"/>
        <v>29.33</v>
      </c>
      <c r="Z44" s="1295">
        <f t="shared" si="14"/>
        <v>24028992</v>
      </c>
      <c r="AA44" s="1295">
        <f t="shared" si="15"/>
        <v>0</v>
      </c>
      <c r="AB44" s="1352">
        <f t="shared" si="22"/>
        <v>11.08</v>
      </c>
      <c r="AC44" s="1353">
        <f t="shared" si="23"/>
        <v>29.72</v>
      </c>
      <c r="AD44" s="1354">
        <f t="shared" si="24"/>
        <v>40.79</v>
      </c>
      <c r="AE44" s="1355">
        <f t="shared" si="16"/>
        <v>24028992</v>
      </c>
      <c r="AF44" s="1356">
        <v>0.03</v>
      </c>
      <c r="AG44" s="1357">
        <v>34918823</v>
      </c>
      <c r="AH44" s="1357">
        <v>6390257</v>
      </c>
      <c r="AI44" s="1358">
        <f t="shared" si="17"/>
        <v>41309080</v>
      </c>
      <c r="AJ44" s="1355">
        <v>1313425500</v>
      </c>
      <c r="AK44" s="1355">
        <f t="shared" si="20"/>
        <v>1376969333</v>
      </c>
      <c r="AL44" s="1359">
        <f t="shared" si="18"/>
        <v>4.83802339759659E-2</v>
      </c>
      <c r="AM44" s="1360">
        <f t="shared" si="19"/>
        <v>1376969333</v>
      </c>
      <c r="AN44" s="1346">
        <f t="shared" si="25"/>
        <v>2.5359187138846759E-2</v>
      </c>
      <c r="AO44" s="1346">
        <f t="shared" si="26"/>
        <v>4.6408128684155671E-3</v>
      </c>
      <c r="AP44" s="1355">
        <v>828091</v>
      </c>
      <c r="AQ44" s="1355">
        <f t="shared" si="27"/>
        <v>66166163</v>
      </c>
      <c r="AR44" s="1355">
        <f>ROUND(AQ44/'Table 3 Levels 1&amp;2'!C40,2)</f>
        <v>3396.97</v>
      </c>
    </row>
    <row r="45" spans="1:44">
      <c r="A45" s="1344">
        <v>38</v>
      </c>
      <c r="B45" s="1345" t="s">
        <v>118</v>
      </c>
      <c r="C45" s="1295">
        <v>1007356429</v>
      </c>
      <c r="D45" s="1295">
        <v>29506018</v>
      </c>
      <c r="E45" s="1295">
        <f t="shared" si="9"/>
        <v>977850411</v>
      </c>
      <c r="F45" s="1295">
        <v>940328297</v>
      </c>
      <c r="G45" s="1346">
        <f t="shared" si="10"/>
        <v>3.9903206273500032E-2</v>
      </c>
      <c r="H45" s="1347">
        <f t="shared" si="21"/>
        <v>977850411</v>
      </c>
      <c r="I45" s="1348">
        <v>6.03</v>
      </c>
      <c r="J45" s="1349">
        <v>6343058</v>
      </c>
      <c r="K45" s="1348">
        <v>18.38</v>
      </c>
      <c r="L45" s="1349">
        <v>19016841</v>
      </c>
      <c r="M45" s="1350">
        <v>0</v>
      </c>
      <c r="N45" s="1350">
        <v>0</v>
      </c>
      <c r="O45" s="1350">
        <v>0</v>
      </c>
      <c r="P45" s="1349">
        <v>0</v>
      </c>
      <c r="Q45" s="1295">
        <f t="shared" si="11"/>
        <v>25359899</v>
      </c>
      <c r="R45" s="1350">
        <v>0</v>
      </c>
      <c r="S45" s="1349">
        <v>0</v>
      </c>
      <c r="T45" s="1350">
        <v>0</v>
      </c>
      <c r="U45" s="1350">
        <v>0</v>
      </c>
      <c r="V45" s="1350">
        <v>0</v>
      </c>
      <c r="W45" s="1349">
        <v>0</v>
      </c>
      <c r="X45" s="1295">
        <f t="shared" si="12"/>
        <v>0</v>
      </c>
      <c r="Y45" s="1351">
        <f t="shared" si="13"/>
        <v>24.41</v>
      </c>
      <c r="Z45" s="1295">
        <f t="shared" si="14"/>
        <v>25359899</v>
      </c>
      <c r="AA45" s="1295">
        <f t="shared" si="15"/>
        <v>0</v>
      </c>
      <c r="AB45" s="1352">
        <f t="shared" si="22"/>
        <v>0</v>
      </c>
      <c r="AC45" s="1353">
        <f t="shared" si="23"/>
        <v>25.93</v>
      </c>
      <c r="AD45" s="1354">
        <f t="shared" si="24"/>
        <v>25.93</v>
      </c>
      <c r="AE45" s="1355">
        <f t="shared" si="16"/>
        <v>25359899</v>
      </c>
      <c r="AF45" s="1356">
        <v>0.02</v>
      </c>
      <c r="AG45" s="1357">
        <v>23490808</v>
      </c>
      <c r="AH45" s="1357">
        <v>0</v>
      </c>
      <c r="AI45" s="1358">
        <f t="shared" si="17"/>
        <v>23490808</v>
      </c>
      <c r="AJ45" s="1355">
        <v>1024939600</v>
      </c>
      <c r="AK45" s="1355">
        <f t="shared" si="20"/>
        <v>1174540400</v>
      </c>
      <c r="AL45" s="1356">
        <f t="shared" si="18"/>
        <v>0.14596060099541475</v>
      </c>
      <c r="AM45" s="1355">
        <f t="shared" si="19"/>
        <v>1174540400</v>
      </c>
      <c r="AN45" s="1346">
        <f t="shared" si="25"/>
        <v>0.02</v>
      </c>
      <c r="AO45" s="1346">
        <f t="shared" si="26"/>
        <v>0</v>
      </c>
      <c r="AP45" s="1355">
        <v>86727.5</v>
      </c>
      <c r="AQ45" s="1355">
        <f t="shared" si="27"/>
        <v>48937434.5</v>
      </c>
      <c r="AR45" s="1355">
        <f>ROUND(AQ45/'Table 3 Levels 1&amp;2'!C41,2)</f>
        <v>12632.28</v>
      </c>
    </row>
    <row r="46" spans="1:44">
      <c r="A46" s="1344">
        <v>39</v>
      </c>
      <c r="B46" s="1345" t="s">
        <v>119</v>
      </c>
      <c r="C46" s="1295">
        <v>409209373</v>
      </c>
      <c r="D46" s="1295">
        <v>38772207</v>
      </c>
      <c r="E46" s="1295">
        <f t="shared" si="9"/>
        <v>370437166</v>
      </c>
      <c r="F46" s="1295">
        <v>335754791</v>
      </c>
      <c r="G46" s="1346">
        <f t="shared" si="10"/>
        <v>0.10329673895852166</v>
      </c>
      <c r="H46" s="1347">
        <f t="shared" si="21"/>
        <v>369330270.10000002</v>
      </c>
      <c r="I46" s="1348">
        <v>4.54</v>
      </c>
      <c r="J46" s="1349">
        <v>1676057</v>
      </c>
      <c r="K46" s="1348">
        <v>11.96</v>
      </c>
      <c r="L46" s="1349">
        <v>4415330</v>
      </c>
      <c r="M46" s="1350">
        <v>0</v>
      </c>
      <c r="N46" s="1350">
        <v>0</v>
      </c>
      <c r="O46" s="1350">
        <v>0</v>
      </c>
      <c r="P46" s="1349">
        <v>0</v>
      </c>
      <c r="Q46" s="1295">
        <f t="shared" si="11"/>
        <v>6091387</v>
      </c>
      <c r="R46" s="1350">
        <v>0</v>
      </c>
      <c r="S46" s="1349">
        <v>0</v>
      </c>
      <c r="T46" s="1350">
        <v>0</v>
      </c>
      <c r="U46" s="1350">
        <v>10</v>
      </c>
      <c r="V46" s="1350">
        <v>1</v>
      </c>
      <c r="W46" s="1349">
        <v>452359</v>
      </c>
      <c r="X46" s="1295">
        <f t="shared" si="12"/>
        <v>452359</v>
      </c>
      <c r="Y46" s="1351">
        <f t="shared" si="13"/>
        <v>16.5</v>
      </c>
      <c r="Z46" s="1295">
        <f t="shared" si="14"/>
        <v>6091387</v>
      </c>
      <c r="AA46" s="1295">
        <f t="shared" si="15"/>
        <v>452359</v>
      </c>
      <c r="AB46" s="1352">
        <f t="shared" si="22"/>
        <v>1.22</v>
      </c>
      <c r="AC46" s="1353">
        <f t="shared" si="23"/>
        <v>16.440000000000001</v>
      </c>
      <c r="AD46" s="1354">
        <f t="shared" si="24"/>
        <v>17.66</v>
      </c>
      <c r="AE46" s="1355">
        <f t="shared" si="16"/>
        <v>6543746</v>
      </c>
      <c r="AF46" s="1356">
        <v>0.02</v>
      </c>
      <c r="AG46" s="1357">
        <v>6099336</v>
      </c>
      <c r="AH46" s="1357">
        <v>0</v>
      </c>
      <c r="AI46" s="1358">
        <f t="shared" si="17"/>
        <v>6099336</v>
      </c>
      <c r="AJ46" s="1355">
        <v>334485000</v>
      </c>
      <c r="AK46" s="1355">
        <f t="shared" si="20"/>
        <v>304966800</v>
      </c>
      <c r="AL46" s="1356">
        <f t="shared" si="18"/>
        <v>-8.8249697295842866E-2</v>
      </c>
      <c r="AM46" s="1355">
        <f t="shared" si="19"/>
        <v>304966800</v>
      </c>
      <c r="AN46" s="1346">
        <f t="shared" si="25"/>
        <v>0.02</v>
      </c>
      <c r="AO46" s="1346">
        <f t="shared" si="26"/>
        <v>0</v>
      </c>
      <c r="AP46" s="1355">
        <v>173886.5</v>
      </c>
      <c r="AQ46" s="1355">
        <f t="shared" si="27"/>
        <v>12816968.5</v>
      </c>
      <c r="AR46" s="1355">
        <f>ROUND(AQ46/'Table 3 Levels 1&amp;2'!C42,2)</f>
        <v>4582.3999999999996</v>
      </c>
    </row>
    <row r="47" spans="1:44">
      <c r="A47" s="14">
        <v>40</v>
      </c>
      <c r="B47" s="57" t="s">
        <v>120</v>
      </c>
      <c r="C47" s="16">
        <v>871012243</v>
      </c>
      <c r="D47" s="16">
        <v>177968212</v>
      </c>
      <c r="E47" s="16">
        <f t="shared" si="9"/>
        <v>693044031</v>
      </c>
      <c r="F47" s="16">
        <v>649813800</v>
      </c>
      <c r="G47" s="107">
        <f t="shared" si="10"/>
        <v>6.6527105149198129E-2</v>
      </c>
      <c r="H47" s="892">
        <f t="shared" si="21"/>
        <v>693044031</v>
      </c>
      <c r="I47" s="282">
        <v>4.93</v>
      </c>
      <c r="J47" s="273">
        <v>3422743</v>
      </c>
      <c r="K47" s="282">
        <v>21.64</v>
      </c>
      <c r="L47" s="273">
        <v>15231582</v>
      </c>
      <c r="M47" s="272">
        <v>4.88</v>
      </c>
      <c r="N47" s="272">
        <v>24.39</v>
      </c>
      <c r="O47" s="272">
        <v>13</v>
      </c>
      <c r="P47" s="273">
        <v>7334966</v>
      </c>
      <c r="Q47" s="16">
        <f t="shared" si="11"/>
        <v>25989291</v>
      </c>
      <c r="R47" s="272">
        <v>0</v>
      </c>
      <c r="S47" s="273">
        <v>0</v>
      </c>
      <c r="T47" s="272">
        <v>9.5</v>
      </c>
      <c r="U47" s="272">
        <v>50</v>
      </c>
      <c r="V47" s="272">
        <v>7</v>
      </c>
      <c r="W47" s="273">
        <v>8777003</v>
      </c>
      <c r="X47" s="16">
        <f t="shared" si="12"/>
        <v>8777003</v>
      </c>
      <c r="Y47" s="118">
        <f t="shared" si="13"/>
        <v>26.57</v>
      </c>
      <c r="Z47" s="16">
        <f t="shared" si="14"/>
        <v>18654325</v>
      </c>
      <c r="AA47" s="16">
        <f t="shared" si="15"/>
        <v>16111969</v>
      </c>
      <c r="AB47" s="119">
        <f t="shared" si="22"/>
        <v>12.66</v>
      </c>
      <c r="AC47" s="120">
        <f t="shared" si="23"/>
        <v>37.5</v>
      </c>
      <c r="AD47" s="105">
        <f t="shared" si="24"/>
        <v>50.16</v>
      </c>
      <c r="AE47" s="63">
        <f t="shared" si="16"/>
        <v>34766294</v>
      </c>
      <c r="AF47" s="126">
        <v>1.4999999999999999E-2</v>
      </c>
      <c r="AG47" s="201">
        <v>35665542</v>
      </c>
      <c r="AH47" s="201">
        <v>0</v>
      </c>
      <c r="AI47" s="280">
        <f t="shared" si="17"/>
        <v>35665542</v>
      </c>
      <c r="AJ47" s="63">
        <v>2390758133</v>
      </c>
      <c r="AK47" s="63">
        <f t="shared" si="20"/>
        <v>2377702800</v>
      </c>
      <c r="AL47" s="126">
        <f t="shared" si="18"/>
        <v>-5.4607502196877397E-3</v>
      </c>
      <c r="AM47" s="63">
        <f t="shared" si="19"/>
        <v>2377702800</v>
      </c>
      <c r="AN47" s="107">
        <f t="shared" si="25"/>
        <v>1.4999999999999999E-2</v>
      </c>
      <c r="AO47" s="107">
        <f t="shared" si="26"/>
        <v>0</v>
      </c>
      <c r="AP47" s="63">
        <v>853958</v>
      </c>
      <c r="AQ47" s="63">
        <f t="shared" si="27"/>
        <v>71285794</v>
      </c>
      <c r="AR47" s="63">
        <f>ROUND(AQ47/'Table 3 Levels 1&amp;2'!C43,2)</f>
        <v>3096.15</v>
      </c>
    </row>
    <row r="48" spans="1:44">
      <c r="A48" s="1344">
        <v>41</v>
      </c>
      <c r="B48" s="1345" t="s">
        <v>121</v>
      </c>
      <c r="C48" s="1295">
        <v>224109350</v>
      </c>
      <c r="D48" s="1295">
        <v>10599090</v>
      </c>
      <c r="E48" s="1295">
        <f t="shared" si="9"/>
        <v>213510260</v>
      </c>
      <c r="F48" s="1295">
        <v>153447950</v>
      </c>
      <c r="G48" s="1346">
        <f t="shared" si="10"/>
        <v>0.39141813233738215</v>
      </c>
      <c r="H48" s="1347">
        <f t="shared" si="21"/>
        <v>168792745</v>
      </c>
      <c r="I48" s="1348">
        <v>4.41</v>
      </c>
      <c r="J48" s="1349">
        <v>941580</v>
      </c>
      <c r="K48" s="1348">
        <v>35.36</v>
      </c>
      <c r="L48" s="1349">
        <v>7549723</v>
      </c>
      <c r="M48" s="1350">
        <v>0</v>
      </c>
      <c r="N48" s="1350">
        <v>0</v>
      </c>
      <c r="O48" s="1350">
        <v>0</v>
      </c>
      <c r="P48" s="1349">
        <v>0</v>
      </c>
      <c r="Q48" s="1295">
        <f t="shared" si="11"/>
        <v>8491303</v>
      </c>
      <c r="R48" s="1361">
        <v>3.1</v>
      </c>
      <c r="S48" s="1349">
        <v>661885</v>
      </c>
      <c r="T48" s="1350">
        <v>0</v>
      </c>
      <c r="U48" s="1350">
        <v>0</v>
      </c>
      <c r="V48" s="1350">
        <v>0</v>
      </c>
      <c r="W48" s="1349">
        <v>0</v>
      </c>
      <c r="X48" s="1295">
        <f t="shared" si="12"/>
        <v>661885</v>
      </c>
      <c r="Y48" s="1351">
        <f t="shared" si="13"/>
        <v>42.87</v>
      </c>
      <c r="Z48" s="1295">
        <f t="shared" si="14"/>
        <v>9153188</v>
      </c>
      <c r="AA48" s="1295">
        <f t="shared" si="15"/>
        <v>0</v>
      </c>
      <c r="AB48" s="1352">
        <f t="shared" si="22"/>
        <v>3.1</v>
      </c>
      <c r="AC48" s="1353">
        <f t="shared" si="23"/>
        <v>39.770000000000003</v>
      </c>
      <c r="AD48" s="1354">
        <f t="shared" si="24"/>
        <v>42.87</v>
      </c>
      <c r="AE48" s="1355">
        <f t="shared" si="16"/>
        <v>9153188</v>
      </c>
      <c r="AF48" s="1356">
        <v>0.02</v>
      </c>
      <c r="AG48" s="1357">
        <v>3995534</v>
      </c>
      <c r="AH48" s="1357">
        <v>0</v>
      </c>
      <c r="AI48" s="1358">
        <f t="shared" si="17"/>
        <v>3995534</v>
      </c>
      <c r="AJ48" s="1355">
        <v>466104800</v>
      </c>
      <c r="AK48" s="1355">
        <f t="shared" si="20"/>
        <v>199776700</v>
      </c>
      <c r="AL48" s="1359">
        <f t="shared" si="18"/>
        <v>-0.57139102622414528</v>
      </c>
      <c r="AM48" s="1360">
        <f t="shared" si="19"/>
        <v>199776700</v>
      </c>
      <c r="AN48" s="1346">
        <f t="shared" si="25"/>
        <v>0.02</v>
      </c>
      <c r="AO48" s="1346">
        <f t="shared" si="26"/>
        <v>0</v>
      </c>
      <c r="AP48" s="1355">
        <v>72333</v>
      </c>
      <c r="AQ48" s="1355">
        <f t="shared" si="27"/>
        <v>13221055</v>
      </c>
      <c r="AR48" s="1355">
        <f>ROUND(AQ48/'Table 3 Levels 1&amp;2'!C44,2)</f>
        <v>9111.69</v>
      </c>
    </row>
    <row r="49" spans="1:44">
      <c r="A49" s="1344">
        <v>42</v>
      </c>
      <c r="B49" s="1345" t="s">
        <v>122</v>
      </c>
      <c r="C49" s="1295">
        <v>229647330</v>
      </c>
      <c r="D49" s="1295">
        <v>27919059</v>
      </c>
      <c r="E49" s="1295">
        <f t="shared" si="9"/>
        <v>201728271</v>
      </c>
      <c r="F49" s="1295">
        <v>179562866</v>
      </c>
      <c r="G49" s="1346">
        <f t="shared" si="10"/>
        <v>0.12344091790114332</v>
      </c>
      <c r="H49" s="1347">
        <f t="shared" si="21"/>
        <v>197519152.60000002</v>
      </c>
      <c r="I49" s="1348">
        <v>8.17</v>
      </c>
      <c r="J49" s="1349">
        <v>1654681</v>
      </c>
      <c r="K49" s="1348">
        <v>8.07</v>
      </c>
      <c r="L49" s="1349">
        <v>1639435</v>
      </c>
      <c r="M49" s="1350">
        <v>0</v>
      </c>
      <c r="N49" s="1350">
        <v>0</v>
      </c>
      <c r="O49" s="1350">
        <v>0</v>
      </c>
      <c r="P49" s="1349">
        <v>0</v>
      </c>
      <c r="Q49" s="1295">
        <f t="shared" si="11"/>
        <v>3294116</v>
      </c>
      <c r="R49" s="1350">
        <v>0</v>
      </c>
      <c r="S49" s="1349">
        <v>0</v>
      </c>
      <c r="T49" s="1350">
        <v>7</v>
      </c>
      <c r="U49" s="1350">
        <v>20</v>
      </c>
      <c r="V49" s="1350">
        <v>4</v>
      </c>
      <c r="W49" s="1349">
        <v>2293549</v>
      </c>
      <c r="X49" s="1295">
        <f t="shared" si="12"/>
        <v>2293549</v>
      </c>
      <c r="Y49" s="1351">
        <f t="shared" si="13"/>
        <v>16.240000000000002</v>
      </c>
      <c r="Z49" s="1295">
        <f t="shared" si="14"/>
        <v>3294116</v>
      </c>
      <c r="AA49" s="1295">
        <f t="shared" si="15"/>
        <v>2293549</v>
      </c>
      <c r="AB49" s="1352">
        <f t="shared" si="22"/>
        <v>11.37</v>
      </c>
      <c r="AC49" s="1353">
        <f t="shared" si="23"/>
        <v>16.329999999999998</v>
      </c>
      <c r="AD49" s="1354">
        <f t="shared" si="24"/>
        <v>27.7</v>
      </c>
      <c r="AE49" s="1355">
        <f t="shared" si="16"/>
        <v>5587665</v>
      </c>
      <c r="AF49" s="1356">
        <v>0.02</v>
      </c>
      <c r="AG49" s="1357">
        <v>6098883</v>
      </c>
      <c r="AH49" s="1357">
        <v>0</v>
      </c>
      <c r="AI49" s="1358">
        <f t="shared" si="17"/>
        <v>6098883</v>
      </c>
      <c r="AJ49" s="1355">
        <v>285611050</v>
      </c>
      <c r="AK49" s="1355">
        <f t="shared" si="20"/>
        <v>304944150</v>
      </c>
      <c r="AL49" s="1359">
        <f t="shared" si="18"/>
        <v>6.7690308200610588E-2</v>
      </c>
      <c r="AM49" s="1360">
        <f t="shared" si="19"/>
        <v>304944150</v>
      </c>
      <c r="AN49" s="1346">
        <f t="shared" si="25"/>
        <v>0.02</v>
      </c>
      <c r="AO49" s="1346">
        <f t="shared" si="26"/>
        <v>0</v>
      </c>
      <c r="AP49" s="1355">
        <v>224338</v>
      </c>
      <c r="AQ49" s="1355">
        <f t="shared" si="27"/>
        <v>11910886</v>
      </c>
      <c r="AR49" s="1355">
        <f>ROUND(AQ49/'Table 3 Levels 1&amp;2'!C45,2)</f>
        <v>3671.67</v>
      </c>
    </row>
    <row r="50" spans="1:44">
      <c r="A50" s="1344">
        <v>43</v>
      </c>
      <c r="B50" s="1345" t="s">
        <v>123</v>
      </c>
      <c r="C50" s="1295">
        <v>184362850</v>
      </c>
      <c r="D50" s="1295">
        <v>32923100</v>
      </c>
      <c r="E50" s="1295">
        <f t="shared" si="9"/>
        <v>151439750</v>
      </c>
      <c r="F50" s="1295">
        <v>129500423</v>
      </c>
      <c r="G50" s="1346">
        <f t="shared" si="10"/>
        <v>0.16941509913060285</v>
      </c>
      <c r="H50" s="1347">
        <f t="shared" si="21"/>
        <v>142450465.30000001</v>
      </c>
      <c r="I50" s="1348">
        <v>5.15</v>
      </c>
      <c r="J50" s="1349">
        <v>793918</v>
      </c>
      <c r="K50" s="1348">
        <v>8.68</v>
      </c>
      <c r="L50" s="1349">
        <v>1338136</v>
      </c>
      <c r="M50" s="1350">
        <v>6.63</v>
      </c>
      <c r="N50" s="1350">
        <v>16.09</v>
      </c>
      <c r="O50" s="1350">
        <v>7</v>
      </c>
      <c r="P50" s="1349">
        <v>1481124</v>
      </c>
      <c r="Q50" s="1295">
        <f t="shared" si="11"/>
        <v>3613178</v>
      </c>
      <c r="R50" s="1350">
        <v>0</v>
      </c>
      <c r="S50" s="1349">
        <v>0</v>
      </c>
      <c r="T50" s="1350">
        <v>4.3</v>
      </c>
      <c r="U50" s="1350">
        <v>30.8</v>
      </c>
      <c r="V50" s="1350">
        <v>7</v>
      </c>
      <c r="W50" s="1349">
        <v>1530654</v>
      </c>
      <c r="X50" s="1295">
        <f t="shared" si="12"/>
        <v>1530654</v>
      </c>
      <c r="Y50" s="1351">
        <f t="shared" si="13"/>
        <v>13.83</v>
      </c>
      <c r="Z50" s="1295">
        <f t="shared" si="14"/>
        <v>2132054</v>
      </c>
      <c r="AA50" s="1295">
        <f t="shared" si="15"/>
        <v>3011778</v>
      </c>
      <c r="AB50" s="1352">
        <f t="shared" si="22"/>
        <v>10.11</v>
      </c>
      <c r="AC50" s="1353">
        <f t="shared" si="23"/>
        <v>23.86</v>
      </c>
      <c r="AD50" s="1354">
        <f t="shared" si="24"/>
        <v>33.97</v>
      </c>
      <c r="AE50" s="1355">
        <f t="shared" si="16"/>
        <v>5143832</v>
      </c>
      <c r="AF50" s="1356">
        <v>2.5000000000000001E-2</v>
      </c>
      <c r="AG50" s="1357">
        <v>9215091</v>
      </c>
      <c r="AH50" s="1357">
        <v>468426</v>
      </c>
      <c r="AI50" s="1358">
        <f t="shared" si="17"/>
        <v>9683517</v>
      </c>
      <c r="AJ50" s="1355">
        <v>676866280</v>
      </c>
      <c r="AK50" s="1355">
        <f t="shared" si="20"/>
        <v>387340680</v>
      </c>
      <c r="AL50" s="1356">
        <f t="shared" si="18"/>
        <v>-0.42774416240679031</v>
      </c>
      <c r="AM50" s="1355">
        <f t="shared" si="19"/>
        <v>387340680</v>
      </c>
      <c r="AN50" s="1346">
        <f t="shared" si="25"/>
        <v>2.3790661492100441E-2</v>
      </c>
      <c r="AO50" s="1346">
        <f t="shared" si="26"/>
        <v>1.2093385078995576E-3</v>
      </c>
      <c r="AP50" s="1355">
        <v>197610.5</v>
      </c>
      <c r="AQ50" s="1355">
        <f t="shared" si="27"/>
        <v>15024959.5</v>
      </c>
      <c r="AR50" s="1355">
        <f>ROUND(AQ50/'Table 3 Levels 1&amp;2'!C46,2)</f>
        <v>3654.82</v>
      </c>
    </row>
    <row r="51" spans="1:44">
      <c r="A51" s="1344">
        <v>44</v>
      </c>
      <c r="B51" s="1345" t="s">
        <v>124</v>
      </c>
      <c r="C51" s="1295">
        <v>372402903</v>
      </c>
      <c r="D51" s="1295">
        <v>59431584</v>
      </c>
      <c r="E51" s="1295">
        <f t="shared" si="9"/>
        <v>312971319</v>
      </c>
      <c r="F51" s="1295">
        <v>299901547</v>
      </c>
      <c r="G51" s="1346">
        <f t="shared" si="10"/>
        <v>4.3580208674282028E-2</v>
      </c>
      <c r="H51" s="1347">
        <f t="shared" si="21"/>
        <v>312971319</v>
      </c>
      <c r="I51" s="1348">
        <v>3.75</v>
      </c>
      <c r="J51" s="1349">
        <v>1263255</v>
      </c>
      <c r="K51" s="1348">
        <v>31.25</v>
      </c>
      <c r="L51" s="1349">
        <v>10527122</v>
      </c>
      <c r="M51" s="1350">
        <v>0</v>
      </c>
      <c r="N51" s="1350">
        <v>0</v>
      </c>
      <c r="O51" s="1350">
        <v>0</v>
      </c>
      <c r="P51" s="1349">
        <v>0</v>
      </c>
      <c r="Q51" s="1295">
        <f t="shared" si="11"/>
        <v>11790377</v>
      </c>
      <c r="R51" s="1350">
        <v>10</v>
      </c>
      <c r="S51" s="1349">
        <v>3368679</v>
      </c>
      <c r="T51" s="1350">
        <v>0</v>
      </c>
      <c r="U51" s="1350">
        <v>0</v>
      </c>
      <c r="V51" s="1350">
        <v>0</v>
      </c>
      <c r="W51" s="1349">
        <v>0</v>
      </c>
      <c r="X51" s="1295">
        <f t="shared" si="12"/>
        <v>3368679</v>
      </c>
      <c r="Y51" s="1351">
        <f t="shared" si="13"/>
        <v>45</v>
      </c>
      <c r="Z51" s="1295">
        <f t="shared" si="14"/>
        <v>15159056</v>
      </c>
      <c r="AA51" s="1295">
        <f t="shared" si="15"/>
        <v>0</v>
      </c>
      <c r="AB51" s="1352">
        <f t="shared" si="22"/>
        <v>10.76</v>
      </c>
      <c r="AC51" s="1353">
        <f t="shared" si="23"/>
        <v>37.67</v>
      </c>
      <c r="AD51" s="1354">
        <f t="shared" si="24"/>
        <v>48.44</v>
      </c>
      <c r="AE51" s="1355">
        <f t="shared" si="16"/>
        <v>15159056</v>
      </c>
      <c r="AF51" s="1356">
        <v>0.02</v>
      </c>
      <c r="AG51" s="1357">
        <v>14948376</v>
      </c>
      <c r="AH51" s="1357">
        <v>0</v>
      </c>
      <c r="AI51" s="1358">
        <f t="shared" si="17"/>
        <v>14948376</v>
      </c>
      <c r="AJ51" s="1355">
        <v>689157950</v>
      </c>
      <c r="AK51" s="1355">
        <f t="shared" si="20"/>
        <v>747418800</v>
      </c>
      <c r="AL51" s="1356">
        <f t="shared" si="18"/>
        <v>8.4539182926062162E-2</v>
      </c>
      <c r="AM51" s="1355">
        <f t="shared" si="19"/>
        <v>747418800</v>
      </c>
      <c r="AN51" s="1346">
        <f t="shared" si="25"/>
        <v>0.02</v>
      </c>
      <c r="AO51" s="1346">
        <f t="shared" si="26"/>
        <v>0</v>
      </c>
      <c r="AP51" s="1355">
        <v>51601</v>
      </c>
      <c r="AQ51" s="1355">
        <f t="shared" si="27"/>
        <v>30159033</v>
      </c>
      <c r="AR51" s="1355">
        <f>ROUND(AQ51/'Table 3 Levels 1&amp;2'!C47,2)</f>
        <v>4514.83</v>
      </c>
    </row>
    <row r="52" spans="1:44">
      <c r="A52" s="14">
        <v>45</v>
      </c>
      <c r="B52" s="57" t="s">
        <v>125</v>
      </c>
      <c r="C52" s="16">
        <v>1255932529</v>
      </c>
      <c r="D52" s="16">
        <v>98994895</v>
      </c>
      <c r="E52" s="16">
        <f t="shared" si="9"/>
        <v>1156937634</v>
      </c>
      <c r="F52" s="16">
        <v>1098417385</v>
      </c>
      <c r="G52" s="107">
        <f t="shared" si="10"/>
        <v>5.3276877987505633E-2</v>
      </c>
      <c r="H52" s="892">
        <f t="shared" si="21"/>
        <v>1156937634</v>
      </c>
      <c r="I52" s="282">
        <v>4.05</v>
      </c>
      <c r="J52" s="273">
        <v>4642633</v>
      </c>
      <c r="K52" s="282">
        <v>45.85</v>
      </c>
      <c r="L52" s="273">
        <v>51237810</v>
      </c>
      <c r="M52" s="272">
        <v>0</v>
      </c>
      <c r="N52" s="272">
        <v>0</v>
      </c>
      <c r="O52" s="272">
        <v>0</v>
      </c>
      <c r="P52" s="273">
        <v>0</v>
      </c>
      <c r="Q52" s="16">
        <f t="shared" si="11"/>
        <v>55880443</v>
      </c>
      <c r="R52" s="272">
        <v>5.86</v>
      </c>
      <c r="S52" s="273">
        <v>6717453</v>
      </c>
      <c r="T52" s="272">
        <v>0</v>
      </c>
      <c r="U52" s="272">
        <v>0</v>
      </c>
      <c r="V52" s="272">
        <v>0</v>
      </c>
      <c r="W52" s="273">
        <v>0</v>
      </c>
      <c r="X52" s="16">
        <f t="shared" si="12"/>
        <v>6717453</v>
      </c>
      <c r="Y52" s="118">
        <f t="shared" si="13"/>
        <v>55.76</v>
      </c>
      <c r="Z52" s="16">
        <f t="shared" si="14"/>
        <v>62597896</v>
      </c>
      <c r="AA52" s="16">
        <f t="shared" si="15"/>
        <v>0</v>
      </c>
      <c r="AB52" s="119">
        <f t="shared" si="22"/>
        <v>5.81</v>
      </c>
      <c r="AC52" s="120">
        <f t="shared" si="23"/>
        <v>48.3</v>
      </c>
      <c r="AD52" s="105">
        <f t="shared" si="24"/>
        <v>54.11</v>
      </c>
      <c r="AE52" s="63">
        <f t="shared" si="16"/>
        <v>62597896</v>
      </c>
      <c r="AF52" s="126">
        <v>0.03</v>
      </c>
      <c r="AG52" s="201">
        <v>56478404</v>
      </c>
      <c r="AH52" s="201">
        <v>1049009</v>
      </c>
      <c r="AI52" s="280">
        <f t="shared" si="17"/>
        <v>57527413</v>
      </c>
      <c r="AJ52" s="63">
        <v>1920213167</v>
      </c>
      <c r="AK52" s="63">
        <f t="shared" ref="AK52:AK76" si="28">ROUND(AI52/AF52,0)</f>
        <v>1917580433</v>
      </c>
      <c r="AL52" s="126">
        <f t="shared" si="18"/>
        <v>-1.3710634033997332E-3</v>
      </c>
      <c r="AM52" s="63">
        <f t="shared" si="19"/>
        <v>1917580433</v>
      </c>
      <c r="AN52" s="107">
        <f t="shared" si="25"/>
        <v>2.9452951765700459E-2</v>
      </c>
      <c r="AO52" s="107">
        <f t="shared" si="26"/>
        <v>5.4704823951444654E-4</v>
      </c>
      <c r="AP52" s="63">
        <v>279338</v>
      </c>
      <c r="AQ52" s="63">
        <f t="shared" si="27"/>
        <v>120404647</v>
      </c>
      <c r="AR52" s="63">
        <f>ROUND(AQ52/'Table 3 Levels 1&amp;2'!C48,2)</f>
        <v>12784.52</v>
      </c>
    </row>
    <row r="53" spans="1:44" s="60" customFormat="1">
      <c r="A53" s="1344">
        <v>46</v>
      </c>
      <c r="B53" s="1345" t="s">
        <v>126</v>
      </c>
      <c r="C53" s="1295">
        <v>61974870</v>
      </c>
      <c r="D53" s="1295">
        <v>17004260</v>
      </c>
      <c r="E53" s="1295">
        <f t="shared" si="9"/>
        <v>44970610</v>
      </c>
      <c r="F53" s="1295">
        <v>42500740</v>
      </c>
      <c r="G53" s="1346">
        <f t="shared" si="10"/>
        <v>5.811357637537605E-2</v>
      </c>
      <c r="H53" s="1347">
        <f t="shared" si="21"/>
        <v>44970610</v>
      </c>
      <c r="I53" s="1348">
        <v>3.38</v>
      </c>
      <c r="J53" s="1349">
        <v>148731</v>
      </c>
      <c r="K53" s="1348">
        <v>14.48</v>
      </c>
      <c r="L53" s="1349">
        <v>637211</v>
      </c>
      <c r="M53" s="1350">
        <v>0</v>
      </c>
      <c r="N53" s="1350">
        <v>0</v>
      </c>
      <c r="O53" s="1350">
        <v>24</v>
      </c>
      <c r="P53" s="1349">
        <v>0</v>
      </c>
      <c r="Q53" s="1295">
        <f t="shared" si="11"/>
        <v>785942</v>
      </c>
      <c r="R53" s="1361">
        <v>0</v>
      </c>
      <c r="S53" s="1349">
        <v>0</v>
      </c>
      <c r="T53" s="1350">
        <v>0</v>
      </c>
      <c r="U53" s="1350">
        <v>0</v>
      </c>
      <c r="V53" s="1350">
        <v>24</v>
      </c>
      <c r="W53" s="1349">
        <v>0</v>
      </c>
      <c r="X53" s="1295">
        <f t="shared" si="12"/>
        <v>0</v>
      </c>
      <c r="Y53" s="1351">
        <f t="shared" si="13"/>
        <v>17.86</v>
      </c>
      <c r="Z53" s="1295">
        <f t="shared" si="14"/>
        <v>785942</v>
      </c>
      <c r="AA53" s="1295">
        <f t="shared" si="15"/>
        <v>0</v>
      </c>
      <c r="AB53" s="1352">
        <f t="shared" si="22"/>
        <v>0</v>
      </c>
      <c r="AC53" s="1353">
        <f t="shared" si="23"/>
        <v>17.48</v>
      </c>
      <c r="AD53" s="1354">
        <f t="shared" si="24"/>
        <v>17.48</v>
      </c>
      <c r="AE53" s="1355">
        <f t="shared" si="16"/>
        <v>785942</v>
      </c>
      <c r="AF53" s="1356">
        <v>0.02</v>
      </c>
      <c r="AG53" s="1357">
        <v>1776513</v>
      </c>
      <c r="AH53" s="1357">
        <v>0</v>
      </c>
      <c r="AI53" s="1358">
        <f t="shared" si="17"/>
        <v>1776513</v>
      </c>
      <c r="AJ53" s="1355">
        <v>68345000</v>
      </c>
      <c r="AK53" s="1355">
        <f t="shared" si="28"/>
        <v>88825650</v>
      </c>
      <c r="AL53" s="1359">
        <f t="shared" si="18"/>
        <v>0.29966566683736923</v>
      </c>
      <c r="AM53" s="1360">
        <f t="shared" si="19"/>
        <v>78596750</v>
      </c>
      <c r="AN53" s="1346">
        <f t="shared" si="25"/>
        <v>0.02</v>
      </c>
      <c r="AO53" s="1346">
        <f t="shared" si="26"/>
        <v>0</v>
      </c>
      <c r="AP53" s="1355">
        <v>32506.5</v>
      </c>
      <c r="AQ53" s="1355">
        <f t="shared" si="27"/>
        <v>2594961.5</v>
      </c>
      <c r="AR53" s="1355">
        <f>ROUND(AQ53/'Table 3 Levels 1&amp;2'!C49,2)</f>
        <v>2492.7600000000002</v>
      </c>
    </row>
    <row r="54" spans="1:44">
      <c r="A54" s="1344">
        <v>47</v>
      </c>
      <c r="B54" s="1345" t="s">
        <v>127</v>
      </c>
      <c r="C54" s="1295">
        <v>528213839</v>
      </c>
      <c r="D54" s="1295">
        <v>38666723</v>
      </c>
      <c r="E54" s="1295">
        <f t="shared" si="9"/>
        <v>489547116</v>
      </c>
      <c r="F54" s="1295">
        <v>409772295</v>
      </c>
      <c r="G54" s="1346">
        <f t="shared" si="10"/>
        <v>0.19468085562007065</v>
      </c>
      <c r="H54" s="1347">
        <f t="shared" si="21"/>
        <v>450749524.50000006</v>
      </c>
      <c r="I54" s="1348">
        <v>3.85</v>
      </c>
      <c r="J54" s="1349">
        <v>1929867</v>
      </c>
      <c r="K54" s="1348">
        <v>29.82</v>
      </c>
      <c r="L54" s="1349">
        <v>15066298</v>
      </c>
      <c r="M54" s="1350">
        <v>0</v>
      </c>
      <c r="N54" s="1350">
        <v>0</v>
      </c>
      <c r="O54" s="1350">
        <v>0</v>
      </c>
      <c r="P54" s="1349">
        <v>0</v>
      </c>
      <c r="Q54" s="1295">
        <f t="shared" si="11"/>
        <v>16996165</v>
      </c>
      <c r="R54" s="1350">
        <v>10</v>
      </c>
      <c r="S54" s="1349">
        <v>4893828</v>
      </c>
      <c r="T54" s="1350">
        <v>0</v>
      </c>
      <c r="U54" s="1350">
        <v>0</v>
      </c>
      <c r="V54" s="1350">
        <v>0</v>
      </c>
      <c r="W54" s="1349">
        <v>0</v>
      </c>
      <c r="X54" s="1295">
        <f t="shared" si="12"/>
        <v>4893828</v>
      </c>
      <c r="Y54" s="1351">
        <f t="shared" si="13"/>
        <v>43.67</v>
      </c>
      <c r="Z54" s="1295">
        <f t="shared" si="14"/>
        <v>21889993</v>
      </c>
      <c r="AA54" s="1295">
        <f t="shared" si="15"/>
        <v>0</v>
      </c>
      <c r="AB54" s="1352">
        <f t="shared" si="22"/>
        <v>10</v>
      </c>
      <c r="AC54" s="1353">
        <f t="shared" si="23"/>
        <v>34.72</v>
      </c>
      <c r="AD54" s="1354">
        <f t="shared" si="24"/>
        <v>44.71</v>
      </c>
      <c r="AE54" s="1355">
        <f t="shared" si="16"/>
        <v>21889993</v>
      </c>
      <c r="AF54" s="1356">
        <v>2.5000000000000001E-2</v>
      </c>
      <c r="AG54" s="1357">
        <v>25285692</v>
      </c>
      <c r="AH54" s="1357">
        <v>0</v>
      </c>
      <c r="AI54" s="1358">
        <f t="shared" si="17"/>
        <v>25285692</v>
      </c>
      <c r="AJ54" s="1355">
        <v>724039040</v>
      </c>
      <c r="AK54" s="1355">
        <f t="shared" si="28"/>
        <v>1011427680</v>
      </c>
      <c r="AL54" s="1359">
        <f t="shared" si="18"/>
        <v>0.39692423215190165</v>
      </c>
      <c r="AM54" s="1360">
        <f t="shared" si="19"/>
        <v>832644895.99999988</v>
      </c>
      <c r="AN54" s="1346">
        <f t="shared" si="25"/>
        <v>2.5000000000000001E-2</v>
      </c>
      <c r="AO54" s="1346">
        <f t="shared" si="26"/>
        <v>0</v>
      </c>
      <c r="AP54" s="1355">
        <v>87351</v>
      </c>
      <c r="AQ54" s="1355">
        <f t="shared" si="27"/>
        <v>47263036</v>
      </c>
      <c r="AR54" s="1355">
        <f>ROUND(AQ54/'Table 3 Levels 1&amp;2'!C50,2)</f>
        <v>13023.71</v>
      </c>
    </row>
    <row r="55" spans="1:44">
      <c r="A55" s="1344">
        <v>48</v>
      </c>
      <c r="B55" s="1345" t="s">
        <v>178</v>
      </c>
      <c r="C55" s="1295">
        <v>495021884</v>
      </c>
      <c r="D55" s="1295">
        <v>85421449</v>
      </c>
      <c r="E55" s="1295">
        <f t="shared" si="9"/>
        <v>409600435</v>
      </c>
      <c r="F55" s="1295">
        <v>369188944</v>
      </c>
      <c r="G55" s="1346">
        <f t="shared" si="10"/>
        <v>0.10946018741016253</v>
      </c>
      <c r="H55" s="1347">
        <f t="shared" si="21"/>
        <v>406107838.40000004</v>
      </c>
      <c r="I55" s="1348">
        <v>3.65</v>
      </c>
      <c r="J55" s="1349">
        <v>1422397</v>
      </c>
      <c r="K55" s="1348">
        <v>25.66</v>
      </c>
      <c r="L55" s="1349">
        <v>10025220</v>
      </c>
      <c r="M55" s="1350">
        <v>0</v>
      </c>
      <c r="N55" s="1350">
        <v>0</v>
      </c>
      <c r="O55" s="1350">
        <v>0</v>
      </c>
      <c r="P55" s="1349">
        <v>0</v>
      </c>
      <c r="Q55" s="1295">
        <f t="shared" si="11"/>
        <v>11447617</v>
      </c>
      <c r="R55" s="1350">
        <v>10</v>
      </c>
      <c r="S55" s="1349">
        <v>3910567</v>
      </c>
      <c r="T55" s="1350">
        <v>0</v>
      </c>
      <c r="U55" s="1350">
        <v>0</v>
      </c>
      <c r="V55" s="1350">
        <v>0</v>
      </c>
      <c r="W55" s="1349">
        <v>0</v>
      </c>
      <c r="X55" s="1295">
        <f t="shared" si="12"/>
        <v>3910567</v>
      </c>
      <c r="Y55" s="1351">
        <f t="shared" si="13"/>
        <v>39.31</v>
      </c>
      <c r="Z55" s="1295">
        <f t="shared" si="14"/>
        <v>15358184</v>
      </c>
      <c r="AA55" s="1295">
        <f t="shared" si="15"/>
        <v>0</v>
      </c>
      <c r="AB55" s="1352">
        <f t="shared" si="22"/>
        <v>9.5500000000000007</v>
      </c>
      <c r="AC55" s="1353">
        <f t="shared" si="23"/>
        <v>27.95</v>
      </c>
      <c r="AD55" s="1354">
        <f t="shared" si="24"/>
        <v>37.5</v>
      </c>
      <c r="AE55" s="1355">
        <f t="shared" si="16"/>
        <v>15358184</v>
      </c>
      <c r="AF55" s="1356">
        <v>2.2499999999999999E-2</v>
      </c>
      <c r="AG55" s="1357">
        <v>22563829</v>
      </c>
      <c r="AH55" s="1357">
        <v>0</v>
      </c>
      <c r="AI55" s="1358">
        <f t="shared" si="17"/>
        <v>22563829</v>
      </c>
      <c r="AJ55" s="1355">
        <v>885708711</v>
      </c>
      <c r="AK55" s="1355">
        <f t="shared" si="28"/>
        <v>1002836844</v>
      </c>
      <c r="AL55" s="1356">
        <f t="shared" si="18"/>
        <v>0.13224227282100198</v>
      </c>
      <c r="AM55" s="1355">
        <f t="shared" si="19"/>
        <v>1002836844</v>
      </c>
      <c r="AN55" s="1346">
        <f t="shared" si="25"/>
        <v>2.250000000997171E-2</v>
      </c>
      <c r="AO55" s="1346">
        <f t="shared" si="26"/>
        <v>0</v>
      </c>
      <c r="AP55" s="1355">
        <v>196023</v>
      </c>
      <c r="AQ55" s="1355">
        <f t="shared" si="27"/>
        <v>38118036</v>
      </c>
      <c r="AR55" s="1355">
        <f>ROUND(AQ55/'Table 3 Levels 1&amp;2'!C51,2)</f>
        <v>6577.75</v>
      </c>
    </row>
    <row r="56" spans="1:44">
      <c r="A56" s="1344">
        <v>49</v>
      </c>
      <c r="B56" s="1345" t="s">
        <v>128</v>
      </c>
      <c r="C56" s="1295">
        <v>698676910</v>
      </c>
      <c r="D56" s="1295">
        <v>125897489</v>
      </c>
      <c r="E56" s="1295">
        <f t="shared" si="9"/>
        <v>572779421</v>
      </c>
      <c r="F56" s="1295">
        <v>536501746</v>
      </c>
      <c r="G56" s="1346">
        <f t="shared" si="10"/>
        <v>6.7618931849664471E-2</v>
      </c>
      <c r="H56" s="1347">
        <f t="shared" si="21"/>
        <v>572779421</v>
      </c>
      <c r="I56" s="1348">
        <v>4.37</v>
      </c>
      <c r="J56" s="1349">
        <v>2491833</v>
      </c>
      <c r="K56" s="1348">
        <v>15.86</v>
      </c>
      <c r="L56" s="1349">
        <v>9042434</v>
      </c>
      <c r="M56" s="1350">
        <v>0</v>
      </c>
      <c r="N56" s="1350">
        <v>0</v>
      </c>
      <c r="O56" s="1350">
        <v>0</v>
      </c>
      <c r="P56" s="1349">
        <v>0</v>
      </c>
      <c r="Q56" s="1295">
        <f t="shared" si="11"/>
        <v>11534267</v>
      </c>
      <c r="R56" s="1350">
        <v>0</v>
      </c>
      <c r="S56" s="1349">
        <v>0</v>
      </c>
      <c r="T56" s="1350">
        <v>0</v>
      </c>
      <c r="U56" s="1350">
        <v>0</v>
      </c>
      <c r="V56" s="1350">
        <v>0</v>
      </c>
      <c r="W56" s="1349">
        <v>0</v>
      </c>
      <c r="X56" s="1295">
        <f t="shared" si="12"/>
        <v>0</v>
      </c>
      <c r="Y56" s="1351">
        <f t="shared" si="13"/>
        <v>20.23</v>
      </c>
      <c r="Z56" s="1295">
        <f t="shared" si="14"/>
        <v>11534267</v>
      </c>
      <c r="AA56" s="1295">
        <f t="shared" si="15"/>
        <v>0</v>
      </c>
      <c r="AB56" s="1352">
        <f t="shared" si="22"/>
        <v>0</v>
      </c>
      <c r="AC56" s="1353">
        <f t="shared" si="23"/>
        <v>20.14</v>
      </c>
      <c r="AD56" s="1354">
        <f t="shared" si="24"/>
        <v>20.14</v>
      </c>
      <c r="AE56" s="1355">
        <f t="shared" si="16"/>
        <v>11534267</v>
      </c>
      <c r="AF56" s="1356">
        <v>0.02</v>
      </c>
      <c r="AG56" s="1357">
        <v>23711915</v>
      </c>
      <c r="AH56" s="1357">
        <v>0</v>
      </c>
      <c r="AI56" s="1358">
        <f t="shared" si="17"/>
        <v>23711915</v>
      </c>
      <c r="AJ56" s="1355">
        <v>1174686800</v>
      </c>
      <c r="AK56" s="1355">
        <f t="shared" si="28"/>
        <v>1185595750</v>
      </c>
      <c r="AL56" s="1356">
        <f t="shared" si="18"/>
        <v>9.2866881623254807E-3</v>
      </c>
      <c r="AM56" s="1355">
        <f t="shared" si="19"/>
        <v>1185595750</v>
      </c>
      <c r="AN56" s="1346">
        <f t="shared" si="25"/>
        <v>0.02</v>
      </c>
      <c r="AO56" s="1346">
        <f t="shared" si="26"/>
        <v>0</v>
      </c>
      <c r="AP56" s="1355">
        <v>404872</v>
      </c>
      <c r="AQ56" s="1355">
        <f t="shared" si="27"/>
        <v>35651054</v>
      </c>
      <c r="AR56" s="1355">
        <f>ROUND(AQ56/'Table 3 Levels 1&amp;2'!C52,2)</f>
        <v>2459.54</v>
      </c>
    </row>
    <row r="57" spans="1:44">
      <c r="A57" s="14">
        <v>50</v>
      </c>
      <c r="B57" s="57" t="s">
        <v>129</v>
      </c>
      <c r="C57" s="16">
        <v>364982646</v>
      </c>
      <c r="D57" s="16">
        <v>83473954</v>
      </c>
      <c r="E57" s="16">
        <f t="shared" si="9"/>
        <v>281508692</v>
      </c>
      <c r="F57" s="16">
        <v>262207197</v>
      </c>
      <c r="G57" s="107">
        <f t="shared" si="10"/>
        <v>7.3611614100737285E-2</v>
      </c>
      <c r="H57" s="892">
        <f t="shared" si="21"/>
        <v>281508692</v>
      </c>
      <c r="I57" s="282">
        <v>2.61</v>
      </c>
      <c r="J57" s="273">
        <v>863000</v>
      </c>
      <c r="K57" s="282">
        <v>9.9700000000000006</v>
      </c>
      <c r="L57" s="273">
        <v>2749432</v>
      </c>
      <c r="M57" s="272">
        <v>0</v>
      </c>
      <c r="N57" s="272">
        <v>0</v>
      </c>
      <c r="O57" s="272">
        <v>0</v>
      </c>
      <c r="P57" s="273">
        <v>0</v>
      </c>
      <c r="Q57" s="16">
        <f t="shared" si="11"/>
        <v>3612432</v>
      </c>
      <c r="R57" s="272">
        <v>21.5</v>
      </c>
      <c r="S57" s="273">
        <v>6269480</v>
      </c>
      <c r="T57" s="272">
        <v>0</v>
      </c>
      <c r="U57" s="272">
        <v>0</v>
      </c>
      <c r="V57" s="272">
        <v>0</v>
      </c>
      <c r="W57" s="273">
        <v>0</v>
      </c>
      <c r="X57" s="16">
        <f t="shared" si="12"/>
        <v>6269480</v>
      </c>
      <c r="Y57" s="118">
        <f t="shared" si="13"/>
        <v>34.08</v>
      </c>
      <c r="Z57" s="16">
        <f t="shared" si="14"/>
        <v>9881912</v>
      </c>
      <c r="AA57" s="16">
        <f t="shared" si="15"/>
        <v>0</v>
      </c>
      <c r="AB57" s="119">
        <f t="shared" si="22"/>
        <v>22.27</v>
      </c>
      <c r="AC57" s="120">
        <f t="shared" si="23"/>
        <v>12.83</v>
      </c>
      <c r="AD57" s="105">
        <f t="shared" si="24"/>
        <v>35.1</v>
      </c>
      <c r="AE57" s="63">
        <f t="shared" si="16"/>
        <v>9881912</v>
      </c>
      <c r="AF57" s="126">
        <v>0.02</v>
      </c>
      <c r="AG57" s="201">
        <v>15108947</v>
      </c>
      <c r="AH57" s="201">
        <v>0</v>
      </c>
      <c r="AI57" s="280">
        <f t="shared" si="17"/>
        <v>15108947</v>
      </c>
      <c r="AJ57" s="63">
        <v>666011450</v>
      </c>
      <c r="AK57" s="63">
        <f t="shared" si="28"/>
        <v>755447350</v>
      </c>
      <c r="AL57" s="126">
        <f t="shared" si="18"/>
        <v>0.1342858294703492</v>
      </c>
      <c r="AM57" s="63">
        <f t="shared" si="19"/>
        <v>755447350</v>
      </c>
      <c r="AN57" s="107">
        <f t="shared" si="25"/>
        <v>0.02</v>
      </c>
      <c r="AO57" s="107">
        <f t="shared" si="26"/>
        <v>0</v>
      </c>
      <c r="AP57" s="63">
        <v>454920.5</v>
      </c>
      <c r="AQ57" s="63">
        <f t="shared" si="27"/>
        <v>25445779.5</v>
      </c>
      <c r="AR57" s="63">
        <f>ROUND(AQ57/'Table 3 Levels 1&amp;2'!C53,2)</f>
        <v>3212.45</v>
      </c>
    </row>
    <row r="58" spans="1:44">
      <c r="A58" s="1344">
        <v>51</v>
      </c>
      <c r="B58" s="1345" t="s">
        <v>130</v>
      </c>
      <c r="C58" s="1295">
        <v>815942628</v>
      </c>
      <c r="D58" s="1295">
        <v>73953012</v>
      </c>
      <c r="E58" s="1295">
        <f t="shared" si="9"/>
        <v>741989616</v>
      </c>
      <c r="F58" s="1295">
        <v>648771449</v>
      </c>
      <c r="G58" s="1346">
        <f t="shared" si="10"/>
        <v>0.14368413891160614</v>
      </c>
      <c r="H58" s="1347">
        <f t="shared" si="21"/>
        <v>713648593.9000001</v>
      </c>
      <c r="I58" s="1348">
        <v>8.36</v>
      </c>
      <c r="J58" s="1349">
        <v>6184672</v>
      </c>
      <c r="K58" s="1348">
        <v>11.18</v>
      </c>
      <c r="L58" s="1349">
        <v>6633373</v>
      </c>
      <c r="M58" s="1350">
        <v>11.55</v>
      </c>
      <c r="N58" s="1350">
        <v>12.17</v>
      </c>
      <c r="O58" s="1350">
        <v>3</v>
      </c>
      <c r="P58" s="1349">
        <v>6941952</v>
      </c>
      <c r="Q58" s="1295">
        <f t="shared" si="11"/>
        <v>19759997</v>
      </c>
      <c r="R58" s="1361">
        <v>0</v>
      </c>
      <c r="S58" s="1349">
        <v>0</v>
      </c>
      <c r="T58" s="1350">
        <v>6</v>
      </c>
      <c r="U58" s="1350">
        <v>10</v>
      </c>
      <c r="V58" s="1350">
        <v>2</v>
      </c>
      <c r="W58" s="1349">
        <v>1782395</v>
      </c>
      <c r="X58" s="1295">
        <f t="shared" si="12"/>
        <v>1782395</v>
      </c>
      <c r="Y58" s="1351">
        <f t="shared" si="13"/>
        <v>19.54</v>
      </c>
      <c r="Z58" s="1295">
        <f t="shared" si="14"/>
        <v>12818045</v>
      </c>
      <c r="AA58" s="1295">
        <f t="shared" si="15"/>
        <v>8724347</v>
      </c>
      <c r="AB58" s="1352">
        <f t="shared" si="22"/>
        <v>2.4</v>
      </c>
      <c r="AC58" s="1353">
        <f t="shared" si="23"/>
        <v>26.63</v>
      </c>
      <c r="AD58" s="1354">
        <f t="shared" si="24"/>
        <v>29.03</v>
      </c>
      <c r="AE58" s="1355">
        <f t="shared" si="16"/>
        <v>21542392</v>
      </c>
      <c r="AF58" s="1356">
        <v>1.7500000000000002E-2</v>
      </c>
      <c r="AG58" s="1357">
        <v>18001939</v>
      </c>
      <c r="AH58" s="1357">
        <v>0</v>
      </c>
      <c r="AI58" s="1358">
        <f t="shared" si="17"/>
        <v>18001939</v>
      </c>
      <c r="AJ58" s="1355">
        <v>980581429</v>
      </c>
      <c r="AK58" s="1355">
        <f t="shared" si="28"/>
        <v>1028682229</v>
      </c>
      <c r="AL58" s="1359">
        <f t="shared" si="18"/>
        <v>4.9053345879753553E-2</v>
      </c>
      <c r="AM58" s="1360">
        <f t="shared" si="19"/>
        <v>1028682229</v>
      </c>
      <c r="AN58" s="1346">
        <f t="shared" si="25"/>
        <v>1.7499999992709118E-2</v>
      </c>
      <c r="AO58" s="1346">
        <f t="shared" si="26"/>
        <v>0</v>
      </c>
      <c r="AP58" s="1355">
        <v>479552.5</v>
      </c>
      <c r="AQ58" s="1355">
        <f t="shared" si="27"/>
        <v>40023883.5</v>
      </c>
      <c r="AR58" s="1355">
        <f>ROUND(AQ58/'Table 3 Levels 1&amp;2'!C54,2)</f>
        <v>4500.1000000000004</v>
      </c>
    </row>
    <row r="59" spans="1:44">
      <c r="A59" s="1344">
        <v>52</v>
      </c>
      <c r="B59" s="1345" t="s">
        <v>131</v>
      </c>
      <c r="C59" s="1295">
        <v>2170547596</v>
      </c>
      <c r="D59" s="1295">
        <v>499788758</v>
      </c>
      <c r="E59" s="1295">
        <f t="shared" si="9"/>
        <v>1670758838</v>
      </c>
      <c r="F59" s="1295">
        <v>1580693189</v>
      </c>
      <c r="G59" s="1346">
        <f t="shared" si="10"/>
        <v>5.6978577263927209E-2</v>
      </c>
      <c r="H59" s="1347">
        <f t="shared" si="21"/>
        <v>1670758838</v>
      </c>
      <c r="I59" s="1348">
        <v>3.78</v>
      </c>
      <c r="J59" s="1349">
        <v>6386403</v>
      </c>
      <c r="K59" s="1348">
        <v>43.5</v>
      </c>
      <c r="L59" s="1349">
        <v>70850420</v>
      </c>
      <c r="M59" s="1350">
        <v>43.5</v>
      </c>
      <c r="N59" s="1350">
        <v>43.75</v>
      </c>
      <c r="O59" s="1350">
        <v>0</v>
      </c>
      <c r="P59" s="1349">
        <v>0</v>
      </c>
      <c r="Q59" s="1295">
        <f t="shared" si="11"/>
        <v>77236823</v>
      </c>
      <c r="R59" s="1350">
        <v>20.9</v>
      </c>
      <c r="S59" s="1349">
        <v>34139572</v>
      </c>
      <c r="T59" s="1350">
        <v>20.9</v>
      </c>
      <c r="U59" s="1350">
        <v>20.9</v>
      </c>
      <c r="V59" s="1350">
        <v>0</v>
      </c>
      <c r="W59" s="1349">
        <v>0</v>
      </c>
      <c r="X59" s="1295">
        <f t="shared" si="12"/>
        <v>34139572</v>
      </c>
      <c r="Y59" s="1351">
        <f t="shared" si="13"/>
        <v>68.180000000000007</v>
      </c>
      <c r="Z59" s="1295">
        <f t="shared" si="14"/>
        <v>111376395</v>
      </c>
      <c r="AA59" s="1295">
        <f t="shared" si="15"/>
        <v>0</v>
      </c>
      <c r="AB59" s="1352">
        <f t="shared" si="22"/>
        <v>20.43</v>
      </c>
      <c r="AC59" s="1353">
        <f t="shared" si="23"/>
        <v>46.23</v>
      </c>
      <c r="AD59" s="1354">
        <f t="shared" si="24"/>
        <v>66.66</v>
      </c>
      <c r="AE59" s="1355">
        <f t="shared" si="16"/>
        <v>111376395</v>
      </c>
      <c r="AF59" s="1356">
        <v>0.02</v>
      </c>
      <c r="AG59" s="1357">
        <v>82874124</v>
      </c>
      <c r="AH59" s="1357">
        <v>0</v>
      </c>
      <c r="AI59" s="1358">
        <f t="shared" si="17"/>
        <v>82874124</v>
      </c>
      <c r="AJ59" s="1355">
        <v>3896125800</v>
      </c>
      <c r="AK59" s="1355">
        <f t="shared" si="28"/>
        <v>4143706200</v>
      </c>
      <c r="AL59" s="1359">
        <f t="shared" si="18"/>
        <v>6.3545278748442874E-2</v>
      </c>
      <c r="AM59" s="1360">
        <f t="shared" si="19"/>
        <v>4143706200</v>
      </c>
      <c r="AN59" s="1346">
        <f t="shared" si="25"/>
        <v>0.02</v>
      </c>
      <c r="AO59" s="1346">
        <f t="shared" si="26"/>
        <v>0</v>
      </c>
      <c r="AP59" s="1355">
        <v>1917347</v>
      </c>
      <c r="AQ59" s="1355">
        <f t="shared" si="27"/>
        <v>196167866</v>
      </c>
      <c r="AR59" s="1355">
        <f>ROUND(AQ59/'Table 3 Levels 1&amp;2'!C55,2)</f>
        <v>5269.65</v>
      </c>
    </row>
    <row r="60" spans="1:44">
      <c r="A60" s="1344">
        <v>53</v>
      </c>
      <c r="B60" s="1345" t="s">
        <v>132</v>
      </c>
      <c r="C60" s="1295">
        <v>692711313</v>
      </c>
      <c r="D60" s="1295">
        <v>186203398</v>
      </c>
      <c r="E60" s="1295">
        <f t="shared" si="9"/>
        <v>506507915</v>
      </c>
      <c r="F60" s="1295">
        <v>499247586</v>
      </c>
      <c r="G60" s="1346">
        <f t="shared" si="10"/>
        <v>1.4542542024429539E-2</v>
      </c>
      <c r="H60" s="1347">
        <f t="shared" si="21"/>
        <v>506507915</v>
      </c>
      <c r="I60" s="1348">
        <v>4.0599999999999996</v>
      </c>
      <c r="J60" s="1349">
        <v>2069756</v>
      </c>
      <c r="K60" s="1348">
        <v>0</v>
      </c>
      <c r="L60" s="1349">
        <v>0</v>
      </c>
      <c r="M60" s="1350">
        <v>3</v>
      </c>
      <c r="N60" s="1350">
        <v>9</v>
      </c>
      <c r="O60" s="1350">
        <v>2</v>
      </c>
      <c r="P60" s="1349">
        <v>2940645</v>
      </c>
      <c r="Q60" s="1295">
        <f t="shared" si="11"/>
        <v>5010401</v>
      </c>
      <c r="R60" s="1350">
        <v>0</v>
      </c>
      <c r="S60" s="1349">
        <v>0</v>
      </c>
      <c r="T60" s="1350">
        <v>1</v>
      </c>
      <c r="U60" s="1350">
        <v>14</v>
      </c>
      <c r="V60" s="1350">
        <v>6</v>
      </c>
      <c r="W60" s="1349">
        <v>1401902</v>
      </c>
      <c r="X60" s="1295">
        <f t="shared" si="12"/>
        <v>1401902</v>
      </c>
      <c r="Y60" s="1351">
        <f t="shared" si="13"/>
        <v>4.0599999999999996</v>
      </c>
      <c r="Z60" s="1295">
        <f t="shared" si="14"/>
        <v>2069756</v>
      </c>
      <c r="AA60" s="1295">
        <f t="shared" si="15"/>
        <v>4342547</v>
      </c>
      <c r="AB60" s="1352">
        <f t="shared" si="22"/>
        <v>2.77</v>
      </c>
      <c r="AC60" s="1353">
        <f t="shared" si="23"/>
        <v>9.89</v>
      </c>
      <c r="AD60" s="1354">
        <f t="shared" si="24"/>
        <v>12.66</v>
      </c>
      <c r="AE60" s="1355">
        <f t="shared" si="16"/>
        <v>6412303</v>
      </c>
      <c r="AF60" s="1356">
        <v>0.02</v>
      </c>
      <c r="AG60" s="1357">
        <v>33621874</v>
      </c>
      <c r="AH60" s="1357">
        <v>1107197</v>
      </c>
      <c r="AI60" s="1358">
        <f t="shared" si="17"/>
        <v>34729071</v>
      </c>
      <c r="AJ60" s="1355">
        <v>1673443300</v>
      </c>
      <c r="AK60" s="1355">
        <f t="shared" si="28"/>
        <v>1736453550</v>
      </c>
      <c r="AL60" s="1356">
        <f t="shared" si="18"/>
        <v>3.7653053437783045E-2</v>
      </c>
      <c r="AM60" s="1355">
        <f t="shared" si="19"/>
        <v>1736453550</v>
      </c>
      <c r="AN60" s="1346">
        <f t="shared" si="25"/>
        <v>1.9362380295171153E-2</v>
      </c>
      <c r="AO60" s="1346">
        <f t="shared" si="26"/>
        <v>6.37619704828845E-4</v>
      </c>
      <c r="AP60" s="1355">
        <v>278754</v>
      </c>
      <c r="AQ60" s="1355">
        <f t="shared" si="27"/>
        <v>41420128</v>
      </c>
      <c r="AR60" s="1355">
        <f>ROUND(AQ60/'Table 3 Levels 1&amp;2'!C56,2)</f>
        <v>2131.3200000000002</v>
      </c>
    </row>
    <row r="61" spans="1:44">
      <c r="A61" s="1344">
        <v>54</v>
      </c>
      <c r="B61" s="1345" t="s">
        <v>133</v>
      </c>
      <c r="C61" s="1295">
        <v>53753290</v>
      </c>
      <c r="D61" s="1295">
        <v>5827015</v>
      </c>
      <c r="E61" s="1295">
        <f t="shared" si="9"/>
        <v>47926275</v>
      </c>
      <c r="F61" s="1295">
        <v>44629015</v>
      </c>
      <c r="G61" s="1346">
        <f t="shared" si="10"/>
        <v>7.3881532003339079E-2</v>
      </c>
      <c r="H61" s="1347">
        <f t="shared" si="21"/>
        <v>47926275</v>
      </c>
      <c r="I61" s="1348">
        <v>5.07</v>
      </c>
      <c r="J61" s="1349">
        <v>243512</v>
      </c>
      <c r="K61" s="1348">
        <v>30.2</v>
      </c>
      <c r="L61" s="1349">
        <v>1450791</v>
      </c>
      <c r="M61" s="1350">
        <v>0</v>
      </c>
      <c r="N61" s="1350">
        <v>0</v>
      </c>
      <c r="O61" s="1350">
        <v>0</v>
      </c>
      <c r="P61" s="1349">
        <v>0</v>
      </c>
      <c r="Q61" s="1295">
        <f t="shared" si="11"/>
        <v>1694303</v>
      </c>
      <c r="R61" s="1350">
        <v>0</v>
      </c>
      <c r="S61" s="1349">
        <v>0</v>
      </c>
      <c r="T61" s="1350">
        <v>0</v>
      </c>
      <c r="U61" s="1350">
        <v>0</v>
      </c>
      <c r="V61" s="1350">
        <v>0</v>
      </c>
      <c r="W61" s="1349">
        <v>0</v>
      </c>
      <c r="X61" s="1295">
        <f t="shared" si="12"/>
        <v>0</v>
      </c>
      <c r="Y61" s="1351">
        <f t="shared" si="13"/>
        <v>35.269999999999996</v>
      </c>
      <c r="Z61" s="1295">
        <f t="shared" si="14"/>
        <v>1694303</v>
      </c>
      <c r="AA61" s="1295">
        <f t="shared" si="15"/>
        <v>0</v>
      </c>
      <c r="AB61" s="1352">
        <f t="shared" si="22"/>
        <v>0</v>
      </c>
      <c r="AC61" s="1353">
        <f t="shared" si="23"/>
        <v>35.35</v>
      </c>
      <c r="AD61" s="1354">
        <f t="shared" si="24"/>
        <v>35.35</v>
      </c>
      <c r="AE61" s="1355">
        <f t="shared" si="16"/>
        <v>1694303</v>
      </c>
      <c r="AF61" s="1356">
        <v>1.4999999999999999E-2</v>
      </c>
      <c r="AG61" s="1357">
        <v>854086</v>
      </c>
      <c r="AH61" s="1357">
        <v>0</v>
      </c>
      <c r="AI61" s="1358">
        <f t="shared" si="17"/>
        <v>854086</v>
      </c>
      <c r="AJ61" s="1355">
        <v>51149600</v>
      </c>
      <c r="AK61" s="1355">
        <f t="shared" si="28"/>
        <v>56939067</v>
      </c>
      <c r="AL61" s="1356">
        <f t="shared" si="18"/>
        <v>0.11318694574346623</v>
      </c>
      <c r="AM61" s="1355">
        <f t="shared" si="19"/>
        <v>56939067</v>
      </c>
      <c r="AN61" s="1346">
        <f t="shared" si="25"/>
        <v>1.499999991218683E-2</v>
      </c>
      <c r="AO61" s="1346">
        <f t="shared" si="26"/>
        <v>0</v>
      </c>
      <c r="AP61" s="1355">
        <v>49448.5</v>
      </c>
      <c r="AQ61" s="1355">
        <f t="shared" si="27"/>
        <v>2597837.5</v>
      </c>
      <c r="AR61" s="1355">
        <f>ROUND(AQ61/'Table 3 Levels 1&amp;2'!C57,2)</f>
        <v>3948.08</v>
      </c>
    </row>
    <row r="62" spans="1:44">
      <c r="A62" s="14">
        <v>55</v>
      </c>
      <c r="B62" s="57" t="s">
        <v>134</v>
      </c>
      <c r="C62" s="16">
        <v>989814560</v>
      </c>
      <c r="D62" s="16">
        <v>179113825</v>
      </c>
      <c r="E62" s="16">
        <f t="shared" si="9"/>
        <v>810700735</v>
      </c>
      <c r="F62" s="16">
        <v>770363925</v>
      </c>
      <c r="G62" s="107">
        <f t="shared" si="10"/>
        <v>5.2360720292035999E-2</v>
      </c>
      <c r="H62" s="892">
        <f t="shared" si="21"/>
        <v>810700735</v>
      </c>
      <c r="I62" s="282">
        <v>3.86</v>
      </c>
      <c r="J62" s="273">
        <v>3275739</v>
      </c>
      <c r="K62" s="282">
        <v>5.41</v>
      </c>
      <c r="L62" s="273">
        <v>4584728</v>
      </c>
      <c r="M62" s="272">
        <v>0</v>
      </c>
      <c r="N62" s="272">
        <v>0</v>
      </c>
      <c r="O62" s="272">
        <v>0</v>
      </c>
      <c r="P62" s="273">
        <v>0</v>
      </c>
      <c r="Q62" s="16">
        <f t="shared" si="11"/>
        <v>7860467</v>
      </c>
      <c r="R62" s="272">
        <v>0</v>
      </c>
      <c r="S62" s="273">
        <v>12995</v>
      </c>
      <c r="T62" s="272">
        <v>0</v>
      </c>
      <c r="U62" s="272">
        <v>0</v>
      </c>
      <c r="V62" s="272">
        <v>0</v>
      </c>
      <c r="W62" s="273">
        <v>0</v>
      </c>
      <c r="X62" s="16">
        <f t="shared" si="12"/>
        <v>12995</v>
      </c>
      <c r="Y62" s="118">
        <f t="shared" si="13"/>
        <v>9.27</v>
      </c>
      <c r="Z62" s="16">
        <f t="shared" si="14"/>
        <v>7873462</v>
      </c>
      <c r="AA62" s="16">
        <f t="shared" si="15"/>
        <v>0</v>
      </c>
      <c r="AB62" s="119">
        <f t="shared" si="22"/>
        <v>0.02</v>
      </c>
      <c r="AC62" s="120">
        <f t="shared" si="23"/>
        <v>9.6999999999999993</v>
      </c>
      <c r="AD62" s="105">
        <f t="shared" si="24"/>
        <v>9.7100000000000009</v>
      </c>
      <c r="AE62" s="63">
        <f t="shared" si="16"/>
        <v>7873462</v>
      </c>
      <c r="AF62" s="126">
        <v>2.0799999999999999E-2</v>
      </c>
      <c r="AG62" s="201">
        <v>51933519</v>
      </c>
      <c r="AH62" s="201">
        <v>0</v>
      </c>
      <c r="AI62" s="280">
        <f t="shared" si="17"/>
        <v>51933519</v>
      </c>
      <c r="AJ62" s="63">
        <v>2347326683</v>
      </c>
      <c r="AK62" s="63">
        <f t="shared" si="28"/>
        <v>2496803798</v>
      </c>
      <c r="AL62" s="126">
        <f t="shared" si="18"/>
        <v>6.3679723867391486E-2</v>
      </c>
      <c r="AM62" s="63">
        <f t="shared" si="19"/>
        <v>2496803798</v>
      </c>
      <c r="AN62" s="107">
        <f t="shared" si="25"/>
        <v>2.080000000064082E-2</v>
      </c>
      <c r="AO62" s="107">
        <f t="shared" si="26"/>
        <v>0</v>
      </c>
      <c r="AP62" s="63">
        <v>368880</v>
      </c>
      <c r="AQ62" s="63">
        <f t="shared" si="27"/>
        <v>60175861</v>
      </c>
      <c r="AR62" s="63">
        <f>ROUND(AQ62/'Table 3 Levels 1&amp;2'!C58,2)</f>
        <v>3382.57</v>
      </c>
    </row>
    <row r="63" spans="1:44">
      <c r="A63" s="1344">
        <v>56</v>
      </c>
      <c r="B63" s="1345" t="s">
        <v>135</v>
      </c>
      <c r="C63" s="1295">
        <v>198914780</v>
      </c>
      <c r="D63" s="1295">
        <v>34837193</v>
      </c>
      <c r="E63" s="1295">
        <f t="shared" si="9"/>
        <v>164077587</v>
      </c>
      <c r="F63" s="1295">
        <v>158847686</v>
      </c>
      <c r="G63" s="1346">
        <f t="shared" si="10"/>
        <v>3.2923998653653662E-2</v>
      </c>
      <c r="H63" s="1347">
        <f t="shared" si="21"/>
        <v>164077587</v>
      </c>
      <c r="I63" s="1348">
        <v>3.55</v>
      </c>
      <c r="J63" s="1349">
        <v>554649</v>
      </c>
      <c r="K63" s="1348">
        <v>17.98</v>
      </c>
      <c r="L63" s="1349">
        <v>2757953</v>
      </c>
      <c r="M63" s="1350">
        <v>1.6</v>
      </c>
      <c r="N63" s="1350">
        <v>1.64</v>
      </c>
      <c r="O63" s="1350">
        <v>9</v>
      </c>
      <c r="P63" s="1349">
        <v>256237</v>
      </c>
      <c r="Q63" s="1295">
        <f t="shared" si="11"/>
        <v>3568839</v>
      </c>
      <c r="R63" s="1361">
        <v>0</v>
      </c>
      <c r="S63" s="1349">
        <v>0</v>
      </c>
      <c r="T63" s="1350">
        <v>0</v>
      </c>
      <c r="U63" s="1350">
        <v>0</v>
      </c>
      <c r="V63" s="1350">
        <v>0</v>
      </c>
      <c r="W63" s="1349">
        <v>0</v>
      </c>
      <c r="X63" s="1295">
        <f t="shared" si="12"/>
        <v>0</v>
      </c>
      <c r="Y63" s="1351">
        <f t="shared" si="13"/>
        <v>21.53</v>
      </c>
      <c r="Z63" s="1295">
        <f t="shared" si="14"/>
        <v>3312602</v>
      </c>
      <c r="AA63" s="1295">
        <f t="shared" si="15"/>
        <v>256237</v>
      </c>
      <c r="AB63" s="1352">
        <f t="shared" si="22"/>
        <v>0</v>
      </c>
      <c r="AC63" s="1353">
        <f t="shared" si="23"/>
        <v>21.75</v>
      </c>
      <c r="AD63" s="1354">
        <f t="shared" si="24"/>
        <v>21.75</v>
      </c>
      <c r="AE63" s="1355">
        <f t="shared" si="16"/>
        <v>3568839</v>
      </c>
      <c r="AF63" s="1356">
        <v>0.02</v>
      </c>
      <c r="AG63" s="1357">
        <v>4863215</v>
      </c>
      <c r="AH63" s="1357">
        <v>0</v>
      </c>
      <c r="AI63" s="1358">
        <f t="shared" si="17"/>
        <v>4863215</v>
      </c>
      <c r="AJ63" s="1355">
        <v>223567800</v>
      </c>
      <c r="AK63" s="1355">
        <f t="shared" si="28"/>
        <v>243160750</v>
      </c>
      <c r="AL63" s="1359">
        <f t="shared" si="18"/>
        <v>8.7637620444446826E-2</v>
      </c>
      <c r="AM63" s="1360">
        <f t="shared" si="19"/>
        <v>243160750</v>
      </c>
      <c r="AN63" s="1346">
        <f t="shared" si="25"/>
        <v>0.02</v>
      </c>
      <c r="AO63" s="1346">
        <f t="shared" si="26"/>
        <v>0</v>
      </c>
      <c r="AP63" s="1355">
        <v>150727.5</v>
      </c>
      <c r="AQ63" s="1355">
        <f t="shared" si="27"/>
        <v>8582781.5</v>
      </c>
      <c r="AR63" s="1355">
        <f>ROUND(AQ63/'Table 3 Levels 1&amp;2'!C59,2)</f>
        <v>2973.94</v>
      </c>
    </row>
    <row r="64" spans="1:44">
      <c r="A64" s="1344">
        <v>57</v>
      </c>
      <c r="B64" s="1345" t="s">
        <v>136</v>
      </c>
      <c r="C64" s="1295">
        <v>403035940</v>
      </c>
      <c r="D64" s="1295">
        <v>92030880</v>
      </c>
      <c r="E64" s="1295">
        <f t="shared" si="9"/>
        <v>311005060</v>
      </c>
      <c r="F64" s="1295">
        <v>310522580</v>
      </c>
      <c r="G64" s="1346">
        <f t="shared" si="10"/>
        <v>1.5537678451596015E-3</v>
      </c>
      <c r="H64" s="1347">
        <f t="shared" si="21"/>
        <v>311005060</v>
      </c>
      <c r="I64" s="1348">
        <v>4.6500000000000004</v>
      </c>
      <c r="J64" s="1349">
        <v>1564877</v>
      </c>
      <c r="K64" s="1348">
        <v>35</v>
      </c>
      <c r="L64" s="1349">
        <v>11392856</v>
      </c>
      <c r="M64" s="1350">
        <v>0</v>
      </c>
      <c r="N64" s="1350">
        <v>0</v>
      </c>
      <c r="O64" s="1350">
        <v>0</v>
      </c>
      <c r="P64" s="1349">
        <v>0</v>
      </c>
      <c r="Q64" s="1295">
        <f t="shared" si="11"/>
        <v>12957733</v>
      </c>
      <c r="R64" s="1350">
        <v>0</v>
      </c>
      <c r="S64" s="1349">
        <v>0</v>
      </c>
      <c r="T64" s="1350">
        <v>0</v>
      </c>
      <c r="U64" s="1350">
        <v>0</v>
      </c>
      <c r="V64" s="1350">
        <v>0</v>
      </c>
      <c r="W64" s="1349">
        <v>0</v>
      </c>
      <c r="X64" s="1295">
        <f t="shared" si="12"/>
        <v>0</v>
      </c>
      <c r="Y64" s="1351">
        <f t="shared" si="13"/>
        <v>39.65</v>
      </c>
      <c r="Z64" s="1295">
        <f t="shared" si="14"/>
        <v>12957733</v>
      </c>
      <c r="AA64" s="1295">
        <f t="shared" si="15"/>
        <v>0</v>
      </c>
      <c r="AB64" s="1352">
        <f t="shared" si="22"/>
        <v>0</v>
      </c>
      <c r="AC64" s="1353">
        <f t="shared" si="23"/>
        <v>41.66</v>
      </c>
      <c r="AD64" s="1354">
        <f t="shared" si="24"/>
        <v>41.66</v>
      </c>
      <c r="AE64" s="1355">
        <f t="shared" si="16"/>
        <v>12957733</v>
      </c>
      <c r="AF64" s="1356">
        <v>1.4999999999999999E-2</v>
      </c>
      <c r="AG64" s="1357">
        <v>12408381</v>
      </c>
      <c r="AH64" s="1357">
        <v>0</v>
      </c>
      <c r="AI64" s="1358">
        <f t="shared" si="17"/>
        <v>12408381</v>
      </c>
      <c r="AJ64" s="1355">
        <v>752700200</v>
      </c>
      <c r="AK64" s="1355">
        <f t="shared" si="28"/>
        <v>827225400</v>
      </c>
      <c r="AL64" s="1359">
        <f t="shared" si="18"/>
        <v>9.901046924127295E-2</v>
      </c>
      <c r="AM64" s="1360">
        <f t="shared" si="19"/>
        <v>827225400</v>
      </c>
      <c r="AN64" s="1346">
        <f t="shared" si="25"/>
        <v>1.4999999999999999E-2</v>
      </c>
      <c r="AO64" s="1346">
        <f t="shared" si="26"/>
        <v>0</v>
      </c>
      <c r="AP64" s="1355">
        <v>2465745.5</v>
      </c>
      <c r="AQ64" s="1355">
        <f t="shared" si="27"/>
        <v>27831859.5</v>
      </c>
      <c r="AR64" s="1355">
        <f>ROUND(AQ64/'Table 3 Levels 1&amp;2'!C60,2)</f>
        <v>3050.07</v>
      </c>
    </row>
    <row r="65" spans="1:44">
      <c r="A65" s="1344">
        <v>58</v>
      </c>
      <c r="B65" s="1345" t="s">
        <v>137</v>
      </c>
      <c r="C65" s="1295">
        <v>176007330</v>
      </c>
      <c r="D65" s="1295">
        <v>47592300</v>
      </c>
      <c r="E65" s="1295">
        <f t="shared" si="9"/>
        <v>128415030</v>
      </c>
      <c r="F65" s="1295">
        <v>120655413</v>
      </c>
      <c r="G65" s="1346">
        <f t="shared" si="10"/>
        <v>6.431221614566103E-2</v>
      </c>
      <c r="H65" s="1347">
        <f t="shared" si="21"/>
        <v>128415030</v>
      </c>
      <c r="I65" s="1348">
        <v>4.18</v>
      </c>
      <c r="J65" s="1349">
        <v>553075</v>
      </c>
      <c r="K65" s="1348">
        <v>8.1199999999999992</v>
      </c>
      <c r="L65" s="1349">
        <v>1074279</v>
      </c>
      <c r="M65" s="1350">
        <v>10.39</v>
      </c>
      <c r="N65" s="1350">
        <v>18.77</v>
      </c>
      <c r="O65" s="1350">
        <v>9</v>
      </c>
      <c r="P65" s="1349">
        <v>2016722</v>
      </c>
      <c r="Q65" s="1295">
        <f t="shared" si="11"/>
        <v>3644076</v>
      </c>
      <c r="R65" s="1350">
        <v>0</v>
      </c>
      <c r="S65" s="1349">
        <v>0</v>
      </c>
      <c r="T65" s="1350">
        <v>8.36</v>
      </c>
      <c r="U65" s="1350">
        <v>46.91</v>
      </c>
      <c r="V65" s="1350">
        <v>9</v>
      </c>
      <c r="W65" s="1349">
        <v>4021575</v>
      </c>
      <c r="X65" s="1295">
        <f t="shared" si="12"/>
        <v>4021575</v>
      </c>
      <c r="Y65" s="1351">
        <f t="shared" si="13"/>
        <v>12.299999999999999</v>
      </c>
      <c r="Z65" s="1295">
        <f t="shared" si="14"/>
        <v>1627354</v>
      </c>
      <c r="AA65" s="1295">
        <f t="shared" si="15"/>
        <v>6038297</v>
      </c>
      <c r="AB65" s="1352">
        <f t="shared" si="22"/>
        <v>31.32</v>
      </c>
      <c r="AC65" s="1353">
        <f t="shared" si="23"/>
        <v>28.38</v>
      </c>
      <c r="AD65" s="1354">
        <f t="shared" si="24"/>
        <v>59.69</v>
      </c>
      <c r="AE65" s="1355">
        <f t="shared" si="16"/>
        <v>7665651</v>
      </c>
      <c r="AF65" s="1356">
        <v>0.02</v>
      </c>
      <c r="AG65" s="1357">
        <v>12110628</v>
      </c>
      <c r="AH65" s="1357">
        <v>0</v>
      </c>
      <c r="AI65" s="1358">
        <f t="shared" si="17"/>
        <v>12110628</v>
      </c>
      <c r="AJ65" s="1355">
        <v>612309350</v>
      </c>
      <c r="AK65" s="1355">
        <f t="shared" si="28"/>
        <v>605531400</v>
      </c>
      <c r="AL65" s="1356">
        <f t="shared" si="18"/>
        <v>-1.1069486363388049E-2</v>
      </c>
      <c r="AM65" s="1355">
        <f t="shared" si="19"/>
        <v>605531400</v>
      </c>
      <c r="AN65" s="1346">
        <f t="shared" si="25"/>
        <v>0.02</v>
      </c>
      <c r="AO65" s="1346">
        <f t="shared" si="26"/>
        <v>0</v>
      </c>
      <c r="AP65" s="1355">
        <v>441684</v>
      </c>
      <c r="AQ65" s="1355">
        <f t="shared" si="27"/>
        <v>20217963</v>
      </c>
      <c r="AR65" s="1355">
        <f>ROUND(AQ65/'Table 3 Levels 1&amp;2'!C61,2)</f>
        <v>2244.1999999999998</v>
      </c>
    </row>
    <row r="66" spans="1:44">
      <c r="A66" s="1344">
        <v>59</v>
      </c>
      <c r="B66" s="1345" t="s">
        <v>138</v>
      </c>
      <c r="C66" s="1295">
        <v>126028200</v>
      </c>
      <c r="D66" s="1295">
        <v>42107655</v>
      </c>
      <c r="E66" s="1295">
        <f t="shared" si="9"/>
        <v>83920545</v>
      </c>
      <c r="F66" s="1295">
        <v>82288265</v>
      </c>
      <c r="G66" s="1346">
        <f t="shared" si="10"/>
        <v>1.9836121225790822E-2</v>
      </c>
      <c r="H66" s="1347">
        <f t="shared" si="21"/>
        <v>83920545</v>
      </c>
      <c r="I66" s="1348">
        <v>3.91</v>
      </c>
      <c r="J66" s="1349">
        <v>393536</v>
      </c>
      <c r="K66" s="1348">
        <v>15.07</v>
      </c>
      <c r="L66" s="1349">
        <v>1516773</v>
      </c>
      <c r="M66" s="1350">
        <v>5.19</v>
      </c>
      <c r="N66" s="1350">
        <v>5.19</v>
      </c>
      <c r="O66" s="1350">
        <v>1</v>
      </c>
      <c r="P66" s="1349">
        <v>22710</v>
      </c>
      <c r="Q66" s="1295">
        <f t="shared" si="11"/>
        <v>1933019</v>
      </c>
      <c r="R66" s="1350">
        <v>0</v>
      </c>
      <c r="S66" s="1349">
        <v>0</v>
      </c>
      <c r="T66" s="1350">
        <v>14.5</v>
      </c>
      <c r="U66" s="1350">
        <v>28.5</v>
      </c>
      <c r="V66" s="1350">
        <v>3</v>
      </c>
      <c r="W66" s="1349">
        <v>2776053</v>
      </c>
      <c r="X66" s="1295">
        <f t="shared" si="12"/>
        <v>2776053</v>
      </c>
      <c r="Y66" s="1351">
        <f t="shared" si="13"/>
        <v>18.98</v>
      </c>
      <c r="Z66" s="1295">
        <f t="shared" si="14"/>
        <v>1910309</v>
      </c>
      <c r="AA66" s="1295">
        <f t="shared" si="15"/>
        <v>2798763</v>
      </c>
      <c r="AB66" s="1352">
        <f t="shared" si="22"/>
        <v>33.08</v>
      </c>
      <c r="AC66" s="1353">
        <f t="shared" si="23"/>
        <v>23.03</v>
      </c>
      <c r="AD66" s="1354">
        <f t="shared" si="24"/>
        <v>56.11</v>
      </c>
      <c r="AE66" s="1355">
        <f t="shared" si="16"/>
        <v>4709072</v>
      </c>
      <c r="AF66" s="1356">
        <v>0.02</v>
      </c>
      <c r="AG66" s="1357">
        <v>4328937</v>
      </c>
      <c r="AH66" s="1357">
        <v>0</v>
      </c>
      <c r="AI66" s="1358">
        <f t="shared" si="17"/>
        <v>4328937</v>
      </c>
      <c r="AJ66" s="1355">
        <v>206767950</v>
      </c>
      <c r="AK66" s="1355">
        <f t="shared" si="28"/>
        <v>216446850</v>
      </c>
      <c r="AL66" s="1356">
        <f t="shared" si="18"/>
        <v>4.6810446203098689E-2</v>
      </c>
      <c r="AM66" s="1355">
        <f t="shared" si="19"/>
        <v>216446850</v>
      </c>
      <c r="AN66" s="1346">
        <f t="shared" si="25"/>
        <v>0.02</v>
      </c>
      <c r="AO66" s="1346">
        <f t="shared" si="26"/>
        <v>0</v>
      </c>
      <c r="AP66" s="1355">
        <v>164648</v>
      </c>
      <c r="AQ66" s="1355">
        <f t="shared" si="27"/>
        <v>9202657</v>
      </c>
      <c r="AR66" s="1355">
        <f>ROUND(AQ66/'Table 3 Levels 1&amp;2'!C62,2)</f>
        <v>1787.27</v>
      </c>
    </row>
    <row r="67" spans="1:44">
      <c r="A67" s="14">
        <v>60</v>
      </c>
      <c r="B67" s="57" t="s">
        <v>139</v>
      </c>
      <c r="C67" s="16">
        <v>289384810</v>
      </c>
      <c r="D67" s="16">
        <v>53015039</v>
      </c>
      <c r="E67" s="16">
        <f t="shared" si="9"/>
        <v>236369771</v>
      </c>
      <c r="F67" s="16">
        <v>234473401</v>
      </c>
      <c r="G67" s="107">
        <f t="shared" si="10"/>
        <v>8.0877830573200075E-3</v>
      </c>
      <c r="H67" s="892">
        <f t="shared" si="21"/>
        <v>236369771</v>
      </c>
      <c r="I67" s="282">
        <v>4.08</v>
      </c>
      <c r="J67" s="273">
        <v>962441</v>
      </c>
      <c r="K67" s="282">
        <v>11.31</v>
      </c>
      <c r="L67" s="273">
        <v>2667943</v>
      </c>
      <c r="M67" s="272">
        <v>7.09</v>
      </c>
      <c r="N67" s="272">
        <v>25</v>
      </c>
      <c r="O67" s="272">
        <v>3</v>
      </c>
      <c r="P67" s="273">
        <v>1525868</v>
      </c>
      <c r="Q67" s="16">
        <f t="shared" si="11"/>
        <v>5156252</v>
      </c>
      <c r="R67" s="272">
        <v>0</v>
      </c>
      <c r="S67" s="273">
        <v>0</v>
      </c>
      <c r="T67" s="272">
        <v>16</v>
      </c>
      <c r="U67" s="272">
        <v>42</v>
      </c>
      <c r="V67" s="272">
        <v>7</v>
      </c>
      <c r="W67" s="273">
        <v>6260777</v>
      </c>
      <c r="X67" s="16">
        <f t="shared" si="12"/>
        <v>6260777</v>
      </c>
      <c r="Y67" s="118">
        <f t="shared" si="13"/>
        <v>15.39</v>
      </c>
      <c r="Z67" s="16">
        <f t="shared" si="14"/>
        <v>3630384</v>
      </c>
      <c r="AA67" s="16">
        <f t="shared" si="15"/>
        <v>7786645</v>
      </c>
      <c r="AB67" s="119">
        <f t="shared" si="22"/>
        <v>26.49</v>
      </c>
      <c r="AC67" s="120">
        <f t="shared" si="23"/>
        <v>21.81</v>
      </c>
      <c r="AD67" s="105">
        <f t="shared" si="24"/>
        <v>48.3</v>
      </c>
      <c r="AE67" s="63">
        <f t="shared" si="16"/>
        <v>11417029</v>
      </c>
      <c r="AF67" s="126">
        <v>2.1299999999999999E-2</v>
      </c>
      <c r="AG67" s="201">
        <v>13756234</v>
      </c>
      <c r="AH67" s="201">
        <v>0</v>
      </c>
      <c r="AI67" s="280">
        <f t="shared" si="17"/>
        <v>13756234</v>
      </c>
      <c r="AJ67" s="63">
        <v>681713850</v>
      </c>
      <c r="AK67" s="63">
        <f t="shared" si="28"/>
        <v>645832582</v>
      </c>
      <c r="AL67" s="126">
        <f t="shared" si="18"/>
        <v>-5.2633913774819158E-2</v>
      </c>
      <c r="AM67" s="63">
        <f t="shared" si="19"/>
        <v>645832582</v>
      </c>
      <c r="AN67" s="107">
        <f t="shared" si="25"/>
        <v>2.1300000005264521E-2</v>
      </c>
      <c r="AO67" s="107">
        <f t="shared" si="26"/>
        <v>0</v>
      </c>
      <c r="AP67" s="63">
        <v>305366</v>
      </c>
      <c r="AQ67" s="63">
        <f t="shared" si="27"/>
        <v>25478629</v>
      </c>
      <c r="AR67" s="63">
        <f>ROUND(AQ67/'Table 3 Levels 1&amp;2'!C63,2)</f>
        <v>3955.69</v>
      </c>
    </row>
    <row r="68" spans="1:44">
      <c r="A68" s="1344">
        <v>61</v>
      </c>
      <c r="B68" s="1345" t="s">
        <v>140</v>
      </c>
      <c r="C68" s="1295">
        <v>429102270</v>
      </c>
      <c r="D68" s="1295">
        <v>40448503</v>
      </c>
      <c r="E68" s="1295">
        <f t="shared" si="9"/>
        <v>388653767</v>
      </c>
      <c r="F68" s="1295">
        <v>352890497</v>
      </c>
      <c r="G68" s="1346">
        <f t="shared" si="10"/>
        <v>0.10134381714450078</v>
      </c>
      <c r="H68" s="1347">
        <f t="shared" si="21"/>
        <v>388179546.70000005</v>
      </c>
      <c r="I68" s="1348">
        <v>4.3899999999999997</v>
      </c>
      <c r="J68" s="1349">
        <v>1702216</v>
      </c>
      <c r="K68" s="1348">
        <v>27</v>
      </c>
      <c r="L68" s="1349">
        <v>10469208</v>
      </c>
      <c r="M68" s="1350">
        <v>0</v>
      </c>
      <c r="N68" s="1350">
        <v>0</v>
      </c>
      <c r="O68" s="1350">
        <v>0</v>
      </c>
      <c r="P68" s="1349">
        <v>0</v>
      </c>
      <c r="Q68" s="1295">
        <f t="shared" si="11"/>
        <v>12171424</v>
      </c>
      <c r="R68" s="1361">
        <v>0</v>
      </c>
      <c r="S68" s="1349">
        <v>0</v>
      </c>
      <c r="T68" s="1350">
        <v>0</v>
      </c>
      <c r="U68" s="1350">
        <v>0</v>
      </c>
      <c r="V68" s="1350">
        <v>0</v>
      </c>
      <c r="W68" s="1349">
        <v>0</v>
      </c>
      <c r="X68" s="1295">
        <f t="shared" si="12"/>
        <v>0</v>
      </c>
      <c r="Y68" s="1351">
        <f t="shared" si="13"/>
        <v>31.39</v>
      </c>
      <c r="Z68" s="1295">
        <f t="shared" si="14"/>
        <v>12171424</v>
      </c>
      <c r="AA68" s="1295">
        <f t="shared" si="15"/>
        <v>0</v>
      </c>
      <c r="AB68" s="1352">
        <f t="shared" si="22"/>
        <v>0</v>
      </c>
      <c r="AC68" s="1353">
        <f t="shared" si="23"/>
        <v>31.32</v>
      </c>
      <c r="AD68" s="1354">
        <f t="shared" si="24"/>
        <v>31.32</v>
      </c>
      <c r="AE68" s="1355">
        <f t="shared" si="16"/>
        <v>12171424</v>
      </c>
      <c r="AF68" s="1356">
        <v>0.02</v>
      </c>
      <c r="AG68" s="1357">
        <v>11956789</v>
      </c>
      <c r="AH68" s="1357">
        <v>0</v>
      </c>
      <c r="AI68" s="1358">
        <f t="shared" si="17"/>
        <v>11956789</v>
      </c>
      <c r="AJ68" s="1355">
        <v>591763250</v>
      </c>
      <c r="AK68" s="1355">
        <f t="shared" si="28"/>
        <v>597839450</v>
      </c>
      <c r="AL68" s="1359">
        <f t="shared" si="18"/>
        <v>1.0267957667192074E-2</v>
      </c>
      <c r="AM68" s="1360">
        <f t="shared" si="19"/>
        <v>597839450</v>
      </c>
      <c r="AN68" s="1346">
        <f t="shared" si="25"/>
        <v>0.02</v>
      </c>
      <c r="AO68" s="1346">
        <f t="shared" si="26"/>
        <v>0</v>
      </c>
      <c r="AP68" s="1355">
        <v>220240</v>
      </c>
      <c r="AQ68" s="1355">
        <f t="shared" si="27"/>
        <v>24348453</v>
      </c>
      <c r="AR68" s="1355">
        <f>ROUND(AQ68/'Table 3 Levels 1&amp;2'!C64,2)</f>
        <v>6724.23</v>
      </c>
    </row>
    <row r="69" spans="1:44">
      <c r="A69" s="1344">
        <v>62</v>
      </c>
      <c r="B69" s="1345" t="s">
        <v>141</v>
      </c>
      <c r="C69" s="1295">
        <v>70816700</v>
      </c>
      <c r="D69" s="1295">
        <v>17079270</v>
      </c>
      <c r="E69" s="1295">
        <f t="shared" si="9"/>
        <v>53737430</v>
      </c>
      <c r="F69" s="1295">
        <v>52777324</v>
      </c>
      <c r="G69" s="1346">
        <f t="shared" si="10"/>
        <v>1.8191638515056202E-2</v>
      </c>
      <c r="H69" s="1347">
        <f t="shared" si="21"/>
        <v>53737430</v>
      </c>
      <c r="I69" s="1348">
        <v>7.05</v>
      </c>
      <c r="J69" s="1349">
        <f>450225+89220</f>
        <v>539445</v>
      </c>
      <c r="K69" s="1348">
        <v>17.54</v>
      </c>
      <c r="L69" s="1349">
        <v>319625</v>
      </c>
      <c r="M69" s="1350">
        <v>4.57</v>
      </c>
      <c r="N69" s="1350">
        <v>4.57</v>
      </c>
      <c r="O69" s="1350">
        <v>1</v>
      </c>
      <c r="P69" s="1349">
        <v>713716</v>
      </c>
      <c r="Q69" s="1295">
        <f t="shared" si="11"/>
        <v>1572786</v>
      </c>
      <c r="R69" s="1350"/>
      <c r="S69" s="1349"/>
      <c r="T69" s="1350"/>
      <c r="U69" s="1350"/>
      <c r="V69" s="1350"/>
      <c r="W69" s="1349"/>
      <c r="X69" s="1295">
        <f t="shared" si="12"/>
        <v>0</v>
      </c>
      <c r="Y69" s="1351">
        <f t="shared" si="13"/>
        <v>24.59</v>
      </c>
      <c r="Z69" s="1295">
        <f>J69+L69+S69</f>
        <v>859070</v>
      </c>
      <c r="AA69" s="1295">
        <f t="shared" si="15"/>
        <v>713716</v>
      </c>
      <c r="AB69" s="1352">
        <f t="shared" si="22"/>
        <v>0</v>
      </c>
      <c r="AC69" s="1353">
        <f t="shared" si="23"/>
        <v>29.27</v>
      </c>
      <c r="AD69" s="1354">
        <f t="shared" si="24"/>
        <v>29.27</v>
      </c>
      <c r="AE69" s="1355">
        <f t="shared" si="16"/>
        <v>1572786</v>
      </c>
      <c r="AF69" s="1356">
        <v>0.02</v>
      </c>
      <c r="AG69" s="1357">
        <v>2653949</v>
      </c>
      <c r="AH69" s="1357">
        <v>0</v>
      </c>
      <c r="AI69" s="1358">
        <f t="shared" si="17"/>
        <v>2653949</v>
      </c>
      <c r="AJ69" s="1355">
        <v>120435000</v>
      </c>
      <c r="AK69" s="1355">
        <f t="shared" si="28"/>
        <v>132697450</v>
      </c>
      <c r="AL69" s="1359">
        <f t="shared" si="18"/>
        <v>0.10181799310831569</v>
      </c>
      <c r="AM69" s="1360">
        <f t="shared" si="19"/>
        <v>132697450</v>
      </c>
      <c r="AN69" s="1346">
        <f t="shared" si="25"/>
        <v>0.02</v>
      </c>
      <c r="AO69" s="1346">
        <f t="shared" si="26"/>
        <v>0</v>
      </c>
      <c r="AP69" s="1355">
        <v>98213</v>
      </c>
      <c r="AQ69" s="1355">
        <f t="shared" si="27"/>
        <v>4324948</v>
      </c>
      <c r="AR69" s="1355">
        <f>ROUND(AQ69/'Table 3 Levels 1&amp;2'!C65,2)</f>
        <v>2036.23</v>
      </c>
    </row>
    <row r="70" spans="1:44">
      <c r="A70" s="1344">
        <v>63</v>
      </c>
      <c r="B70" s="1345" t="s">
        <v>142</v>
      </c>
      <c r="C70" s="1295">
        <v>289724029</v>
      </c>
      <c r="D70" s="1295">
        <v>17112463</v>
      </c>
      <c r="E70" s="1295">
        <f t="shared" si="9"/>
        <v>272611566</v>
      </c>
      <c r="F70" s="1295">
        <v>268313413</v>
      </c>
      <c r="G70" s="1346">
        <f t="shared" si="10"/>
        <v>1.6019150708652796E-2</v>
      </c>
      <c r="H70" s="1347">
        <f t="shared" si="21"/>
        <v>272611566</v>
      </c>
      <c r="I70" s="1348">
        <v>4.46</v>
      </c>
      <c r="J70" s="1349">
        <v>1169443</v>
      </c>
      <c r="K70" s="1348">
        <v>29.5</v>
      </c>
      <c r="L70" s="1349">
        <v>7832903</v>
      </c>
      <c r="M70" s="1350">
        <v>0</v>
      </c>
      <c r="N70" s="1350">
        <v>0</v>
      </c>
      <c r="O70" s="1350">
        <v>0</v>
      </c>
      <c r="P70" s="1349">
        <v>0</v>
      </c>
      <c r="Q70" s="1295">
        <f t="shared" si="11"/>
        <v>9002346</v>
      </c>
      <c r="R70" s="1350">
        <v>2</v>
      </c>
      <c r="S70" s="1349">
        <v>524925</v>
      </c>
      <c r="T70" s="1350">
        <v>0</v>
      </c>
      <c r="U70" s="1350">
        <v>0</v>
      </c>
      <c r="V70" s="1350">
        <v>0</v>
      </c>
      <c r="W70" s="1349">
        <v>0</v>
      </c>
      <c r="X70" s="1295">
        <f t="shared" si="12"/>
        <v>524925</v>
      </c>
      <c r="Y70" s="1351">
        <f t="shared" si="13"/>
        <v>35.96</v>
      </c>
      <c r="Z70" s="1295">
        <f t="shared" si="14"/>
        <v>9527271</v>
      </c>
      <c r="AA70" s="1295">
        <f t="shared" si="15"/>
        <v>0</v>
      </c>
      <c r="AB70" s="1352">
        <f t="shared" si="22"/>
        <v>1.93</v>
      </c>
      <c r="AC70" s="1353">
        <f t="shared" si="23"/>
        <v>33.020000000000003</v>
      </c>
      <c r="AD70" s="1354">
        <f t="shared" si="24"/>
        <v>34.950000000000003</v>
      </c>
      <c r="AE70" s="1355">
        <f t="shared" si="16"/>
        <v>9527271</v>
      </c>
      <c r="AF70" s="1356">
        <v>2.5000000000000001E-2</v>
      </c>
      <c r="AG70" s="1357">
        <v>5475976</v>
      </c>
      <c r="AH70" s="1357">
        <v>0</v>
      </c>
      <c r="AI70" s="1358">
        <f t="shared" si="17"/>
        <v>5475976</v>
      </c>
      <c r="AJ70" s="1355">
        <v>178050440</v>
      </c>
      <c r="AK70" s="1355">
        <f t="shared" si="28"/>
        <v>219039040</v>
      </c>
      <c r="AL70" s="1356">
        <f t="shared" si="18"/>
        <v>0.23020779954264645</v>
      </c>
      <c r="AM70" s="1355">
        <f t="shared" si="19"/>
        <v>204758005.99999997</v>
      </c>
      <c r="AN70" s="1346">
        <f t="shared" si="25"/>
        <v>2.5000000000000001E-2</v>
      </c>
      <c r="AO70" s="1346">
        <f t="shared" si="26"/>
        <v>0</v>
      </c>
      <c r="AP70" s="1355">
        <v>53850.5</v>
      </c>
      <c r="AQ70" s="1355">
        <f t="shared" si="27"/>
        <v>15057097.5</v>
      </c>
      <c r="AR70" s="1355">
        <f>ROUND(AQ70/'Table 3 Levels 1&amp;2'!C66,2)</f>
        <v>7388.17</v>
      </c>
    </row>
    <row r="71" spans="1:44">
      <c r="A71" s="1344">
        <v>64</v>
      </c>
      <c r="B71" s="1345" t="s">
        <v>143</v>
      </c>
      <c r="C71" s="1295">
        <v>81765406</v>
      </c>
      <c r="D71" s="1295">
        <v>16923888</v>
      </c>
      <c r="E71" s="1295">
        <f t="shared" si="9"/>
        <v>64841518</v>
      </c>
      <c r="F71" s="1295">
        <v>63270868</v>
      </c>
      <c r="G71" s="1346">
        <f t="shared" si="10"/>
        <v>2.482422084046642E-2</v>
      </c>
      <c r="H71" s="1347">
        <f t="shared" si="21"/>
        <v>64841518</v>
      </c>
      <c r="I71" s="1348">
        <v>4.88</v>
      </c>
      <c r="J71" s="1349">
        <v>332413</v>
      </c>
      <c r="K71" s="1348">
        <v>15.64</v>
      </c>
      <c r="L71" s="1349">
        <v>1068021</v>
      </c>
      <c r="M71" s="1350">
        <v>3</v>
      </c>
      <c r="N71" s="1350">
        <v>3.12</v>
      </c>
      <c r="O71" s="1350">
        <v>2</v>
      </c>
      <c r="P71" s="1349">
        <v>190748</v>
      </c>
      <c r="Q71" s="1295">
        <f t="shared" si="11"/>
        <v>1591182</v>
      </c>
      <c r="R71" s="1350">
        <v>0</v>
      </c>
      <c r="S71" s="1349">
        <v>0</v>
      </c>
      <c r="T71" s="1350">
        <v>16</v>
      </c>
      <c r="U71" s="1350">
        <v>45</v>
      </c>
      <c r="V71" s="1350">
        <v>4</v>
      </c>
      <c r="W71" s="1349">
        <v>1650471</v>
      </c>
      <c r="X71" s="1295">
        <f t="shared" si="12"/>
        <v>1650471</v>
      </c>
      <c r="Y71" s="1351">
        <f t="shared" si="13"/>
        <v>20.52</v>
      </c>
      <c r="Z71" s="1295">
        <f t="shared" si="14"/>
        <v>1400434</v>
      </c>
      <c r="AA71" s="1295">
        <f t="shared" si="15"/>
        <v>1841219</v>
      </c>
      <c r="AB71" s="1352">
        <f t="shared" si="22"/>
        <v>25.45</v>
      </c>
      <c r="AC71" s="1353">
        <f t="shared" si="23"/>
        <v>24.54</v>
      </c>
      <c r="AD71" s="1354">
        <f t="shared" si="24"/>
        <v>49.99</v>
      </c>
      <c r="AE71" s="1355">
        <f t="shared" si="16"/>
        <v>3241653</v>
      </c>
      <c r="AF71" s="1356">
        <v>0.02</v>
      </c>
      <c r="AG71" s="1357">
        <v>3775345</v>
      </c>
      <c r="AH71" s="1357">
        <v>0</v>
      </c>
      <c r="AI71" s="1358">
        <f t="shared" si="17"/>
        <v>3775345</v>
      </c>
      <c r="AJ71" s="1355">
        <v>183578400</v>
      </c>
      <c r="AK71" s="1355">
        <f t="shared" si="28"/>
        <v>188767250</v>
      </c>
      <c r="AL71" s="1356">
        <f t="shared" si="18"/>
        <v>2.8265035537949998E-2</v>
      </c>
      <c r="AM71" s="1355">
        <f t="shared" si="19"/>
        <v>188767250</v>
      </c>
      <c r="AN71" s="1346">
        <f t="shared" si="25"/>
        <v>0.02</v>
      </c>
      <c r="AO71" s="1346">
        <f t="shared" si="26"/>
        <v>0</v>
      </c>
      <c r="AP71" s="1355">
        <v>381669</v>
      </c>
      <c r="AQ71" s="1355">
        <f t="shared" si="27"/>
        <v>7398667</v>
      </c>
      <c r="AR71" s="1355">
        <f>ROUND(AQ71/'Table 3 Levels 1&amp;2'!C67,2)</f>
        <v>3143.02</v>
      </c>
    </row>
    <row r="72" spans="1:44">
      <c r="A72" s="14">
        <v>65</v>
      </c>
      <c r="B72" s="57" t="s">
        <v>144</v>
      </c>
      <c r="C72" s="16">
        <v>390660992</v>
      </c>
      <c r="D72" s="16">
        <v>46410360</v>
      </c>
      <c r="E72" s="16">
        <f t="shared" si="9"/>
        <v>344250632</v>
      </c>
      <c r="F72" s="16">
        <v>341110740</v>
      </c>
      <c r="G72" s="107">
        <f t="shared" si="10"/>
        <v>9.2049051284635603E-3</v>
      </c>
      <c r="H72" s="892">
        <f t="shared" si="21"/>
        <v>344250632</v>
      </c>
      <c r="I72" s="282">
        <v>7.07</v>
      </c>
      <c r="J72" s="273">
        <v>2443141</v>
      </c>
      <c r="K72" s="282">
        <v>20.56</v>
      </c>
      <c r="L72" s="273">
        <v>7096742</v>
      </c>
      <c r="M72" s="272">
        <v>0</v>
      </c>
      <c r="N72" s="272">
        <v>0</v>
      </c>
      <c r="O72" s="272">
        <v>0</v>
      </c>
      <c r="P72" s="273">
        <v>0</v>
      </c>
      <c r="Q72" s="16">
        <f t="shared" si="11"/>
        <v>9539883</v>
      </c>
      <c r="R72" s="272">
        <v>10</v>
      </c>
      <c r="S72" s="273">
        <v>3462063</v>
      </c>
      <c r="T72" s="272">
        <v>0</v>
      </c>
      <c r="U72" s="272">
        <v>0</v>
      </c>
      <c r="V72" s="272">
        <v>0</v>
      </c>
      <c r="W72" s="273">
        <v>0</v>
      </c>
      <c r="X72" s="16">
        <f t="shared" si="12"/>
        <v>3462063</v>
      </c>
      <c r="Y72" s="118">
        <f t="shared" si="13"/>
        <v>37.629999999999995</v>
      </c>
      <c r="Z72" s="16">
        <f t="shared" si="14"/>
        <v>13001946</v>
      </c>
      <c r="AA72" s="16">
        <f t="shared" si="15"/>
        <v>0</v>
      </c>
      <c r="AB72" s="119">
        <f t="shared" ref="AB72:AB77" si="29">ROUND((X72/E72)*1000,2)</f>
        <v>10.06</v>
      </c>
      <c r="AC72" s="120">
        <f t="shared" ref="AC72:AC77" si="30">ROUND((Q72/E72)*1000,2)</f>
        <v>27.71</v>
      </c>
      <c r="AD72" s="105">
        <f t="shared" ref="AD72:AD77" si="31">ROUND((AE72/E72)*1000,2)</f>
        <v>37.770000000000003</v>
      </c>
      <c r="AE72" s="63">
        <f t="shared" si="16"/>
        <v>13001946</v>
      </c>
      <c r="AF72" s="126">
        <v>0.02</v>
      </c>
      <c r="AG72" s="201">
        <v>26408099</v>
      </c>
      <c r="AH72" s="201">
        <v>0</v>
      </c>
      <c r="AI72" s="280">
        <f t="shared" si="17"/>
        <v>26408099</v>
      </c>
      <c r="AJ72" s="63">
        <v>1288413800</v>
      </c>
      <c r="AK72" s="63">
        <f t="shared" si="28"/>
        <v>1320404950</v>
      </c>
      <c r="AL72" s="126">
        <f t="shared" si="18"/>
        <v>2.4829872204100888E-2</v>
      </c>
      <c r="AM72" s="63">
        <f t="shared" si="19"/>
        <v>1320404950</v>
      </c>
      <c r="AN72" s="107">
        <f t="shared" si="25"/>
        <v>0.02</v>
      </c>
      <c r="AO72" s="107">
        <f t="shared" si="26"/>
        <v>0</v>
      </c>
      <c r="AP72" s="63">
        <v>293555</v>
      </c>
      <c r="AQ72" s="63">
        <f>AP72+AE72+AI72</f>
        <v>39703600</v>
      </c>
      <c r="AR72" s="63">
        <f>ROUND(AQ72/'Table 3 Levels 1&amp;2'!C68,2)</f>
        <v>4856.12</v>
      </c>
    </row>
    <row r="73" spans="1:44">
      <c r="A73" s="1344">
        <v>66</v>
      </c>
      <c r="B73" s="1345" t="s">
        <v>145</v>
      </c>
      <c r="C73" s="1295">
        <v>95042550</v>
      </c>
      <c r="D73" s="1295">
        <v>20620970</v>
      </c>
      <c r="E73" s="1295">
        <f>C73-D73</f>
        <v>74421580</v>
      </c>
      <c r="F73" s="1295">
        <v>76320120</v>
      </c>
      <c r="G73" s="1346">
        <f>(E73-F73)/F73</f>
        <v>-2.4876009104807487E-2</v>
      </c>
      <c r="H73" s="1347">
        <f t="shared" si="21"/>
        <v>74421580</v>
      </c>
      <c r="I73" s="1348">
        <v>6.44</v>
      </c>
      <c r="J73" s="1349">
        <v>468046</v>
      </c>
      <c r="K73" s="1348">
        <v>56.37</v>
      </c>
      <c r="L73" s="1349">
        <v>4205105</v>
      </c>
      <c r="M73" s="1350">
        <v>0</v>
      </c>
      <c r="N73" s="1350">
        <v>0</v>
      </c>
      <c r="O73" s="1350">
        <v>0</v>
      </c>
      <c r="P73" s="1349">
        <v>0</v>
      </c>
      <c r="Q73" s="1295">
        <f>J73+L73+P73</f>
        <v>4673151</v>
      </c>
      <c r="R73" s="1361"/>
      <c r="S73" s="1349"/>
      <c r="T73" s="1350"/>
      <c r="U73" s="1350"/>
      <c r="V73" s="1350"/>
      <c r="W73" s="1349"/>
      <c r="X73" s="1295">
        <f>S73+W73</f>
        <v>0</v>
      </c>
      <c r="Y73" s="1351">
        <f t="shared" ref="Y73:Z75" si="32">I73+K73+R73</f>
        <v>62.809999999999995</v>
      </c>
      <c r="Z73" s="1295">
        <f t="shared" si="32"/>
        <v>4673151</v>
      </c>
      <c r="AA73" s="1295">
        <f>P73+W73</f>
        <v>0</v>
      </c>
      <c r="AB73" s="1352">
        <f t="shared" si="29"/>
        <v>0</v>
      </c>
      <c r="AC73" s="1353">
        <f t="shared" si="30"/>
        <v>62.79</v>
      </c>
      <c r="AD73" s="1354">
        <f t="shared" si="31"/>
        <v>62.79</v>
      </c>
      <c r="AE73" s="1355">
        <f>X73+Q73</f>
        <v>4673151</v>
      </c>
      <c r="AF73" s="1356">
        <v>0.01</v>
      </c>
      <c r="AG73" s="1357">
        <v>2506955</v>
      </c>
      <c r="AH73" s="1357">
        <v>0</v>
      </c>
      <c r="AI73" s="1358">
        <f>AG73+AH73</f>
        <v>2506955</v>
      </c>
      <c r="AJ73" s="1355">
        <v>241500900</v>
      </c>
      <c r="AK73" s="1355">
        <f t="shared" si="28"/>
        <v>250695500</v>
      </c>
      <c r="AL73" s="1359">
        <f>(AK73-AJ73)/AJ73</f>
        <v>3.8072735960818366E-2</v>
      </c>
      <c r="AM73" s="1360">
        <f>IF((AK73-AJ73)/AJ73&gt;$AM$5,AJ73*(1+$AM$5),AK73)</f>
        <v>250695500</v>
      </c>
      <c r="AN73" s="1346">
        <f t="shared" si="25"/>
        <v>0.01</v>
      </c>
      <c r="AO73" s="1346">
        <f t="shared" si="26"/>
        <v>0</v>
      </c>
      <c r="AP73" s="1355">
        <v>212477</v>
      </c>
      <c r="AQ73" s="1355">
        <f>AP73+AE73+AI73</f>
        <v>7392583</v>
      </c>
      <c r="AR73" s="1355">
        <f>ROUND(AQ73/'Table 3 Levels 1&amp;2'!C69,2)</f>
        <v>3654.27</v>
      </c>
    </row>
    <row r="74" spans="1:44" s="60" customFormat="1">
      <c r="A74" s="1344">
        <v>67</v>
      </c>
      <c r="B74" s="1345" t="s">
        <v>30</v>
      </c>
      <c r="C74" s="1295">
        <v>251601025</v>
      </c>
      <c r="D74" s="1295">
        <v>39922250</v>
      </c>
      <c r="E74" s="1295">
        <f>C74-D74</f>
        <v>211678775</v>
      </c>
      <c r="F74" s="1295">
        <v>197901490</v>
      </c>
      <c r="G74" s="1346">
        <f>(E74-F74)/F74</f>
        <v>6.9616883632356685E-2</v>
      </c>
      <c r="H74" s="1347">
        <f t="shared" si="21"/>
        <v>211678775</v>
      </c>
      <c r="I74" s="1348">
        <v>5</v>
      </c>
      <c r="J74" s="1349">
        <v>1047095</v>
      </c>
      <c r="K74" s="1348">
        <v>38.200000000000003</v>
      </c>
      <c r="L74" s="1349">
        <v>7999601</v>
      </c>
      <c r="M74" s="1350">
        <v>0</v>
      </c>
      <c r="N74" s="1350">
        <v>0</v>
      </c>
      <c r="O74" s="1350">
        <v>4</v>
      </c>
      <c r="P74" s="1349">
        <v>0</v>
      </c>
      <c r="Q74" s="1295">
        <f>J74+L74+P74</f>
        <v>9046696</v>
      </c>
      <c r="R74" s="1350">
        <v>36</v>
      </c>
      <c r="S74" s="1349">
        <v>7534607</v>
      </c>
      <c r="T74" s="1350">
        <v>0</v>
      </c>
      <c r="U74" s="1350">
        <v>0</v>
      </c>
      <c r="V74" s="1350">
        <v>4</v>
      </c>
      <c r="W74" s="1349">
        <v>0</v>
      </c>
      <c r="X74" s="1295">
        <f>S74+W74</f>
        <v>7534607</v>
      </c>
      <c r="Y74" s="1351">
        <f t="shared" si="32"/>
        <v>79.2</v>
      </c>
      <c r="Z74" s="1295">
        <f t="shared" si="32"/>
        <v>16581303</v>
      </c>
      <c r="AA74" s="1295">
        <f>P74+W74</f>
        <v>0</v>
      </c>
      <c r="AB74" s="1352">
        <f t="shared" si="29"/>
        <v>35.590000000000003</v>
      </c>
      <c r="AC74" s="1353">
        <f t="shared" si="30"/>
        <v>42.74</v>
      </c>
      <c r="AD74" s="1354">
        <f t="shared" si="31"/>
        <v>78.33</v>
      </c>
      <c r="AE74" s="1355">
        <f>X74+Q74</f>
        <v>16581303</v>
      </c>
      <c r="AF74" s="1356">
        <v>0.02</v>
      </c>
      <c r="AG74" s="1357">
        <v>10177401</v>
      </c>
      <c r="AH74" s="1357">
        <v>0</v>
      </c>
      <c r="AI74" s="1358">
        <f>AG74+AH74</f>
        <v>10177401</v>
      </c>
      <c r="AJ74" s="1355">
        <v>530492300</v>
      </c>
      <c r="AK74" s="1355">
        <f t="shared" si="28"/>
        <v>508870050</v>
      </c>
      <c r="AL74" s="1359">
        <f>(AK74-AJ74)/AJ74</f>
        <v>-4.0758838535450939E-2</v>
      </c>
      <c r="AM74" s="1360">
        <f>IF((AK74-AJ74)/AJ74&gt;$AM$5,AJ74*(1+$AM$5),AK74)</f>
        <v>508870050</v>
      </c>
      <c r="AN74" s="1346">
        <f t="shared" si="25"/>
        <v>0.02</v>
      </c>
      <c r="AO74" s="1346">
        <f t="shared" si="26"/>
        <v>0</v>
      </c>
      <c r="AP74" s="1355">
        <v>84644</v>
      </c>
      <c r="AQ74" s="1355">
        <f>AP74+AE74+AI74</f>
        <v>26843348</v>
      </c>
      <c r="AR74" s="1355">
        <f>ROUND(AQ74/'Table 3 Levels 1&amp;2'!C70,2)</f>
        <v>5102.33</v>
      </c>
    </row>
    <row r="75" spans="1:44" s="60" customFormat="1">
      <c r="A75" s="1344">
        <v>68</v>
      </c>
      <c r="B75" s="1345" t="s">
        <v>28</v>
      </c>
      <c r="C75" s="1295">
        <v>64906000</v>
      </c>
      <c r="D75" s="1295">
        <v>21685250</v>
      </c>
      <c r="E75" s="1295">
        <f>C75-D75</f>
        <v>43220750</v>
      </c>
      <c r="F75" s="1295">
        <v>40867730</v>
      </c>
      <c r="G75" s="1346">
        <f>(E75-F75)/F75</f>
        <v>5.7576479045936733E-2</v>
      </c>
      <c r="H75" s="1347">
        <f t="shared" si="21"/>
        <v>43220750</v>
      </c>
      <c r="I75" s="1348">
        <v>5</v>
      </c>
      <c r="J75" s="1349">
        <v>215217</v>
      </c>
      <c r="K75" s="1348">
        <v>38.200000000000003</v>
      </c>
      <c r="L75" s="1349">
        <v>1602588</v>
      </c>
      <c r="M75" s="1350">
        <v>0</v>
      </c>
      <c r="N75" s="1350">
        <v>0</v>
      </c>
      <c r="O75" s="1350">
        <v>0</v>
      </c>
      <c r="P75" s="1349">
        <v>0</v>
      </c>
      <c r="Q75" s="1295">
        <f>J75+L75+P75</f>
        <v>1817805</v>
      </c>
      <c r="R75" s="1350">
        <v>0</v>
      </c>
      <c r="S75" s="1349">
        <v>0</v>
      </c>
      <c r="T75" s="1350">
        <v>0</v>
      </c>
      <c r="U75" s="1350">
        <v>0</v>
      </c>
      <c r="V75" s="1350">
        <v>0</v>
      </c>
      <c r="W75" s="1349">
        <v>0</v>
      </c>
      <c r="X75" s="1295">
        <f>S75+W75</f>
        <v>0</v>
      </c>
      <c r="Y75" s="1351">
        <f t="shared" si="32"/>
        <v>43.2</v>
      </c>
      <c r="Z75" s="1295">
        <f t="shared" si="32"/>
        <v>1817805</v>
      </c>
      <c r="AA75" s="1295">
        <f>P75+W75</f>
        <v>0</v>
      </c>
      <c r="AB75" s="1352">
        <f t="shared" si="29"/>
        <v>0</v>
      </c>
      <c r="AC75" s="1353">
        <f t="shared" si="30"/>
        <v>42.06</v>
      </c>
      <c r="AD75" s="1354">
        <f t="shared" si="31"/>
        <v>42.06</v>
      </c>
      <c r="AE75" s="1355">
        <f>X75+Q75</f>
        <v>1817805</v>
      </c>
      <c r="AF75" s="1356">
        <v>0.02</v>
      </c>
      <c r="AG75" s="1357">
        <v>2971848</v>
      </c>
      <c r="AH75" s="1357">
        <v>0</v>
      </c>
      <c r="AI75" s="1358">
        <f>AG75+AH75</f>
        <v>2971848</v>
      </c>
      <c r="AJ75" s="1355">
        <v>153223850</v>
      </c>
      <c r="AK75" s="1355">
        <f t="shared" si="28"/>
        <v>148592400</v>
      </c>
      <c r="AL75" s="1356">
        <f>(AK75-AJ75)/AJ75</f>
        <v>-3.0226691210278295E-2</v>
      </c>
      <c r="AM75" s="1355">
        <f>IF((AK75-AJ75)/AJ75&gt;$AM$5,AJ75*(1+$AM$5),AK75)</f>
        <v>148592400</v>
      </c>
      <c r="AN75" s="1346">
        <f t="shared" si="25"/>
        <v>0.02</v>
      </c>
      <c r="AO75" s="1346">
        <f t="shared" si="26"/>
        <v>0</v>
      </c>
      <c r="AP75" s="1355">
        <v>45978</v>
      </c>
      <c r="AQ75" s="1355">
        <f>AP75+AE75+AI75</f>
        <v>4835631</v>
      </c>
      <c r="AR75" s="1355">
        <f>ROUND(AQ75/'Table 3 Levels 1&amp;2'!C71,2)</f>
        <v>3005.36</v>
      </c>
    </row>
    <row r="76" spans="1:44" s="92" customFormat="1">
      <c r="A76" s="86">
        <v>69</v>
      </c>
      <c r="B76" s="128" t="s">
        <v>183</v>
      </c>
      <c r="C76" s="62">
        <v>185369270</v>
      </c>
      <c r="D76" s="130">
        <v>64125650</v>
      </c>
      <c r="E76" s="130">
        <f>C76-D76</f>
        <v>121243620</v>
      </c>
      <c r="F76" s="130">
        <v>109834740</v>
      </c>
      <c r="G76" s="893">
        <f>(E76-F76)/F76</f>
        <v>0.10387314614665633</v>
      </c>
      <c r="H76" s="891">
        <f t="shared" si="21"/>
        <v>120818214.00000001</v>
      </c>
      <c r="I76" s="129">
        <v>4.58</v>
      </c>
      <c r="J76" s="62">
        <v>503278</v>
      </c>
      <c r="K76" s="129">
        <v>35.21</v>
      </c>
      <c r="L76" s="62">
        <v>3875751</v>
      </c>
      <c r="M76" s="274">
        <v>0</v>
      </c>
      <c r="N76" s="274">
        <v>0</v>
      </c>
      <c r="O76" s="66">
        <v>0</v>
      </c>
      <c r="P76" s="62">
        <v>0</v>
      </c>
      <c r="Q76" s="275">
        <f>J76+L76+P76</f>
        <v>4379029</v>
      </c>
      <c r="R76" s="272">
        <v>23.65</v>
      </c>
      <c r="S76" s="62">
        <v>2817519</v>
      </c>
      <c r="T76" s="274">
        <v>0</v>
      </c>
      <c r="U76" s="274">
        <v>0</v>
      </c>
      <c r="V76" s="66">
        <v>0</v>
      </c>
      <c r="W76" s="62">
        <v>0</v>
      </c>
      <c r="X76" s="275">
        <f>S76+W76</f>
        <v>2817519</v>
      </c>
      <c r="Y76" s="129">
        <f>I76+K76+R76</f>
        <v>63.44</v>
      </c>
      <c r="Z76" s="62">
        <f>J76+L76+S76</f>
        <v>7196548</v>
      </c>
      <c r="AA76" s="62">
        <f>P76+W76</f>
        <v>0</v>
      </c>
      <c r="AB76" s="276">
        <f t="shared" si="29"/>
        <v>23.24</v>
      </c>
      <c r="AC76" s="277">
        <f t="shared" si="30"/>
        <v>36.119999999999997</v>
      </c>
      <c r="AD76" s="278">
        <f t="shared" si="31"/>
        <v>59.36</v>
      </c>
      <c r="AE76" s="62">
        <f>X76+Q76</f>
        <v>7196548</v>
      </c>
      <c r="AF76" s="125">
        <v>2.5000000000000001E-2</v>
      </c>
      <c r="AG76" s="200">
        <v>5704911</v>
      </c>
      <c r="AH76" s="200">
        <v>1425843</v>
      </c>
      <c r="AI76" s="279">
        <f>AG76+AH76</f>
        <v>7130754</v>
      </c>
      <c r="AJ76" s="62">
        <v>292941480</v>
      </c>
      <c r="AK76" s="62">
        <f t="shared" si="28"/>
        <v>285230160</v>
      </c>
      <c r="AL76" s="125">
        <f>(AK76-AJ76)/AJ76</f>
        <v>-2.6323755857313207E-2</v>
      </c>
      <c r="AM76" s="62">
        <f>IF((AK76-AJ76)/AJ76&gt;$AM$5,AJ76*(1+$AM$5),AK76)</f>
        <v>285230160</v>
      </c>
      <c r="AN76" s="106">
        <f t="shared" si="25"/>
        <v>2.0001079128518527E-2</v>
      </c>
      <c r="AO76" s="106">
        <f t="shared" si="26"/>
        <v>4.9989208714814734E-3</v>
      </c>
      <c r="AP76" s="62">
        <v>205815</v>
      </c>
      <c r="AQ76" s="62">
        <f>AP76+AE76+AI76</f>
        <v>14533117</v>
      </c>
      <c r="AR76" s="62">
        <f>ROUND(AQ76/'Table 3 Levels 1&amp;2'!C72,2)</f>
        <v>3369.61</v>
      </c>
    </row>
    <row r="77" spans="1:44" s="51" customFormat="1" ht="13.8" thickBot="1">
      <c r="A77" s="222"/>
      <c r="B77" s="223" t="s">
        <v>78</v>
      </c>
      <c r="C77" s="127">
        <f>SUM(C8:C76)</f>
        <v>42949707719</v>
      </c>
      <c r="D77" s="127">
        <f>SUM(D8:D76)</f>
        <v>6930497684</v>
      </c>
      <c r="E77" s="127">
        <f>SUM(E8:E76)</f>
        <v>36019210035</v>
      </c>
      <c r="F77" s="224">
        <f>SUM(F8:F76)</f>
        <v>33914836668</v>
      </c>
      <c r="G77" s="458">
        <f>(E77-F77)/F77</f>
        <v>6.204875428415553E-2</v>
      </c>
      <c r="H77" s="459">
        <f>SUM(H8:H76)</f>
        <v>35814070376.900002</v>
      </c>
      <c r="I77" s="225">
        <v>5.09</v>
      </c>
      <c r="J77" s="127">
        <f>SUM(J8:J76)</f>
        <v>237160899</v>
      </c>
      <c r="K77" s="226">
        <v>24.24</v>
      </c>
      <c r="L77" s="127">
        <f>SUM(L8:L76)</f>
        <v>957637123</v>
      </c>
      <c r="M77" s="226">
        <v>0</v>
      </c>
      <c r="N77" s="226">
        <v>90.06</v>
      </c>
      <c r="O77" s="226">
        <f>SUM(O8:O76)</f>
        <v>136</v>
      </c>
      <c r="P77" s="127">
        <f>SUM(P8:P76)</f>
        <v>37701106</v>
      </c>
      <c r="Q77" s="127">
        <f>SUM(Q8:Q76)</f>
        <v>1232499128</v>
      </c>
      <c r="R77" s="281">
        <v>5.92</v>
      </c>
      <c r="S77" s="247">
        <f>SUM(S8:S76)</f>
        <v>155627980</v>
      </c>
      <c r="T77" s="281">
        <v>0</v>
      </c>
      <c r="U77" s="281">
        <v>70</v>
      </c>
      <c r="V77" s="281">
        <f>SUM(V8:V76)</f>
        <v>142</v>
      </c>
      <c r="W77" s="247">
        <f>SUM(W8:W76)</f>
        <v>87578240</v>
      </c>
      <c r="X77" s="127">
        <f>SUM(X8:X76)</f>
        <v>243206220</v>
      </c>
      <c r="Y77" s="226">
        <v>35.25</v>
      </c>
      <c r="Z77" s="127">
        <f>SUM(Z8:Z76)</f>
        <v>1350426002</v>
      </c>
      <c r="AA77" s="127">
        <f>SUM(AA8:AA76)</f>
        <v>125279346</v>
      </c>
      <c r="AB77" s="227">
        <f t="shared" si="29"/>
        <v>6.75</v>
      </c>
      <c r="AC77" s="228">
        <f t="shared" si="30"/>
        <v>34.22</v>
      </c>
      <c r="AD77" s="367">
        <f t="shared" si="31"/>
        <v>40.97</v>
      </c>
      <c r="AE77" s="127">
        <f>SUM(AE8:AE76)</f>
        <v>1475705348</v>
      </c>
      <c r="AF77" s="271">
        <f>ROUND(AI77/AK77,4)</f>
        <v>1.9800000000000002E-2</v>
      </c>
      <c r="AG77" s="366">
        <f>SUM(AG8:AG76)</f>
        <v>1643472873</v>
      </c>
      <c r="AH77" s="366">
        <f>SUM(AH8:AH76)</f>
        <v>70552999</v>
      </c>
      <c r="AI77" s="224">
        <f>SUM(AI8:AI76)</f>
        <v>1714025872</v>
      </c>
      <c r="AJ77" s="224">
        <f>SUM(AJ8:AJ76)</f>
        <v>84073022650</v>
      </c>
      <c r="AK77" s="224">
        <f>SUM(AK8:AK76)</f>
        <v>86678734432.25</v>
      </c>
      <c r="AL77" s="673">
        <f>(AK77-AJ77)/AJ77</f>
        <v>3.0993435231866259E-2</v>
      </c>
      <c r="AM77" s="224">
        <f>SUM(AM8:AM76)</f>
        <v>86095616017.25</v>
      </c>
      <c r="AN77" s="229">
        <f>ROUND(AG77/$AK77,4)</f>
        <v>1.9E-2</v>
      </c>
      <c r="AO77" s="229">
        <f>ROUND(AH77/$AK77,4)</f>
        <v>8.0000000000000004E-4</v>
      </c>
      <c r="AP77" s="247">
        <f>SUM(AP8:AP76)</f>
        <v>37327711.5</v>
      </c>
      <c r="AQ77" s="127">
        <f>SUM(AQ8:AQ76)</f>
        <v>3227058931.5</v>
      </c>
      <c r="AR77" s="127">
        <f>ROUND(AQ77/'Table 3 Levels 1&amp;2'!C73,2)</f>
        <v>4755.68</v>
      </c>
    </row>
    <row r="78" spans="1:44" ht="13.8" thickTop="1"/>
  </sheetData>
  <mergeCells count="50">
    <mergeCell ref="AR3:AR5"/>
    <mergeCell ref="AQ3:AQ5"/>
    <mergeCell ref="AI3:AI5"/>
    <mergeCell ref="AE3:AE5"/>
    <mergeCell ref="AJ4:AJ5"/>
    <mergeCell ref="AK4:AK5"/>
    <mergeCell ref="AF4:AF5"/>
    <mergeCell ref="AG4:AG5"/>
    <mergeCell ref="AH4:AH5"/>
    <mergeCell ref="AO4:AO5"/>
    <mergeCell ref="AP3:AP5"/>
    <mergeCell ref="AF3:AH3"/>
    <mergeCell ref="J4:J5"/>
    <mergeCell ref="S4:S5"/>
    <mergeCell ref="M4:M5"/>
    <mergeCell ref="N4:N5"/>
    <mergeCell ref="V4:V5"/>
    <mergeCell ref="W4:W5"/>
    <mergeCell ref="C2:D2"/>
    <mergeCell ref="I3:J3"/>
    <mergeCell ref="K3:P3"/>
    <mergeCell ref="C3:H3"/>
    <mergeCell ref="P4:P5"/>
    <mergeCell ref="R4:R5"/>
    <mergeCell ref="Q3:Q5"/>
    <mergeCell ref="R3:W3"/>
    <mergeCell ref="T4:T5"/>
    <mergeCell ref="U4:U5"/>
    <mergeCell ref="K4:K5"/>
    <mergeCell ref="L4:L5"/>
    <mergeCell ref="G4:G5"/>
    <mergeCell ref="I4:I5"/>
    <mergeCell ref="O4:O5"/>
    <mergeCell ref="A3:A5"/>
    <mergeCell ref="B3:B5"/>
    <mergeCell ref="C4:C5"/>
    <mergeCell ref="D4:D5"/>
    <mergeCell ref="F4:F5"/>
    <mergeCell ref="E4:E5"/>
    <mergeCell ref="X3:X5"/>
    <mergeCell ref="Y3:AD3"/>
    <mergeCell ref="AJ3:AO3"/>
    <mergeCell ref="AC4:AC5"/>
    <mergeCell ref="AD4:AD5"/>
    <mergeCell ref="AL4:AL5"/>
    <mergeCell ref="AN4:AN5"/>
    <mergeCell ref="Y4:Y5"/>
    <mergeCell ref="Z4:Z5"/>
    <mergeCell ref="AA4:AA5"/>
    <mergeCell ref="AB4:AB5"/>
  </mergeCells>
  <phoneticPr fontId="0" type="noConversion"/>
  <conditionalFormatting sqref="H8:H12 H76">
    <cfRule type="expression" dxfId="55" priority="56">
      <formula>G8&gt;$H$5</formula>
    </cfRule>
  </conditionalFormatting>
  <conditionalFormatting sqref="G8:G12 G76">
    <cfRule type="expression" dxfId="54" priority="55">
      <formula>G8&gt;$H$5</formula>
    </cfRule>
  </conditionalFormatting>
  <conditionalFormatting sqref="AL8:AL12 AL76">
    <cfRule type="expression" dxfId="53" priority="54">
      <formula>AL8&gt;$AM$5</formula>
    </cfRule>
  </conditionalFormatting>
  <conditionalFormatting sqref="AM8:AM12 AM76">
    <cfRule type="expression" dxfId="52" priority="53">
      <formula>AL8&gt;$AM$5</formula>
    </cfRule>
  </conditionalFormatting>
  <conditionalFormatting sqref="H13:H17">
    <cfRule type="expression" dxfId="51" priority="52">
      <formula>G13&gt;$H$5</formula>
    </cfRule>
  </conditionalFormatting>
  <conditionalFormatting sqref="G13:G17">
    <cfRule type="expression" dxfId="50" priority="51">
      <formula>G13&gt;$H$5</formula>
    </cfRule>
  </conditionalFormatting>
  <conditionalFormatting sqref="AL13:AL17">
    <cfRule type="expression" dxfId="49" priority="50">
      <formula>AL13&gt;$AM$5</formula>
    </cfRule>
  </conditionalFormatting>
  <conditionalFormatting sqref="AM13:AM17">
    <cfRule type="expression" dxfId="48" priority="49">
      <formula>AL13&gt;$AM$5</formula>
    </cfRule>
  </conditionalFormatting>
  <conditionalFormatting sqref="H18:H22">
    <cfRule type="expression" dxfId="47" priority="48">
      <formula>G18&gt;$H$5</formula>
    </cfRule>
  </conditionalFormatting>
  <conditionalFormatting sqref="G18:G22">
    <cfRule type="expression" dxfId="46" priority="47">
      <formula>G18&gt;$H$5</formula>
    </cfRule>
  </conditionalFormatting>
  <conditionalFormatting sqref="AL18:AL22">
    <cfRule type="expression" dxfId="45" priority="46">
      <formula>AL18&gt;$AM$5</formula>
    </cfRule>
  </conditionalFormatting>
  <conditionalFormatting sqref="AM18:AM22">
    <cfRule type="expression" dxfId="44" priority="45">
      <formula>AL18&gt;$AM$5</formula>
    </cfRule>
  </conditionalFormatting>
  <conditionalFormatting sqref="H23:H27">
    <cfRule type="expression" dxfId="43" priority="44">
      <formula>G23&gt;$H$5</formula>
    </cfRule>
  </conditionalFormatting>
  <conditionalFormatting sqref="G23:G27">
    <cfRule type="expression" dxfId="42" priority="43">
      <formula>G23&gt;$H$5</formula>
    </cfRule>
  </conditionalFormatting>
  <conditionalFormatting sqref="AL23:AL27">
    <cfRule type="expression" dxfId="41" priority="42">
      <formula>AL23&gt;$AM$5</formula>
    </cfRule>
  </conditionalFormatting>
  <conditionalFormatting sqref="AM23:AM27">
    <cfRule type="expression" dxfId="40" priority="41">
      <formula>AL23&gt;$AM$5</formula>
    </cfRule>
  </conditionalFormatting>
  <conditionalFormatting sqref="H28:H32">
    <cfRule type="expression" dxfId="39" priority="40">
      <formula>G28&gt;$H$5</formula>
    </cfRule>
  </conditionalFormatting>
  <conditionalFormatting sqref="G28:G32">
    <cfRule type="expression" dxfId="38" priority="39">
      <formula>G28&gt;$H$5</formula>
    </cfRule>
  </conditionalFormatting>
  <conditionalFormatting sqref="AL28:AL32">
    <cfRule type="expression" dxfId="37" priority="38">
      <formula>AL28&gt;$AM$5</formula>
    </cfRule>
  </conditionalFormatting>
  <conditionalFormatting sqref="AM28:AM32">
    <cfRule type="expression" dxfId="36" priority="37">
      <formula>AL28&gt;$AM$5</formula>
    </cfRule>
  </conditionalFormatting>
  <conditionalFormatting sqref="H33:H37">
    <cfRule type="expression" dxfId="35" priority="36">
      <formula>G33&gt;$H$5</formula>
    </cfRule>
  </conditionalFormatting>
  <conditionalFormatting sqref="G33:G37">
    <cfRule type="expression" dxfId="34" priority="35">
      <formula>G33&gt;$H$5</formula>
    </cfRule>
  </conditionalFormatting>
  <conditionalFormatting sqref="AL33:AL37">
    <cfRule type="expression" dxfId="33" priority="34">
      <formula>AL33&gt;$AM$5</formula>
    </cfRule>
  </conditionalFormatting>
  <conditionalFormatting sqref="AM33:AM37">
    <cfRule type="expression" dxfId="32" priority="33">
      <formula>AL33&gt;$AM$5</formula>
    </cfRule>
  </conditionalFormatting>
  <conditionalFormatting sqref="H38:H42">
    <cfRule type="expression" dxfId="31" priority="32">
      <formula>G38&gt;$H$5</formula>
    </cfRule>
  </conditionalFormatting>
  <conditionalFormatting sqref="G38:G42">
    <cfRule type="expression" dxfId="30" priority="31">
      <formula>G38&gt;$H$5</formula>
    </cfRule>
  </conditionalFormatting>
  <conditionalFormatting sqref="AL38:AL42">
    <cfRule type="expression" dxfId="29" priority="30">
      <formula>AL38&gt;$AM$5</formula>
    </cfRule>
  </conditionalFormatting>
  <conditionalFormatting sqref="AM38:AM42">
    <cfRule type="expression" dxfId="28" priority="29">
      <formula>AL38&gt;$AM$5</formula>
    </cfRule>
  </conditionalFormatting>
  <conditionalFormatting sqref="H43:H47">
    <cfRule type="expression" dxfId="27" priority="28">
      <formula>G43&gt;$H$5</formula>
    </cfRule>
  </conditionalFormatting>
  <conditionalFormatting sqref="G43:G47">
    <cfRule type="expression" dxfId="26" priority="27">
      <formula>G43&gt;$H$5</formula>
    </cfRule>
  </conditionalFormatting>
  <conditionalFormatting sqref="AL43:AL47">
    <cfRule type="expression" dxfId="25" priority="26">
      <formula>AL43&gt;$AM$5</formula>
    </cfRule>
  </conditionalFormatting>
  <conditionalFormatting sqref="AM43:AM47">
    <cfRule type="expression" dxfId="24" priority="25">
      <formula>AL43&gt;$AM$5</formula>
    </cfRule>
  </conditionalFormatting>
  <conditionalFormatting sqref="H48:H52">
    <cfRule type="expression" dxfId="23" priority="24">
      <formula>G48&gt;$H$5</formula>
    </cfRule>
  </conditionalFormatting>
  <conditionalFormatting sqref="G48:G52">
    <cfRule type="expression" dxfId="22" priority="23">
      <formula>G48&gt;$H$5</formula>
    </cfRule>
  </conditionalFormatting>
  <conditionalFormatting sqref="AL48:AL52">
    <cfRule type="expression" dxfId="21" priority="22">
      <formula>AL48&gt;$AM$5</formula>
    </cfRule>
  </conditionalFormatting>
  <conditionalFormatting sqref="AM48:AM52">
    <cfRule type="expression" dxfId="20" priority="21">
      <formula>AL48&gt;$AM$5</formula>
    </cfRule>
  </conditionalFormatting>
  <conditionalFormatting sqref="H53:H57">
    <cfRule type="expression" dxfId="19" priority="20">
      <formula>G53&gt;$H$5</formula>
    </cfRule>
  </conditionalFormatting>
  <conditionalFormatting sqref="G53:G57">
    <cfRule type="expression" dxfId="18" priority="19">
      <formula>G53&gt;$H$5</formula>
    </cfRule>
  </conditionalFormatting>
  <conditionalFormatting sqref="AL53:AL57">
    <cfRule type="expression" dxfId="17" priority="18">
      <formula>AL53&gt;$AM$5</formula>
    </cfRule>
  </conditionalFormatting>
  <conditionalFormatting sqref="AM53:AM57">
    <cfRule type="expression" dxfId="16" priority="17">
      <formula>AL53&gt;$AM$5</formula>
    </cfRule>
  </conditionalFormatting>
  <conditionalFormatting sqref="H58:H62">
    <cfRule type="expression" dxfId="15" priority="16">
      <formula>G58&gt;$H$5</formula>
    </cfRule>
  </conditionalFormatting>
  <conditionalFormatting sqref="G58:G62">
    <cfRule type="expression" dxfId="14" priority="15">
      <formula>G58&gt;$H$5</formula>
    </cfRule>
  </conditionalFormatting>
  <conditionalFormatting sqref="AL58:AL62">
    <cfRule type="expression" dxfId="13" priority="14">
      <formula>AL58&gt;$AM$5</formula>
    </cfRule>
  </conditionalFormatting>
  <conditionalFormatting sqref="AM58:AM62">
    <cfRule type="expression" dxfId="12" priority="13">
      <formula>AL58&gt;$AM$5</formula>
    </cfRule>
  </conditionalFormatting>
  <conditionalFormatting sqref="H63:H67">
    <cfRule type="expression" dxfId="11" priority="12">
      <formula>G63&gt;$H$5</formula>
    </cfRule>
  </conditionalFormatting>
  <conditionalFormatting sqref="G63:G67">
    <cfRule type="expression" dxfId="10" priority="11">
      <formula>G63&gt;$H$5</formula>
    </cfRule>
  </conditionalFormatting>
  <conditionalFormatting sqref="AL63:AL67">
    <cfRule type="expression" dxfId="9" priority="10">
      <formula>AL63&gt;$AM$5</formula>
    </cfRule>
  </conditionalFormatting>
  <conditionalFormatting sqref="AM63:AM67">
    <cfRule type="expression" dxfId="8" priority="9">
      <formula>AL63&gt;$AM$5</formula>
    </cfRule>
  </conditionalFormatting>
  <conditionalFormatting sqref="H68:H72">
    <cfRule type="expression" dxfId="7" priority="8">
      <formula>G68&gt;$H$5</formula>
    </cfRule>
  </conditionalFormatting>
  <conditionalFormatting sqref="G68:G72">
    <cfRule type="expression" dxfId="6" priority="7">
      <formula>G68&gt;$H$5</formula>
    </cfRule>
  </conditionalFormatting>
  <conditionalFormatting sqref="AL68:AL72">
    <cfRule type="expression" dxfId="5" priority="6">
      <formula>AL68&gt;$AM$5</formula>
    </cfRule>
  </conditionalFormatting>
  <conditionalFormatting sqref="AM68:AM72">
    <cfRule type="expression" dxfId="4" priority="5">
      <formula>AL68&gt;$AM$5</formula>
    </cfRule>
  </conditionalFormatting>
  <conditionalFormatting sqref="H73:H75">
    <cfRule type="expression" dxfId="3" priority="4">
      <formula>G73&gt;$H$5</formula>
    </cfRule>
  </conditionalFormatting>
  <conditionalFormatting sqref="G73:G75">
    <cfRule type="expression" dxfId="2" priority="3">
      <formula>G73&gt;$H$5</formula>
    </cfRule>
  </conditionalFormatting>
  <conditionalFormatting sqref="AL73:AL75">
    <cfRule type="expression" dxfId="1" priority="2">
      <formula>AL73&gt;$AM$5</formula>
    </cfRule>
  </conditionalFormatting>
  <conditionalFormatting sqref="AM73:AM75">
    <cfRule type="expression" dxfId="0" priority="1">
      <formula>AL73&gt;$AM$5</formula>
    </cfRule>
  </conditionalFormatting>
  <printOptions horizontalCentered="1"/>
  <pageMargins left="0.19" right="0.19" top="1.02" bottom="0.35" header="0.35" footer="0.27"/>
  <pageSetup paperSize="5" scale="80" firstPageNumber="97" fitToWidth="0" orientation="portrait" r:id="rId1"/>
  <headerFooter alignWithMargins="0">
    <oddHeader xml:space="preserve">&amp;L&amp;"Arial,Bold"&amp;18&amp;K000000Table 7: FY2014-15 Budget Letter &amp;20
&amp;18FY2012-2013 Local Property and Sales Tax Revenues </oddHeader>
    <oddFooter>&amp;R&amp;12&amp;P</oddFooter>
  </headerFooter>
  <colBreaks count="6" manualBreakCount="6">
    <brk id="8" min="2" max="76" man="1"/>
    <brk id="17" min="2" max="76" man="1"/>
    <brk id="24" min="2" max="76" man="1"/>
    <brk id="31" min="2" max="76" man="1"/>
    <brk id="35" min="2" max="76" man="1"/>
    <brk id="41" min="2" max="76"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77"/>
  <sheetViews>
    <sheetView view="pageBreakPreview" zoomScale="70" zoomScaleNormal="100" zoomScaleSheetLayoutView="70" workbookViewId="0">
      <pane xSplit="2" ySplit="2" topLeftCell="C3" activePane="bottomRight" state="frozen"/>
      <selection sqref="A1:H1"/>
      <selection pane="topRight" sqref="A1:H1"/>
      <selection pane="bottomLeft" sqref="A1:H1"/>
      <selection pane="bottomRight" sqref="A1:H1"/>
    </sheetView>
  </sheetViews>
  <sheetFormatPr defaultColWidth="8.88671875" defaultRowHeight="14.4"/>
  <cols>
    <col min="1" max="1" width="6.88671875" style="965" customWidth="1"/>
    <col min="2" max="2" width="31.33203125" style="965" bestFit="1" customWidth="1"/>
    <col min="3" max="3" width="12.109375" style="965" customWidth="1"/>
    <col min="4" max="4" width="8.44140625" style="965" customWidth="1"/>
    <col min="5" max="5" width="8.33203125" style="965" customWidth="1"/>
    <col min="6" max="6" width="9.6640625" style="965" customWidth="1"/>
    <col min="7" max="21" width="10.44140625" style="965" customWidth="1"/>
    <col min="22" max="22" width="9.88671875" style="965" bestFit="1" customWidth="1"/>
    <col min="23" max="23" width="9.5546875" style="965" bestFit="1" customWidth="1"/>
    <col min="24" max="25" width="9.33203125" style="965" customWidth="1"/>
    <col min="26" max="26" width="12.33203125" style="965" bestFit="1" customWidth="1"/>
    <col min="27" max="29" width="9.33203125" style="965" customWidth="1"/>
    <col min="30" max="30" width="12.109375" style="965" bestFit="1" customWidth="1"/>
    <col min="31" max="31" width="9.88671875" style="965" bestFit="1" customWidth="1"/>
    <col min="32" max="33" width="9.88671875" style="965" customWidth="1"/>
    <col min="34" max="34" width="10.109375" style="965" bestFit="1" customWidth="1"/>
    <col min="35" max="36" width="10" style="965" bestFit="1" customWidth="1"/>
    <col min="37" max="48" width="8.88671875" style="965" customWidth="1"/>
    <col min="49" max="16384" width="8.88671875" style="965"/>
  </cols>
  <sheetData>
    <row r="1" spans="1:36" s="982" customFormat="1">
      <c r="A1" s="2438" t="s">
        <v>929</v>
      </c>
      <c r="B1" s="2438"/>
      <c r="C1" s="979"/>
      <c r="D1" s="980"/>
      <c r="E1" s="980"/>
      <c r="F1" s="980"/>
      <c r="G1" s="980"/>
      <c r="H1" s="980"/>
      <c r="I1" s="980"/>
      <c r="J1" s="980"/>
      <c r="K1" s="980"/>
      <c r="L1" s="980"/>
      <c r="M1" s="980"/>
      <c r="N1" s="980"/>
      <c r="O1" s="980"/>
      <c r="P1" s="980"/>
      <c r="Q1" s="980"/>
      <c r="R1" s="981"/>
      <c r="S1" s="981"/>
      <c r="T1" s="981"/>
      <c r="U1" s="981"/>
      <c r="V1" s="981"/>
      <c r="W1" s="966"/>
      <c r="AH1" s="980"/>
      <c r="AI1" s="980"/>
      <c r="AJ1" s="980"/>
    </row>
    <row r="2" spans="1:36" ht="116.25" customHeight="1">
      <c r="A2" s="1466" t="s">
        <v>173</v>
      </c>
      <c r="B2" s="1466" t="s">
        <v>203</v>
      </c>
      <c r="C2" s="1466" t="s">
        <v>936</v>
      </c>
      <c r="D2" s="1467" t="s">
        <v>391</v>
      </c>
      <c r="E2" s="1467" t="s">
        <v>392</v>
      </c>
      <c r="F2" s="1467" t="s">
        <v>393</v>
      </c>
      <c r="G2" s="1468" t="s">
        <v>397</v>
      </c>
      <c r="H2" s="1468" t="s">
        <v>398</v>
      </c>
      <c r="I2" s="1468" t="s">
        <v>399</v>
      </c>
      <c r="J2" s="1468" t="s">
        <v>400</v>
      </c>
      <c r="K2" s="1468" t="s">
        <v>401</v>
      </c>
      <c r="L2" s="1468" t="s">
        <v>402</v>
      </c>
      <c r="M2" s="1468" t="s">
        <v>403</v>
      </c>
      <c r="N2" s="1468" t="s">
        <v>404</v>
      </c>
      <c r="O2" s="1468" t="s">
        <v>405</v>
      </c>
      <c r="P2" s="1468" t="s">
        <v>406</v>
      </c>
      <c r="Q2" s="1468" t="s">
        <v>871</v>
      </c>
      <c r="R2" s="1468" t="s">
        <v>872</v>
      </c>
      <c r="S2" s="1468" t="s">
        <v>873</v>
      </c>
      <c r="T2" s="1468" t="s">
        <v>874</v>
      </c>
      <c r="U2" s="1468" t="s">
        <v>875</v>
      </c>
      <c r="V2" s="1468" t="s">
        <v>876</v>
      </c>
      <c r="W2" s="1469" t="s">
        <v>930</v>
      </c>
      <c r="X2" s="1468" t="s">
        <v>974</v>
      </c>
      <c r="Y2" s="1468" t="s">
        <v>975</v>
      </c>
      <c r="Z2" s="1468" t="s">
        <v>976</v>
      </c>
      <c r="AA2" s="1468" t="s">
        <v>394</v>
      </c>
      <c r="AB2" s="1468" t="s">
        <v>395</v>
      </c>
      <c r="AC2" s="1468" t="s">
        <v>396</v>
      </c>
      <c r="AD2" s="1468" t="s">
        <v>977</v>
      </c>
      <c r="AE2" s="1468" t="s">
        <v>973</v>
      </c>
      <c r="AF2" s="1468" t="s">
        <v>407</v>
      </c>
      <c r="AG2" s="1468" t="s">
        <v>408</v>
      </c>
      <c r="AH2" s="1470" t="s">
        <v>409</v>
      </c>
      <c r="AI2" s="1471" t="s">
        <v>410</v>
      </c>
      <c r="AJ2" s="1470" t="s">
        <v>978</v>
      </c>
    </row>
    <row r="3" spans="1:36" ht="12.75" customHeight="1">
      <c r="A3" s="1477" t="s">
        <v>223</v>
      </c>
      <c r="B3" s="1477" t="s">
        <v>411</v>
      </c>
      <c r="C3" s="1478">
        <v>9664</v>
      </c>
      <c r="D3" s="1478"/>
      <c r="E3" s="1478"/>
      <c r="F3" s="1478"/>
      <c r="G3" s="1478"/>
      <c r="H3" s="1478"/>
      <c r="I3" s="1478"/>
      <c r="J3" s="1478">
        <v>18</v>
      </c>
      <c r="K3" s="1478"/>
      <c r="L3" s="1478">
        <v>14</v>
      </c>
      <c r="M3" s="1478"/>
      <c r="N3" s="1478"/>
      <c r="O3" s="1478"/>
      <c r="P3" s="1478"/>
      <c r="Q3" s="1478"/>
      <c r="R3" s="1478"/>
      <c r="S3" s="1478"/>
      <c r="T3" s="1478"/>
      <c r="U3" s="1478"/>
      <c r="V3" s="1478"/>
      <c r="W3" s="1478">
        <f t="shared" ref="W3:W34" si="0">SUM(C3:V3)</f>
        <v>9696</v>
      </c>
      <c r="X3" s="1478"/>
      <c r="Y3" s="1478"/>
      <c r="Z3" s="1478"/>
      <c r="AA3" s="1478"/>
      <c r="AB3" s="1478"/>
      <c r="AC3" s="1478"/>
      <c r="AD3" s="1478"/>
      <c r="AE3" s="1478"/>
      <c r="AF3" s="1478">
        <v>7</v>
      </c>
      <c r="AG3" s="1478"/>
      <c r="AH3" s="1478"/>
      <c r="AI3" s="1478"/>
      <c r="AJ3" s="1478">
        <f t="shared" ref="AJ3:AJ34" si="1">SUM(W3:AI3)</f>
        <v>9703</v>
      </c>
    </row>
    <row r="4" spans="1:36" ht="12.75" customHeight="1">
      <c r="A4" s="1475" t="s">
        <v>412</v>
      </c>
      <c r="B4" s="1475" t="s">
        <v>413</v>
      </c>
      <c r="C4" s="1476">
        <v>4070</v>
      </c>
      <c r="D4" s="1476"/>
      <c r="E4" s="1476"/>
      <c r="F4" s="1476"/>
      <c r="G4" s="1476"/>
      <c r="H4" s="1476"/>
      <c r="I4" s="1476"/>
      <c r="J4" s="1476">
        <v>8</v>
      </c>
      <c r="K4" s="1476"/>
      <c r="L4" s="1476">
        <v>9</v>
      </c>
      <c r="M4" s="1476"/>
      <c r="N4" s="1476"/>
      <c r="O4" s="1476"/>
      <c r="P4" s="1476"/>
      <c r="Q4" s="1476"/>
      <c r="R4" s="1476"/>
      <c r="S4" s="1476"/>
      <c r="T4" s="1476"/>
      <c r="U4" s="1476"/>
      <c r="V4" s="1476"/>
      <c r="W4" s="1476">
        <f t="shared" si="0"/>
        <v>4087</v>
      </c>
      <c r="X4" s="1476"/>
      <c r="Y4" s="1476"/>
      <c r="Z4" s="1476"/>
      <c r="AA4" s="1476"/>
      <c r="AB4" s="1476"/>
      <c r="AC4" s="1476"/>
      <c r="AD4" s="1476"/>
      <c r="AE4" s="1476"/>
      <c r="AF4" s="1476">
        <v>1</v>
      </c>
      <c r="AG4" s="1476"/>
      <c r="AH4" s="1476"/>
      <c r="AI4" s="1476"/>
      <c r="AJ4" s="1476">
        <f t="shared" si="1"/>
        <v>4088</v>
      </c>
    </row>
    <row r="5" spans="1:36" ht="12.75" customHeight="1">
      <c r="A5" s="1475" t="s">
        <v>224</v>
      </c>
      <c r="B5" s="1475" t="s">
        <v>414</v>
      </c>
      <c r="C5" s="1476">
        <v>20853</v>
      </c>
      <c r="D5" s="1476"/>
      <c r="E5" s="1476"/>
      <c r="F5" s="1476"/>
      <c r="G5" s="1476"/>
      <c r="H5" s="1476"/>
      <c r="I5" s="1476"/>
      <c r="J5" s="1476">
        <v>53</v>
      </c>
      <c r="K5" s="1476"/>
      <c r="L5" s="1476">
        <v>43</v>
      </c>
      <c r="M5" s="1476"/>
      <c r="N5" s="1476"/>
      <c r="O5" s="1476"/>
      <c r="P5" s="1476"/>
      <c r="Q5" s="1476"/>
      <c r="R5" s="1476"/>
      <c r="S5" s="1476">
        <v>1</v>
      </c>
      <c r="T5" s="1476"/>
      <c r="U5" s="1476"/>
      <c r="V5" s="1476">
        <v>8</v>
      </c>
      <c r="W5" s="1476">
        <f t="shared" si="0"/>
        <v>20958</v>
      </c>
      <c r="X5" s="1476"/>
      <c r="Y5" s="1476"/>
      <c r="Z5" s="1476"/>
      <c r="AA5" s="1476"/>
      <c r="AB5" s="1476"/>
      <c r="AC5" s="1476"/>
      <c r="AD5" s="1476"/>
      <c r="AE5" s="1476">
        <v>2</v>
      </c>
      <c r="AF5" s="1476">
        <v>14</v>
      </c>
      <c r="AG5" s="1476">
        <v>1</v>
      </c>
      <c r="AH5" s="1476"/>
      <c r="AI5" s="1476"/>
      <c r="AJ5" s="1476">
        <f t="shared" si="1"/>
        <v>20975</v>
      </c>
    </row>
    <row r="6" spans="1:36" ht="12.75" customHeight="1">
      <c r="A6" s="1475" t="s">
        <v>225</v>
      </c>
      <c r="B6" s="1475" t="s">
        <v>415</v>
      </c>
      <c r="C6" s="1476">
        <v>3565</v>
      </c>
      <c r="D6" s="1476"/>
      <c r="E6" s="1476"/>
      <c r="F6" s="1476"/>
      <c r="G6" s="1476"/>
      <c r="H6" s="1476"/>
      <c r="I6" s="1476"/>
      <c r="J6" s="1476">
        <v>1</v>
      </c>
      <c r="K6" s="1476"/>
      <c r="L6" s="1476">
        <v>3</v>
      </c>
      <c r="M6" s="1476"/>
      <c r="N6" s="1476"/>
      <c r="O6" s="1476"/>
      <c r="P6" s="1476"/>
      <c r="Q6" s="1476"/>
      <c r="R6" s="1476"/>
      <c r="S6" s="1476"/>
      <c r="T6" s="1476"/>
      <c r="U6" s="1476"/>
      <c r="V6" s="1476"/>
      <c r="W6" s="1476">
        <f t="shared" si="0"/>
        <v>3569</v>
      </c>
      <c r="X6" s="1476"/>
      <c r="Y6" s="1476"/>
      <c r="Z6" s="1476"/>
      <c r="AA6" s="1476"/>
      <c r="AB6" s="1476"/>
      <c r="AC6" s="1476"/>
      <c r="AD6" s="1476"/>
      <c r="AE6" s="1476">
        <v>4</v>
      </c>
      <c r="AF6" s="1476"/>
      <c r="AG6" s="1476"/>
      <c r="AH6" s="1476"/>
      <c r="AI6" s="1476"/>
      <c r="AJ6" s="1476">
        <f t="shared" si="1"/>
        <v>3573</v>
      </c>
    </row>
    <row r="7" spans="1:36" ht="12.75" customHeight="1">
      <c r="A7" s="1473" t="s">
        <v>416</v>
      </c>
      <c r="B7" s="1473" t="s">
        <v>417</v>
      </c>
      <c r="C7" s="1474">
        <v>5610</v>
      </c>
      <c r="D7" s="1474"/>
      <c r="E7" s="1474"/>
      <c r="F7" s="1474"/>
      <c r="G7" s="1474"/>
      <c r="H7" s="1474"/>
      <c r="I7" s="1474"/>
      <c r="J7" s="1474">
        <v>28</v>
      </c>
      <c r="K7" s="1474"/>
      <c r="L7" s="1474">
        <v>12</v>
      </c>
      <c r="M7" s="1474"/>
      <c r="N7" s="1474"/>
      <c r="O7" s="1474"/>
      <c r="P7" s="1474"/>
      <c r="Q7" s="1474"/>
      <c r="R7" s="1474"/>
      <c r="S7" s="1474"/>
      <c r="T7" s="1474"/>
      <c r="U7" s="1474"/>
      <c r="V7" s="1474"/>
      <c r="W7" s="1474">
        <f t="shared" si="0"/>
        <v>5650</v>
      </c>
      <c r="X7" s="1474"/>
      <c r="Y7" s="1474"/>
      <c r="Z7" s="1474"/>
      <c r="AA7" s="1474">
        <v>709</v>
      </c>
      <c r="AB7" s="1474"/>
      <c r="AC7" s="1474"/>
      <c r="AD7" s="1474"/>
      <c r="AE7" s="1474"/>
      <c r="AF7" s="1474">
        <v>3</v>
      </c>
      <c r="AG7" s="1474"/>
      <c r="AH7" s="1474"/>
      <c r="AI7" s="1474"/>
      <c r="AJ7" s="1474">
        <f t="shared" si="1"/>
        <v>6362</v>
      </c>
    </row>
    <row r="8" spans="1:36" ht="12.75" customHeight="1">
      <c r="A8" s="1477" t="s">
        <v>226</v>
      </c>
      <c r="B8" s="1477" t="s">
        <v>418</v>
      </c>
      <c r="C8" s="1478">
        <v>5861</v>
      </c>
      <c r="D8" s="1478"/>
      <c r="E8" s="1478"/>
      <c r="F8" s="1478"/>
      <c r="G8" s="1478"/>
      <c r="H8" s="1478"/>
      <c r="I8" s="1478"/>
      <c r="J8" s="1478">
        <v>21</v>
      </c>
      <c r="K8" s="1478"/>
      <c r="L8" s="1478">
        <v>10</v>
      </c>
      <c r="M8" s="1478"/>
      <c r="N8" s="1478"/>
      <c r="O8" s="1478"/>
      <c r="P8" s="1478"/>
      <c r="Q8" s="1478"/>
      <c r="R8" s="1478"/>
      <c r="S8" s="1478"/>
      <c r="T8" s="1478"/>
      <c r="U8" s="1478"/>
      <c r="V8" s="1478"/>
      <c r="W8" s="1478">
        <f t="shared" si="0"/>
        <v>5892</v>
      </c>
      <c r="X8" s="1478"/>
      <c r="Y8" s="1478"/>
      <c r="Z8" s="1478"/>
      <c r="AA8" s="1478"/>
      <c r="AB8" s="1478"/>
      <c r="AC8" s="1478"/>
      <c r="AD8" s="1478"/>
      <c r="AE8" s="1478"/>
      <c r="AF8" s="1478">
        <v>4</v>
      </c>
      <c r="AG8" s="1478"/>
      <c r="AH8" s="1478"/>
      <c r="AI8" s="1478"/>
      <c r="AJ8" s="1478">
        <f t="shared" si="1"/>
        <v>5896</v>
      </c>
    </row>
    <row r="9" spans="1:36" ht="12.75" customHeight="1">
      <c r="A9" s="1475" t="s">
        <v>227</v>
      </c>
      <c r="B9" s="1475" t="s">
        <v>419</v>
      </c>
      <c r="C9" s="1476">
        <v>2178</v>
      </c>
      <c r="D9" s="1476"/>
      <c r="E9" s="1476"/>
      <c r="F9" s="1476"/>
      <c r="G9" s="1476"/>
      <c r="H9" s="1476"/>
      <c r="I9" s="1476"/>
      <c r="J9" s="1476">
        <v>6</v>
      </c>
      <c r="K9" s="1476"/>
      <c r="L9" s="1476">
        <v>6</v>
      </c>
      <c r="M9" s="1476"/>
      <c r="N9" s="1476"/>
      <c r="O9" s="1476"/>
      <c r="P9" s="1476"/>
      <c r="Q9" s="1476"/>
      <c r="R9" s="1476"/>
      <c r="S9" s="1476"/>
      <c r="T9" s="1476"/>
      <c r="U9" s="1476"/>
      <c r="V9" s="1476"/>
      <c r="W9" s="1476">
        <f t="shared" si="0"/>
        <v>2190</v>
      </c>
      <c r="X9" s="1476"/>
      <c r="Y9" s="1476"/>
      <c r="Z9" s="1476"/>
      <c r="AA9" s="1476"/>
      <c r="AB9" s="1476"/>
      <c r="AC9" s="1476"/>
      <c r="AD9" s="1476"/>
      <c r="AE9" s="1476"/>
      <c r="AF9" s="1476"/>
      <c r="AG9" s="1476"/>
      <c r="AH9" s="1476"/>
      <c r="AI9" s="1476"/>
      <c r="AJ9" s="1476">
        <f t="shared" si="1"/>
        <v>2190</v>
      </c>
    </row>
    <row r="10" spans="1:36" ht="12.75" customHeight="1">
      <c r="A10" s="1475" t="s">
        <v>228</v>
      </c>
      <c r="B10" s="1475" t="s">
        <v>420</v>
      </c>
      <c r="C10" s="1476">
        <v>21455</v>
      </c>
      <c r="D10" s="1476"/>
      <c r="E10" s="1476"/>
      <c r="F10" s="1476"/>
      <c r="G10" s="1476"/>
      <c r="H10" s="1476"/>
      <c r="I10" s="1476"/>
      <c r="J10" s="1476">
        <v>68</v>
      </c>
      <c r="K10" s="1476"/>
      <c r="L10" s="1476">
        <v>39</v>
      </c>
      <c r="M10" s="1476"/>
      <c r="N10" s="1476"/>
      <c r="O10" s="1476"/>
      <c r="P10" s="1476"/>
      <c r="Q10" s="1476"/>
      <c r="R10" s="1476"/>
      <c r="S10" s="1476"/>
      <c r="T10" s="1476"/>
      <c r="U10" s="1476"/>
      <c r="V10" s="1476"/>
      <c r="W10" s="1476">
        <f t="shared" si="0"/>
        <v>21562</v>
      </c>
      <c r="X10" s="1476"/>
      <c r="Y10" s="1476"/>
      <c r="Z10" s="1476"/>
      <c r="AA10" s="1476"/>
      <c r="AB10" s="1476"/>
      <c r="AC10" s="1476"/>
      <c r="AD10" s="1476"/>
      <c r="AE10" s="1476"/>
      <c r="AF10" s="1476">
        <v>12</v>
      </c>
      <c r="AG10" s="1476"/>
      <c r="AH10" s="1476"/>
      <c r="AI10" s="1476"/>
      <c r="AJ10" s="1476">
        <f t="shared" si="1"/>
        <v>21574</v>
      </c>
    </row>
    <row r="11" spans="1:36" ht="12.75" customHeight="1">
      <c r="A11" s="1475" t="s">
        <v>229</v>
      </c>
      <c r="B11" s="1475" t="s">
        <v>421</v>
      </c>
      <c r="C11" s="1476">
        <v>39798</v>
      </c>
      <c r="D11" s="1476">
        <v>508</v>
      </c>
      <c r="E11" s="1476"/>
      <c r="F11" s="1476">
        <v>143</v>
      </c>
      <c r="G11" s="1476"/>
      <c r="H11" s="1476"/>
      <c r="I11" s="1476"/>
      <c r="J11" s="1476">
        <v>101</v>
      </c>
      <c r="K11" s="1476"/>
      <c r="L11" s="1476">
        <v>65</v>
      </c>
      <c r="M11" s="1476"/>
      <c r="N11" s="1476"/>
      <c r="O11" s="1476"/>
      <c r="P11" s="1476"/>
      <c r="Q11" s="1476"/>
      <c r="R11" s="1476"/>
      <c r="S11" s="1476"/>
      <c r="T11" s="1476"/>
      <c r="U11" s="1476"/>
      <c r="V11" s="1476"/>
      <c r="W11" s="1476">
        <f t="shared" si="0"/>
        <v>40615</v>
      </c>
      <c r="X11" s="1476"/>
      <c r="Y11" s="1476"/>
      <c r="Z11" s="1476"/>
      <c r="AA11" s="1476"/>
      <c r="AB11" s="1476"/>
      <c r="AC11" s="1476"/>
      <c r="AD11" s="1476"/>
      <c r="AE11" s="1476"/>
      <c r="AF11" s="1476">
        <v>2</v>
      </c>
      <c r="AG11" s="1476"/>
      <c r="AH11" s="1476"/>
      <c r="AI11" s="1476"/>
      <c r="AJ11" s="1476">
        <f t="shared" si="1"/>
        <v>40617</v>
      </c>
    </row>
    <row r="12" spans="1:36" ht="12.75" customHeight="1">
      <c r="A12" s="1473" t="s">
        <v>230</v>
      </c>
      <c r="B12" s="1473" t="s">
        <v>422</v>
      </c>
      <c r="C12" s="1474">
        <v>30696</v>
      </c>
      <c r="D12" s="1474"/>
      <c r="E12" s="1474"/>
      <c r="F12" s="1474"/>
      <c r="G12" s="1474">
        <v>671</v>
      </c>
      <c r="H12" s="1474"/>
      <c r="I12" s="1474"/>
      <c r="J12" s="1474">
        <v>78</v>
      </c>
      <c r="K12" s="1474"/>
      <c r="L12" s="1474">
        <v>47</v>
      </c>
      <c r="M12" s="1474">
        <v>865</v>
      </c>
      <c r="N12" s="1474"/>
      <c r="O12" s="1474"/>
      <c r="P12" s="1474"/>
      <c r="Q12" s="1474"/>
      <c r="R12" s="1474"/>
      <c r="S12" s="1474"/>
      <c r="T12" s="1474"/>
      <c r="U12" s="1474"/>
      <c r="V12" s="1474"/>
      <c r="W12" s="1474">
        <f t="shared" si="0"/>
        <v>32357</v>
      </c>
      <c r="X12" s="1474"/>
      <c r="Y12" s="1474"/>
      <c r="Z12" s="1474"/>
      <c r="AA12" s="1474"/>
      <c r="AB12" s="1474"/>
      <c r="AC12" s="1474"/>
      <c r="AD12" s="1474"/>
      <c r="AE12" s="1474"/>
      <c r="AF12" s="1474">
        <v>9</v>
      </c>
      <c r="AG12" s="1474"/>
      <c r="AH12" s="1474"/>
      <c r="AI12" s="1474"/>
      <c r="AJ12" s="1474">
        <f t="shared" si="1"/>
        <v>32366</v>
      </c>
    </row>
    <row r="13" spans="1:36" ht="12.75" customHeight="1">
      <c r="A13" s="1477" t="s">
        <v>231</v>
      </c>
      <c r="B13" s="1477" t="s">
        <v>423</v>
      </c>
      <c r="C13" s="1478">
        <v>1564</v>
      </c>
      <c r="D13" s="1478"/>
      <c r="E13" s="1478"/>
      <c r="F13" s="1478"/>
      <c r="G13" s="1478"/>
      <c r="H13" s="1478"/>
      <c r="I13" s="1478"/>
      <c r="J13" s="1478">
        <v>4</v>
      </c>
      <c r="K13" s="1478"/>
      <c r="L13" s="1478">
        <v>1</v>
      </c>
      <c r="M13" s="1478"/>
      <c r="N13" s="1478"/>
      <c r="O13" s="1478"/>
      <c r="P13" s="1478"/>
      <c r="Q13" s="1478"/>
      <c r="R13" s="1478"/>
      <c r="S13" s="1478"/>
      <c r="T13" s="1478"/>
      <c r="U13" s="1478"/>
      <c r="V13" s="1478"/>
      <c r="W13" s="1478">
        <f t="shared" si="0"/>
        <v>1569</v>
      </c>
      <c r="X13" s="1478"/>
      <c r="Y13" s="1478"/>
      <c r="Z13" s="1478"/>
      <c r="AA13" s="1478"/>
      <c r="AB13" s="1478"/>
      <c r="AC13" s="1478"/>
      <c r="AD13" s="1478"/>
      <c r="AE13" s="1478"/>
      <c r="AF13" s="1478">
        <v>1</v>
      </c>
      <c r="AG13" s="1478"/>
      <c r="AH13" s="1478"/>
      <c r="AI13" s="1478"/>
      <c r="AJ13" s="1478">
        <f t="shared" si="1"/>
        <v>1570</v>
      </c>
    </row>
    <row r="14" spans="1:36" ht="12.75" customHeight="1">
      <c r="A14" s="1475" t="s">
        <v>424</v>
      </c>
      <c r="B14" s="1475" t="s">
        <v>425</v>
      </c>
      <c r="C14" s="1476">
        <v>1217</v>
      </c>
      <c r="D14" s="1476"/>
      <c r="E14" s="1476"/>
      <c r="F14" s="1476"/>
      <c r="G14" s="1476"/>
      <c r="H14" s="1476"/>
      <c r="I14" s="1476"/>
      <c r="J14" s="1476">
        <v>2</v>
      </c>
      <c r="K14" s="1476"/>
      <c r="L14" s="1476">
        <v>1</v>
      </c>
      <c r="M14" s="1476"/>
      <c r="N14" s="1476"/>
      <c r="O14" s="1476"/>
      <c r="P14" s="1476"/>
      <c r="Q14" s="1476"/>
      <c r="R14" s="1476"/>
      <c r="S14" s="1476"/>
      <c r="T14" s="1476"/>
      <c r="U14" s="1476"/>
      <c r="V14" s="1476"/>
      <c r="W14" s="1476">
        <f t="shared" si="0"/>
        <v>1220</v>
      </c>
      <c r="X14" s="1476"/>
      <c r="Y14" s="1476"/>
      <c r="Z14" s="1476"/>
      <c r="AA14" s="1476"/>
      <c r="AB14" s="1476"/>
      <c r="AC14" s="1476"/>
      <c r="AD14" s="1476"/>
      <c r="AE14" s="1476"/>
      <c r="AF14" s="1476"/>
      <c r="AG14" s="1476"/>
      <c r="AH14" s="1476"/>
      <c r="AI14" s="1476"/>
      <c r="AJ14" s="1476">
        <f t="shared" si="1"/>
        <v>1220</v>
      </c>
    </row>
    <row r="15" spans="1:36" ht="12.75" customHeight="1">
      <c r="A15" s="1475" t="s">
        <v>426</v>
      </c>
      <c r="B15" s="1475" t="s">
        <v>427</v>
      </c>
      <c r="C15" s="1476">
        <v>1430</v>
      </c>
      <c r="D15" s="1476"/>
      <c r="E15" s="1476"/>
      <c r="F15" s="1476"/>
      <c r="G15" s="1476"/>
      <c r="H15" s="1476"/>
      <c r="I15" s="1476"/>
      <c r="J15" s="1476">
        <v>7</v>
      </c>
      <c r="K15" s="1476"/>
      <c r="L15" s="1476">
        <v>9</v>
      </c>
      <c r="M15" s="1476"/>
      <c r="N15" s="1476"/>
      <c r="O15" s="1476"/>
      <c r="P15" s="1476"/>
      <c r="Q15" s="1476"/>
      <c r="R15" s="1476"/>
      <c r="S15" s="1476"/>
      <c r="T15" s="1476">
        <v>41</v>
      </c>
      <c r="U15" s="1476"/>
      <c r="V15" s="1476"/>
      <c r="W15" s="1476">
        <f t="shared" si="0"/>
        <v>1487</v>
      </c>
      <c r="X15" s="1476"/>
      <c r="Y15" s="1476"/>
      <c r="Z15" s="1476"/>
      <c r="AA15" s="1476"/>
      <c r="AB15" s="1476"/>
      <c r="AC15" s="1476"/>
      <c r="AD15" s="1476"/>
      <c r="AE15" s="1476"/>
      <c r="AF15" s="1476"/>
      <c r="AG15" s="1476"/>
      <c r="AH15" s="1476"/>
      <c r="AI15" s="1476"/>
      <c r="AJ15" s="1476">
        <f t="shared" si="1"/>
        <v>1487</v>
      </c>
    </row>
    <row r="16" spans="1:36" ht="12.75" customHeight="1">
      <c r="A16" s="1475" t="s">
        <v>428</v>
      </c>
      <c r="B16" s="1475" t="s">
        <v>429</v>
      </c>
      <c r="C16" s="1476">
        <v>1661</v>
      </c>
      <c r="D16" s="1476"/>
      <c r="E16" s="1476"/>
      <c r="F16" s="1476"/>
      <c r="G16" s="1476"/>
      <c r="H16" s="1476">
        <v>2</v>
      </c>
      <c r="I16" s="1476"/>
      <c r="J16" s="1476"/>
      <c r="K16" s="1476"/>
      <c r="L16" s="1476">
        <v>17</v>
      </c>
      <c r="M16" s="1476"/>
      <c r="N16" s="1476"/>
      <c r="O16" s="1476"/>
      <c r="P16" s="1476"/>
      <c r="Q16" s="1476"/>
      <c r="R16" s="1476"/>
      <c r="S16" s="1476"/>
      <c r="T16" s="1476"/>
      <c r="U16" s="1476"/>
      <c r="V16" s="1476"/>
      <c r="W16" s="1476">
        <f t="shared" si="0"/>
        <v>1680</v>
      </c>
      <c r="X16" s="1476"/>
      <c r="Y16" s="1476"/>
      <c r="Z16" s="1476"/>
      <c r="AA16" s="1476"/>
      <c r="AB16" s="1476">
        <v>88</v>
      </c>
      <c r="AC16" s="1476"/>
      <c r="AD16" s="1476"/>
      <c r="AE16" s="1476"/>
      <c r="AF16" s="1476"/>
      <c r="AG16" s="1476"/>
      <c r="AH16" s="1476"/>
      <c r="AI16" s="1476"/>
      <c r="AJ16" s="1476">
        <f t="shared" si="1"/>
        <v>1768</v>
      </c>
    </row>
    <row r="17" spans="1:36" ht="12.75" customHeight="1">
      <c r="A17" s="1473" t="s">
        <v>430</v>
      </c>
      <c r="B17" s="1473" t="s">
        <v>431</v>
      </c>
      <c r="C17" s="1474">
        <v>3374</v>
      </c>
      <c r="D17" s="1474"/>
      <c r="E17" s="1474"/>
      <c r="F17" s="1474"/>
      <c r="G17" s="1474"/>
      <c r="H17" s="1474"/>
      <c r="I17" s="1474"/>
      <c r="J17" s="1474">
        <v>22</v>
      </c>
      <c r="K17" s="1474"/>
      <c r="L17" s="1474">
        <v>5</v>
      </c>
      <c r="M17" s="1474"/>
      <c r="N17" s="1474"/>
      <c r="O17" s="1474"/>
      <c r="P17" s="1474"/>
      <c r="Q17" s="1474"/>
      <c r="R17" s="1474"/>
      <c r="S17" s="1474"/>
      <c r="T17" s="1474">
        <v>269</v>
      </c>
      <c r="U17" s="1474"/>
      <c r="V17" s="1474"/>
      <c r="W17" s="1474">
        <f t="shared" si="0"/>
        <v>3670</v>
      </c>
      <c r="X17" s="1474"/>
      <c r="Y17" s="1474"/>
      <c r="Z17" s="1474"/>
      <c r="AA17" s="1474"/>
      <c r="AB17" s="1474"/>
      <c r="AC17" s="1474"/>
      <c r="AD17" s="1474"/>
      <c r="AE17" s="1474"/>
      <c r="AF17" s="1474">
        <v>1</v>
      </c>
      <c r="AG17" s="1474"/>
      <c r="AH17" s="1474"/>
      <c r="AI17" s="1474"/>
      <c r="AJ17" s="1474">
        <f t="shared" si="1"/>
        <v>3671</v>
      </c>
    </row>
    <row r="18" spans="1:36" ht="12.75" customHeight="1">
      <c r="A18" s="1477" t="s">
        <v>432</v>
      </c>
      <c r="B18" s="1477" t="s">
        <v>433</v>
      </c>
      <c r="C18" s="1478">
        <v>4848</v>
      </c>
      <c r="D18" s="1478"/>
      <c r="E18" s="1478"/>
      <c r="F18" s="1478"/>
      <c r="G18" s="1478"/>
      <c r="H18" s="1478"/>
      <c r="I18" s="1478"/>
      <c r="J18" s="1478">
        <v>19</v>
      </c>
      <c r="K18" s="1478"/>
      <c r="L18" s="1478">
        <v>4</v>
      </c>
      <c r="M18" s="1478"/>
      <c r="N18" s="1478"/>
      <c r="O18" s="1478"/>
      <c r="P18" s="1478"/>
      <c r="Q18" s="1478"/>
      <c r="R18" s="1478"/>
      <c r="S18" s="1478"/>
      <c r="T18" s="1478"/>
      <c r="U18" s="1478"/>
      <c r="V18" s="1478"/>
      <c r="W18" s="1478">
        <f t="shared" si="0"/>
        <v>4871</v>
      </c>
      <c r="X18" s="1478"/>
      <c r="Y18" s="1478"/>
      <c r="Z18" s="1478"/>
      <c r="AA18" s="1478"/>
      <c r="AB18" s="1478"/>
      <c r="AC18" s="1478"/>
      <c r="AD18" s="1478"/>
      <c r="AE18" s="1478"/>
      <c r="AF18" s="1478">
        <v>2</v>
      </c>
      <c r="AG18" s="1478"/>
      <c r="AH18" s="1478"/>
      <c r="AI18" s="1478"/>
      <c r="AJ18" s="1478">
        <f t="shared" si="1"/>
        <v>4873</v>
      </c>
    </row>
    <row r="19" spans="1:36" ht="12.75" customHeight="1">
      <c r="A19" s="1475" t="s">
        <v>232</v>
      </c>
      <c r="B19" s="1475" t="s">
        <v>434</v>
      </c>
      <c r="C19" s="1476">
        <v>40250</v>
      </c>
      <c r="D19" s="1476">
        <v>530</v>
      </c>
      <c r="E19" s="1476"/>
      <c r="F19" s="1476">
        <v>1593</v>
      </c>
      <c r="G19" s="1476"/>
      <c r="H19" s="1476"/>
      <c r="I19" s="1476">
        <v>262</v>
      </c>
      <c r="J19" s="1476">
        <v>104</v>
      </c>
      <c r="K19" s="1476"/>
      <c r="L19" s="1476">
        <v>85</v>
      </c>
      <c r="M19" s="1476"/>
      <c r="N19" s="1476"/>
      <c r="O19" s="1476"/>
      <c r="P19" s="1476"/>
      <c r="Q19" s="1476"/>
      <c r="R19" s="1476"/>
      <c r="S19" s="1476">
        <v>432</v>
      </c>
      <c r="T19" s="1476"/>
      <c r="U19" s="1476"/>
      <c r="V19" s="1476">
        <v>108</v>
      </c>
      <c r="W19" s="1476">
        <f t="shared" si="0"/>
        <v>43364</v>
      </c>
      <c r="X19" s="1476"/>
      <c r="Y19" s="1476"/>
      <c r="Z19" s="1476"/>
      <c r="AA19" s="1476"/>
      <c r="AB19" s="1476"/>
      <c r="AC19" s="1476"/>
      <c r="AD19" s="1476"/>
      <c r="AE19" s="1476"/>
      <c r="AF19" s="1476">
        <v>25</v>
      </c>
      <c r="AG19" s="1476"/>
      <c r="AH19" s="1476">
        <v>1394</v>
      </c>
      <c r="AI19" s="1476">
        <v>588</v>
      </c>
      <c r="AJ19" s="1476">
        <f t="shared" si="1"/>
        <v>45371</v>
      </c>
    </row>
    <row r="20" spans="1:36" ht="12.75" customHeight="1">
      <c r="A20" s="1475" t="s">
        <v>435</v>
      </c>
      <c r="B20" s="1475" t="s">
        <v>436</v>
      </c>
      <c r="C20" s="1476">
        <v>1048</v>
      </c>
      <c r="D20" s="1476"/>
      <c r="E20" s="1476"/>
      <c r="F20" s="1476"/>
      <c r="G20" s="1476"/>
      <c r="H20" s="1476"/>
      <c r="I20" s="1476"/>
      <c r="J20" s="1476">
        <v>3</v>
      </c>
      <c r="K20" s="1476"/>
      <c r="L20" s="1476"/>
      <c r="M20" s="1476"/>
      <c r="N20" s="1476"/>
      <c r="O20" s="1476"/>
      <c r="P20" s="1476"/>
      <c r="Q20" s="1476"/>
      <c r="R20" s="1476"/>
      <c r="S20" s="1476"/>
      <c r="T20" s="1476"/>
      <c r="U20" s="1476"/>
      <c r="V20" s="1476"/>
      <c r="W20" s="1476">
        <f t="shared" si="0"/>
        <v>1051</v>
      </c>
      <c r="X20" s="1476"/>
      <c r="Y20" s="1476"/>
      <c r="Z20" s="1476"/>
      <c r="AA20" s="1476"/>
      <c r="AB20" s="1476">
        <v>11</v>
      </c>
      <c r="AC20" s="1476"/>
      <c r="AD20" s="1476"/>
      <c r="AE20" s="1476"/>
      <c r="AF20" s="1476"/>
      <c r="AG20" s="1476"/>
      <c r="AH20" s="1476"/>
      <c r="AI20" s="1476"/>
      <c r="AJ20" s="1476">
        <f t="shared" si="1"/>
        <v>1062</v>
      </c>
    </row>
    <row r="21" spans="1:36" ht="12.75" customHeight="1">
      <c r="A21" s="1475" t="s">
        <v>233</v>
      </c>
      <c r="B21" s="1475" t="s">
        <v>437</v>
      </c>
      <c r="C21" s="1476">
        <v>1884</v>
      </c>
      <c r="D21" s="1476"/>
      <c r="E21" s="1476"/>
      <c r="F21" s="1476"/>
      <c r="G21" s="1476"/>
      <c r="H21" s="1476"/>
      <c r="I21" s="1476"/>
      <c r="J21" s="1476">
        <v>14</v>
      </c>
      <c r="K21" s="1476"/>
      <c r="L21" s="1476">
        <v>6</v>
      </c>
      <c r="M21" s="1476"/>
      <c r="N21" s="1476"/>
      <c r="O21" s="1476"/>
      <c r="P21" s="1476"/>
      <c r="Q21" s="1476"/>
      <c r="R21" s="1476"/>
      <c r="S21" s="1476">
        <v>3</v>
      </c>
      <c r="T21" s="1476"/>
      <c r="U21" s="1476"/>
      <c r="V21" s="1476">
        <v>2</v>
      </c>
      <c r="W21" s="1476">
        <f t="shared" si="0"/>
        <v>1909</v>
      </c>
      <c r="X21" s="1476"/>
      <c r="Y21" s="1476"/>
      <c r="Z21" s="1476"/>
      <c r="AA21" s="1476"/>
      <c r="AB21" s="1476"/>
      <c r="AC21" s="1476"/>
      <c r="AD21" s="1476"/>
      <c r="AE21" s="1476"/>
      <c r="AF21" s="1476"/>
      <c r="AG21" s="1476"/>
      <c r="AH21" s="1476"/>
      <c r="AI21" s="1476"/>
      <c r="AJ21" s="1476">
        <f t="shared" si="1"/>
        <v>1909</v>
      </c>
    </row>
    <row r="22" spans="1:36" ht="12.75" customHeight="1">
      <c r="A22" s="1473" t="s">
        <v>438</v>
      </c>
      <c r="B22" s="1473" t="s">
        <v>439</v>
      </c>
      <c r="C22" s="1474">
        <v>5840</v>
      </c>
      <c r="D22" s="1474"/>
      <c r="E22" s="1474"/>
      <c r="F22" s="1474"/>
      <c r="G22" s="1474"/>
      <c r="H22" s="1474"/>
      <c r="I22" s="1474"/>
      <c r="J22" s="1474">
        <v>8</v>
      </c>
      <c r="K22" s="1474"/>
      <c r="L22" s="1474">
        <v>6</v>
      </c>
      <c r="M22" s="1474"/>
      <c r="N22" s="1474"/>
      <c r="O22" s="1474"/>
      <c r="P22" s="1474"/>
      <c r="Q22" s="1474"/>
      <c r="R22" s="1474"/>
      <c r="S22" s="1474"/>
      <c r="T22" s="1474"/>
      <c r="U22" s="1474"/>
      <c r="V22" s="1474"/>
      <c r="W22" s="1474">
        <f t="shared" si="0"/>
        <v>5854</v>
      </c>
      <c r="X22" s="1474"/>
      <c r="Y22" s="1474"/>
      <c r="Z22" s="1474"/>
      <c r="AA22" s="1474"/>
      <c r="AB22" s="1474"/>
      <c r="AC22" s="1474"/>
      <c r="AD22" s="1474"/>
      <c r="AE22" s="1474"/>
      <c r="AF22" s="1474">
        <v>2</v>
      </c>
      <c r="AG22" s="1474"/>
      <c r="AH22" s="1474"/>
      <c r="AI22" s="1474"/>
      <c r="AJ22" s="1474">
        <f t="shared" si="1"/>
        <v>5856</v>
      </c>
    </row>
    <row r="23" spans="1:36" ht="12.75" customHeight="1">
      <c r="A23" s="1477" t="s">
        <v>234</v>
      </c>
      <c r="B23" s="1477" t="s">
        <v>440</v>
      </c>
      <c r="C23" s="1478">
        <v>2890</v>
      </c>
      <c r="D23" s="1478"/>
      <c r="E23" s="1478"/>
      <c r="F23" s="1478"/>
      <c r="G23" s="1478"/>
      <c r="H23" s="1478"/>
      <c r="I23" s="1478"/>
      <c r="J23" s="1478">
        <v>6</v>
      </c>
      <c r="K23" s="1478"/>
      <c r="L23" s="1478">
        <v>6</v>
      </c>
      <c r="M23" s="1478"/>
      <c r="N23" s="1478"/>
      <c r="O23" s="1478"/>
      <c r="P23" s="1478"/>
      <c r="Q23" s="1478"/>
      <c r="R23" s="1478"/>
      <c r="S23" s="1478"/>
      <c r="T23" s="1478">
        <v>2</v>
      </c>
      <c r="U23" s="1478"/>
      <c r="V23" s="1478"/>
      <c r="W23" s="1478">
        <f t="shared" si="0"/>
        <v>2904</v>
      </c>
      <c r="X23" s="1478"/>
      <c r="Y23" s="1478"/>
      <c r="Z23" s="1478"/>
      <c r="AA23" s="1478"/>
      <c r="AB23" s="1478">
        <v>81</v>
      </c>
      <c r="AC23" s="1478"/>
      <c r="AD23" s="1478"/>
      <c r="AE23" s="1478"/>
      <c r="AF23" s="1478">
        <v>2</v>
      </c>
      <c r="AG23" s="1478"/>
      <c r="AH23" s="1478"/>
      <c r="AI23" s="1478"/>
      <c r="AJ23" s="1478">
        <f t="shared" si="1"/>
        <v>2987</v>
      </c>
    </row>
    <row r="24" spans="1:36" ht="12.75" customHeight="1">
      <c r="A24" s="1475" t="s">
        <v>235</v>
      </c>
      <c r="B24" s="1475" t="s">
        <v>441</v>
      </c>
      <c r="C24" s="1476">
        <v>3126</v>
      </c>
      <c r="D24" s="1476"/>
      <c r="E24" s="1476"/>
      <c r="F24" s="1476"/>
      <c r="G24" s="1476"/>
      <c r="H24" s="1476"/>
      <c r="I24" s="1476"/>
      <c r="J24" s="1476">
        <v>8</v>
      </c>
      <c r="K24" s="1476"/>
      <c r="L24" s="1476">
        <v>9</v>
      </c>
      <c r="M24" s="1476"/>
      <c r="N24" s="1476"/>
      <c r="O24" s="1476"/>
      <c r="P24" s="1476"/>
      <c r="Q24" s="1476"/>
      <c r="R24" s="1476"/>
      <c r="S24" s="1476"/>
      <c r="T24" s="1476"/>
      <c r="U24" s="1476"/>
      <c r="V24" s="1476"/>
      <c r="W24" s="1476">
        <f t="shared" si="0"/>
        <v>3143</v>
      </c>
      <c r="X24" s="1476"/>
      <c r="Y24" s="1476"/>
      <c r="Z24" s="1476"/>
      <c r="AA24" s="1476"/>
      <c r="AB24" s="1476"/>
      <c r="AC24" s="1476"/>
      <c r="AD24" s="1476"/>
      <c r="AE24" s="1476"/>
      <c r="AF24" s="1476"/>
      <c r="AG24" s="1476"/>
      <c r="AH24" s="1476"/>
      <c r="AI24" s="1476"/>
      <c r="AJ24" s="1476">
        <f t="shared" si="1"/>
        <v>3143</v>
      </c>
    </row>
    <row r="25" spans="1:36" ht="12.75" customHeight="1">
      <c r="A25" s="1475" t="s">
        <v>236</v>
      </c>
      <c r="B25" s="1475" t="s">
        <v>442</v>
      </c>
      <c r="C25" s="1476">
        <v>13494</v>
      </c>
      <c r="D25" s="1476"/>
      <c r="E25" s="1476"/>
      <c r="F25" s="1476"/>
      <c r="G25" s="1476"/>
      <c r="H25" s="1476"/>
      <c r="I25" s="1476"/>
      <c r="J25" s="1476">
        <v>19</v>
      </c>
      <c r="K25" s="1476"/>
      <c r="L25" s="1476">
        <v>24</v>
      </c>
      <c r="M25" s="1476"/>
      <c r="N25" s="1476"/>
      <c r="O25" s="1476"/>
      <c r="P25" s="1476"/>
      <c r="Q25" s="1476"/>
      <c r="R25" s="1476"/>
      <c r="S25" s="1476"/>
      <c r="T25" s="1476"/>
      <c r="U25" s="1476"/>
      <c r="V25" s="1476"/>
      <c r="W25" s="1476">
        <f t="shared" si="0"/>
        <v>13537</v>
      </c>
      <c r="X25" s="1476"/>
      <c r="Y25" s="1476">
        <v>79</v>
      </c>
      <c r="Z25" s="1476"/>
      <c r="AA25" s="1476"/>
      <c r="AB25" s="1476"/>
      <c r="AC25" s="1476"/>
      <c r="AD25" s="1476"/>
      <c r="AE25" s="1476"/>
      <c r="AF25" s="1476">
        <v>6</v>
      </c>
      <c r="AG25" s="1476"/>
      <c r="AH25" s="1476"/>
      <c r="AI25" s="1476"/>
      <c r="AJ25" s="1476">
        <f t="shared" si="1"/>
        <v>13622</v>
      </c>
    </row>
    <row r="26" spans="1:36" ht="12.75" customHeight="1">
      <c r="A26" s="1475" t="s">
        <v>237</v>
      </c>
      <c r="B26" s="1475" t="s">
        <v>443</v>
      </c>
      <c r="C26" s="1476">
        <v>4566</v>
      </c>
      <c r="D26" s="1476"/>
      <c r="E26" s="1476"/>
      <c r="F26" s="1476"/>
      <c r="G26" s="1476"/>
      <c r="H26" s="1476"/>
      <c r="I26" s="1476">
        <v>1</v>
      </c>
      <c r="J26" s="1476">
        <v>14</v>
      </c>
      <c r="K26" s="1476"/>
      <c r="L26" s="1476">
        <v>2</v>
      </c>
      <c r="M26" s="1476"/>
      <c r="N26" s="1476"/>
      <c r="O26" s="1476"/>
      <c r="P26" s="1476"/>
      <c r="Q26" s="1476"/>
      <c r="R26" s="1476"/>
      <c r="S26" s="1476">
        <v>4</v>
      </c>
      <c r="T26" s="1476"/>
      <c r="U26" s="1476"/>
      <c r="V26" s="1476">
        <v>4</v>
      </c>
      <c r="W26" s="1476">
        <f t="shared" si="0"/>
        <v>4591</v>
      </c>
      <c r="X26" s="1476"/>
      <c r="Y26" s="1476"/>
      <c r="Z26" s="1476"/>
      <c r="AA26" s="1476"/>
      <c r="AB26" s="1476"/>
      <c r="AC26" s="1476"/>
      <c r="AD26" s="1476"/>
      <c r="AE26" s="1476"/>
      <c r="AF26" s="1476">
        <v>3</v>
      </c>
      <c r="AG26" s="1476"/>
      <c r="AH26" s="1476"/>
      <c r="AI26" s="1476"/>
      <c r="AJ26" s="1476">
        <f t="shared" si="1"/>
        <v>4594</v>
      </c>
    </row>
    <row r="27" spans="1:36" ht="12.75" customHeight="1">
      <c r="A27" s="1473" t="s">
        <v>238</v>
      </c>
      <c r="B27" s="1473" t="s">
        <v>444</v>
      </c>
      <c r="C27" s="1474">
        <v>2285</v>
      </c>
      <c r="D27" s="1474"/>
      <c r="E27" s="1474"/>
      <c r="F27" s="1474"/>
      <c r="G27" s="1474"/>
      <c r="H27" s="1474"/>
      <c r="I27" s="1474"/>
      <c r="J27" s="1474">
        <v>1</v>
      </c>
      <c r="K27" s="1474"/>
      <c r="L27" s="1474">
        <v>1</v>
      </c>
      <c r="M27" s="1474"/>
      <c r="N27" s="1474"/>
      <c r="O27" s="1474"/>
      <c r="P27" s="1474"/>
      <c r="Q27" s="1474"/>
      <c r="R27" s="1474"/>
      <c r="S27" s="1474"/>
      <c r="T27" s="1474"/>
      <c r="U27" s="1474"/>
      <c r="V27" s="1474"/>
      <c r="W27" s="1474">
        <f t="shared" si="0"/>
        <v>2287</v>
      </c>
      <c r="X27" s="1474"/>
      <c r="Y27" s="1474"/>
      <c r="Z27" s="1474"/>
      <c r="AA27" s="1474"/>
      <c r="AB27" s="1474"/>
      <c r="AC27" s="1474"/>
      <c r="AD27" s="1474"/>
      <c r="AE27" s="1474"/>
      <c r="AF27" s="1474"/>
      <c r="AG27" s="1474"/>
      <c r="AH27" s="1474"/>
      <c r="AI27" s="1474"/>
      <c r="AJ27" s="1474">
        <f t="shared" si="1"/>
        <v>2287</v>
      </c>
    </row>
    <row r="28" spans="1:36" ht="12.75" customHeight="1">
      <c r="A28" s="1477" t="s">
        <v>239</v>
      </c>
      <c r="B28" s="1477" t="s">
        <v>445</v>
      </c>
      <c r="C28" s="1478">
        <v>44749</v>
      </c>
      <c r="D28" s="1478"/>
      <c r="E28" s="1478"/>
      <c r="F28" s="1478"/>
      <c r="G28" s="1478"/>
      <c r="H28" s="1478"/>
      <c r="I28" s="1478"/>
      <c r="J28" s="1478">
        <v>167</v>
      </c>
      <c r="K28" s="1478">
        <v>58</v>
      </c>
      <c r="L28" s="1478">
        <v>102</v>
      </c>
      <c r="M28" s="1478"/>
      <c r="N28" s="1478">
        <v>71</v>
      </c>
      <c r="O28" s="1478">
        <v>191</v>
      </c>
      <c r="P28" s="1478"/>
      <c r="Q28" s="1478">
        <v>91</v>
      </c>
      <c r="R28" s="1478"/>
      <c r="S28" s="1478"/>
      <c r="T28" s="1478"/>
      <c r="U28" s="1478"/>
      <c r="V28" s="1478"/>
      <c r="W28" s="1478">
        <f t="shared" si="0"/>
        <v>45429</v>
      </c>
      <c r="X28" s="1478"/>
      <c r="Y28" s="1478"/>
      <c r="Z28" s="1478">
        <v>252</v>
      </c>
      <c r="AA28" s="1478"/>
      <c r="AB28" s="1478"/>
      <c r="AC28" s="1478">
        <v>256</v>
      </c>
      <c r="AD28" s="1478">
        <v>116</v>
      </c>
      <c r="AE28" s="1478"/>
      <c r="AF28" s="1478">
        <v>6</v>
      </c>
      <c r="AG28" s="1478">
        <v>48</v>
      </c>
      <c r="AH28" s="1478"/>
      <c r="AI28" s="1478"/>
      <c r="AJ28" s="1478">
        <f t="shared" si="1"/>
        <v>46107</v>
      </c>
    </row>
    <row r="29" spans="1:36" ht="12.75" customHeight="1">
      <c r="A29" s="1475" t="s">
        <v>446</v>
      </c>
      <c r="B29" s="1475" t="s">
        <v>447</v>
      </c>
      <c r="C29" s="1476">
        <v>5620</v>
      </c>
      <c r="D29" s="1476"/>
      <c r="E29" s="1476"/>
      <c r="F29" s="1476"/>
      <c r="G29" s="1476"/>
      <c r="H29" s="1476"/>
      <c r="I29" s="1476"/>
      <c r="J29" s="1476">
        <v>12</v>
      </c>
      <c r="K29" s="1476"/>
      <c r="L29" s="1476">
        <v>5</v>
      </c>
      <c r="M29" s="1476"/>
      <c r="N29" s="1476"/>
      <c r="O29" s="1476"/>
      <c r="P29" s="1476"/>
      <c r="Q29" s="1476"/>
      <c r="R29" s="1476"/>
      <c r="S29" s="1476"/>
      <c r="T29" s="1476"/>
      <c r="U29" s="1476"/>
      <c r="V29" s="1476"/>
      <c r="W29" s="1476">
        <f t="shared" si="0"/>
        <v>5637</v>
      </c>
      <c r="X29" s="1476"/>
      <c r="Y29" s="1476"/>
      <c r="Z29" s="1476"/>
      <c r="AA29" s="1476"/>
      <c r="AB29" s="1476"/>
      <c r="AC29" s="1476"/>
      <c r="AD29" s="1476"/>
      <c r="AE29" s="1476"/>
      <c r="AF29" s="1476"/>
      <c r="AG29" s="1476"/>
      <c r="AH29" s="1476"/>
      <c r="AI29" s="1476"/>
      <c r="AJ29" s="1476">
        <f t="shared" si="1"/>
        <v>5637</v>
      </c>
    </row>
    <row r="30" spans="1:36" ht="12.75" customHeight="1">
      <c r="A30" s="1475" t="s">
        <v>240</v>
      </c>
      <c r="B30" s="1475" t="s">
        <v>448</v>
      </c>
      <c r="C30" s="1476">
        <v>30064</v>
      </c>
      <c r="D30" s="1476"/>
      <c r="E30" s="1476"/>
      <c r="F30" s="1476"/>
      <c r="G30" s="1476"/>
      <c r="H30" s="1476"/>
      <c r="I30" s="1476"/>
      <c r="J30" s="1476">
        <v>87</v>
      </c>
      <c r="K30" s="1476"/>
      <c r="L30" s="1476">
        <v>53</v>
      </c>
      <c r="M30" s="1476"/>
      <c r="N30" s="1476"/>
      <c r="O30" s="1476"/>
      <c r="P30" s="1476">
        <v>1</v>
      </c>
      <c r="Q30" s="1476"/>
      <c r="R30" s="1476"/>
      <c r="S30" s="1476"/>
      <c r="T30" s="1476"/>
      <c r="U30" s="1476"/>
      <c r="V30" s="1476"/>
      <c r="W30" s="1476">
        <f t="shared" si="0"/>
        <v>30205</v>
      </c>
      <c r="X30" s="1476"/>
      <c r="Y30" s="1476">
        <v>4</v>
      </c>
      <c r="Z30" s="1476"/>
      <c r="AA30" s="1476"/>
      <c r="AB30" s="1476"/>
      <c r="AC30" s="1476"/>
      <c r="AD30" s="1476"/>
      <c r="AE30" s="1476"/>
      <c r="AF30" s="1476">
        <v>12</v>
      </c>
      <c r="AG30" s="1476"/>
      <c r="AH30" s="1476"/>
      <c r="AI30" s="1476"/>
      <c r="AJ30" s="1476">
        <f t="shared" si="1"/>
        <v>30221</v>
      </c>
    </row>
    <row r="31" spans="1:36" ht="12.75" customHeight="1">
      <c r="A31" s="1475" t="s">
        <v>241</v>
      </c>
      <c r="B31" s="1475" t="s">
        <v>449</v>
      </c>
      <c r="C31" s="1476">
        <v>13810</v>
      </c>
      <c r="D31" s="1476"/>
      <c r="E31" s="1476"/>
      <c r="F31" s="1476"/>
      <c r="G31" s="1476"/>
      <c r="H31" s="1476"/>
      <c r="I31" s="1476"/>
      <c r="J31" s="1476">
        <v>24</v>
      </c>
      <c r="K31" s="1476"/>
      <c r="L31" s="1476">
        <v>3</v>
      </c>
      <c r="M31" s="1476"/>
      <c r="N31" s="1476">
        <v>1</v>
      </c>
      <c r="O31" s="1476"/>
      <c r="P31" s="1476"/>
      <c r="Q31" s="1476"/>
      <c r="R31" s="1476"/>
      <c r="S31" s="1476"/>
      <c r="T31" s="1476"/>
      <c r="U31" s="1476"/>
      <c r="V31" s="1476"/>
      <c r="W31" s="1476">
        <f t="shared" si="0"/>
        <v>13838</v>
      </c>
      <c r="X31" s="1476"/>
      <c r="Y31" s="1476"/>
      <c r="Z31" s="1476"/>
      <c r="AA31" s="1476"/>
      <c r="AB31" s="1476"/>
      <c r="AC31" s="1476"/>
      <c r="AD31" s="1476"/>
      <c r="AE31" s="1476">
        <v>58</v>
      </c>
      <c r="AF31" s="1476">
        <v>3</v>
      </c>
      <c r="AG31" s="1476">
        <v>1</v>
      </c>
      <c r="AH31" s="1476"/>
      <c r="AI31" s="1476"/>
      <c r="AJ31" s="1476">
        <f t="shared" si="1"/>
        <v>13900</v>
      </c>
    </row>
    <row r="32" spans="1:36" ht="12.75" customHeight="1">
      <c r="A32" s="1473" t="s">
        <v>450</v>
      </c>
      <c r="B32" s="1473" t="s">
        <v>451</v>
      </c>
      <c r="C32" s="1474">
        <v>2460</v>
      </c>
      <c r="D32" s="1474"/>
      <c r="E32" s="1474"/>
      <c r="F32" s="1474"/>
      <c r="G32" s="1474"/>
      <c r="H32" s="1474"/>
      <c r="I32" s="1474"/>
      <c r="J32" s="1474">
        <v>5</v>
      </c>
      <c r="K32" s="1474"/>
      <c r="L32" s="1474">
        <v>3</v>
      </c>
      <c r="M32" s="1474"/>
      <c r="N32" s="1474"/>
      <c r="O32" s="1474"/>
      <c r="P32" s="1474"/>
      <c r="Q32" s="1474"/>
      <c r="R32" s="1474"/>
      <c r="S32" s="1474"/>
      <c r="T32" s="1474"/>
      <c r="U32" s="1474"/>
      <c r="V32" s="1474"/>
      <c r="W32" s="1474">
        <f t="shared" si="0"/>
        <v>2468</v>
      </c>
      <c r="X32" s="1474"/>
      <c r="Y32" s="1474"/>
      <c r="Z32" s="1474"/>
      <c r="AA32" s="1474"/>
      <c r="AB32" s="1474"/>
      <c r="AC32" s="1474"/>
      <c r="AD32" s="1474"/>
      <c r="AE32" s="1474"/>
      <c r="AF32" s="1474"/>
      <c r="AG32" s="1474"/>
      <c r="AH32" s="1474"/>
      <c r="AI32" s="1474"/>
      <c r="AJ32" s="1474">
        <f t="shared" si="1"/>
        <v>2468</v>
      </c>
    </row>
    <row r="33" spans="1:36" ht="12.75" customHeight="1">
      <c r="A33" s="1477" t="s">
        <v>242</v>
      </c>
      <c r="B33" s="1477" t="s">
        <v>452</v>
      </c>
      <c r="C33" s="1478">
        <v>6354</v>
      </c>
      <c r="D33" s="1478"/>
      <c r="E33" s="1478"/>
      <c r="F33" s="1478"/>
      <c r="G33" s="1478"/>
      <c r="H33" s="1478">
        <v>12</v>
      </c>
      <c r="I33" s="1478"/>
      <c r="J33" s="1478">
        <v>5</v>
      </c>
      <c r="K33" s="1478"/>
      <c r="L33" s="1478">
        <v>3</v>
      </c>
      <c r="M33" s="1478"/>
      <c r="N33" s="1478"/>
      <c r="O33" s="1478"/>
      <c r="P33" s="1478"/>
      <c r="Q33" s="1478"/>
      <c r="R33" s="1478"/>
      <c r="S33" s="1478"/>
      <c r="T33" s="1478"/>
      <c r="U33" s="1478"/>
      <c r="V33" s="1478"/>
      <c r="W33" s="1478">
        <f t="shared" si="0"/>
        <v>6374</v>
      </c>
      <c r="X33" s="1478"/>
      <c r="Y33" s="1478"/>
      <c r="Z33" s="1478"/>
      <c r="AA33" s="1478"/>
      <c r="AB33" s="1478"/>
      <c r="AC33" s="1478"/>
      <c r="AD33" s="1478"/>
      <c r="AE33" s="1478"/>
      <c r="AF33" s="1478">
        <v>3</v>
      </c>
      <c r="AG33" s="1478"/>
      <c r="AH33" s="1478"/>
      <c r="AI33" s="1478"/>
      <c r="AJ33" s="1478">
        <f t="shared" si="1"/>
        <v>6377</v>
      </c>
    </row>
    <row r="34" spans="1:36" ht="12.75" customHeight="1">
      <c r="A34" s="1475" t="s">
        <v>243</v>
      </c>
      <c r="B34" s="1475" t="s">
        <v>453</v>
      </c>
      <c r="C34" s="1476">
        <v>25019</v>
      </c>
      <c r="D34" s="1476"/>
      <c r="E34" s="1476"/>
      <c r="F34" s="1476"/>
      <c r="G34" s="1476"/>
      <c r="H34" s="1476"/>
      <c r="I34" s="1476"/>
      <c r="J34" s="1476">
        <v>79</v>
      </c>
      <c r="K34" s="1476"/>
      <c r="L34" s="1476">
        <v>73</v>
      </c>
      <c r="M34" s="1476"/>
      <c r="N34" s="1476"/>
      <c r="O34" s="1476"/>
      <c r="P34" s="1476"/>
      <c r="Q34" s="1476"/>
      <c r="R34" s="1476"/>
      <c r="S34" s="1476">
        <v>1</v>
      </c>
      <c r="T34" s="1476"/>
      <c r="U34" s="1476"/>
      <c r="V34" s="1476">
        <v>5</v>
      </c>
      <c r="W34" s="1476">
        <f t="shared" si="0"/>
        <v>25177</v>
      </c>
      <c r="X34" s="1476"/>
      <c r="Y34" s="1476"/>
      <c r="Z34" s="1476"/>
      <c r="AA34" s="1476"/>
      <c r="AB34" s="1476"/>
      <c r="AC34" s="1476"/>
      <c r="AD34" s="1476"/>
      <c r="AE34" s="1476"/>
      <c r="AF34" s="1476">
        <v>17</v>
      </c>
      <c r="AG34" s="1476">
        <v>1</v>
      </c>
      <c r="AH34" s="1476"/>
      <c r="AI34" s="1476"/>
      <c r="AJ34" s="1476">
        <f t="shared" si="1"/>
        <v>25195</v>
      </c>
    </row>
    <row r="35" spans="1:36" ht="12.75" customHeight="1">
      <c r="A35" s="1475" t="s">
        <v>454</v>
      </c>
      <c r="B35" s="1475" t="s">
        <v>455</v>
      </c>
      <c r="C35" s="1476">
        <v>1417</v>
      </c>
      <c r="D35" s="1476"/>
      <c r="E35" s="1476"/>
      <c r="F35" s="1476"/>
      <c r="G35" s="1476"/>
      <c r="H35" s="1476"/>
      <c r="I35" s="1476"/>
      <c r="J35" s="1476">
        <v>2</v>
      </c>
      <c r="K35" s="1476"/>
      <c r="L35" s="1476"/>
      <c r="M35" s="1476"/>
      <c r="N35" s="1476"/>
      <c r="O35" s="1476"/>
      <c r="P35" s="1476"/>
      <c r="Q35" s="1476"/>
      <c r="R35" s="1476">
        <v>294</v>
      </c>
      <c r="S35" s="1476"/>
      <c r="T35" s="1476"/>
      <c r="U35" s="1476"/>
      <c r="V35" s="1476"/>
      <c r="W35" s="1476">
        <f t="shared" ref="W35:W66" si="2">SUM(C35:V35)</f>
        <v>1713</v>
      </c>
      <c r="X35" s="1476"/>
      <c r="Y35" s="1476"/>
      <c r="Z35" s="1476"/>
      <c r="AA35" s="1476"/>
      <c r="AB35" s="1476">
        <v>211</v>
      </c>
      <c r="AC35" s="1476"/>
      <c r="AD35" s="1476"/>
      <c r="AE35" s="1476"/>
      <c r="AF35" s="1476"/>
      <c r="AG35" s="1476"/>
      <c r="AH35" s="1476"/>
      <c r="AI35" s="1476"/>
      <c r="AJ35" s="1476">
        <f t="shared" ref="AJ35:AJ66" si="3">SUM(W35:AI35)</f>
        <v>1924</v>
      </c>
    </row>
    <row r="36" spans="1:36" ht="12.75" customHeight="1">
      <c r="A36" s="1475" t="s">
        <v>244</v>
      </c>
      <c r="B36" s="1475" t="s">
        <v>456</v>
      </c>
      <c r="C36" s="1476">
        <v>4375</v>
      </c>
      <c r="D36" s="1476"/>
      <c r="E36" s="1476"/>
      <c r="F36" s="1476"/>
      <c r="G36" s="1476"/>
      <c r="H36" s="1476"/>
      <c r="I36" s="1476"/>
      <c r="J36" s="1476">
        <v>24</v>
      </c>
      <c r="K36" s="1476"/>
      <c r="L36" s="1476">
        <v>4</v>
      </c>
      <c r="M36" s="1476"/>
      <c r="N36" s="1476"/>
      <c r="O36" s="1476"/>
      <c r="P36" s="1476"/>
      <c r="Q36" s="1476"/>
      <c r="R36" s="1476"/>
      <c r="S36" s="1476"/>
      <c r="T36" s="1476"/>
      <c r="U36" s="1476"/>
      <c r="V36" s="1476"/>
      <c r="W36" s="1476">
        <f t="shared" si="2"/>
        <v>4403</v>
      </c>
      <c r="X36" s="1476">
        <v>4</v>
      </c>
      <c r="Y36" s="1476"/>
      <c r="Z36" s="1476"/>
      <c r="AA36" s="1476"/>
      <c r="AB36" s="1476">
        <v>2</v>
      </c>
      <c r="AC36" s="1476"/>
      <c r="AD36" s="1476"/>
      <c r="AE36" s="1476"/>
      <c r="AF36" s="1476">
        <v>1</v>
      </c>
      <c r="AG36" s="1476"/>
      <c r="AH36" s="1476"/>
      <c r="AI36" s="1476"/>
      <c r="AJ36" s="1476">
        <f t="shared" si="3"/>
        <v>4410</v>
      </c>
    </row>
    <row r="37" spans="1:36" ht="12.75" customHeight="1">
      <c r="A37" s="1473" t="s">
        <v>245</v>
      </c>
      <c r="B37" s="1473" t="s">
        <v>457</v>
      </c>
      <c r="C37" s="1474">
        <v>6370</v>
      </c>
      <c r="D37" s="1474"/>
      <c r="E37" s="1474"/>
      <c r="F37" s="1474"/>
      <c r="G37" s="1474"/>
      <c r="H37" s="1474"/>
      <c r="I37" s="1474"/>
      <c r="J37" s="1474">
        <v>17</v>
      </c>
      <c r="K37" s="1474"/>
      <c r="L37" s="1474">
        <v>19</v>
      </c>
      <c r="M37" s="1474"/>
      <c r="N37" s="1474"/>
      <c r="O37" s="1474"/>
      <c r="P37" s="1474"/>
      <c r="Q37" s="1474"/>
      <c r="R37" s="1474"/>
      <c r="S37" s="1474"/>
      <c r="T37" s="1474">
        <v>1</v>
      </c>
      <c r="U37" s="1474"/>
      <c r="V37" s="1474"/>
      <c r="W37" s="1474">
        <f t="shared" si="2"/>
        <v>6407</v>
      </c>
      <c r="X37" s="1474"/>
      <c r="Y37" s="1474"/>
      <c r="Z37" s="1474"/>
      <c r="AA37" s="1474"/>
      <c r="AB37" s="1474"/>
      <c r="AC37" s="1474"/>
      <c r="AD37" s="1474"/>
      <c r="AE37" s="1474"/>
      <c r="AF37" s="1474">
        <v>17</v>
      </c>
      <c r="AG37" s="1474"/>
      <c r="AH37" s="1474"/>
      <c r="AI37" s="1474"/>
      <c r="AJ37" s="1474">
        <f t="shared" si="3"/>
        <v>6424</v>
      </c>
    </row>
    <row r="38" spans="1:36" ht="12.75" customHeight="1">
      <c r="A38" s="1477" t="s">
        <v>246</v>
      </c>
      <c r="B38" s="1477" t="s">
        <v>458</v>
      </c>
      <c r="C38" s="1478">
        <v>12073</v>
      </c>
      <c r="D38" s="1478"/>
      <c r="E38" s="1478">
        <v>28165</v>
      </c>
      <c r="F38" s="1478">
        <v>999</v>
      </c>
      <c r="G38" s="1478"/>
      <c r="H38" s="1478"/>
      <c r="I38" s="1478"/>
      <c r="J38" s="1478">
        <v>65</v>
      </c>
      <c r="K38" s="1478">
        <v>399</v>
      </c>
      <c r="L38" s="1478">
        <v>31</v>
      </c>
      <c r="M38" s="1478"/>
      <c r="N38" s="1478">
        <v>225</v>
      </c>
      <c r="O38" s="1478">
        <v>158</v>
      </c>
      <c r="P38" s="1478"/>
      <c r="Q38" s="1478">
        <v>2</v>
      </c>
      <c r="R38" s="1478"/>
      <c r="S38" s="1478"/>
      <c r="T38" s="1478"/>
      <c r="U38" s="1478"/>
      <c r="V38" s="1478"/>
      <c r="W38" s="1478">
        <f t="shared" si="2"/>
        <v>42117</v>
      </c>
      <c r="X38" s="1478"/>
      <c r="Y38" s="1478"/>
      <c r="Z38" s="1478">
        <v>518</v>
      </c>
      <c r="AA38" s="1478"/>
      <c r="AB38" s="1478"/>
      <c r="AC38" s="1478">
        <v>183</v>
      </c>
      <c r="AD38" s="1478">
        <v>230</v>
      </c>
      <c r="AE38" s="1478"/>
      <c r="AF38" s="1478">
        <v>2</v>
      </c>
      <c r="AG38" s="1478">
        <v>76</v>
      </c>
      <c r="AH38" s="1478"/>
      <c r="AI38" s="1478"/>
      <c r="AJ38" s="1478">
        <f t="shared" si="3"/>
        <v>43126</v>
      </c>
    </row>
    <row r="39" spans="1:36" ht="12.75" customHeight="1">
      <c r="A39" s="1475" t="s">
        <v>247</v>
      </c>
      <c r="B39" s="1475" t="s">
        <v>459</v>
      </c>
      <c r="C39" s="1476">
        <v>19389</v>
      </c>
      <c r="D39" s="1476"/>
      <c r="E39" s="1476"/>
      <c r="F39" s="1476"/>
      <c r="G39" s="1476"/>
      <c r="H39" s="1476">
        <v>3</v>
      </c>
      <c r="I39" s="1476"/>
      <c r="J39" s="1476">
        <v>54</v>
      </c>
      <c r="K39" s="1476"/>
      <c r="L39" s="1476">
        <v>30</v>
      </c>
      <c r="M39" s="1476"/>
      <c r="N39" s="1476"/>
      <c r="O39" s="1476"/>
      <c r="P39" s="1476"/>
      <c r="Q39" s="1476"/>
      <c r="R39" s="1476"/>
      <c r="S39" s="1476"/>
      <c r="T39" s="1476">
        <v>2</v>
      </c>
      <c r="U39" s="1476"/>
      <c r="V39" s="1476"/>
      <c r="W39" s="1476">
        <f t="shared" si="2"/>
        <v>19478</v>
      </c>
      <c r="X39" s="1476">
        <v>132</v>
      </c>
      <c r="Y39" s="1476"/>
      <c r="Z39" s="1476"/>
      <c r="AA39" s="1476"/>
      <c r="AB39" s="1476">
        <v>6</v>
      </c>
      <c r="AC39" s="1476"/>
      <c r="AD39" s="1476"/>
      <c r="AE39" s="1476"/>
      <c r="AF39" s="1476">
        <v>7</v>
      </c>
      <c r="AG39" s="1476"/>
      <c r="AH39" s="1476"/>
      <c r="AI39" s="1476"/>
      <c r="AJ39" s="1476">
        <f t="shared" si="3"/>
        <v>19623</v>
      </c>
    </row>
    <row r="40" spans="1:36" ht="12.75" customHeight="1">
      <c r="A40" s="1475" t="s">
        <v>248</v>
      </c>
      <c r="B40" s="1475" t="s">
        <v>460</v>
      </c>
      <c r="C40" s="1476">
        <v>3851</v>
      </c>
      <c r="D40" s="1476"/>
      <c r="E40" s="1476"/>
      <c r="F40" s="1476"/>
      <c r="G40" s="1476"/>
      <c r="H40" s="1476"/>
      <c r="I40" s="1476"/>
      <c r="J40" s="1476">
        <v>6</v>
      </c>
      <c r="K40" s="1476"/>
      <c r="L40" s="1476">
        <v>6</v>
      </c>
      <c r="M40" s="1476"/>
      <c r="N40" s="1476">
        <v>4</v>
      </c>
      <c r="O40" s="1476">
        <v>7</v>
      </c>
      <c r="P40" s="1476"/>
      <c r="Q40" s="1476"/>
      <c r="R40" s="1476"/>
      <c r="S40" s="1476"/>
      <c r="T40" s="1476"/>
      <c r="U40" s="1476"/>
      <c r="V40" s="1476"/>
      <c r="W40" s="1476">
        <f t="shared" si="2"/>
        <v>3874</v>
      </c>
      <c r="X40" s="1476"/>
      <c r="Y40" s="1476"/>
      <c r="Z40" s="1476">
        <v>1</v>
      </c>
      <c r="AA40" s="1476"/>
      <c r="AB40" s="1476"/>
      <c r="AC40" s="1476">
        <v>493</v>
      </c>
      <c r="AD40" s="1476"/>
      <c r="AE40" s="1476"/>
      <c r="AF40" s="1476">
        <v>1</v>
      </c>
      <c r="AG40" s="1476">
        <v>2</v>
      </c>
      <c r="AH40" s="1476"/>
      <c r="AI40" s="1476"/>
      <c r="AJ40" s="1476">
        <f t="shared" si="3"/>
        <v>4371</v>
      </c>
    </row>
    <row r="41" spans="1:36" ht="12.75" customHeight="1">
      <c r="A41" s="1475" t="s">
        <v>249</v>
      </c>
      <c r="B41" s="1475" t="s">
        <v>461</v>
      </c>
      <c r="C41" s="1476">
        <v>2600</v>
      </c>
      <c r="D41" s="1476"/>
      <c r="E41" s="1476"/>
      <c r="F41" s="1476">
        <v>182</v>
      </c>
      <c r="G41" s="1476"/>
      <c r="H41" s="1476"/>
      <c r="I41" s="1476"/>
      <c r="J41" s="1476">
        <v>5</v>
      </c>
      <c r="K41" s="1476"/>
      <c r="L41" s="1476">
        <v>9</v>
      </c>
      <c r="M41" s="1476"/>
      <c r="N41" s="1476"/>
      <c r="O41" s="1476"/>
      <c r="P41" s="1476"/>
      <c r="Q41" s="1476"/>
      <c r="R41" s="1476"/>
      <c r="S41" s="1476"/>
      <c r="T41" s="1476"/>
      <c r="U41" s="1476"/>
      <c r="V41" s="1476">
        <v>1</v>
      </c>
      <c r="W41" s="1476">
        <f t="shared" si="2"/>
        <v>2797</v>
      </c>
      <c r="X41" s="1476"/>
      <c r="Y41" s="1476"/>
      <c r="Z41" s="1476"/>
      <c r="AA41" s="1476">
        <v>2</v>
      </c>
      <c r="AB41" s="1476"/>
      <c r="AC41" s="1476"/>
      <c r="AD41" s="1476"/>
      <c r="AE41" s="1476"/>
      <c r="AF41" s="1476">
        <v>6</v>
      </c>
      <c r="AG41" s="1476"/>
      <c r="AH41" s="1476"/>
      <c r="AI41" s="1476"/>
      <c r="AJ41" s="1476">
        <f t="shared" si="3"/>
        <v>2805</v>
      </c>
    </row>
    <row r="42" spans="1:36" ht="12.75" customHeight="1">
      <c r="A42" s="1473" t="s">
        <v>250</v>
      </c>
      <c r="B42" s="1473" t="s">
        <v>462</v>
      </c>
      <c r="C42" s="1474">
        <v>22930</v>
      </c>
      <c r="D42" s="1474"/>
      <c r="E42" s="1474"/>
      <c r="F42" s="1474"/>
      <c r="G42" s="1474"/>
      <c r="H42" s="1474"/>
      <c r="I42" s="1474"/>
      <c r="J42" s="1474">
        <v>59</v>
      </c>
      <c r="K42" s="1474"/>
      <c r="L42" s="1474">
        <v>35</v>
      </c>
      <c r="M42" s="1474"/>
      <c r="N42" s="1474"/>
      <c r="O42" s="1474"/>
      <c r="P42" s="1474"/>
      <c r="Q42" s="1474"/>
      <c r="R42" s="1474"/>
      <c r="S42" s="1474"/>
      <c r="T42" s="1474"/>
      <c r="U42" s="1474"/>
      <c r="V42" s="1474"/>
      <c r="W42" s="1474">
        <f t="shared" si="2"/>
        <v>23024</v>
      </c>
      <c r="X42" s="1474"/>
      <c r="Y42" s="1474"/>
      <c r="Z42" s="1474"/>
      <c r="AA42" s="1474">
        <v>3</v>
      </c>
      <c r="AB42" s="1474"/>
      <c r="AC42" s="1474"/>
      <c r="AD42" s="1474"/>
      <c r="AE42" s="1474"/>
      <c r="AF42" s="1474">
        <v>16</v>
      </c>
      <c r="AG42" s="1474"/>
      <c r="AH42" s="1474"/>
      <c r="AI42" s="1474"/>
      <c r="AJ42" s="1474">
        <f t="shared" si="3"/>
        <v>23043</v>
      </c>
    </row>
    <row r="43" spans="1:36" ht="12.75" customHeight="1">
      <c r="A43" s="1477" t="s">
        <v>463</v>
      </c>
      <c r="B43" s="1477" t="s">
        <v>464</v>
      </c>
      <c r="C43" s="1478">
        <v>1451</v>
      </c>
      <c r="D43" s="1478"/>
      <c r="E43" s="1478"/>
      <c r="F43" s="1478"/>
      <c r="G43" s="1478"/>
      <c r="H43" s="1478"/>
      <c r="I43" s="1478"/>
      <c r="J43" s="1478"/>
      <c r="K43" s="1478"/>
      <c r="L43" s="1478"/>
      <c r="M43" s="1478"/>
      <c r="N43" s="1478"/>
      <c r="O43" s="1478"/>
      <c r="P43" s="1478"/>
      <c r="Q43" s="1478"/>
      <c r="R43" s="1478"/>
      <c r="S43" s="1478"/>
      <c r="T43" s="1478"/>
      <c r="U43" s="1478"/>
      <c r="V43" s="1478"/>
      <c r="W43" s="1478">
        <f t="shared" si="2"/>
        <v>1451</v>
      </c>
      <c r="X43" s="1478"/>
      <c r="Y43" s="1478"/>
      <c r="Z43" s="1478"/>
      <c r="AA43" s="1478"/>
      <c r="AB43" s="1478"/>
      <c r="AC43" s="1478"/>
      <c r="AD43" s="1478"/>
      <c r="AE43" s="1478"/>
      <c r="AF43" s="1478">
        <v>1</v>
      </c>
      <c r="AG43" s="1478"/>
      <c r="AH43" s="1478"/>
      <c r="AI43" s="1478"/>
      <c r="AJ43" s="1478">
        <f t="shared" si="3"/>
        <v>1452</v>
      </c>
    </row>
    <row r="44" spans="1:36" ht="12.75" customHeight="1">
      <c r="A44" s="1475" t="s">
        <v>251</v>
      </c>
      <c r="B44" s="1475" t="s">
        <v>465</v>
      </c>
      <c r="C44" s="1476">
        <v>3234</v>
      </c>
      <c r="D44" s="1476"/>
      <c r="E44" s="1476"/>
      <c r="F44" s="1476"/>
      <c r="G44" s="1476"/>
      <c r="H44" s="1476"/>
      <c r="I44" s="1476"/>
      <c r="J44" s="1476">
        <v>5</v>
      </c>
      <c r="K44" s="1476"/>
      <c r="L44" s="1476">
        <v>5</v>
      </c>
      <c r="M44" s="1476"/>
      <c r="N44" s="1476"/>
      <c r="O44" s="1476"/>
      <c r="P44" s="1476"/>
      <c r="Q44" s="1476"/>
      <c r="R44" s="1476"/>
      <c r="S44" s="1476"/>
      <c r="T44" s="1476"/>
      <c r="U44" s="1476"/>
      <c r="V44" s="1476"/>
      <c r="W44" s="1476">
        <f t="shared" si="2"/>
        <v>3244</v>
      </c>
      <c r="X44" s="1476">
        <v>4</v>
      </c>
      <c r="Y44" s="1476"/>
      <c r="Z44" s="1476"/>
      <c r="AA44" s="1476"/>
      <c r="AB44" s="1476">
        <v>460</v>
      </c>
      <c r="AC44" s="1476"/>
      <c r="AD44" s="1476"/>
      <c r="AE44" s="1476"/>
      <c r="AF44" s="1476"/>
      <c r="AG44" s="1476"/>
      <c r="AH44" s="1476"/>
      <c r="AI44" s="1476"/>
      <c r="AJ44" s="1476">
        <f t="shared" si="3"/>
        <v>3708</v>
      </c>
    </row>
    <row r="45" spans="1:36" ht="12.75" customHeight="1">
      <c r="A45" s="1475" t="s">
        <v>466</v>
      </c>
      <c r="B45" s="1475" t="s">
        <v>467</v>
      </c>
      <c r="C45" s="1476">
        <v>4095</v>
      </c>
      <c r="D45" s="1476"/>
      <c r="E45" s="1476"/>
      <c r="F45" s="1476"/>
      <c r="G45" s="1476"/>
      <c r="H45" s="1476"/>
      <c r="I45" s="1476"/>
      <c r="J45" s="1476">
        <v>10</v>
      </c>
      <c r="K45" s="1476"/>
      <c r="L45" s="1476">
        <v>6</v>
      </c>
      <c r="M45" s="1476"/>
      <c r="N45" s="1476"/>
      <c r="O45" s="1476"/>
      <c r="P45" s="1476"/>
      <c r="Q45" s="1476"/>
      <c r="R45" s="1476"/>
      <c r="S45" s="1476"/>
      <c r="T45" s="1476"/>
      <c r="U45" s="1476"/>
      <c r="V45" s="1476"/>
      <c r="W45" s="1476">
        <f t="shared" si="2"/>
        <v>4111</v>
      </c>
      <c r="X45" s="1476"/>
      <c r="Y45" s="1476"/>
      <c r="Z45" s="1476"/>
      <c r="AA45" s="1476"/>
      <c r="AB45" s="1476"/>
      <c r="AC45" s="1476"/>
      <c r="AD45" s="1476"/>
      <c r="AE45" s="1476"/>
      <c r="AF45" s="1476">
        <v>3</v>
      </c>
      <c r="AG45" s="1476"/>
      <c r="AH45" s="1476"/>
      <c r="AI45" s="1476"/>
      <c r="AJ45" s="1476">
        <f t="shared" si="3"/>
        <v>4114</v>
      </c>
    </row>
    <row r="46" spans="1:36" ht="12.75" customHeight="1">
      <c r="A46" s="1475" t="s">
        <v>252</v>
      </c>
      <c r="B46" s="1475" t="s">
        <v>468</v>
      </c>
      <c r="C46" s="1476">
        <v>6651</v>
      </c>
      <c r="D46" s="1476"/>
      <c r="E46" s="1476"/>
      <c r="F46" s="1476"/>
      <c r="G46" s="1476"/>
      <c r="H46" s="1476"/>
      <c r="I46" s="1476"/>
      <c r="J46" s="1476">
        <v>16</v>
      </c>
      <c r="K46" s="1476">
        <v>2</v>
      </c>
      <c r="L46" s="1476">
        <v>6</v>
      </c>
      <c r="M46" s="1476"/>
      <c r="N46" s="1476">
        <v>4</v>
      </c>
      <c r="O46" s="1476">
        <v>1</v>
      </c>
      <c r="P46" s="1476"/>
      <c r="Q46" s="1476"/>
      <c r="R46" s="1476"/>
      <c r="S46" s="1476"/>
      <c r="T46" s="1476"/>
      <c r="U46" s="1476"/>
      <c r="V46" s="1476"/>
      <c r="W46" s="1476">
        <f t="shared" si="2"/>
        <v>6680</v>
      </c>
      <c r="X46" s="1476"/>
      <c r="Y46" s="1476"/>
      <c r="Z46" s="1476">
        <v>22</v>
      </c>
      <c r="AA46" s="1476"/>
      <c r="AB46" s="1476"/>
      <c r="AC46" s="1476">
        <v>3</v>
      </c>
      <c r="AD46" s="1476"/>
      <c r="AE46" s="1476"/>
      <c r="AF46" s="1476">
        <v>2</v>
      </c>
      <c r="AG46" s="1476">
        <v>6</v>
      </c>
      <c r="AH46" s="1476"/>
      <c r="AI46" s="1476"/>
      <c r="AJ46" s="1476">
        <f t="shared" si="3"/>
        <v>6713</v>
      </c>
    </row>
    <row r="47" spans="1:36" ht="12.75" customHeight="1">
      <c r="A47" s="1473" t="s">
        <v>253</v>
      </c>
      <c r="B47" s="1473" t="s">
        <v>469</v>
      </c>
      <c r="C47" s="1474">
        <v>9391</v>
      </c>
      <c r="D47" s="1474"/>
      <c r="E47" s="1474"/>
      <c r="F47" s="1474"/>
      <c r="G47" s="1474"/>
      <c r="H47" s="1474"/>
      <c r="I47" s="1474"/>
      <c r="J47" s="1474">
        <v>11</v>
      </c>
      <c r="K47" s="1474"/>
      <c r="L47" s="1474">
        <v>13</v>
      </c>
      <c r="M47" s="1474"/>
      <c r="N47" s="1474">
        <v>2</v>
      </c>
      <c r="O47" s="1474"/>
      <c r="P47" s="1474"/>
      <c r="Q47" s="1474">
        <v>1</v>
      </c>
      <c r="R47" s="1474"/>
      <c r="S47" s="1474"/>
      <c r="T47" s="1474"/>
      <c r="U47" s="1474"/>
      <c r="V47" s="1474"/>
      <c r="W47" s="1474">
        <f t="shared" si="2"/>
        <v>9418</v>
      </c>
      <c r="X47" s="1474"/>
      <c r="Y47" s="1474"/>
      <c r="Z47" s="1474">
        <v>7</v>
      </c>
      <c r="AA47" s="1474"/>
      <c r="AB47" s="1474"/>
      <c r="AC47" s="1474"/>
      <c r="AD47" s="1474"/>
      <c r="AE47" s="1474">
        <v>2</v>
      </c>
      <c r="AF47" s="1474">
        <v>3</v>
      </c>
      <c r="AG47" s="1474">
        <v>9</v>
      </c>
      <c r="AH47" s="1474"/>
      <c r="AI47" s="1474"/>
      <c r="AJ47" s="1474">
        <f t="shared" si="3"/>
        <v>9439</v>
      </c>
    </row>
    <row r="48" spans="1:36" ht="12.75" customHeight="1">
      <c r="A48" s="1477" t="s">
        <v>254</v>
      </c>
      <c r="B48" s="1477" t="s">
        <v>470</v>
      </c>
      <c r="C48" s="1478">
        <v>718</v>
      </c>
      <c r="D48" s="1478"/>
      <c r="E48" s="1478"/>
      <c r="F48" s="1478">
        <v>309</v>
      </c>
      <c r="G48" s="1478"/>
      <c r="H48" s="1478"/>
      <c r="I48" s="1478"/>
      <c r="J48" s="1478">
        <v>8</v>
      </c>
      <c r="K48" s="1478"/>
      <c r="L48" s="1478">
        <v>6</v>
      </c>
      <c r="M48" s="1478"/>
      <c r="N48" s="1478"/>
      <c r="O48" s="1478"/>
      <c r="P48" s="1478"/>
      <c r="Q48" s="1478"/>
      <c r="R48" s="1478"/>
      <c r="S48" s="1478"/>
      <c r="T48" s="1478"/>
      <c r="U48" s="1478"/>
      <c r="V48" s="1478"/>
      <c r="W48" s="1478">
        <f t="shared" si="2"/>
        <v>1041</v>
      </c>
      <c r="X48" s="1478"/>
      <c r="Y48" s="1478"/>
      <c r="Z48" s="1478"/>
      <c r="AA48" s="1478"/>
      <c r="AB48" s="1478"/>
      <c r="AC48" s="1478"/>
      <c r="AD48" s="1478"/>
      <c r="AE48" s="1478"/>
      <c r="AF48" s="1478"/>
      <c r="AG48" s="1478"/>
      <c r="AH48" s="1478"/>
      <c r="AI48" s="1478"/>
      <c r="AJ48" s="1478">
        <f t="shared" si="3"/>
        <v>1041</v>
      </c>
    </row>
    <row r="49" spans="1:36" ht="12.75" customHeight="1">
      <c r="A49" s="1475" t="s">
        <v>255</v>
      </c>
      <c r="B49" s="1475" t="s">
        <v>471</v>
      </c>
      <c r="C49" s="1476">
        <v>3626</v>
      </c>
      <c r="D49" s="1476"/>
      <c r="E49" s="1476"/>
      <c r="F49" s="1476"/>
      <c r="G49" s="1476"/>
      <c r="H49" s="1476"/>
      <c r="I49" s="1476"/>
      <c r="J49" s="1476">
        <v>2</v>
      </c>
      <c r="K49" s="1476"/>
      <c r="L49" s="1476">
        <v>1</v>
      </c>
      <c r="M49" s="1476"/>
      <c r="N49" s="1476"/>
      <c r="O49" s="1476"/>
      <c r="P49" s="1476"/>
      <c r="Q49" s="1476"/>
      <c r="R49" s="1476"/>
      <c r="S49" s="1476"/>
      <c r="T49" s="1476"/>
      <c r="U49" s="1476"/>
      <c r="V49" s="1476"/>
      <c r="W49" s="1476">
        <f t="shared" si="2"/>
        <v>3629</v>
      </c>
      <c r="X49" s="1476"/>
      <c r="Y49" s="1476"/>
      <c r="Z49" s="1476"/>
      <c r="AA49" s="1476"/>
      <c r="AB49" s="1476"/>
      <c r="AC49" s="1476"/>
      <c r="AD49" s="1476"/>
      <c r="AE49" s="1476">
        <v>3</v>
      </c>
      <c r="AF49" s="1476">
        <v>5</v>
      </c>
      <c r="AG49" s="1476"/>
      <c r="AH49" s="1476"/>
      <c r="AI49" s="1476"/>
      <c r="AJ49" s="1476">
        <f t="shared" si="3"/>
        <v>3637</v>
      </c>
    </row>
    <row r="50" spans="1:36" ht="12.75" customHeight="1">
      <c r="A50" s="1475" t="s">
        <v>256</v>
      </c>
      <c r="B50" s="1475" t="s">
        <v>472</v>
      </c>
      <c r="C50" s="1476">
        <v>5739</v>
      </c>
      <c r="D50" s="1476"/>
      <c r="E50" s="1476"/>
      <c r="F50" s="1476"/>
      <c r="G50" s="1476"/>
      <c r="H50" s="1476"/>
      <c r="I50" s="1476"/>
      <c r="J50" s="1476">
        <v>25</v>
      </c>
      <c r="K50" s="1476">
        <v>2</v>
      </c>
      <c r="L50" s="1476">
        <v>28</v>
      </c>
      <c r="M50" s="1476"/>
      <c r="N50" s="1476"/>
      <c r="O50" s="1476"/>
      <c r="P50" s="1476"/>
      <c r="Q50" s="1476">
        <v>1</v>
      </c>
      <c r="R50" s="1476"/>
      <c r="S50" s="1476"/>
      <c r="T50" s="1476"/>
      <c r="U50" s="1476"/>
      <c r="V50" s="1476"/>
      <c r="W50" s="1476">
        <f t="shared" si="2"/>
        <v>5795</v>
      </c>
      <c r="X50" s="1476"/>
      <c r="Y50" s="1476"/>
      <c r="Z50" s="1476">
        <v>5</v>
      </c>
      <c r="AA50" s="1476"/>
      <c r="AB50" s="1476"/>
      <c r="AC50" s="1476"/>
      <c r="AD50" s="1476"/>
      <c r="AE50" s="1476"/>
      <c r="AF50" s="1476">
        <v>1</v>
      </c>
      <c r="AG50" s="1476">
        <v>1</v>
      </c>
      <c r="AH50" s="1476"/>
      <c r="AI50" s="1476"/>
      <c r="AJ50" s="1476">
        <f t="shared" si="3"/>
        <v>5802</v>
      </c>
    </row>
    <row r="51" spans="1:36" ht="12.75" customHeight="1">
      <c r="A51" s="1475" t="s">
        <v>257</v>
      </c>
      <c r="B51" s="1475" t="s">
        <v>473</v>
      </c>
      <c r="C51" s="1476">
        <v>14198</v>
      </c>
      <c r="D51" s="1476"/>
      <c r="E51" s="1476"/>
      <c r="F51" s="1476"/>
      <c r="G51" s="1476"/>
      <c r="H51" s="1476"/>
      <c r="I51" s="1476"/>
      <c r="J51" s="1476">
        <v>67</v>
      </c>
      <c r="K51" s="1476"/>
      <c r="L51" s="1476">
        <v>35</v>
      </c>
      <c r="M51" s="1476"/>
      <c r="N51" s="1476"/>
      <c r="O51" s="1476"/>
      <c r="P51" s="1476">
        <v>195</v>
      </c>
      <c r="Q51" s="1476"/>
      <c r="R51" s="1476"/>
      <c r="S51" s="1476"/>
      <c r="T51" s="1476"/>
      <c r="U51" s="1476"/>
      <c r="V51" s="1476"/>
      <c r="W51" s="1476">
        <f t="shared" si="2"/>
        <v>14495</v>
      </c>
      <c r="X51" s="1476"/>
      <c r="Y51" s="1476"/>
      <c r="Z51" s="1476"/>
      <c r="AA51" s="1476">
        <v>2</v>
      </c>
      <c r="AB51" s="1476"/>
      <c r="AC51" s="1476"/>
      <c r="AD51" s="1476"/>
      <c r="AE51" s="1476"/>
      <c r="AF51" s="1476">
        <v>7</v>
      </c>
      <c r="AG51" s="1476"/>
      <c r="AH51" s="1476"/>
      <c r="AI51" s="1476"/>
      <c r="AJ51" s="1476">
        <f>SUM(W51:AI51)</f>
        <v>14504</v>
      </c>
    </row>
    <row r="52" spans="1:36" ht="12.75" customHeight="1">
      <c r="A52" s="1473" t="s">
        <v>258</v>
      </c>
      <c r="B52" s="1473" t="s">
        <v>474</v>
      </c>
      <c r="C52" s="1474">
        <v>7891</v>
      </c>
      <c r="D52" s="1474"/>
      <c r="E52" s="1474"/>
      <c r="F52" s="1474"/>
      <c r="G52" s="1474"/>
      <c r="H52" s="1474"/>
      <c r="I52" s="1474"/>
      <c r="J52" s="1474">
        <v>24</v>
      </c>
      <c r="K52" s="1474"/>
      <c r="L52" s="1474">
        <v>6</v>
      </c>
      <c r="M52" s="1474"/>
      <c r="N52" s="1474"/>
      <c r="O52" s="1474"/>
      <c r="P52" s="1474"/>
      <c r="Q52" s="1474"/>
      <c r="R52" s="1474"/>
      <c r="S52" s="1474"/>
      <c r="T52" s="1474"/>
      <c r="U52" s="1474"/>
      <c r="V52" s="1474"/>
      <c r="W52" s="1474">
        <f t="shared" si="2"/>
        <v>7921</v>
      </c>
      <c r="X52" s="1474"/>
      <c r="Y52" s="1474"/>
      <c r="Z52" s="1474"/>
      <c r="AA52" s="1474"/>
      <c r="AB52" s="1474"/>
      <c r="AC52" s="1474"/>
      <c r="AD52" s="1474"/>
      <c r="AE52" s="1474"/>
      <c r="AF52" s="1474">
        <v>7</v>
      </c>
      <c r="AG52" s="1474"/>
      <c r="AH52" s="1474"/>
      <c r="AI52" s="1474"/>
      <c r="AJ52" s="1474">
        <f t="shared" si="3"/>
        <v>7928</v>
      </c>
    </row>
    <row r="53" spans="1:36" ht="12.75" customHeight="1">
      <c r="A53" s="1477" t="s">
        <v>259</v>
      </c>
      <c r="B53" s="1477" t="s">
        <v>475</v>
      </c>
      <c r="C53" s="1478">
        <v>8872</v>
      </c>
      <c r="D53" s="1478"/>
      <c r="E53" s="1478"/>
      <c r="F53" s="1478"/>
      <c r="G53" s="1478"/>
      <c r="H53" s="1478"/>
      <c r="I53" s="1478"/>
      <c r="J53" s="1478">
        <v>18</v>
      </c>
      <c r="K53" s="1478"/>
      <c r="L53" s="1478">
        <v>4</v>
      </c>
      <c r="M53" s="1478"/>
      <c r="N53" s="1478"/>
      <c r="O53" s="1478"/>
      <c r="P53" s="1478"/>
      <c r="Q53" s="1478"/>
      <c r="R53" s="1478"/>
      <c r="S53" s="1478"/>
      <c r="T53" s="1478"/>
      <c r="U53" s="1478"/>
      <c r="V53" s="1478"/>
      <c r="W53" s="1478">
        <f t="shared" si="2"/>
        <v>8894</v>
      </c>
      <c r="X53" s="1478"/>
      <c r="Y53" s="1478">
        <v>280</v>
      </c>
      <c r="Z53" s="1478"/>
      <c r="AA53" s="1478"/>
      <c r="AB53" s="1478"/>
      <c r="AC53" s="1478"/>
      <c r="AD53" s="1478"/>
      <c r="AE53" s="1478">
        <v>3</v>
      </c>
      <c r="AF53" s="1478">
        <v>5</v>
      </c>
      <c r="AG53" s="1478"/>
      <c r="AH53" s="1478"/>
      <c r="AI53" s="1478"/>
      <c r="AJ53" s="1478">
        <f t="shared" si="3"/>
        <v>9182</v>
      </c>
    </row>
    <row r="54" spans="1:36" ht="12.75" customHeight="1">
      <c r="A54" s="1475" t="s">
        <v>260</v>
      </c>
      <c r="B54" s="1475" t="s">
        <v>476</v>
      </c>
      <c r="C54" s="1476">
        <v>37028</v>
      </c>
      <c r="D54" s="1476"/>
      <c r="E54" s="1476"/>
      <c r="F54" s="1476"/>
      <c r="G54" s="1476"/>
      <c r="H54" s="1476"/>
      <c r="I54" s="1476"/>
      <c r="J54" s="1476">
        <v>97</v>
      </c>
      <c r="K54" s="1476"/>
      <c r="L54" s="1476">
        <v>100</v>
      </c>
      <c r="M54" s="1476"/>
      <c r="N54" s="1476">
        <v>1</v>
      </c>
      <c r="O54" s="1476"/>
      <c r="P54" s="1476"/>
      <c r="Q54" s="1476"/>
      <c r="R54" s="1476"/>
      <c r="S54" s="1476"/>
      <c r="T54" s="1476"/>
      <c r="U54" s="1476"/>
      <c r="V54" s="1476"/>
      <c r="W54" s="1476">
        <f t="shared" si="2"/>
        <v>37226</v>
      </c>
      <c r="X54" s="1476"/>
      <c r="Y54" s="1476"/>
      <c r="Z54" s="1476">
        <v>13</v>
      </c>
      <c r="AA54" s="1476"/>
      <c r="AB54" s="1476"/>
      <c r="AC54" s="1476">
        <v>1</v>
      </c>
      <c r="AD54" s="1476"/>
      <c r="AE54" s="1476"/>
      <c r="AF54" s="1476">
        <v>10</v>
      </c>
      <c r="AG54" s="1476">
        <v>26</v>
      </c>
      <c r="AH54" s="1476"/>
      <c r="AI54" s="1476"/>
      <c r="AJ54" s="1476">
        <f t="shared" si="3"/>
        <v>37276</v>
      </c>
    </row>
    <row r="55" spans="1:36" ht="12.75" customHeight="1">
      <c r="A55" s="1475" t="s">
        <v>261</v>
      </c>
      <c r="B55" s="1475" t="s">
        <v>477</v>
      </c>
      <c r="C55" s="1476">
        <v>19264</v>
      </c>
      <c r="D55" s="1476"/>
      <c r="E55" s="1476"/>
      <c r="F55" s="1476"/>
      <c r="G55" s="1476"/>
      <c r="H55" s="1476"/>
      <c r="I55" s="1476"/>
      <c r="J55" s="1476">
        <v>103</v>
      </c>
      <c r="K55" s="1476"/>
      <c r="L55" s="1476">
        <v>67</v>
      </c>
      <c r="M55" s="1476"/>
      <c r="N55" s="1476"/>
      <c r="O55" s="1476"/>
      <c r="P55" s="1476"/>
      <c r="Q55" s="1476"/>
      <c r="R55" s="1476"/>
      <c r="S55" s="1476"/>
      <c r="T55" s="1476"/>
      <c r="U55" s="1476"/>
      <c r="V55" s="1476"/>
      <c r="W55" s="1476">
        <f t="shared" si="2"/>
        <v>19434</v>
      </c>
      <c r="X55" s="1476"/>
      <c r="Y55" s="1476"/>
      <c r="Z55" s="1476"/>
      <c r="AA55" s="1476"/>
      <c r="AB55" s="1476"/>
      <c r="AC55" s="1476"/>
      <c r="AD55" s="1476"/>
      <c r="AE55" s="1476"/>
      <c r="AF55" s="1476">
        <v>6</v>
      </c>
      <c r="AG55" s="1476">
        <v>3</v>
      </c>
      <c r="AH55" s="1476"/>
      <c r="AI55" s="1476"/>
      <c r="AJ55" s="1476">
        <f t="shared" si="3"/>
        <v>19443</v>
      </c>
    </row>
    <row r="56" spans="1:36" ht="12.75" customHeight="1">
      <c r="A56" s="1475" t="s">
        <v>478</v>
      </c>
      <c r="B56" s="1475" t="s">
        <v>479</v>
      </c>
      <c r="C56" s="1476">
        <v>644</v>
      </c>
      <c r="D56" s="1476"/>
      <c r="E56" s="1476"/>
      <c r="F56" s="1476"/>
      <c r="G56" s="1476"/>
      <c r="H56" s="1476"/>
      <c r="I56" s="1476"/>
      <c r="J56" s="1476"/>
      <c r="K56" s="1476"/>
      <c r="L56" s="1476">
        <v>6</v>
      </c>
      <c r="M56" s="1476"/>
      <c r="N56" s="1476"/>
      <c r="O56" s="1476"/>
      <c r="P56" s="1476"/>
      <c r="Q56" s="1476"/>
      <c r="R56" s="1476"/>
      <c r="S56" s="1476"/>
      <c r="T56" s="1476">
        <v>8</v>
      </c>
      <c r="U56" s="1476"/>
      <c r="V56" s="1476"/>
      <c r="W56" s="1476">
        <f t="shared" si="2"/>
        <v>658</v>
      </c>
      <c r="X56" s="1476"/>
      <c r="Y56" s="1476"/>
      <c r="Z56" s="1476"/>
      <c r="AA56" s="1476"/>
      <c r="AB56" s="1476">
        <v>5</v>
      </c>
      <c r="AC56" s="1476"/>
      <c r="AD56" s="1476"/>
      <c r="AE56" s="1476"/>
      <c r="AF56" s="1476"/>
      <c r="AG56" s="1476"/>
      <c r="AH56" s="1476"/>
      <c r="AI56" s="1476"/>
      <c r="AJ56" s="1476">
        <f t="shared" si="3"/>
        <v>663</v>
      </c>
    </row>
    <row r="57" spans="1:36" ht="12.75" customHeight="1">
      <c r="A57" s="1473" t="s">
        <v>262</v>
      </c>
      <c r="B57" s="1473" t="s">
        <v>480</v>
      </c>
      <c r="C57" s="1474">
        <v>17722</v>
      </c>
      <c r="D57" s="1474"/>
      <c r="E57" s="1474"/>
      <c r="F57" s="1474"/>
      <c r="G57" s="1474"/>
      <c r="H57" s="1474"/>
      <c r="I57" s="1474"/>
      <c r="J57" s="1474">
        <v>37</v>
      </c>
      <c r="K57" s="1474"/>
      <c r="L57" s="1474">
        <v>31</v>
      </c>
      <c r="M57" s="1474"/>
      <c r="N57" s="1474"/>
      <c r="O57" s="1474"/>
      <c r="P57" s="1474"/>
      <c r="Q57" s="1474"/>
      <c r="R57" s="1474"/>
      <c r="S57" s="1474"/>
      <c r="T57" s="1474"/>
      <c r="U57" s="1474"/>
      <c r="V57" s="1474"/>
      <c r="W57" s="1474">
        <f t="shared" si="2"/>
        <v>17790</v>
      </c>
      <c r="X57" s="1474"/>
      <c r="Y57" s="1474"/>
      <c r="Z57" s="1474">
        <v>1</v>
      </c>
      <c r="AA57" s="1474"/>
      <c r="AB57" s="1474"/>
      <c r="AC57" s="1474"/>
      <c r="AD57" s="1474"/>
      <c r="AE57" s="1474">
        <v>38</v>
      </c>
      <c r="AF57" s="1474">
        <v>18</v>
      </c>
      <c r="AG57" s="1474">
        <v>1</v>
      </c>
      <c r="AH57" s="1474"/>
      <c r="AI57" s="1474"/>
      <c r="AJ57" s="1474">
        <f t="shared" si="3"/>
        <v>17848</v>
      </c>
    </row>
    <row r="58" spans="1:36" ht="12.75" customHeight="1">
      <c r="A58" s="1477" t="s">
        <v>263</v>
      </c>
      <c r="B58" s="1477" t="s">
        <v>481</v>
      </c>
      <c r="C58" s="1478">
        <v>2191</v>
      </c>
      <c r="D58" s="1478"/>
      <c r="E58" s="1478"/>
      <c r="F58" s="1478"/>
      <c r="G58" s="1478"/>
      <c r="H58" s="1478">
        <v>684</v>
      </c>
      <c r="I58" s="1478"/>
      <c r="J58" s="1478">
        <v>6</v>
      </c>
      <c r="K58" s="1478"/>
      <c r="L58" s="1478">
        <v>4</v>
      </c>
      <c r="M58" s="1478"/>
      <c r="N58" s="1478"/>
      <c r="O58" s="1478"/>
      <c r="P58" s="1478"/>
      <c r="Q58" s="1478"/>
      <c r="R58" s="1478"/>
      <c r="S58" s="1478"/>
      <c r="T58" s="1478"/>
      <c r="U58" s="1478"/>
      <c r="V58" s="1478"/>
      <c r="W58" s="1478">
        <f t="shared" si="2"/>
        <v>2885</v>
      </c>
      <c r="X58" s="1478"/>
      <c r="Y58" s="1478"/>
      <c r="Z58" s="1478"/>
      <c r="AA58" s="1478"/>
      <c r="AB58" s="1478"/>
      <c r="AC58" s="1478"/>
      <c r="AD58" s="1478"/>
      <c r="AE58" s="1478"/>
      <c r="AF58" s="1478"/>
      <c r="AG58" s="1478"/>
      <c r="AH58" s="1478"/>
      <c r="AI58" s="1478"/>
      <c r="AJ58" s="1478">
        <f t="shared" si="3"/>
        <v>2885</v>
      </c>
    </row>
    <row r="59" spans="1:36" ht="12.75" customHeight="1">
      <c r="A59" s="1475" t="s">
        <v>264</v>
      </c>
      <c r="B59" s="1475" t="s">
        <v>482</v>
      </c>
      <c r="C59" s="1476">
        <v>9095</v>
      </c>
      <c r="D59" s="1476"/>
      <c r="E59" s="1476"/>
      <c r="F59" s="1476"/>
      <c r="G59" s="1476"/>
      <c r="H59" s="1476"/>
      <c r="I59" s="1476"/>
      <c r="J59" s="1476">
        <v>23</v>
      </c>
      <c r="K59" s="1476"/>
      <c r="L59" s="1476">
        <v>7</v>
      </c>
      <c r="M59" s="1476"/>
      <c r="N59" s="1476"/>
      <c r="O59" s="1476"/>
      <c r="P59" s="1476"/>
      <c r="Q59" s="1476"/>
      <c r="R59" s="1476"/>
      <c r="S59" s="1476"/>
      <c r="T59" s="1476"/>
      <c r="U59" s="1476"/>
      <c r="V59" s="1476"/>
      <c r="W59" s="1476">
        <f t="shared" si="2"/>
        <v>9125</v>
      </c>
      <c r="X59" s="1476"/>
      <c r="Y59" s="1476"/>
      <c r="Z59" s="1476"/>
      <c r="AA59" s="1476"/>
      <c r="AB59" s="1476"/>
      <c r="AC59" s="1476"/>
      <c r="AD59" s="1476"/>
      <c r="AE59" s="1476"/>
      <c r="AF59" s="1476">
        <v>1</v>
      </c>
      <c r="AG59" s="1476"/>
      <c r="AH59" s="1476"/>
      <c r="AI59" s="1476"/>
      <c r="AJ59" s="1476">
        <f t="shared" si="3"/>
        <v>9126</v>
      </c>
    </row>
    <row r="60" spans="1:36" ht="12.75" customHeight="1">
      <c r="A60" s="1475" t="s">
        <v>483</v>
      </c>
      <c r="B60" s="1475" t="s">
        <v>484</v>
      </c>
      <c r="C60" s="1476">
        <v>8929</v>
      </c>
      <c r="D60" s="1476"/>
      <c r="E60" s="1476"/>
      <c r="F60" s="1476"/>
      <c r="G60" s="1476"/>
      <c r="H60" s="1476"/>
      <c r="I60" s="1476"/>
      <c r="J60" s="1476">
        <v>52</v>
      </c>
      <c r="K60" s="1476"/>
      <c r="L60" s="1476">
        <v>28</v>
      </c>
      <c r="M60" s="1476"/>
      <c r="N60" s="1476"/>
      <c r="O60" s="1476"/>
      <c r="P60" s="1476"/>
      <c r="Q60" s="1476"/>
      <c r="R60" s="1476"/>
      <c r="S60" s="1476"/>
      <c r="T60" s="1476"/>
      <c r="U60" s="1476"/>
      <c r="V60" s="1476"/>
      <c r="W60" s="1476">
        <f t="shared" si="2"/>
        <v>9009</v>
      </c>
      <c r="X60" s="1476"/>
      <c r="Y60" s="1476"/>
      <c r="Z60" s="1476"/>
      <c r="AA60" s="1476"/>
      <c r="AB60" s="1476"/>
      <c r="AC60" s="1476"/>
      <c r="AD60" s="1476"/>
      <c r="AE60" s="1476"/>
      <c r="AF60" s="1476">
        <v>14</v>
      </c>
      <c r="AG60" s="1476"/>
      <c r="AH60" s="1476"/>
      <c r="AI60" s="1476"/>
      <c r="AJ60" s="1476">
        <f t="shared" si="3"/>
        <v>9023</v>
      </c>
    </row>
    <row r="61" spans="1:36" s="969" customFormat="1" ht="12.75" customHeight="1">
      <c r="A61" s="1475" t="s">
        <v>265</v>
      </c>
      <c r="B61" s="1475" t="s">
        <v>485</v>
      </c>
      <c r="C61" s="1476">
        <v>5104</v>
      </c>
      <c r="D61" s="1476"/>
      <c r="E61" s="1476"/>
      <c r="F61" s="1476"/>
      <c r="G61" s="1476"/>
      <c r="H61" s="1476"/>
      <c r="I61" s="1476"/>
      <c r="J61" s="1476">
        <v>24</v>
      </c>
      <c r="K61" s="1476"/>
      <c r="L61" s="1476">
        <v>9</v>
      </c>
      <c r="M61" s="1476"/>
      <c r="N61" s="1476"/>
      <c r="O61" s="1476"/>
      <c r="P61" s="1476"/>
      <c r="Q61" s="1476"/>
      <c r="R61" s="1476"/>
      <c r="S61" s="1476"/>
      <c r="T61" s="1476"/>
      <c r="U61" s="1476">
        <v>12</v>
      </c>
      <c r="V61" s="1476"/>
      <c r="W61" s="1476">
        <f t="shared" si="2"/>
        <v>5149</v>
      </c>
      <c r="X61" s="1476"/>
      <c r="Y61" s="1476"/>
      <c r="Z61" s="1476"/>
      <c r="AA61" s="1476"/>
      <c r="AB61" s="1476"/>
      <c r="AC61" s="1476"/>
      <c r="AD61" s="1476"/>
      <c r="AE61" s="1476"/>
      <c r="AF61" s="1476"/>
      <c r="AG61" s="1476"/>
      <c r="AH61" s="1476"/>
      <c r="AI61" s="1476"/>
      <c r="AJ61" s="1476">
        <f t="shared" si="3"/>
        <v>5149</v>
      </c>
    </row>
    <row r="62" spans="1:36" ht="12.75" customHeight="1">
      <c r="A62" s="1473" t="s">
        <v>486</v>
      </c>
      <c r="B62" s="1473" t="s">
        <v>487</v>
      </c>
      <c r="C62" s="1474">
        <v>6408</v>
      </c>
      <c r="D62" s="1474"/>
      <c r="E62" s="1474"/>
      <c r="F62" s="1474"/>
      <c r="G62" s="1474"/>
      <c r="H62" s="1474"/>
      <c r="I62" s="1474"/>
      <c r="J62" s="1474">
        <v>14</v>
      </c>
      <c r="K62" s="1474"/>
      <c r="L62" s="1474">
        <v>19</v>
      </c>
      <c r="M62" s="1474"/>
      <c r="N62" s="1474"/>
      <c r="O62" s="1474"/>
      <c r="P62" s="1474"/>
      <c r="Q62" s="1474"/>
      <c r="R62" s="1474"/>
      <c r="S62" s="1474"/>
      <c r="T62" s="1474"/>
      <c r="U62" s="1474"/>
      <c r="V62" s="1474"/>
      <c r="W62" s="1474">
        <f t="shared" si="2"/>
        <v>6441</v>
      </c>
      <c r="X62" s="1474"/>
      <c r="Y62" s="1474"/>
      <c r="Z62" s="1474"/>
      <c r="AA62" s="1474"/>
      <c r="AB62" s="1474"/>
      <c r="AC62" s="1474"/>
      <c r="AD62" s="1474"/>
      <c r="AE62" s="1474"/>
      <c r="AF62" s="1474">
        <v>4</v>
      </c>
      <c r="AG62" s="1474"/>
      <c r="AH62" s="1474"/>
      <c r="AI62" s="1474"/>
      <c r="AJ62" s="1474">
        <f t="shared" si="3"/>
        <v>6445</v>
      </c>
    </row>
    <row r="63" spans="1:36" ht="12.75" customHeight="1">
      <c r="A63" s="1477" t="s">
        <v>266</v>
      </c>
      <c r="B63" s="1477" t="s">
        <v>488</v>
      </c>
      <c r="C63" s="1478">
        <v>3603</v>
      </c>
      <c r="D63" s="1478"/>
      <c r="E63" s="1478"/>
      <c r="F63" s="1478"/>
      <c r="G63" s="1478"/>
      <c r="H63" s="1478"/>
      <c r="I63" s="1478">
        <v>1</v>
      </c>
      <c r="J63" s="1478">
        <v>6</v>
      </c>
      <c r="K63" s="1478"/>
      <c r="L63" s="1478">
        <v>10</v>
      </c>
      <c r="M63" s="1478"/>
      <c r="N63" s="1478"/>
      <c r="O63" s="1478"/>
      <c r="P63" s="1478"/>
      <c r="Q63" s="1478"/>
      <c r="R63" s="1478"/>
      <c r="S63" s="1478"/>
      <c r="T63" s="1478"/>
      <c r="U63" s="1478"/>
      <c r="V63" s="1478">
        <v>1</v>
      </c>
      <c r="W63" s="1478">
        <f t="shared" si="2"/>
        <v>3621</v>
      </c>
      <c r="X63" s="1478"/>
      <c r="Y63" s="1478"/>
      <c r="Z63" s="1478"/>
      <c r="AA63" s="1478"/>
      <c r="AB63" s="1478"/>
      <c r="AC63" s="1478"/>
      <c r="AD63" s="1478"/>
      <c r="AE63" s="1478"/>
      <c r="AF63" s="1478"/>
      <c r="AG63" s="1478"/>
      <c r="AH63" s="1478"/>
      <c r="AI63" s="1478"/>
      <c r="AJ63" s="1478">
        <f t="shared" si="3"/>
        <v>3621</v>
      </c>
    </row>
    <row r="64" spans="1:36" ht="12.75" customHeight="1">
      <c r="A64" s="1475" t="s">
        <v>489</v>
      </c>
      <c r="B64" s="1475" t="s">
        <v>490</v>
      </c>
      <c r="C64" s="1476">
        <v>2113</v>
      </c>
      <c r="D64" s="1476"/>
      <c r="E64" s="1476"/>
      <c r="F64" s="1476"/>
      <c r="G64" s="1476"/>
      <c r="H64" s="1476"/>
      <c r="I64" s="1476"/>
      <c r="J64" s="1476">
        <v>10</v>
      </c>
      <c r="K64" s="1476"/>
      <c r="L64" s="1476">
        <v>1</v>
      </c>
      <c r="M64" s="1476"/>
      <c r="N64" s="1476"/>
      <c r="O64" s="1476"/>
      <c r="P64" s="1476"/>
      <c r="Q64" s="1476"/>
      <c r="R64" s="1476"/>
      <c r="S64" s="1476"/>
      <c r="T64" s="1476"/>
      <c r="U64" s="1476"/>
      <c r="V64" s="1476"/>
      <c r="W64" s="1476">
        <f t="shared" si="2"/>
        <v>2124</v>
      </c>
      <c r="X64" s="1476"/>
      <c r="Y64" s="1476"/>
      <c r="Z64" s="1476"/>
      <c r="AA64" s="1476"/>
      <c r="AB64" s="1476">
        <v>39</v>
      </c>
      <c r="AC64" s="1476"/>
      <c r="AD64" s="1476"/>
      <c r="AE64" s="1476"/>
      <c r="AF64" s="1476">
        <v>1</v>
      </c>
      <c r="AG64" s="1476"/>
      <c r="AH64" s="1476"/>
      <c r="AI64" s="1476"/>
      <c r="AJ64" s="1476">
        <f t="shared" si="3"/>
        <v>2164</v>
      </c>
    </row>
    <row r="65" spans="1:36" ht="12.75" customHeight="1">
      <c r="A65" s="1475" t="s">
        <v>491</v>
      </c>
      <c r="B65" s="1475" t="s">
        <v>492</v>
      </c>
      <c r="C65" s="1476">
        <v>2035</v>
      </c>
      <c r="D65" s="1476"/>
      <c r="E65" s="1476"/>
      <c r="F65" s="1476"/>
      <c r="G65" s="1476"/>
      <c r="H65" s="1476"/>
      <c r="I65" s="1476"/>
      <c r="J65" s="1476">
        <v>3</v>
      </c>
      <c r="K65" s="1476"/>
      <c r="L65" s="1476"/>
      <c r="M65" s="1476"/>
      <c r="N65" s="1476"/>
      <c r="O65" s="1476"/>
      <c r="P65" s="1476"/>
      <c r="Q65" s="1476"/>
      <c r="R65" s="1476"/>
      <c r="S65" s="1476"/>
      <c r="T65" s="1476"/>
      <c r="U65" s="1476"/>
      <c r="V65" s="1476"/>
      <c r="W65" s="1476">
        <f t="shared" si="2"/>
        <v>2038</v>
      </c>
      <c r="X65" s="1476"/>
      <c r="Y65" s="1476"/>
      <c r="Z65" s="1476"/>
      <c r="AA65" s="1476"/>
      <c r="AB65" s="1476"/>
      <c r="AC65" s="1476"/>
      <c r="AD65" s="1476"/>
      <c r="AE65" s="1476"/>
      <c r="AF65" s="1476">
        <v>4</v>
      </c>
      <c r="AG65" s="1476"/>
      <c r="AH65" s="1476"/>
      <c r="AI65" s="1476"/>
      <c r="AJ65" s="1476">
        <f t="shared" si="3"/>
        <v>2042</v>
      </c>
    </row>
    <row r="66" spans="1:36" ht="12.75" customHeight="1">
      <c r="A66" s="1475" t="s">
        <v>493</v>
      </c>
      <c r="B66" s="1475" t="s">
        <v>494</v>
      </c>
      <c r="C66" s="1476">
        <v>2346</v>
      </c>
      <c r="D66" s="1476"/>
      <c r="E66" s="1476"/>
      <c r="F66" s="1476"/>
      <c r="G66" s="1476"/>
      <c r="H66" s="1476"/>
      <c r="I66" s="1476"/>
      <c r="J66" s="1476">
        <v>5</v>
      </c>
      <c r="K66" s="1476"/>
      <c r="L66" s="1476">
        <v>3</v>
      </c>
      <c r="M66" s="1476"/>
      <c r="N66" s="1476"/>
      <c r="O66" s="1476"/>
      <c r="P66" s="1476"/>
      <c r="Q66" s="1476"/>
      <c r="R66" s="1476"/>
      <c r="S66" s="1476"/>
      <c r="T66" s="1476"/>
      <c r="U66" s="1476"/>
      <c r="V66" s="1476"/>
      <c r="W66" s="1476">
        <f t="shared" si="2"/>
        <v>2354</v>
      </c>
      <c r="X66" s="1476"/>
      <c r="Y66" s="1476"/>
      <c r="Z66" s="1476"/>
      <c r="AA66" s="1476"/>
      <c r="AB66" s="1476"/>
      <c r="AC66" s="1476"/>
      <c r="AD66" s="1476"/>
      <c r="AE66" s="1476"/>
      <c r="AF66" s="1476">
        <v>1</v>
      </c>
      <c r="AG66" s="1476"/>
      <c r="AH66" s="1476"/>
      <c r="AI66" s="1476"/>
      <c r="AJ66" s="1476">
        <f t="shared" si="3"/>
        <v>2355</v>
      </c>
    </row>
    <row r="67" spans="1:36" ht="12.75" customHeight="1">
      <c r="A67" s="1473" t="s">
        <v>267</v>
      </c>
      <c r="B67" s="1473" t="s">
        <v>495</v>
      </c>
      <c r="C67" s="1474">
        <v>8173</v>
      </c>
      <c r="D67" s="1474"/>
      <c r="E67" s="1474"/>
      <c r="F67" s="1474"/>
      <c r="G67" s="1474"/>
      <c r="H67" s="1474">
        <v>3</v>
      </c>
      <c r="I67" s="1474"/>
      <c r="J67" s="1474"/>
      <c r="K67" s="1474"/>
      <c r="L67" s="1474"/>
      <c r="M67" s="1474"/>
      <c r="N67" s="1474"/>
      <c r="O67" s="1474"/>
      <c r="P67" s="1474"/>
      <c r="Q67" s="1474"/>
      <c r="R67" s="1474"/>
      <c r="S67" s="1474"/>
      <c r="T67" s="1474"/>
      <c r="U67" s="1474"/>
      <c r="V67" s="1474"/>
      <c r="W67" s="1474">
        <f t="shared" ref="W67:W72" si="4">SUM(C67:V67)</f>
        <v>8176</v>
      </c>
      <c r="X67" s="1474">
        <v>185</v>
      </c>
      <c r="Y67" s="1474"/>
      <c r="Z67" s="1474"/>
      <c r="AA67" s="1474"/>
      <c r="AB67" s="1474"/>
      <c r="AC67" s="1474"/>
      <c r="AD67" s="1474"/>
      <c r="AE67" s="1474"/>
      <c r="AF67" s="1474"/>
      <c r="AG67" s="1474"/>
      <c r="AH67" s="1474"/>
      <c r="AI67" s="1474"/>
      <c r="AJ67" s="1474">
        <f t="shared" ref="AJ67" si="5">SUM(W67:AI67)</f>
        <v>8361</v>
      </c>
    </row>
    <row r="68" spans="1:36" s="969" customFormat="1" ht="12.75" customHeight="1">
      <c r="A68" s="1477" t="s">
        <v>268</v>
      </c>
      <c r="B68" s="1477" t="s">
        <v>496</v>
      </c>
      <c r="C68" s="1478">
        <v>1845</v>
      </c>
      <c r="D68" s="1478"/>
      <c r="E68" s="1478"/>
      <c r="F68" s="1478"/>
      <c r="G68" s="1478"/>
      <c r="H68" s="1478"/>
      <c r="I68" s="1478"/>
      <c r="J68" s="1478">
        <v>15</v>
      </c>
      <c r="K68" s="1478"/>
      <c r="L68" s="1478">
        <v>5</v>
      </c>
      <c r="M68" s="1478"/>
      <c r="N68" s="1478"/>
      <c r="O68" s="1478"/>
      <c r="P68" s="1478"/>
      <c r="Q68" s="1478"/>
      <c r="R68" s="1478"/>
      <c r="S68" s="1478"/>
      <c r="T68" s="1478"/>
      <c r="U68" s="1478">
        <v>158</v>
      </c>
      <c r="V68" s="1478"/>
      <c r="W68" s="1478">
        <f t="shared" si="4"/>
        <v>2023</v>
      </c>
      <c r="X68" s="1478"/>
      <c r="Y68" s="1478"/>
      <c r="Z68" s="1478"/>
      <c r="AA68" s="1478"/>
      <c r="AB68" s="1478"/>
      <c r="AC68" s="1478"/>
      <c r="AD68" s="1478"/>
      <c r="AE68" s="1478"/>
      <c r="AF68" s="1478"/>
      <c r="AG68" s="1478"/>
      <c r="AH68" s="1478"/>
      <c r="AI68" s="1478"/>
      <c r="AJ68" s="1478">
        <f t="shared" ref="AJ68:AJ72" si="6">SUM(W68:AI68)</f>
        <v>2023</v>
      </c>
    </row>
    <row r="69" spans="1:36" ht="12.75" customHeight="1">
      <c r="A69" s="1475" t="s">
        <v>497</v>
      </c>
      <c r="B69" s="1475" t="s">
        <v>498</v>
      </c>
      <c r="C69" s="1476">
        <v>5254</v>
      </c>
      <c r="D69" s="1476"/>
      <c r="E69" s="1476"/>
      <c r="F69" s="1476"/>
      <c r="G69" s="1476"/>
      <c r="H69" s="1476"/>
      <c r="I69" s="1476">
        <v>3</v>
      </c>
      <c r="J69" s="1476">
        <v>4</v>
      </c>
      <c r="K69" s="1476"/>
      <c r="L69" s="1476"/>
      <c r="M69" s="1476"/>
      <c r="N69" s="1476"/>
      <c r="O69" s="1476"/>
      <c r="P69" s="1476"/>
      <c r="Q69" s="1476"/>
      <c r="R69" s="1476"/>
      <c r="S69" s="1476"/>
      <c r="T69" s="1476"/>
      <c r="U69" s="1476"/>
      <c r="V69" s="1476"/>
      <c r="W69" s="1476">
        <f t="shared" si="4"/>
        <v>5261</v>
      </c>
      <c r="X69" s="1476"/>
      <c r="Y69" s="1476"/>
      <c r="Z69" s="1476"/>
      <c r="AA69" s="1476"/>
      <c r="AB69" s="1476"/>
      <c r="AC69" s="1476"/>
      <c r="AD69" s="1476"/>
      <c r="AE69" s="1476"/>
      <c r="AF69" s="1476"/>
      <c r="AG69" s="1476"/>
      <c r="AH69" s="1476"/>
      <c r="AI69" s="1476"/>
      <c r="AJ69" s="1476">
        <f t="shared" si="6"/>
        <v>5261</v>
      </c>
    </row>
    <row r="70" spans="1:36" ht="12.75" customHeight="1">
      <c r="A70" s="1475" t="s">
        <v>269</v>
      </c>
      <c r="B70" s="1475" t="s">
        <v>499</v>
      </c>
      <c r="C70" s="1476">
        <v>1597</v>
      </c>
      <c r="D70" s="1476"/>
      <c r="E70" s="1476"/>
      <c r="F70" s="1476"/>
      <c r="G70" s="1476"/>
      <c r="H70" s="1476"/>
      <c r="I70" s="1476">
        <v>7</v>
      </c>
      <c r="J70" s="1476">
        <v>5</v>
      </c>
      <c r="K70" s="1476"/>
      <c r="L70" s="1476"/>
      <c r="M70" s="1476"/>
      <c r="N70" s="1476"/>
      <c r="O70" s="1476"/>
      <c r="P70" s="1476"/>
      <c r="Q70" s="1476"/>
      <c r="R70" s="1476"/>
      <c r="S70" s="1476"/>
      <c r="T70" s="1476"/>
      <c r="U70" s="1476"/>
      <c r="V70" s="1476"/>
      <c r="W70" s="1476">
        <f t="shared" si="4"/>
        <v>1609</v>
      </c>
      <c r="X70" s="1476"/>
      <c r="Y70" s="1476"/>
      <c r="Z70" s="1476"/>
      <c r="AA70" s="1476"/>
      <c r="AB70" s="1476"/>
      <c r="AC70" s="1476"/>
      <c r="AD70" s="1476"/>
      <c r="AE70" s="1476"/>
      <c r="AF70" s="1476"/>
      <c r="AG70" s="1476"/>
      <c r="AH70" s="1476"/>
      <c r="AI70" s="1476"/>
      <c r="AJ70" s="1476">
        <f t="shared" si="6"/>
        <v>1609</v>
      </c>
    </row>
    <row r="71" spans="1:36" ht="12.75" customHeight="1">
      <c r="A71" s="1475" t="s">
        <v>500</v>
      </c>
      <c r="B71" s="1475" t="s">
        <v>501</v>
      </c>
      <c r="C71" s="1476">
        <v>4299</v>
      </c>
      <c r="D71" s="1476"/>
      <c r="E71" s="1476"/>
      <c r="F71" s="1476"/>
      <c r="G71" s="1476"/>
      <c r="H71" s="1476"/>
      <c r="I71" s="1476">
        <v>1</v>
      </c>
      <c r="J71" s="1476">
        <v>12</v>
      </c>
      <c r="K71" s="1476"/>
      <c r="L71" s="1476"/>
      <c r="M71" s="1476"/>
      <c r="N71" s="1476"/>
      <c r="O71" s="1476"/>
      <c r="P71" s="1476"/>
      <c r="Q71" s="1476"/>
      <c r="R71" s="1476"/>
      <c r="S71" s="1476"/>
      <c r="T71" s="1476"/>
      <c r="U71" s="1476"/>
      <c r="V71" s="1476">
        <v>1</v>
      </c>
      <c r="W71" s="1476">
        <f t="shared" si="4"/>
        <v>4313</v>
      </c>
      <c r="X71" s="1476"/>
      <c r="Y71" s="1476"/>
      <c r="Z71" s="1476"/>
      <c r="AA71" s="1476"/>
      <c r="AB71" s="1476"/>
      <c r="AC71" s="1476"/>
      <c r="AD71" s="1476"/>
      <c r="AE71" s="1476"/>
      <c r="AF71" s="1476"/>
      <c r="AG71" s="1476"/>
      <c r="AH71" s="1476"/>
      <c r="AI71" s="1476"/>
      <c r="AJ71" s="1476">
        <f t="shared" si="6"/>
        <v>4313</v>
      </c>
    </row>
    <row r="72" spans="1:36" ht="28.5" customHeight="1">
      <c r="A72" s="1480" t="s">
        <v>502</v>
      </c>
      <c r="B72" s="1473" t="s">
        <v>503</v>
      </c>
      <c r="C72" s="1474"/>
      <c r="D72" s="1474"/>
      <c r="E72" s="1474"/>
      <c r="F72" s="1474"/>
      <c r="G72" s="1474"/>
      <c r="H72" s="1474">
        <v>1</v>
      </c>
      <c r="I72" s="1474"/>
      <c r="J72" s="1474"/>
      <c r="K72" s="1474"/>
      <c r="L72" s="1474"/>
      <c r="M72" s="1474"/>
      <c r="N72" s="1474"/>
      <c r="O72" s="1474"/>
      <c r="P72" s="1474"/>
      <c r="Q72" s="1474"/>
      <c r="R72" s="1474"/>
      <c r="S72" s="1474"/>
      <c r="T72" s="1474"/>
      <c r="U72" s="1474"/>
      <c r="V72" s="1474"/>
      <c r="W72" s="1474">
        <f t="shared" si="4"/>
        <v>1</v>
      </c>
      <c r="X72" s="1474"/>
      <c r="Y72" s="1474"/>
      <c r="Z72" s="1474"/>
      <c r="AA72" s="1474"/>
      <c r="AB72" s="1474"/>
      <c r="AC72" s="1474"/>
      <c r="AD72" s="1474"/>
      <c r="AE72" s="1474"/>
      <c r="AF72" s="1474"/>
      <c r="AG72" s="1474"/>
      <c r="AH72" s="1474"/>
      <c r="AI72" s="1474"/>
      <c r="AJ72" s="1474">
        <f t="shared" si="6"/>
        <v>1</v>
      </c>
    </row>
    <row r="73" spans="1:36">
      <c r="A73" s="1472"/>
      <c r="B73" s="1472"/>
      <c r="C73" s="1472"/>
      <c r="D73" s="1472"/>
      <c r="E73" s="1472"/>
      <c r="F73" s="1472"/>
      <c r="G73" s="1472"/>
      <c r="H73" s="1472"/>
      <c r="I73" s="1472"/>
      <c r="J73" s="1472"/>
      <c r="K73" s="1472"/>
      <c r="L73" s="1472"/>
      <c r="M73" s="1472"/>
      <c r="N73" s="1472"/>
      <c r="O73" s="1472"/>
      <c r="P73" s="1472"/>
      <c r="Q73" s="1472"/>
      <c r="R73" s="1472"/>
      <c r="S73" s="1472"/>
      <c r="T73" s="1472"/>
      <c r="U73" s="1472"/>
      <c r="V73" s="1472"/>
      <c r="W73" s="1472"/>
      <c r="X73" s="1472"/>
      <c r="Y73" s="1472"/>
      <c r="Z73" s="1472"/>
      <c r="AA73" s="1472"/>
      <c r="AB73" s="1472"/>
      <c r="AC73" s="1472"/>
      <c r="AD73" s="1472"/>
      <c r="AE73" s="1472"/>
      <c r="AF73" s="1472"/>
      <c r="AG73" s="1472"/>
      <c r="AH73" s="1472"/>
      <c r="AI73" s="1472"/>
      <c r="AJ73" s="1472"/>
    </row>
    <row r="74" spans="1:36" ht="15" thickBot="1">
      <c r="A74" s="1479"/>
      <c r="B74" s="1479" t="s">
        <v>504</v>
      </c>
      <c r="C74" s="1479">
        <f>SUM(C3:C73)</f>
        <v>637824</v>
      </c>
      <c r="D74" s="1479">
        <f t="shared" ref="D74:V74" si="7">SUM(D3:D73)</f>
        <v>1038</v>
      </c>
      <c r="E74" s="1479">
        <f t="shared" si="7"/>
        <v>28165</v>
      </c>
      <c r="F74" s="1479">
        <f t="shared" si="7"/>
        <v>3226</v>
      </c>
      <c r="G74" s="1479">
        <f t="shared" si="7"/>
        <v>671</v>
      </c>
      <c r="H74" s="1479">
        <f t="shared" si="7"/>
        <v>705</v>
      </c>
      <c r="I74" s="1479">
        <f t="shared" si="7"/>
        <v>275</v>
      </c>
      <c r="J74" s="1479">
        <f t="shared" si="7"/>
        <v>1826</v>
      </c>
      <c r="K74" s="1479">
        <f t="shared" si="7"/>
        <v>461</v>
      </c>
      <c r="L74" s="1479">
        <f t="shared" si="7"/>
        <v>1200</v>
      </c>
      <c r="M74" s="1479">
        <f t="shared" si="7"/>
        <v>865</v>
      </c>
      <c r="N74" s="1479">
        <f t="shared" si="7"/>
        <v>308</v>
      </c>
      <c r="O74" s="1479">
        <f t="shared" si="7"/>
        <v>357</v>
      </c>
      <c r="P74" s="1479">
        <f t="shared" si="7"/>
        <v>196</v>
      </c>
      <c r="Q74" s="1479">
        <f t="shared" si="7"/>
        <v>95</v>
      </c>
      <c r="R74" s="1479">
        <f t="shared" si="7"/>
        <v>294</v>
      </c>
      <c r="S74" s="1479">
        <f t="shared" si="7"/>
        <v>441</v>
      </c>
      <c r="T74" s="1479">
        <f t="shared" si="7"/>
        <v>323</v>
      </c>
      <c r="U74" s="1479">
        <f t="shared" si="7"/>
        <v>170</v>
      </c>
      <c r="V74" s="1479">
        <f t="shared" si="7"/>
        <v>130</v>
      </c>
      <c r="W74" s="1479">
        <f>SUM(W3:W72)</f>
        <v>678570</v>
      </c>
      <c r="X74" s="1479">
        <f t="shared" ref="X74:AI74" si="8">SUM(X3:X73)</f>
        <v>325</v>
      </c>
      <c r="Y74" s="1479">
        <f t="shared" si="8"/>
        <v>363</v>
      </c>
      <c r="Z74" s="1479">
        <f t="shared" si="8"/>
        <v>819</v>
      </c>
      <c r="AA74" s="1479">
        <f t="shared" si="8"/>
        <v>716</v>
      </c>
      <c r="AB74" s="1479">
        <f t="shared" si="8"/>
        <v>903</v>
      </c>
      <c r="AC74" s="1479">
        <f t="shared" si="8"/>
        <v>936</v>
      </c>
      <c r="AD74" s="1479">
        <f t="shared" si="8"/>
        <v>346</v>
      </c>
      <c r="AE74" s="1479">
        <f t="shared" si="8"/>
        <v>110</v>
      </c>
      <c r="AF74" s="1479">
        <v>278</v>
      </c>
      <c r="AG74" s="1479">
        <v>175</v>
      </c>
      <c r="AH74" s="1479">
        <f t="shared" si="8"/>
        <v>1394</v>
      </c>
      <c r="AI74" s="1479">
        <f t="shared" si="8"/>
        <v>588</v>
      </c>
      <c r="AJ74" s="1479">
        <f>SUM(W74:AI74)</f>
        <v>685523</v>
      </c>
    </row>
    <row r="75" spans="1:36" ht="15" thickTop="1">
      <c r="C75" s="967"/>
      <c r="D75" s="967"/>
      <c r="E75" s="967"/>
      <c r="F75" s="967"/>
      <c r="G75" s="967"/>
      <c r="H75" s="967"/>
      <c r="I75" s="967"/>
      <c r="J75" s="967"/>
      <c r="K75" s="967"/>
      <c r="L75" s="967"/>
      <c r="M75" s="967"/>
      <c r="N75" s="967"/>
      <c r="O75" s="967"/>
      <c r="P75" s="967"/>
      <c r="Q75" s="967"/>
      <c r="R75" s="967"/>
      <c r="S75" s="967"/>
      <c r="T75" s="967"/>
      <c r="U75" s="967"/>
      <c r="V75" s="967"/>
      <c r="W75" s="967"/>
      <c r="AH75" s="967"/>
      <c r="AI75" s="967"/>
      <c r="AJ75" s="967"/>
    </row>
    <row r="76" spans="1:36">
      <c r="B76" s="548"/>
      <c r="C76" s="968"/>
      <c r="D76" s="967"/>
      <c r="E76" s="967"/>
      <c r="F76" s="967"/>
      <c r="G76" s="967"/>
      <c r="H76" s="967"/>
      <c r="I76" s="967"/>
      <c r="J76" s="967"/>
      <c r="K76" s="967"/>
      <c r="L76" s="967"/>
      <c r="M76" s="967"/>
      <c r="N76" s="967"/>
      <c r="O76" s="967"/>
      <c r="P76" s="967"/>
      <c r="Q76" s="967"/>
      <c r="R76" s="967"/>
      <c r="S76" s="967"/>
      <c r="T76" s="967"/>
      <c r="U76" s="967"/>
      <c r="V76" s="967"/>
      <c r="W76" s="967"/>
      <c r="AH76" s="967"/>
      <c r="AI76" s="967"/>
      <c r="AJ76" s="967"/>
    </row>
    <row r="77" spans="1:36">
      <c r="B77" s="549"/>
    </row>
  </sheetData>
  <mergeCells count="1">
    <mergeCell ref="A1:B1"/>
  </mergeCells>
  <pageMargins left="0.45" right="0.45" top="0.75" bottom="0.75" header="0.3" footer="0.3"/>
  <pageSetup paperSize="5" scale="75" orientation="portrait" r:id="rId1"/>
  <headerFooter>
    <oddHeader>&amp;L&amp;"Arial,Bold"&amp;18Table 8:  FY2014-15 Budget Letter
February 1, 2014 Student Membership</oddHeader>
    <oddFooter>&amp;R&amp;P</oddFooter>
  </headerFooter>
  <colBreaks count="1" manualBreakCount="1">
    <brk id="23" max="7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G74"/>
  <sheetViews>
    <sheetView view="pageBreakPreview" zoomScale="90" zoomScaleNormal="70" zoomScaleSheetLayoutView="90" workbookViewId="0">
      <pane xSplit="2" ySplit="2" topLeftCell="C3" activePane="bottomRight" state="frozen"/>
      <selection sqref="A1:H1"/>
      <selection pane="topRight" sqref="A1:H1"/>
      <selection pane="bottomLeft" sqref="A1:H1"/>
      <selection pane="bottomRight" sqref="A1:H1"/>
    </sheetView>
  </sheetViews>
  <sheetFormatPr defaultRowHeight="13.2"/>
  <cols>
    <col min="1" max="1" width="3.44140625" bestFit="1" customWidth="1"/>
    <col min="2" max="2" width="17.88671875" customWidth="1"/>
    <col min="3" max="20" width="14.6640625" customWidth="1"/>
    <col min="21" max="29" width="14.6640625" style="594" customWidth="1"/>
    <col min="30" max="33" width="14.6640625" customWidth="1"/>
  </cols>
  <sheetData>
    <row r="1" spans="1:33" ht="138" customHeight="1">
      <c r="A1" s="985" t="s">
        <v>311</v>
      </c>
      <c r="B1" s="986" t="s">
        <v>203</v>
      </c>
      <c r="C1" s="987" t="s">
        <v>1026</v>
      </c>
      <c r="D1" s="989" t="s">
        <v>1149</v>
      </c>
      <c r="E1" s="988" t="s">
        <v>1150</v>
      </c>
      <c r="F1" s="988" t="s">
        <v>1151</v>
      </c>
      <c r="G1" s="992" t="s">
        <v>1152</v>
      </c>
      <c r="H1" s="992" t="s">
        <v>1153</v>
      </c>
      <c r="I1" s="992" t="s">
        <v>1154</v>
      </c>
      <c r="J1" s="992" t="s">
        <v>1155</v>
      </c>
      <c r="K1" s="992" t="s">
        <v>1156</v>
      </c>
      <c r="L1" s="992" t="s">
        <v>1157</v>
      </c>
      <c r="M1" s="992" t="s">
        <v>1158</v>
      </c>
      <c r="N1" s="992" t="s">
        <v>1159</v>
      </c>
      <c r="O1" s="992" t="s">
        <v>1160</v>
      </c>
      <c r="P1" s="992" t="s">
        <v>1161</v>
      </c>
      <c r="Q1" s="992" t="s">
        <v>1162</v>
      </c>
      <c r="R1" s="992" t="s">
        <v>1163</v>
      </c>
      <c r="S1" s="992" t="s">
        <v>1164</v>
      </c>
      <c r="T1" s="992" t="s">
        <v>1165</v>
      </c>
      <c r="U1" s="984" t="s">
        <v>1166</v>
      </c>
      <c r="V1" s="984" t="s">
        <v>1167</v>
      </c>
      <c r="W1" s="984" t="s">
        <v>1168</v>
      </c>
      <c r="X1" s="984" t="s">
        <v>1169</v>
      </c>
      <c r="Y1" s="984" t="s">
        <v>1170</v>
      </c>
      <c r="Z1" s="984" t="s">
        <v>1171</v>
      </c>
      <c r="AA1" s="984" t="s">
        <v>1172</v>
      </c>
      <c r="AB1" s="984" t="s">
        <v>1173</v>
      </c>
      <c r="AC1" s="984" t="s">
        <v>1174</v>
      </c>
      <c r="AD1" s="992" t="s">
        <v>1175</v>
      </c>
      <c r="AE1" s="992" t="s">
        <v>1176</v>
      </c>
      <c r="AF1" s="991" t="s">
        <v>1177</v>
      </c>
      <c r="AG1" s="990" t="s">
        <v>1178</v>
      </c>
    </row>
    <row r="2" spans="1:33" s="363" customFormat="1">
      <c r="A2" s="1277"/>
      <c r="B2" s="1278"/>
      <c r="C2" s="1279">
        <v>1</v>
      </c>
      <c r="D2" s="1279">
        <f>+C2+1</f>
        <v>2</v>
      </c>
      <c r="E2" s="1279">
        <f>+D2+1</f>
        <v>3</v>
      </c>
      <c r="F2" s="1279">
        <f t="shared" ref="F2:AG2" si="0">+E2+1</f>
        <v>4</v>
      </c>
      <c r="G2" s="1279">
        <f t="shared" si="0"/>
        <v>5</v>
      </c>
      <c r="H2" s="1279">
        <f t="shared" si="0"/>
        <v>6</v>
      </c>
      <c r="I2" s="1279">
        <f t="shared" si="0"/>
        <v>7</v>
      </c>
      <c r="J2" s="1279">
        <f t="shared" si="0"/>
        <v>8</v>
      </c>
      <c r="K2" s="1279">
        <f t="shared" si="0"/>
        <v>9</v>
      </c>
      <c r="L2" s="1279">
        <f t="shared" si="0"/>
        <v>10</v>
      </c>
      <c r="M2" s="1279">
        <f t="shared" si="0"/>
        <v>11</v>
      </c>
      <c r="N2" s="1279">
        <f t="shared" si="0"/>
        <v>12</v>
      </c>
      <c r="O2" s="1279">
        <f t="shared" si="0"/>
        <v>13</v>
      </c>
      <c r="P2" s="1279">
        <f t="shared" si="0"/>
        <v>14</v>
      </c>
      <c r="Q2" s="1279">
        <f t="shared" si="0"/>
        <v>15</v>
      </c>
      <c r="R2" s="1279">
        <f t="shared" si="0"/>
        <v>16</v>
      </c>
      <c r="S2" s="1279">
        <f t="shared" si="0"/>
        <v>17</v>
      </c>
      <c r="T2" s="1279">
        <f t="shared" si="0"/>
        <v>18</v>
      </c>
      <c r="U2" s="1279">
        <f t="shared" si="0"/>
        <v>19</v>
      </c>
      <c r="V2" s="1279">
        <f t="shared" si="0"/>
        <v>20</v>
      </c>
      <c r="W2" s="1279">
        <f t="shared" si="0"/>
        <v>21</v>
      </c>
      <c r="X2" s="1279">
        <f t="shared" si="0"/>
        <v>22</v>
      </c>
      <c r="Y2" s="1279">
        <f t="shared" si="0"/>
        <v>23</v>
      </c>
      <c r="Z2" s="1279">
        <f t="shared" si="0"/>
        <v>24</v>
      </c>
      <c r="AA2" s="1279">
        <f t="shared" si="0"/>
        <v>25</v>
      </c>
      <c r="AB2" s="1279">
        <f t="shared" si="0"/>
        <v>26</v>
      </c>
      <c r="AC2" s="1279">
        <f t="shared" si="0"/>
        <v>27</v>
      </c>
      <c r="AD2" s="1279">
        <f t="shared" si="0"/>
        <v>28</v>
      </c>
      <c r="AE2" s="1279">
        <f t="shared" si="0"/>
        <v>29</v>
      </c>
      <c r="AF2" s="1279">
        <f t="shared" si="0"/>
        <v>30</v>
      </c>
      <c r="AG2" s="1279">
        <f t="shared" si="0"/>
        <v>31</v>
      </c>
    </row>
    <row r="3" spans="1:33" s="363" customFormat="1" ht="25.95" hidden="1" customHeight="1">
      <c r="A3" s="943"/>
      <c r="B3" s="942"/>
      <c r="C3" s="944" t="s">
        <v>898</v>
      </c>
      <c r="D3" s="946" t="s">
        <v>953</v>
      </c>
      <c r="E3" s="946" t="s">
        <v>578</v>
      </c>
      <c r="F3" s="946" t="s">
        <v>566</v>
      </c>
      <c r="G3" s="946" t="s">
        <v>586</v>
      </c>
      <c r="H3" s="946" t="s">
        <v>586</v>
      </c>
      <c r="I3" s="946" t="s">
        <v>586</v>
      </c>
      <c r="J3" s="946" t="s">
        <v>586</v>
      </c>
      <c r="K3" s="946" t="s">
        <v>587</v>
      </c>
      <c r="L3" s="946" t="s">
        <v>586</v>
      </c>
      <c r="M3" s="946" t="s">
        <v>586</v>
      </c>
      <c r="N3" s="946" t="s">
        <v>586</v>
      </c>
      <c r="O3" s="946" t="s">
        <v>586</v>
      </c>
      <c r="P3" s="946" t="s">
        <v>586</v>
      </c>
      <c r="Q3" s="946" t="s">
        <v>586</v>
      </c>
      <c r="R3" s="946" t="s">
        <v>586</v>
      </c>
      <c r="S3" s="946" t="s">
        <v>586</v>
      </c>
      <c r="T3" s="946" t="s">
        <v>586</v>
      </c>
      <c r="U3" s="946" t="s">
        <v>586</v>
      </c>
      <c r="V3" s="946" t="s">
        <v>586</v>
      </c>
      <c r="W3" s="946" t="s">
        <v>586</v>
      </c>
      <c r="X3" s="946" t="s">
        <v>586</v>
      </c>
      <c r="Y3" s="946" t="s">
        <v>586</v>
      </c>
      <c r="Z3" s="946" t="s">
        <v>586</v>
      </c>
      <c r="AA3" s="946" t="s">
        <v>586</v>
      </c>
      <c r="AB3" s="946" t="s">
        <v>586</v>
      </c>
      <c r="AC3" s="946" t="s">
        <v>586</v>
      </c>
      <c r="AD3" s="946" t="s">
        <v>588</v>
      </c>
      <c r="AE3" s="946" t="s">
        <v>588</v>
      </c>
      <c r="AF3" s="944"/>
      <c r="AG3" s="944"/>
    </row>
    <row r="4" spans="1:33" ht="14.4" customHeight="1">
      <c r="A4" s="1272">
        <v>1</v>
      </c>
      <c r="B4" s="1273" t="s">
        <v>81</v>
      </c>
      <c r="C4" s="1274">
        <f>+'Table 2_State Distrib and Adjs'!AP7</f>
        <v>53673263</v>
      </c>
      <c r="D4" s="1275">
        <f>-'Table 5A3_OJJ'!T6</f>
        <v>-1766.4381536089777</v>
      </c>
      <c r="E4" s="1275"/>
      <c r="F4" s="1275"/>
      <c r="G4" s="1275">
        <f>-('Table 5C1A-Madison Prep'!AB7+'Table 5C1A-Madison Prep'!AE7)</f>
        <v>0</v>
      </c>
      <c r="H4" s="1275">
        <f>-('Table 5C1B-DArbonne'!AB7+'Table 5C1B-DArbonne'!AE7)</f>
        <v>0</v>
      </c>
      <c r="I4" s="1275">
        <f>-('Table 5C1C-Intl_VIBE'!AB7+'Table 5C1C-Intl_VIBE'!AE7)</f>
        <v>0</v>
      </c>
      <c r="J4" s="1275">
        <f>-('Table 5C1D-NOMMA'!AB7+'Table 5C1D-NOMMA'!AE7)</f>
        <v>0</v>
      </c>
      <c r="K4" s="1275">
        <f>-('Table 5C1E-LFNO'!AB7+'Table 5C1E-LFNO'!AE7)</f>
        <v>0</v>
      </c>
      <c r="L4" s="1275">
        <f>-('Table 5C1F-Lake Charles Charter'!AB7+'Table 5C1F-Lake Charles Charter'!AE7)</f>
        <v>0</v>
      </c>
      <c r="M4" s="1275">
        <f>-('Table 5C1G-JS Clark Academy'!AB7+'Table 5C1G-JS Clark Academy'!AE7)</f>
        <v>0</v>
      </c>
      <c r="N4" s="1275">
        <f>-('Table 5C1H-Southwest LA Charter'!AB7+'Table 5C1H-Southwest LA Charter'!AE7)</f>
        <v>0</v>
      </c>
      <c r="O4" s="1275">
        <f>-('Table 5C1I-LA Key Academy'!AB7+'Table 5C1I-LA Key Academy'!AE7)</f>
        <v>0</v>
      </c>
      <c r="P4" s="1275">
        <f>-('Table 5C1J-Jefferson Chamber'!AB7+'Table 5C1J-Jefferson Chamber'!AE7)</f>
        <v>0</v>
      </c>
      <c r="Q4" s="1275">
        <f>-('Table 5C1K-Tallulah Charter'!AB7+'Table 5C1K-Tallulah Charter'!AE7)</f>
        <v>0</v>
      </c>
      <c r="R4" s="1275">
        <f>-('Table 5C1L-Northshore Charter'!AB7+'Table 5C1L-Northshore Charter'!AE7)</f>
        <v>0</v>
      </c>
      <c r="S4" s="1275">
        <f>-('Table 5C1M-B.R. Charter'!AB7+'Table 5C1M-B.R. Charter'!AE7)</f>
        <v>0</v>
      </c>
      <c r="T4" s="1275">
        <f>-('Table 5C1N-Delta Charter'!AB7+'Table 5C1N-Delta Charter'!AE7)</f>
        <v>0</v>
      </c>
      <c r="U4" s="1275">
        <f>-('Table 5C1O-Impact'!AB7+'Table 5C1O-Impact'!AE7)</f>
        <v>0</v>
      </c>
      <c r="V4" s="1275">
        <f>-('Table 5C1P-Vision'!AB7+'Table 5C1P-Vision'!AE7)</f>
        <v>0</v>
      </c>
      <c r="W4" s="1275">
        <f>-('Table 5C1Q-Advantage'!AB7+'Table 5C1Q-Advantage'!AE7)</f>
        <v>0</v>
      </c>
      <c r="X4" s="1275">
        <f>-('Table 5C1R-Iberville'!AB7+'Table 5C1R-Iberville'!AE7)</f>
        <v>0</v>
      </c>
      <c r="Y4" s="1275">
        <f>-('Table 5C1S-L.C. Coll Prep'!AB7+'Table 5C1S-L.C. Coll Prep'!AE7)</f>
        <v>0</v>
      </c>
      <c r="Z4" s="1275">
        <f>-('Table 5C1T-Northeast'!AB7+'Table 5C1T-Northeast'!AE7)</f>
        <v>0</v>
      </c>
      <c r="AA4" s="1275">
        <f>-('Table 5C1U-Acadiana Ren'!AB7+'Table 5C1U-Acadiana Ren'!AE7)</f>
        <v>-28908</v>
      </c>
      <c r="AB4" s="1275">
        <f>-('Table 5C1V-Laf Ren'!AB7+'Table 5C1V-Laf Ren'!AE7)</f>
        <v>-28908</v>
      </c>
      <c r="AC4" s="1275">
        <f>-('Table 5C1W-Willow'!AB7+'Table 5C1W-Willow'!AE7)</f>
        <v>0</v>
      </c>
      <c r="AD4" s="1275">
        <f>-('Table 5C2 - LA Virtual Admy'!AC6+'Table 5C2 - LA Virtual Admy'!AF6)</f>
        <v>-39025.799999999996</v>
      </c>
      <c r="AE4" s="1275">
        <f>-('Table 5C3 - LA Connections EBR'!AC6+'Table 5C3 - LA Connections EBR'!AF6)</f>
        <v>-30353.399999999998</v>
      </c>
      <c r="AF4" s="1275">
        <f t="shared" ref="AF4:AF35" si="1">SUM(D4:AE4)</f>
        <v>-128961.63815360898</v>
      </c>
      <c r="AG4" s="1276">
        <f t="shared" ref="AG4:AG35" si="2">SUM(C4:AE4)</f>
        <v>53544301.361846395</v>
      </c>
    </row>
    <row r="5" spans="1:33" ht="14.4" customHeight="1">
      <c r="A5" s="1256">
        <v>2</v>
      </c>
      <c r="B5" s="1257" t="s">
        <v>82</v>
      </c>
      <c r="C5" s="1258">
        <f>+'Table 2_State Distrib and Adjs'!AP8</f>
        <v>29181269</v>
      </c>
      <c r="D5" s="1259">
        <f>-'Table 5A3_OJJ'!T7</f>
        <v>0</v>
      </c>
      <c r="E5" s="1259"/>
      <c r="F5" s="1259"/>
      <c r="G5" s="1259">
        <f>-('Table 5C1A-Madison Prep'!AB8+'Table 5C1A-Madison Prep'!AE8)</f>
        <v>0</v>
      </c>
      <c r="H5" s="1259">
        <f>-('Table 5C1B-DArbonne'!AB8+'Table 5C1B-DArbonne'!AE8)</f>
        <v>0</v>
      </c>
      <c r="I5" s="1259">
        <f>-('Table 5C1C-Intl_VIBE'!AB8+'Table 5C1C-Intl_VIBE'!AE8)</f>
        <v>0</v>
      </c>
      <c r="J5" s="1259">
        <f>-('Table 5C1D-NOMMA'!AB8+'Table 5C1D-NOMMA'!AE8)</f>
        <v>0</v>
      </c>
      <c r="K5" s="1259">
        <f>-('Table 5C1E-LFNO'!AB8+'Table 5C1E-LFNO'!AE8)</f>
        <v>0</v>
      </c>
      <c r="L5" s="1259">
        <f>-('Table 5C1F-Lake Charles Charter'!AB8+'Table 5C1F-Lake Charles Charter'!AE8)</f>
        <v>0</v>
      </c>
      <c r="M5" s="1259">
        <f>-('Table 5C1G-JS Clark Academy'!AB8+'Table 5C1G-JS Clark Academy'!AE8)</f>
        <v>0</v>
      </c>
      <c r="N5" s="1259">
        <f>-('Table 5C1H-Southwest LA Charter'!AB8+'Table 5C1H-Southwest LA Charter'!AE8)</f>
        <v>0</v>
      </c>
      <c r="O5" s="1259">
        <f>-('Table 5C1I-LA Key Academy'!AB8+'Table 5C1I-LA Key Academy'!AE8)</f>
        <v>0</v>
      </c>
      <c r="P5" s="1259">
        <f>-('Table 5C1J-Jefferson Chamber'!AB8+'Table 5C1J-Jefferson Chamber'!AE8)</f>
        <v>0</v>
      </c>
      <c r="Q5" s="1259">
        <f>-('Table 5C1K-Tallulah Charter'!AB8+'Table 5C1K-Tallulah Charter'!AE8)</f>
        <v>0</v>
      </c>
      <c r="R5" s="1259">
        <f>-('Table 5C1L-Northshore Charter'!AB8+'Table 5C1L-Northshore Charter'!AE8)</f>
        <v>0</v>
      </c>
      <c r="S5" s="1259">
        <f>-('Table 5C1M-B.R. Charter'!AB8+'Table 5C1M-B.R. Charter'!AE8)</f>
        <v>0</v>
      </c>
      <c r="T5" s="1259">
        <f>-('Table 5C1N-Delta Charter'!AB8+'Table 5C1N-Delta Charter'!AE8)</f>
        <v>0</v>
      </c>
      <c r="U5" s="1259">
        <f>-('Table 5C1O-Impact'!AB8+'Table 5C1O-Impact'!AE8)</f>
        <v>0</v>
      </c>
      <c r="V5" s="1259">
        <f>-('Table 5C1P-Vision'!AB8+'Table 5C1P-Vision'!AE8)</f>
        <v>0</v>
      </c>
      <c r="W5" s="1259">
        <f>-('Table 5C1Q-Advantage'!AB8+'Table 5C1Q-Advantage'!AE8)</f>
        <v>0</v>
      </c>
      <c r="X5" s="1259">
        <f>-('Table 5C1R-Iberville'!AB8+'Table 5C1R-Iberville'!AE8)</f>
        <v>0</v>
      </c>
      <c r="Y5" s="1259">
        <f>-('Table 5C1S-L.C. Coll Prep'!AB8+'Table 5C1S-L.C. Coll Prep'!AE8)</f>
        <v>0</v>
      </c>
      <c r="Z5" s="1259">
        <f>-('Table 5C1T-Northeast'!AB8+'Table 5C1T-Northeast'!AE8)</f>
        <v>0</v>
      </c>
      <c r="AA5" s="1259">
        <f>-('Table 5C1U-Acadiana Ren'!AB8+'Table 5C1U-Acadiana Ren'!AE8)</f>
        <v>0</v>
      </c>
      <c r="AB5" s="1259">
        <f>-('Table 5C1V-Laf Ren'!AB8+'Table 5C1V-Laf Ren'!AE8)</f>
        <v>0</v>
      </c>
      <c r="AC5" s="1259">
        <f>-('Table 5C1W-Willow'!AB8+'Table 5C1W-Willow'!AE8)</f>
        <v>0</v>
      </c>
      <c r="AD5" s="1259">
        <f>-('Table 5C2 - LA Virtual Admy'!AC7+'Table 5C2 - LA Virtual Admy'!AF7)</f>
        <v>-20368.8</v>
      </c>
      <c r="AE5" s="1259">
        <f>-('Table 5C3 - LA Connections EBR'!AC7+'Table 5C3 - LA Connections EBR'!AF7)</f>
        <v>-22914.899999999998</v>
      </c>
      <c r="AF5" s="1259">
        <f t="shared" si="1"/>
        <v>-43283.7</v>
      </c>
      <c r="AG5" s="1281">
        <f t="shared" si="2"/>
        <v>29137985.300000001</v>
      </c>
    </row>
    <row r="6" spans="1:33" ht="14.4" customHeight="1">
      <c r="A6" s="1256">
        <v>3</v>
      </c>
      <c r="B6" s="1257" t="s">
        <v>83</v>
      </c>
      <c r="C6" s="1258">
        <f>+'Table 2_State Distrib and Adjs'!AP9</f>
        <v>99335542</v>
      </c>
      <c r="D6" s="1259">
        <f>-'Table 5A3_OJJ'!T8</f>
        <v>-3623.1259678419769</v>
      </c>
      <c r="E6" s="1259"/>
      <c r="F6" s="1259"/>
      <c r="G6" s="1259">
        <f>-('Table 5C1A-Madison Prep'!AB9+'Table 5C1A-Madison Prep'!AE9)</f>
        <v>0</v>
      </c>
      <c r="H6" s="1259">
        <f>-('Table 5C1B-DArbonne'!AB9+'Table 5C1B-DArbonne'!AE9)</f>
        <v>0</v>
      </c>
      <c r="I6" s="1259">
        <f>-('Table 5C1C-Intl_VIBE'!AB9+'Table 5C1C-Intl_VIBE'!AE9)</f>
        <v>0</v>
      </c>
      <c r="J6" s="1259">
        <f>-('Table 5C1D-NOMMA'!AB9+'Table 5C1D-NOMMA'!AE9)</f>
        <v>0</v>
      </c>
      <c r="K6" s="1259">
        <f>-('Table 5C1E-LFNO'!AB9+'Table 5C1E-LFNO'!AE9)</f>
        <v>0</v>
      </c>
      <c r="L6" s="1259">
        <f>-('Table 5C1F-Lake Charles Charter'!AB9+'Table 5C1F-Lake Charles Charter'!AE9)</f>
        <v>0</v>
      </c>
      <c r="M6" s="1259">
        <f>-('Table 5C1G-JS Clark Academy'!AB9+'Table 5C1G-JS Clark Academy'!AE9)</f>
        <v>0</v>
      </c>
      <c r="N6" s="1259">
        <f>-('Table 5C1H-Southwest LA Charter'!AB9+'Table 5C1H-Southwest LA Charter'!AE9)</f>
        <v>0</v>
      </c>
      <c r="O6" s="1259">
        <f>-('Table 5C1I-LA Key Academy'!AB9+'Table 5C1I-LA Key Academy'!AE9)</f>
        <v>-46160</v>
      </c>
      <c r="P6" s="1259">
        <f>-('Table 5C1J-Jefferson Chamber'!AB9+'Table 5C1J-Jefferson Chamber'!AE9)</f>
        <v>0</v>
      </c>
      <c r="Q6" s="1259">
        <f>-('Table 5C1K-Tallulah Charter'!AB9+'Table 5C1K-Tallulah Charter'!AE9)</f>
        <v>0</v>
      </c>
      <c r="R6" s="1259">
        <f>-('Table 5C1L-Northshore Charter'!AB9+'Table 5C1L-Northshore Charter'!AE9)</f>
        <v>0</v>
      </c>
      <c r="S6" s="1259">
        <f>-('Table 5C1M-B.R. Charter'!AB9+'Table 5C1M-B.R. Charter'!AE9)</f>
        <v>-5770</v>
      </c>
      <c r="T6" s="1259">
        <f>-('Table 5C1N-Delta Charter'!AB9+'Table 5C1N-Delta Charter'!AE9)</f>
        <v>0</v>
      </c>
      <c r="U6" s="1259">
        <f>-('Table 5C1O-Impact'!AB9+'Table 5C1O-Impact'!AE9)</f>
        <v>0</v>
      </c>
      <c r="V6" s="1259">
        <f>-('Table 5C1P-Vision'!AB9+'Table 5C1P-Vision'!AE9)</f>
        <v>0</v>
      </c>
      <c r="W6" s="1259">
        <f>-('Table 5C1Q-Advantage'!AB9+'Table 5C1Q-Advantage'!AE9)</f>
        <v>0</v>
      </c>
      <c r="X6" s="1259">
        <f>-('Table 5C1R-Iberville'!AB9+'Table 5C1R-Iberville'!AE9)</f>
        <v>-46160</v>
      </c>
      <c r="Y6" s="1259">
        <f>-('Table 5C1S-L.C. Coll Prep'!AB9+'Table 5C1S-L.C. Coll Prep'!AE9)</f>
        <v>0</v>
      </c>
      <c r="Z6" s="1259">
        <f>-('Table 5C1T-Northeast'!AB9+'Table 5C1T-Northeast'!AE9)</f>
        <v>0</v>
      </c>
      <c r="AA6" s="1259">
        <f>-('Table 5C1U-Acadiana Ren'!AB9+'Table 5C1U-Acadiana Ren'!AE9)</f>
        <v>0</v>
      </c>
      <c r="AB6" s="1259">
        <f>-('Table 5C1V-Laf Ren'!AB9+'Table 5C1V-Laf Ren'!AE9)</f>
        <v>0</v>
      </c>
      <c r="AC6" s="1259">
        <f>-('Table 5C1W-Willow'!AB9+'Table 5C1W-Willow'!AE9)</f>
        <v>0</v>
      </c>
      <c r="AD6" s="1259">
        <f>-('Table 5C2 - LA Virtual Admy'!AC8+'Table 5C2 - LA Virtual Admy'!AF8)</f>
        <v>-275229</v>
      </c>
      <c r="AE6" s="1259">
        <f>-('Table 5C3 - LA Connections EBR'!AC8+'Table 5C3 - LA Connections EBR'!AF8)</f>
        <v>-223299</v>
      </c>
      <c r="AF6" s="1259">
        <f t="shared" si="1"/>
        <v>-600241.12596784194</v>
      </c>
      <c r="AG6" s="1281">
        <f t="shared" si="2"/>
        <v>98735300.874032155</v>
      </c>
    </row>
    <row r="7" spans="1:33" ht="14.4" customHeight="1">
      <c r="A7" s="1256">
        <v>4</v>
      </c>
      <c r="B7" s="1257" t="s">
        <v>84</v>
      </c>
      <c r="C7" s="1258">
        <f>+'Table 2_State Distrib and Adjs'!AP10</f>
        <v>24028641</v>
      </c>
      <c r="D7" s="1259">
        <f>-'Table 5A3_OJJ'!T9</f>
        <v>-2679.0377702979067</v>
      </c>
      <c r="E7" s="1259"/>
      <c r="F7" s="1259"/>
      <c r="G7" s="1259">
        <f>-('Table 5C1A-Madison Prep'!AB10+'Table 5C1A-Madison Prep'!AE10)</f>
        <v>0</v>
      </c>
      <c r="H7" s="1259">
        <f>-('Table 5C1B-DArbonne'!AB10+'Table 5C1B-DArbonne'!AE10)</f>
        <v>0</v>
      </c>
      <c r="I7" s="1259">
        <f>-('Table 5C1C-Intl_VIBE'!AB10+'Table 5C1C-Intl_VIBE'!AE10)</f>
        <v>0</v>
      </c>
      <c r="J7" s="1259">
        <f>-('Table 5C1D-NOMMA'!AB10+'Table 5C1D-NOMMA'!AE10)</f>
        <v>0</v>
      </c>
      <c r="K7" s="1259">
        <f>-('Table 5C1E-LFNO'!AB10+'Table 5C1E-LFNO'!AE10)</f>
        <v>0</v>
      </c>
      <c r="L7" s="1259">
        <f>-('Table 5C1F-Lake Charles Charter'!AB10+'Table 5C1F-Lake Charles Charter'!AE10)</f>
        <v>0</v>
      </c>
      <c r="M7" s="1259">
        <f>-('Table 5C1G-JS Clark Academy'!AB10+'Table 5C1G-JS Clark Academy'!AE10)</f>
        <v>0</v>
      </c>
      <c r="N7" s="1259">
        <f>-('Table 5C1H-Southwest LA Charter'!AB10+'Table 5C1H-Southwest LA Charter'!AE10)</f>
        <v>0</v>
      </c>
      <c r="O7" s="1259">
        <f>-('Table 5C1I-LA Key Academy'!AB10+'Table 5C1I-LA Key Academy'!AE10)</f>
        <v>0</v>
      </c>
      <c r="P7" s="1259">
        <f>-('Table 5C1J-Jefferson Chamber'!AB10+'Table 5C1J-Jefferson Chamber'!AE10)</f>
        <v>0</v>
      </c>
      <c r="Q7" s="1259">
        <f>-('Table 5C1K-Tallulah Charter'!AB10+'Table 5C1K-Tallulah Charter'!AE10)</f>
        <v>0</v>
      </c>
      <c r="R7" s="1259">
        <f>-('Table 5C1L-Northshore Charter'!AB10+'Table 5C1L-Northshore Charter'!AE10)</f>
        <v>0</v>
      </c>
      <c r="S7" s="1259">
        <f>-('Table 5C1M-B.R. Charter'!AB10+'Table 5C1M-B.R. Charter'!AE10)</f>
        <v>0</v>
      </c>
      <c r="T7" s="1259">
        <f>-('Table 5C1N-Delta Charter'!AB10+'Table 5C1N-Delta Charter'!AE10)</f>
        <v>0</v>
      </c>
      <c r="U7" s="1259">
        <f>-('Table 5C1O-Impact'!AB10+'Table 5C1O-Impact'!AE10)</f>
        <v>0</v>
      </c>
      <c r="V7" s="1259">
        <f>-('Table 5C1P-Vision'!AB10+'Table 5C1P-Vision'!AE10)</f>
        <v>0</v>
      </c>
      <c r="W7" s="1259">
        <f>-('Table 5C1Q-Advantage'!AB10+'Table 5C1Q-Advantage'!AE10)</f>
        <v>0</v>
      </c>
      <c r="X7" s="1259">
        <f>-('Table 5C1R-Iberville'!AB10+'Table 5C1R-Iberville'!AE10)</f>
        <v>0</v>
      </c>
      <c r="Y7" s="1259">
        <f>-('Table 5C1S-L.C. Coll Prep'!AB10+'Table 5C1S-L.C. Coll Prep'!AE10)</f>
        <v>0</v>
      </c>
      <c r="Z7" s="1259">
        <f>-('Table 5C1T-Northeast'!AB10+'Table 5C1T-Northeast'!AE10)</f>
        <v>0</v>
      </c>
      <c r="AA7" s="1259">
        <f>-('Table 5C1U-Acadiana Ren'!AB10+'Table 5C1U-Acadiana Ren'!AE10)</f>
        <v>0</v>
      </c>
      <c r="AB7" s="1259">
        <f>-('Table 5C1V-Laf Ren'!AB10+'Table 5C1V-Laf Ren'!AE10)</f>
        <v>0</v>
      </c>
      <c r="AC7" s="1259">
        <f>-('Table 5C1W-Willow'!AB10+'Table 5C1W-Willow'!AE10)</f>
        <v>0</v>
      </c>
      <c r="AD7" s="1259">
        <f>-('Table 5C2 - LA Virtual Admy'!AC9+'Table 5C2 - LA Virtual Admy'!AF9)</f>
        <v>-2958.3</v>
      </c>
      <c r="AE7" s="1259">
        <f>-('Table 5C3 - LA Connections EBR'!AC9+'Table 5C3 - LA Connections EBR'!AF9)</f>
        <v>-8874.9000000000015</v>
      </c>
      <c r="AF7" s="1259">
        <f t="shared" si="1"/>
        <v>-14512.237770297908</v>
      </c>
      <c r="AG7" s="1281">
        <f t="shared" si="2"/>
        <v>24014128.762229703</v>
      </c>
    </row>
    <row r="8" spans="1:33" ht="14.4" customHeight="1">
      <c r="A8" s="85">
        <v>5</v>
      </c>
      <c r="B8" s="207" t="s">
        <v>85</v>
      </c>
      <c r="C8" s="209">
        <f>+'Table 2_State Distrib and Adjs'!AP11</f>
        <v>32741164</v>
      </c>
      <c r="D8" s="219">
        <f>-'Table 5A3_OJJ'!T10</f>
        <v>-2234.0757890367959</v>
      </c>
      <c r="E8" s="219"/>
      <c r="F8" s="219"/>
      <c r="G8" s="219">
        <f>-('Table 5C1A-Madison Prep'!AB11+'Table 5C1A-Madison Prep'!AE11)</f>
        <v>0</v>
      </c>
      <c r="H8" s="219">
        <f>-('Table 5C1B-DArbonne'!AB11+'Table 5C1B-DArbonne'!AE11)</f>
        <v>0</v>
      </c>
      <c r="I8" s="219">
        <f>-('Table 5C1C-Intl_VIBE'!AB11+'Table 5C1C-Intl_VIBE'!AE11)</f>
        <v>0</v>
      </c>
      <c r="J8" s="219">
        <f>-('Table 5C1D-NOMMA'!AB11+'Table 5C1D-NOMMA'!AE11)</f>
        <v>0</v>
      </c>
      <c r="K8" s="219">
        <f>-('Table 5C1E-LFNO'!AB11+'Table 5C1E-LFNO'!AE11)</f>
        <v>0</v>
      </c>
      <c r="L8" s="219">
        <f>-('Table 5C1F-Lake Charles Charter'!AB11+'Table 5C1F-Lake Charles Charter'!AE11)</f>
        <v>0</v>
      </c>
      <c r="M8" s="219">
        <f>-('Table 5C1G-JS Clark Academy'!AB11+'Table 5C1G-JS Clark Academy'!AE11)</f>
        <v>0</v>
      </c>
      <c r="N8" s="219">
        <f>-('Table 5C1H-Southwest LA Charter'!AB11+'Table 5C1H-Southwest LA Charter'!AE11)</f>
        <v>0</v>
      </c>
      <c r="O8" s="219">
        <f>-('Table 5C1I-LA Key Academy'!AB11+'Table 5C1I-LA Key Academy'!AE11)</f>
        <v>0</v>
      </c>
      <c r="P8" s="219">
        <f>-('Table 5C1J-Jefferson Chamber'!AB11+'Table 5C1J-Jefferson Chamber'!AE11)</f>
        <v>0</v>
      </c>
      <c r="Q8" s="219">
        <f>-('Table 5C1K-Tallulah Charter'!AB11+'Table 5C1K-Tallulah Charter'!AE11)</f>
        <v>0</v>
      </c>
      <c r="R8" s="219">
        <f>-('Table 5C1L-Northshore Charter'!AB11+'Table 5C1L-Northshore Charter'!AE11)</f>
        <v>0</v>
      </c>
      <c r="S8" s="219">
        <f>-('Table 5C1M-B.R. Charter'!AB11+'Table 5C1M-B.R. Charter'!AE11)</f>
        <v>0</v>
      </c>
      <c r="T8" s="219">
        <f>-('Table 5C1N-Delta Charter'!AB11+'Table 5C1N-Delta Charter'!AE11)</f>
        <v>0</v>
      </c>
      <c r="U8" s="219">
        <f>-('Table 5C1O-Impact'!AB11+'Table 5C1O-Impact'!AE11)</f>
        <v>0</v>
      </c>
      <c r="V8" s="219">
        <f>-('Table 5C1P-Vision'!AB11+'Table 5C1P-Vision'!AE11)</f>
        <v>0</v>
      </c>
      <c r="W8" s="219">
        <f>-('Table 5C1Q-Advantage'!AB11+'Table 5C1Q-Advantage'!AE11)</f>
        <v>0</v>
      </c>
      <c r="X8" s="219">
        <f>-('Table 5C1R-Iberville'!AB11+'Table 5C1R-Iberville'!AE11)</f>
        <v>0</v>
      </c>
      <c r="Y8" s="219">
        <f>-('Table 5C1S-L.C. Coll Prep'!AB11+'Table 5C1S-L.C. Coll Prep'!AE11)</f>
        <v>0</v>
      </c>
      <c r="Z8" s="219">
        <f>-('Table 5C1T-Northeast'!AB11+'Table 5C1T-Northeast'!AE11)</f>
        <v>0</v>
      </c>
      <c r="AA8" s="219">
        <f>-('Table 5C1U-Acadiana Ren'!AB11+'Table 5C1U-Acadiana Ren'!AE11)</f>
        <v>0</v>
      </c>
      <c r="AB8" s="219">
        <f>-('Table 5C1V-Laf Ren'!AB11+'Table 5C1V-Laf Ren'!AE11)</f>
        <v>0</v>
      </c>
      <c r="AC8" s="219">
        <f>-('Table 5C1W-Willow'!AB11+'Table 5C1W-Willow'!AE11)</f>
        <v>0</v>
      </c>
      <c r="AD8" s="219">
        <f>-('Table 5C2 - LA Virtual Admy'!AC10+'Table 5C2 - LA Virtual Admy'!AF10)</f>
        <v>-48409.200000000004</v>
      </c>
      <c r="AE8" s="219">
        <f>-('Table 5C3 - LA Connections EBR'!AC10+'Table 5C3 - LA Connections EBR'!AF10)</f>
        <v>-20746.800000000003</v>
      </c>
      <c r="AF8" s="219">
        <f t="shared" si="1"/>
        <v>-71390.075789036811</v>
      </c>
      <c r="AG8" s="364">
        <f t="shared" si="2"/>
        <v>32669773.924210962</v>
      </c>
    </row>
    <row r="9" spans="1:33" ht="14.4" customHeight="1">
      <c r="A9" s="1272">
        <v>6</v>
      </c>
      <c r="B9" s="1273" t="s">
        <v>86</v>
      </c>
      <c r="C9" s="1274">
        <f>+'Table 2_State Distrib and Adjs'!AP12</f>
        <v>34791009</v>
      </c>
      <c r="D9" s="1275">
        <f>-'Table 5A3_OJJ'!T11</f>
        <v>-7435.0857705488634</v>
      </c>
      <c r="E9" s="1275"/>
      <c r="F9" s="1275"/>
      <c r="G9" s="1275">
        <f>-('Table 5C1A-Madison Prep'!AB12+'Table 5C1A-Madison Prep'!AE12)</f>
        <v>0</v>
      </c>
      <c r="H9" s="1275">
        <f>-('Table 5C1B-DArbonne'!AB12+'Table 5C1B-DArbonne'!AE12)</f>
        <v>0</v>
      </c>
      <c r="I9" s="1275">
        <f>-('Table 5C1C-Intl_VIBE'!AB12+'Table 5C1C-Intl_VIBE'!AE12)</f>
        <v>0</v>
      </c>
      <c r="J9" s="1275">
        <f>-('Table 5C1D-NOMMA'!AB12+'Table 5C1D-NOMMA'!AE12)</f>
        <v>0</v>
      </c>
      <c r="K9" s="1275">
        <f>-('Table 5C1E-LFNO'!AB12+'Table 5C1E-LFNO'!AE12)</f>
        <v>0</v>
      </c>
      <c r="L9" s="1275">
        <f>-('Table 5C1F-Lake Charles Charter'!AB12+'Table 5C1F-Lake Charles Charter'!AE12)</f>
        <v>0</v>
      </c>
      <c r="M9" s="1275">
        <f>-('Table 5C1G-JS Clark Academy'!AB12+'Table 5C1G-JS Clark Academy'!AE12)</f>
        <v>0</v>
      </c>
      <c r="N9" s="1275">
        <f>-('Table 5C1H-Southwest LA Charter'!AB12+'Table 5C1H-Southwest LA Charter'!AE12)</f>
        <v>0</v>
      </c>
      <c r="O9" s="1275">
        <f>-('Table 5C1I-LA Key Academy'!AB12+'Table 5C1I-LA Key Academy'!AE12)</f>
        <v>0</v>
      </c>
      <c r="P9" s="1275">
        <f>-('Table 5C1J-Jefferson Chamber'!AB12+'Table 5C1J-Jefferson Chamber'!AE12)</f>
        <v>0</v>
      </c>
      <c r="Q9" s="1275">
        <f>-('Table 5C1K-Tallulah Charter'!AB12+'Table 5C1K-Tallulah Charter'!AE12)</f>
        <v>0</v>
      </c>
      <c r="R9" s="1275">
        <f>-('Table 5C1L-Northshore Charter'!AB12+'Table 5C1L-Northshore Charter'!AE12)</f>
        <v>0</v>
      </c>
      <c r="S9" s="1275">
        <f>-('Table 5C1M-B.R. Charter'!AB12+'Table 5C1M-B.R. Charter'!AE12)</f>
        <v>0</v>
      </c>
      <c r="T9" s="1275">
        <f>-('Table 5C1N-Delta Charter'!AB12+'Table 5C1N-Delta Charter'!AE12)</f>
        <v>0</v>
      </c>
      <c r="U9" s="1275">
        <f>-('Table 5C1O-Impact'!AB12+'Table 5C1O-Impact'!AE12)</f>
        <v>0</v>
      </c>
      <c r="V9" s="1275">
        <f>-('Table 5C1P-Vision'!AB12+'Table 5C1P-Vision'!AE12)</f>
        <v>0</v>
      </c>
      <c r="W9" s="1275">
        <f>-('Table 5C1Q-Advantage'!AB12+'Table 5C1Q-Advantage'!AE12)</f>
        <v>0</v>
      </c>
      <c r="X9" s="1275">
        <f>-('Table 5C1R-Iberville'!AB12+'Table 5C1R-Iberville'!AE12)</f>
        <v>0</v>
      </c>
      <c r="Y9" s="1275">
        <f>-('Table 5C1S-L.C. Coll Prep'!AB12+'Table 5C1S-L.C. Coll Prep'!AE12)</f>
        <v>0</v>
      </c>
      <c r="Z9" s="1275">
        <f>-('Table 5C1T-Northeast'!AB12+'Table 5C1T-Northeast'!AE12)</f>
        <v>0</v>
      </c>
      <c r="AA9" s="1275">
        <f>-('Table 5C1U-Acadiana Ren'!AB12+'Table 5C1U-Acadiana Ren'!AE12)</f>
        <v>0</v>
      </c>
      <c r="AB9" s="1275">
        <f>-('Table 5C1V-Laf Ren'!AB12+'Table 5C1V-Laf Ren'!AE12)</f>
        <v>0</v>
      </c>
      <c r="AC9" s="1275">
        <f>-('Table 5C1W-Willow'!AB12+'Table 5C1W-Willow'!AE12)</f>
        <v>0</v>
      </c>
      <c r="AD9" s="1275">
        <f>-('Table 5C2 - LA Virtual Admy'!AC11+'Table 5C2 - LA Virtual Admy'!AF11)</f>
        <v>-71952.3</v>
      </c>
      <c r="AE9" s="1275">
        <f>-('Table 5C3 - LA Connections EBR'!AC11+'Table 5C3 - LA Connections EBR'!AF11)</f>
        <v>-34263</v>
      </c>
      <c r="AF9" s="1275">
        <f t="shared" si="1"/>
        <v>-113650.38577054886</v>
      </c>
      <c r="AG9" s="1276">
        <f t="shared" si="2"/>
        <v>34677358.614229456</v>
      </c>
    </row>
    <row r="10" spans="1:33" ht="14.4" customHeight="1">
      <c r="A10" s="1256">
        <v>7</v>
      </c>
      <c r="B10" s="1257" t="s">
        <v>87</v>
      </c>
      <c r="C10" s="1258">
        <f>+'Table 2_State Distrib and Adjs'!AP13</f>
        <v>6557779</v>
      </c>
      <c r="D10" s="1259">
        <f>-'Table 5A3_OJJ'!T12</f>
        <v>-2639.701715919799</v>
      </c>
      <c r="E10" s="1259"/>
      <c r="F10" s="1259"/>
      <c r="G10" s="1259">
        <f>-('Table 5C1A-Madison Prep'!AB13+'Table 5C1A-Madison Prep'!AE13)</f>
        <v>0</v>
      </c>
      <c r="H10" s="1259">
        <f>-('Table 5C1B-DArbonne'!AB13+'Table 5C1B-DArbonne'!AE13)</f>
        <v>0</v>
      </c>
      <c r="I10" s="1259">
        <f>-('Table 5C1C-Intl_VIBE'!AB13+'Table 5C1C-Intl_VIBE'!AE13)</f>
        <v>0</v>
      </c>
      <c r="J10" s="1259">
        <f>-('Table 5C1D-NOMMA'!AB13+'Table 5C1D-NOMMA'!AE13)</f>
        <v>0</v>
      </c>
      <c r="K10" s="1259">
        <f>-('Table 5C1E-LFNO'!AB13+'Table 5C1E-LFNO'!AE13)</f>
        <v>0</v>
      </c>
      <c r="L10" s="1259">
        <f>-('Table 5C1F-Lake Charles Charter'!AB13+'Table 5C1F-Lake Charles Charter'!AE13)</f>
        <v>0</v>
      </c>
      <c r="M10" s="1259">
        <f>-('Table 5C1G-JS Clark Academy'!AB13+'Table 5C1G-JS Clark Academy'!AE13)</f>
        <v>0</v>
      </c>
      <c r="N10" s="1259">
        <f>-('Table 5C1H-Southwest LA Charter'!AB13+'Table 5C1H-Southwest LA Charter'!AE13)</f>
        <v>0</v>
      </c>
      <c r="O10" s="1259">
        <f>-('Table 5C1I-LA Key Academy'!AB13+'Table 5C1I-LA Key Academy'!AE13)</f>
        <v>0</v>
      </c>
      <c r="P10" s="1259">
        <f>-('Table 5C1J-Jefferson Chamber'!AB13+'Table 5C1J-Jefferson Chamber'!AE13)</f>
        <v>0</v>
      </c>
      <c r="Q10" s="1259">
        <f>-('Table 5C1K-Tallulah Charter'!AB13+'Table 5C1K-Tallulah Charter'!AE13)</f>
        <v>0</v>
      </c>
      <c r="R10" s="1259">
        <f>-('Table 5C1L-Northshore Charter'!AB13+'Table 5C1L-Northshore Charter'!AE13)</f>
        <v>0</v>
      </c>
      <c r="S10" s="1259">
        <f>-('Table 5C1M-B.R. Charter'!AB13+'Table 5C1M-B.R. Charter'!AE13)</f>
        <v>0</v>
      </c>
      <c r="T10" s="1259">
        <f>-('Table 5C1N-Delta Charter'!AB13+'Table 5C1N-Delta Charter'!AE13)</f>
        <v>0</v>
      </c>
      <c r="U10" s="1259">
        <f>-('Table 5C1O-Impact'!AB13+'Table 5C1O-Impact'!AE13)</f>
        <v>0</v>
      </c>
      <c r="V10" s="1259">
        <f>-('Table 5C1P-Vision'!AB13+'Table 5C1P-Vision'!AE13)</f>
        <v>0</v>
      </c>
      <c r="W10" s="1259">
        <f>-('Table 5C1Q-Advantage'!AB13+'Table 5C1Q-Advantage'!AE13)</f>
        <v>0</v>
      </c>
      <c r="X10" s="1259">
        <f>-('Table 5C1R-Iberville'!AB13+'Table 5C1R-Iberville'!AE13)</f>
        <v>0</v>
      </c>
      <c r="Y10" s="1259">
        <f>-('Table 5C1S-L.C. Coll Prep'!AB13+'Table 5C1S-L.C. Coll Prep'!AE13)</f>
        <v>0</v>
      </c>
      <c r="Z10" s="1259">
        <f>-('Table 5C1T-Northeast'!AB13+'Table 5C1T-Northeast'!AE13)</f>
        <v>0</v>
      </c>
      <c r="AA10" s="1259">
        <f>-('Table 5C1U-Acadiana Ren'!AB13+'Table 5C1U-Acadiana Ren'!AE13)</f>
        <v>0</v>
      </c>
      <c r="AB10" s="1259">
        <f>-('Table 5C1V-Laf Ren'!AB13+'Table 5C1V-Laf Ren'!AE13)</f>
        <v>0</v>
      </c>
      <c r="AC10" s="1259">
        <f>-('Table 5C1W-Willow'!AB13+'Table 5C1W-Willow'!AE13)</f>
        <v>0</v>
      </c>
      <c r="AD10" s="1259">
        <f>-('Table 5C2 - LA Virtual Admy'!AC12+'Table 5C2 - LA Virtual Admy'!AF12)</f>
        <v>-64195.200000000004</v>
      </c>
      <c r="AE10" s="1259">
        <f>-('Table 5C3 - LA Connections EBR'!AC12+'Table 5C3 - LA Connections EBR'!AF12)</f>
        <v>-64195.200000000004</v>
      </c>
      <c r="AF10" s="1259">
        <f t="shared" si="1"/>
        <v>-131030.10171591979</v>
      </c>
      <c r="AG10" s="1281">
        <f t="shared" si="2"/>
        <v>6426748.8982840795</v>
      </c>
    </row>
    <row r="11" spans="1:33" ht="14.4" customHeight="1">
      <c r="A11" s="1256">
        <v>8</v>
      </c>
      <c r="B11" s="1257" t="s">
        <v>88</v>
      </c>
      <c r="C11" s="1258">
        <f>+'Table 2_State Distrib and Adjs'!AP14</f>
        <v>116058611</v>
      </c>
      <c r="D11" s="1259">
        <f>-'Table 5A3_OJJ'!T13</f>
        <v>-25998.873475493954</v>
      </c>
      <c r="E11" s="1259"/>
      <c r="F11" s="1259"/>
      <c r="G11" s="1259">
        <f>-('Table 5C1A-Madison Prep'!AB14+'Table 5C1A-Madison Prep'!AE14)</f>
        <v>0</v>
      </c>
      <c r="H11" s="1259">
        <f>-('Table 5C1B-DArbonne'!AB14+'Table 5C1B-DArbonne'!AE14)</f>
        <v>0</v>
      </c>
      <c r="I11" s="1259">
        <f>-('Table 5C1C-Intl_VIBE'!AB14+'Table 5C1C-Intl_VIBE'!AE14)</f>
        <v>0</v>
      </c>
      <c r="J11" s="1259">
        <f>-('Table 5C1D-NOMMA'!AB14+'Table 5C1D-NOMMA'!AE14)</f>
        <v>0</v>
      </c>
      <c r="K11" s="1259">
        <f>-('Table 5C1E-LFNO'!AB14+'Table 5C1E-LFNO'!AE14)</f>
        <v>0</v>
      </c>
      <c r="L11" s="1259">
        <f>-('Table 5C1F-Lake Charles Charter'!AB14+'Table 5C1F-Lake Charles Charter'!AE14)</f>
        <v>0</v>
      </c>
      <c r="M11" s="1259">
        <f>-('Table 5C1G-JS Clark Academy'!AB14+'Table 5C1G-JS Clark Academy'!AE14)</f>
        <v>0</v>
      </c>
      <c r="N11" s="1259">
        <f>-('Table 5C1H-Southwest LA Charter'!AB14+'Table 5C1H-Southwest LA Charter'!AE14)</f>
        <v>0</v>
      </c>
      <c r="O11" s="1259">
        <f>-('Table 5C1I-LA Key Academy'!AB14+'Table 5C1I-LA Key Academy'!AE14)</f>
        <v>0</v>
      </c>
      <c r="P11" s="1259">
        <f>-('Table 5C1J-Jefferson Chamber'!AB14+'Table 5C1J-Jefferson Chamber'!AE14)</f>
        <v>0</v>
      </c>
      <c r="Q11" s="1259">
        <f>-('Table 5C1K-Tallulah Charter'!AB14+'Table 5C1K-Tallulah Charter'!AE14)</f>
        <v>0</v>
      </c>
      <c r="R11" s="1259">
        <f>-('Table 5C1L-Northshore Charter'!AB14+'Table 5C1L-Northshore Charter'!AE14)</f>
        <v>0</v>
      </c>
      <c r="S11" s="1259">
        <f>-('Table 5C1M-B.R. Charter'!AB14+'Table 5C1M-B.R. Charter'!AE14)</f>
        <v>0</v>
      </c>
      <c r="T11" s="1259">
        <f>-('Table 5C1N-Delta Charter'!AB14+'Table 5C1N-Delta Charter'!AE14)</f>
        <v>0</v>
      </c>
      <c r="U11" s="1259">
        <f>-('Table 5C1O-Impact'!AB14+'Table 5C1O-Impact'!AE14)</f>
        <v>0</v>
      </c>
      <c r="V11" s="1259">
        <f>-('Table 5C1P-Vision'!AB14+'Table 5C1P-Vision'!AE14)</f>
        <v>0</v>
      </c>
      <c r="W11" s="1259">
        <f>-('Table 5C1Q-Advantage'!AB14+'Table 5C1Q-Advantage'!AE14)</f>
        <v>0</v>
      </c>
      <c r="X11" s="1259">
        <f>-('Table 5C1R-Iberville'!AB14+'Table 5C1R-Iberville'!AE14)</f>
        <v>0</v>
      </c>
      <c r="Y11" s="1259">
        <f>-('Table 5C1S-L.C. Coll Prep'!AB14+'Table 5C1S-L.C. Coll Prep'!AE14)</f>
        <v>0</v>
      </c>
      <c r="Z11" s="1259">
        <f>-('Table 5C1T-Northeast'!AB14+'Table 5C1T-Northeast'!AE14)</f>
        <v>0</v>
      </c>
      <c r="AA11" s="1259">
        <f>-('Table 5C1U-Acadiana Ren'!AB14+'Table 5C1U-Acadiana Ren'!AE14)</f>
        <v>0</v>
      </c>
      <c r="AB11" s="1259">
        <f>-('Table 5C1V-Laf Ren'!AB14+'Table 5C1V-Laf Ren'!AE14)</f>
        <v>0</v>
      </c>
      <c r="AC11" s="1259">
        <f>-('Table 5C1W-Willow'!AB14+'Table 5C1W-Willow'!AE14)</f>
        <v>0</v>
      </c>
      <c r="AD11" s="1259">
        <f>-('Table 5C2 - LA Virtual Admy'!AC13+'Table 5C2 - LA Virtual Admy'!AF13)</f>
        <v>-246268.79999999999</v>
      </c>
      <c r="AE11" s="1259">
        <f>-('Table 5C3 - LA Connections EBR'!AC13+'Table 5C3 - LA Connections EBR'!AF13)</f>
        <v>-141242.4</v>
      </c>
      <c r="AF11" s="1259">
        <f t="shared" si="1"/>
        <v>-413510.07347549393</v>
      </c>
      <c r="AG11" s="1281">
        <f t="shared" si="2"/>
        <v>115645100.92652451</v>
      </c>
    </row>
    <row r="12" spans="1:33" ht="14.4" customHeight="1">
      <c r="A12" s="1256">
        <v>9</v>
      </c>
      <c r="B12" s="1257" t="s">
        <v>89</v>
      </c>
      <c r="C12" s="1258">
        <f>+'Table 2_State Distrib and Adjs'!AP15</f>
        <v>215250202</v>
      </c>
      <c r="D12" s="1259">
        <f>-'Table 5A3_OJJ'!T14</f>
        <v>-137436.7169536752</v>
      </c>
      <c r="E12" s="1259">
        <f>-('Table 5B2_RSD_LA'!AJ15+'Table 5B2_RSD_LA'!AO15)</f>
        <v>-2090928</v>
      </c>
      <c r="F12" s="1259"/>
      <c r="G12" s="1259">
        <f>-('Table 5C1A-Madison Prep'!AB15+'Table 5C1A-Madison Prep'!AE15)</f>
        <v>0</v>
      </c>
      <c r="H12" s="1259">
        <f>-('Table 5C1B-DArbonne'!AB15+'Table 5C1B-DArbonne'!AE15)</f>
        <v>0</v>
      </c>
      <c r="I12" s="1259">
        <f>-('Table 5C1C-Intl_VIBE'!AB15+'Table 5C1C-Intl_VIBE'!AE15)</f>
        <v>0</v>
      </c>
      <c r="J12" s="1259">
        <f>-('Table 5C1D-NOMMA'!AB15+'Table 5C1D-NOMMA'!AE15)</f>
        <v>0</v>
      </c>
      <c r="K12" s="1259">
        <f>-('Table 5C1E-LFNO'!AB15+'Table 5C1E-LFNO'!AE15)</f>
        <v>0</v>
      </c>
      <c r="L12" s="1259">
        <f>-('Table 5C1F-Lake Charles Charter'!AB15+'Table 5C1F-Lake Charles Charter'!AE15)</f>
        <v>0</v>
      </c>
      <c r="M12" s="1259">
        <f>-('Table 5C1G-JS Clark Academy'!AB15+'Table 5C1G-JS Clark Academy'!AE15)</f>
        <v>0</v>
      </c>
      <c r="N12" s="1259">
        <f>-('Table 5C1H-Southwest LA Charter'!AB15+'Table 5C1H-Southwest LA Charter'!AE15)</f>
        <v>0</v>
      </c>
      <c r="O12" s="1259">
        <f>-('Table 5C1I-LA Key Academy'!AB15+'Table 5C1I-LA Key Academy'!AE15)</f>
        <v>0</v>
      </c>
      <c r="P12" s="1259">
        <f>-('Table 5C1J-Jefferson Chamber'!AB15+'Table 5C1J-Jefferson Chamber'!AE15)</f>
        <v>0</v>
      </c>
      <c r="Q12" s="1259">
        <f>-('Table 5C1K-Tallulah Charter'!AB15+'Table 5C1K-Tallulah Charter'!AE15)</f>
        <v>0</v>
      </c>
      <c r="R12" s="1259">
        <f>-('Table 5C1L-Northshore Charter'!AB15+'Table 5C1L-Northshore Charter'!AE15)</f>
        <v>0</v>
      </c>
      <c r="S12" s="1259">
        <f>-('Table 5C1M-B.R. Charter'!AB15+'Table 5C1M-B.R. Charter'!AE15)</f>
        <v>0</v>
      </c>
      <c r="T12" s="1259">
        <f>-('Table 5C1N-Delta Charter'!AB15+'Table 5C1N-Delta Charter'!AE15)</f>
        <v>0</v>
      </c>
      <c r="U12" s="1259">
        <f>-('Table 5C1O-Impact'!AB15+'Table 5C1O-Impact'!AE15)</f>
        <v>0</v>
      </c>
      <c r="V12" s="1259">
        <f>-('Table 5C1P-Vision'!AB15+'Table 5C1P-Vision'!AE15)</f>
        <v>0</v>
      </c>
      <c r="W12" s="1259">
        <f>-('Table 5C1Q-Advantage'!AB15+'Table 5C1Q-Advantage'!AE15)</f>
        <v>0</v>
      </c>
      <c r="X12" s="1259">
        <f>-('Table 5C1R-Iberville'!AB15+'Table 5C1R-Iberville'!AE15)</f>
        <v>0</v>
      </c>
      <c r="Y12" s="1259">
        <f>-('Table 5C1S-L.C. Coll Prep'!AB15+'Table 5C1S-L.C. Coll Prep'!AE15)</f>
        <v>0</v>
      </c>
      <c r="Z12" s="1259">
        <f>-('Table 5C1T-Northeast'!AB15+'Table 5C1T-Northeast'!AE15)</f>
        <v>0</v>
      </c>
      <c r="AA12" s="1259">
        <f>-('Table 5C1U-Acadiana Ren'!AB15+'Table 5C1U-Acadiana Ren'!AE15)</f>
        <v>0</v>
      </c>
      <c r="AB12" s="1259">
        <f>-('Table 5C1V-Laf Ren'!AB15+'Table 5C1V-Laf Ren'!AE15)</f>
        <v>0</v>
      </c>
      <c r="AC12" s="1259">
        <f>-('Table 5C1W-Willow'!AB15+'Table 5C1W-Willow'!AE15)</f>
        <v>0</v>
      </c>
      <c r="AD12" s="1259">
        <f>-('Table 5C2 - LA Virtual Admy'!AC14+'Table 5C2 - LA Virtual Admy'!AF14)</f>
        <v>-438865.19999999995</v>
      </c>
      <c r="AE12" s="1259">
        <f>-('Table 5C3 - LA Connections EBR'!AC14+'Table 5C3 - LA Connections EBR'!AF14)</f>
        <v>-282438</v>
      </c>
      <c r="AF12" s="1259">
        <f t="shared" si="1"/>
        <v>-2949667.9169536754</v>
      </c>
      <c r="AG12" s="1281">
        <f t="shared" si="2"/>
        <v>212300534.08304635</v>
      </c>
    </row>
    <row r="13" spans="1:33" ht="14.4" customHeight="1">
      <c r="A13" s="85">
        <v>10</v>
      </c>
      <c r="B13" s="207" t="s">
        <v>90</v>
      </c>
      <c r="C13" s="209">
        <f>+'Table 2_State Distrib and Adjs'!AP16</f>
        <v>154247031</v>
      </c>
      <c r="D13" s="219">
        <f>-'Table 5A3_OJJ'!T15</f>
        <v>-36329.253190813717</v>
      </c>
      <c r="E13" s="219"/>
      <c r="F13" s="219"/>
      <c r="G13" s="219">
        <f>-('Table 5C1A-Madison Prep'!AB16+'Table 5C1A-Madison Prep'!AE16)</f>
        <v>0</v>
      </c>
      <c r="H13" s="219">
        <f>-('Table 5C1B-DArbonne'!AB16+'Table 5C1B-DArbonne'!AE16)</f>
        <v>0</v>
      </c>
      <c r="I13" s="219">
        <f>-('Table 5C1C-Intl_VIBE'!AB16+'Table 5C1C-Intl_VIBE'!AE16)</f>
        <v>0</v>
      </c>
      <c r="J13" s="219">
        <f>-('Table 5C1D-NOMMA'!AB16+'Table 5C1D-NOMMA'!AE16)</f>
        <v>0</v>
      </c>
      <c r="K13" s="219">
        <f>-('Table 5C1E-LFNO'!AB16+'Table 5C1E-LFNO'!AE16)</f>
        <v>0</v>
      </c>
      <c r="L13" s="219">
        <f>-('Table 5C1F-Lake Charles Charter'!AB16+'Table 5C1F-Lake Charles Charter'!AE16)</f>
        <v>-3948725</v>
      </c>
      <c r="M13" s="219">
        <f>-('Table 5C1G-JS Clark Academy'!AB16+'Table 5C1G-JS Clark Academy'!AE16)</f>
        <v>0</v>
      </c>
      <c r="N13" s="219">
        <f>-('Table 5C1H-Southwest LA Charter'!AB16+'Table 5C1H-Southwest LA Charter'!AE16)</f>
        <v>-3063115</v>
      </c>
      <c r="O13" s="219">
        <f>-('Table 5C1I-LA Key Academy'!AB16+'Table 5C1I-LA Key Academy'!AE16)</f>
        <v>0</v>
      </c>
      <c r="P13" s="219">
        <f>-('Table 5C1J-Jefferson Chamber'!AB16+'Table 5C1J-Jefferson Chamber'!AE16)</f>
        <v>0</v>
      </c>
      <c r="Q13" s="219">
        <f>-('Table 5C1K-Tallulah Charter'!AB16+'Table 5C1K-Tallulah Charter'!AE16)</f>
        <v>0</v>
      </c>
      <c r="R13" s="219">
        <f>-('Table 5C1L-Northshore Charter'!AB16+'Table 5C1L-Northshore Charter'!AE16)</f>
        <v>0</v>
      </c>
      <c r="S13" s="219">
        <f>-('Table 5C1M-B.R. Charter'!AB16+'Table 5C1M-B.R. Charter'!AE16)</f>
        <v>0</v>
      </c>
      <c r="T13" s="219">
        <f>-('Table 5C1N-Delta Charter'!AB16+'Table 5C1N-Delta Charter'!AE16)</f>
        <v>0</v>
      </c>
      <c r="U13" s="219">
        <f>-('Table 5C1O-Impact'!AB16+'Table 5C1O-Impact'!AE16)</f>
        <v>0</v>
      </c>
      <c r="V13" s="219">
        <f>-('Table 5C1P-Vision'!AB16+'Table 5C1P-Vision'!AE16)</f>
        <v>0</v>
      </c>
      <c r="W13" s="219">
        <f>-('Table 5C1Q-Advantage'!AB16+'Table 5C1Q-Advantage'!AE16)</f>
        <v>0</v>
      </c>
      <c r="X13" s="219">
        <f>-('Table 5C1R-Iberville'!AB16+'Table 5C1R-Iberville'!AE16)</f>
        <v>0</v>
      </c>
      <c r="Y13" s="219">
        <f>-('Table 5C1S-L.C. Coll Prep'!AB16+'Table 5C1S-L.C. Coll Prep'!AE16)</f>
        <v>-502150</v>
      </c>
      <c r="Z13" s="219">
        <f>-('Table 5C1T-Northeast'!AB16+'Table 5C1T-Northeast'!AE16)</f>
        <v>0</v>
      </c>
      <c r="AA13" s="219">
        <f>-('Table 5C1U-Acadiana Ren'!AB16+'Table 5C1U-Acadiana Ren'!AE16)</f>
        <v>0</v>
      </c>
      <c r="AB13" s="219">
        <f>-('Table 5C1V-Laf Ren'!AB16+'Table 5C1V-Laf Ren'!AE16)</f>
        <v>0</v>
      </c>
      <c r="AC13" s="219">
        <f>-('Table 5C1W-Willow'!AB16+'Table 5C1W-Willow'!AE16)</f>
        <v>0</v>
      </c>
      <c r="AD13" s="219">
        <f>-('Table 5C2 - LA Virtual Admy'!AC15+'Table 5C2 - LA Virtual Admy'!AF15)</f>
        <v>-320463</v>
      </c>
      <c r="AE13" s="219">
        <f>-('Table 5C3 - LA Connections EBR'!AC15+'Table 5C3 - LA Connections EBR'!AF15)</f>
        <v>-193099.5</v>
      </c>
      <c r="AF13" s="219">
        <f t="shared" si="1"/>
        <v>-8063881.7531908136</v>
      </c>
      <c r="AG13" s="364">
        <f t="shared" si="2"/>
        <v>146183149.24680918</v>
      </c>
    </row>
    <row r="14" spans="1:33" ht="14.4" customHeight="1">
      <c r="A14" s="1272">
        <v>11</v>
      </c>
      <c r="B14" s="1273" t="s">
        <v>91</v>
      </c>
      <c r="C14" s="1274">
        <f>+'Table 2_State Distrib and Adjs'!AP17</f>
        <v>12236931</v>
      </c>
      <c r="D14" s="1275">
        <f>-'Table 5A3_OJJ'!T16</f>
        <v>0</v>
      </c>
      <c r="E14" s="1275"/>
      <c r="F14" s="1275"/>
      <c r="G14" s="1275">
        <f>-('Table 5C1A-Madison Prep'!AB17+'Table 5C1A-Madison Prep'!AE17)</f>
        <v>0</v>
      </c>
      <c r="H14" s="1275">
        <f>-('Table 5C1B-DArbonne'!AB17+'Table 5C1B-DArbonne'!AE17)</f>
        <v>0</v>
      </c>
      <c r="I14" s="1275">
        <f>-('Table 5C1C-Intl_VIBE'!AB17+'Table 5C1C-Intl_VIBE'!AE17)</f>
        <v>0</v>
      </c>
      <c r="J14" s="1275">
        <f>-('Table 5C1D-NOMMA'!AB17+'Table 5C1D-NOMMA'!AE17)</f>
        <v>0</v>
      </c>
      <c r="K14" s="1275">
        <f>-('Table 5C1E-LFNO'!AB17+'Table 5C1E-LFNO'!AE17)</f>
        <v>0</v>
      </c>
      <c r="L14" s="1275">
        <f>-('Table 5C1F-Lake Charles Charter'!AB17+'Table 5C1F-Lake Charles Charter'!AE17)</f>
        <v>0</v>
      </c>
      <c r="M14" s="1275">
        <f>-('Table 5C1G-JS Clark Academy'!AB17+'Table 5C1G-JS Clark Academy'!AE17)</f>
        <v>0</v>
      </c>
      <c r="N14" s="1275">
        <f>-('Table 5C1H-Southwest LA Charter'!AB17+'Table 5C1H-Southwest LA Charter'!AE17)</f>
        <v>0</v>
      </c>
      <c r="O14" s="1275">
        <f>-('Table 5C1I-LA Key Academy'!AB17+'Table 5C1I-LA Key Academy'!AE17)</f>
        <v>0</v>
      </c>
      <c r="P14" s="1275">
        <f>-('Table 5C1J-Jefferson Chamber'!AB17+'Table 5C1J-Jefferson Chamber'!AE17)</f>
        <v>0</v>
      </c>
      <c r="Q14" s="1275">
        <f>-('Table 5C1K-Tallulah Charter'!AB17+'Table 5C1K-Tallulah Charter'!AE17)</f>
        <v>0</v>
      </c>
      <c r="R14" s="1275">
        <f>-('Table 5C1L-Northshore Charter'!AB17+'Table 5C1L-Northshore Charter'!AE17)</f>
        <v>0</v>
      </c>
      <c r="S14" s="1275">
        <f>-('Table 5C1M-B.R. Charter'!AB17+'Table 5C1M-B.R. Charter'!AE17)</f>
        <v>0</v>
      </c>
      <c r="T14" s="1275">
        <f>-('Table 5C1N-Delta Charter'!AB17+'Table 5C1N-Delta Charter'!AE17)</f>
        <v>0</v>
      </c>
      <c r="U14" s="1275">
        <f>-('Table 5C1O-Impact'!AB17+'Table 5C1O-Impact'!AE17)</f>
        <v>0</v>
      </c>
      <c r="V14" s="1275">
        <f>-('Table 5C1P-Vision'!AB17+'Table 5C1P-Vision'!AE17)</f>
        <v>0</v>
      </c>
      <c r="W14" s="1275">
        <f>-('Table 5C1Q-Advantage'!AB17+'Table 5C1Q-Advantage'!AE17)</f>
        <v>0</v>
      </c>
      <c r="X14" s="1275">
        <f>-('Table 5C1R-Iberville'!AB17+'Table 5C1R-Iberville'!AE17)</f>
        <v>0</v>
      </c>
      <c r="Y14" s="1275">
        <f>-('Table 5C1S-L.C. Coll Prep'!AB17+'Table 5C1S-L.C. Coll Prep'!AE17)</f>
        <v>0</v>
      </c>
      <c r="Z14" s="1275">
        <f>-('Table 5C1T-Northeast'!AB17+'Table 5C1T-Northeast'!AE17)</f>
        <v>0</v>
      </c>
      <c r="AA14" s="1275">
        <f>-('Table 5C1U-Acadiana Ren'!AB17+'Table 5C1U-Acadiana Ren'!AE17)</f>
        <v>0</v>
      </c>
      <c r="AB14" s="1275">
        <f>-('Table 5C1V-Laf Ren'!AB17+'Table 5C1V-Laf Ren'!AE17)</f>
        <v>0</v>
      </c>
      <c r="AC14" s="1275">
        <f>-('Table 5C1W-Willow'!AB17+'Table 5C1W-Willow'!AE17)</f>
        <v>0</v>
      </c>
      <c r="AD14" s="1275">
        <f>-('Table 5C2 - LA Virtual Admy'!AC16+'Table 5C2 - LA Virtual Admy'!AF16)</f>
        <v>-12913.2</v>
      </c>
      <c r="AE14" s="1275">
        <f>-('Table 5C3 - LA Connections EBR'!AC16+'Table 5C3 - LA Connections EBR'!AF16)</f>
        <v>-3228.3</v>
      </c>
      <c r="AF14" s="1275">
        <f t="shared" si="1"/>
        <v>-16141.5</v>
      </c>
      <c r="AG14" s="1276">
        <f t="shared" si="2"/>
        <v>12220789.5</v>
      </c>
    </row>
    <row r="15" spans="1:33" ht="14.4" customHeight="1">
      <c r="A15" s="1256">
        <v>12</v>
      </c>
      <c r="B15" s="1257" t="s">
        <v>92</v>
      </c>
      <c r="C15" s="1258">
        <f>+'Table 2_State Distrib and Adjs'!AP18</f>
        <v>3378969</v>
      </c>
      <c r="D15" s="1259">
        <f>-'Table 5A3_OJJ'!T17</f>
        <v>0</v>
      </c>
      <c r="E15" s="1259"/>
      <c r="F15" s="1259"/>
      <c r="G15" s="1259">
        <f>-('Table 5C1A-Madison Prep'!AB18+'Table 5C1A-Madison Prep'!AE18)</f>
        <v>0</v>
      </c>
      <c r="H15" s="1259">
        <f>-('Table 5C1B-DArbonne'!AB18+'Table 5C1B-DArbonne'!AE18)</f>
        <v>0</v>
      </c>
      <c r="I15" s="1259">
        <f>-('Table 5C1C-Intl_VIBE'!AB18+'Table 5C1C-Intl_VIBE'!AE18)</f>
        <v>0</v>
      </c>
      <c r="J15" s="1259">
        <f>-('Table 5C1D-NOMMA'!AB18+'Table 5C1D-NOMMA'!AE18)</f>
        <v>0</v>
      </c>
      <c r="K15" s="1259">
        <f>-('Table 5C1E-LFNO'!AB18+'Table 5C1E-LFNO'!AE18)</f>
        <v>0</v>
      </c>
      <c r="L15" s="1259">
        <f>-('Table 5C1F-Lake Charles Charter'!AB18+'Table 5C1F-Lake Charles Charter'!AE18)</f>
        <v>0</v>
      </c>
      <c r="M15" s="1259">
        <f>-('Table 5C1G-JS Clark Academy'!AB18+'Table 5C1G-JS Clark Academy'!AE18)</f>
        <v>0</v>
      </c>
      <c r="N15" s="1259">
        <f>-('Table 5C1H-Southwest LA Charter'!AB18+'Table 5C1H-Southwest LA Charter'!AE18)</f>
        <v>0</v>
      </c>
      <c r="O15" s="1259">
        <f>-('Table 5C1I-LA Key Academy'!AB18+'Table 5C1I-LA Key Academy'!AE18)</f>
        <v>0</v>
      </c>
      <c r="P15" s="1259">
        <f>-('Table 5C1J-Jefferson Chamber'!AB18+'Table 5C1J-Jefferson Chamber'!AE18)</f>
        <v>0</v>
      </c>
      <c r="Q15" s="1259">
        <f>-('Table 5C1K-Tallulah Charter'!AB18+'Table 5C1K-Tallulah Charter'!AE18)</f>
        <v>0</v>
      </c>
      <c r="R15" s="1259">
        <f>-('Table 5C1L-Northshore Charter'!AB18+'Table 5C1L-Northshore Charter'!AE18)</f>
        <v>0</v>
      </c>
      <c r="S15" s="1259">
        <f>-('Table 5C1M-B.R. Charter'!AB18+'Table 5C1M-B.R. Charter'!AE18)</f>
        <v>0</v>
      </c>
      <c r="T15" s="1259">
        <f>-('Table 5C1N-Delta Charter'!AB18+'Table 5C1N-Delta Charter'!AE18)</f>
        <v>0</v>
      </c>
      <c r="U15" s="1259">
        <f>-('Table 5C1O-Impact'!AB18+'Table 5C1O-Impact'!AE18)</f>
        <v>0</v>
      </c>
      <c r="V15" s="1259">
        <f>-('Table 5C1P-Vision'!AB18+'Table 5C1P-Vision'!AE18)</f>
        <v>0</v>
      </c>
      <c r="W15" s="1259">
        <f>-('Table 5C1Q-Advantage'!AB18+'Table 5C1Q-Advantage'!AE18)</f>
        <v>0</v>
      </c>
      <c r="X15" s="1259">
        <f>-('Table 5C1R-Iberville'!AB18+'Table 5C1R-Iberville'!AE18)</f>
        <v>0</v>
      </c>
      <c r="Y15" s="1259">
        <f>-('Table 5C1S-L.C. Coll Prep'!AB18+'Table 5C1S-L.C. Coll Prep'!AE18)</f>
        <v>0</v>
      </c>
      <c r="Z15" s="1259">
        <f>-('Table 5C1T-Northeast'!AB18+'Table 5C1T-Northeast'!AE18)</f>
        <v>0</v>
      </c>
      <c r="AA15" s="1259">
        <f>-('Table 5C1U-Acadiana Ren'!AB18+'Table 5C1U-Acadiana Ren'!AE18)</f>
        <v>0</v>
      </c>
      <c r="AB15" s="1259">
        <f>-('Table 5C1V-Laf Ren'!AB18+'Table 5C1V-Laf Ren'!AE18)</f>
        <v>0</v>
      </c>
      <c r="AC15" s="1259">
        <f>-('Table 5C1W-Willow'!AB18+'Table 5C1W-Willow'!AE18)</f>
        <v>0</v>
      </c>
      <c r="AD15" s="1259">
        <f>-('Table 5C2 - LA Virtual Admy'!AC17+'Table 5C2 - LA Virtual Admy'!AF17)</f>
        <v>-14569.2</v>
      </c>
      <c r="AE15" s="1259">
        <f>-('Table 5C3 - LA Connections EBR'!AC17+'Table 5C3 - LA Connections EBR'!AF17)</f>
        <v>-7284.6</v>
      </c>
      <c r="AF15" s="1259">
        <f t="shared" si="1"/>
        <v>-21853.800000000003</v>
      </c>
      <c r="AG15" s="1281">
        <f t="shared" si="2"/>
        <v>3357115.1999999997</v>
      </c>
    </row>
    <row r="16" spans="1:33" ht="14.4" customHeight="1">
      <c r="A16" s="1256">
        <v>13</v>
      </c>
      <c r="B16" s="1257" t="s">
        <v>93</v>
      </c>
      <c r="C16" s="1258">
        <f>+'Table 2_State Distrib and Adjs'!AP19</f>
        <v>10286751</v>
      </c>
      <c r="D16" s="1259">
        <f>-'Table 5A3_OJJ'!T18</f>
        <v>0</v>
      </c>
      <c r="E16" s="1259"/>
      <c r="F16" s="1259"/>
      <c r="G16" s="1259">
        <f>-('Table 5C1A-Madison Prep'!AB19+'Table 5C1A-Madison Prep'!AE19)</f>
        <v>0</v>
      </c>
      <c r="H16" s="1259">
        <f>-('Table 5C1B-DArbonne'!AB19+'Table 5C1B-DArbonne'!AE19)</f>
        <v>0</v>
      </c>
      <c r="I16" s="1259">
        <f>-('Table 5C1C-Intl_VIBE'!AB19+'Table 5C1C-Intl_VIBE'!AE19)</f>
        <v>0</v>
      </c>
      <c r="J16" s="1259">
        <f>-('Table 5C1D-NOMMA'!AB19+'Table 5C1D-NOMMA'!AE19)</f>
        <v>0</v>
      </c>
      <c r="K16" s="1259">
        <f>-('Table 5C1E-LFNO'!AB19+'Table 5C1E-LFNO'!AE19)</f>
        <v>0</v>
      </c>
      <c r="L16" s="1259">
        <f>-('Table 5C1F-Lake Charles Charter'!AB19+'Table 5C1F-Lake Charles Charter'!AE19)</f>
        <v>0</v>
      </c>
      <c r="M16" s="1259">
        <f>-('Table 5C1G-JS Clark Academy'!AB19+'Table 5C1G-JS Clark Academy'!AE19)</f>
        <v>0</v>
      </c>
      <c r="N16" s="1259">
        <f>-('Table 5C1H-Southwest LA Charter'!AB19+'Table 5C1H-Southwest LA Charter'!AE19)</f>
        <v>0</v>
      </c>
      <c r="O16" s="1259">
        <f>-('Table 5C1I-LA Key Academy'!AB19+'Table 5C1I-LA Key Academy'!AE19)</f>
        <v>0</v>
      </c>
      <c r="P16" s="1259">
        <f>-('Table 5C1J-Jefferson Chamber'!AB19+'Table 5C1J-Jefferson Chamber'!AE19)</f>
        <v>0</v>
      </c>
      <c r="Q16" s="1259">
        <f>-('Table 5C1K-Tallulah Charter'!AB19+'Table 5C1K-Tallulah Charter'!AE19)</f>
        <v>0</v>
      </c>
      <c r="R16" s="1259">
        <f>-('Table 5C1L-Northshore Charter'!AB19+'Table 5C1L-Northshore Charter'!AE19)</f>
        <v>0</v>
      </c>
      <c r="S16" s="1259">
        <f>-('Table 5C1M-B.R. Charter'!AB19+'Table 5C1M-B.R. Charter'!AE19)</f>
        <v>0</v>
      </c>
      <c r="T16" s="1259">
        <f>-('Table 5C1N-Delta Charter'!AB19+'Table 5C1N-Delta Charter'!AE19)</f>
        <v>-116522</v>
      </c>
      <c r="U16" s="1259">
        <f>-('Table 5C1O-Impact'!AB19+'Table 5C1O-Impact'!AE19)</f>
        <v>0</v>
      </c>
      <c r="V16" s="1259">
        <f>-('Table 5C1P-Vision'!AB19+'Table 5C1P-Vision'!AE19)</f>
        <v>0</v>
      </c>
      <c r="W16" s="1259">
        <f>-('Table 5C1Q-Advantage'!AB19+'Table 5C1Q-Advantage'!AE19)</f>
        <v>0</v>
      </c>
      <c r="X16" s="1259">
        <f>-('Table 5C1R-Iberville'!AB19+'Table 5C1R-Iberville'!AE19)</f>
        <v>0</v>
      </c>
      <c r="Y16" s="1259">
        <f>-('Table 5C1S-L.C. Coll Prep'!AB19+'Table 5C1S-L.C. Coll Prep'!AE19)</f>
        <v>0</v>
      </c>
      <c r="Z16" s="1259">
        <f>-('Table 5C1T-Northeast'!AB19+'Table 5C1T-Northeast'!AE19)</f>
        <v>0</v>
      </c>
      <c r="AA16" s="1259">
        <f>-('Table 5C1U-Acadiana Ren'!AB19+'Table 5C1U-Acadiana Ren'!AE19)</f>
        <v>0</v>
      </c>
      <c r="AB16" s="1259">
        <f>-('Table 5C1V-Laf Ren'!AB19+'Table 5C1V-Laf Ren'!AE19)</f>
        <v>0</v>
      </c>
      <c r="AC16" s="1259">
        <f>-('Table 5C1W-Willow'!AB19+'Table 5C1W-Willow'!AE19)</f>
        <v>0</v>
      </c>
      <c r="AD16" s="1259">
        <f>-('Table 5C2 - LA Virtual Admy'!AC18+'Table 5C2 - LA Virtual Admy'!AF18)</f>
        <v>-17904.600000000002</v>
      </c>
      <c r="AE16" s="1259">
        <f>-('Table 5C3 - LA Connections EBR'!AC18+'Table 5C3 - LA Connections EBR'!AF18)</f>
        <v>-23020.2</v>
      </c>
      <c r="AF16" s="1259">
        <f t="shared" si="1"/>
        <v>-157446.80000000002</v>
      </c>
      <c r="AG16" s="1281">
        <f t="shared" si="2"/>
        <v>10129304.200000001</v>
      </c>
    </row>
    <row r="17" spans="1:33" ht="14.4" customHeight="1">
      <c r="A17" s="1256">
        <v>14</v>
      </c>
      <c r="B17" s="1257" t="s">
        <v>94</v>
      </c>
      <c r="C17" s="1258">
        <f>+'Table 2_State Distrib and Adjs'!AP20</f>
        <v>10225762</v>
      </c>
      <c r="D17" s="1259">
        <f>-'Table 5A3_OJJ'!T19</f>
        <v>-4564.4559785841757</v>
      </c>
      <c r="E17" s="1259"/>
      <c r="F17" s="1259"/>
      <c r="G17" s="1259">
        <f>-('Table 5C1A-Madison Prep'!AB20+'Table 5C1A-Madison Prep'!AE20)</f>
        <v>0</v>
      </c>
      <c r="H17" s="1259">
        <f>-('Table 5C1B-DArbonne'!AB20+'Table 5C1B-DArbonne'!AE20)</f>
        <v>-8410</v>
      </c>
      <c r="I17" s="1259">
        <f>-('Table 5C1C-Intl_VIBE'!AB20+'Table 5C1C-Intl_VIBE'!AE20)</f>
        <v>0</v>
      </c>
      <c r="J17" s="1259">
        <f>-('Table 5C1D-NOMMA'!AB20+'Table 5C1D-NOMMA'!AE20)</f>
        <v>0</v>
      </c>
      <c r="K17" s="1259">
        <f>-('Table 5C1E-LFNO'!AB20+'Table 5C1E-LFNO'!AE20)</f>
        <v>0</v>
      </c>
      <c r="L17" s="1259">
        <f>-('Table 5C1F-Lake Charles Charter'!AB20+'Table 5C1F-Lake Charles Charter'!AE20)</f>
        <v>0</v>
      </c>
      <c r="M17" s="1259">
        <f>-('Table 5C1G-JS Clark Academy'!AB20+'Table 5C1G-JS Clark Academy'!AE20)</f>
        <v>0</v>
      </c>
      <c r="N17" s="1259">
        <f>-('Table 5C1H-Southwest LA Charter'!AB20+'Table 5C1H-Southwest LA Charter'!AE20)</f>
        <v>0</v>
      </c>
      <c r="O17" s="1259">
        <f>-('Table 5C1I-LA Key Academy'!AB20+'Table 5C1I-LA Key Academy'!AE20)</f>
        <v>0</v>
      </c>
      <c r="P17" s="1259">
        <f>-('Table 5C1J-Jefferson Chamber'!AB20+'Table 5C1J-Jefferson Chamber'!AE20)</f>
        <v>0</v>
      </c>
      <c r="Q17" s="1259">
        <f>-('Table 5C1K-Tallulah Charter'!AB20+'Table 5C1K-Tallulah Charter'!AE20)</f>
        <v>0</v>
      </c>
      <c r="R17" s="1259">
        <f>-('Table 5C1L-Northshore Charter'!AB20+'Table 5C1L-Northshore Charter'!AE20)</f>
        <v>0</v>
      </c>
      <c r="S17" s="1259">
        <f>-('Table 5C1M-B.R. Charter'!AB20+'Table 5C1M-B.R. Charter'!AE20)</f>
        <v>0</v>
      </c>
      <c r="T17" s="1259">
        <f>-('Table 5C1N-Delta Charter'!AB20+'Table 5C1N-Delta Charter'!AE20)</f>
        <v>0</v>
      </c>
      <c r="U17" s="1259">
        <f>-('Table 5C1O-Impact'!AB20+'Table 5C1O-Impact'!AE20)</f>
        <v>0</v>
      </c>
      <c r="V17" s="1259">
        <f>-('Table 5C1P-Vision'!AB20+'Table 5C1P-Vision'!AE20)</f>
        <v>0</v>
      </c>
      <c r="W17" s="1259">
        <f>-('Table 5C1Q-Advantage'!AB20+'Table 5C1Q-Advantage'!AE20)</f>
        <v>0</v>
      </c>
      <c r="X17" s="1259">
        <f>-('Table 5C1R-Iberville'!AB20+'Table 5C1R-Iberville'!AE20)</f>
        <v>0</v>
      </c>
      <c r="Y17" s="1259">
        <f>-('Table 5C1S-L.C. Coll Prep'!AB20+'Table 5C1S-L.C. Coll Prep'!AE20)</f>
        <v>0</v>
      </c>
      <c r="Z17" s="1259">
        <f>-('Table 5C1T-Northeast'!AB20+'Table 5C1T-Northeast'!AE20)</f>
        <v>-336400</v>
      </c>
      <c r="AA17" s="1259">
        <f>-('Table 5C1U-Acadiana Ren'!AB20+'Table 5C1U-Acadiana Ren'!AE20)</f>
        <v>0</v>
      </c>
      <c r="AB17" s="1259">
        <f>-('Table 5C1V-Laf Ren'!AB20+'Table 5C1V-Laf Ren'!AE20)</f>
        <v>0</v>
      </c>
      <c r="AC17" s="1259">
        <f>-('Table 5C1W-Willow'!AB20+'Table 5C1W-Willow'!AE20)</f>
        <v>0</v>
      </c>
      <c r="AD17" s="1259">
        <f>-('Table 5C2 - LA Virtual Admy'!AC19+'Table 5C2 - LA Virtual Admy'!AF19)</f>
        <v>0</v>
      </c>
      <c r="AE17" s="1259">
        <f>-('Table 5C3 - LA Connections EBR'!AC19+'Table 5C3 - LA Connections EBR'!AF19)</f>
        <v>-64336.5</v>
      </c>
      <c r="AF17" s="1259">
        <f t="shared" si="1"/>
        <v>-413710.95597858418</v>
      </c>
      <c r="AG17" s="1281">
        <f t="shared" si="2"/>
        <v>9812051.0440214165</v>
      </c>
    </row>
    <row r="18" spans="1:33" ht="14.4" customHeight="1">
      <c r="A18" s="85">
        <v>15</v>
      </c>
      <c r="B18" s="207" t="s">
        <v>95</v>
      </c>
      <c r="C18" s="209">
        <f>+'Table 2_State Distrib and Adjs'!AP21</f>
        <v>21347415</v>
      </c>
      <c r="D18" s="219">
        <f>-'Table 5A3_OJJ'!T20</f>
        <v>0</v>
      </c>
      <c r="E18" s="219"/>
      <c r="F18" s="219"/>
      <c r="G18" s="219">
        <f>-('Table 5C1A-Madison Prep'!AB21+'Table 5C1A-Madison Prep'!AE21)</f>
        <v>0</v>
      </c>
      <c r="H18" s="219">
        <f>-('Table 5C1B-DArbonne'!AB21+'Table 5C1B-DArbonne'!AE21)</f>
        <v>0</v>
      </c>
      <c r="I18" s="219">
        <f>-('Table 5C1C-Intl_VIBE'!AB21+'Table 5C1C-Intl_VIBE'!AE21)</f>
        <v>0</v>
      </c>
      <c r="J18" s="219">
        <f>-('Table 5C1D-NOMMA'!AB21+'Table 5C1D-NOMMA'!AE21)</f>
        <v>0</v>
      </c>
      <c r="K18" s="219">
        <f>-('Table 5C1E-LFNO'!AB21+'Table 5C1E-LFNO'!AE21)</f>
        <v>0</v>
      </c>
      <c r="L18" s="219">
        <f>-('Table 5C1F-Lake Charles Charter'!AB21+'Table 5C1F-Lake Charles Charter'!AE21)</f>
        <v>0</v>
      </c>
      <c r="M18" s="219">
        <f>-('Table 5C1G-JS Clark Academy'!AB21+'Table 5C1G-JS Clark Academy'!AE21)</f>
        <v>0</v>
      </c>
      <c r="N18" s="219">
        <f>-('Table 5C1H-Southwest LA Charter'!AB21+'Table 5C1H-Southwest LA Charter'!AE21)</f>
        <v>0</v>
      </c>
      <c r="O18" s="219">
        <f>-('Table 5C1I-LA Key Academy'!AB21+'Table 5C1I-LA Key Academy'!AE21)</f>
        <v>0</v>
      </c>
      <c r="P18" s="219">
        <f>-('Table 5C1J-Jefferson Chamber'!AB21+'Table 5C1J-Jefferson Chamber'!AE21)</f>
        <v>0</v>
      </c>
      <c r="Q18" s="219">
        <f>-('Table 5C1K-Tallulah Charter'!AB21+'Table 5C1K-Tallulah Charter'!AE21)</f>
        <v>0</v>
      </c>
      <c r="R18" s="219">
        <f>-('Table 5C1L-Northshore Charter'!AB21+'Table 5C1L-Northshore Charter'!AE21)</f>
        <v>0</v>
      </c>
      <c r="S18" s="219">
        <f>-('Table 5C1M-B.R. Charter'!AB21+'Table 5C1M-B.R. Charter'!AE21)</f>
        <v>0</v>
      </c>
      <c r="T18" s="219">
        <f>-('Table 5C1N-Delta Charter'!AB21+'Table 5C1N-Delta Charter'!AE21)</f>
        <v>-681915</v>
      </c>
      <c r="U18" s="219">
        <f>-('Table 5C1O-Impact'!AB21+'Table 5C1O-Impact'!AE21)</f>
        <v>0</v>
      </c>
      <c r="V18" s="219">
        <f>-('Table 5C1P-Vision'!AB21+'Table 5C1P-Vision'!AE21)</f>
        <v>0</v>
      </c>
      <c r="W18" s="219">
        <f>-('Table 5C1Q-Advantage'!AB21+'Table 5C1Q-Advantage'!AE21)</f>
        <v>0</v>
      </c>
      <c r="X18" s="219">
        <f>-('Table 5C1R-Iberville'!AB21+'Table 5C1R-Iberville'!AE21)</f>
        <v>0</v>
      </c>
      <c r="Y18" s="219">
        <f>-('Table 5C1S-L.C. Coll Prep'!AB21+'Table 5C1S-L.C. Coll Prep'!AE21)</f>
        <v>0</v>
      </c>
      <c r="Z18" s="219">
        <f>-('Table 5C1T-Northeast'!AB21+'Table 5C1T-Northeast'!AE21)</f>
        <v>0</v>
      </c>
      <c r="AA18" s="219">
        <f>-('Table 5C1U-Acadiana Ren'!AB21+'Table 5C1U-Acadiana Ren'!AE21)</f>
        <v>0</v>
      </c>
      <c r="AB18" s="219">
        <f>-('Table 5C1V-Laf Ren'!AB21+'Table 5C1V-Laf Ren'!AE21)</f>
        <v>0</v>
      </c>
      <c r="AC18" s="219">
        <f>-('Table 5C1W-Willow'!AB21+'Table 5C1W-Willow'!AE21)</f>
        <v>0</v>
      </c>
      <c r="AD18" s="219">
        <f>-('Table 5C2 - LA Virtual Admy'!AC20+'Table 5C2 - LA Virtual Admy'!AF20)</f>
        <v>-50193</v>
      </c>
      <c r="AE18" s="219">
        <f>-('Table 5C3 - LA Connections EBR'!AC20+'Table 5C3 - LA Connections EBR'!AF20)</f>
        <v>-11407.5</v>
      </c>
      <c r="AF18" s="219">
        <f t="shared" si="1"/>
        <v>-743515.5</v>
      </c>
      <c r="AG18" s="364">
        <f t="shared" si="2"/>
        <v>20603899.5</v>
      </c>
    </row>
    <row r="19" spans="1:33" ht="14.4" customHeight="1">
      <c r="A19" s="1272">
        <v>16</v>
      </c>
      <c r="B19" s="1273" t="s">
        <v>96</v>
      </c>
      <c r="C19" s="1274">
        <f>+'Table 2_State Distrib and Adjs'!AP22</f>
        <v>13005636</v>
      </c>
      <c r="D19" s="1275">
        <f>-'Table 5A3_OJJ'!T21</f>
        <v>-10199.606252059803</v>
      </c>
      <c r="E19" s="1275"/>
      <c r="F19" s="1275"/>
      <c r="G19" s="1275">
        <f>-('Table 5C1A-Madison Prep'!AB22+'Table 5C1A-Madison Prep'!AE22)</f>
        <v>0</v>
      </c>
      <c r="H19" s="1275">
        <f>-('Table 5C1B-DArbonne'!AB22+'Table 5C1B-DArbonne'!AE22)</f>
        <v>0</v>
      </c>
      <c r="I19" s="1275">
        <f>-('Table 5C1C-Intl_VIBE'!AB22+'Table 5C1C-Intl_VIBE'!AE22)</f>
        <v>0</v>
      </c>
      <c r="J19" s="1275">
        <f>-('Table 5C1D-NOMMA'!AB22+'Table 5C1D-NOMMA'!AE22)</f>
        <v>0</v>
      </c>
      <c r="K19" s="1275">
        <f>-('Table 5C1E-LFNO'!AB22+'Table 5C1E-LFNO'!AE22)</f>
        <v>0</v>
      </c>
      <c r="L19" s="1275">
        <f>-('Table 5C1F-Lake Charles Charter'!AB22+'Table 5C1F-Lake Charles Charter'!AE22)</f>
        <v>0</v>
      </c>
      <c r="M19" s="1275">
        <f>-('Table 5C1G-JS Clark Academy'!AB22+'Table 5C1G-JS Clark Academy'!AE22)</f>
        <v>0</v>
      </c>
      <c r="N19" s="1275">
        <f>-('Table 5C1H-Southwest LA Charter'!AB22+'Table 5C1H-Southwest LA Charter'!AE22)</f>
        <v>0</v>
      </c>
      <c r="O19" s="1275">
        <f>-('Table 5C1I-LA Key Academy'!AB22+'Table 5C1I-LA Key Academy'!AE22)</f>
        <v>0</v>
      </c>
      <c r="P19" s="1275">
        <f>-('Table 5C1J-Jefferson Chamber'!AB22+'Table 5C1J-Jefferson Chamber'!AE22)</f>
        <v>0</v>
      </c>
      <c r="Q19" s="1275">
        <f>-('Table 5C1K-Tallulah Charter'!AB22+'Table 5C1K-Tallulah Charter'!AE22)</f>
        <v>0</v>
      </c>
      <c r="R19" s="1275">
        <f>-('Table 5C1L-Northshore Charter'!AB22+'Table 5C1L-Northshore Charter'!AE22)</f>
        <v>0</v>
      </c>
      <c r="S19" s="1275">
        <f>-('Table 5C1M-B.R. Charter'!AB22+'Table 5C1M-B.R. Charter'!AE22)</f>
        <v>0</v>
      </c>
      <c r="T19" s="1275">
        <f>-('Table 5C1N-Delta Charter'!AB22+'Table 5C1N-Delta Charter'!AE22)</f>
        <v>0</v>
      </c>
      <c r="U19" s="1275">
        <f>-('Table 5C1O-Impact'!AB22+'Table 5C1O-Impact'!AE22)</f>
        <v>0</v>
      </c>
      <c r="V19" s="1275">
        <f>-('Table 5C1P-Vision'!AB22+'Table 5C1P-Vision'!AE22)</f>
        <v>0</v>
      </c>
      <c r="W19" s="1275">
        <f>-('Table 5C1Q-Advantage'!AB22+'Table 5C1Q-Advantage'!AE22)</f>
        <v>0</v>
      </c>
      <c r="X19" s="1275">
        <f>-('Table 5C1R-Iberville'!AB22+'Table 5C1R-Iberville'!AE22)</f>
        <v>0</v>
      </c>
      <c r="Y19" s="1275">
        <f>-('Table 5C1S-L.C. Coll Prep'!AB22+'Table 5C1S-L.C. Coll Prep'!AE22)</f>
        <v>0</v>
      </c>
      <c r="Z19" s="1275">
        <f>-('Table 5C1T-Northeast'!AB22+'Table 5C1T-Northeast'!AE22)</f>
        <v>0</v>
      </c>
      <c r="AA19" s="1275">
        <f>-('Table 5C1U-Acadiana Ren'!AB22+'Table 5C1U-Acadiana Ren'!AE22)</f>
        <v>0</v>
      </c>
      <c r="AB19" s="1275">
        <f>-('Table 5C1V-Laf Ren'!AB22+'Table 5C1V-Laf Ren'!AE22)</f>
        <v>0</v>
      </c>
      <c r="AC19" s="1275">
        <f>-('Table 5C1W-Willow'!AB22+'Table 5C1W-Willow'!AE22)</f>
        <v>0</v>
      </c>
      <c r="AD19" s="1275">
        <f>-('Table 5C2 - LA Virtual Admy'!AC21+'Table 5C2 - LA Virtual Admy'!AF21)</f>
        <v>-218332.80000000002</v>
      </c>
      <c r="AE19" s="1275">
        <f>-('Table 5C3 - LA Connections EBR'!AC21+'Table 5C3 - LA Connections EBR'!AF21)</f>
        <v>-45964.800000000003</v>
      </c>
      <c r="AF19" s="1275">
        <f t="shared" si="1"/>
        <v>-274497.20625205984</v>
      </c>
      <c r="AG19" s="1276">
        <f t="shared" si="2"/>
        <v>12731138.793747939</v>
      </c>
    </row>
    <row r="20" spans="1:33" ht="14.4" customHeight="1">
      <c r="A20" s="1256">
        <v>17</v>
      </c>
      <c r="B20" s="1257" t="s">
        <v>97</v>
      </c>
      <c r="C20" s="1258">
        <f>+'Table 2_State Distrib and Adjs'!AP23</f>
        <v>168307311</v>
      </c>
      <c r="D20" s="1259">
        <f>-'Table 5A3_OJJ'!T22</f>
        <v>-122843.61098293318</v>
      </c>
      <c r="E20" s="1259">
        <f>-('Table 5B2_RSD_LA'!AJ12+'Table 5B2_RSD_LA'!AO12)</f>
        <v>-13058573</v>
      </c>
      <c r="F20" s="1259"/>
      <c r="G20" s="1259">
        <f>-('Table 5C1A-Madison Prep'!AB23+'Table 5C1A-Madison Prep'!AE23)</f>
        <v>-1847100</v>
      </c>
      <c r="H20" s="1259">
        <f>-('Table 5C1B-DArbonne'!AB23+'Table 5C1B-DArbonne'!AE23)</f>
        <v>0</v>
      </c>
      <c r="I20" s="1259">
        <f>-('Table 5C1C-Intl_VIBE'!AB23+'Table 5C1C-Intl_VIBE'!AE23)</f>
        <v>0</v>
      </c>
      <c r="J20" s="1259">
        <f>-('Table 5C1D-NOMMA'!AB23+'Table 5C1D-NOMMA'!AE23)</f>
        <v>0</v>
      </c>
      <c r="K20" s="1259">
        <f>-('Table 5C1E-LFNO'!AB23+'Table 5C1E-LFNO'!AE23)</f>
        <v>0</v>
      </c>
      <c r="L20" s="1259">
        <f>-('Table 5C1F-Lake Charles Charter'!AB23+'Table 5C1F-Lake Charles Charter'!AE23)</f>
        <v>0</v>
      </c>
      <c r="M20" s="1259">
        <f>-('Table 5C1G-JS Clark Academy'!AB23+'Table 5C1G-JS Clark Academy'!AE23)</f>
        <v>0</v>
      </c>
      <c r="N20" s="1259">
        <f>-('Table 5C1H-Southwest LA Charter'!AB23+'Table 5C1H-Southwest LA Charter'!AE23)</f>
        <v>0</v>
      </c>
      <c r="O20" s="1259">
        <f>-('Table 5C1I-LA Key Academy'!AB23+'Table 5C1I-LA Key Academy'!AE23)</f>
        <v>-761400</v>
      </c>
      <c r="P20" s="1259">
        <f>-('Table 5C1J-Jefferson Chamber'!AB23+'Table 5C1J-Jefferson Chamber'!AE23)</f>
        <v>0</v>
      </c>
      <c r="Q20" s="1259">
        <f>-('Table 5C1K-Tallulah Charter'!AB23+'Table 5C1K-Tallulah Charter'!AE23)</f>
        <v>0</v>
      </c>
      <c r="R20" s="1259">
        <f>-('Table 5C1L-Northshore Charter'!AB23+'Table 5C1L-Northshore Charter'!AE23)</f>
        <v>0</v>
      </c>
      <c r="S20" s="1259">
        <f>-('Table 5C1M-B.R. Charter'!AB23+'Table 5C1M-B.R. Charter'!AE23)</f>
        <v>-3045600</v>
      </c>
      <c r="T20" s="1259">
        <f>-('Table 5C1N-Delta Charter'!AB23+'Table 5C1N-Delta Charter'!AE23)</f>
        <v>0</v>
      </c>
      <c r="U20" s="1259">
        <f>-('Table 5C1O-Impact'!AB23+'Table 5C1O-Impact'!AE23)</f>
        <v>-253800</v>
      </c>
      <c r="V20" s="1259">
        <f>-('Table 5C1P-Vision'!AB23+'Table 5C1P-Vision'!AE23)</f>
        <v>0</v>
      </c>
      <c r="W20" s="1259">
        <f>-('Table 5C1Q-Advantage'!AB23+'Table 5C1Q-Advantage'!AE23)</f>
        <v>-937650</v>
      </c>
      <c r="X20" s="1259">
        <f>-('Table 5C1R-Iberville'!AB23+'Table 5C1R-Iberville'!AE23)</f>
        <v>-56400</v>
      </c>
      <c r="Y20" s="1259">
        <f>-('Table 5C1S-L.C. Coll Prep'!AB23+'Table 5C1S-L.C. Coll Prep'!AE23)</f>
        <v>0</v>
      </c>
      <c r="Z20" s="1259">
        <f>-('Table 5C1T-Northeast'!AB23+'Table 5C1T-Northeast'!AE23)</f>
        <v>0</v>
      </c>
      <c r="AA20" s="1259">
        <f>-('Table 5C1U-Acadiana Ren'!AB23+'Table 5C1U-Acadiana Ren'!AE23)</f>
        <v>0</v>
      </c>
      <c r="AB20" s="1259">
        <f>-('Table 5C1V-Laf Ren'!AB23+'Table 5C1V-Laf Ren'!AE23)</f>
        <v>0</v>
      </c>
      <c r="AC20" s="1259">
        <f>-('Table 5C1W-Willow'!AB23+'Table 5C1W-Willow'!AE23)</f>
        <v>0</v>
      </c>
      <c r="AD20" s="1259">
        <f>-('Table 5C2 - LA Virtual Admy'!AC22+'Table 5C2 - LA Virtual Admy'!AF22)</f>
        <v>-659880</v>
      </c>
      <c r="AE20" s="1259">
        <f>-('Table 5C3 - LA Connections EBR'!AC22+'Table 5C3 - LA Connections EBR'!AF22)</f>
        <v>-542295.44999999995</v>
      </c>
      <c r="AF20" s="1259">
        <f t="shared" si="1"/>
        <v>-21285542.060982931</v>
      </c>
      <c r="AG20" s="1281">
        <f t="shared" si="2"/>
        <v>147021768.93901709</v>
      </c>
    </row>
    <row r="21" spans="1:33" ht="14.4" customHeight="1">
      <c r="A21" s="1256">
        <v>18</v>
      </c>
      <c r="B21" s="1257" t="s">
        <v>98</v>
      </c>
      <c r="C21" s="1258">
        <f>+'Table 2_State Distrib and Adjs'!AP24</f>
        <v>7566111</v>
      </c>
      <c r="D21" s="1259">
        <f>-'Table 5A3_OJJ'!T23</f>
        <v>-2127.9557483576818</v>
      </c>
      <c r="E21" s="1259"/>
      <c r="F21" s="1259"/>
      <c r="G21" s="1259">
        <f>-('Table 5C1A-Madison Prep'!AB24+'Table 5C1A-Madison Prep'!AE24)</f>
        <v>0</v>
      </c>
      <c r="H21" s="1259">
        <f>-('Table 5C1B-DArbonne'!AB24+'Table 5C1B-DArbonne'!AE24)</f>
        <v>0</v>
      </c>
      <c r="I21" s="1259">
        <f>-('Table 5C1C-Intl_VIBE'!AB24+'Table 5C1C-Intl_VIBE'!AE24)</f>
        <v>0</v>
      </c>
      <c r="J21" s="1259">
        <f>-('Table 5C1D-NOMMA'!AB24+'Table 5C1D-NOMMA'!AE24)</f>
        <v>0</v>
      </c>
      <c r="K21" s="1259">
        <f>-('Table 5C1E-LFNO'!AB24+'Table 5C1E-LFNO'!AE24)</f>
        <v>0</v>
      </c>
      <c r="L21" s="1259">
        <f>-('Table 5C1F-Lake Charles Charter'!AB24+'Table 5C1F-Lake Charles Charter'!AE24)</f>
        <v>0</v>
      </c>
      <c r="M21" s="1259">
        <f>-('Table 5C1G-JS Clark Academy'!AB24+'Table 5C1G-JS Clark Academy'!AE24)</f>
        <v>0</v>
      </c>
      <c r="N21" s="1259">
        <f>-('Table 5C1H-Southwest LA Charter'!AB24+'Table 5C1H-Southwest LA Charter'!AE24)</f>
        <v>0</v>
      </c>
      <c r="O21" s="1259">
        <f>-('Table 5C1I-LA Key Academy'!AB24+'Table 5C1I-LA Key Academy'!AE24)</f>
        <v>0</v>
      </c>
      <c r="P21" s="1259">
        <f>-('Table 5C1J-Jefferson Chamber'!AB24+'Table 5C1J-Jefferson Chamber'!AE24)</f>
        <v>0</v>
      </c>
      <c r="Q21" s="1259">
        <f>-('Table 5C1K-Tallulah Charter'!AB24+'Table 5C1K-Tallulah Charter'!AE24)</f>
        <v>0</v>
      </c>
      <c r="R21" s="1259">
        <f>-('Table 5C1L-Northshore Charter'!AB24+'Table 5C1L-Northshore Charter'!AE24)</f>
        <v>0</v>
      </c>
      <c r="S21" s="1259">
        <f>-('Table 5C1M-B.R. Charter'!AB24+'Table 5C1M-B.R. Charter'!AE24)</f>
        <v>0</v>
      </c>
      <c r="T21" s="1259">
        <f>-('Table 5C1N-Delta Charter'!AB24+'Table 5C1N-Delta Charter'!AE24)</f>
        <v>0</v>
      </c>
      <c r="U21" s="1259">
        <f>-('Table 5C1O-Impact'!AB24+'Table 5C1O-Impact'!AE24)</f>
        <v>0</v>
      </c>
      <c r="V21" s="1259">
        <f>-('Table 5C1P-Vision'!AB24+'Table 5C1P-Vision'!AE24)</f>
        <v>0</v>
      </c>
      <c r="W21" s="1259">
        <f>-('Table 5C1Q-Advantage'!AB24+'Table 5C1Q-Advantage'!AE24)</f>
        <v>0</v>
      </c>
      <c r="X21" s="1259">
        <f>-('Table 5C1R-Iberville'!AB24+'Table 5C1R-Iberville'!AE24)</f>
        <v>0</v>
      </c>
      <c r="Y21" s="1259">
        <f>-('Table 5C1S-L.C. Coll Prep'!AB24+'Table 5C1S-L.C. Coll Prep'!AE24)</f>
        <v>0</v>
      </c>
      <c r="Z21" s="1259">
        <f>-('Table 5C1T-Northeast'!AB24+'Table 5C1T-Northeast'!AE24)</f>
        <v>0</v>
      </c>
      <c r="AA21" s="1259">
        <f>-('Table 5C1U-Acadiana Ren'!AB24+'Table 5C1U-Acadiana Ren'!AE24)</f>
        <v>0</v>
      </c>
      <c r="AB21" s="1259">
        <f>-('Table 5C1V-Laf Ren'!AB24+'Table 5C1V-Laf Ren'!AE24)</f>
        <v>0</v>
      </c>
      <c r="AC21" s="1259">
        <f>-('Table 5C1W-Willow'!AB24+'Table 5C1W-Willow'!AE24)</f>
        <v>0</v>
      </c>
      <c r="AD21" s="1259">
        <f>-('Table 5C2 - LA Virtual Admy'!AC23+'Table 5C2 - LA Virtual Admy'!AF23)</f>
        <v>-6820.2000000000007</v>
      </c>
      <c r="AE21" s="1259">
        <f>-('Table 5C3 - LA Connections EBR'!AC23+'Table 5C3 - LA Connections EBR'!AF23)</f>
        <v>0</v>
      </c>
      <c r="AF21" s="1259">
        <f t="shared" si="1"/>
        <v>-8948.1557483576835</v>
      </c>
      <c r="AG21" s="1281">
        <f t="shared" si="2"/>
        <v>7557162.844251642</v>
      </c>
    </row>
    <row r="22" spans="1:33" ht="14.4" customHeight="1">
      <c r="A22" s="1256">
        <v>19</v>
      </c>
      <c r="B22" s="1257" t="s">
        <v>99</v>
      </c>
      <c r="C22" s="1258">
        <f>+'Table 2_State Distrib and Adjs'!AP25</f>
        <v>11777754</v>
      </c>
      <c r="D22" s="1259">
        <f>-'Table 5A3_OJJ'!T24</f>
        <v>-2600.0678010471206</v>
      </c>
      <c r="E22" s="1259"/>
      <c r="F22" s="1259"/>
      <c r="G22" s="1259">
        <f>-('Table 5C1A-Madison Prep'!AB25+'Table 5C1A-Madison Prep'!AE25)</f>
        <v>0</v>
      </c>
      <c r="H22" s="1259">
        <f>-('Table 5C1B-DArbonne'!AB25+'Table 5C1B-DArbonne'!AE25)</f>
        <v>0</v>
      </c>
      <c r="I22" s="1259">
        <f>-('Table 5C1C-Intl_VIBE'!AB25+'Table 5C1C-Intl_VIBE'!AE25)</f>
        <v>0</v>
      </c>
      <c r="J22" s="1259">
        <f>-('Table 5C1D-NOMMA'!AB25+'Table 5C1D-NOMMA'!AE25)</f>
        <v>0</v>
      </c>
      <c r="K22" s="1259">
        <f>-('Table 5C1E-LFNO'!AB25+'Table 5C1E-LFNO'!AE25)</f>
        <v>0</v>
      </c>
      <c r="L22" s="1259">
        <f>-('Table 5C1F-Lake Charles Charter'!AB25+'Table 5C1F-Lake Charles Charter'!AE25)</f>
        <v>0</v>
      </c>
      <c r="M22" s="1259">
        <f>-('Table 5C1G-JS Clark Academy'!AB25+'Table 5C1G-JS Clark Academy'!AE25)</f>
        <v>0</v>
      </c>
      <c r="N22" s="1259">
        <f>-('Table 5C1H-Southwest LA Charter'!AB25+'Table 5C1H-Southwest LA Charter'!AE25)</f>
        <v>0</v>
      </c>
      <c r="O22" s="1259">
        <f>-('Table 5C1I-LA Key Academy'!AB25+'Table 5C1I-LA Key Academy'!AE25)</f>
        <v>-5816</v>
      </c>
      <c r="P22" s="1259">
        <f>-('Table 5C1J-Jefferson Chamber'!AB25+'Table 5C1J-Jefferson Chamber'!AE25)</f>
        <v>0</v>
      </c>
      <c r="Q22" s="1259">
        <f>-('Table 5C1K-Tallulah Charter'!AB25+'Table 5C1K-Tallulah Charter'!AE25)</f>
        <v>0</v>
      </c>
      <c r="R22" s="1259">
        <f>-('Table 5C1L-Northshore Charter'!AB25+'Table 5C1L-Northshore Charter'!AE25)</f>
        <v>0</v>
      </c>
      <c r="S22" s="1259">
        <f>-('Table 5C1M-B.R. Charter'!AB25+'Table 5C1M-B.R. Charter'!AE25)</f>
        <v>-8724</v>
      </c>
      <c r="T22" s="1259">
        <f>-('Table 5C1N-Delta Charter'!AB25+'Table 5C1N-Delta Charter'!AE25)</f>
        <v>0</v>
      </c>
      <c r="U22" s="1259">
        <f>-('Table 5C1O-Impact'!AB25+'Table 5C1O-Impact'!AE25)</f>
        <v>-34896</v>
      </c>
      <c r="V22" s="1259">
        <f>-('Table 5C1P-Vision'!AB25+'Table 5C1P-Vision'!AE25)</f>
        <v>0</v>
      </c>
      <c r="W22" s="1259">
        <f>-('Table 5C1Q-Advantage'!AB25+'Table 5C1Q-Advantage'!AE25)</f>
        <v>0</v>
      </c>
      <c r="X22" s="1259">
        <f>-('Table 5C1R-Iberville'!AB25+'Table 5C1R-Iberville'!AE25)</f>
        <v>0</v>
      </c>
      <c r="Y22" s="1259">
        <f>-('Table 5C1S-L.C. Coll Prep'!AB25+'Table 5C1S-L.C. Coll Prep'!AE25)</f>
        <v>0</v>
      </c>
      <c r="Z22" s="1259">
        <f>-('Table 5C1T-Northeast'!AB25+'Table 5C1T-Northeast'!AE25)</f>
        <v>0</v>
      </c>
      <c r="AA22" s="1259">
        <f>-('Table 5C1U-Acadiana Ren'!AB25+'Table 5C1U-Acadiana Ren'!AE25)</f>
        <v>0</v>
      </c>
      <c r="AB22" s="1259">
        <f>-('Table 5C1V-Laf Ren'!AB25+'Table 5C1V-Laf Ren'!AE25)</f>
        <v>0</v>
      </c>
      <c r="AC22" s="1259">
        <f>-('Table 5C1W-Willow'!AB25+'Table 5C1W-Willow'!AE25)</f>
        <v>0</v>
      </c>
      <c r="AD22" s="1259">
        <f>-('Table 5C2 - LA Virtual Admy'!AC24+'Table 5C2 - LA Virtual Admy'!AF24)</f>
        <v>-36640.800000000003</v>
      </c>
      <c r="AE22" s="1259">
        <f>-('Table 5C3 - LA Connections EBR'!AC24+'Table 5C3 - LA Connections EBR'!AF24)</f>
        <v>-15703.2</v>
      </c>
      <c r="AF22" s="1259">
        <f t="shared" si="1"/>
        <v>-104380.06780104712</v>
      </c>
      <c r="AG22" s="1281">
        <f t="shared" si="2"/>
        <v>11673373.932198953</v>
      </c>
    </row>
    <row r="23" spans="1:33" ht="14.4" customHeight="1">
      <c r="A23" s="85">
        <v>20</v>
      </c>
      <c r="B23" s="207" t="s">
        <v>100</v>
      </c>
      <c r="C23" s="209">
        <f>+'Table 2_State Distrib and Adjs'!AP26</f>
        <v>34312659</v>
      </c>
      <c r="D23" s="219">
        <f>-'Table 5A3_OJJ'!T25</f>
        <v>-10285.622251838628</v>
      </c>
      <c r="E23" s="219"/>
      <c r="F23" s="219"/>
      <c r="G23" s="219">
        <f>-('Table 5C1A-Madison Prep'!AB26+'Table 5C1A-Madison Prep'!AE26)</f>
        <v>0</v>
      </c>
      <c r="H23" s="219">
        <f>-('Table 5C1B-DArbonne'!AB26+'Table 5C1B-DArbonne'!AE26)</f>
        <v>0</v>
      </c>
      <c r="I23" s="219">
        <f>-('Table 5C1C-Intl_VIBE'!AB26+'Table 5C1C-Intl_VIBE'!AE26)</f>
        <v>0</v>
      </c>
      <c r="J23" s="219">
        <f>-('Table 5C1D-NOMMA'!AB26+'Table 5C1D-NOMMA'!AE26)</f>
        <v>0</v>
      </c>
      <c r="K23" s="219">
        <f>-('Table 5C1E-LFNO'!AB26+'Table 5C1E-LFNO'!AE26)</f>
        <v>0</v>
      </c>
      <c r="L23" s="219">
        <f>-('Table 5C1F-Lake Charles Charter'!AB26+'Table 5C1F-Lake Charles Charter'!AE26)</f>
        <v>0</v>
      </c>
      <c r="M23" s="219">
        <f>-('Table 5C1G-JS Clark Academy'!AB26+'Table 5C1G-JS Clark Academy'!AE26)</f>
        <v>0</v>
      </c>
      <c r="N23" s="219">
        <f>-('Table 5C1H-Southwest LA Charter'!AB26+'Table 5C1H-Southwest LA Charter'!AE26)</f>
        <v>0</v>
      </c>
      <c r="O23" s="219">
        <f>-('Table 5C1I-LA Key Academy'!AB26+'Table 5C1I-LA Key Academy'!AE26)</f>
        <v>0</v>
      </c>
      <c r="P23" s="219">
        <f>-('Table 5C1J-Jefferson Chamber'!AB26+'Table 5C1J-Jefferson Chamber'!AE26)</f>
        <v>0</v>
      </c>
      <c r="Q23" s="219">
        <f>-('Table 5C1K-Tallulah Charter'!AB26+'Table 5C1K-Tallulah Charter'!AE26)</f>
        <v>0</v>
      </c>
      <c r="R23" s="219">
        <f>-('Table 5C1L-Northshore Charter'!AB26+'Table 5C1L-Northshore Charter'!AE26)</f>
        <v>0</v>
      </c>
      <c r="S23" s="219">
        <f>-('Table 5C1M-B.R. Charter'!AB26+'Table 5C1M-B.R. Charter'!AE26)</f>
        <v>0</v>
      </c>
      <c r="T23" s="219">
        <f>-('Table 5C1N-Delta Charter'!AB26+'Table 5C1N-Delta Charter'!AE26)</f>
        <v>0</v>
      </c>
      <c r="U23" s="219">
        <f>-('Table 5C1O-Impact'!AB26+'Table 5C1O-Impact'!AE26)</f>
        <v>0</v>
      </c>
      <c r="V23" s="219">
        <f>-('Table 5C1P-Vision'!AB26+'Table 5C1P-Vision'!AE26)</f>
        <v>0</v>
      </c>
      <c r="W23" s="219">
        <f>-('Table 5C1Q-Advantage'!AB26+'Table 5C1Q-Advantage'!AE26)</f>
        <v>0</v>
      </c>
      <c r="X23" s="219">
        <f>-('Table 5C1R-Iberville'!AB26+'Table 5C1R-Iberville'!AE26)</f>
        <v>0</v>
      </c>
      <c r="Y23" s="219">
        <f>-('Table 5C1S-L.C. Coll Prep'!AB26+'Table 5C1S-L.C. Coll Prep'!AE26)</f>
        <v>0</v>
      </c>
      <c r="Z23" s="219">
        <f>-('Table 5C1T-Northeast'!AB26+'Table 5C1T-Northeast'!AE26)</f>
        <v>0</v>
      </c>
      <c r="AA23" s="219">
        <f>-('Table 5C1U-Acadiana Ren'!AB26+'Table 5C1U-Acadiana Ren'!AE26)</f>
        <v>0</v>
      </c>
      <c r="AB23" s="219">
        <f>-('Table 5C1V-Laf Ren'!AB26+'Table 5C1V-Laf Ren'!AE26)</f>
        <v>0</v>
      </c>
      <c r="AC23" s="219">
        <f>-('Table 5C1W-Willow'!AB26+'Table 5C1W-Willow'!AE26)</f>
        <v>0</v>
      </c>
      <c r="AD23" s="219">
        <f>-('Table 5C2 - LA Virtual Admy'!AC25+'Table 5C2 - LA Virtual Admy'!AF25)</f>
        <v>-17510.400000000001</v>
      </c>
      <c r="AE23" s="219">
        <f>-('Table 5C3 - LA Connections EBR'!AC25+'Table 5C3 - LA Connections EBR'!AF25)</f>
        <v>-13132.800000000001</v>
      </c>
      <c r="AF23" s="219">
        <f t="shared" si="1"/>
        <v>-40928.822251838632</v>
      </c>
      <c r="AG23" s="364">
        <f t="shared" si="2"/>
        <v>34271730.177748166</v>
      </c>
    </row>
    <row r="24" spans="1:33" ht="14.4" customHeight="1">
      <c r="A24" s="1272">
        <v>21</v>
      </c>
      <c r="B24" s="1273" t="s">
        <v>101</v>
      </c>
      <c r="C24" s="1274">
        <f>+'Table 2_State Distrib and Adjs'!AP27</f>
        <v>19371189</v>
      </c>
      <c r="D24" s="1275">
        <f>-'Table 5A3_OJJ'!T26</f>
        <v>-5061.2382962991451</v>
      </c>
      <c r="E24" s="1275"/>
      <c r="F24" s="1275"/>
      <c r="G24" s="1275">
        <f>-('Table 5C1A-Madison Prep'!AB27+'Table 5C1A-Madison Prep'!AE27)</f>
        <v>0</v>
      </c>
      <c r="H24" s="1275">
        <f>-('Table 5C1B-DArbonne'!AB27+'Table 5C1B-DArbonne'!AE27)</f>
        <v>0</v>
      </c>
      <c r="I24" s="1275">
        <f>-('Table 5C1C-Intl_VIBE'!AB27+'Table 5C1C-Intl_VIBE'!AE27)</f>
        <v>0</v>
      </c>
      <c r="J24" s="1275">
        <f>-('Table 5C1D-NOMMA'!AB27+'Table 5C1D-NOMMA'!AE27)</f>
        <v>0</v>
      </c>
      <c r="K24" s="1275">
        <f>-('Table 5C1E-LFNO'!AB27+'Table 5C1E-LFNO'!AE27)</f>
        <v>0</v>
      </c>
      <c r="L24" s="1275">
        <f>-('Table 5C1F-Lake Charles Charter'!AB27+'Table 5C1F-Lake Charles Charter'!AE27)</f>
        <v>0</v>
      </c>
      <c r="M24" s="1275">
        <f>-('Table 5C1G-JS Clark Academy'!AB27+'Table 5C1G-JS Clark Academy'!AE27)</f>
        <v>0</v>
      </c>
      <c r="N24" s="1275">
        <f>-('Table 5C1H-Southwest LA Charter'!AB27+'Table 5C1H-Southwest LA Charter'!AE27)</f>
        <v>0</v>
      </c>
      <c r="O24" s="1275">
        <f>-('Table 5C1I-LA Key Academy'!AB27+'Table 5C1I-LA Key Academy'!AE27)</f>
        <v>0</v>
      </c>
      <c r="P24" s="1275">
        <f>-('Table 5C1J-Jefferson Chamber'!AB27+'Table 5C1J-Jefferson Chamber'!AE27)</f>
        <v>0</v>
      </c>
      <c r="Q24" s="1275">
        <f>-('Table 5C1K-Tallulah Charter'!AB27+'Table 5C1K-Tallulah Charter'!AE27)</f>
        <v>0</v>
      </c>
      <c r="R24" s="1275">
        <f>-('Table 5C1L-Northshore Charter'!AB27+'Table 5C1L-Northshore Charter'!AE27)</f>
        <v>0</v>
      </c>
      <c r="S24" s="1275">
        <f>-('Table 5C1M-B.R. Charter'!AB27+'Table 5C1M-B.R. Charter'!AE27)</f>
        <v>0</v>
      </c>
      <c r="T24" s="1275">
        <f>-('Table 5C1N-Delta Charter'!AB27+'Table 5C1N-Delta Charter'!AE27)</f>
        <v>-4920</v>
      </c>
      <c r="U24" s="1275">
        <f>-('Table 5C1O-Impact'!AB27+'Table 5C1O-Impact'!AE27)</f>
        <v>0</v>
      </c>
      <c r="V24" s="1275">
        <f>-('Table 5C1P-Vision'!AB27+'Table 5C1P-Vision'!AE27)</f>
        <v>0</v>
      </c>
      <c r="W24" s="1275">
        <f>-('Table 5C1Q-Advantage'!AB27+'Table 5C1Q-Advantage'!AE27)</f>
        <v>0</v>
      </c>
      <c r="X24" s="1275">
        <f>-('Table 5C1R-Iberville'!AB27+'Table 5C1R-Iberville'!AE27)</f>
        <v>0</v>
      </c>
      <c r="Y24" s="1275">
        <f>-('Table 5C1S-L.C. Coll Prep'!AB27+'Table 5C1S-L.C. Coll Prep'!AE27)</f>
        <v>0</v>
      </c>
      <c r="Z24" s="1275">
        <f>-('Table 5C1T-Northeast'!AB27+'Table 5C1T-Northeast'!AE27)</f>
        <v>0</v>
      </c>
      <c r="AA24" s="1275">
        <f>-('Table 5C1U-Acadiana Ren'!AB27+'Table 5C1U-Acadiana Ren'!AE27)</f>
        <v>0</v>
      </c>
      <c r="AB24" s="1275">
        <f>-('Table 5C1V-Laf Ren'!AB27+'Table 5C1V-Laf Ren'!AE27)</f>
        <v>0</v>
      </c>
      <c r="AC24" s="1275">
        <f>-('Table 5C1W-Willow'!AB27+'Table 5C1W-Willow'!AE27)</f>
        <v>0</v>
      </c>
      <c r="AD24" s="1275">
        <f>-('Table 5C2 - LA Virtual Admy'!AC26+'Table 5C2 - LA Virtual Admy'!AF26)</f>
        <v>-13284</v>
      </c>
      <c r="AE24" s="1275">
        <f>-('Table 5C3 - LA Connections EBR'!AC26+'Table 5C3 - LA Connections EBR'!AF26)</f>
        <v>-13284</v>
      </c>
      <c r="AF24" s="1275">
        <f t="shared" si="1"/>
        <v>-36549.238296299147</v>
      </c>
      <c r="AG24" s="1276">
        <f t="shared" si="2"/>
        <v>19334639.7617037</v>
      </c>
    </row>
    <row r="25" spans="1:33" ht="14.4" customHeight="1">
      <c r="A25" s="1256">
        <v>22</v>
      </c>
      <c r="B25" s="1257" t="s">
        <v>102</v>
      </c>
      <c r="C25" s="1258">
        <f>+'Table 2_State Distrib and Adjs'!AP28</f>
        <v>21644261</v>
      </c>
      <c r="D25" s="1259">
        <f>-'Table 5A3_OJJ'!T27</f>
        <v>-1320.1065037775948</v>
      </c>
      <c r="E25" s="1259"/>
      <c r="F25" s="1259"/>
      <c r="G25" s="1259">
        <f>-('Table 5C1A-Madison Prep'!AB28+'Table 5C1A-Madison Prep'!AE28)</f>
        <v>0</v>
      </c>
      <c r="H25" s="1259">
        <f>-('Table 5C1B-DArbonne'!AB28+'Table 5C1B-DArbonne'!AE28)</f>
        <v>0</v>
      </c>
      <c r="I25" s="1259">
        <f>-('Table 5C1C-Intl_VIBE'!AB28+'Table 5C1C-Intl_VIBE'!AE28)</f>
        <v>0</v>
      </c>
      <c r="J25" s="1259">
        <f>-('Table 5C1D-NOMMA'!AB28+'Table 5C1D-NOMMA'!AE28)</f>
        <v>0</v>
      </c>
      <c r="K25" s="1259">
        <f>-('Table 5C1E-LFNO'!AB28+'Table 5C1E-LFNO'!AE28)</f>
        <v>0</v>
      </c>
      <c r="L25" s="1259">
        <f>-('Table 5C1F-Lake Charles Charter'!AB28+'Table 5C1F-Lake Charles Charter'!AE28)</f>
        <v>0</v>
      </c>
      <c r="M25" s="1259">
        <f>-('Table 5C1G-JS Clark Academy'!AB28+'Table 5C1G-JS Clark Academy'!AE28)</f>
        <v>0</v>
      </c>
      <c r="N25" s="1259">
        <f>-('Table 5C1H-Southwest LA Charter'!AB28+'Table 5C1H-Southwest LA Charter'!AE28)</f>
        <v>0</v>
      </c>
      <c r="O25" s="1259">
        <f>-('Table 5C1I-LA Key Academy'!AB28+'Table 5C1I-LA Key Academy'!AE28)</f>
        <v>0</v>
      </c>
      <c r="P25" s="1259">
        <f>-('Table 5C1J-Jefferson Chamber'!AB28+'Table 5C1J-Jefferson Chamber'!AE28)</f>
        <v>0</v>
      </c>
      <c r="Q25" s="1259">
        <f>-('Table 5C1K-Tallulah Charter'!AB28+'Table 5C1K-Tallulah Charter'!AE28)</f>
        <v>0</v>
      </c>
      <c r="R25" s="1259">
        <f>-('Table 5C1L-Northshore Charter'!AB28+'Table 5C1L-Northshore Charter'!AE28)</f>
        <v>0</v>
      </c>
      <c r="S25" s="1259">
        <f>-('Table 5C1M-B.R. Charter'!AB28+'Table 5C1M-B.R. Charter'!AE28)</f>
        <v>0</v>
      </c>
      <c r="T25" s="1259">
        <f>-('Table 5C1N-Delta Charter'!AB28+'Table 5C1N-Delta Charter'!AE28)</f>
        <v>0</v>
      </c>
      <c r="U25" s="1259">
        <f>-('Table 5C1O-Impact'!AB28+'Table 5C1O-Impact'!AE28)</f>
        <v>0</v>
      </c>
      <c r="V25" s="1259">
        <f>-('Table 5C1P-Vision'!AB28+'Table 5C1P-Vision'!AE28)</f>
        <v>0</v>
      </c>
      <c r="W25" s="1259">
        <f>-('Table 5C1Q-Advantage'!AB28+'Table 5C1Q-Advantage'!AE28)</f>
        <v>0</v>
      </c>
      <c r="X25" s="1259">
        <f>-('Table 5C1R-Iberville'!AB28+'Table 5C1R-Iberville'!AE28)</f>
        <v>0</v>
      </c>
      <c r="Y25" s="1259">
        <f>-('Table 5C1S-L.C. Coll Prep'!AB28+'Table 5C1S-L.C. Coll Prep'!AE28)</f>
        <v>0</v>
      </c>
      <c r="Z25" s="1259">
        <f>-('Table 5C1T-Northeast'!AB28+'Table 5C1T-Northeast'!AE28)</f>
        <v>0</v>
      </c>
      <c r="AA25" s="1259">
        <f>-('Table 5C1U-Acadiana Ren'!AB28+'Table 5C1U-Acadiana Ren'!AE28)</f>
        <v>0</v>
      </c>
      <c r="AB25" s="1259">
        <f>-('Table 5C1V-Laf Ren'!AB28+'Table 5C1V-Laf Ren'!AE28)</f>
        <v>0</v>
      </c>
      <c r="AC25" s="1259">
        <f>-('Table 5C1W-Willow'!AB28+'Table 5C1W-Willow'!AE28)</f>
        <v>0</v>
      </c>
      <c r="AD25" s="1259">
        <f>-('Table 5C2 - LA Virtual Admy'!AC27+'Table 5C2 - LA Virtual Admy'!AF27)</f>
        <v>-11613.6</v>
      </c>
      <c r="AE25" s="1259">
        <f>-('Table 5C3 - LA Connections EBR'!AC27+'Table 5C3 - LA Connections EBR'!AF27)</f>
        <v>-13065.300000000001</v>
      </c>
      <c r="AF25" s="1259">
        <f t="shared" si="1"/>
        <v>-25999.006503777597</v>
      </c>
      <c r="AG25" s="1281">
        <f t="shared" si="2"/>
        <v>21618261.993496221</v>
      </c>
    </row>
    <row r="26" spans="1:33" ht="14.4" customHeight="1">
      <c r="A26" s="1256">
        <v>23</v>
      </c>
      <c r="B26" s="1257" t="s">
        <v>103</v>
      </c>
      <c r="C26" s="1258">
        <f>+'Table 2_State Distrib and Adjs'!AP29</f>
        <v>77250145</v>
      </c>
      <c r="D26" s="1259">
        <f>-'Table 5A3_OJJ'!T28</f>
        <v>-21659.733653801599</v>
      </c>
      <c r="E26" s="1259"/>
      <c r="F26" s="1259"/>
      <c r="G26" s="1259">
        <f>-('Table 5C1A-Madison Prep'!AB29+'Table 5C1A-Madison Prep'!AE29)</f>
        <v>0</v>
      </c>
      <c r="H26" s="1259">
        <f>-('Table 5C1B-DArbonne'!AB29+'Table 5C1B-DArbonne'!AE29)</f>
        <v>0</v>
      </c>
      <c r="I26" s="1259">
        <f>-('Table 5C1C-Intl_VIBE'!AB29+'Table 5C1C-Intl_VIBE'!AE29)</f>
        <v>0</v>
      </c>
      <c r="J26" s="1259">
        <f>-('Table 5C1D-NOMMA'!AB29+'Table 5C1D-NOMMA'!AE29)</f>
        <v>0</v>
      </c>
      <c r="K26" s="1259">
        <f>-('Table 5C1E-LFNO'!AB29+'Table 5C1E-LFNO'!AE29)</f>
        <v>0</v>
      </c>
      <c r="L26" s="1259">
        <f>-('Table 5C1F-Lake Charles Charter'!AB29+'Table 5C1F-Lake Charles Charter'!AE29)</f>
        <v>0</v>
      </c>
      <c r="M26" s="1259">
        <f>-('Table 5C1G-JS Clark Academy'!AB29+'Table 5C1G-JS Clark Academy'!AE29)</f>
        <v>0</v>
      </c>
      <c r="N26" s="1259">
        <f>-('Table 5C1H-Southwest LA Charter'!AB29+'Table 5C1H-Southwest LA Charter'!AE29)</f>
        <v>0</v>
      </c>
      <c r="O26" s="1259">
        <f>-('Table 5C1I-LA Key Academy'!AB29+'Table 5C1I-LA Key Academy'!AE29)</f>
        <v>0</v>
      </c>
      <c r="P26" s="1259">
        <f>-('Table 5C1J-Jefferson Chamber'!AB29+'Table 5C1J-Jefferson Chamber'!AE29)</f>
        <v>0</v>
      </c>
      <c r="Q26" s="1259">
        <f>-('Table 5C1K-Tallulah Charter'!AB29+'Table 5C1K-Tallulah Charter'!AE29)</f>
        <v>0</v>
      </c>
      <c r="R26" s="1259">
        <f>-('Table 5C1L-Northshore Charter'!AB29+'Table 5C1L-Northshore Charter'!AE29)</f>
        <v>0</v>
      </c>
      <c r="S26" s="1259">
        <f>-('Table 5C1M-B.R. Charter'!AB29+'Table 5C1M-B.R. Charter'!AE29)</f>
        <v>0</v>
      </c>
      <c r="T26" s="1259">
        <f>-('Table 5C1N-Delta Charter'!AB29+'Table 5C1N-Delta Charter'!AE29)</f>
        <v>0</v>
      </c>
      <c r="U26" s="1259">
        <f>-('Table 5C1O-Impact'!AB29+'Table 5C1O-Impact'!AE29)</f>
        <v>0</v>
      </c>
      <c r="V26" s="1259">
        <f>-('Table 5C1P-Vision'!AB29+'Table 5C1P-Vision'!AE29)</f>
        <v>0</v>
      </c>
      <c r="W26" s="1259">
        <f>-('Table 5C1Q-Advantage'!AB29+'Table 5C1Q-Advantage'!AE29)</f>
        <v>0</v>
      </c>
      <c r="X26" s="1259">
        <f>-('Table 5C1R-Iberville'!AB29+'Table 5C1R-Iberville'!AE29)</f>
        <v>0</v>
      </c>
      <c r="Y26" s="1259">
        <f>-('Table 5C1S-L.C. Coll Prep'!AB29+'Table 5C1S-L.C. Coll Prep'!AE29)</f>
        <v>0</v>
      </c>
      <c r="Z26" s="1259">
        <f>-('Table 5C1T-Northeast'!AB29+'Table 5C1T-Northeast'!AE29)</f>
        <v>0</v>
      </c>
      <c r="AA26" s="1259">
        <f>-('Table 5C1U-Acadiana Ren'!AB29+'Table 5C1U-Acadiana Ren'!AE29)</f>
        <v>-41676</v>
      </c>
      <c r="AB26" s="1259">
        <f>-('Table 5C1V-Laf Ren'!AB29+'Table 5C1V-Laf Ren'!AE29)</f>
        <v>-59041</v>
      </c>
      <c r="AC26" s="1259">
        <f>-('Table 5C1W-Willow'!AB29+'Table 5C1W-Willow'!AE29)</f>
        <v>0</v>
      </c>
      <c r="AD26" s="1259">
        <f>-('Table 5C2 - LA Virtual Admy'!AC28+'Table 5C2 - LA Virtual Admy'!AF28)</f>
        <v>-59388.3</v>
      </c>
      <c r="AE26" s="1259">
        <f>-('Table 5C3 - LA Connections EBR'!AC28+'Table 5C3 - LA Connections EBR'!AF28)</f>
        <v>-75016.800000000003</v>
      </c>
      <c r="AF26" s="1259">
        <f t="shared" si="1"/>
        <v>-256781.83365380159</v>
      </c>
      <c r="AG26" s="1281">
        <f t="shared" si="2"/>
        <v>76993363.166346207</v>
      </c>
    </row>
    <row r="27" spans="1:33" ht="14.4" customHeight="1">
      <c r="A27" s="1256">
        <v>24</v>
      </c>
      <c r="B27" s="1257" t="s">
        <v>104</v>
      </c>
      <c r="C27" s="1258">
        <f>+'Table 2_State Distrib and Adjs'!AP30</f>
        <v>15874185</v>
      </c>
      <c r="D27" s="1259">
        <f>-'Table 5A3_OJJ'!T29</f>
        <v>-9149.7349742653987</v>
      </c>
      <c r="E27" s="1259"/>
      <c r="F27" s="1259"/>
      <c r="G27" s="1259">
        <f>-('Table 5C1A-Madison Prep'!AB30+'Table 5C1A-Madison Prep'!AE30)</f>
        <v>-10053</v>
      </c>
      <c r="H27" s="1259">
        <f>-('Table 5C1B-DArbonne'!AB30+'Table 5C1B-DArbonne'!AE30)</f>
        <v>0</v>
      </c>
      <c r="I27" s="1259">
        <f>-('Table 5C1C-Intl_VIBE'!AB30+'Table 5C1C-Intl_VIBE'!AE30)</f>
        <v>0</v>
      </c>
      <c r="J27" s="1259">
        <f>-('Table 5C1D-NOMMA'!AB30+'Table 5C1D-NOMMA'!AE30)</f>
        <v>0</v>
      </c>
      <c r="K27" s="1259">
        <f>-('Table 5C1E-LFNO'!AB30+'Table 5C1E-LFNO'!AE30)</f>
        <v>0</v>
      </c>
      <c r="L27" s="1259">
        <f>-('Table 5C1F-Lake Charles Charter'!AB30+'Table 5C1F-Lake Charles Charter'!AE30)</f>
        <v>0</v>
      </c>
      <c r="M27" s="1259">
        <f>-('Table 5C1G-JS Clark Academy'!AB30+'Table 5C1G-JS Clark Academy'!AE30)</f>
        <v>0</v>
      </c>
      <c r="N27" s="1259">
        <f>-('Table 5C1H-Southwest LA Charter'!AB30+'Table 5C1H-Southwest LA Charter'!AE30)</f>
        <v>0</v>
      </c>
      <c r="O27" s="1259">
        <f>-('Table 5C1I-LA Key Academy'!AB30+'Table 5C1I-LA Key Academy'!AE30)</f>
        <v>-40212</v>
      </c>
      <c r="P27" s="1259">
        <f>-('Table 5C1J-Jefferson Chamber'!AB30+'Table 5C1J-Jefferson Chamber'!AE30)</f>
        <v>0</v>
      </c>
      <c r="Q27" s="1259">
        <f>-('Table 5C1K-Tallulah Charter'!AB30+'Table 5C1K-Tallulah Charter'!AE30)</f>
        <v>0</v>
      </c>
      <c r="R27" s="1259">
        <f>-('Table 5C1L-Northshore Charter'!AB30+'Table 5C1L-Northshore Charter'!AE30)</f>
        <v>0</v>
      </c>
      <c r="S27" s="1259">
        <f>-('Table 5C1M-B.R. Charter'!AB30+'Table 5C1M-B.R. Charter'!AE30)</f>
        <v>-40212</v>
      </c>
      <c r="T27" s="1259">
        <f>-('Table 5C1N-Delta Charter'!AB30+'Table 5C1N-Delta Charter'!AE30)</f>
        <v>0</v>
      </c>
      <c r="U27" s="1259">
        <f>-('Table 5C1O-Impact'!AB30+'Table 5C1O-Impact'!AE30)</f>
        <v>0</v>
      </c>
      <c r="V27" s="1259">
        <f>-('Table 5C1P-Vision'!AB30+'Table 5C1P-Vision'!AE30)</f>
        <v>0</v>
      </c>
      <c r="W27" s="1259">
        <f>-('Table 5C1Q-Advantage'!AB30+'Table 5C1Q-Advantage'!AE30)</f>
        <v>0</v>
      </c>
      <c r="X27" s="1259">
        <f>-('Table 5C1R-Iberville'!AB30+'Table 5C1R-Iberville'!AE30)</f>
        <v>-3779928</v>
      </c>
      <c r="Y27" s="1259">
        <f>-('Table 5C1S-L.C. Coll Prep'!AB30+'Table 5C1S-L.C. Coll Prep'!AE30)</f>
        <v>0</v>
      </c>
      <c r="Z27" s="1259">
        <f>-('Table 5C1T-Northeast'!AB30+'Table 5C1T-Northeast'!AE30)</f>
        <v>0</v>
      </c>
      <c r="AA27" s="1259">
        <f>-('Table 5C1U-Acadiana Ren'!AB30+'Table 5C1U-Acadiana Ren'!AE30)</f>
        <v>0</v>
      </c>
      <c r="AB27" s="1259">
        <f>-('Table 5C1V-Laf Ren'!AB30+'Table 5C1V-Laf Ren'!AE30)</f>
        <v>0</v>
      </c>
      <c r="AC27" s="1259">
        <f>-('Table 5C1W-Willow'!AB30+'Table 5C1W-Willow'!AE30)</f>
        <v>0</v>
      </c>
      <c r="AD27" s="1259">
        <f>-('Table 5C2 - LA Virtual Admy'!AC29+'Table 5C2 - LA Virtual Admy'!AF29)</f>
        <v>-126667.80000000002</v>
      </c>
      <c r="AE27" s="1259">
        <f>-('Table 5C3 - LA Connections EBR'!AC29+'Table 5C3 - LA Connections EBR'!AF29)</f>
        <v>-18095.400000000001</v>
      </c>
      <c r="AF27" s="1259">
        <f t="shared" si="1"/>
        <v>-4024317.9349742653</v>
      </c>
      <c r="AG27" s="1281">
        <f t="shared" si="2"/>
        <v>11849867.065025734</v>
      </c>
    </row>
    <row r="28" spans="1:33" ht="14.4" customHeight="1">
      <c r="A28" s="85">
        <v>25</v>
      </c>
      <c r="B28" s="207" t="s">
        <v>105</v>
      </c>
      <c r="C28" s="209">
        <f>+'Table 2_State Distrib and Adjs'!AP31</f>
        <v>11052877</v>
      </c>
      <c r="D28" s="219">
        <f>-'Table 5A3_OJJ'!T30</f>
        <v>-299.5722356266516</v>
      </c>
      <c r="E28" s="219"/>
      <c r="F28" s="219"/>
      <c r="G28" s="219">
        <f>-('Table 5C1A-Madison Prep'!AB31+'Table 5C1A-Madison Prep'!AE31)</f>
        <v>0</v>
      </c>
      <c r="H28" s="219">
        <f>-('Table 5C1B-DArbonne'!AB31+'Table 5C1B-DArbonne'!AE31)</f>
        <v>0</v>
      </c>
      <c r="I28" s="219">
        <f>-('Table 5C1C-Intl_VIBE'!AB31+'Table 5C1C-Intl_VIBE'!AE31)</f>
        <v>0</v>
      </c>
      <c r="J28" s="219">
        <f>-('Table 5C1D-NOMMA'!AB31+'Table 5C1D-NOMMA'!AE31)</f>
        <v>0</v>
      </c>
      <c r="K28" s="219">
        <f>-('Table 5C1E-LFNO'!AB31+'Table 5C1E-LFNO'!AE31)</f>
        <v>0</v>
      </c>
      <c r="L28" s="219">
        <f>-('Table 5C1F-Lake Charles Charter'!AB31+'Table 5C1F-Lake Charles Charter'!AE31)</f>
        <v>0</v>
      </c>
      <c r="M28" s="219">
        <f>-('Table 5C1G-JS Clark Academy'!AB31+'Table 5C1G-JS Clark Academy'!AE31)</f>
        <v>0</v>
      </c>
      <c r="N28" s="219">
        <f>-('Table 5C1H-Southwest LA Charter'!AB31+'Table 5C1H-Southwest LA Charter'!AE31)</f>
        <v>0</v>
      </c>
      <c r="O28" s="219">
        <f>-('Table 5C1I-LA Key Academy'!AB31+'Table 5C1I-LA Key Academy'!AE31)</f>
        <v>0</v>
      </c>
      <c r="P28" s="219">
        <f>-('Table 5C1J-Jefferson Chamber'!AB31+'Table 5C1J-Jefferson Chamber'!AE31)</f>
        <v>0</v>
      </c>
      <c r="Q28" s="219">
        <f>-('Table 5C1K-Tallulah Charter'!AB31+'Table 5C1K-Tallulah Charter'!AE31)</f>
        <v>0</v>
      </c>
      <c r="R28" s="219">
        <f>-('Table 5C1L-Northshore Charter'!AB31+'Table 5C1L-Northshore Charter'!AE31)</f>
        <v>0</v>
      </c>
      <c r="S28" s="219">
        <f>-('Table 5C1M-B.R. Charter'!AB31+'Table 5C1M-B.R. Charter'!AE31)</f>
        <v>0</v>
      </c>
      <c r="T28" s="219">
        <f>-('Table 5C1N-Delta Charter'!AB31+'Table 5C1N-Delta Charter'!AE31)</f>
        <v>0</v>
      </c>
      <c r="U28" s="219">
        <f>-('Table 5C1O-Impact'!AB31+'Table 5C1O-Impact'!AE31)</f>
        <v>0</v>
      </c>
      <c r="V28" s="219">
        <f>-('Table 5C1P-Vision'!AB31+'Table 5C1P-Vision'!AE31)</f>
        <v>0</v>
      </c>
      <c r="W28" s="219">
        <f>-('Table 5C1Q-Advantage'!AB31+'Table 5C1Q-Advantage'!AE31)</f>
        <v>0</v>
      </c>
      <c r="X28" s="219">
        <f>-('Table 5C1R-Iberville'!AB31+'Table 5C1R-Iberville'!AE31)</f>
        <v>0</v>
      </c>
      <c r="Y28" s="219">
        <f>-('Table 5C1S-L.C. Coll Prep'!AB31+'Table 5C1S-L.C. Coll Prep'!AE31)</f>
        <v>0</v>
      </c>
      <c r="Z28" s="219">
        <f>-('Table 5C1T-Northeast'!AB31+'Table 5C1T-Northeast'!AE31)</f>
        <v>0</v>
      </c>
      <c r="AA28" s="219">
        <f>-('Table 5C1U-Acadiana Ren'!AB31+'Table 5C1U-Acadiana Ren'!AE31)</f>
        <v>0</v>
      </c>
      <c r="AB28" s="219">
        <f>-('Table 5C1V-Laf Ren'!AB31+'Table 5C1V-Laf Ren'!AE31)</f>
        <v>0</v>
      </c>
      <c r="AC28" s="219">
        <f>-('Table 5C1W-Willow'!AB31+'Table 5C1W-Willow'!AE31)</f>
        <v>0</v>
      </c>
      <c r="AD28" s="219">
        <f>-('Table 5C2 - LA Virtual Admy'!AC30+'Table 5C2 - LA Virtual Admy'!AF30)</f>
        <v>-4565.7</v>
      </c>
      <c r="AE28" s="219">
        <f>-('Table 5C3 - LA Connections EBR'!AC30+'Table 5C3 - LA Connections EBR'!AF30)</f>
        <v>-4565.7</v>
      </c>
      <c r="AF28" s="219">
        <f t="shared" si="1"/>
        <v>-9430.9722356266502</v>
      </c>
      <c r="AG28" s="364">
        <f t="shared" si="2"/>
        <v>11043446.027764374</v>
      </c>
    </row>
    <row r="29" spans="1:33" ht="14.4" customHeight="1">
      <c r="A29" s="1272">
        <v>26</v>
      </c>
      <c r="B29" s="1273" t="s">
        <v>106</v>
      </c>
      <c r="C29" s="1274">
        <f>+'Table 2_State Distrib and Adjs'!AP32</f>
        <v>191065685</v>
      </c>
      <c r="D29" s="1275">
        <f>-'Table 5A3_OJJ'!T31</f>
        <v>-78552.904916099302</v>
      </c>
      <c r="E29" s="1275"/>
      <c r="F29" s="1275"/>
      <c r="G29" s="1275">
        <f>-('Table 5C1A-Madison Prep'!AB32+'Table 5C1A-Madison Prep'!AE32)</f>
        <v>0</v>
      </c>
      <c r="H29" s="1275">
        <f>-('Table 5C1B-DArbonne'!AB32+'Table 5C1B-DArbonne'!AE32)</f>
        <v>0</v>
      </c>
      <c r="I29" s="1275">
        <f>-('Table 5C1C-Intl_VIBE'!AB32+'Table 5C1C-Intl_VIBE'!AE32)</f>
        <v>-305080</v>
      </c>
      <c r="J29" s="1275">
        <f>-('Table 5C1D-NOMMA'!AB32+'Table 5C1D-NOMMA'!AE32)</f>
        <v>-1004660</v>
      </c>
      <c r="K29" s="1275">
        <f>-('Table 5C1E-LFNO'!AB32+'Table 5C1E-LFNO'!AE32)</f>
        <v>-373460</v>
      </c>
      <c r="L29" s="1275">
        <f>-('Table 5C1F-Lake Charles Charter'!AB32+'Table 5C1F-Lake Charles Charter'!AE32)</f>
        <v>0</v>
      </c>
      <c r="M29" s="1275">
        <f>-('Table 5C1G-JS Clark Academy'!AB32+'Table 5C1G-JS Clark Academy'!AE32)</f>
        <v>0</v>
      </c>
      <c r="N29" s="1275">
        <f>-('Table 5C1H-Southwest LA Charter'!AB32+'Table 5C1H-Southwest LA Charter'!AE32)</f>
        <v>0</v>
      </c>
      <c r="O29" s="1275">
        <f>-('Table 5C1I-LA Key Academy'!AB32+'Table 5C1I-LA Key Academy'!AE32)</f>
        <v>0</v>
      </c>
      <c r="P29" s="1275">
        <f>-('Table 5C1J-Jefferson Chamber'!AB32+'Table 5C1J-Jefferson Chamber'!AE32)</f>
        <v>-478660</v>
      </c>
      <c r="Q29" s="1275">
        <f>-('Table 5C1K-Tallulah Charter'!AB32+'Table 5C1K-Tallulah Charter'!AE32)</f>
        <v>0</v>
      </c>
      <c r="R29" s="1275">
        <f>-('Table 5C1L-Northshore Charter'!AB32+'Table 5C1L-Northshore Charter'!AE32)</f>
        <v>0</v>
      </c>
      <c r="S29" s="1275">
        <f>-('Table 5C1M-B.R. Charter'!AB32+'Table 5C1M-B.R. Charter'!AE32)</f>
        <v>0</v>
      </c>
      <c r="T29" s="1275">
        <f>-('Table 5C1N-Delta Charter'!AB32+'Table 5C1N-Delta Charter'!AE32)</f>
        <v>0</v>
      </c>
      <c r="U29" s="1275">
        <f>-('Table 5C1O-Impact'!AB32+'Table 5C1O-Impact'!AE32)</f>
        <v>0</v>
      </c>
      <c r="V29" s="1275">
        <f>-('Table 5C1P-Vision'!AB32+'Table 5C1P-Vision'!AE32)</f>
        <v>0</v>
      </c>
      <c r="W29" s="1275">
        <f>-('Table 5C1Q-Advantage'!AB32+'Table 5C1Q-Advantage'!AE32)</f>
        <v>0</v>
      </c>
      <c r="X29" s="1275">
        <f>-('Table 5C1R-Iberville'!AB32+'Table 5C1R-Iberville'!AE32)</f>
        <v>0</v>
      </c>
      <c r="Y29" s="1275">
        <f>-('Table 5C1S-L.C. Coll Prep'!AB32+'Table 5C1S-L.C. Coll Prep'!AE32)</f>
        <v>0</v>
      </c>
      <c r="Z29" s="1275">
        <f>-('Table 5C1T-Northeast'!AB32+'Table 5C1T-Northeast'!AE32)</f>
        <v>0</v>
      </c>
      <c r="AA29" s="1275">
        <f>-('Table 5C1U-Acadiana Ren'!AB32+'Table 5C1U-Acadiana Ren'!AE32)</f>
        <v>0</v>
      </c>
      <c r="AB29" s="1275">
        <f>-('Table 5C1V-Laf Ren'!AB32+'Table 5C1V-Laf Ren'!AE32)</f>
        <v>0</v>
      </c>
      <c r="AC29" s="1275">
        <f>-('Table 5C1W-Willow'!AB32+'Table 5C1W-Willow'!AE32)</f>
        <v>0</v>
      </c>
      <c r="AD29" s="1275">
        <f>-('Table 5C2 - LA Virtual Admy'!AC31+'Table 5C2 - LA Virtual Admy'!AF31)</f>
        <v>-790578</v>
      </c>
      <c r="AE29" s="1275">
        <f>-('Table 5C3 - LA Connections EBR'!AC31+'Table 5C3 - LA Connections EBR'!AF31)</f>
        <v>-482868</v>
      </c>
      <c r="AF29" s="1275">
        <f t="shared" si="1"/>
        <v>-3513858.9049160993</v>
      </c>
      <c r="AG29" s="1276">
        <f t="shared" si="2"/>
        <v>187551826.09508389</v>
      </c>
    </row>
    <row r="30" spans="1:33" ht="14.4" customHeight="1">
      <c r="A30" s="1256">
        <v>27</v>
      </c>
      <c r="B30" s="1257" t="s">
        <v>107</v>
      </c>
      <c r="C30" s="1258">
        <f>+'Table 2_State Distrib and Adjs'!AP33</f>
        <v>36583725</v>
      </c>
      <c r="D30" s="1259">
        <f>-'Table 5A3_OJJ'!T32</f>
        <v>-8100.4315586875618</v>
      </c>
      <c r="E30" s="1259"/>
      <c r="F30" s="1259"/>
      <c r="G30" s="1259">
        <f>-('Table 5C1A-Madison Prep'!AB33+'Table 5C1A-Madison Prep'!AE33)</f>
        <v>0</v>
      </c>
      <c r="H30" s="1259">
        <f>-('Table 5C1B-DArbonne'!AB33+'Table 5C1B-DArbonne'!AE33)</f>
        <v>0</v>
      </c>
      <c r="I30" s="1259">
        <f>-('Table 5C1C-Intl_VIBE'!AB33+'Table 5C1C-Intl_VIBE'!AE33)</f>
        <v>0</v>
      </c>
      <c r="J30" s="1259">
        <f>-('Table 5C1D-NOMMA'!AB33+'Table 5C1D-NOMMA'!AE33)</f>
        <v>0</v>
      </c>
      <c r="K30" s="1259">
        <f>-('Table 5C1E-LFNO'!AB33+'Table 5C1E-LFNO'!AE33)</f>
        <v>0</v>
      </c>
      <c r="L30" s="1259">
        <f>-('Table 5C1F-Lake Charles Charter'!AB33+'Table 5C1F-Lake Charles Charter'!AE33)</f>
        <v>0</v>
      </c>
      <c r="M30" s="1259">
        <f>-('Table 5C1G-JS Clark Academy'!AB33+'Table 5C1G-JS Clark Academy'!AE33)</f>
        <v>0</v>
      </c>
      <c r="N30" s="1259">
        <f>-('Table 5C1H-Southwest LA Charter'!AB33+'Table 5C1H-Southwest LA Charter'!AE33)</f>
        <v>0</v>
      </c>
      <c r="O30" s="1259">
        <f>-('Table 5C1I-LA Key Academy'!AB33+'Table 5C1I-LA Key Academy'!AE33)</f>
        <v>0</v>
      </c>
      <c r="P30" s="1259">
        <f>-('Table 5C1J-Jefferson Chamber'!AB33+'Table 5C1J-Jefferson Chamber'!AE33)</f>
        <v>0</v>
      </c>
      <c r="Q30" s="1259">
        <f>-('Table 5C1K-Tallulah Charter'!AB33+'Table 5C1K-Tallulah Charter'!AE33)</f>
        <v>0</v>
      </c>
      <c r="R30" s="1259">
        <f>-('Table 5C1L-Northshore Charter'!AB33+'Table 5C1L-Northshore Charter'!AE33)</f>
        <v>0</v>
      </c>
      <c r="S30" s="1259">
        <f>-('Table 5C1M-B.R. Charter'!AB33+'Table 5C1M-B.R. Charter'!AE33)</f>
        <v>0</v>
      </c>
      <c r="T30" s="1259">
        <f>-('Table 5C1N-Delta Charter'!AB33+'Table 5C1N-Delta Charter'!AE33)</f>
        <v>0</v>
      </c>
      <c r="U30" s="1259">
        <f>-('Table 5C1O-Impact'!AB33+'Table 5C1O-Impact'!AE33)</f>
        <v>0</v>
      </c>
      <c r="V30" s="1259">
        <f>-('Table 5C1P-Vision'!AB33+'Table 5C1P-Vision'!AE33)</f>
        <v>0</v>
      </c>
      <c r="W30" s="1259">
        <f>-('Table 5C1Q-Advantage'!AB33+'Table 5C1Q-Advantage'!AE33)</f>
        <v>0</v>
      </c>
      <c r="X30" s="1259">
        <f>-('Table 5C1R-Iberville'!AB33+'Table 5C1R-Iberville'!AE33)</f>
        <v>0</v>
      </c>
      <c r="Y30" s="1259">
        <f>-('Table 5C1S-L.C. Coll Prep'!AB33+'Table 5C1S-L.C. Coll Prep'!AE33)</f>
        <v>0</v>
      </c>
      <c r="Z30" s="1259">
        <f>-('Table 5C1T-Northeast'!AB33+'Table 5C1T-Northeast'!AE33)</f>
        <v>0</v>
      </c>
      <c r="AA30" s="1259">
        <f>-('Table 5C1U-Acadiana Ren'!AB33+'Table 5C1U-Acadiana Ren'!AE33)</f>
        <v>0</v>
      </c>
      <c r="AB30" s="1259">
        <f>-('Table 5C1V-Laf Ren'!AB33+'Table 5C1V-Laf Ren'!AE33)</f>
        <v>0</v>
      </c>
      <c r="AC30" s="1259">
        <f>-('Table 5C1W-Willow'!AB33+'Table 5C1W-Willow'!AE33)</f>
        <v>0</v>
      </c>
      <c r="AD30" s="1259">
        <f>-('Table 5C2 - LA Virtual Admy'!AC32+'Table 5C2 - LA Virtual Admy'!AF32)</f>
        <v>-34225.199999999997</v>
      </c>
      <c r="AE30" s="1259">
        <f>-('Table 5C3 - LA Connections EBR'!AC32+'Table 5C3 - LA Connections EBR'!AF32)</f>
        <v>-14260.5</v>
      </c>
      <c r="AF30" s="1259">
        <f t="shared" si="1"/>
        <v>-56586.131558687557</v>
      </c>
      <c r="AG30" s="1281">
        <f t="shared" si="2"/>
        <v>36527138.868441306</v>
      </c>
    </row>
    <row r="31" spans="1:33" ht="14.4" customHeight="1">
      <c r="A31" s="1256">
        <v>28</v>
      </c>
      <c r="B31" s="1257" t="s">
        <v>108</v>
      </c>
      <c r="C31" s="1258">
        <f>+'Table 2_State Distrib and Adjs'!AP34</f>
        <v>116307846</v>
      </c>
      <c r="D31" s="1259">
        <f>-'Table 5A3_OJJ'!T33</f>
        <v>-21310.065420322</v>
      </c>
      <c r="E31" s="1259"/>
      <c r="F31" s="1259"/>
      <c r="G31" s="1259">
        <f>-('Table 5C1A-Madison Prep'!AB34+'Table 5C1A-Madison Prep'!AE34)</f>
        <v>0</v>
      </c>
      <c r="H31" s="1259">
        <f>-('Table 5C1B-DArbonne'!AB34+'Table 5C1B-DArbonne'!AE34)</f>
        <v>0</v>
      </c>
      <c r="I31" s="1259">
        <f>-('Table 5C1C-Intl_VIBE'!AB34+'Table 5C1C-Intl_VIBE'!AE34)</f>
        <v>0</v>
      </c>
      <c r="J31" s="1259">
        <f>-('Table 5C1D-NOMMA'!AB34+'Table 5C1D-NOMMA'!AE34)</f>
        <v>0</v>
      </c>
      <c r="K31" s="1259">
        <f>-('Table 5C1E-LFNO'!AB34+'Table 5C1E-LFNO'!AE34)</f>
        <v>0</v>
      </c>
      <c r="L31" s="1259">
        <f>-('Table 5C1F-Lake Charles Charter'!AB34+'Table 5C1F-Lake Charles Charter'!AE34)</f>
        <v>0</v>
      </c>
      <c r="M31" s="1259">
        <f>-('Table 5C1G-JS Clark Academy'!AB34+'Table 5C1G-JS Clark Academy'!AE34)</f>
        <v>-5790</v>
      </c>
      <c r="N31" s="1259">
        <f>-('Table 5C1H-Southwest LA Charter'!AB34+'Table 5C1H-Southwest LA Charter'!AE34)</f>
        <v>0</v>
      </c>
      <c r="O31" s="1259">
        <f>-('Table 5C1I-LA Key Academy'!AB34+'Table 5C1I-LA Key Academy'!AE34)</f>
        <v>0</v>
      </c>
      <c r="P31" s="1259">
        <f>-('Table 5C1J-Jefferson Chamber'!AB34+'Table 5C1J-Jefferson Chamber'!AE34)</f>
        <v>0</v>
      </c>
      <c r="Q31" s="1259">
        <f>-('Table 5C1K-Tallulah Charter'!AB34+'Table 5C1K-Tallulah Charter'!AE34)</f>
        <v>0</v>
      </c>
      <c r="R31" s="1259">
        <f>-('Table 5C1L-Northshore Charter'!AB34+'Table 5C1L-Northshore Charter'!AE34)</f>
        <v>0</v>
      </c>
      <c r="S31" s="1259">
        <f>-('Table 5C1M-B.R. Charter'!AB34+'Table 5C1M-B.R. Charter'!AE34)</f>
        <v>0</v>
      </c>
      <c r="T31" s="1259">
        <f>-('Table 5C1N-Delta Charter'!AB34+'Table 5C1N-Delta Charter'!AE34)</f>
        <v>0</v>
      </c>
      <c r="U31" s="1259">
        <f>-('Table 5C1O-Impact'!AB34+'Table 5C1O-Impact'!AE34)</f>
        <v>0</v>
      </c>
      <c r="V31" s="1259">
        <f>-('Table 5C1P-Vision'!AB34+'Table 5C1P-Vision'!AE34)</f>
        <v>0</v>
      </c>
      <c r="W31" s="1259">
        <f>-('Table 5C1Q-Advantage'!AB34+'Table 5C1Q-Advantage'!AE34)</f>
        <v>0</v>
      </c>
      <c r="X31" s="1259">
        <f>-('Table 5C1R-Iberville'!AB34+'Table 5C1R-Iberville'!AE34)</f>
        <v>0</v>
      </c>
      <c r="Y31" s="1259">
        <f>-('Table 5C1S-L.C. Coll Prep'!AB34+'Table 5C1S-L.C. Coll Prep'!AE34)</f>
        <v>0</v>
      </c>
      <c r="Z31" s="1259">
        <f>-('Table 5C1T-Northeast'!AB34+'Table 5C1T-Northeast'!AE34)</f>
        <v>0</v>
      </c>
      <c r="AA31" s="1259">
        <f>-('Table 5C1U-Acadiana Ren'!AB34+'Table 5C1U-Acadiana Ren'!AE34)</f>
        <v>-3213450</v>
      </c>
      <c r="AB31" s="1259">
        <f>-('Table 5C1V-Laf Ren'!AB34+'Table 5C1V-Laf Ren'!AE34)</f>
        <v>-3062910</v>
      </c>
      <c r="AC31" s="1259">
        <f>-('Table 5C1W-Willow'!AB34+'Table 5C1W-Willow'!AE34)</f>
        <v>-2779200</v>
      </c>
      <c r="AD31" s="1259">
        <f>-('Table 5C2 - LA Virtual Admy'!AC33+'Table 5C2 - LA Virtual Admy'!AF33)</f>
        <v>-453357</v>
      </c>
      <c r="AE31" s="1259">
        <f>-('Table 5C3 - LA Connections EBR'!AC33+'Table 5C3 - LA Connections EBR'!AF33)</f>
        <v>-276183</v>
      </c>
      <c r="AF31" s="1259">
        <f t="shared" si="1"/>
        <v>-9812200.0654203221</v>
      </c>
      <c r="AG31" s="1281">
        <f t="shared" si="2"/>
        <v>106495645.93457969</v>
      </c>
    </row>
    <row r="32" spans="1:33" ht="14.4" customHeight="1">
      <c r="A32" s="1256">
        <v>29</v>
      </c>
      <c r="B32" s="1257" t="s">
        <v>109</v>
      </c>
      <c r="C32" s="1258">
        <f>+'Table 2_State Distrib and Adjs'!AP35</f>
        <v>64196932</v>
      </c>
      <c r="D32" s="1259">
        <f>-'Table 5A3_OJJ'!T34</f>
        <v>-29192.312450795725</v>
      </c>
      <c r="E32" s="1259"/>
      <c r="F32" s="1259"/>
      <c r="G32" s="1259">
        <f>-('Table 5C1A-Madison Prep'!AB35+'Table 5C1A-Madison Prep'!AE35)</f>
        <v>0</v>
      </c>
      <c r="H32" s="1259">
        <f>-('Table 5C1B-DArbonne'!AB35+'Table 5C1B-DArbonne'!AE35)</f>
        <v>0</v>
      </c>
      <c r="I32" s="1259">
        <f>-('Table 5C1C-Intl_VIBE'!AB35+'Table 5C1C-Intl_VIBE'!AE35)</f>
        <v>0</v>
      </c>
      <c r="J32" s="1259">
        <f>-('Table 5C1D-NOMMA'!AB35+'Table 5C1D-NOMMA'!AE35)</f>
        <v>0</v>
      </c>
      <c r="K32" s="1259">
        <f>-('Table 5C1E-LFNO'!AB35+'Table 5C1E-LFNO'!AE35)</f>
        <v>-5069</v>
      </c>
      <c r="L32" s="1259">
        <f>-('Table 5C1F-Lake Charles Charter'!AB35+'Table 5C1F-Lake Charles Charter'!AE35)</f>
        <v>0</v>
      </c>
      <c r="M32" s="1259">
        <f>-('Table 5C1G-JS Clark Academy'!AB35+'Table 5C1G-JS Clark Academy'!AE35)</f>
        <v>0</v>
      </c>
      <c r="N32" s="1259">
        <f>-('Table 5C1H-Southwest LA Charter'!AB35+'Table 5C1H-Southwest LA Charter'!AE35)</f>
        <v>0</v>
      </c>
      <c r="O32" s="1259">
        <f>-('Table 5C1I-LA Key Academy'!AB35+'Table 5C1I-LA Key Academy'!AE35)</f>
        <v>0</v>
      </c>
      <c r="P32" s="1259">
        <f>-('Table 5C1J-Jefferson Chamber'!AB35+'Table 5C1J-Jefferson Chamber'!AE35)</f>
        <v>0</v>
      </c>
      <c r="Q32" s="1259">
        <f>-('Table 5C1K-Tallulah Charter'!AB35+'Table 5C1K-Tallulah Charter'!AE35)</f>
        <v>0</v>
      </c>
      <c r="R32" s="1259">
        <f>-('Table 5C1L-Northshore Charter'!AB35+'Table 5C1L-Northshore Charter'!AE35)</f>
        <v>0</v>
      </c>
      <c r="S32" s="1259">
        <f>-('Table 5C1M-B.R. Charter'!AB35+'Table 5C1M-B.R. Charter'!AE35)</f>
        <v>0</v>
      </c>
      <c r="T32" s="1259">
        <f>-('Table 5C1N-Delta Charter'!AB35+'Table 5C1N-Delta Charter'!AE35)</f>
        <v>0</v>
      </c>
      <c r="U32" s="1259">
        <f>-('Table 5C1O-Impact'!AB35+'Table 5C1O-Impact'!AE35)</f>
        <v>0</v>
      </c>
      <c r="V32" s="1259">
        <f>-('Table 5C1P-Vision'!AB35+'Table 5C1P-Vision'!AE35)</f>
        <v>0</v>
      </c>
      <c r="W32" s="1259">
        <f>-('Table 5C1Q-Advantage'!AB35+'Table 5C1Q-Advantage'!AE35)</f>
        <v>0</v>
      </c>
      <c r="X32" s="1259">
        <f>-('Table 5C1R-Iberville'!AB35+'Table 5C1R-Iberville'!AE35)</f>
        <v>0</v>
      </c>
      <c r="Y32" s="1259">
        <f>-('Table 5C1S-L.C. Coll Prep'!AB35+'Table 5C1S-L.C. Coll Prep'!AE35)</f>
        <v>0</v>
      </c>
      <c r="Z32" s="1259">
        <f>-('Table 5C1T-Northeast'!AB35+'Table 5C1T-Northeast'!AE35)</f>
        <v>0</v>
      </c>
      <c r="AA32" s="1259">
        <f>-('Table 5C1U-Acadiana Ren'!AB35+'Table 5C1U-Acadiana Ren'!AE35)</f>
        <v>0</v>
      </c>
      <c r="AB32" s="1259">
        <f>-('Table 5C1V-Laf Ren'!AB35+'Table 5C1V-Laf Ren'!AE35)</f>
        <v>0</v>
      </c>
      <c r="AC32" s="1259">
        <f>-('Table 5C1W-Willow'!AB35+'Table 5C1W-Willow'!AE35)</f>
        <v>0</v>
      </c>
      <c r="AD32" s="1259">
        <f>-('Table 5C2 - LA Virtual Admy'!AC34+'Table 5C2 - LA Virtual Admy'!AF34)</f>
        <v>-109490.40000000001</v>
      </c>
      <c r="AE32" s="1259">
        <f>-('Table 5C3 - LA Connections EBR'!AC34+'Table 5C3 - LA Connections EBR'!AF34)</f>
        <v>-13686.300000000001</v>
      </c>
      <c r="AF32" s="1259">
        <f t="shared" si="1"/>
        <v>-157438.01245079574</v>
      </c>
      <c r="AG32" s="1281">
        <f t="shared" si="2"/>
        <v>64039493.987549208</v>
      </c>
    </row>
    <row r="33" spans="1:33" ht="14.4" customHeight="1">
      <c r="A33" s="85">
        <v>30</v>
      </c>
      <c r="B33" s="207" t="s">
        <v>110</v>
      </c>
      <c r="C33" s="209">
        <f>+'Table 2_State Distrib and Adjs'!AP36</f>
        <v>16095913</v>
      </c>
      <c r="D33" s="219">
        <f>-'Table 5A3_OJJ'!T35</f>
        <v>-1702.1372668266315</v>
      </c>
      <c r="E33" s="219"/>
      <c r="F33" s="219"/>
      <c r="G33" s="219">
        <f>-('Table 5C1A-Madison Prep'!AB36+'Table 5C1A-Madison Prep'!AE36)</f>
        <v>0</v>
      </c>
      <c r="H33" s="219">
        <f>-('Table 5C1B-DArbonne'!AB36+'Table 5C1B-DArbonne'!AE36)</f>
        <v>0</v>
      </c>
      <c r="I33" s="219">
        <f>-('Table 5C1C-Intl_VIBE'!AB36+'Table 5C1C-Intl_VIBE'!AE36)</f>
        <v>0</v>
      </c>
      <c r="J33" s="219">
        <f>-('Table 5C1D-NOMMA'!AB36+'Table 5C1D-NOMMA'!AE36)</f>
        <v>0</v>
      </c>
      <c r="K33" s="219">
        <f>-('Table 5C1E-LFNO'!AB36+'Table 5C1E-LFNO'!AE36)</f>
        <v>0</v>
      </c>
      <c r="L33" s="219">
        <f>-('Table 5C1F-Lake Charles Charter'!AB36+'Table 5C1F-Lake Charles Charter'!AE36)</f>
        <v>0</v>
      </c>
      <c r="M33" s="219">
        <f>-('Table 5C1G-JS Clark Academy'!AB36+'Table 5C1G-JS Clark Academy'!AE36)</f>
        <v>0</v>
      </c>
      <c r="N33" s="219">
        <f>-('Table 5C1H-Southwest LA Charter'!AB36+'Table 5C1H-Southwest LA Charter'!AE36)</f>
        <v>0</v>
      </c>
      <c r="O33" s="219">
        <f>-('Table 5C1I-LA Key Academy'!AB36+'Table 5C1I-LA Key Academy'!AE36)</f>
        <v>0</v>
      </c>
      <c r="P33" s="219">
        <f>-('Table 5C1J-Jefferson Chamber'!AB36+'Table 5C1J-Jefferson Chamber'!AE36)</f>
        <v>0</v>
      </c>
      <c r="Q33" s="219">
        <f>-('Table 5C1K-Tallulah Charter'!AB36+'Table 5C1K-Tallulah Charter'!AE36)</f>
        <v>0</v>
      </c>
      <c r="R33" s="219">
        <f>-('Table 5C1L-Northshore Charter'!AB36+'Table 5C1L-Northshore Charter'!AE36)</f>
        <v>0</v>
      </c>
      <c r="S33" s="219">
        <f>-('Table 5C1M-B.R. Charter'!AB36+'Table 5C1M-B.R. Charter'!AE36)</f>
        <v>0</v>
      </c>
      <c r="T33" s="219">
        <f>-('Table 5C1N-Delta Charter'!AB36+'Table 5C1N-Delta Charter'!AE36)</f>
        <v>0</v>
      </c>
      <c r="U33" s="219">
        <f>-('Table 5C1O-Impact'!AB36+'Table 5C1O-Impact'!AE36)</f>
        <v>0</v>
      </c>
      <c r="V33" s="219">
        <f>-('Table 5C1P-Vision'!AB36+'Table 5C1P-Vision'!AE36)</f>
        <v>0</v>
      </c>
      <c r="W33" s="219">
        <f>-('Table 5C1Q-Advantage'!AB36+'Table 5C1Q-Advantage'!AE36)</f>
        <v>0</v>
      </c>
      <c r="X33" s="219">
        <f>-('Table 5C1R-Iberville'!AB36+'Table 5C1R-Iberville'!AE36)</f>
        <v>0</v>
      </c>
      <c r="Y33" s="219">
        <f>-('Table 5C1S-L.C. Coll Prep'!AB36+'Table 5C1S-L.C. Coll Prep'!AE36)</f>
        <v>0</v>
      </c>
      <c r="Z33" s="219">
        <f>-('Table 5C1T-Northeast'!AB36+'Table 5C1T-Northeast'!AE36)</f>
        <v>0</v>
      </c>
      <c r="AA33" s="219">
        <f>-('Table 5C1U-Acadiana Ren'!AB36+'Table 5C1U-Acadiana Ren'!AE36)</f>
        <v>0</v>
      </c>
      <c r="AB33" s="219">
        <f>-('Table 5C1V-Laf Ren'!AB36+'Table 5C1V-Laf Ren'!AE36)</f>
        <v>0</v>
      </c>
      <c r="AC33" s="219">
        <f>-('Table 5C1W-Willow'!AB36+'Table 5C1W-Willow'!AE36)</f>
        <v>0</v>
      </c>
      <c r="AD33" s="219">
        <f>-('Table 5C2 - LA Virtual Admy'!AC35+'Table 5C2 - LA Virtual Admy'!AF35)</f>
        <v>-16240.5</v>
      </c>
      <c r="AE33" s="219">
        <f>-('Table 5C3 - LA Connections EBR'!AC35+'Table 5C3 - LA Connections EBR'!AF35)</f>
        <v>-9744.2999999999993</v>
      </c>
      <c r="AF33" s="219">
        <f t="shared" si="1"/>
        <v>-27686.93726682663</v>
      </c>
      <c r="AG33" s="364">
        <f t="shared" si="2"/>
        <v>16068226.062733173</v>
      </c>
    </row>
    <row r="34" spans="1:33" ht="14.4" customHeight="1">
      <c r="A34" s="1272">
        <v>31</v>
      </c>
      <c r="B34" s="1273" t="s">
        <v>111</v>
      </c>
      <c r="C34" s="1274">
        <f>+'Table 2_State Distrib and Adjs'!AP37</f>
        <v>32744086</v>
      </c>
      <c r="D34" s="1275">
        <f>-'Table 5A3_OJJ'!T36</f>
        <v>-5439.884356770538</v>
      </c>
      <c r="E34" s="1275"/>
      <c r="F34" s="1275"/>
      <c r="G34" s="1275">
        <f>-('Table 5C1A-Madison Prep'!AB37+'Table 5C1A-Madison Prep'!AE37)</f>
        <v>0</v>
      </c>
      <c r="H34" s="1275">
        <f>-('Table 5C1B-DArbonne'!AB37+'Table 5C1B-DArbonne'!AE37)</f>
        <v>-60516</v>
      </c>
      <c r="I34" s="1275">
        <f>-('Table 5C1C-Intl_VIBE'!AB37+'Table 5C1C-Intl_VIBE'!AE37)</f>
        <v>0</v>
      </c>
      <c r="J34" s="1275">
        <f>-('Table 5C1D-NOMMA'!AB37+'Table 5C1D-NOMMA'!AE37)</f>
        <v>0</v>
      </c>
      <c r="K34" s="1275">
        <f>-('Table 5C1E-LFNO'!AB37+'Table 5C1E-LFNO'!AE37)</f>
        <v>0</v>
      </c>
      <c r="L34" s="1275">
        <f>-('Table 5C1F-Lake Charles Charter'!AB37+'Table 5C1F-Lake Charles Charter'!AE37)</f>
        <v>0</v>
      </c>
      <c r="M34" s="1275">
        <f>-('Table 5C1G-JS Clark Academy'!AB37+'Table 5C1G-JS Clark Academy'!AE37)</f>
        <v>0</v>
      </c>
      <c r="N34" s="1275">
        <f>-('Table 5C1H-Southwest LA Charter'!AB37+'Table 5C1H-Southwest LA Charter'!AE37)</f>
        <v>0</v>
      </c>
      <c r="O34" s="1275">
        <f>-('Table 5C1I-LA Key Academy'!AB37+'Table 5C1I-LA Key Academy'!AE37)</f>
        <v>0</v>
      </c>
      <c r="P34" s="1275">
        <f>-('Table 5C1J-Jefferson Chamber'!AB37+'Table 5C1J-Jefferson Chamber'!AE37)</f>
        <v>0</v>
      </c>
      <c r="Q34" s="1275">
        <f>-('Table 5C1K-Tallulah Charter'!AB37+'Table 5C1K-Tallulah Charter'!AE37)</f>
        <v>0</v>
      </c>
      <c r="R34" s="1275">
        <f>-('Table 5C1L-Northshore Charter'!AB37+'Table 5C1L-Northshore Charter'!AE37)</f>
        <v>0</v>
      </c>
      <c r="S34" s="1275">
        <f>-('Table 5C1M-B.R. Charter'!AB37+'Table 5C1M-B.R. Charter'!AE37)</f>
        <v>0</v>
      </c>
      <c r="T34" s="1275">
        <f>-('Table 5C1N-Delta Charter'!AB37+'Table 5C1N-Delta Charter'!AE37)</f>
        <v>0</v>
      </c>
      <c r="U34" s="1275">
        <f>-('Table 5C1O-Impact'!AB37+'Table 5C1O-Impact'!AE37)</f>
        <v>0</v>
      </c>
      <c r="V34" s="1275">
        <f>-('Table 5C1P-Vision'!AB37+'Table 5C1P-Vision'!AE37)</f>
        <v>0</v>
      </c>
      <c r="W34" s="1275">
        <f>-('Table 5C1Q-Advantage'!AB37+'Table 5C1Q-Advantage'!AE37)</f>
        <v>0</v>
      </c>
      <c r="X34" s="1275">
        <f>-('Table 5C1R-Iberville'!AB37+'Table 5C1R-Iberville'!AE37)</f>
        <v>0</v>
      </c>
      <c r="Y34" s="1275">
        <f>-('Table 5C1S-L.C. Coll Prep'!AB37+'Table 5C1S-L.C. Coll Prep'!AE37)</f>
        <v>0</v>
      </c>
      <c r="Z34" s="1275">
        <f>-('Table 5C1T-Northeast'!AB37+'Table 5C1T-Northeast'!AE37)</f>
        <v>0</v>
      </c>
      <c r="AA34" s="1275">
        <f>-('Table 5C1U-Acadiana Ren'!AB37+'Table 5C1U-Acadiana Ren'!AE37)</f>
        <v>0</v>
      </c>
      <c r="AB34" s="1275">
        <f>-('Table 5C1V-Laf Ren'!AB37+'Table 5C1V-Laf Ren'!AE37)</f>
        <v>0</v>
      </c>
      <c r="AC34" s="1275">
        <f>-('Table 5C1W-Willow'!AB37+'Table 5C1W-Willow'!AE37)</f>
        <v>0</v>
      </c>
      <c r="AD34" s="1275">
        <f>-('Table 5C2 - LA Virtual Admy'!AC36+'Table 5C2 - LA Virtual Admy'!AF36)</f>
        <v>-22693.5</v>
      </c>
      <c r="AE34" s="1275">
        <f>-('Table 5C3 - LA Connections EBR'!AC36+'Table 5C3 - LA Connections EBR'!AF36)</f>
        <v>-13616.099999999999</v>
      </c>
      <c r="AF34" s="1275">
        <f t="shared" si="1"/>
        <v>-102265.48435677052</v>
      </c>
      <c r="AG34" s="1276">
        <f t="shared" si="2"/>
        <v>32641820.515643228</v>
      </c>
    </row>
    <row r="35" spans="1:33" ht="14.4" customHeight="1">
      <c r="A35" s="1256">
        <v>32</v>
      </c>
      <c r="B35" s="1257" t="s">
        <v>112</v>
      </c>
      <c r="C35" s="1258">
        <f>+'Table 2_State Distrib and Adjs'!AP38</f>
        <v>155712113</v>
      </c>
      <c r="D35" s="1259">
        <f>-'Table 5A3_OJJ'!T37</f>
        <v>-8118.5694674753977</v>
      </c>
      <c r="E35" s="1259"/>
      <c r="F35" s="1259"/>
      <c r="G35" s="1259">
        <f>-('Table 5C1A-Madison Prep'!AB38+'Table 5C1A-Madison Prep'!AE38)</f>
        <v>0</v>
      </c>
      <c r="H35" s="1259">
        <f>-('Table 5C1B-DArbonne'!AB38+'Table 5C1B-DArbonne'!AE38)</f>
        <v>0</v>
      </c>
      <c r="I35" s="1259">
        <f>-('Table 5C1C-Intl_VIBE'!AB38+'Table 5C1C-Intl_VIBE'!AE38)</f>
        <v>0</v>
      </c>
      <c r="J35" s="1259">
        <f>-('Table 5C1D-NOMMA'!AB38+'Table 5C1D-NOMMA'!AE38)</f>
        <v>0</v>
      </c>
      <c r="K35" s="1259">
        <f>-('Table 5C1E-LFNO'!AB38+'Table 5C1E-LFNO'!AE38)</f>
        <v>0</v>
      </c>
      <c r="L35" s="1259">
        <f>-('Table 5C1F-Lake Charles Charter'!AB38+'Table 5C1F-Lake Charles Charter'!AE38)</f>
        <v>0</v>
      </c>
      <c r="M35" s="1259">
        <f>-('Table 5C1G-JS Clark Academy'!AB38+'Table 5C1G-JS Clark Academy'!AE38)</f>
        <v>0</v>
      </c>
      <c r="N35" s="1259">
        <f>-('Table 5C1H-Southwest LA Charter'!AB38+'Table 5C1H-Southwest LA Charter'!AE38)</f>
        <v>0</v>
      </c>
      <c r="O35" s="1259">
        <f>-('Table 5C1I-LA Key Academy'!AB38+'Table 5C1I-LA Key Academy'!AE38)</f>
        <v>-10605</v>
      </c>
      <c r="P35" s="1259">
        <f>-('Table 5C1J-Jefferson Chamber'!AB38+'Table 5C1J-Jefferson Chamber'!AE38)</f>
        <v>0</v>
      </c>
      <c r="Q35" s="1259">
        <f>-('Table 5C1K-Tallulah Charter'!AB38+'Table 5C1K-Tallulah Charter'!AE38)</f>
        <v>0</v>
      </c>
      <c r="R35" s="1259">
        <f>-('Table 5C1L-Northshore Charter'!AB38+'Table 5C1L-Northshore Charter'!AE38)</f>
        <v>0</v>
      </c>
      <c r="S35" s="1259">
        <f>-('Table 5C1M-B.R. Charter'!AB38+'Table 5C1M-B.R. Charter'!AE38)</f>
        <v>-2121</v>
      </c>
      <c r="T35" s="1259">
        <f>-('Table 5C1N-Delta Charter'!AB38+'Table 5C1N-Delta Charter'!AE38)</f>
        <v>0</v>
      </c>
      <c r="U35" s="1259">
        <f>-('Table 5C1O-Impact'!AB38+'Table 5C1O-Impact'!AE38)</f>
        <v>0</v>
      </c>
      <c r="V35" s="1259">
        <f>-('Table 5C1P-Vision'!AB38+'Table 5C1P-Vision'!AE38)</f>
        <v>0</v>
      </c>
      <c r="W35" s="1259">
        <f>-('Table 5C1Q-Advantage'!AB38+'Table 5C1Q-Advantage'!AE38)</f>
        <v>0</v>
      </c>
      <c r="X35" s="1259">
        <f>-('Table 5C1R-Iberville'!AB38+'Table 5C1R-Iberville'!AE38)</f>
        <v>0</v>
      </c>
      <c r="Y35" s="1259">
        <f>-('Table 5C1S-L.C. Coll Prep'!AB38+'Table 5C1S-L.C. Coll Prep'!AE38)</f>
        <v>0</v>
      </c>
      <c r="Z35" s="1259">
        <f>-('Table 5C1T-Northeast'!AB38+'Table 5C1T-Northeast'!AE38)</f>
        <v>0</v>
      </c>
      <c r="AA35" s="1259">
        <f>-('Table 5C1U-Acadiana Ren'!AB38+'Table 5C1U-Acadiana Ren'!AE38)</f>
        <v>0</v>
      </c>
      <c r="AB35" s="1259">
        <f>-('Table 5C1V-Laf Ren'!AB38+'Table 5C1V-Laf Ren'!AE38)</f>
        <v>0</v>
      </c>
      <c r="AC35" s="1259">
        <f>-('Table 5C1W-Willow'!AB38+'Table 5C1W-Willow'!AE38)</f>
        <v>0</v>
      </c>
      <c r="AD35" s="1259">
        <f>-('Table 5C2 - LA Virtual Admy'!AC37+'Table 5C2 - LA Virtual Admy'!AF37)</f>
        <v>-150803.1</v>
      </c>
      <c r="AE35" s="1259">
        <f>-('Table 5C3 - LA Connections EBR'!AC37+'Table 5C3 - LA Connections EBR'!AF37)</f>
        <v>-139349.70000000001</v>
      </c>
      <c r="AF35" s="1259">
        <f t="shared" si="1"/>
        <v>-310997.36946747545</v>
      </c>
      <c r="AG35" s="1281">
        <f t="shared" si="2"/>
        <v>155401115.63053253</v>
      </c>
    </row>
    <row r="36" spans="1:33" ht="14.4" customHeight="1">
      <c r="A36" s="1256">
        <v>33</v>
      </c>
      <c r="B36" s="1257" t="s">
        <v>113</v>
      </c>
      <c r="C36" s="1258">
        <f>+'Table 2_State Distrib and Adjs'!AP39</f>
        <v>8615311</v>
      </c>
      <c r="D36" s="1259">
        <f>-'Table 5A3_OJJ'!T38</f>
        <v>-354.57514950759457</v>
      </c>
      <c r="E36" s="1259"/>
      <c r="F36" s="1259"/>
      <c r="G36" s="1259">
        <f>-('Table 5C1A-Madison Prep'!AB39+'Table 5C1A-Madison Prep'!AE39)</f>
        <v>0</v>
      </c>
      <c r="H36" s="1259">
        <f>-('Table 5C1B-DArbonne'!AB39+'Table 5C1B-DArbonne'!AE39)</f>
        <v>0</v>
      </c>
      <c r="I36" s="1259">
        <f>-('Table 5C1C-Intl_VIBE'!AB39+'Table 5C1C-Intl_VIBE'!AE39)</f>
        <v>0</v>
      </c>
      <c r="J36" s="1259">
        <f>-('Table 5C1D-NOMMA'!AB39+'Table 5C1D-NOMMA'!AE39)</f>
        <v>0</v>
      </c>
      <c r="K36" s="1259">
        <f>-('Table 5C1E-LFNO'!AB39+'Table 5C1E-LFNO'!AE39)</f>
        <v>0</v>
      </c>
      <c r="L36" s="1259">
        <f>-('Table 5C1F-Lake Charles Charter'!AB39+'Table 5C1F-Lake Charles Charter'!AE39)</f>
        <v>0</v>
      </c>
      <c r="M36" s="1259">
        <f>-('Table 5C1G-JS Clark Academy'!AB39+'Table 5C1G-JS Clark Academy'!AE39)</f>
        <v>0</v>
      </c>
      <c r="N36" s="1259">
        <f>-('Table 5C1H-Southwest LA Charter'!AB39+'Table 5C1H-Southwest LA Charter'!AE39)</f>
        <v>0</v>
      </c>
      <c r="O36" s="1259">
        <f>-('Table 5C1I-LA Key Academy'!AB39+'Table 5C1I-LA Key Academy'!AE39)</f>
        <v>0</v>
      </c>
      <c r="P36" s="1259">
        <f>-('Table 5C1J-Jefferson Chamber'!AB39+'Table 5C1J-Jefferson Chamber'!AE39)</f>
        <v>0</v>
      </c>
      <c r="Q36" s="1259">
        <f>-('Table 5C1K-Tallulah Charter'!AB39+'Table 5C1K-Tallulah Charter'!AE39)</f>
        <v>-1063104</v>
      </c>
      <c r="R36" s="1259">
        <f>-('Table 5C1L-Northshore Charter'!AB39+'Table 5C1L-Northshore Charter'!AE39)</f>
        <v>0</v>
      </c>
      <c r="S36" s="1259">
        <f>-('Table 5C1M-B.R. Charter'!AB39+'Table 5C1M-B.R. Charter'!AE39)</f>
        <v>0</v>
      </c>
      <c r="T36" s="1259">
        <f>-('Table 5C1N-Delta Charter'!AB39+'Table 5C1N-Delta Charter'!AE39)</f>
        <v>0</v>
      </c>
      <c r="U36" s="1259">
        <f>-('Table 5C1O-Impact'!AB39+'Table 5C1O-Impact'!AE39)</f>
        <v>0</v>
      </c>
      <c r="V36" s="1259">
        <f>-('Table 5C1P-Vision'!AB39+'Table 5C1P-Vision'!AE39)</f>
        <v>0</v>
      </c>
      <c r="W36" s="1259">
        <f>-('Table 5C1Q-Advantage'!AB39+'Table 5C1Q-Advantage'!AE39)</f>
        <v>0</v>
      </c>
      <c r="X36" s="1259">
        <f>-('Table 5C1R-Iberville'!AB39+'Table 5C1R-Iberville'!AE39)</f>
        <v>0</v>
      </c>
      <c r="Y36" s="1259">
        <f>-('Table 5C1S-L.C. Coll Prep'!AB39+'Table 5C1S-L.C. Coll Prep'!AE39)</f>
        <v>0</v>
      </c>
      <c r="Z36" s="1259">
        <f>-('Table 5C1T-Northeast'!AB39+'Table 5C1T-Northeast'!AE39)</f>
        <v>0</v>
      </c>
      <c r="AA36" s="1259">
        <f>-('Table 5C1U-Acadiana Ren'!AB39+'Table 5C1U-Acadiana Ren'!AE39)</f>
        <v>0</v>
      </c>
      <c r="AB36" s="1259">
        <f>-('Table 5C1V-Laf Ren'!AB39+'Table 5C1V-Laf Ren'!AE39)</f>
        <v>0</v>
      </c>
      <c r="AC36" s="1259">
        <f>-('Table 5C1W-Willow'!AB39+'Table 5C1W-Willow'!AE39)</f>
        <v>0</v>
      </c>
      <c r="AD36" s="1259">
        <f>-('Table 5C2 - LA Virtual Admy'!AC38+'Table 5C2 - LA Virtual Admy'!AF38)</f>
        <v>-6508.8</v>
      </c>
      <c r="AE36" s="1259">
        <f>-('Table 5C3 - LA Connections EBR'!AC38+'Table 5C3 - LA Connections EBR'!AF38)</f>
        <v>0</v>
      </c>
      <c r="AF36" s="1259">
        <f t="shared" ref="AF36:AF67" si="3">SUM(D36:AE36)</f>
        <v>-1069967.3751495075</v>
      </c>
      <c r="AG36" s="1281">
        <f t="shared" ref="AG36:AG72" si="4">SUM(C36:AE36)</f>
        <v>7545343.624850492</v>
      </c>
    </row>
    <row r="37" spans="1:33" ht="14.4" customHeight="1">
      <c r="A37" s="1256">
        <v>34</v>
      </c>
      <c r="B37" s="1257" t="s">
        <v>114</v>
      </c>
      <c r="C37" s="1258">
        <f>+'Table 2_State Distrib and Adjs'!AP40</f>
        <v>30391851</v>
      </c>
      <c r="D37" s="1259">
        <f>-'Table 5A3_OJJ'!T39</f>
        <v>-2605.4365958458147</v>
      </c>
      <c r="E37" s="1259"/>
      <c r="F37" s="1259"/>
      <c r="G37" s="1259">
        <f>-('Table 5C1A-Madison Prep'!AB40+'Table 5C1A-Madison Prep'!AE40)</f>
        <v>0</v>
      </c>
      <c r="H37" s="1259">
        <f>-('Table 5C1B-DArbonne'!AB40+'Table 5C1B-DArbonne'!AE40)</f>
        <v>0</v>
      </c>
      <c r="I37" s="1259">
        <f>-('Table 5C1C-Intl_VIBE'!AB40+'Table 5C1C-Intl_VIBE'!AE40)</f>
        <v>0</v>
      </c>
      <c r="J37" s="1259">
        <f>-('Table 5C1D-NOMMA'!AB40+'Table 5C1D-NOMMA'!AE40)</f>
        <v>0</v>
      </c>
      <c r="K37" s="1259">
        <f>-('Table 5C1E-LFNO'!AB40+'Table 5C1E-LFNO'!AE40)</f>
        <v>0</v>
      </c>
      <c r="L37" s="1259">
        <f>-('Table 5C1F-Lake Charles Charter'!AB40+'Table 5C1F-Lake Charles Charter'!AE40)</f>
        <v>0</v>
      </c>
      <c r="M37" s="1259">
        <f>-('Table 5C1G-JS Clark Academy'!AB40+'Table 5C1G-JS Clark Academy'!AE40)</f>
        <v>0</v>
      </c>
      <c r="N37" s="1259">
        <f>-('Table 5C1H-Southwest LA Charter'!AB40+'Table 5C1H-Southwest LA Charter'!AE40)</f>
        <v>0</v>
      </c>
      <c r="O37" s="1259">
        <f>-('Table 5C1I-LA Key Academy'!AB40+'Table 5C1I-LA Key Academy'!AE40)</f>
        <v>0</v>
      </c>
      <c r="P37" s="1259">
        <f>-('Table 5C1J-Jefferson Chamber'!AB40+'Table 5C1J-Jefferson Chamber'!AE40)</f>
        <v>0</v>
      </c>
      <c r="Q37" s="1259">
        <f>-('Table 5C1K-Tallulah Charter'!AB40+'Table 5C1K-Tallulah Charter'!AE40)</f>
        <v>0</v>
      </c>
      <c r="R37" s="1259">
        <f>-('Table 5C1L-Northshore Charter'!AB40+'Table 5C1L-Northshore Charter'!AE40)</f>
        <v>0</v>
      </c>
      <c r="S37" s="1259">
        <f>-('Table 5C1M-B.R. Charter'!AB40+'Table 5C1M-B.R. Charter'!AE40)</f>
        <v>0</v>
      </c>
      <c r="T37" s="1259">
        <f>-('Table 5C1N-Delta Charter'!AB40+'Table 5C1N-Delta Charter'!AE40)</f>
        <v>0</v>
      </c>
      <c r="U37" s="1259">
        <f>-('Table 5C1O-Impact'!AB40+'Table 5C1O-Impact'!AE40)</f>
        <v>0</v>
      </c>
      <c r="V37" s="1259">
        <f>-('Table 5C1P-Vision'!AB40+'Table 5C1P-Vision'!AE40)</f>
        <v>-54420</v>
      </c>
      <c r="W37" s="1259">
        <f>-('Table 5C1Q-Advantage'!AB40+'Table 5C1Q-Advantage'!AE40)</f>
        <v>0</v>
      </c>
      <c r="X37" s="1259">
        <f>-('Table 5C1R-Iberville'!AB40+'Table 5C1R-Iberville'!AE40)</f>
        <v>0</v>
      </c>
      <c r="Y37" s="1259">
        <f>-('Table 5C1S-L.C. Coll Prep'!AB40+'Table 5C1S-L.C. Coll Prep'!AE40)</f>
        <v>0</v>
      </c>
      <c r="Z37" s="1259">
        <f>-('Table 5C1T-Northeast'!AB40+'Table 5C1T-Northeast'!AE40)</f>
        <v>0</v>
      </c>
      <c r="AA37" s="1259">
        <f>-('Table 5C1U-Acadiana Ren'!AB40+'Table 5C1U-Acadiana Ren'!AE40)</f>
        <v>0</v>
      </c>
      <c r="AB37" s="1259">
        <f>-('Table 5C1V-Laf Ren'!AB40+'Table 5C1V-Laf Ren'!AE40)</f>
        <v>0</v>
      </c>
      <c r="AC37" s="1259">
        <f>-('Table 5C1W-Willow'!AB40+'Table 5C1W-Willow'!AE40)</f>
        <v>0</v>
      </c>
      <c r="AD37" s="1259">
        <f>-('Table 5C2 - LA Virtual Admy'!AC39+'Table 5C2 - LA Virtual Admy'!AF39)</f>
        <v>-58773.600000000006</v>
      </c>
      <c r="AE37" s="1259">
        <f>-('Table 5C3 - LA Connections EBR'!AC39+'Table 5C3 - LA Connections EBR'!AF39)</f>
        <v>-9795.6</v>
      </c>
      <c r="AF37" s="1259">
        <f t="shared" si="3"/>
        <v>-125594.63659584583</v>
      </c>
      <c r="AG37" s="1281">
        <f t="shared" si="4"/>
        <v>30266256.363404151</v>
      </c>
    </row>
    <row r="38" spans="1:33" ht="14.4" customHeight="1">
      <c r="A38" s="85">
        <v>35</v>
      </c>
      <c r="B38" s="207" t="s">
        <v>115</v>
      </c>
      <c r="C38" s="209">
        <f>+'Table 2_State Distrib and Adjs'!AP41</f>
        <v>36405408</v>
      </c>
      <c r="D38" s="219">
        <f>-'Table 5A3_OJJ'!T40</f>
        <v>-9986.6118735108794</v>
      </c>
      <c r="E38" s="219"/>
      <c r="F38" s="219"/>
      <c r="G38" s="219">
        <f>-('Table 5C1A-Madison Prep'!AB41+'Table 5C1A-Madison Prep'!AE41)</f>
        <v>0</v>
      </c>
      <c r="H38" s="219">
        <f>-('Table 5C1B-DArbonne'!AB41+'Table 5C1B-DArbonne'!AE41)</f>
        <v>0</v>
      </c>
      <c r="I38" s="219">
        <f>-('Table 5C1C-Intl_VIBE'!AB41+'Table 5C1C-Intl_VIBE'!AE41)</f>
        <v>0</v>
      </c>
      <c r="J38" s="219">
        <f>-('Table 5C1D-NOMMA'!AB41+'Table 5C1D-NOMMA'!AE41)</f>
        <v>0</v>
      </c>
      <c r="K38" s="219">
        <f>-('Table 5C1E-LFNO'!AB41+'Table 5C1E-LFNO'!AE41)</f>
        <v>0</v>
      </c>
      <c r="L38" s="219">
        <f>-('Table 5C1F-Lake Charles Charter'!AB41+'Table 5C1F-Lake Charles Charter'!AE41)</f>
        <v>0</v>
      </c>
      <c r="M38" s="219">
        <f>-('Table 5C1G-JS Clark Academy'!AB41+'Table 5C1G-JS Clark Academy'!AE41)</f>
        <v>0</v>
      </c>
      <c r="N38" s="219">
        <f>-('Table 5C1H-Southwest LA Charter'!AB41+'Table 5C1H-Southwest LA Charter'!AE41)</f>
        <v>0</v>
      </c>
      <c r="O38" s="219">
        <f>-('Table 5C1I-LA Key Academy'!AB41+'Table 5C1I-LA Key Academy'!AE41)</f>
        <v>0</v>
      </c>
      <c r="P38" s="219">
        <f>-('Table 5C1J-Jefferson Chamber'!AB41+'Table 5C1J-Jefferson Chamber'!AE41)</f>
        <v>0</v>
      </c>
      <c r="Q38" s="219">
        <f>-('Table 5C1K-Tallulah Charter'!AB41+'Table 5C1K-Tallulah Charter'!AE41)</f>
        <v>0</v>
      </c>
      <c r="R38" s="219">
        <f>-('Table 5C1L-Northshore Charter'!AB41+'Table 5C1L-Northshore Charter'!AE41)</f>
        <v>0</v>
      </c>
      <c r="S38" s="219">
        <f>-('Table 5C1M-B.R. Charter'!AB41+'Table 5C1M-B.R. Charter'!AE41)</f>
        <v>0</v>
      </c>
      <c r="T38" s="219">
        <f>-('Table 5C1N-Delta Charter'!AB41+'Table 5C1N-Delta Charter'!AE41)</f>
        <v>-3255</v>
      </c>
      <c r="U38" s="219">
        <f>-('Table 5C1O-Impact'!AB41+'Table 5C1O-Impact'!AE41)</f>
        <v>0</v>
      </c>
      <c r="V38" s="219">
        <f>-('Table 5C1P-Vision'!AB41+'Table 5C1P-Vision'!AE41)</f>
        <v>0</v>
      </c>
      <c r="W38" s="219">
        <f>-('Table 5C1Q-Advantage'!AB41+'Table 5C1Q-Advantage'!AE41)</f>
        <v>0</v>
      </c>
      <c r="X38" s="219">
        <f>-('Table 5C1R-Iberville'!AB41+'Table 5C1R-Iberville'!AE41)</f>
        <v>0</v>
      </c>
      <c r="Y38" s="219">
        <f>-('Table 5C1S-L.C. Coll Prep'!AB41+'Table 5C1S-L.C. Coll Prep'!AE41)</f>
        <v>0</v>
      </c>
      <c r="Z38" s="219">
        <f>-('Table 5C1T-Northeast'!AB41+'Table 5C1T-Northeast'!AE41)</f>
        <v>0</v>
      </c>
      <c r="AA38" s="219">
        <f>-('Table 5C1U-Acadiana Ren'!AB41+'Table 5C1U-Acadiana Ren'!AE41)</f>
        <v>0</v>
      </c>
      <c r="AB38" s="219">
        <f>-('Table 5C1V-Laf Ren'!AB41+'Table 5C1V-Laf Ren'!AE41)</f>
        <v>0</v>
      </c>
      <c r="AC38" s="219">
        <f>-('Table 5C1W-Willow'!AB41+'Table 5C1W-Willow'!AE41)</f>
        <v>0</v>
      </c>
      <c r="AD38" s="219">
        <f>-('Table 5C2 - LA Virtual Admy'!AC40+'Table 5C2 - LA Virtual Admy'!AF40)</f>
        <v>-49801.5</v>
      </c>
      <c r="AE38" s="219">
        <f>-('Table 5C3 - LA Connections EBR'!AC40+'Table 5C3 - LA Connections EBR'!AF40)</f>
        <v>-55660.5</v>
      </c>
      <c r="AF38" s="219">
        <f t="shared" si="3"/>
        <v>-118703.61187351088</v>
      </c>
      <c r="AG38" s="364">
        <f t="shared" si="4"/>
        <v>36286704.388126493</v>
      </c>
    </row>
    <row r="39" spans="1:33" ht="14.4" customHeight="1">
      <c r="A39" s="1272">
        <v>36</v>
      </c>
      <c r="B39" s="1273" t="s">
        <v>116</v>
      </c>
      <c r="C39" s="1274">
        <f>+'Table 2_State Distrib and Adjs'!AP42</f>
        <v>53000921</v>
      </c>
      <c r="D39" s="1275">
        <f>-'Table 5A3_OJJ'!T41</f>
        <v>-149977.66566107789</v>
      </c>
      <c r="E39" s="1275"/>
      <c r="F39" s="1275">
        <f>-('Table 5B1_RSD_Orleans'!AH72+'Table 5B1_RSD_Orleans'!AN72+'Table 5B1_RSD_Orleans'!AM72)+'Table 5B1_RSD_Orleans'!AH8</f>
        <v>-132625731</v>
      </c>
      <c r="G39" s="1275">
        <f>-('Table 5C1A-Madison Prep'!AB42+'Table 5C1A-Madison Prep'!AE42)</f>
        <v>0</v>
      </c>
      <c r="H39" s="1275">
        <f>-('Table 5C1B-DArbonne'!AB42+'Table 5C1B-DArbonne'!AE42)</f>
        <v>0</v>
      </c>
      <c r="I39" s="1275">
        <f>-('Table 5C1C-Intl_VIBE'!AB42+'Table 5C1C-Intl_VIBE'!AE42)</f>
        <v>-1863330</v>
      </c>
      <c r="J39" s="1275">
        <f>-('Table 5C1D-NOMMA'!AB42+'Table 5C1D-NOMMA'!AE42)</f>
        <v>-858730</v>
      </c>
      <c r="K39" s="1275">
        <f>-('Table 5C1E-LFNO'!AB42+'Table 5C1E-LFNO'!AE42)</f>
        <v>-1222875</v>
      </c>
      <c r="L39" s="1275">
        <f>-('Table 5C1F-Lake Charles Charter'!AB42+'Table 5C1F-Lake Charles Charter'!AE42)</f>
        <v>0</v>
      </c>
      <c r="M39" s="1275">
        <f>-('Table 5C1G-JS Clark Academy'!AB42+'Table 5C1G-JS Clark Academy'!AE42)</f>
        <v>0</v>
      </c>
      <c r="N39" s="1275">
        <f>-('Table 5C1H-Southwest LA Charter'!AB42+'Table 5C1H-Southwest LA Charter'!AE42)</f>
        <v>0</v>
      </c>
      <c r="O39" s="1275">
        <f>-('Table 5C1I-LA Key Academy'!AB42+'Table 5C1I-LA Key Academy'!AE42)</f>
        <v>0</v>
      </c>
      <c r="P39" s="1275">
        <f>-('Table 5C1J-Jefferson Chamber'!AB42+'Table 5C1J-Jefferson Chamber'!AE42)</f>
        <v>-10870</v>
      </c>
      <c r="Q39" s="1275">
        <f>-('Table 5C1K-Tallulah Charter'!AB42+'Table 5C1K-Tallulah Charter'!AE42)</f>
        <v>0</v>
      </c>
      <c r="R39" s="1275">
        <f>-('Table 5C1L-Northshore Charter'!AB42+'Table 5C1L-Northshore Charter'!AE42)</f>
        <v>0</v>
      </c>
      <c r="S39" s="1275">
        <f>-('Table 5C1M-B.R. Charter'!AB42+'Table 5C1M-B.R. Charter'!AE42)</f>
        <v>0</v>
      </c>
      <c r="T39" s="1275">
        <f>-('Table 5C1N-Delta Charter'!AB42+'Table 5C1N-Delta Charter'!AE42)</f>
        <v>0</v>
      </c>
      <c r="U39" s="1275">
        <f>-('Table 5C1O-Impact'!AB42+'Table 5C1O-Impact'!AE42)</f>
        <v>0</v>
      </c>
      <c r="V39" s="1275">
        <f>-('Table 5C1P-Vision'!AB42+'Table 5C1P-Vision'!AE42)</f>
        <v>0</v>
      </c>
      <c r="W39" s="1275">
        <f>-('Table 5C1Q-Advantage'!AB42+'Table 5C1Q-Advantage'!AE42)</f>
        <v>0</v>
      </c>
      <c r="X39" s="1275">
        <f>-('Table 5C1R-Iberville'!AB42+'Table 5C1R-Iberville'!AE42)</f>
        <v>0</v>
      </c>
      <c r="Y39" s="1275">
        <f>-('Table 5C1S-L.C. Coll Prep'!AB42+'Table 5C1S-L.C. Coll Prep'!AE42)</f>
        <v>0</v>
      </c>
      <c r="Z39" s="1275">
        <f>-('Table 5C1T-Northeast'!AB42+'Table 5C1T-Northeast'!AE42)</f>
        <v>0</v>
      </c>
      <c r="AA39" s="1275">
        <f>-('Table 5C1U-Acadiana Ren'!AB42+'Table 5C1U-Acadiana Ren'!AE42)</f>
        <v>0</v>
      </c>
      <c r="AB39" s="1275">
        <f>-('Table 5C1V-Laf Ren'!AB42+'Table 5C1V-Laf Ren'!AE42)</f>
        <v>0</v>
      </c>
      <c r="AC39" s="1275">
        <f>-('Table 5C1W-Willow'!AB42+'Table 5C1W-Willow'!AE42)</f>
        <v>0</v>
      </c>
      <c r="AD39" s="1275">
        <f>-('Table 5C2 - LA Virtual Admy'!AC41+'Table 5C2 - LA Virtual Admy'!AF41)</f>
        <v>-317947.5</v>
      </c>
      <c r="AE39" s="1275">
        <f>-('Table 5C3 - LA Connections EBR'!AC41+'Table 5C3 - LA Connections EBR'!AF41)</f>
        <v>-151636.5</v>
      </c>
      <c r="AF39" s="1275">
        <f t="shared" si="3"/>
        <v>-137201097.6656611</v>
      </c>
      <c r="AG39" s="1276">
        <f t="shared" si="4"/>
        <v>-84200176.665661067</v>
      </c>
    </row>
    <row r="40" spans="1:33" ht="14.4" customHeight="1">
      <c r="A40" s="1256">
        <v>37</v>
      </c>
      <c r="B40" s="1257" t="s">
        <v>117</v>
      </c>
      <c r="C40" s="1258">
        <f>+'Table 2_State Distrib and Adjs'!AP43</f>
        <v>122638056</v>
      </c>
      <c r="D40" s="1259">
        <f>-'Table 5A3_OJJ'!T42</f>
        <v>-19078.297096228362</v>
      </c>
      <c r="E40" s="1259"/>
      <c r="F40" s="1259"/>
      <c r="G40" s="1259">
        <f>-('Table 5C1A-Madison Prep'!AB43+'Table 5C1A-Madison Prep'!AE43)</f>
        <v>0</v>
      </c>
      <c r="H40" s="1259">
        <f>-('Table 5C1B-DArbonne'!AB43+'Table 5C1B-DArbonne'!AE43)</f>
        <v>-10560</v>
      </c>
      <c r="I40" s="1259">
        <f>-('Table 5C1C-Intl_VIBE'!AB43+'Table 5C1C-Intl_VIBE'!AE43)</f>
        <v>0</v>
      </c>
      <c r="J40" s="1259">
        <f>-('Table 5C1D-NOMMA'!AB43+'Table 5C1D-NOMMA'!AE43)</f>
        <v>0</v>
      </c>
      <c r="K40" s="1259">
        <f>-('Table 5C1E-LFNO'!AB43+'Table 5C1E-LFNO'!AE43)</f>
        <v>0</v>
      </c>
      <c r="L40" s="1259">
        <f>-('Table 5C1F-Lake Charles Charter'!AB43+'Table 5C1F-Lake Charles Charter'!AE43)</f>
        <v>0</v>
      </c>
      <c r="M40" s="1259">
        <f>-('Table 5C1G-JS Clark Academy'!AB43+'Table 5C1G-JS Clark Academy'!AE43)</f>
        <v>0</v>
      </c>
      <c r="N40" s="1259">
        <f>-('Table 5C1H-Southwest LA Charter'!AB43+'Table 5C1H-Southwest LA Charter'!AE43)</f>
        <v>0</v>
      </c>
      <c r="O40" s="1259">
        <f>-('Table 5C1I-LA Key Academy'!AB43+'Table 5C1I-LA Key Academy'!AE43)</f>
        <v>0</v>
      </c>
      <c r="P40" s="1259">
        <f>-('Table 5C1J-Jefferson Chamber'!AB43+'Table 5C1J-Jefferson Chamber'!AE43)</f>
        <v>0</v>
      </c>
      <c r="Q40" s="1259">
        <f>-('Table 5C1K-Tallulah Charter'!AB43+'Table 5C1K-Tallulah Charter'!AE43)</f>
        <v>0</v>
      </c>
      <c r="R40" s="1259">
        <f>-('Table 5C1L-Northshore Charter'!AB43+'Table 5C1L-Northshore Charter'!AE43)</f>
        <v>0</v>
      </c>
      <c r="S40" s="1259">
        <f>-('Table 5C1M-B.R. Charter'!AB43+'Table 5C1M-B.R. Charter'!AE43)</f>
        <v>0</v>
      </c>
      <c r="T40" s="1259">
        <f>-('Table 5C1N-Delta Charter'!AB43+'Table 5C1N-Delta Charter'!AE43)</f>
        <v>-7040</v>
      </c>
      <c r="U40" s="1259">
        <f>-('Table 5C1O-Impact'!AB43+'Table 5C1O-Impact'!AE43)</f>
        <v>0</v>
      </c>
      <c r="V40" s="1259">
        <f>-('Table 5C1P-Vision'!AB43+'Table 5C1P-Vision'!AE43)</f>
        <v>-70400</v>
      </c>
      <c r="W40" s="1259">
        <f>-('Table 5C1Q-Advantage'!AB43+'Table 5C1Q-Advantage'!AE43)</f>
        <v>0</v>
      </c>
      <c r="X40" s="1259">
        <f>-('Table 5C1R-Iberville'!AB43+'Table 5C1R-Iberville'!AE43)</f>
        <v>0</v>
      </c>
      <c r="Y40" s="1259">
        <f>-('Table 5C1S-L.C. Coll Prep'!AB43+'Table 5C1S-L.C. Coll Prep'!AE43)</f>
        <v>0</v>
      </c>
      <c r="Z40" s="1259">
        <f>-('Table 5C1T-Northeast'!AB43+'Table 5C1T-Northeast'!AE43)</f>
        <v>0</v>
      </c>
      <c r="AA40" s="1259">
        <f>-('Table 5C1U-Acadiana Ren'!AB43+'Table 5C1U-Acadiana Ren'!AE43)</f>
        <v>0</v>
      </c>
      <c r="AB40" s="1259">
        <f>-('Table 5C1V-Laf Ren'!AB43+'Table 5C1V-Laf Ren'!AE43)</f>
        <v>0</v>
      </c>
      <c r="AC40" s="1259">
        <f>-('Table 5C1W-Willow'!AB43+'Table 5C1W-Willow'!AE43)</f>
        <v>0</v>
      </c>
      <c r="AD40" s="1259">
        <f>-('Table 5C2 - LA Virtual Admy'!AC42+'Table 5C2 - LA Virtual Admy'!AF42)</f>
        <v>-171072</v>
      </c>
      <c r="AE40" s="1259">
        <f>-('Table 5C3 - LA Connections EBR'!AC42+'Table 5C3 - LA Connections EBR'!AF42)</f>
        <v>-95040</v>
      </c>
      <c r="AF40" s="1259">
        <f t="shared" si="3"/>
        <v>-373190.29709622834</v>
      </c>
      <c r="AG40" s="1281">
        <f t="shared" si="4"/>
        <v>122264865.70290378</v>
      </c>
    </row>
    <row r="41" spans="1:33" ht="14.4" customHeight="1">
      <c r="A41" s="1256">
        <v>38</v>
      </c>
      <c r="B41" s="1257" t="s">
        <v>118</v>
      </c>
      <c r="C41" s="1258">
        <f>+'Table 2_State Distrib and Adjs'!AP44</f>
        <v>11322698</v>
      </c>
      <c r="D41" s="1259">
        <f>-'Table 5A3_OJJ'!T43</f>
        <v>-5482.8134644885286</v>
      </c>
      <c r="E41" s="1259"/>
      <c r="F41" s="1259"/>
      <c r="G41" s="1259">
        <f>-('Table 5C1A-Madison Prep'!AB44+'Table 5C1A-Madison Prep'!AE44)</f>
        <v>0</v>
      </c>
      <c r="H41" s="1259">
        <f>-('Table 5C1B-DArbonne'!AB44+'Table 5C1B-DArbonne'!AE44)</f>
        <v>0</v>
      </c>
      <c r="I41" s="1259">
        <f>-('Table 5C1C-Intl_VIBE'!AB44+'Table 5C1C-Intl_VIBE'!AE44)</f>
        <v>0</v>
      </c>
      <c r="J41" s="1259">
        <f>-('Table 5C1D-NOMMA'!AB44+'Table 5C1D-NOMMA'!AE44)</f>
        <v>-79653</v>
      </c>
      <c r="K41" s="1259">
        <f>-('Table 5C1E-LFNO'!AB44+'Table 5C1E-LFNO'!AE44)</f>
        <v>-45516</v>
      </c>
      <c r="L41" s="1259">
        <f>-('Table 5C1F-Lake Charles Charter'!AB44+'Table 5C1F-Lake Charles Charter'!AE44)</f>
        <v>0</v>
      </c>
      <c r="M41" s="1259">
        <f>-('Table 5C1G-JS Clark Academy'!AB44+'Table 5C1G-JS Clark Academy'!AE44)</f>
        <v>0</v>
      </c>
      <c r="N41" s="1259">
        <f>-('Table 5C1H-Southwest LA Charter'!AB44+'Table 5C1H-Southwest LA Charter'!AE44)</f>
        <v>0</v>
      </c>
      <c r="O41" s="1259">
        <f>-('Table 5C1I-LA Key Academy'!AB44+'Table 5C1I-LA Key Academy'!AE44)</f>
        <v>0</v>
      </c>
      <c r="P41" s="1259">
        <f>-('Table 5C1J-Jefferson Chamber'!AB44+'Table 5C1J-Jefferson Chamber'!AE44)</f>
        <v>0</v>
      </c>
      <c r="Q41" s="1259">
        <f>-('Table 5C1K-Tallulah Charter'!AB44+'Table 5C1K-Tallulah Charter'!AE44)</f>
        <v>0</v>
      </c>
      <c r="R41" s="1259">
        <f>-('Table 5C1L-Northshore Charter'!AB44+'Table 5C1L-Northshore Charter'!AE44)</f>
        <v>0</v>
      </c>
      <c r="S41" s="1259">
        <f>-('Table 5C1M-B.R. Charter'!AB44+'Table 5C1M-B.R. Charter'!AE44)</f>
        <v>0</v>
      </c>
      <c r="T41" s="1259">
        <f>-('Table 5C1N-Delta Charter'!AB44+'Table 5C1N-Delta Charter'!AE44)</f>
        <v>0</v>
      </c>
      <c r="U41" s="1259">
        <f>-('Table 5C1O-Impact'!AB44+'Table 5C1O-Impact'!AE44)</f>
        <v>0</v>
      </c>
      <c r="V41" s="1259">
        <f>-('Table 5C1P-Vision'!AB44+'Table 5C1P-Vision'!AE44)</f>
        <v>0</v>
      </c>
      <c r="W41" s="1259">
        <f>-('Table 5C1Q-Advantage'!AB44+'Table 5C1Q-Advantage'!AE44)</f>
        <v>0</v>
      </c>
      <c r="X41" s="1259">
        <f>-('Table 5C1R-Iberville'!AB44+'Table 5C1R-Iberville'!AE44)</f>
        <v>0</v>
      </c>
      <c r="Y41" s="1259">
        <f>-('Table 5C1S-L.C. Coll Prep'!AB44+'Table 5C1S-L.C. Coll Prep'!AE44)</f>
        <v>0</v>
      </c>
      <c r="Z41" s="1259">
        <f>-('Table 5C1T-Northeast'!AB44+'Table 5C1T-Northeast'!AE44)</f>
        <v>0</v>
      </c>
      <c r="AA41" s="1259">
        <f>-('Table 5C1U-Acadiana Ren'!AB44+'Table 5C1U-Acadiana Ren'!AE44)</f>
        <v>0</v>
      </c>
      <c r="AB41" s="1259">
        <f>-('Table 5C1V-Laf Ren'!AB44+'Table 5C1V-Laf Ren'!AE44)</f>
        <v>0</v>
      </c>
      <c r="AC41" s="1259">
        <f>-('Table 5C1W-Willow'!AB44+'Table 5C1W-Willow'!AE44)</f>
        <v>0</v>
      </c>
      <c r="AD41" s="1259">
        <f>-('Table 5C2 - LA Virtual Admy'!AC43+'Table 5C2 - LA Virtual Admy'!AF43)</f>
        <v>-61446.600000000006</v>
      </c>
      <c r="AE41" s="1259">
        <f>-('Table 5C3 - LA Connections EBR'!AC43+'Table 5C3 - LA Connections EBR'!AF43)</f>
        <v>-61446.600000000006</v>
      </c>
      <c r="AF41" s="1259">
        <f t="shared" si="3"/>
        <v>-253545.01346448853</v>
      </c>
      <c r="AG41" s="1281">
        <f t="shared" si="4"/>
        <v>11069152.986535512</v>
      </c>
    </row>
    <row r="42" spans="1:33" ht="14.4" customHeight="1">
      <c r="A42" s="1256">
        <v>39</v>
      </c>
      <c r="B42" s="1257" t="s">
        <v>119</v>
      </c>
      <c r="C42" s="1258">
        <f>+'Table 2_State Distrib and Adjs'!AP45</f>
        <v>12389722</v>
      </c>
      <c r="D42" s="1259">
        <f>-'Table 5A3_OJJ'!T44</f>
        <v>-3116.4873219179317</v>
      </c>
      <c r="E42" s="1259"/>
      <c r="F42" s="1259"/>
      <c r="G42" s="1259">
        <f>-('Table 5C1A-Madison Prep'!AB45+'Table 5C1A-Madison Prep'!AE45)</f>
        <v>0</v>
      </c>
      <c r="H42" s="1259">
        <f>-('Table 5C1B-DArbonne'!AB45+'Table 5C1B-DArbonne'!AE45)</f>
        <v>0</v>
      </c>
      <c r="I42" s="1259">
        <f>-('Table 5C1C-Intl_VIBE'!AB45+'Table 5C1C-Intl_VIBE'!AE45)</f>
        <v>0</v>
      </c>
      <c r="J42" s="1259">
        <f>-('Table 5C1D-NOMMA'!AB45+'Table 5C1D-NOMMA'!AE45)</f>
        <v>0</v>
      </c>
      <c r="K42" s="1259">
        <f>-('Table 5C1E-LFNO'!AB45+'Table 5C1E-LFNO'!AE45)</f>
        <v>0</v>
      </c>
      <c r="L42" s="1259">
        <f>-('Table 5C1F-Lake Charles Charter'!AB45+'Table 5C1F-Lake Charles Charter'!AE45)</f>
        <v>0</v>
      </c>
      <c r="M42" s="1259">
        <f>-('Table 5C1G-JS Clark Academy'!AB45+'Table 5C1G-JS Clark Academy'!AE45)</f>
        <v>0</v>
      </c>
      <c r="N42" s="1259">
        <f>-('Table 5C1H-Southwest LA Charter'!AB45+'Table 5C1H-Southwest LA Charter'!AE45)</f>
        <v>0</v>
      </c>
      <c r="O42" s="1259">
        <f>-('Table 5C1I-LA Key Academy'!AB45+'Table 5C1I-LA Key Academy'!AE45)</f>
        <v>-4955</v>
      </c>
      <c r="P42" s="1259">
        <f>-('Table 5C1J-Jefferson Chamber'!AB45+'Table 5C1J-Jefferson Chamber'!AE45)</f>
        <v>0</v>
      </c>
      <c r="Q42" s="1259">
        <f>-('Table 5C1K-Tallulah Charter'!AB45+'Table 5C1K-Tallulah Charter'!AE45)</f>
        <v>0</v>
      </c>
      <c r="R42" s="1259">
        <f>-('Table 5C1L-Northshore Charter'!AB45+'Table 5C1L-Northshore Charter'!AE45)</f>
        <v>0</v>
      </c>
      <c r="S42" s="1259">
        <f>-('Table 5C1M-B.R. Charter'!AB45+'Table 5C1M-B.R. Charter'!AE45)</f>
        <v>0</v>
      </c>
      <c r="T42" s="1259">
        <f>-('Table 5C1N-Delta Charter'!AB45+'Table 5C1N-Delta Charter'!AE45)</f>
        <v>0</v>
      </c>
      <c r="U42" s="1259">
        <f>-('Table 5C1O-Impact'!AB45+'Table 5C1O-Impact'!AE45)</f>
        <v>0</v>
      </c>
      <c r="V42" s="1259">
        <f>-('Table 5C1P-Vision'!AB45+'Table 5C1P-Vision'!AE45)</f>
        <v>0</v>
      </c>
      <c r="W42" s="1259">
        <f>-('Table 5C1Q-Advantage'!AB45+'Table 5C1Q-Advantage'!AE45)</f>
        <v>0</v>
      </c>
      <c r="X42" s="1259">
        <f>-('Table 5C1R-Iberville'!AB45+'Table 5C1R-Iberville'!AE45)</f>
        <v>0</v>
      </c>
      <c r="Y42" s="1259">
        <f>-('Table 5C1S-L.C. Coll Prep'!AB45+'Table 5C1S-L.C. Coll Prep'!AE45)</f>
        <v>0</v>
      </c>
      <c r="Z42" s="1259">
        <f>-('Table 5C1T-Northeast'!AB45+'Table 5C1T-Northeast'!AE45)</f>
        <v>0</v>
      </c>
      <c r="AA42" s="1259">
        <f>-('Table 5C1U-Acadiana Ren'!AB45+'Table 5C1U-Acadiana Ren'!AE45)</f>
        <v>0</v>
      </c>
      <c r="AB42" s="1259">
        <f>-('Table 5C1V-Laf Ren'!AB45+'Table 5C1V-Laf Ren'!AE45)</f>
        <v>0</v>
      </c>
      <c r="AC42" s="1259">
        <f>-('Table 5C1W-Willow'!AB45+'Table 5C1W-Willow'!AE45)</f>
        <v>0</v>
      </c>
      <c r="AD42" s="1259">
        <f>-('Table 5C2 - LA Virtual Admy'!AC44+'Table 5C2 - LA Virtual Admy'!AF44)</f>
        <v>-22297.5</v>
      </c>
      <c r="AE42" s="1259">
        <f>-('Table 5C3 - LA Connections EBR'!AC44+'Table 5C3 - LA Connections EBR'!AF44)</f>
        <v>-40135.5</v>
      </c>
      <c r="AF42" s="1259">
        <f t="shared" si="3"/>
        <v>-70504.487321917928</v>
      </c>
      <c r="AG42" s="1281">
        <f t="shared" si="4"/>
        <v>12319217.512678081</v>
      </c>
    </row>
    <row r="43" spans="1:33" ht="14.4" customHeight="1">
      <c r="A43" s="85">
        <v>40</v>
      </c>
      <c r="B43" s="207" t="s">
        <v>120</v>
      </c>
      <c r="C43" s="209">
        <f>+'Table 2_State Distrib and Adjs'!AP46</f>
        <v>133632230</v>
      </c>
      <c r="D43" s="219">
        <f>-'Table 5A3_OJJ'!T45</f>
        <v>-39854.673349459583</v>
      </c>
      <c r="E43" s="219"/>
      <c r="F43" s="219"/>
      <c r="G43" s="219">
        <f>-('Table 5C1A-Madison Prep'!AB46+'Table 5C1A-Madison Prep'!AE46)</f>
        <v>0</v>
      </c>
      <c r="H43" s="219">
        <f>-('Table 5C1B-DArbonne'!AB46+'Table 5C1B-DArbonne'!AE46)</f>
        <v>0</v>
      </c>
      <c r="I43" s="219">
        <f>-('Table 5C1C-Intl_VIBE'!AB46+'Table 5C1C-Intl_VIBE'!AE46)</f>
        <v>0</v>
      </c>
      <c r="J43" s="219">
        <f>-('Table 5C1D-NOMMA'!AB46+'Table 5C1D-NOMMA'!AE46)</f>
        <v>0</v>
      </c>
      <c r="K43" s="219">
        <f>-('Table 5C1E-LFNO'!AB46+'Table 5C1E-LFNO'!AE46)</f>
        <v>0</v>
      </c>
      <c r="L43" s="219">
        <f>-('Table 5C1F-Lake Charles Charter'!AB46+'Table 5C1F-Lake Charles Charter'!AE46)</f>
        <v>0</v>
      </c>
      <c r="M43" s="219">
        <f>-('Table 5C1G-JS Clark Academy'!AB46+'Table 5C1G-JS Clark Academy'!AE46)</f>
        <v>0</v>
      </c>
      <c r="N43" s="219">
        <f>-('Table 5C1H-Southwest LA Charter'!AB46+'Table 5C1H-Southwest LA Charter'!AE46)</f>
        <v>0</v>
      </c>
      <c r="O43" s="219">
        <f>-('Table 5C1I-LA Key Academy'!AB46+'Table 5C1I-LA Key Academy'!AE46)</f>
        <v>0</v>
      </c>
      <c r="P43" s="219">
        <f>-('Table 5C1J-Jefferson Chamber'!AB46+'Table 5C1J-Jefferson Chamber'!AE46)</f>
        <v>0</v>
      </c>
      <c r="Q43" s="219">
        <f>-('Table 5C1K-Tallulah Charter'!AB46+'Table 5C1K-Tallulah Charter'!AE46)</f>
        <v>0</v>
      </c>
      <c r="R43" s="219">
        <f>-('Table 5C1L-Northshore Charter'!AB46+'Table 5C1L-Northshore Charter'!AE46)</f>
        <v>0</v>
      </c>
      <c r="S43" s="219">
        <f>-('Table 5C1M-B.R. Charter'!AB46+'Table 5C1M-B.R. Charter'!AE46)</f>
        <v>0</v>
      </c>
      <c r="T43" s="219">
        <f>-('Table 5C1N-Delta Charter'!AB46+'Table 5C1N-Delta Charter'!AE46)</f>
        <v>0</v>
      </c>
      <c r="U43" s="219">
        <f>-('Table 5C1O-Impact'!AB46+'Table 5C1O-Impact'!AE46)</f>
        <v>0</v>
      </c>
      <c r="V43" s="219">
        <f>-('Table 5C1P-Vision'!AB46+'Table 5C1P-Vision'!AE46)</f>
        <v>0</v>
      </c>
      <c r="W43" s="219">
        <f>-('Table 5C1Q-Advantage'!AB46+'Table 5C1Q-Advantage'!AE46)</f>
        <v>0</v>
      </c>
      <c r="X43" s="219">
        <f>-('Table 5C1R-Iberville'!AB46+'Table 5C1R-Iberville'!AE46)</f>
        <v>0</v>
      </c>
      <c r="Y43" s="219">
        <f>-('Table 5C1S-L.C. Coll Prep'!AB46+'Table 5C1S-L.C. Coll Prep'!AE46)</f>
        <v>0</v>
      </c>
      <c r="Z43" s="219">
        <f>-('Table 5C1T-Northeast'!AB46+'Table 5C1T-Northeast'!AE46)</f>
        <v>0</v>
      </c>
      <c r="AA43" s="219">
        <f>-('Table 5C1U-Acadiana Ren'!AB46+'Table 5C1U-Acadiana Ren'!AE46)</f>
        <v>0</v>
      </c>
      <c r="AB43" s="219">
        <f>-('Table 5C1V-Laf Ren'!AB46+'Table 5C1V-Laf Ren'!AE46)</f>
        <v>0</v>
      </c>
      <c r="AC43" s="219">
        <f>-('Table 5C1W-Willow'!AB46+'Table 5C1W-Willow'!AE46)</f>
        <v>0</v>
      </c>
      <c r="AD43" s="219">
        <f>-('Table 5C2 - LA Virtual Admy'!AC45+'Table 5C2 - LA Virtual Admy'!AF45)</f>
        <v>-162963.9</v>
      </c>
      <c r="AE43" s="219">
        <f>-('Table 5C3 - LA Connections EBR'!AC45+'Table 5C3 - LA Connections EBR'!AF45)</f>
        <v>-96673.5</v>
      </c>
      <c r="AF43" s="219">
        <f t="shared" si="3"/>
        <v>-299492.07334945956</v>
      </c>
      <c r="AG43" s="364">
        <f t="shared" si="4"/>
        <v>133332737.92665054</v>
      </c>
    </row>
    <row r="44" spans="1:33" ht="14.4" customHeight="1">
      <c r="A44" s="1272">
        <v>41</v>
      </c>
      <c r="B44" s="1273" t="s">
        <v>121</v>
      </c>
      <c r="C44" s="1274">
        <f>+'Table 2_State Distrib and Adjs'!AP47</f>
        <v>6077601</v>
      </c>
      <c r="D44" s="1275">
        <f>-'Table 5A3_OJJ'!T46</f>
        <v>-5118.4687052341596</v>
      </c>
      <c r="E44" s="1275"/>
      <c r="F44" s="1275"/>
      <c r="G44" s="1275">
        <f>-('Table 5C1A-Madison Prep'!AB47+'Table 5C1A-Madison Prep'!AE47)</f>
        <v>0</v>
      </c>
      <c r="H44" s="1275">
        <f>-('Table 5C1B-DArbonne'!AB47+'Table 5C1B-DArbonne'!AE47)</f>
        <v>0</v>
      </c>
      <c r="I44" s="1275">
        <f>-('Table 5C1C-Intl_VIBE'!AB47+'Table 5C1C-Intl_VIBE'!AE47)</f>
        <v>0</v>
      </c>
      <c r="J44" s="1275">
        <f>-('Table 5C1D-NOMMA'!AB47+'Table 5C1D-NOMMA'!AE47)</f>
        <v>0</v>
      </c>
      <c r="K44" s="1275">
        <f>-('Table 5C1E-LFNO'!AB47+'Table 5C1E-LFNO'!AE47)</f>
        <v>0</v>
      </c>
      <c r="L44" s="1275">
        <f>-('Table 5C1F-Lake Charles Charter'!AB47+'Table 5C1F-Lake Charles Charter'!AE47)</f>
        <v>0</v>
      </c>
      <c r="M44" s="1275">
        <f>-('Table 5C1G-JS Clark Academy'!AB47+'Table 5C1G-JS Clark Academy'!AE47)</f>
        <v>0</v>
      </c>
      <c r="N44" s="1275">
        <f>-('Table 5C1H-Southwest LA Charter'!AB47+'Table 5C1H-Southwest LA Charter'!AE47)</f>
        <v>0</v>
      </c>
      <c r="O44" s="1275">
        <f>-('Table 5C1I-LA Key Academy'!AB47+'Table 5C1I-LA Key Academy'!AE47)</f>
        <v>0</v>
      </c>
      <c r="P44" s="1275">
        <f>-('Table 5C1J-Jefferson Chamber'!AB47+'Table 5C1J-Jefferson Chamber'!AE47)</f>
        <v>0</v>
      </c>
      <c r="Q44" s="1275">
        <f>-('Table 5C1K-Tallulah Charter'!AB47+'Table 5C1K-Tallulah Charter'!AE47)</f>
        <v>0</v>
      </c>
      <c r="R44" s="1275">
        <f>-('Table 5C1L-Northshore Charter'!AB47+'Table 5C1L-Northshore Charter'!AE47)</f>
        <v>0</v>
      </c>
      <c r="S44" s="1275">
        <f>-('Table 5C1M-B.R. Charter'!AB47+'Table 5C1M-B.R. Charter'!AE47)</f>
        <v>0</v>
      </c>
      <c r="T44" s="1275">
        <f>-('Table 5C1N-Delta Charter'!AB47+'Table 5C1N-Delta Charter'!AE47)</f>
        <v>0</v>
      </c>
      <c r="U44" s="1275">
        <f>-('Table 5C1O-Impact'!AB47+'Table 5C1O-Impact'!AE47)</f>
        <v>0</v>
      </c>
      <c r="V44" s="1275">
        <f>-('Table 5C1P-Vision'!AB47+'Table 5C1P-Vision'!AE47)</f>
        <v>0</v>
      </c>
      <c r="W44" s="1275">
        <f>-('Table 5C1Q-Advantage'!AB47+'Table 5C1Q-Advantage'!AE47)</f>
        <v>0</v>
      </c>
      <c r="X44" s="1275">
        <f>-('Table 5C1R-Iberville'!AB47+'Table 5C1R-Iberville'!AE47)</f>
        <v>0</v>
      </c>
      <c r="Y44" s="1275">
        <f>-('Table 5C1S-L.C. Coll Prep'!AB47+'Table 5C1S-L.C. Coll Prep'!AE47)</f>
        <v>0</v>
      </c>
      <c r="Z44" s="1275">
        <f>-('Table 5C1T-Northeast'!AB47+'Table 5C1T-Northeast'!AE47)</f>
        <v>0</v>
      </c>
      <c r="AA44" s="1275">
        <f>-('Table 5C1U-Acadiana Ren'!AB47+'Table 5C1U-Acadiana Ren'!AE47)</f>
        <v>0</v>
      </c>
      <c r="AB44" s="1275">
        <f>-('Table 5C1V-Laf Ren'!AB47+'Table 5C1V-Laf Ren'!AE47)</f>
        <v>0</v>
      </c>
      <c r="AC44" s="1275">
        <f>-('Table 5C1W-Willow'!AB47+'Table 5C1W-Willow'!AE47)</f>
        <v>0</v>
      </c>
      <c r="AD44" s="1275">
        <f>-('Table 5C2 - LA Virtual Admy'!AC46+'Table 5C2 - LA Virtual Admy'!AF46)</f>
        <v>0</v>
      </c>
      <c r="AE44" s="1275">
        <f>-('Table 5C3 - LA Connections EBR'!AC46+'Table 5C3 - LA Connections EBR'!AF46)</f>
        <v>0</v>
      </c>
      <c r="AF44" s="1275">
        <f t="shared" si="3"/>
        <v>-5118.4687052341596</v>
      </c>
      <c r="AG44" s="1276">
        <f t="shared" si="4"/>
        <v>6072482.5312947659</v>
      </c>
    </row>
    <row r="45" spans="1:33" ht="14.4" customHeight="1">
      <c r="A45" s="1256">
        <v>42</v>
      </c>
      <c r="B45" s="1257" t="s">
        <v>122</v>
      </c>
      <c r="C45" s="1258">
        <f>+'Table 2_State Distrib and Adjs'!AP48</f>
        <v>18302397</v>
      </c>
      <c r="D45" s="1259">
        <f>-'Table 5A3_OJJ'!T47</f>
        <v>-11181.20326222895</v>
      </c>
      <c r="E45" s="1259"/>
      <c r="F45" s="1259"/>
      <c r="G45" s="1259">
        <f>-('Table 5C1A-Madison Prep'!AB48+'Table 5C1A-Madison Prep'!AE48)</f>
        <v>0</v>
      </c>
      <c r="H45" s="1259">
        <f>-('Table 5C1B-DArbonne'!AB48+'Table 5C1B-DArbonne'!AE48)</f>
        <v>0</v>
      </c>
      <c r="I45" s="1259">
        <f>-('Table 5C1C-Intl_VIBE'!AB48+'Table 5C1C-Intl_VIBE'!AE48)</f>
        <v>0</v>
      </c>
      <c r="J45" s="1259">
        <f>-('Table 5C1D-NOMMA'!AB48+'Table 5C1D-NOMMA'!AE48)</f>
        <v>0</v>
      </c>
      <c r="K45" s="1259">
        <f>-('Table 5C1E-LFNO'!AB48+'Table 5C1E-LFNO'!AE48)</f>
        <v>0</v>
      </c>
      <c r="L45" s="1259">
        <f>-('Table 5C1F-Lake Charles Charter'!AB48+'Table 5C1F-Lake Charles Charter'!AE48)</f>
        <v>0</v>
      </c>
      <c r="M45" s="1259">
        <f>-('Table 5C1G-JS Clark Academy'!AB48+'Table 5C1G-JS Clark Academy'!AE48)</f>
        <v>0</v>
      </c>
      <c r="N45" s="1259">
        <f>-('Table 5C1H-Southwest LA Charter'!AB48+'Table 5C1H-Southwest LA Charter'!AE48)</f>
        <v>0</v>
      </c>
      <c r="O45" s="1259">
        <f>-('Table 5C1I-LA Key Academy'!AB48+'Table 5C1I-LA Key Academy'!AE48)</f>
        <v>0</v>
      </c>
      <c r="P45" s="1259">
        <f>-('Table 5C1J-Jefferson Chamber'!AB48+'Table 5C1J-Jefferson Chamber'!AE48)</f>
        <v>0</v>
      </c>
      <c r="Q45" s="1259">
        <f>-('Table 5C1K-Tallulah Charter'!AB48+'Table 5C1K-Tallulah Charter'!AE48)</f>
        <v>0</v>
      </c>
      <c r="R45" s="1259">
        <f>-('Table 5C1L-Northshore Charter'!AB48+'Table 5C1L-Northshore Charter'!AE48)</f>
        <v>0</v>
      </c>
      <c r="S45" s="1259">
        <f>-('Table 5C1M-B.R. Charter'!AB48+'Table 5C1M-B.R. Charter'!AE48)</f>
        <v>0</v>
      </c>
      <c r="T45" s="1259">
        <f>-('Table 5C1N-Delta Charter'!AB48+'Table 5C1N-Delta Charter'!AE48)</f>
        <v>0</v>
      </c>
      <c r="U45" s="1259">
        <f>-('Table 5C1O-Impact'!AB48+'Table 5C1O-Impact'!AE48)</f>
        <v>0</v>
      </c>
      <c r="V45" s="1259">
        <f>-('Table 5C1P-Vision'!AB48+'Table 5C1P-Vision'!AE48)</f>
        <v>-35780</v>
      </c>
      <c r="W45" s="1259">
        <f>-('Table 5C1Q-Advantage'!AB48+'Table 5C1Q-Advantage'!AE48)</f>
        <v>0</v>
      </c>
      <c r="X45" s="1259">
        <f>-('Table 5C1R-Iberville'!AB48+'Table 5C1R-Iberville'!AE48)</f>
        <v>0</v>
      </c>
      <c r="Y45" s="1259">
        <f>-('Table 5C1S-L.C. Coll Prep'!AB48+'Table 5C1S-L.C. Coll Prep'!AE48)</f>
        <v>0</v>
      </c>
      <c r="Z45" s="1259">
        <f>-('Table 5C1T-Northeast'!AB48+'Table 5C1T-Northeast'!AE48)</f>
        <v>0</v>
      </c>
      <c r="AA45" s="1259">
        <f>-('Table 5C1U-Acadiana Ren'!AB48+'Table 5C1U-Acadiana Ren'!AE48)</f>
        <v>0</v>
      </c>
      <c r="AB45" s="1259">
        <f>-('Table 5C1V-Laf Ren'!AB48+'Table 5C1V-Laf Ren'!AE48)</f>
        <v>0</v>
      </c>
      <c r="AC45" s="1259">
        <f>-('Table 5C1W-Willow'!AB48+'Table 5C1W-Willow'!AE48)</f>
        <v>0</v>
      </c>
      <c r="AD45" s="1259">
        <f>-('Table 5C2 - LA Virtual Admy'!AC47+'Table 5C2 - LA Virtual Admy'!AF47)</f>
        <v>-16101.000000000002</v>
      </c>
      <c r="AE45" s="1259">
        <f>-('Table 5C3 - LA Connections EBR'!AC47+'Table 5C3 - LA Connections EBR'!AF47)</f>
        <v>-16101.000000000002</v>
      </c>
      <c r="AF45" s="1259">
        <f t="shared" si="3"/>
        <v>-79163.203262228955</v>
      </c>
      <c r="AG45" s="1281">
        <f t="shared" si="4"/>
        <v>18223233.796737771</v>
      </c>
    </row>
    <row r="46" spans="1:33" ht="14.4" customHeight="1">
      <c r="A46" s="1256">
        <v>43</v>
      </c>
      <c r="B46" s="1257" t="s">
        <v>123</v>
      </c>
      <c r="C46" s="1258">
        <f>+'Table 2_State Distrib and Adjs'!AP49</f>
        <v>26088089</v>
      </c>
      <c r="D46" s="1259">
        <f>-'Table 5A3_OJJ'!T48</f>
        <v>-6383.9601539019759</v>
      </c>
      <c r="E46" s="1259"/>
      <c r="F46" s="1259"/>
      <c r="G46" s="1259">
        <f>-('Table 5C1A-Madison Prep'!AB49+'Table 5C1A-Madison Prep'!AE49)</f>
        <v>0</v>
      </c>
      <c r="H46" s="1259">
        <f>-('Table 5C1B-DArbonne'!AB49+'Table 5C1B-DArbonne'!AE49)</f>
        <v>0</v>
      </c>
      <c r="I46" s="1259">
        <f>-('Table 5C1C-Intl_VIBE'!AB49+'Table 5C1C-Intl_VIBE'!AE49)</f>
        <v>0</v>
      </c>
      <c r="J46" s="1259">
        <f>-('Table 5C1D-NOMMA'!AB49+'Table 5C1D-NOMMA'!AE49)</f>
        <v>0</v>
      </c>
      <c r="K46" s="1259">
        <f>-('Table 5C1E-LFNO'!AB49+'Table 5C1E-LFNO'!AE49)</f>
        <v>0</v>
      </c>
      <c r="L46" s="1259">
        <f>-('Table 5C1F-Lake Charles Charter'!AB49+'Table 5C1F-Lake Charles Charter'!AE49)</f>
        <v>0</v>
      </c>
      <c r="M46" s="1259">
        <f>-('Table 5C1G-JS Clark Academy'!AB49+'Table 5C1G-JS Clark Academy'!AE49)</f>
        <v>0</v>
      </c>
      <c r="N46" s="1259">
        <f>-('Table 5C1H-Southwest LA Charter'!AB49+'Table 5C1H-Southwest LA Charter'!AE49)</f>
        <v>0</v>
      </c>
      <c r="O46" s="1259">
        <f>-('Table 5C1I-LA Key Academy'!AB49+'Table 5C1I-LA Key Academy'!AE49)</f>
        <v>0</v>
      </c>
      <c r="P46" s="1259">
        <f>-('Table 5C1J-Jefferson Chamber'!AB49+'Table 5C1J-Jefferson Chamber'!AE49)</f>
        <v>0</v>
      </c>
      <c r="Q46" s="1259">
        <f>-('Table 5C1K-Tallulah Charter'!AB49+'Table 5C1K-Tallulah Charter'!AE49)</f>
        <v>0</v>
      </c>
      <c r="R46" s="1259">
        <f>-('Table 5C1L-Northshore Charter'!AB49+'Table 5C1L-Northshore Charter'!AE49)</f>
        <v>0</v>
      </c>
      <c r="S46" s="1259">
        <f>-('Table 5C1M-B.R. Charter'!AB49+'Table 5C1M-B.R. Charter'!AE49)</f>
        <v>0</v>
      </c>
      <c r="T46" s="1259">
        <f>-('Table 5C1N-Delta Charter'!AB49+'Table 5C1N-Delta Charter'!AE49)</f>
        <v>0</v>
      </c>
      <c r="U46" s="1259">
        <f>-('Table 5C1O-Impact'!AB49+'Table 5C1O-Impact'!AE49)</f>
        <v>0</v>
      </c>
      <c r="V46" s="1259">
        <f>-('Table 5C1P-Vision'!AB49+'Table 5C1P-Vision'!AE49)</f>
        <v>0</v>
      </c>
      <c r="W46" s="1259">
        <f>-('Table 5C1Q-Advantage'!AB49+'Table 5C1Q-Advantage'!AE49)</f>
        <v>0</v>
      </c>
      <c r="X46" s="1259">
        <f>-('Table 5C1R-Iberville'!AB49+'Table 5C1R-Iberville'!AE49)</f>
        <v>0</v>
      </c>
      <c r="Y46" s="1259">
        <f>-('Table 5C1S-L.C. Coll Prep'!AB49+'Table 5C1S-L.C. Coll Prep'!AE49)</f>
        <v>0</v>
      </c>
      <c r="Z46" s="1259">
        <f>-('Table 5C1T-Northeast'!AB49+'Table 5C1T-Northeast'!AE49)</f>
        <v>0</v>
      </c>
      <c r="AA46" s="1259">
        <f>-('Table 5C1U-Acadiana Ren'!AB49+'Table 5C1U-Acadiana Ren'!AE49)</f>
        <v>0</v>
      </c>
      <c r="AB46" s="1259">
        <f>-('Table 5C1V-Laf Ren'!AB49+'Table 5C1V-Laf Ren'!AE49)</f>
        <v>0</v>
      </c>
      <c r="AC46" s="1259">
        <f>-('Table 5C1W-Willow'!AB49+'Table 5C1W-Willow'!AE49)</f>
        <v>0</v>
      </c>
      <c r="AD46" s="1259">
        <f>-('Table 5C2 - LA Virtual Admy'!AC48+'Table 5C2 - LA Virtual Admy'!AF48)</f>
        <v>-28845</v>
      </c>
      <c r="AE46" s="1259">
        <f>-('Table 5C3 - LA Connections EBR'!AC48+'Table 5C3 - LA Connections EBR'!AF48)</f>
        <v>-17307</v>
      </c>
      <c r="AF46" s="1259">
        <f t="shared" si="3"/>
        <v>-52535.960153901979</v>
      </c>
      <c r="AG46" s="1281">
        <f t="shared" si="4"/>
        <v>26035553.039846096</v>
      </c>
    </row>
    <row r="47" spans="1:33" ht="14.4" customHeight="1">
      <c r="A47" s="1256">
        <v>44</v>
      </c>
      <c r="B47" s="1257" t="s">
        <v>124</v>
      </c>
      <c r="C47" s="1258">
        <f>+'Table 2_State Distrib and Adjs'!AP50</f>
        <v>37055100</v>
      </c>
      <c r="D47" s="1259">
        <f>-'Table 5A3_OJJ'!T49</f>
        <v>-1679.6728620799104</v>
      </c>
      <c r="E47" s="1259"/>
      <c r="F47" s="1259"/>
      <c r="G47" s="1259">
        <f>-('Table 5C1A-Madison Prep'!AB50+'Table 5C1A-Madison Prep'!AE50)</f>
        <v>0</v>
      </c>
      <c r="H47" s="1259">
        <f>-('Table 5C1B-DArbonne'!AB50+'Table 5C1B-DArbonne'!AE50)</f>
        <v>0</v>
      </c>
      <c r="I47" s="1259">
        <f>-('Table 5C1C-Intl_VIBE'!AB50+'Table 5C1C-Intl_VIBE'!AE50)</f>
        <v>-7438</v>
      </c>
      <c r="J47" s="1259">
        <f>-('Table 5C1D-NOMMA'!AB50+'Table 5C1D-NOMMA'!AE50)</f>
        <v>-3719</v>
      </c>
      <c r="K47" s="1259">
        <f>-('Table 5C1E-LFNO'!AB50+'Table 5C1E-LFNO'!AE50)</f>
        <v>-14876</v>
      </c>
      <c r="L47" s="1259">
        <f>-('Table 5C1F-Lake Charles Charter'!AB50+'Table 5C1F-Lake Charles Charter'!AE50)</f>
        <v>0</v>
      </c>
      <c r="M47" s="1259">
        <f>-('Table 5C1G-JS Clark Academy'!AB50+'Table 5C1G-JS Clark Academy'!AE50)</f>
        <v>0</v>
      </c>
      <c r="N47" s="1259">
        <f>-('Table 5C1H-Southwest LA Charter'!AB50+'Table 5C1H-Southwest LA Charter'!AE50)</f>
        <v>0</v>
      </c>
      <c r="O47" s="1259">
        <f>-('Table 5C1I-LA Key Academy'!AB50+'Table 5C1I-LA Key Academy'!AE50)</f>
        <v>0</v>
      </c>
      <c r="P47" s="1259">
        <f>-('Table 5C1J-Jefferson Chamber'!AB50+'Table 5C1J-Jefferson Chamber'!AE50)</f>
        <v>0</v>
      </c>
      <c r="Q47" s="1259">
        <f>-('Table 5C1K-Tallulah Charter'!AB50+'Table 5C1K-Tallulah Charter'!AE50)</f>
        <v>0</v>
      </c>
      <c r="R47" s="1259">
        <f>-('Table 5C1L-Northshore Charter'!AB50+'Table 5C1L-Northshore Charter'!AE50)</f>
        <v>0</v>
      </c>
      <c r="S47" s="1259">
        <f>-('Table 5C1M-B.R. Charter'!AB50+'Table 5C1M-B.R. Charter'!AE50)</f>
        <v>0</v>
      </c>
      <c r="T47" s="1259">
        <f>-('Table 5C1N-Delta Charter'!AB50+'Table 5C1N-Delta Charter'!AE50)</f>
        <v>0</v>
      </c>
      <c r="U47" s="1259">
        <f>-('Table 5C1O-Impact'!AB50+'Table 5C1O-Impact'!AE50)</f>
        <v>0</v>
      </c>
      <c r="V47" s="1259">
        <f>-('Table 5C1P-Vision'!AB50+'Table 5C1P-Vision'!AE50)</f>
        <v>0</v>
      </c>
      <c r="W47" s="1259">
        <f>-('Table 5C1Q-Advantage'!AB50+'Table 5C1Q-Advantage'!AE50)</f>
        <v>0</v>
      </c>
      <c r="X47" s="1259">
        <f>-('Table 5C1R-Iberville'!AB50+'Table 5C1R-Iberville'!AE50)</f>
        <v>0</v>
      </c>
      <c r="Y47" s="1259">
        <f>-('Table 5C1S-L.C. Coll Prep'!AB50+'Table 5C1S-L.C. Coll Prep'!AE50)</f>
        <v>0</v>
      </c>
      <c r="Z47" s="1259">
        <f>-('Table 5C1T-Northeast'!AB50+'Table 5C1T-Northeast'!AE50)</f>
        <v>0</v>
      </c>
      <c r="AA47" s="1259">
        <f>-('Table 5C1U-Acadiana Ren'!AB50+'Table 5C1U-Acadiana Ren'!AE50)</f>
        <v>0</v>
      </c>
      <c r="AB47" s="1259">
        <f>-('Table 5C1V-Laf Ren'!AB50+'Table 5C1V-Laf Ren'!AE50)</f>
        <v>0</v>
      </c>
      <c r="AC47" s="1259">
        <f>-('Table 5C1W-Willow'!AB50+'Table 5C1W-Willow'!AE50)</f>
        <v>0</v>
      </c>
      <c r="AD47" s="1259">
        <f>-('Table 5C2 - LA Virtual Admy'!AC49+'Table 5C2 - LA Virtual Admy'!AF49)</f>
        <v>-53553.599999999999</v>
      </c>
      <c r="AE47" s="1259">
        <f>-('Table 5C3 - LA Connections EBR'!AC49+'Table 5C3 - LA Connections EBR'!AF49)</f>
        <v>-20082.599999999999</v>
      </c>
      <c r="AF47" s="1259">
        <f t="shared" si="3"/>
        <v>-101348.87286207991</v>
      </c>
      <c r="AG47" s="1281">
        <f t="shared" si="4"/>
        <v>36953751.127137914</v>
      </c>
    </row>
    <row r="48" spans="1:33" ht="14.4" customHeight="1">
      <c r="A48" s="85">
        <v>45</v>
      </c>
      <c r="B48" s="207" t="s">
        <v>125</v>
      </c>
      <c r="C48" s="209">
        <f>+'Table 2_State Distrib and Adjs'!AP51</f>
        <v>26483512</v>
      </c>
      <c r="D48" s="219">
        <f>-'Table 5A3_OJJ'!T50</f>
        <v>-6660.2038713784978</v>
      </c>
      <c r="E48" s="219"/>
      <c r="F48" s="219"/>
      <c r="G48" s="219">
        <f>-('Table 5C1A-Madison Prep'!AB51+'Table 5C1A-Madison Prep'!AE51)</f>
        <v>0</v>
      </c>
      <c r="H48" s="219">
        <f>-('Table 5C1B-DArbonne'!AB51+'Table 5C1B-DArbonne'!AE51)</f>
        <v>0</v>
      </c>
      <c r="I48" s="219">
        <f>-('Table 5C1C-Intl_VIBE'!AB51+'Table 5C1C-Intl_VIBE'!AE51)</f>
        <v>0</v>
      </c>
      <c r="J48" s="219">
        <f>-('Table 5C1D-NOMMA'!AB51+'Table 5C1D-NOMMA'!AE51)</f>
        <v>0</v>
      </c>
      <c r="K48" s="219">
        <f>-('Table 5C1E-LFNO'!AB51+'Table 5C1E-LFNO'!AE51)</f>
        <v>-24338</v>
      </c>
      <c r="L48" s="219">
        <f>-('Table 5C1F-Lake Charles Charter'!AB51+'Table 5C1F-Lake Charles Charter'!AE51)</f>
        <v>0</v>
      </c>
      <c r="M48" s="219">
        <f>-('Table 5C1G-JS Clark Academy'!AB51+'Table 5C1G-JS Clark Academy'!AE51)</f>
        <v>0</v>
      </c>
      <c r="N48" s="219">
        <f>-('Table 5C1H-Southwest LA Charter'!AB51+'Table 5C1H-Southwest LA Charter'!AE51)</f>
        <v>0</v>
      </c>
      <c r="O48" s="219">
        <f>-('Table 5C1I-LA Key Academy'!AB51+'Table 5C1I-LA Key Academy'!AE51)</f>
        <v>0</v>
      </c>
      <c r="P48" s="219">
        <f>-('Table 5C1J-Jefferson Chamber'!AB51+'Table 5C1J-Jefferson Chamber'!AE51)</f>
        <v>-12169</v>
      </c>
      <c r="Q48" s="219">
        <f>-('Table 5C1K-Tallulah Charter'!AB51+'Table 5C1K-Tallulah Charter'!AE51)</f>
        <v>0</v>
      </c>
      <c r="R48" s="219">
        <f>-('Table 5C1L-Northshore Charter'!AB51+'Table 5C1L-Northshore Charter'!AE51)</f>
        <v>0</v>
      </c>
      <c r="S48" s="219">
        <f>-('Table 5C1M-B.R. Charter'!AB51+'Table 5C1M-B.R. Charter'!AE51)</f>
        <v>0</v>
      </c>
      <c r="T48" s="219">
        <f>-('Table 5C1N-Delta Charter'!AB51+'Table 5C1N-Delta Charter'!AE51)</f>
        <v>0</v>
      </c>
      <c r="U48" s="219">
        <f>-('Table 5C1O-Impact'!AB51+'Table 5C1O-Impact'!AE51)</f>
        <v>0</v>
      </c>
      <c r="V48" s="219">
        <f>-('Table 5C1P-Vision'!AB51+'Table 5C1P-Vision'!AE51)</f>
        <v>0</v>
      </c>
      <c r="W48" s="219">
        <f>-('Table 5C1Q-Advantage'!AB51+'Table 5C1Q-Advantage'!AE51)</f>
        <v>0</v>
      </c>
      <c r="X48" s="219">
        <f>-('Table 5C1R-Iberville'!AB51+'Table 5C1R-Iberville'!AE51)</f>
        <v>0</v>
      </c>
      <c r="Y48" s="219">
        <f>-('Table 5C1S-L.C. Coll Prep'!AB51+'Table 5C1S-L.C. Coll Prep'!AE51)</f>
        <v>0</v>
      </c>
      <c r="Z48" s="219">
        <f>-('Table 5C1T-Northeast'!AB51+'Table 5C1T-Northeast'!AE51)</f>
        <v>0</v>
      </c>
      <c r="AA48" s="219">
        <f>-('Table 5C1U-Acadiana Ren'!AB51+'Table 5C1U-Acadiana Ren'!AE51)</f>
        <v>0</v>
      </c>
      <c r="AB48" s="219">
        <f>-('Table 5C1V-Laf Ren'!AB51+'Table 5C1V-Laf Ren'!AE51)</f>
        <v>0</v>
      </c>
      <c r="AC48" s="219">
        <f>-('Table 5C1W-Willow'!AB51+'Table 5C1W-Willow'!AE51)</f>
        <v>0</v>
      </c>
      <c r="AD48" s="219">
        <f>-('Table 5C2 - LA Virtual Admy'!AC50+'Table 5C2 - LA Virtual Admy'!AF50)</f>
        <v>-120473.1</v>
      </c>
      <c r="AE48" s="219">
        <f>-('Table 5C3 - LA Connections EBR'!AC50+'Table 5C3 - LA Connections EBR'!AF50)</f>
        <v>-142377.30000000002</v>
      </c>
      <c r="AF48" s="219">
        <f t="shared" si="3"/>
        <v>-306017.60387137852</v>
      </c>
      <c r="AG48" s="364">
        <f t="shared" si="4"/>
        <v>26177494.396128621</v>
      </c>
    </row>
    <row r="49" spans="1:33" ht="14.4" customHeight="1">
      <c r="A49" s="1272">
        <v>46</v>
      </c>
      <c r="B49" s="1273" t="s">
        <v>126</v>
      </c>
      <c r="C49" s="1274">
        <f>+'Table 2_State Distrib and Adjs'!AP52</f>
        <v>6967700</v>
      </c>
      <c r="D49" s="1275">
        <f>-'Table 5A3_OJJ'!T51</f>
        <v>0</v>
      </c>
      <c r="E49" s="1275"/>
      <c r="F49" s="1275"/>
      <c r="G49" s="1275">
        <f>-('Table 5C1A-Madison Prep'!AB52+'Table 5C1A-Madison Prep'!AE52)</f>
        <v>0</v>
      </c>
      <c r="H49" s="1275">
        <f>-('Table 5C1B-DArbonne'!AB52+'Table 5C1B-DArbonne'!AE52)</f>
        <v>0</v>
      </c>
      <c r="I49" s="1275">
        <f>-('Table 5C1C-Intl_VIBE'!AB52+'Table 5C1C-Intl_VIBE'!AE52)</f>
        <v>0</v>
      </c>
      <c r="J49" s="1275">
        <f>-('Table 5C1D-NOMMA'!AB52+'Table 5C1D-NOMMA'!AE52)</f>
        <v>0</v>
      </c>
      <c r="K49" s="1275">
        <f>-('Table 5C1E-LFNO'!AB52+'Table 5C1E-LFNO'!AE52)</f>
        <v>0</v>
      </c>
      <c r="L49" s="1275">
        <f>-('Table 5C1F-Lake Charles Charter'!AB52+'Table 5C1F-Lake Charles Charter'!AE52)</f>
        <v>0</v>
      </c>
      <c r="M49" s="1275">
        <f>-('Table 5C1G-JS Clark Academy'!AB52+'Table 5C1G-JS Clark Academy'!AE52)</f>
        <v>0</v>
      </c>
      <c r="N49" s="1275">
        <f>-('Table 5C1H-Southwest LA Charter'!AB52+'Table 5C1H-Southwest LA Charter'!AE52)</f>
        <v>0</v>
      </c>
      <c r="O49" s="1275">
        <f>-('Table 5C1I-LA Key Academy'!AB52+'Table 5C1I-LA Key Academy'!AE52)</f>
        <v>0</v>
      </c>
      <c r="P49" s="1275">
        <f>-('Table 5C1J-Jefferson Chamber'!AB52+'Table 5C1J-Jefferson Chamber'!AE52)</f>
        <v>0</v>
      </c>
      <c r="Q49" s="1275">
        <f>-('Table 5C1K-Tallulah Charter'!AB52+'Table 5C1K-Tallulah Charter'!AE52)</f>
        <v>0</v>
      </c>
      <c r="R49" s="1275">
        <f>-('Table 5C1L-Northshore Charter'!AB52+'Table 5C1L-Northshore Charter'!AE52)</f>
        <v>0</v>
      </c>
      <c r="S49" s="1275">
        <f>-('Table 5C1M-B.R. Charter'!AB52+'Table 5C1M-B.R. Charter'!AE52)</f>
        <v>0</v>
      </c>
      <c r="T49" s="1275">
        <f>-('Table 5C1N-Delta Charter'!AB52+'Table 5C1N-Delta Charter'!AE52)</f>
        <v>0</v>
      </c>
      <c r="U49" s="1275">
        <f>-('Table 5C1O-Impact'!AB52+'Table 5C1O-Impact'!AE52)</f>
        <v>0</v>
      </c>
      <c r="V49" s="1275">
        <f>-('Table 5C1P-Vision'!AB52+'Table 5C1P-Vision'!AE52)</f>
        <v>0</v>
      </c>
      <c r="W49" s="1275">
        <f>-('Table 5C1Q-Advantage'!AB52+'Table 5C1Q-Advantage'!AE52)</f>
        <v>0</v>
      </c>
      <c r="X49" s="1275">
        <f>-('Table 5C1R-Iberville'!AB52+'Table 5C1R-Iberville'!AE52)</f>
        <v>0</v>
      </c>
      <c r="Y49" s="1275">
        <f>-('Table 5C1S-L.C. Coll Prep'!AB52+'Table 5C1S-L.C. Coll Prep'!AE52)</f>
        <v>0</v>
      </c>
      <c r="Z49" s="1275">
        <f>-('Table 5C1T-Northeast'!AB52+'Table 5C1T-Northeast'!AE52)</f>
        <v>0</v>
      </c>
      <c r="AA49" s="1275">
        <f>-('Table 5C1U-Acadiana Ren'!AB52+'Table 5C1U-Acadiana Ren'!AE52)</f>
        <v>0</v>
      </c>
      <c r="AB49" s="1275">
        <f>-('Table 5C1V-Laf Ren'!AB52+'Table 5C1V-Laf Ren'!AE52)</f>
        <v>0</v>
      </c>
      <c r="AC49" s="1275">
        <f>-('Table 5C1W-Willow'!AB52+'Table 5C1W-Willow'!AE52)</f>
        <v>0</v>
      </c>
      <c r="AD49" s="1275">
        <f>-('Table 5C2 - LA Virtual Admy'!AC51+'Table 5C2 - LA Virtual Admy'!AF51)</f>
        <v>-19533.600000000002</v>
      </c>
      <c r="AE49" s="1275">
        <f>-('Table 5C3 - LA Connections EBR'!AC51+'Table 5C3 - LA Connections EBR'!AF51)</f>
        <v>-14650.2</v>
      </c>
      <c r="AF49" s="1275">
        <f t="shared" si="3"/>
        <v>-34183.800000000003</v>
      </c>
      <c r="AG49" s="1276">
        <f t="shared" si="4"/>
        <v>6933516.2000000002</v>
      </c>
    </row>
    <row r="50" spans="1:33" ht="14.4" customHeight="1">
      <c r="A50" s="1256">
        <v>47</v>
      </c>
      <c r="B50" s="1257" t="s">
        <v>127</v>
      </c>
      <c r="C50" s="1258">
        <f>+'Table 2_State Distrib and Adjs'!AP53</f>
        <v>12497202</v>
      </c>
      <c r="D50" s="1259">
        <f>-'Table 5A3_OJJ'!T52</f>
        <v>-818.71375756918121</v>
      </c>
      <c r="E50" s="1259"/>
      <c r="F50" s="1259"/>
      <c r="G50" s="1259">
        <f>-('Table 5C1A-Madison Prep'!AB53+'Table 5C1A-Madison Prep'!AE53)</f>
        <v>0</v>
      </c>
      <c r="H50" s="1259">
        <f>-('Table 5C1B-DArbonne'!AB53+'Table 5C1B-DArbonne'!AE53)</f>
        <v>0</v>
      </c>
      <c r="I50" s="1259">
        <f>-('Table 5C1C-Intl_VIBE'!AB53+'Table 5C1C-Intl_VIBE'!AE53)</f>
        <v>0</v>
      </c>
      <c r="J50" s="1259">
        <f>-('Table 5C1D-NOMMA'!AB53+'Table 5C1D-NOMMA'!AE53)</f>
        <v>0</v>
      </c>
      <c r="K50" s="1259">
        <f>-('Table 5C1E-LFNO'!AB53+'Table 5C1E-LFNO'!AE53)</f>
        <v>0</v>
      </c>
      <c r="L50" s="1259">
        <f>-('Table 5C1F-Lake Charles Charter'!AB53+'Table 5C1F-Lake Charles Charter'!AE53)</f>
        <v>0</v>
      </c>
      <c r="M50" s="1259">
        <f>-('Table 5C1G-JS Clark Academy'!AB53+'Table 5C1G-JS Clark Academy'!AE53)</f>
        <v>0</v>
      </c>
      <c r="N50" s="1259">
        <f>-('Table 5C1H-Southwest LA Charter'!AB53+'Table 5C1H-Southwest LA Charter'!AE53)</f>
        <v>0</v>
      </c>
      <c r="O50" s="1259">
        <f>-('Table 5C1I-LA Key Academy'!AB53+'Table 5C1I-LA Key Academy'!AE53)</f>
        <v>0</v>
      </c>
      <c r="P50" s="1259">
        <f>-('Table 5C1J-Jefferson Chamber'!AB53+'Table 5C1J-Jefferson Chamber'!AE53)</f>
        <v>0</v>
      </c>
      <c r="Q50" s="1259">
        <f>-('Table 5C1K-Tallulah Charter'!AB53+'Table 5C1K-Tallulah Charter'!AE53)</f>
        <v>0</v>
      </c>
      <c r="R50" s="1259">
        <f>-('Table 5C1L-Northshore Charter'!AB53+'Table 5C1L-Northshore Charter'!AE53)</f>
        <v>0</v>
      </c>
      <c r="S50" s="1259">
        <f>-('Table 5C1M-B.R. Charter'!AB53+'Table 5C1M-B.R. Charter'!AE53)</f>
        <v>0</v>
      </c>
      <c r="T50" s="1259">
        <f>-('Table 5C1N-Delta Charter'!AB53+'Table 5C1N-Delta Charter'!AE53)</f>
        <v>0</v>
      </c>
      <c r="U50" s="1259">
        <f>-('Table 5C1O-Impact'!AB53+'Table 5C1O-Impact'!AE53)</f>
        <v>0</v>
      </c>
      <c r="V50" s="1259">
        <f>-('Table 5C1P-Vision'!AB53+'Table 5C1P-Vision'!AE53)</f>
        <v>0</v>
      </c>
      <c r="W50" s="1259">
        <f>-('Table 5C1Q-Advantage'!AB53+'Table 5C1Q-Advantage'!AE53)</f>
        <v>0</v>
      </c>
      <c r="X50" s="1259">
        <f>-('Table 5C1R-Iberville'!AB53+'Table 5C1R-Iberville'!AE53)</f>
        <v>0</v>
      </c>
      <c r="Y50" s="1259">
        <f>-('Table 5C1S-L.C. Coll Prep'!AB53+'Table 5C1S-L.C. Coll Prep'!AE53)</f>
        <v>0</v>
      </c>
      <c r="Z50" s="1259">
        <f>-('Table 5C1T-Northeast'!AB53+'Table 5C1T-Northeast'!AE53)</f>
        <v>0</v>
      </c>
      <c r="AA50" s="1259">
        <f>-('Table 5C1U-Acadiana Ren'!AB53+'Table 5C1U-Acadiana Ren'!AE53)</f>
        <v>0</v>
      </c>
      <c r="AB50" s="1259">
        <f>-('Table 5C1V-Laf Ren'!AB53+'Table 5C1V-Laf Ren'!AE53)</f>
        <v>0</v>
      </c>
      <c r="AC50" s="1259">
        <f>-('Table 5C1W-Willow'!AB53+'Table 5C1W-Willow'!AE53)</f>
        <v>0</v>
      </c>
      <c r="AD50" s="1259">
        <f>-('Table 5C2 - LA Virtual Admy'!AC52+'Table 5C2 - LA Virtual Admy'!AF52)</f>
        <v>-21061.8</v>
      </c>
      <c r="AE50" s="1259">
        <f>-('Table 5C3 - LA Connections EBR'!AC52+'Table 5C3 - LA Connections EBR'!AF52)</f>
        <v>-10530.9</v>
      </c>
      <c r="AF50" s="1259">
        <f t="shared" si="3"/>
        <v>-32411.413757569178</v>
      </c>
      <c r="AG50" s="1281">
        <f t="shared" si="4"/>
        <v>12464790.58624243</v>
      </c>
    </row>
    <row r="51" spans="1:33" ht="14.4" customHeight="1">
      <c r="A51" s="1256">
        <v>48</v>
      </c>
      <c r="B51" s="1257" t="s">
        <v>178</v>
      </c>
      <c r="C51" s="1258">
        <f>+'Table 2_State Distrib and Adjs'!AP54</f>
        <v>27918479</v>
      </c>
      <c r="D51" s="1259">
        <f>-'Table 5A3_OJJ'!T53</f>
        <v>-9165.3299900357288</v>
      </c>
      <c r="E51" s="1259"/>
      <c r="F51" s="1259"/>
      <c r="G51" s="1259">
        <f>-('Table 5C1A-Madison Prep'!AB54+'Table 5C1A-Madison Prep'!AE54)</f>
        <v>0</v>
      </c>
      <c r="H51" s="1259">
        <f>-('Table 5C1B-DArbonne'!AB54+'Table 5C1B-DArbonne'!AE54)</f>
        <v>0</v>
      </c>
      <c r="I51" s="1259">
        <f>-('Table 5C1C-Intl_VIBE'!AB54+'Table 5C1C-Intl_VIBE'!AE54)</f>
        <v>-14676</v>
      </c>
      <c r="J51" s="1259">
        <f>-('Table 5C1D-NOMMA'!AB54+'Table 5C1D-NOMMA'!AE54)</f>
        <v>0</v>
      </c>
      <c r="K51" s="1259">
        <f>-('Table 5C1E-LFNO'!AB54+'Table 5C1E-LFNO'!AE54)</f>
        <v>0</v>
      </c>
      <c r="L51" s="1259">
        <f>-('Table 5C1F-Lake Charles Charter'!AB54+'Table 5C1F-Lake Charles Charter'!AE54)</f>
        <v>0</v>
      </c>
      <c r="M51" s="1259">
        <f>-('Table 5C1G-JS Clark Academy'!AB54+'Table 5C1G-JS Clark Academy'!AE54)</f>
        <v>0</v>
      </c>
      <c r="N51" s="1259">
        <f>-('Table 5C1H-Southwest LA Charter'!AB54+'Table 5C1H-Southwest LA Charter'!AE54)</f>
        <v>0</v>
      </c>
      <c r="O51" s="1259">
        <f>-('Table 5C1I-LA Key Academy'!AB54+'Table 5C1I-LA Key Academy'!AE54)</f>
        <v>0</v>
      </c>
      <c r="P51" s="1259">
        <f>-('Table 5C1J-Jefferson Chamber'!AB54+'Table 5C1J-Jefferson Chamber'!AE54)</f>
        <v>-7338</v>
      </c>
      <c r="Q51" s="1259">
        <f>-('Table 5C1K-Tallulah Charter'!AB54+'Table 5C1K-Tallulah Charter'!AE54)</f>
        <v>0</v>
      </c>
      <c r="R51" s="1259">
        <f>-('Table 5C1L-Northshore Charter'!AB54+'Table 5C1L-Northshore Charter'!AE54)</f>
        <v>0</v>
      </c>
      <c r="S51" s="1259">
        <f>-('Table 5C1M-B.R. Charter'!AB54+'Table 5C1M-B.R. Charter'!AE54)</f>
        <v>0</v>
      </c>
      <c r="T51" s="1259">
        <f>-('Table 5C1N-Delta Charter'!AB54+'Table 5C1N-Delta Charter'!AE54)</f>
        <v>0</v>
      </c>
      <c r="U51" s="1259">
        <f>-('Table 5C1O-Impact'!AB54+'Table 5C1O-Impact'!AE54)</f>
        <v>0</v>
      </c>
      <c r="V51" s="1259">
        <f>-('Table 5C1P-Vision'!AB54+'Table 5C1P-Vision'!AE54)</f>
        <v>0</v>
      </c>
      <c r="W51" s="1259">
        <f>-('Table 5C1Q-Advantage'!AB54+'Table 5C1Q-Advantage'!AE54)</f>
        <v>0</v>
      </c>
      <c r="X51" s="1259">
        <f>-('Table 5C1R-Iberville'!AB54+'Table 5C1R-Iberville'!AE54)</f>
        <v>0</v>
      </c>
      <c r="Y51" s="1259">
        <f>-('Table 5C1S-L.C. Coll Prep'!AB54+'Table 5C1S-L.C. Coll Prep'!AE54)</f>
        <v>0</v>
      </c>
      <c r="Z51" s="1259">
        <f>-('Table 5C1T-Northeast'!AB54+'Table 5C1T-Northeast'!AE54)</f>
        <v>0</v>
      </c>
      <c r="AA51" s="1259">
        <f>-('Table 5C1U-Acadiana Ren'!AB54+'Table 5C1U-Acadiana Ren'!AE54)</f>
        <v>0</v>
      </c>
      <c r="AB51" s="1259">
        <f>-('Table 5C1V-Laf Ren'!AB54+'Table 5C1V-Laf Ren'!AE54)</f>
        <v>0</v>
      </c>
      <c r="AC51" s="1259">
        <f>-('Table 5C1W-Willow'!AB54+'Table 5C1W-Willow'!AE54)</f>
        <v>0</v>
      </c>
      <c r="AD51" s="1259">
        <f>-('Table 5C2 - LA Virtual Admy'!AC53+'Table 5C2 - LA Virtual Admy'!AF53)</f>
        <v>-165105</v>
      </c>
      <c r="AE51" s="1259">
        <f>-('Table 5C3 - LA Connections EBR'!AC53+'Table 5C3 - LA Connections EBR'!AF53)</f>
        <v>-184917.6</v>
      </c>
      <c r="AF51" s="1259">
        <f t="shared" si="3"/>
        <v>-381201.92999003571</v>
      </c>
      <c r="AG51" s="1281">
        <f t="shared" si="4"/>
        <v>27537277.070009962</v>
      </c>
    </row>
    <row r="52" spans="1:33" ht="14.4" customHeight="1">
      <c r="A52" s="1256">
        <v>49</v>
      </c>
      <c r="B52" s="1257" t="s">
        <v>128</v>
      </c>
      <c r="C52" s="1258">
        <f>+'Table 2_State Distrib and Adjs'!AP55</f>
        <v>79321821</v>
      </c>
      <c r="D52" s="1259">
        <f>-'Table 5A3_OJJ'!T54</f>
        <v>-19107.678535683219</v>
      </c>
      <c r="E52" s="1259"/>
      <c r="F52" s="1259"/>
      <c r="G52" s="1259">
        <f>-('Table 5C1A-Madison Prep'!AB55+'Table 5C1A-Madison Prep'!AE55)</f>
        <v>0</v>
      </c>
      <c r="H52" s="1259">
        <f>-('Table 5C1B-DArbonne'!AB55+'Table 5C1B-DArbonne'!AE55)</f>
        <v>0</v>
      </c>
      <c r="I52" s="1259">
        <f>-('Table 5C1C-Intl_VIBE'!AB55+'Table 5C1C-Intl_VIBE'!AE55)</f>
        <v>0</v>
      </c>
      <c r="J52" s="1259">
        <f>-('Table 5C1D-NOMMA'!AB55+'Table 5C1D-NOMMA'!AE55)</f>
        <v>0</v>
      </c>
      <c r="K52" s="1259">
        <f>-('Table 5C1E-LFNO'!AB55+'Table 5C1E-LFNO'!AE55)</f>
        <v>0</v>
      </c>
      <c r="L52" s="1259">
        <f>-('Table 5C1F-Lake Charles Charter'!AB55+'Table 5C1F-Lake Charles Charter'!AE55)</f>
        <v>0</v>
      </c>
      <c r="M52" s="1259">
        <f>-('Table 5C1G-JS Clark Academy'!AB55+'Table 5C1G-JS Clark Academy'!AE55)</f>
        <v>-472074.5</v>
      </c>
      <c r="N52" s="1259">
        <f>-('Table 5C1H-Southwest LA Charter'!AB55+'Table 5C1H-Southwest LA Charter'!AE55)</f>
        <v>0</v>
      </c>
      <c r="O52" s="1259">
        <f>-('Table 5C1I-LA Key Academy'!AB55+'Table 5C1I-LA Key Academy'!AE55)</f>
        <v>0</v>
      </c>
      <c r="P52" s="1259">
        <f>-('Table 5C1J-Jefferson Chamber'!AB55+'Table 5C1J-Jefferson Chamber'!AE55)</f>
        <v>0</v>
      </c>
      <c r="Q52" s="1259">
        <f>-('Table 5C1K-Tallulah Charter'!AB55+'Table 5C1K-Tallulah Charter'!AE55)</f>
        <v>0</v>
      </c>
      <c r="R52" s="1259">
        <f>-('Table 5C1L-Northshore Charter'!AB55+'Table 5C1L-Northshore Charter'!AE55)</f>
        <v>0</v>
      </c>
      <c r="S52" s="1259">
        <f>-('Table 5C1M-B.R. Charter'!AB55+'Table 5C1M-B.R. Charter'!AE55)</f>
        <v>0</v>
      </c>
      <c r="T52" s="1259">
        <f>-('Table 5C1N-Delta Charter'!AB55+'Table 5C1N-Delta Charter'!AE55)</f>
        <v>0</v>
      </c>
      <c r="U52" s="1259">
        <f>-('Table 5C1O-Impact'!AB55+'Table 5C1O-Impact'!AE55)</f>
        <v>0</v>
      </c>
      <c r="V52" s="1259">
        <f>-('Table 5C1P-Vision'!AB55+'Table 5C1P-Vision'!AE55)</f>
        <v>0</v>
      </c>
      <c r="W52" s="1259">
        <f>-('Table 5C1Q-Advantage'!AB55+'Table 5C1Q-Advantage'!AE55)</f>
        <v>0</v>
      </c>
      <c r="X52" s="1259">
        <f>-('Table 5C1R-Iberville'!AB55+'Table 5C1R-Iberville'!AE55)</f>
        <v>0</v>
      </c>
      <c r="Y52" s="1259">
        <f>-('Table 5C1S-L.C. Coll Prep'!AB55+'Table 5C1S-L.C. Coll Prep'!AE55)</f>
        <v>0</v>
      </c>
      <c r="Z52" s="1259">
        <f>-('Table 5C1T-Northeast'!AB55+'Table 5C1T-Northeast'!AE55)</f>
        <v>0</v>
      </c>
      <c r="AA52" s="1259">
        <f>-('Table 5C1U-Acadiana Ren'!AB55+'Table 5C1U-Acadiana Ren'!AE55)</f>
        <v>0</v>
      </c>
      <c r="AB52" s="1259">
        <f>-('Table 5C1V-Laf Ren'!AB55+'Table 5C1V-Laf Ren'!AE55)</f>
        <v>0</v>
      </c>
      <c r="AC52" s="1259">
        <f>-('Table 5C1W-Willow'!AB55+'Table 5C1W-Willow'!AE55)</f>
        <v>0</v>
      </c>
      <c r="AD52" s="1259">
        <f>-('Table 5C2 - LA Virtual Admy'!AC54+'Table 5C2 - LA Virtual Admy'!AF54)</f>
        <v>-141885.90000000002</v>
      </c>
      <c r="AE52" s="1259">
        <f>-('Table 5C3 - LA Connections EBR'!AC54+'Table 5C3 - LA Connections EBR'!AF54)</f>
        <v>-74119.500000000015</v>
      </c>
      <c r="AF52" s="1259">
        <f t="shared" si="3"/>
        <v>-707187.57853568322</v>
      </c>
      <c r="AG52" s="1281">
        <f t="shared" si="4"/>
        <v>78614633.421464309</v>
      </c>
    </row>
    <row r="53" spans="1:33" ht="14.4" customHeight="1">
      <c r="A53" s="85">
        <v>50</v>
      </c>
      <c r="B53" s="207" t="s">
        <v>129</v>
      </c>
      <c r="C53" s="209">
        <f>+'Table 2_State Distrib and Adjs'!AP56</f>
        <v>46141720</v>
      </c>
      <c r="D53" s="219">
        <f>-'Table 5A3_OJJ'!T55</f>
        <v>-6747.419836137462</v>
      </c>
      <c r="E53" s="219"/>
      <c r="F53" s="219"/>
      <c r="G53" s="219">
        <f>-('Table 5C1A-Madison Prep'!AB56+'Table 5C1A-Madison Prep'!AE56)</f>
        <v>0</v>
      </c>
      <c r="H53" s="219">
        <f>-('Table 5C1B-DArbonne'!AB56+'Table 5C1B-DArbonne'!AE56)</f>
        <v>0</v>
      </c>
      <c r="I53" s="219">
        <f>-('Table 5C1C-Intl_VIBE'!AB56+'Table 5C1C-Intl_VIBE'!AE56)</f>
        <v>0</v>
      </c>
      <c r="J53" s="219">
        <f>-('Table 5C1D-NOMMA'!AB56+'Table 5C1D-NOMMA'!AE56)</f>
        <v>0</v>
      </c>
      <c r="K53" s="219">
        <f>-('Table 5C1E-LFNO'!AB56+'Table 5C1E-LFNO'!AE56)</f>
        <v>0</v>
      </c>
      <c r="L53" s="219">
        <f>-('Table 5C1F-Lake Charles Charter'!AB56+'Table 5C1F-Lake Charles Charter'!AE56)</f>
        <v>0</v>
      </c>
      <c r="M53" s="219">
        <f>-('Table 5C1G-JS Clark Academy'!AB56+'Table 5C1G-JS Clark Academy'!AE56)</f>
        <v>0</v>
      </c>
      <c r="N53" s="219">
        <f>-('Table 5C1H-Southwest LA Charter'!AB56+'Table 5C1H-Southwest LA Charter'!AE56)</f>
        <v>0</v>
      </c>
      <c r="O53" s="219">
        <f>-('Table 5C1I-LA Key Academy'!AB56+'Table 5C1I-LA Key Academy'!AE56)</f>
        <v>0</v>
      </c>
      <c r="P53" s="219">
        <f>-('Table 5C1J-Jefferson Chamber'!AB56+'Table 5C1J-Jefferson Chamber'!AE56)</f>
        <v>0</v>
      </c>
      <c r="Q53" s="219">
        <f>-('Table 5C1K-Tallulah Charter'!AB56+'Table 5C1K-Tallulah Charter'!AE56)</f>
        <v>0</v>
      </c>
      <c r="R53" s="219">
        <f>-('Table 5C1L-Northshore Charter'!AB56+'Table 5C1L-Northshore Charter'!AE56)</f>
        <v>0</v>
      </c>
      <c r="S53" s="219">
        <f>-('Table 5C1M-B.R. Charter'!AB56+'Table 5C1M-B.R. Charter'!AE56)</f>
        <v>0</v>
      </c>
      <c r="T53" s="219">
        <f>-('Table 5C1N-Delta Charter'!AB56+'Table 5C1N-Delta Charter'!AE56)</f>
        <v>0</v>
      </c>
      <c r="U53" s="219">
        <f>-('Table 5C1O-Impact'!AB56+'Table 5C1O-Impact'!AE56)</f>
        <v>0</v>
      </c>
      <c r="V53" s="219">
        <f>-('Table 5C1P-Vision'!AB56+'Table 5C1P-Vision'!AE56)</f>
        <v>0</v>
      </c>
      <c r="W53" s="219">
        <f>-('Table 5C1Q-Advantage'!AB56+'Table 5C1Q-Advantage'!AE56)</f>
        <v>0</v>
      </c>
      <c r="X53" s="219">
        <f>-('Table 5C1R-Iberville'!AB56+'Table 5C1R-Iberville'!AE56)</f>
        <v>0</v>
      </c>
      <c r="Y53" s="219">
        <f>-('Table 5C1S-L.C. Coll Prep'!AB56+'Table 5C1S-L.C. Coll Prep'!AE56)</f>
        <v>0</v>
      </c>
      <c r="Z53" s="219">
        <f>-('Table 5C1T-Northeast'!AB56+'Table 5C1T-Northeast'!AE56)</f>
        <v>0</v>
      </c>
      <c r="AA53" s="219">
        <f>-('Table 5C1U-Acadiana Ren'!AB56+'Table 5C1U-Acadiana Ren'!AE56)</f>
        <v>0</v>
      </c>
      <c r="AB53" s="219">
        <f>-('Table 5C1V-Laf Ren'!AB56+'Table 5C1V-Laf Ren'!AE56)</f>
        <v>0</v>
      </c>
      <c r="AC53" s="219">
        <f>-('Table 5C1W-Willow'!AB56+'Table 5C1W-Willow'!AE56)</f>
        <v>0</v>
      </c>
      <c r="AD53" s="219">
        <f>-('Table 5C2 - LA Virtual Admy'!AC55+'Table 5C2 - LA Virtual Admy'!AF55)</f>
        <v>-75816</v>
      </c>
      <c r="AE53" s="219">
        <f>-('Table 5C3 - LA Connections EBR'!AC55+'Table 5C3 - LA Connections EBR'!AF55)</f>
        <v>-18954</v>
      </c>
      <c r="AF53" s="219">
        <f t="shared" si="3"/>
        <v>-101517.41983613746</v>
      </c>
      <c r="AG53" s="364">
        <f t="shared" si="4"/>
        <v>46040202.580163859</v>
      </c>
    </row>
    <row r="54" spans="1:33" ht="14.4" customHeight="1">
      <c r="A54" s="1272">
        <v>51</v>
      </c>
      <c r="B54" s="1273" t="s">
        <v>130</v>
      </c>
      <c r="C54" s="1274">
        <f>+'Table 2_State Distrib and Adjs'!AP57</f>
        <v>43210800</v>
      </c>
      <c r="D54" s="1275">
        <f>-'Table 5A3_OJJ'!T56</f>
        <v>-11485.020072349682</v>
      </c>
      <c r="E54" s="1275"/>
      <c r="F54" s="1275"/>
      <c r="G54" s="1275">
        <f>-('Table 5C1A-Madison Prep'!AB57+'Table 5C1A-Madison Prep'!AE57)</f>
        <v>0</v>
      </c>
      <c r="H54" s="1275">
        <f>-('Table 5C1B-DArbonne'!AB57+'Table 5C1B-DArbonne'!AE57)</f>
        <v>0</v>
      </c>
      <c r="I54" s="1275">
        <f>-('Table 5C1C-Intl_VIBE'!AB57+'Table 5C1C-Intl_VIBE'!AE57)</f>
        <v>0</v>
      </c>
      <c r="J54" s="1275">
        <f>-('Table 5C1D-NOMMA'!AB57+'Table 5C1D-NOMMA'!AE57)</f>
        <v>0</v>
      </c>
      <c r="K54" s="1275">
        <f>-('Table 5C1E-LFNO'!AB57+'Table 5C1E-LFNO'!AE57)</f>
        <v>0</v>
      </c>
      <c r="L54" s="1275">
        <f>-('Table 5C1F-Lake Charles Charter'!AB57+'Table 5C1F-Lake Charles Charter'!AE57)</f>
        <v>0</v>
      </c>
      <c r="M54" s="1275">
        <f>-('Table 5C1G-JS Clark Academy'!AB57+'Table 5C1G-JS Clark Academy'!AE57)</f>
        <v>0</v>
      </c>
      <c r="N54" s="1275">
        <f>-('Table 5C1H-Southwest LA Charter'!AB57+'Table 5C1H-Southwest LA Charter'!AE57)</f>
        <v>0</v>
      </c>
      <c r="O54" s="1275">
        <f>-('Table 5C1I-LA Key Academy'!AB57+'Table 5C1I-LA Key Academy'!AE57)</f>
        <v>0</v>
      </c>
      <c r="P54" s="1275">
        <f>-('Table 5C1J-Jefferson Chamber'!AB57+'Table 5C1J-Jefferson Chamber'!AE57)</f>
        <v>0</v>
      </c>
      <c r="Q54" s="1275">
        <f>-('Table 5C1K-Tallulah Charter'!AB57+'Table 5C1K-Tallulah Charter'!AE57)</f>
        <v>0</v>
      </c>
      <c r="R54" s="1275">
        <f>-('Table 5C1L-Northshore Charter'!AB57+'Table 5C1L-Northshore Charter'!AE57)</f>
        <v>0</v>
      </c>
      <c r="S54" s="1275">
        <f>-('Table 5C1M-B.R. Charter'!AB57+'Table 5C1M-B.R. Charter'!AE57)</f>
        <v>0</v>
      </c>
      <c r="T54" s="1275">
        <f>-('Table 5C1N-Delta Charter'!AB57+'Table 5C1N-Delta Charter'!AE57)</f>
        <v>0</v>
      </c>
      <c r="U54" s="1275">
        <f>-('Table 5C1O-Impact'!AB57+'Table 5C1O-Impact'!AE57)</f>
        <v>0</v>
      </c>
      <c r="V54" s="1275">
        <f>-('Table 5C1P-Vision'!AB57+'Table 5C1P-Vision'!AE57)</f>
        <v>0</v>
      </c>
      <c r="W54" s="1275">
        <f>-('Table 5C1Q-Advantage'!AB57+'Table 5C1Q-Advantage'!AE57)</f>
        <v>0</v>
      </c>
      <c r="X54" s="1275">
        <f>-('Table 5C1R-Iberville'!AB57+'Table 5C1R-Iberville'!AE57)</f>
        <v>0</v>
      </c>
      <c r="Y54" s="1275">
        <f>-('Table 5C1S-L.C. Coll Prep'!AB57+'Table 5C1S-L.C. Coll Prep'!AE57)</f>
        <v>0</v>
      </c>
      <c r="Z54" s="1275">
        <f>-('Table 5C1T-Northeast'!AB57+'Table 5C1T-Northeast'!AE57)</f>
        <v>0</v>
      </c>
      <c r="AA54" s="1275">
        <f>-('Table 5C1U-Acadiana Ren'!AB57+'Table 5C1U-Acadiana Ren'!AE57)</f>
        <v>0</v>
      </c>
      <c r="AB54" s="1275">
        <f>-('Table 5C1V-Laf Ren'!AB57+'Table 5C1V-Laf Ren'!AE57)</f>
        <v>0</v>
      </c>
      <c r="AC54" s="1275">
        <f>-('Table 5C1W-Willow'!AB57+'Table 5C1W-Willow'!AE57)</f>
        <v>0</v>
      </c>
      <c r="AD54" s="1275">
        <f>-('Table 5C2 - LA Virtual Admy'!AC56+'Table 5C2 - LA Virtual Admy'!AF56)</f>
        <v>-74471.400000000009</v>
      </c>
      <c r="AE54" s="1275">
        <f>-('Table 5C3 - LA Connections EBR'!AC56+'Table 5C3 - LA Connections EBR'!AF56)</f>
        <v>-16549.2</v>
      </c>
      <c r="AF54" s="1275">
        <f t="shared" si="3"/>
        <v>-102505.62007234969</v>
      </c>
      <c r="AG54" s="1276">
        <f t="shared" si="4"/>
        <v>43108294.37992765</v>
      </c>
    </row>
    <row r="55" spans="1:33" ht="14.4" customHeight="1">
      <c r="A55" s="1256">
        <v>52</v>
      </c>
      <c r="B55" s="1257" t="s">
        <v>131</v>
      </c>
      <c r="C55" s="1258">
        <f>+'Table 2_State Distrib and Adjs'!AP58</f>
        <v>212177642</v>
      </c>
      <c r="D55" s="1259">
        <f>-'Table 5A3_OJJ'!T57</f>
        <v>-45703.616287213837</v>
      </c>
      <c r="E55" s="1259"/>
      <c r="F55" s="1259"/>
      <c r="G55" s="1259">
        <f>-('Table 5C1A-Madison Prep'!AB58+'Table 5C1A-Madison Prep'!AE58)</f>
        <v>0</v>
      </c>
      <c r="H55" s="1259">
        <f>-('Table 5C1B-DArbonne'!AB58+'Table 5C1B-DArbonne'!AE58)</f>
        <v>0</v>
      </c>
      <c r="I55" s="1259">
        <f>-('Table 5C1C-Intl_VIBE'!AB58+'Table 5C1C-Intl_VIBE'!AE58)</f>
        <v>0</v>
      </c>
      <c r="J55" s="1259">
        <f>-('Table 5C1D-NOMMA'!AB58+'Table 5C1D-NOMMA'!AE58)</f>
        <v>0</v>
      </c>
      <c r="K55" s="1259">
        <f>-('Table 5C1E-LFNO'!AB58+'Table 5C1E-LFNO'!AE58)</f>
        <v>-5212</v>
      </c>
      <c r="L55" s="1259">
        <f>-('Table 5C1F-Lake Charles Charter'!AB58+'Table 5C1F-Lake Charles Charter'!AE58)</f>
        <v>0</v>
      </c>
      <c r="M55" s="1259">
        <f>-('Table 5C1G-JS Clark Academy'!AB58+'Table 5C1G-JS Clark Academy'!AE58)</f>
        <v>0</v>
      </c>
      <c r="N55" s="1259">
        <f>-('Table 5C1H-Southwest LA Charter'!AB58+'Table 5C1H-Southwest LA Charter'!AE58)</f>
        <v>0</v>
      </c>
      <c r="O55" s="1259">
        <f>-('Table 5C1I-LA Key Academy'!AB58+'Table 5C1I-LA Key Academy'!AE58)</f>
        <v>0</v>
      </c>
      <c r="P55" s="1259">
        <f>-('Table 5C1J-Jefferson Chamber'!AB58+'Table 5C1J-Jefferson Chamber'!AE58)</f>
        <v>0</v>
      </c>
      <c r="Q55" s="1259">
        <f>-('Table 5C1K-Tallulah Charter'!AB58+'Table 5C1K-Tallulah Charter'!AE58)</f>
        <v>0</v>
      </c>
      <c r="R55" s="1259">
        <f>-('Table 5C1L-Northshore Charter'!AB58+'Table 5C1L-Northshore Charter'!AE58)</f>
        <v>0</v>
      </c>
      <c r="S55" s="1259">
        <f>-('Table 5C1M-B.R. Charter'!AB58+'Table 5C1M-B.R. Charter'!AE58)</f>
        <v>0</v>
      </c>
      <c r="T55" s="1259">
        <f>-('Table 5C1N-Delta Charter'!AB58+'Table 5C1N-Delta Charter'!AE58)</f>
        <v>0</v>
      </c>
      <c r="U55" s="1259">
        <f>-('Table 5C1O-Impact'!AB58+'Table 5C1O-Impact'!AE58)</f>
        <v>0</v>
      </c>
      <c r="V55" s="1259">
        <f>-('Table 5C1P-Vision'!AB58+'Table 5C1P-Vision'!AE58)</f>
        <v>0</v>
      </c>
      <c r="W55" s="1259">
        <f>-('Table 5C1Q-Advantage'!AB58+'Table 5C1Q-Advantage'!AE58)</f>
        <v>0</v>
      </c>
      <c r="X55" s="1259">
        <f>-('Table 5C1R-Iberville'!AB58+'Table 5C1R-Iberville'!AE58)</f>
        <v>0</v>
      </c>
      <c r="Y55" s="1259">
        <f>-('Table 5C1S-L.C. Coll Prep'!AB58+'Table 5C1S-L.C. Coll Prep'!AE58)</f>
        <v>0</v>
      </c>
      <c r="Z55" s="1259">
        <f>-('Table 5C1T-Northeast'!AB58+'Table 5C1T-Northeast'!AE58)</f>
        <v>0</v>
      </c>
      <c r="AA55" s="1259">
        <f>-('Table 5C1U-Acadiana Ren'!AB58+'Table 5C1U-Acadiana Ren'!AE58)</f>
        <v>0</v>
      </c>
      <c r="AB55" s="1259">
        <f>-('Table 5C1V-Laf Ren'!AB58+'Table 5C1V-Laf Ren'!AE58)</f>
        <v>0</v>
      </c>
      <c r="AC55" s="1259">
        <f>-('Table 5C1W-Willow'!AB58+'Table 5C1W-Willow'!AE58)</f>
        <v>0</v>
      </c>
      <c r="AD55" s="1259">
        <f>-('Table 5C2 - LA Virtual Admy'!AC57+'Table 5C2 - LA Virtual Admy'!AF57)</f>
        <v>-455007.60000000003</v>
      </c>
      <c r="AE55" s="1259">
        <f>-('Table 5C3 - LA Connections EBR'!AC57+'Table 5C3 - LA Connections EBR'!AF57)</f>
        <v>-469080</v>
      </c>
      <c r="AF55" s="1259">
        <f t="shared" si="3"/>
        <v>-975003.21628721384</v>
      </c>
      <c r="AG55" s="1281">
        <f t="shared" si="4"/>
        <v>211202638.7837128</v>
      </c>
    </row>
    <row r="56" spans="1:33" ht="14.4" customHeight="1">
      <c r="A56" s="1256">
        <v>53</v>
      </c>
      <c r="B56" s="1257" t="s">
        <v>132</v>
      </c>
      <c r="C56" s="1258">
        <f>+'Table 2_State Distrib and Adjs'!AP59</f>
        <v>111083429</v>
      </c>
      <c r="D56" s="1259">
        <f>-'Table 5A3_OJJ'!T58</f>
        <v>-21441.884326374991</v>
      </c>
      <c r="E56" s="1259"/>
      <c r="F56" s="1259"/>
      <c r="G56" s="1259">
        <f>-('Table 5C1A-Madison Prep'!AB59+'Table 5C1A-Madison Prep'!AE59)</f>
        <v>0</v>
      </c>
      <c r="H56" s="1259">
        <f>-('Table 5C1B-DArbonne'!AB59+'Table 5C1B-DArbonne'!AE59)</f>
        <v>0</v>
      </c>
      <c r="I56" s="1259">
        <f>-('Table 5C1C-Intl_VIBE'!AB59+'Table 5C1C-Intl_VIBE'!AE59)</f>
        <v>0</v>
      </c>
      <c r="J56" s="1259">
        <f>-('Table 5C1D-NOMMA'!AB59+'Table 5C1D-NOMMA'!AE59)</f>
        <v>0</v>
      </c>
      <c r="K56" s="1259">
        <f>-('Table 5C1E-LFNO'!AB59+'Table 5C1E-LFNO'!AE59)</f>
        <v>0</v>
      </c>
      <c r="L56" s="1259">
        <f>-('Table 5C1F-Lake Charles Charter'!AB59+'Table 5C1F-Lake Charles Charter'!AE59)</f>
        <v>0</v>
      </c>
      <c r="M56" s="1259">
        <f>-('Table 5C1G-JS Clark Academy'!AB59+'Table 5C1G-JS Clark Academy'!AE59)</f>
        <v>0</v>
      </c>
      <c r="N56" s="1259">
        <f>-('Table 5C1H-Southwest LA Charter'!AB59+'Table 5C1H-Southwest LA Charter'!AE59)</f>
        <v>0</v>
      </c>
      <c r="O56" s="1259">
        <f>-('Table 5C1I-LA Key Academy'!AB59+'Table 5C1I-LA Key Academy'!AE59)</f>
        <v>0</v>
      </c>
      <c r="P56" s="1259">
        <f>-('Table 5C1J-Jefferson Chamber'!AB59+'Table 5C1J-Jefferson Chamber'!AE59)</f>
        <v>0</v>
      </c>
      <c r="Q56" s="1259">
        <f>-('Table 5C1K-Tallulah Charter'!AB59+'Table 5C1K-Tallulah Charter'!AE59)</f>
        <v>0</v>
      </c>
      <c r="R56" s="1259">
        <f>-('Table 5C1L-Northshore Charter'!AB59+'Table 5C1L-Northshore Charter'!AE59)</f>
        <v>0</v>
      </c>
      <c r="S56" s="1259">
        <f>-('Table 5C1M-B.R. Charter'!AB59+'Table 5C1M-B.R. Charter'!AE59)</f>
        <v>0</v>
      </c>
      <c r="T56" s="1259">
        <f>-('Table 5C1N-Delta Charter'!AB59+'Table 5C1N-Delta Charter'!AE59)</f>
        <v>0</v>
      </c>
      <c r="U56" s="1259">
        <f>-('Table 5C1O-Impact'!AB59+'Table 5C1O-Impact'!AE59)</f>
        <v>0</v>
      </c>
      <c r="V56" s="1259">
        <f>-('Table 5C1P-Vision'!AB59+'Table 5C1P-Vision'!AE59)</f>
        <v>0</v>
      </c>
      <c r="W56" s="1259">
        <f>-('Table 5C1Q-Advantage'!AB59+'Table 5C1Q-Advantage'!AE59)</f>
        <v>0</v>
      </c>
      <c r="X56" s="1259">
        <f>-('Table 5C1R-Iberville'!AB59+'Table 5C1R-Iberville'!AE59)</f>
        <v>0</v>
      </c>
      <c r="Y56" s="1259">
        <f>-('Table 5C1S-L.C. Coll Prep'!AB59+'Table 5C1S-L.C. Coll Prep'!AE59)</f>
        <v>0</v>
      </c>
      <c r="Z56" s="1259">
        <f>-('Table 5C1T-Northeast'!AB59+'Table 5C1T-Northeast'!AE59)</f>
        <v>0</v>
      </c>
      <c r="AA56" s="1259">
        <f>-('Table 5C1U-Acadiana Ren'!AB59+'Table 5C1U-Acadiana Ren'!AE59)</f>
        <v>0</v>
      </c>
      <c r="AB56" s="1259">
        <f>-('Table 5C1V-Laf Ren'!AB59+'Table 5C1V-Laf Ren'!AE59)</f>
        <v>0</v>
      </c>
      <c r="AC56" s="1259">
        <f>-('Table 5C1W-Willow'!AB59+'Table 5C1W-Willow'!AE59)</f>
        <v>0</v>
      </c>
      <c r="AD56" s="1259">
        <f>-('Table 5C2 - LA Virtual Admy'!AC58+'Table 5C2 - LA Virtual Admy'!AF58)</f>
        <v>-190405.80000000002</v>
      </c>
      <c r="AE56" s="1259">
        <f>-('Table 5C3 - LA Connections EBR'!AC58+'Table 5C3 - LA Connections EBR'!AF58)</f>
        <v>-123856.20000000001</v>
      </c>
      <c r="AF56" s="1259">
        <f t="shared" si="3"/>
        <v>-335703.88432637503</v>
      </c>
      <c r="AG56" s="1281">
        <f t="shared" si="4"/>
        <v>110747725.11567363</v>
      </c>
    </row>
    <row r="57" spans="1:33" ht="14.4" customHeight="1">
      <c r="A57" s="1256">
        <v>54</v>
      </c>
      <c r="B57" s="1257" t="s">
        <v>133</v>
      </c>
      <c r="C57" s="1258">
        <f>+'Table 2_State Distrib and Adjs'!AP60</f>
        <v>4398335</v>
      </c>
      <c r="D57" s="1259">
        <f>-'Table 5A3_OJJ'!T59</f>
        <v>-3942.0902883156296</v>
      </c>
      <c r="E57" s="1259"/>
      <c r="F57" s="1259"/>
      <c r="G57" s="1259">
        <f>-('Table 5C1A-Madison Prep'!AB60+'Table 5C1A-Madison Prep'!AE60)</f>
        <v>0</v>
      </c>
      <c r="H57" s="1259">
        <f>-('Table 5C1B-DArbonne'!AB60+'Table 5C1B-DArbonne'!AE60)</f>
        <v>0</v>
      </c>
      <c r="I57" s="1259">
        <f>-('Table 5C1C-Intl_VIBE'!AB60+'Table 5C1C-Intl_VIBE'!AE60)</f>
        <v>0</v>
      </c>
      <c r="J57" s="1259">
        <f>-('Table 5C1D-NOMMA'!AB60+'Table 5C1D-NOMMA'!AE60)</f>
        <v>0</v>
      </c>
      <c r="K57" s="1259">
        <f>-('Table 5C1E-LFNO'!AB60+'Table 5C1E-LFNO'!AE60)</f>
        <v>0</v>
      </c>
      <c r="L57" s="1259">
        <f>-('Table 5C1F-Lake Charles Charter'!AB60+'Table 5C1F-Lake Charles Charter'!AE60)</f>
        <v>0</v>
      </c>
      <c r="M57" s="1259">
        <f>-('Table 5C1G-JS Clark Academy'!AB60+'Table 5C1G-JS Clark Academy'!AE60)</f>
        <v>0</v>
      </c>
      <c r="N57" s="1259">
        <f>-('Table 5C1H-Southwest LA Charter'!AB60+'Table 5C1H-Southwest LA Charter'!AE60)</f>
        <v>0</v>
      </c>
      <c r="O57" s="1259">
        <f>-('Table 5C1I-LA Key Academy'!AB60+'Table 5C1I-LA Key Academy'!AE60)</f>
        <v>0</v>
      </c>
      <c r="P57" s="1259">
        <f>-('Table 5C1J-Jefferson Chamber'!AB60+'Table 5C1J-Jefferson Chamber'!AE60)</f>
        <v>0</v>
      </c>
      <c r="Q57" s="1259">
        <f>-('Table 5C1K-Tallulah Charter'!AB60+'Table 5C1K-Tallulah Charter'!AE60)</f>
        <v>0</v>
      </c>
      <c r="R57" s="1259">
        <f>-('Table 5C1L-Northshore Charter'!AB60+'Table 5C1L-Northshore Charter'!AE60)</f>
        <v>0</v>
      </c>
      <c r="S57" s="1259">
        <f>-('Table 5C1M-B.R. Charter'!AB60+'Table 5C1M-B.R. Charter'!AE60)</f>
        <v>0</v>
      </c>
      <c r="T57" s="1259">
        <f>-('Table 5C1N-Delta Charter'!AB60+'Table 5C1N-Delta Charter'!AE60)</f>
        <v>-32928</v>
      </c>
      <c r="U57" s="1259">
        <f>-('Table 5C1O-Impact'!AB60+'Table 5C1O-Impact'!AE60)</f>
        <v>0</v>
      </c>
      <c r="V57" s="1259">
        <f>-('Table 5C1P-Vision'!AB60+'Table 5C1P-Vision'!AE60)</f>
        <v>0</v>
      </c>
      <c r="W57" s="1259">
        <f>-('Table 5C1Q-Advantage'!AB60+'Table 5C1Q-Advantage'!AE60)</f>
        <v>0</v>
      </c>
      <c r="X57" s="1259">
        <f>-('Table 5C1R-Iberville'!AB60+'Table 5C1R-Iberville'!AE60)</f>
        <v>0</v>
      </c>
      <c r="Y57" s="1259">
        <f>-('Table 5C1S-L.C. Coll Prep'!AB60+'Table 5C1S-L.C. Coll Prep'!AE60)</f>
        <v>0</v>
      </c>
      <c r="Z57" s="1259">
        <f>-('Table 5C1T-Northeast'!AB60+'Table 5C1T-Northeast'!AE60)</f>
        <v>0</v>
      </c>
      <c r="AA57" s="1259">
        <f>-('Table 5C1U-Acadiana Ren'!AB60+'Table 5C1U-Acadiana Ren'!AE60)</f>
        <v>0</v>
      </c>
      <c r="AB57" s="1259">
        <f>-('Table 5C1V-Laf Ren'!AB60+'Table 5C1V-Laf Ren'!AE60)</f>
        <v>0</v>
      </c>
      <c r="AC57" s="1259">
        <f>-('Table 5C1W-Willow'!AB60+'Table 5C1W-Willow'!AE60)</f>
        <v>0</v>
      </c>
      <c r="AD57" s="1259">
        <f>-('Table 5C2 - LA Virtual Admy'!AC59+'Table 5C2 - LA Virtual Admy'!AF59)</f>
        <v>0</v>
      </c>
      <c r="AE57" s="1259">
        <f>-('Table 5C3 - LA Connections EBR'!AC59+'Table 5C3 - LA Connections EBR'!AF59)</f>
        <v>-22226.400000000001</v>
      </c>
      <c r="AF57" s="1259">
        <f t="shared" si="3"/>
        <v>-59096.490288315632</v>
      </c>
      <c r="AG57" s="1281">
        <f t="shared" si="4"/>
        <v>4339238.5097116837</v>
      </c>
    </row>
    <row r="58" spans="1:33" ht="14.4" customHeight="1">
      <c r="A58" s="85">
        <v>55</v>
      </c>
      <c r="B58" s="207" t="s">
        <v>134</v>
      </c>
      <c r="C58" s="209">
        <f>+'Table 2_State Distrib and Adjs'!AP61</f>
        <v>89907329</v>
      </c>
      <c r="D58" s="219">
        <f>-'Table 5A3_OJJ'!T60</f>
        <v>-62767.956204066191</v>
      </c>
      <c r="E58" s="219"/>
      <c r="F58" s="219"/>
      <c r="G58" s="219">
        <f>-('Table 5C1A-Madison Prep'!AB61+'Table 5C1A-Madison Prep'!AE61)</f>
        <v>0</v>
      </c>
      <c r="H58" s="219">
        <f>-('Table 5C1B-DArbonne'!AB61+'Table 5C1B-DArbonne'!AE61)</f>
        <v>0</v>
      </c>
      <c r="I58" s="219">
        <f>-('Table 5C1C-Intl_VIBE'!AB61+'Table 5C1C-Intl_VIBE'!AE61)</f>
        <v>0</v>
      </c>
      <c r="J58" s="219">
        <f>-('Table 5C1D-NOMMA'!AB61+'Table 5C1D-NOMMA'!AE61)</f>
        <v>0</v>
      </c>
      <c r="K58" s="219">
        <f>-('Table 5C1E-LFNO'!AB61+'Table 5C1E-LFNO'!AE61)</f>
        <v>0</v>
      </c>
      <c r="L58" s="219">
        <f>-('Table 5C1F-Lake Charles Charter'!AB61+'Table 5C1F-Lake Charles Charter'!AE61)</f>
        <v>0</v>
      </c>
      <c r="M58" s="219">
        <f>-('Table 5C1G-JS Clark Academy'!AB61+'Table 5C1G-JS Clark Academy'!AE61)</f>
        <v>0</v>
      </c>
      <c r="N58" s="219">
        <f>-('Table 5C1H-Southwest LA Charter'!AB61+'Table 5C1H-Southwest LA Charter'!AE61)</f>
        <v>0</v>
      </c>
      <c r="O58" s="219">
        <f>-('Table 5C1I-LA Key Academy'!AB61+'Table 5C1I-LA Key Academy'!AE61)</f>
        <v>0</v>
      </c>
      <c r="P58" s="219">
        <f>-('Table 5C1J-Jefferson Chamber'!AB61+'Table 5C1J-Jefferson Chamber'!AE61)</f>
        <v>0</v>
      </c>
      <c r="Q58" s="219">
        <f>-('Table 5C1K-Tallulah Charter'!AB61+'Table 5C1K-Tallulah Charter'!AE61)</f>
        <v>0</v>
      </c>
      <c r="R58" s="219">
        <f>-('Table 5C1L-Northshore Charter'!AB61+'Table 5C1L-Northshore Charter'!AE61)</f>
        <v>0</v>
      </c>
      <c r="S58" s="219">
        <f>-('Table 5C1M-B.R. Charter'!AB61+'Table 5C1M-B.R. Charter'!AE61)</f>
        <v>0</v>
      </c>
      <c r="T58" s="219">
        <f>-('Table 5C1N-Delta Charter'!AB61+'Table 5C1N-Delta Charter'!AE61)</f>
        <v>0</v>
      </c>
      <c r="U58" s="219">
        <f>-('Table 5C1O-Impact'!AB61+'Table 5C1O-Impact'!AE61)</f>
        <v>0</v>
      </c>
      <c r="V58" s="219">
        <f>-('Table 5C1P-Vision'!AB61+'Table 5C1P-Vision'!AE61)</f>
        <v>0</v>
      </c>
      <c r="W58" s="219">
        <f>-('Table 5C1Q-Advantage'!AB61+'Table 5C1Q-Advantage'!AE61)</f>
        <v>0</v>
      </c>
      <c r="X58" s="219">
        <f>-('Table 5C1R-Iberville'!AB61+'Table 5C1R-Iberville'!AE61)</f>
        <v>0</v>
      </c>
      <c r="Y58" s="219">
        <f>-('Table 5C1S-L.C. Coll Prep'!AB61+'Table 5C1S-L.C. Coll Prep'!AE61)</f>
        <v>0</v>
      </c>
      <c r="Z58" s="219">
        <f>-('Table 5C1T-Northeast'!AB61+'Table 5C1T-Northeast'!AE61)</f>
        <v>0</v>
      </c>
      <c r="AA58" s="219">
        <f>-('Table 5C1U-Acadiana Ren'!AB61+'Table 5C1U-Acadiana Ren'!AE61)</f>
        <v>0</v>
      </c>
      <c r="AB58" s="219">
        <f>-('Table 5C1V-Laf Ren'!AB61+'Table 5C1V-Laf Ren'!AE61)</f>
        <v>0</v>
      </c>
      <c r="AC58" s="219">
        <f>-('Table 5C1W-Willow'!AB61+'Table 5C1W-Willow'!AE61)</f>
        <v>0</v>
      </c>
      <c r="AD58" s="219">
        <f>-('Table 5C2 - LA Virtual Admy'!AC60+'Table 5C2 - LA Virtual Admy'!AF60)</f>
        <v>-117615.6</v>
      </c>
      <c r="AE58" s="219">
        <f>-('Table 5C3 - LA Connections EBR'!AC60+'Table 5C3 - LA Connections EBR'!AF60)</f>
        <v>-98542.8</v>
      </c>
      <c r="AF58" s="219">
        <f t="shared" si="3"/>
        <v>-278926.35620406619</v>
      </c>
      <c r="AG58" s="364">
        <f t="shared" si="4"/>
        <v>89628402.643795937</v>
      </c>
    </row>
    <row r="59" spans="1:33" ht="14.4" customHeight="1">
      <c r="A59" s="1272">
        <v>56</v>
      </c>
      <c r="B59" s="1273" t="s">
        <v>135</v>
      </c>
      <c r="C59" s="1274">
        <f>+'Table 2_State Distrib and Adjs'!AP62</f>
        <v>12390690</v>
      </c>
      <c r="D59" s="1275">
        <f>-'Table 5A3_OJJ'!T61</f>
        <v>0</v>
      </c>
      <c r="E59" s="1275"/>
      <c r="F59" s="1275"/>
      <c r="G59" s="1275">
        <f>-('Table 5C1A-Madison Prep'!AB62+'Table 5C1A-Madison Prep'!AE62)</f>
        <v>0</v>
      </c>
      <c r="H59" s="1275">
        <f>-('Table 5C1B-DArbonne'!AB62+'Table 5C1B-DArbonne'!AE62)</f>
        <v>-1959660</v>
      </c>
      <c r="I59" s="1275">
        <f>-('Table 5C1C-Intl_VIBE'!AB62+'Table 5C1C-Intl_VIBE'!AE62)</f>
        <v>0</v>
      </c>
      <c r="J59" s="1275">
        <f>-('Table 5C1D-NOMMA'!AB62+'Table 5C1D-NOMMA'!AE62)</f>
        <v>0</v>
      </c>
      <c r="K59" s="1275">
        <f>-('Table 5C1E-LFNO'!AB62+'Table 5C1E-LFNO'!AE62)</f>
        <v>0</v>
      </c>
      <c r="L59" s="1275">
        <f>-('Table 5C1F-Lake Charles Charter'!AB62+'Table 5C1F-Lake Charles Charter'!AE62)</f>
        <v>0</v>
      </c>
      <c r="M59" s="1275">
        <f>-('Table 5C1G-JS Clark Academy'!AB62+'Table 5C1G-JS Clark Academy'!AE62)</f>
        <v>0</v>
      </c>
      <c r="N59" s="1275">
        <f>-('Table 5C1H-Southwest LA Charter'!AB62+'Table 5C1H-Southwest LA Charter'!AE62)</f>
        <v>0</v>
      </c>
      <c r="O59" s="1275">
        <f>-('Table 5C1I-LA Key Academy'!AB62+'Table 5C1I-LA Key Academy'!AE62)</f>
        <v>0</v>
      </c>
      <c r="P59" s="1275">
        <f>-('Table 5C1J-Jefferson Chamber'!AB62+'Table 5C1J-Jefferson Chamber'!AE62)</f>
        <v>0</v>
      </c>
      <c r="Q59" s="1275">
        <f>-('Table 5C1K-Tallulah Charter'!AB62+'Table 5C1K-Tallulah Charter'!AE62)</f>
        <v>0</v>
      </c>
      <c r="R59" s="1275">
        <f>-('Table 5C1L-Northshore Charter'!AB62+'Table 5C1L-Northshore Charter'!AE62)</f>
        <v>0</v>
      </c>
      <c r="S59" s="1275">
        <f>-('Table 5C1M-B.R. Charter'!AB62+'Table 5C1M-B.R. Charter'!AE62)</f>
        <v>0</v>
      </c>
      <c r="T59" s="1275">
        <f>-('Table 5C1N-Delta Charter'!AB62+'Table 5C1N-Delta Charter'!AE62)</f>
        <v>0</v>
      </c>
      <c r="U59" s="1275">
        <f>-('Table 5C1O-Impact'!AB62+'Table 5C1O-Impact'!AE62)</f>
        <v>0</v>
      </c>
      <c r="V59" s="1275">
        <f>-('Table 5C1P-Vision'!AB62+'Table 5C1P-Vision'!AE62)</f>
        <v>0</v>
      </c>
      <c r="W59" s="1275">
        <f>-('Table 5C1Q-Advantage'!AB62+'Table 5C1Q-Advantage'!AE62)</f>
        <v>0</v>
      </c>
      <c r="X59" s="1275">
        <f>-('Table 5C1R-Iberville'!AB62+'Table 5C1R-Iberville'!AE62)</f>
        <v>0</v>
      </c>
      <c r="Y59" s="1275">
        <f>-('Table 5C1S-L.C. Coll Prep'!AB62+'Table 5C1S-L.C. Coll Prep'!AE62)</f>
        <v>0</v>
      </c>
      <c r="Z59" s="1275">
        <f>-('Table 5C1T-Northeast'!AB62+'Table 5C1T-Northeast'!AE62)</f>
        <v>-114600</v>
      </c>
      <c r="AA59" s="1275">
        <f>-('Table 5C1U-Acadiana Ren'!AB62+'Table 5C1U-Acadiana Ren'!AE62)</f>
        <v>0</v>
      </c>
      <c r="AB59" s="1275">
        <f>-('Table 5C1V-Laf Ren'!AB62+'Table 5C1V-Laf Ren'!AE62)</f>
        <v>0</v>
      </c>
      <c r="AC59" s="1275">
        <f>-('Table 5C1W-Willow'!AB62+'Table 5C1W-Willow'!AE62)</f>
        <v>0</v>
      </c>
      <c r="AD59" s="1275">
        <f>-('Table 5C2 - LA Virtual Admy'!AC61+'Table 5C2 - LA Virtual Admy'!AF61)</f>
        <v>-15471</v>
      </c>
      <c r="AE59" s="1275">
        <f>-('Table 5C3 - LA Connections EBR'!AC61+'Table 5C3 - LA Connections EBR'!AF61)</f>
        <v>-10314</v>
      </c>
      <c r="AF59" s="1275">
        <f t="shared" si="3"/>
        <v>-2100045</v>
      </c>
      <c r="AG59" s="1276">
        <f t="shared" si="4"/>
        <v>10290645</v>
      </c>
    </row>
    <row r="60" spans="1:33" ht="14.4" customHeight="1">
      <c r="A60" s="1256">
        <v>57</v>
      </c>
      <c r="B60" s="1257" t="s">
        <v>136</v>
      </c>
      <c r="C60" s="1258">
        <f>+'Table 2_State Distrib and Adjs'!AP63</f>
        <v>49124118</v>
      </c>
      <c r="D60" s="1259">
        <f>-'Table 5A3_OJJ'!T62</f>
        <v>-7260.8907548219095</v>
      </c>
      <c r="E60" s="1259"/>
      <c r="F60" s="1259"/>
      <c r="G60" s="1259">
        <f>-('Table 5C1A-Madison Prep'!AB63+'Table 5C1A-Madison Prep'!AE63)</f>
        <v>0</v>
      </c>
      <c r="H60" s="1259">
        <f>-('Table 5C1B-DArbonne'!AB63+'Table 5C1B-DArbonne'!AE63)</f>
        <v>0</v>
      </c>
      <c r="I60" s="1259">
        <f>-('Table 5C1C-Intl_VIBE'!AB63+'Table 5C1C-Intl_VIBE'!AE63)</f>
        <v>0</v>
      </c>
      <c r="J60" s="1259">
        <f>-('Table 5C1D-NOMMA'!AB63+'Table 5C1D-NOMMA'!AE63)</f>
        <v>0</v>
      </c>
      <c r="K60" s="1259">
        <f>-('Table 5C1E-LFNO'!AB63+'Table 5C1E-LFNO'!AE63)</f>
        <v>0</v>
      </c>
      <c r="L60" s="1259">
        <f>-('Table 5C1F-Lake Charles Charter'!AB63+'Table 5C1F-Lake Charles Charter'!AE63)</f>
        <v>0</v>
      </c>
      <c r="M60" s="1259">
        <f>-('Table 5C1G-JS Clark Academy'!AB63+'Table 5C1G-JS Clark Academy'!AE63)</f>
        <v>0</v>
      </c>
      <c r="N60" s="1259">
        <f>-('Table 5C1H-Southwest LA Charter'!AB63+'Table 5C1H-Southwest LA Charter'!AE63)</f>
        <v>0</v>
      </c>
      <c r="O60" s="1259">
        <f>-('Table 5C1I-LA Key Academy'!AB63+'Table 5C1I-LA Key Academy'!AE63)</f>
        <v>0</v>
      </c>
      <c r="P60" s="1259">
        <f>-('Table 5C1J-Jefferson Chamber'!AB63+'Table 5C1J-Jefferson Chamber'!AE63)</f>
        <v>0</v>
      </c>
      <c r="Q60" s="1259">
        <f>-('Table 5C1K-Tallulah Charter'!AB63+'Table 5C1K-Tallulah Charter'!AE63)</f>
        <v>0</v>
      </c>
      <c r="R60" s="1259">
        <f>-('Table 5C1L-Northshore Charter'!AB63+'Table 5C1L-Northshore Charter'!AE63)</f>
        <v>0</v>
      </c>
      <c r="S60" s="1259">
        <f>-('Table 5C1M-B.R. Charter'!AB63+'Table 5C1M-B.R. Charter'!AE63)</f>
        <v>0</v>
      </c>
      <c r="T60" s="1259">
        <f>-('Table 5C1N-Delta Charter'!AB63+'Table 5C1N-Delta Charter'!AE63)</f>
        <v>0</v>
      </c>
      <c r="U60" s="1259">
        <f>-('Table 5C1O-Impact'!AB63+'Table 5C1O-Impact'!AE63)</f>
        <v>0</v>
      </c>
      <c r="V60" s="1259">
        <f>-('Table 5C1P-Vision'!AB63+'Table 5C1P-Vision'!AE63)</f>
        <v>0</v>
      </c>
      <c r="W60" s="1259">
        <f>-('Table 5C1Q-Advantage'!AB63+'Table 5C1Q-Advantage'!AE63)</f>
        <v>0</v>
      </c>
      <c r="X60" s="1259">
        <f>-('Table 5C1R-Iberville'!AB63+'Table 5C1R-Iberville'!AE63)</f>
        <v>0</v>
      </c>
      <c r="Y60" s="1259">
        <f>-('Table 5C1S-L.C. Coll Prep'!AB63+'Table 5C1S-L.C. Coll Prep'!AE63)</f>
        <v>0</v>
      </c>
      <c r="Z60" s="1259">
        <f>-('Table 5C1T-Northeast'!AB63+'Table 5C1T-Northeast'!AE63)</f>
        <v>0</v>
      </c>
      <c r="AA60" s="1259">
        <f>-('Table 5C1U-Acadiana Ren'!AB63+'Table 5C1U-Acadiana Ren'!AE63)</f>
        <v>-40740</v>
      </c>
      <c r="AB60" s="1259">
        <f>-('Table 5C1V-Laf Ren'!AB63+'Table 5C1V-Laf Ren'!AE63)</f>
        <v>-78085</v>
      </c>
      <c r="AC60" s="1259">
        <f>-('Table 5C1W-Willow'!AB63+'Table 5C1W-Willow'!AE63)</f>
        <v>0</v>
      </c>
      <c r="AD60" s="1259">
        <f>-('Table 5C2 - LA Virtual Admy'!AC62+'Table 5C2 - LA Virtual Admy'!AF62)</f>
        <v>-70276.5</v>
      </c>
      <c r="AE60" s="1259">
        <f>-('Table 5C3 - LA Connections EBR'!AC62+'Table 5C3 - LA Connections EBR'!AF62)</f>
        <v>-21388.5</v>
      </c>
      <c r="AF60" s="1259">
        <f t="shared" si="3"/>
        <v>-217750.89075482191</v>
      </c>
      <c r="AG60" s="1281">
        <f t="shared" si="4"/>
        <v>48906367.109245181</v>
      </c>
    </row>
    <row r="61" spans="1:33" ht="14.4" customHeight="1">
      <c r="A61" s="1256">
        <v>58</v>
      </c>
      <c r="B61" s="1257" t="s">
        <v>137</v>
      </c>
      <c r="C61" s="1258">
        <f>+'Table 2_State Distrib and Adjs'!AP64</f>
        <v>56973268</v>
      </c>
      <c r="D61" s="1259">
        <f>-'Table 5A3_OJJ'!T63</f>
        <v>0</v>
      </c>
      <c r="E61" s="1259"/>
      <c r="F61" s="1259"/>
      <c r="G61" s="1259">
        <f>-('Table 5C1A-Madison Prep'!AB64+'Table 5C1A-Madison Prep'!AE64)</f>
        <v>0</v>
      </c>
      <c r="H61" s="1259">
        <f>-('Table 5C1B-DArbonne'!AB64+'Table 5C1B-DArbonne'!AE64)</f>
        <v>0</v>
      </c>
      <c r="I61" s="1259">
        <f>-('Table 5C1C-Intl_VIBE'!AB64+'Table 5C1C-Intl_VIBE'!AE64)</f>
        <v>0</v>
      </c>
      <c r="J61" s="1259">
        <f>-('Table 5C1D-NOMMA'!AB64+'Table 5C1D-NOMMA'!AE64)</f>
        <v>0</v>
      </c>
      <c r="K61" s="1259">
        <f>-('Table 5C1E-LFNO'!AB64+'Table 5C1E-LFNO'!AE64)</f>
        <v>0</v>
      </c>
      <c r="L61" s="1259">
        <f>-('Table 5C1F-Lake Charles Charter'!AB64+'Table 5C1F-Lake Charles Charter'!AE64)</f>
        <v>0</v>
      </c>
      <c r="M61" s="1259">
        <f>-('Table 5C1G-JS Clark Academy'!AB64+'Table 5C1G-JS Clark Academy'!AE64)</f>
        <v>0</v>
      </c>
      <c r="N61" s="1259">
        <f>-('Table 5C1H-Southwest LA Charter'!AB64+'Table 5C1H-Southwest LA Charter'!AE64)</f>
        <v>0</v>
      </c>
      <c r="O61" s="1259">
        <f>-('Table 5C1I-LA Key Academy'!AB64+'Table 5C1I-LA Key Academy'!AE64)</f>
        <v>0</v>
      </c>
      <c r="P61" s="1259">
        <f>-('Table 5C1J-Jefferson Chamber'!AB64+'Table 5C1J-Jefferson Chamber'!AE64)</f>
        <v>0</v>
      </c>
      <c r="Q61" s="1259">
        <f>-('Table 5C1K-Tallulah Charter'!AB64+'Table 5C1K-Tallulah Charter'!AE64)</f>
        <v>0</v>
      </c>
      <c r="R61" s="1259">
        <f>-('Table 5C1L-Northshore Charter'!AB64+'Table 5C1L-Northshore Charter'!AE64)</f>
        <v>0</v>
      </c>
      <c r="S61" s="1259">
        <f>-('Table 5C1M-B.R. Charter'!AB64+'Table 5C1M-B.R. Charter'!AE64)</f>
        <v>0</v>
      </c>
      <c r="T61" s="1259">
        <f>-('Table 5C1N-Delta Charter'!AB64+'Table 5C1N-Delta Charter'!AE64)</f>
        <v>0</v>
      </c>
      <c r="U61" s="1259">
        <f>-('Table 5C1O-Impact'!AB64+'Table 5C1O-Impact'!AE64)</f>
        <v>0</v>
      </c>
      <c r="V61" s="1259">
        <f>-('Table 5C1P-Vision'!AB64+'Table 5C1P-Vision'!AE64)</f>
        <v>0</v>
      </c>
      <c r="W61" s="1259">
        <f>-('Table 5C1Q-Advantage'!AB64+'Table 5C1Q-Advantage'!AE64)</f>
        <v>0</v>
      </c>
      <c r="X61" s="1259">
        <f>-('Table 5C1R-Iberville'!AB64+'Table 5C1R-Iberville'!AE64)</f>
        <v>0</v>
      </c>
      <c r="Y61" s="1259">
        <f>-('Table 5C1S-L.C. Coll Prep'!AB64+'Table 5C1S-L.C. Coll Prep'!AE64)</f>
        <v>0</v>
      </c>
      <c r="Z61" s="1259">
        <f>-('Table 5C1T-Northeast'!AB64+'Table 5C1T-Northeast'!AE64)</f>
        <v>0</v>
      </c>
      <c r="AA61" s="1259">
        <f>-('Table 5C1U-Acadiana Ren'!AB64+'Table 5C1U-Acadiana Ren'!AE64)</f>
        <v>0</v>
      </c>
      <c r="AB61" s="1259">
        <f>-('Table 5C1V-Laf Ren'!AB64+'Table 5C1V-Laf Ren'!AE64)</f>
        <v>0</v>
      </c>
      <c r="AC61" s="1259">
        <f>-('Table 5C1W-Willow'!AB64+'Table 5C1W-Willow'!AE64)</f>
        <v>0</v>
      </c>
      <c r="AD61" s="1259">
        <f>-('Table 5C2 - LA Virtual Admy'!AC63+'Table 5C2 - LA Virtual Admy'!AF63)</f>
        <v>-97531.200000000012</v>
      </c>
      <c r="AE61" s="1259">
        <f>-('Table 5C3 - LA Connections EBR'!AC63+'Table 5C3 - LA Connections EBR'!AF63)</f>
        <v>-52516.800000000003</v>
      </c>
      <c r="AF61" s="1259">
        <f t="shared" si="3"/>
        <v>-150048</v>
      </c>
      <c r="AG61" s="1281">
        <f t="shared" si="4"/>
        <v>56823220</v>
      </c>
    </row>
    <row r="62" spans="1:33" ht="14.4" customHeight="1">
      <c r="A62" s="1256">
        <v>59</v>
      </c>
      <c r="B62" s="1257" t="s">
        <v>138</v>
      </c>
      <c r="C62" s="1258">
        <f>+'Table 2_State Distrib and Adjs'!AP65</f>
        <v>37377758</v>
      </c>
      <c r="D62" s="1259">
        <f>-'Table 5A3_OJJ'!T64</f>
        <v>-1851.7598879551274</v>
      </c>
      <c r="E62" s="1259"/>
      <c r="F62" s="1259"/>
      <c r="G62" s="1259">
        <f>-('Table 5C1A-Madison Prep'!AB65+'Table 5C1A-Madison Prep'!AE65)</f>
        <v>0</v>
      </c>
      <c r="H62" s="1259">
        <f>-('Table 5C1B-DArbonne'!AB65+'Table 5C1B-DArbonne'!AE65)</f>
        <v>0</v>
      </c>
      <c r="I62" s="1259">
        <f>-('Table 5C1C-Intl_VIBE'!AB65+'Table 5C1C-Intl_VIBE'!AE65)</f>
        <v>0</v>
      </c>
      <c r="J62" s="1259">
        <f>-('Table 5C1D-NOMMA'!AB65+'Table 5C1D-NOMMA'!AE65)</f>
        <v>0</v>
      </c>
      <c r="K62" s="1259">
        <f>-('Table 5C1E-LFNO'!AB65+'Table 5C1E-LFNO'!AE65)</f>
        <v>0</v>
      </c>
      <c r="L62" s="1259">
        <f>-('Table 5C1F-Lake Charles Charter'!AB65+'Table 5C1F-Lake Charles Charter'!AE65)</f>
        <v>0</v>
      </c>
      <c r="M62" s="1259">
        <f>-('Table 5C1G-JS Clark Academy'!AB65+'Table 5C1G-JS Clark Academy'!AE65)</f>
        <v>0</v>
      </c>
      <c r="N62" s="1259">
        <f>-('Table 5C1H-Southwest LA Charter'!AB65+'Table 5C1H-Southwest LA Charter'!AE65)</f>
        <v>0</v>
      </c>
      <c r="O62" s="1259">
        <f>-('Table 5C1I-LA Key Academy'!AB65+'Table 5C1I-LA Key Academy'!AE65)</f>
        <v>0</v>
      </c>
      <c r="P62" s="1259">
        <f>-('Table 5C1J-Jefferson Chamber'!AB65+'Table 5C1J-Jefferson Chamber'!AE65)</f>
        <v>0</v>
      </c>
      <c r="Q62" s="1259">
        <f>-('Table 5C1K-Tallulah Charter'!AB65+'Table 5C1K-Tallulah Charter'!AE65)</f>
        <v>0</v>
      </c>
      <c r="R62" s="1259">
        <f>-('Table 5C1L-Northshore Charter'!AB65+'Table 5C1L-Northshore Charter'!AE65)</f>
        <v>-18924</v>
      </c>
      <c r="S62" s="1259">
        <f>-('Table 5C1M-B.R. Charter'!AB65+'Table 5C1M-B.R. Charter'!AE65)</f>
        <v>0</v>
      </c>
      <c r="T62" s="1259">
        <f>-('Table 5C1N-Delta Charter'!AB65+'Table 5C1N-Delta Charter'!AE65)</f>
        <v>0</v>
      </c>
      <c r="U62" s="1259">
        <f>-('Table 5C1O-Impact'!AB65+'Table 5C1O-Impact'!AE65)</f>
        <v>0</v>
      </c>
      <c r="V62" s="1259">
        <f>-('Table 5C1P-Vision'!AB65+'Table 5C1P-Vision'!AE65)</f>
        <v>0</v>
      </c>
      <c r="W62" s="1259">
        <f>-('Table 5C1Q-Advantage'!AB65+'Table 5C1Q-Advantage'!AE65)</f>
        <v>0</v>
      </c>
      <c r="X62" s="1259">
        <f>-('Table 5C1R-Iberville'!AB65+'Table 5C1R-Iberville'!AE65)</f>
        <v>0</v>
      </c>
      <c r="Y62" s="1259">
        <f>-('Table 5C1S-L.C. Coll Prep'!AB65+'Table 5C1S-L.C. Coll Prep'!AE65)</f>
        <v>0</v>
      </c>
      <c r="Z62" s="1259">
        <f>-('Table 5C1T-Northeast'!AB65+'Table 5C1T-Northeast'!AE65)</f>
        <v>0</v>
      </c>
      <c r="AA62" s="1259">
        <f>-('Table 5C1U-Acadiana Ren'!AB65+'Table 5C1U-Acadiana Ren'!AE65)</f>
        <v>0</v>
      </c>
      <c r="AB62" s="1259">
        <f>-('Table 5C1V-Laf Ren'!AB65+'Table 5C1V-Laf Ren'!AE65)</f>
        <v>0</v>
      </c>
      <c r="AC62" s="1259">
        <f>-('Table 5C1W-Willow'!AB65+'Table 5C1W-Willow'!AE65)</f>
        <v>0</v>
      </c>
      <c r="AD62" s="1259">
        <f>-('Table 5C2 - LA Virtual Admy'!AC64+'Table 5C2 - LA Virtual Admy'!AF64)</f>
        <v>-34063.199999999997</v>
      </c>
      <c r="AE62" s="1259">
        <f>-('Table 5C3 - LA Connections EBR'!AC64+'Table 5C3 - LA Connections EBR'!AF64)</f>
        <v>-8642.6999999999989</v>
      </c>
      <c r="AF62" s="1259">
        <f t="shared" si="3"/>
        <v>-63481.659887955117</v>
      </c>
      <c r="AG62" s="1281">
        <f t="shared" si="4"/>
        <v>37314276.340112038</v>
      </c>
    </row>
    <row r="63" spans="1:33" ht="14.4" customHeight="1">
      <c r="A63" s="85">
        <v>60</v>
      </c>
      <c r="B63" s="207" t="s">
        <v>139</v>
      </c>
      <c r="C63" s="209">
        <f>+'Table 2_State Distrib and Adjs'!AP66</f>
        <v>37849782</v>
      </c>
      <c r="D63" s="219">
        <f>-'Table 5A3_OJJ'!T65</f>
        <v>-12105.153261289417</v>
      </c>
      <c r="E63" s="219"/>
      <c r="F63" s="219"/>
      <c r="G63" s="219">
        <f>-('Table 5C1A-Madison Prep'!AB66+'Table 5C1A-Madison Prep'!AE66)</f>
        <v>0</v>
      </c>
      <c r="H63" s="219">
        <f>-('Table 5C1B-DArbonne'!AB66+'Table 5C1B-DArbonne'!AE66)</f>
        <v>0</v>
      </c>
      <c r="I63" s="219">
        <f>-('Table 5C1C-Intl_VIBE'!AB66+'Table 5C1C-Intl_VIBE'!AE66)</f>
        <v>0</v>
      </c>
      <c r="J63" s="219">
        <f>-('Table 5C1D-NOMMA'!AB66+'Table 5C1D-NOMMA'!AE66)</f>
        <v>0</v>
      </c>
      <c r="K63" s="219">
        <f>-('Table 5C1E-LFNO'!AB66+'Table 5C1E-LFNO'!AE66)</f>
        <v>0</v>
      </c>
      <c r="L63" s="219">
        <f>-('Table 5C1F-Lake Charles Charter'!AB66+'Table 5C1F-Lake Charles Charter'!AE66)</f>
        <v>0</v>
      </c>
      <c r="M63" s="219">
        <f>-('Table 5C1G-JS Clark Academy'!AB66+'Table 5C1G-JS Clark Academy'!AE66)</f>
        <v>0</v>
      </c>
      <c r="N63" s="219">
        <f>-('Table 5C1H-Southwest LA Charter'!AB66+'Table 5C1H-Southwest LA Charter'!AE66)</f>
        <v>0</v>
      </c>
      <c r="O63" s="219">
        <f>-('Table 5C1I-LA Key Academy'!AB66+'Table 5C1I-LA Key Academy'!AE66)</f>
        <v>0</v>
      </c>
      <c r="P63" s="219">
        <f>-('Table 5C1J-Jefferson Chamber'!AB66+'Table 5C1J-Jefferson Chamber'!AE66)</f>
        <v>0</v>
      </c>
      <c r="Q63" s="219">
        <f>-('Table 5C1K-Tallulah Charter'!AB66+'Table 5C1K-Tallulah Charter'!AE66)</f>
        <v>0</v>
      </c>
      <c r="R63" s="219">
        <f>-('Table 5C1L-Northshore Charter'!AB66+'Table 5C1L-Northshore Charter'!AE66)</f>
        <v>0</v>
      </c>
      <c r="S63" s="219">
        <f>-('Table 5C1M-B.R. Charter'!AB66+'Table 5C1M-B.R. Charter'!AE66)</f>
        <v>0</v>
      </c>
      <c r="T63" s="219">
        <f>-('Table 5C1N-Delta Charter'!AB66+'Table 5C1N-Delta Charter'!AE66)</f>
        <v>0</v>
      </c>
      <c r="U63" s="219">
        <f>-('Table 5C1O-Impact'!AB66+'Table 5C1O-Impact'!AE66)</f>
        <v>0</v>
      </c>
      <c r="V63" s="219">
        <f>-('Table 5C1P-Vision'!AB66+'Table 5C1P-Vision'!AE66)</f>
        <v>0</v>
      </c>
      <c r="W63" s="219">
        <f>-('Table 5C1Q-Advantage'!AB66+'Table 5C1Q-Advantage'!AE66)</f>
        <v>0</v>
      </c>
      <c r="X63" s="219">
        <f>-('Table 5C1R-Iberville'!AB66+'Table 5C1R-Iberville'!AE66)</f>
        <v>0</v>
      </c>
      <c r="Y63" s="219">
        <f>-('Table 5C1S-L.C. Coll Prep'!AB66+'Table 5C1S-L.C. Coll Prep'!AE66)</f>
        <v>0</v>
      </c>
      <c r="Z63" s="219">
        <f>-('Table 5C1T-Northeast'!AB66+'Table 5C1T-Northeast'!AE66)</f>
        <v>0</v>
      </c>
      <c r="AA63" s="219">
        <f>-('Table 5C1U-Acadiana Ren'!AB66+'Table 5C1U-Acadiana Ren'!AE66)</f>
        <v>0</v>
      </c>
      <c r="AB63" s="219">
        <f>-('Table 5C1V-Laf Ren'!AB66+'Table 5C1V-Laf Ren'!AE66)</f>
        <v>0</v>
      </c>
      <c r="AC63" s="219">
        <f>-('Table 5C1W-Willow'!AB66+'Table 5C1W-Willow'!AE66)</f>
        <v>0</v>
      </c>
      <c r="AD63" s="219">
        <f>-('Table 5C2 - LA Virtual Admy'!AC65+'Table 5C2 - LA Virtual Admy'!AF65)</f>
        <v>-49417.200000000004</v>
      </c>
      <c r="AE63" s="219">
        <f>-('Table 5C3 - LA Connections EBR'!AC65+'Table 5C3 - LA Connections EBR'!AF65)</f>
        <v>-67066.2</v>
      </c>
      <c r="AF63" s="219">
        <f t="shared" si="3"/>
        <v>-128588.55326128942</v>
      </c>
      <c r="AG63" s="364">
        <f t="shared" si="4"/>
        <v>37721193.446738705</v>
      </c>
    </row>
    <row r="64" spans="1:33" ht="14.4" customHeight="1">
      <c r="A64" s="1272">
        <v>61</v>
      </c>
      <c r="B64" s="1273" t="s">
        <v>140</v>
      </c>
      <c r="C64" s="1274">
        <f>+'Table 2_State Distrib and Adjs'!AP67</f>
        <v>13327557</v>
      </c>
      <c r="D64" s="1275">
        <f>-'Table 5A3_OJJ'!T66</f>
        <v>-4296.4414832814527</v>
      </c>
      <c r="E64" s="1275"/>
      <c r="F64" s="1275"/>
      <c r="G64" s="1275">
        <f>-('Table 5C1A-Madison Prep'!AB67+'Table 5C1A-Madison Prep'!AE67)</f>
        <v>-6745</v>
      </c>
      <c r="H64" s="1275">
        <f>-('Table 5C1B-DArbonne'!AB67+'Table 5C1B-DArbonne'!AE67)</f>
        <v>0</v>
      </c>
      <c r="I64" s="1275">
        <f>-('Table 5C1C-Intl_VIBE'!AB67+'Table 5C1C-Intl_VIBE'!AE67)</f>
        <v>0</v>
      </c>
      <c r="J64" s="1275">
        <f>-('Table 5C1D-NOMMA'!AB67+'Table 5C1D-NOMMA'!AE67)</f>
        <v>0</v>
      </c>
      <c r="K64" s="1275">
        <f>-('Table 5C1E-LFNO'!AB67+'Table 5C1E-LFNO'!AE67)</f>
        <v>0</v>
      </c>
      <c r="L64" s="1275">
        <f>-('Table 5C1F-Lake Charles Charter'!AB67+'Table 5C1F-Lake Charles Charter'!AE67)</f>
        <v>0</v>
      </c>
      <c r="M64" s="1275">
        <f>-('Table 5C1G-JS Clark Academy'!AB67+'Table 5C1G-JS Clark Academy'!AE67)</f>
        <v>0</v>
      </c>
      <c r="N64" s="1275">
        <f>-('Table 5C1H-Southwest LA Charter'!AB67+'Table 5C1H-Southwest LA Charter'!AE67)</f>
        <v>0</v>
      </c>
      <c r="O64" s="1275">
        <f>-('Table 5C1I-LA Key Academy'!AB67+'Table 5C1I-LA Key Academy'!AE67)</f>
        <v>-6745</v>
      </c>
      <c r="P64" s="1275">
        <f>-('Table 5C1J-Jefferson Chamber'!AB67+'Table 5C1J-Jefferson Chamber'!AE67)</f>
        <v>0</v>
      </c>
      <c r="Q64" s="1275">
        <f>-('Table 5C1K-Tallulah Charter'!AB67+'Table 5C1K-Tallulah Charter'!AE67)</f>
        <v>0</v>
      </c>
      <c r="R64" s="1275">
        <f>-('Table 5C1L-Northshore Charter'!AB67+'Table 5C1L-Northshore Charter'!AE67)</f>
        <v>0</v>
      </c>
      <c r="S64" s="1275">
        <f>-('Table 5C1M-B.R. Charter'!AB67+'Table 5C1M-B.R. Charter'!AE67)</f>
        <v>0</v>
      </c>
      <c r="T64" s="1275">
        <f>-('Table 5C1N-Delta Charter'!AB67+'Table 5C1N-Delta Charter'!AE67)</f>
        <v>0</v>
      </c>
      <c r="U64" s="1275">
        <f>-('Table 5C1O-Impact'!AB67+'Table 5C1O-Impact'!AE67)</f>
        <v>0</v>
      </c>
      <c r="V64" s="1275">
        <f>-('Table 5C1P-Vision'!AB67+'Table 5C1P-Vision'!AE67)</f>
        <v>0</v>
      </c>
      <c r="W64" s="1275">
        <f>-('Table 5C1Q-Advantage'!AB67+'Table 5C1Q-Advantage'!AE67)</f>
        <v>0</v>
      </c>
      <c r="X64" s="1275">
        <f>-('Table 5C1R-Iberville'!AB67+'Table 5C1R-Iberville'!AE67)</f>
        <v>-53960</v>
      </c>
      <c r="Y64" s="1275">
        <f>-('Table 5C1S-L.C. Coll Prep'!AB67+'Table 5C1S-L.C. Coll Prep'!AE67)</f>
        <v>0</v>
      </c>
      <c r="Z64" s="1275">
        <f>-('Table 5C1T-Northeast'!AB67+'Table 5C1T-Northeast'!AE67)</f>
        <v>0</v>
      </c>
      <c r="AA64" s="1275">
        <f>-('Table 5C1U-Acadiana Ren'!AB67+'Table 5C1U-Acadiana Ren'!AE67)</f>
        <v>0</v>
      </c>
      <c r="AB64" s="1275">
        <f>-('Table 5C1V-Laf Ren'!AB67+'Table 5C1V-Laf Ren'!AE67)</f>
        <v>0</v>
      </c>
      <c r="AC64" s="1275">
        <f>-('Table 5C1W-Willow'!AB67+'Table 5C1W-Willow'!AE67)</f>
        <v>0</v>
      </c>
      <c r="AD64" s="1275">
        <f>-('Table 5C2 - LA Virtual Admy'!AC66+'Table 5C2 - LA Virtual Admy'!AF66)</f>
        <v>-36423</v>
      </c>
      <c r="AE64" s="1275">
        <f>-('Table 5C3 - LA Connections EBR'!AC66+'Table 5C3 - LA Connections EBR'!AF66)</f>
        <v>-60705</v>
      </c>
      <c r="AF64" s="1275">
        <f t="shared" si="3"/>
        <v>-168874.44148328144</v>
      </c>
      <c r="AG64" s="1276">
        <f t="shared" si="4"/>
        <v>13158682.558516718</v>
      </c>
    </row>
    <row r="65" spans="1:33" ht="14.4" customHeight="1">
      <c r="A65" s="1256">
        <v>62</v>
      </c>
      <c r="B65" s="1257" t="s">
        <v>141</v>
      </c>
      <c r="C65" s="1258">
        <f>+'Table 2_State Distrib and Adjs'!AP68</f>
        <v>13582302</v>
      </c>
      <c r="D65" s="1259">
        <f>-'Table 5A3_OJJ'!T67</f>
        <v>-1991.7532437297114</v>
      </c>
      <c r="E65" s="1259"/>
      <c r="F65" s="1259"/>
      <c r="G65" s="1259">
        <f>-('Table 5C1A-Madison Prep'!AB68+'Table 5C1A-Madison Prep'!AE68)</f>
        <v>0</v>
      </c>
      <c r="H65" s="1259">
        <f>-('Table 5C1B-DArbonne'!AB68+'Table 5C1B-DArbonne'!AE68)</f>
        <v>0</v>
      </c>
      <c r="I65" s="1259">
        <f>-('Table 5C1C-Intl_VIBE'!AB68+'Table 5C1C-Intl_VIBE'!AE68)</f>
        <v>0</v>
      </c>
      <c r="J65" s="1259">
        <f>-('Table 5C1D-NOMMA'!AB68+'Table 5C1D-NOMMA'!AE68)</f>
        <v>0</v>
      </c>
      <c r="K65" s="1259">
        <f>-('Table 5C1E-LFNO'!AB68+'Table 5C1E-LFNO'!AE68)</f>
        <v>0</v>
      </c>
      <c r="L65" s="1259">
        <f>-('Table 5C1F-Lake Charles Charter'!AB68+'Table 5C1F-Lake Charles Charter'!AE68)</f>
        <v>0</v>
      </c>
      <c r="M65" s="1259">
        <f>-('Table 5C1G-JS Clark Academy'!AB68+'Table 5C1G-JS Clark Academy'!AE68)</f>
        <v>0</v>
      </c>
      <c r="N65" s="1259">
        <f>-('Table 5C1H-Southwest LA Charter'!AB68+'Table 5C1H-Southwest LA Charter'!AE68)</f>
        <v>0</v>
      </c>
      <c r="O65" s="1259">
        <f>-('Table 5C1I-LA Key Academy'!AB68+'Table 5C1I-LA Key Academy'!AE68)</f>
        <v>0</v>
      </c>
      <c r="P65" s="1259">
        <f>-('Table 5C1J-Jefferson Chamber'!AB68+'Table 5C1J-Jefferson Chamber'!AE68)</f>
        <v>0</v>
      </c>
      <c r="Q65" s="1259">
        <f>-('Table 5C1K-Tallulah Charter'!AB68+'Table 5C1K-Tallulah Charter'!AE68)</f>
        <v>0</v>
      </c>
      <c r="R65" s="1259">
        <f>-('Table 5C1L-Northshore Charter'!AB68+'Table 5C1L-Northshore Charter'!AE68)</f>
        <v>0</v>
      </c>
      <c r="S65" s="1259">
        <f>-('Table 5C1M-B.R. Charter'!AB68+'Table 5C1M-B.R. Charter'!AE68)</f>
        <v>0</v>
      </c>
      <c r="T65" s="1259">
        <f>-('Table 5C1N-Delta Charter'!AB68+'Table 5C1N-Delta Charter'!AE68)</f>
        <v>0</v>
      </c>
      <c r="U65" s="1259">
        <f>-('Table 5C1O-Impact'!AB68+'Table 5C1O-Impact'!AE68)</f>
        <v>0</v>
      </c>
      <c r="V65" s="1259">
        <f>-('Table 5C1P-Vision'!AB68+'Table 5C1P-Vision'!AE68)</f>
        <v>0</v>
      </c>
      <c r="W65" s="1259">
        <f>-('Table 5C1Q-Advantage'!AB68+'Table 5C1Q-Advantage'!AE68)</f>
        <v>0</v>
      </c>
      <c r="X65" s="1259">
        <f>-('Table 5C1R-Iberville'!AB68+'Table 5C1R-Iberville'!AE68)</f>
        <v>0</v>
      </c>
      <c r="Y65" s="1259">
        <f>-('Table 5C1S-L.C. Coll Prep'!AB68+'Table 5C1S-L.C. Coll Prep'!AE68)</f>
        <v>0</v>
      </c>
      <c r="Z65" s="1259">
        <f>-('Table 5C1T-Northeast'!AB68+'Table 5C1T-Northeast'!AE68)</f>
        <v>0</v>
      </c>
      <c r="AA65" s="1259">
        <f>-('Table 5C1U-Acadiana Ren'!AB68+'Table 5C1U-Acadiana Ren'!AE68)</f>
        <v>0</v>
      </c>
      <c r="AB65" s="1259">
        <f>-('Table 5C1V-Laf Ren'!AB68+'Table 5C1V-Laf Ren'!AE68)</f>
        <v>0</v>
      </c>
      <c r="AC65" s="1259">
        <f>-('Table 5C1W-Willow'!AB68+'Table 5C1W-Willow'!AE68)</f>
        <v>0</v>
      </c>
      <c r="AD65" s="1259">
        <f>-('Table 5C2 - LA Virtual Admy'!AC67+'Table 5C2 - LA Virtual Admy'!AF67)</f>
        <v>-17172</v>
      </c>
      <c r="AE65" s="1259">
        <f>-('Table 5C3 - LA Connections EBR'!AC67+'Table 5C3 - LA Connections EBR'!AF67)</f>
        <v>-1717.2</v>
      </c>
      <c r="AF65" s="1259">
        <f t="shared" si="3"/>
        <v>-20880.953243729713</v>
      </c>
      <c r="AG65" s="1281">
        <f t="shared" si="4"/>
        <v>13561421.046756271</v>
      </c>
    </row>
    <row r="66" spans="1:33" ht="14.4" customHeight="1">
      <c r="A66" s="1256">
        <v>63</v>
      </c>
      <c r="B66" s="1257" t="s">
        <v>142</v>
      </c>
      <c r="C66" s="1258">
        <f>+'Table 2_State Distrib and Adjs'!AP69</f>
        <v>9957780</v>
      </c>
      <c r="D66" s="1259">
        <f>-'Table 5A3_OJJ'!T68</f>
        <v>-2610.9038782973907</v>
      </c>
      <c r="E66" s="1259"/>
      <c r="F66" s="1259"/>
      <c r="G66" s="1259">
        <f>-('Table 5C1A-Madison Prep'!AB69+'Table 5C1A-Madison Prep'!AE69)</f>
        <v>0</v>
      </c>
      <c r="H66" s="1259">
        <f>-('Table 5C1B-DArbonne'!AB69+'Table 5C1B-DArbonne'!AE69)</f>
        <v>0</v>
      </c>
      <c r="I66" s="1259">
        <f>-('Table 5C1C-Intl_VIBE'!AB69+'Table 5C1C-Intl_VIBE'!AE69)</f>
        <v>0</v>
      </c>
      <c r="J66" s="1259">
        <f>-('Table 5C1D-NOMMA'!AB69+'Table 5C1D-NOMMA'!AE69)</f>
        <v>0</v>
      </c>
      <c r="K66" s="1259">
        <f>-('Table 5C1E-LFNO'!AB69+'Table 5C1E-LFNO'!AE69)</f>
        <v>0</v>
      </c>
      <c r="L66" s="1259">
        <f>-('Table 5C1F-Lake Charles Charter'!AB69+'Table 5C1F-Lake Charles Charter'!AE69)</f>
        <v>0</v>
      </c>
      <c r="M66" s="1259">
        <f>-('Table 5C1G-JS Clark Academy'!AB69+'Table 5C1G-JS Clark Academy'!AE69)</f>
        <v>0</v>
      </c>
      <c r="N66" s="1259">
        <f>-('Table 5C1H-Southwest LA Charter'!AB69+'Table 5C1H-Southwest LA Charter'!AE69)</f>
        <v>0</v>
      </c>
      <c r="O66" s="1259">
        <f>-('Table 5C1I-LA Key Academy'!AB69+'Table 5C1I-LA Key Academy'!AE69)</f>
        <v>0</v>
      </c>
      <c r="P66" s="1259">
        <f>-('Table 5C1J-Jefferson Chamber'!AB69+'Table 5C1J-Jefferson Chamber'!AE69)</f>
        <v>0</v>
      </c>
      <c r="Q66" s="1259">
        <f>-('Table 5C1K-Tallulah Charter'!AB69+'Table 5C1K-Tallulah Charter'!AE69)</f>
        <v>0</v>
      </c>
      <c r="R66" s="1259">
        <f>-('Table 5C1L-Northshore Charter'!AB69+'Table 5C1L-Northshore Charter'!AE69)</f>
        <v>0</v>
      </c>
      <c r="S66" s="1259">
        <f>-('Table 5C1M-B.R. Charter'!AB69+'Table 5C1M-B.R. Charter'!AE69)</f>
        <v>0</v>
      </c>
      <c r="T66" s="1259">
        <f>-('Table 5C1N-Delta Charter'!AB69+'Table 5C1N-Delta Charter'!AE69)</f>
        <v>0</v>
      </c>
      <c r="U66" s="1259">
        <f>-('Table 5C1O-Impact'!AB69+'Table 5C1O-Impact'!AE69)</f>
        <v>0</v>
      </c>
      <c r="V66" s="1259">
        <f>-('Table 5C1P-Vision'!AB69+'Table 5C1P-Vision'!AE69)</f>
        <v>0</v>
      </c>
      <c r="W66" s="1259">
        <f>-('Table 5C1Q-Advantage'!AB69+'Table 5C1Q-Advantage'!AE69)</f>
        <v>0</v>
      </c>
      <c r="X66" s="1259">
        <f>-('Table 5C1R-Iberville'!AB69+'Table 5C1R-Iberville'!AE69)</f>
        <v>0</v>
      </c>
      <c r="Y66" s="1259">
        <f>-('Table 5C1S-L.C. Coll Prep'!AB69+'Table 5C1S-L.C. Coll Prep'!AE69)</f>
        <v>0</v>
      </c>
      <c r="Z66" s="1259">
        <f>-('Table 5C1T-Northeast'!AB69+'Table 5C1T-Northeast'!AE69)</f>
        <v>0</v>
      </c>
      <c r="AA66" s="1259">
        <f>-('Table 5C1U-Acadiana Ren'!AB69+'Table 5C1U-Acadiana Ren'!AE69)</f>
        <v>0</v>
      </c>
      <c r="AB66" s="1259">
        <f>-('Table 5C1V-Laf Ren'!AB69+'Table 5C1V-Laf Ren'!AE69)</f>
        <v>0</v>
      </c>
      <c r="AC66" s="1259">
        <f>-('Table 5C1W-Willow'!AB69+'Table 5C1W-Willow'!AE69)</f>
        <v>0</v>
      </c>
      <c r="AD66" s="1259">
        <f>-('Table 5C2 - LA Virtual Admy'!AC68+'Table 5C2 - LA Virtual Admy'!AF68)</f>
        <v>-19683</v>
      </c>
      <c r="AE66" s="1259">
        <f>-('Table 5C3 - LA Connections EBR'!AC68+'Table 5C3 - LA Connections EBR'!AF68)</f>
        <v>0</v>
      </c>
      <c r="AF66" s="1259">
        <f t="shared" si="3"/>
        <v>-22293.903878297391</v>
      </c>
      <c r="AG66" s="1281">
        <f t="shared" si="4"/>
        <v>9935486.0961217023</v>
      </c>
    </row>
    <row r="67" spans="1:33" ht="14.4" customHeight="1">
      <c r="A67" s="1256">
        <v>64</v>
      </c>
      <c r="B67" s="1257" t="s">
        <v>143</v>
      </c>
      <c r="C67" s="1258">
        <f>+'Table 2_State Distrib and Adjs'!AP70</f>
        <v>16145055</v>
      </c>
      <c r="D67" s="1259">
        <f>-'Table 5A3_OJJ'!T69</f>
        <v>-1865.1692541621821</v>
      </c>
      <c r="E67" s="1259"/>
      <c r="F67" s="1259"/>
      <c r="G67" s="1259">
        <f>-('Table 5C1A-Madison Prep'!AB70+'Table 5C1A-Madison Prep'!AE70)</f>
        <v>0</v>
      </c>
      <c r="H67" s="1259">
        <f>-('Table 5C1B-DArbonne'!AB70+'Table 5C1B-DArbonne'!AE70)</f>
        <v>0</v>
      </c>
      <c r="I67" s="1259">
        <f>-('Table 5C1C-Intl_VIBE'!AB70+'Table 5C1C-Intl_VIBE'!AE70)</f>
        <v>0</v>
      </c>
      <c r="J67" s="1259">
        <f>-('Table 5C1D-NOMMA'!AB70+'Table 5C1D-NOMMA'!AE70)</f>
        <v>0</v>
      </c>
      <c r="K67" s="1259">
        <f>-('Table 5C1E-LFNO'!AB70+'Table 5C1E-LFNO'!AE70)</f>
        <v>0</v>
      </c>
      <c r="L67" s="1259">
        <f>-('Table 5C1F-Lake Charles Charter'!AB70+'Table 5C1F-Lake Charles Charter'!AE70)</f>
        <v>0</v>
      </c>
      <c r="M67" s="1259">
        <f>-('Table 5C1G-JS Clark Academy'!AB70+'Table 5C1G-JS Clark Academy'!AE70)</f>
        <v>0</v>
      </c>
      <c r="N67" s="1259">
        <f>-('Table 5C1H-Southwest LA Charter'!AB70+'Table 5C1H-Southwest LA Charter'!AE70)</f>
        <v>0</v>
      </c>
      <c r="O67" s="1259">
        <f>-('Table 5C1I-LA Key Academy'!AB70+'Table 5C1I-LA Key Academy'!AE70)</f>
        <v>0</v>
      </c>
      <c r="P67" s="1259">
        <f>-('Table 5C1J-Jefferson Chamber'!AB70+'Table 5C1J-Jefferson Chamber'!AE70)</f>
        <v>0</v>
      </c>
      <c r="Q67" s="1259">
        <f>-('Table 5C1K-Tallulah Charter'!AB70+'Table 5C1K-Tallulah Charter'!AE70)</f>
        <v>0</v>
      </c>
      <c r="R67" s="1259">
        <f>-('Table 5C1L-Northshore Charter'!AB70+'Table 5C1L-Northshore Charter'!AE70)</f>
        <v>0</v>
      </c>
      <c r="S67" s="1259">
        <f>-('Table 5C1M-B.R. Charter'!AB70+'Table 5C1M-B.R. Charter'!AE70)</f>
        <v>0</v>
      </c>
      <c r="T67" s="1259">
        <f>-('Table 5C1N-Delta Charter'!AB70+'Table 5C1N-Delta Charter'!AE70)</f>
        <v>0</v>
      </c>
      <c r="U67" s="1259">
        <f>-('Table 5C1O-Impact'!AB70+'Table 5C1O-Impact'!AE70)</f>
        <v>0</v>
      </c>
      <c r="V67" s="1259">
        <f>-('Table 5C1P-Vision'!AB70+'Table 5C1P-Vision'!AE70)</f>
        <v>0</v>
      </c>
      <c r="W67" s="1259">
        <f>-('Table 5C1Q-Advantage'!AB70+'Table 5C1Q-Advantage'!AE70)</f>
        <v>0</v>
      </c>
      <c r="X67" s="1259">
        <f>-('Table 5C1R-Iberville'!AB70+'Table 5C1R-Iberville'!AE70)</f>
        <v>0</v>
      </c>
      <c r="Y67" s="1259">
        <f>-('Table 5C1S-L.C. Coll Prep'!AB70+'Table 5C1S-L.C. Coll Prep'!AE70)</f>
        <v>0</v>
      </c>
      <c r="Z67" s="1259">
        <f>-('Table 5C1T-Northeast'!AB70+'Table 5C1T-Northeast'!AE70)</f>
        <v>0</v>
      </c>
      <c r="AA67" s="1259">
        <f>-('Table 5C1U-Acadiana Ren'!AB70+'Table 5C1U-Acadiana Ren'!AE70)</f>
        <v>0</v>
      </c>
      <c r="AB67" s="1259">
        <f>-('Table 5C1V-Laf Ren'!AB70+'Table 5C1V-Laf Ren'!AE70)</f>
        <v>0</v>
      </c>
      <c r="AC67" s="1259">
        <f>-('Table 5C1W-Willow'!AB70+'Table 5C1W-Willow'!AE70)</f>
        <v>0</v>
      </c>
      <c r="AD67" s="1259">
        <f>-('Table 5C2 - LA Virtual Admy'!AC69+'Table 5C2 - LA Virtual Admy'!AF69)</f>
        <v>-12244.5</v>
      </c>
      <c r="AE67" s="1259">
        <f>-('Table 5C3 - LA Connections EBR'!AC69+'Table 5C3 - LA Connections EBR'!AF69)</f>
        <v>-7346.7000000000007</v>
      </c>
      <c r="AF67" s="1259">
        <f t="shared" si="3"/>
        <v>-21456.369254162182</v>
      </c>
      <c r="AG67" s="1281">
        <f t="shared" si="4"/>
        <v>16123598.630745839</v>
      </c>
    </row>
    <row r="68" spans="1:33" ht="14.4" customHeight="1">
      <c r="A68" s="85">
        <v>65</v>
      </c>
      <c r="B68" s="207" t="s">
        <v>144</v>
      </c>
      <c r="C68" s="209">
        <f>+'Table 2_State Distrib and Adjs'!AP71</f>
        <v>45888623</v>
      </c>
      <c r="D68" s="219">
        <f>-'Table 5A3_OJJ'!T70</f>
        <v>0</v>
      </c>
      <c r="E68" s="219"/>
      <c r="F68" s="219"/>
      <c r="G68" s="219">
        <f>-('Table 5C1A-Madison Prep'!AB71+'Table 5C1A-Madison Prep'!AE71)</f>
        <v>0</v>
      </c>
      <c r="H68" s="219">
        <f>-('Table 5C1B-DArbonne'!AB71+'Table 5C1B-DArbonne'!AE71)</f>
        <v>-15330</v>
      </c>
      <c r="I68" s="219">
        <f>-('Table 5C1C-Intl_VIBE'!AB71+'Table 5C1C-Intl_VIBE'!AE71)</f>
        <v>0</v>
      </c>
      <c r="J68" s="219">
        <f>-('Table 5C1D-NOMMA'!AB71+'Table 5C1D-NOMMA'!AE71)</f>
        <v>0</v>
      </c>
      <c r="K68" s="219">
        <f>-('Table 5C1E-LFNO'!AB71+'Table 5C1E-LFNO'!AE71)</f>
        <v>0</v>
      </c>
      <c r="L68" s="219">
        <f>-('Table 5C1F-Lake Charles Charter'!AB71+'Table 5C1F-Lake Charles Charter'!AE71)</f>
        <v>0</v>
      </c>
      <c r="M68" s="219">
        <f>-('Table 5C1G-JS Clark Academy'!AB71+'Table 5C1G-JS Clark Academy'!AE71)</f>
        <v>0</v>
      </c>
      <c r="N68" s="219">
        <f>-('Table 5C1H-Southwest LA Charter'!AB71+'Table 5C1H-Southwest LA Charter'!AE71)</f>
        <v>0</v>
      </c>
      <c r="O68" s="219">
        <f>-('Table 5C1I-LA Key Academy'!AB71+'Table 5C1I-LA Key Academy'!AE71)</f>
        <v>0</v>
      </c>
      <c r="P68" s="219">
        <f>-('Table 5C1J-Jefferson Chamber'!AB71+'Table 5C1J-Jefferson Chamber'!AE71)</f>
        <v>0</v>
      </c>
      <c r="Q68" s="219">
        <f>-('Table 5C1K-Tallulah Charter'!AB71+'Table 5C1K-Tallulah Charter'!AE71)</f>
        <v>0</v>
      </c>
      <c r="R68" s="219">
        <f>-('Table 5C1L-Northshore Charter'!AB71+'Table 5C1L-Northshore Charter'!AE71)</f>
        <v>0</v>
      </c>
      <c r="S68" s="219">
        <f>-('Table 5C1M-B.R. Charter'!AB71+'Table 5C1M-B.R. Charter'!AE71)</f>
        <v>0</v>
      </c>
      <c r="T68" s="219">
        <f>-('Table 5C1N-Delta Charter'!AB71+'Table 5C1N-Delta Charter'!AE71)</f>
        <v>0</v>
      </c>
      <c r="U68" s="219">
        <f>-('Table 5C1O-Impact'!AB71+'Table 5C1O-Impact'!AE71)</f>
        <v>0</v>
      </c>
      <c r="V68" s="219">
        <f>-('Table 5C1P-Vision'!AB71+'Table 5C1P-Vision'!AE71)</f>
        <v>-766500</v>
      </c>
      <c r="W68" s="219">
        <f>-('Table 5C1Q-Advantage'!AB71+'Table 5C1Q-Advantage'!AE71)</f>
        <v>0</v>
      </c>
      <c r="X68" s="219">
        <f>-('Table 5C1R-Iberville'!AB71+'Table 5C1R-Iberville'!AE71)</f>
        <v>0</v>
      </c>
      <c r="Y68" s="219">
        <f>-('Table 5C1S-L.C. Coll Prep'!AB71+'Table 5C1S-L.C. Coll Prep'!AE71)</f>
        <v>0</v>
      </c>
      <c r="Z68" s="219">
        <f>-('Table 5C1T-Northeast'!AB71+'Table 5C1T-Northeast'!AE71)</f>
        <v>0</v>
      </c>
      <c r="AA68" s="219">
        <f>-('Table 5C1U-Acadiana Ren'!AB71+'Table 5C1U-Acadiana Ren'!AE71)</f>
        <v>0</v>
      </c>
      <c r="AB68" s="219">
        <f>-('Table 5C1V-Laf Ren'!AB71+'Table 5C1V-Laf Ren'!AE71)</f>
        <v>0</v>
      </c>
      <c r="AC68" s="219">
        <f>-('Table 5C1W-Willow'!AB71+'Table 5C1W-Willow'!AE71)</f>
        <v>0</v>
      </c>
      <c r="AD68" s="219">
        <f>-('Table 5C2 - LA Virtual Admy'!AC70+'Table 5C2 - LA Virtual Admy'!AF70)</f>
        <v>0</v>
      </c>
      <c r="AE68" s="219">
        <f>-('Table 5C3 - LA Connections EBR'!AC70+'Table 5C3 - LA Connections EBR'!AF70)</f>
        <v>0</v>
      </c>
      <c r="AF68" s="219">
        <f t="shared" ref="AF68:AF72" si="5">SUM(D68:AE68)</f>
        <v>-781830</v>
      </c>
      <c r="AG68" s="364">
        <f t="shared" si="4"/>
        <v>45106793</v>
      </c>
    </row>
    <row r="69" spans="1:33" ht="14.4" customHeight="1">
      <c r="A69" s="1272">
        <v>66</v>
      </c>
      <c r="B69" s="1273" t="s">
        <v>145</v>
      </c>
      <c r="C69" s="1274">
        <f>+'Table 2_State Distrib and Adjs'!AP72</f>
        <v>13466590</v>
      </c>
      <c r="D69" s="1275">
        <f>-'Table 5A3_OJJ'!T71</f>
        <v>0</v>
      </c>
      <c r="E69" s="1275"/>
      <c r="F69" s="1275"/>
      <c r="G69" s="1275">
        <f>-('Table 5C1A-Madison Prep'!AB72+'Table 5C1A-Madison Prep'!AE72)</f>
        <v>0</v>
      </c>
      <c r="H69" s="1275">
        <f>-('Table 5C1B-DArbonne'!AB72+'Table 5C1B-DArbonne'!AE72)</f>
        <v>0</v>
      </c>
      <c r="I69" s="1275">
        <f>-('Table 5C1C-Intl_VIBE'!AB72+'Table 5C1C-Intl_VIBE'!AE72)</f>
        <v>0</v>
      </c>
      <c r="J69" s="1275">
        <f>-('Table 5C1D-NOMMA'!AB72+'Table 5C1D-NOMMA'!AE72)</f>
        <v>0</v>
      </c>
      <c r="K69" s="1275">
        <f>-('Table 5C1E-LFNO'!AB72+'Table 5C1E-LFNO'!AE72)</f>
        <v>0</v>
      </c>
      <c r="L69" s="1275">
        <f>-('Table 5C1F-Lake Charles Charter'!AB72+'Table 5C1F-Lake Charles Charter'!AE72)</f>
        <v>0</v>
      </c>
      <c r="M69" s="1275">
        <f>-('Table 5C1G-JS Clark Academy'!AB72+'Table 5C1G-JS Clark Academy'!AE72)</f>
        <v>0</v>
      </c>
      <c r="N69" s="1275">
        <f>-('Table 5C1H-Southwest LA Charter'!AB72+'Table 5C1H-Southwest LA Charter'!AE72)</f>
        <v>0</v>
      </c>
      <c r="O69" s="1275">
        <f>-('Table 5C1I-LA Key Academy'!AB72+'Table 5C1I-LA Key Academy'!AE72)</f>
        <v>0</v>
      </c>
      <c r="P69" s="1275">
        <f>-('Table 5C1J-Jefferson Chamber'!AB72+'Table 5C1J-Jefferson Chamber'!AE72)</f>
        <v>0</v>
      </c>
      <c r="Q69" s="1275">
        <f>-('Table 5C1K-Tallulah Charter'!AB72+'Table 5C1K-Tallulah Charter'!AE72)</f>
        <v>0</v>
      </c>
      <c r="R69" s="1275">
        <f>-('Table 5C1L-Northshore Charter'!AB72+'Table 5C1L-Northshore Charter'!AE72)</f>
        <v>-532302</v>
      </c>
      <c r="S69" s="1275">
        <f>-('Table 5C1M-B.R. Charter'!AB72+'Table 5C1M-B.R. Charter'!AE72)</f>
        <v>0</v>
      </c>
      <c r="T69" s="1275">
        <f>-('Table 5C1N-Delta Charter'!AB72+'Table 5C1N-Delta Charter'!AE72)</f>
        <v>0</v>
      </c>
      <c r="U69" s="1275">
        <f>-('Table 5C1O-Impact'!AB72+'Table 5C1O-Impact'!AE72)</f>
        <v>0</v>
      </c>
      <c r="V69" s="1275">
        <f>-('Table 5C1P-Vision'!AB72+'Table 5C1P-Vision'!AE72)</f>
        <v>0</v>
      </c>
      <c r="W69" s="1275">
        <f>-('Table 5C1Q-Advantage'!AB72+'Table 5C1Q-Advantage'!AE72)</f>
        <v>0</v>
      </c>
      <c r="X69" s="1275">
        <f>-('Table 5C1R-Iberville'!AB72+'Table 5C1R-Iberville'!AE72)</f>
        <v>0</v>
      </c>
      <c r="Y69" s="1275">
        <f>-('Table 5C1S-L.C. Coll Prep'!AB72+'Table 5C1S-L.C. Coll Prep'!AE72)</f>
        <v>0</v>
      </c>
      <c r="Z69" s="1275">
        <f>-('Table 5C1T-Northeast'!AB72+'Table 5C1T-Northeast'!AE72)</f>
        <v>0</v>
      </c>
      <c r="AA69" s="1275">
        <f>-('Table 5C1U-Acadiana Ren'!AB72+'Table 5C1U-Acadiana Ren'!AE72)</f>
        <v>0</v>
      </c>
      <c r="AB69" s="1275">
        <f>-('Table 5C1V-Laf Ren'!AB72+'Table 5C1V-Laf Ren'!AE72)</f>
        <v>0</v>
      </c>
      <c r="AC69" s="1275">
        <f>-('Table 5C1W-Willow'!AB72+'Table 5C1W-Willow'!AE72)</f>
        <v>0</v>
      </c>
      <c r="AD69" s="1275">
        <f>-('Table 5C2 - LA Virtual Admy'!AC71+'Table 5C2 - LA Virtual Admy'!AF71)</f>
        <v>-45481.5</v>
      </c>
      <c r="AE69" s="1275">
        <f>-('Table 5C3 - LA Connections EBR'!AC71+'Table 5C3 - LA Connections EBR'!AF71)</f>
        <v>-24686.1</v>
      </c>
      <c r="AF69" s="1275">
        <f t="shared" si="5"/>
        <v>-602469.6</v>
      </c>
      <c r="AG69" s="1276">
        <f t="shared" si="4"/>
        <v>12864120.4</v>
      </c>
    </row>
    <row r="70" spans="1:33" ht="14.4" customHeight="1">
      <c r="A70" s="1256">
        <v>67</v>
      </c>
      <c r="B70" s="1257" t="s">
        <v>30</v>
      </c>
      <c r="C70" s="1258">
        <f>+'Table 2_State Distrib and Adjs'!AP73</f>
        <v>30239947</v>
      </c>
      <c r="D70" s="1259">
        <f>-'Table 5A3_OJJ'!T72</f>
        <v>0</v>
      </c>
      <c r="E70" s="1259"/>
      <c r="F70" s="1259"/>
      <c r="G70" s="1259">
        <f>-('Table 5C1A-Madison Prep'!AB73+'Table 5C1A-Madison Prep'!AE73)</f>
        <v>-15045</v>
      </c>
      <c r="H70" s="1259">
        <f>-('Table 5C1B-DArbonne'!AB73+'Table 5C1B-DArbonne'!AE73)</f>
        <v>0</v>
      </c>
      <c r="I70" s="1259">
        <f>-('Table 5C1C-Intl_VIBE'!AB73+'Table 5C1C-Intl_VIBE'!AE73)</f>
        <v>0</v>
      </c>
      <c r="J70" s="1259">
        <f>-('Table 5C1D-NOMMA'!AB73+'Table 5C1D-NOMMA'!AE73)</f>
        <v>0</v>
      </c>
      <c r="K70" s="1259">
        <f>-('Table 5C1E-LFNO'!AB73+'Table 5C1E-LFNO'!AE73)</f>
        <v>0</v>
      </c>
      <c r="L70" s="1259">
        <f>-('Table 5C1F-Lake Charles Charter'!AB73+'Table 5C1F-Lake Charles Charter'!AE73)</f>
        <v>0</v>
      </c>
      <c r="M70" s="1259">
        <f>-('Table 5C1G-JS Clark Academy'!AB73+'Table 5C1G-JS Clark Academy'!AE73)</f>
        <v>0</v>
      </c>
      <c r="N70" s="1259">
        <f>-('Table 5C1H-Southwest LA Charter'!AB73+'Table 5C1H-Southwest LA Charter'!AE73)</f>
        <v>0</v>
      </c>
      <c r="O70" s="1259">
        <f>-('Table 5C1I-LA Key Academy'!AB73+'Table 5C1I-LA Key Academy'!AE73)</f>
        <v>0</v>
      </c>
      <c r="P70" s="1259">
        <f>-('Table 5C1J-Jefferson Chamber'!AB73+'Table 5C1J-Jefferson Chamber'!AE73)</f>
        <v>0</v>
      </c>
      <c r="Q70" s="1259">
        <f>-('Table 5C1K-Tallulah Charter'!AB73+'Table 5C1K-Tallulah Charter'!AE73)</f>
        <v>0</v>
      </c>
      <c r="R70" s="1259">
        <f>-('Table 5C1L-Northshore Charter'!AB73+'Table 5C1L-Northshore Charter'!AE73)</f>
        <v>0</v>
      </c>
      <c r="S70" s="1259">
        <f>-('Table 5C1M-B.R. Charter'!AB73+'Table 5C1M-B.R. Charter'!AE73)</f>
        <v>0</v>
      </c>
      <c r="T70" s="1259">
        <f>-('Table 5C1N-Delta Charter'!AB73+'Table 5C1N-Delta Charter'!AE73)</f>
        <v>0</v>
      </c>
      <c r="U70" s="1259">
        <f>-('Table 5C1O-Impact'!AB73+'Table 5C1O-Impact'!AE73)</f>
        <v>0</v>
      </c>
      <c r="V70" s="1259">
        <f>-('Table 5C1P-Vision'!AB73+'Table 5C1P-Vision'!AE73)</f>
        <v>0</v>
      </c>
      <c r="W70" s="1259">
        <f>-('Table 5C1Q-Advantage'!AB73+'Table 5C1Q-Advantage'!AE73)</f>
        <v>0</v>
      </c>
      <c r="X70" s="1259">
        <f>-('Table 5C1R-Iberville'!AB73+'Table 5C1R-Iberville'!AE73)</f>
        <v>0</v>
      </c>
      <c r="Y70" s="1259">
        <f>-('Table 5C1S-L.C. Coll Prep'!AB73+'Table 5C1S-L.C. Coll Prep'!AE73)</f>
        <v>0</v>
      </c>
      <c r="Z70" s="1259">
        <f>-('Table 5C1T-Northeast'!AB73+'Table 5C1T-Northeast'!AE73)</f>
        <v>0</v>
      </c>
      <c r="AA70" s="1259">
        <f>-('Table 5C1U-Acadiana Ren'!AB73+'Table 5C1U-Acadiana Ren'!AE73)</f>
        <v>0</v>
      </c>
      <c r="AB70" s="1259">
        <f>-('Table 5C1V-Laf Ren'!AB73+'Table 5C1V-Laf Ren'!AE73)</f>
        <v>0</v>
      </c>
      <c r="AC70" s="1259">
        <f>-('Table 5C1W-Willow'!AB73+'Table 5C1W-Willow'!AE73)</f>
        <v>0</v>
      </c>
      <c r="AD70" s="1259">
        <f>-('Table 5C2 - LA Virtual Admy'!AC72+'Table 5C2 - LA Virtual Admy'!AF72)</f>
        <v>-18054</v>
      </c>
      <c r="AE70" s="1259">
        <f>-('Table 5C3 - LA Connections EBR'!AC72+'Table 5C3 - LA Connections EBR'!AF72)</f>
        <v>0</v>
      </c>
      <c r="AF70" s="1259">
        <f t="shared" si="5"/>
        <v>-33099</v>
      </c>
      <c r="AG70" s="1281">
        <f t="shared" si="4"/>
        <v>30206848</v>
      </c>
    </row>
    <row r="71" spans="1:33" ht="14.4" customHeight="1">
      <c r="A71" s="1256">
        <v>68</v>
      </c>
      <c r="B71" s="1257" t="s">
        <v>28</v>
      </c>
      <c r="C71" s="1258">
        <f>+'Table 2_State Distrib and Adjs'!AP74</f>
        <v>11499076</v>
      </c>
      <c r="D71" s="1259">
        <f>-'Table 5A3_OJJ'!T73</f>
        <v>-707.04076946127429</v>
      </c>
      <c r="E71" s="1259"/>
      <c r="F71" s="1259"/>
      <c r="G71" s="1259">
        <f>-('Table 5C1A-Madison Prep'!AB74+'Table 5C1A-Madison Prep'!AE74)</f>
        <v>-18683</v>
      </c>
      <c r="H71" s="1259">
        <f>-('Table 5C1B-DArbonne'!AB74+'Table 5C1B-DArbonne'!AE74)</f>
        <v>0</v>
      </c>
      <c r="I71" s="1259">
        <f>-('Table 5C1C-Intl_VIBE'!AB74+'Table 5C1C-Intl_VIBE'!AE74)</f>
        <v>0</v>
      </c>
      <c r="J71" s="1259">
        <f>-('Table 5C1D-NOMMA'!AB74+'Table 5C1D-NOMMA'!AE74)</f>
        <v>0</v>
      </c>
      <c r="K71" s="1259">
        <f>-('Table 5C1E-LFNO'!AB74+'Table 5C1E-LFNO'!AE74)</f>
        <v>0</v>
      </c>
      <c r="L71" s="1259">
        <f>-('Table 5C1F-Lake Charles Charter'!AB74+'Table 5C1F-Lake Charles Charter'!AE74)</f>
        <v>0</v>
      </c>
      <c r="M71" s="1259">
        <f>-('Table 5C1G-JS Clark Academy'!AB74+'Table 5C1G-JS Clark Academy'!AE74)</f>
        <v>0</v>
      </c>
      <c r="N71" s="1259">
        <f>-('Table 5C1H-Southwest LA Charter'!AB74+'Table 5C1H-Southwest LA Charter'!AE74)</f>
        <v>0</v>
      </c>
      <c r="O71" s="1259">
        <f>-('Table 5C1I-LA Key Academy'!AB74+'Table 5C1I-LA Key Academy'!AE74)</f>
        <v>0</v>
      </c>
      <c r="P71" s="1259">
        <f>-('Table 5C1J-Jefferson Chamber'!AB74+'Table 5C1J-Jefferson Chamber'!AE74)</f>
        <v>0</v>
      </c>
      <c r="Q71" s="1259">
        <f>-('Table 5C1K-Tallulah Charter'!AB74+'Table 5C1K-Tallulah Charter'!AE74)</f>
        <v>0</v>
      </c>
      <c r="R71" s="1259">
        <f>-('Table 5C1L-Northshore Charter'!AB74+'Table 5C1L-Northshore Charter'!AE74)</f>
        <v>0</v>
      </c>
      <c r="S71" s="1259">
        <f>-('Table 5C1M-B.R. Charter'!AB74+'Table 5C1M-B.R. Charter'!AE74)</f>
        <v>0</v>
      </c>
      <c r="T71" s="1259">
        <f>-('Table 5C1N-Delta Charter'!AB74+'Table 5C1N-Delta Charter'!AE74)</f>
        <v>0</v>
      </c>
      <c r="U71" s="1259">
        <f>-('Table 5C1O-Impact'!AB74+'Table 5C1O-Impact'!AE74)</f>
        <v>-512448</v>
      </c>
      <c r="V71" s="1259">
        <f>-('Table 5C1P-Vision'!AB74+'Table 5C1P-Vision'!AE74)</f>
        <v>0</v>
      </c>
      <c r="W71" s="1259">
        <f>-('Table 5C1Q-Advantage'!AB74+'Table 5C1Q-Advantage'!AE74)</f>
        <v>-659243</v>
      </c>
      <c r="X71" s="1259">
        <f>-('Table 5C1R-Iberville'!AB74+'Table 5C1R-Iberville'!AE74)</f>
        <v>0</v>
      </c>
      <c r="Y71" s="1259">
        <f>-('Table 5C1S-L.C. Coll Prep'!AB74+'Table 5C1S-L.C. Coll Prep'!AE74)</f>
        <v>0</v>
      </c>
      <c r="Z71" s="1259">
        <f>-('Table 5C1T-Northeast'!AB74+'Table 5C1T-Northeast'!AE74)</f>
        <v>0</v>
      </c>
      <c r="AA71" s="1259">
        <f>-('Table 5C1U-Acadiana Ren'!AB74+'Table 5C1U-Acadiana Ren'!AE74)</f>
        <v>0</v>
      </c>
      <c r="AB71" s="1259">
        <f>-('Table 5C1V-Laf Ren'!AB74+'Table 5C1V-Laf Ren'!AE74)</f>
        <v>0</v>
      </c>
      <c r="AC71" s="1259">
        <f>-('Table 5C1W-Willow'!AB74+'Table 5C1W-Willow'!AE74)</f>
        <v>0</v>
      </c>
      <c r="AD71" s="1259">
        <f>-('Table 5C2 - LA Virtual Admy'!AC73+'Table 5C2 - LA Virtual Admy'!AF73)</f>
        <v>-12010.5</v>
      </c>
      <c r="AE71" s="1259">
        <f>-('Table 5C3 - LA Connections EBR'!AC73+'Table 5C3 - LA Connections EBR'!AF73)</f>
        <v>0</v>
      </c>
      <c r="AF71" s="1259">
        <f t="shared" si="5"/>
        <v>-1203091.5407694613</v>
      </c>
      <c r="AG71" s="1281">
        <f t="shared" si="4"/>
        <v>10295984.459230538</v>
      </c>
    </row>
    <row r="72" spans="1:33" ht="14.4" customHeight="1">
      <c r="A72" s="1262">
        <v>69</v>
      </c>
      <c r="B72" s="1263" t="s">
        <v>183</v>
      </c>
      <c r="C72" s="1264">
        <f>+'Table 2_State Distrib and Adjs'!AP75</f>
        <v>27683274</v>
      </c>
      <c r="D72" s="1265">
        <f>-'Table 5A3_OJJ'!T74</f>
        <v>0</v>
      </c>
      <c r="E72" s="1265"/>
      <c r="F72" s="1265"/>
      <c r="G72" s="1265">
        <f>-('Table 5C1A-Madison Prep'!AB75+'Table 5C1A-Madison Prep'!AE75)</f>
        <v>-3394</v>
      </c>
      <c r="H72" s="1265">
        <f>-('Table 5C1B-DArbonne'!AB75+'Table 5C1B-DArbonne'!AE75)</f>
        <v>0</v>
      </c>
      <c r="I72" s="1265">
        <f>-('Table 5C1C-Intl_VIBE'!AB75+'Table 5C1C-Intl_VIBE'!AE75)</f>
        <v>0</v>
      </c>
      <c r="J72" s="1265">
        <f>-('Table 5C1D-NOMMA'!AB75+'Table 5C1D-NOMMA'!AE75)</f>
        <v>0</v>
      </c>
      <c r="K72" s="1265">
        <f>-('Table 5C1E-LFNO'!AB75+'Table 5C1E-LFNO'!AE75)</f>
        <v>0</v>
      </c>
      <c r="L72" s="1265">
        <f>-('Table 5C1F-Lake Charles Charter'!AB75+'Table 5C1F-Lake Charles Charter'!AE75)</f>
        <v>0</v>
      </c>
      <c r="M72" s="1265">
        <f>-('Table 5C1G-JS Clark Academy'!AB75+'Table 5C1G-JS Clark Academy'!AE75)</f>
        <v>0</v>
      </c>
      <c r="N72" s="1265">
        <f>-('Table 5C1H-Southwest LA Charter'!AB75+'Table 5C1H-Southwest LA Charter'!AE75)</f>
        <v>0</v>
      </c>
      <c r="O72" s="1265">
        <f>-('Table 5C1I-LA Key Academy'!AB75+'Table 5C1I-LA Key Academy'!AE75)</f>
        <v>-3394</v>
      </c>
      <c r="P72" s="1265">
        <f>-('Table 5C1J-Jefferson Chamber'!AB75+'Table 5C1J-Jefferson Chamber'!AE75)</f>
        <v>0</v>
      </c>
      <c r="Q72" s="1265">
        <f>-('Table 5C1K-Tallulah Charter'!AB75+'Table 5C1K-Tallulah Charter'!AE75)</f>
        <v>0</v>
      </c>
      <c r="R72" s="1265">
        <f>-('Table 5C1L-Northshore Charter'!AB75+'Table 5C1L-Northshore Charter'!AE75)</f>
        <v>0</v>
      </c>
      <c r="S72" s="1265">
        <f>-('Table 5C1M-B.R. Charter'!AB75+'Table 5C1M-B.R. Charter'!AE75)</f>
        <v>0</v>
      </c>
      <c r="T72" s="1265">
        <f>-('Table 5C1N-Delta Charter'!AB75+'Table 5C1N-Delta Charter'!AE75)</f>
        <v>0</v>
      </c>
      <c r="U72" s="1265">
        <f>-('Table 5C1O-Impact'!AB75+'Table 5C1O-Impact'!AE75)</f>
        <v>0</v>
      </c>
      <c r="V72" s="1265">
        <f>-('Table 5C1P-Vision'!AB75+'Table 5C1P-Vision'!AE75)</f>
        <v>0</v>
      </c>
      <c r="W72" s="1265">
        <f>-('Table 5C1Q-Advantage'!AB75+'Table 5C1Q-Advantage'!AE75)</f>
        <v>0</v>
      </c>
      <c r="X72" s="1265">
        <f>-('Table 5C1R-Iberville'!AB75+'Table 5C1R-Iberville'!AE75)</f>
        <v>0</v>
      </c>
      <c r="Y72" s="1265">
        <f>-('Table 5C1S-L.C. Coll Prep'!AB75+'Table 5C1S-L.C. Coll Prep'!AE75)</f>
        <v>0</v>
      </c>
      <c r="Z72" s="1265">
        <f>-('Table 5C1T-Northeast'!AB75+'Table 5C1T-Northeast'!AE75)</f>
        <v>0</v>
      </c>
      <c r="AA72" s="1265">
        <f>-('Table 5C1U-Acadiana Ren'!AB75+'Table 5C1U-Acadiana Ren'!AE75)</f>
        <v>0</v>
      </c>
      <c r="AB72" s="1265">
        <f>-('Table 5C1V-Laf Ren'!AB75+'Table 5C1V-Laf Ren'!AE75)</f>
        <v>0</v>
      </c>
      <c r="AC72" s="1265">
        <f>-('Table 5C1W-Willow'!AB75+'Table 5C1W-Willow'!AE75)</f>
        <v>0</v>
      </c>
      <c r="AD72" s="1265">
        <f>-('Table 5C2 - LA Virtual Admy'!AC74+'Table 5C2 - LA Virtual Admy'!AF74)</f>
        <v>-36655.199999999997</v>
      </c>
      <c r="AE72" s="1265">
        <f>-('Table 5C3 - LA Connections EBR'!AC74+'Table 5C3 - LA Connections EBR'!AF74)</f>
        <v>0</v>
      </c>
      <c r="AF72" s="1265">
        <f t="shared" si="5"/>
        <v>-43443.199999999997</v>
      </c>
      <c r="AG72" s="1282">
        <f t="shared" si="4"/>
        <v>27639830.800000001</v>
      </c>
    </row>
    <row r="73" spans="1:33" ht="14.4" customHeight="1" thickBot="1">
      <c r="A73" s="1266"/>
      <c r="B73" s="1267" t="s">
        <v>146</v>
      </c>
      <c r="C73" s="1283">
        <f t="shared" ref="C73:AG73" si="6">SUM(C4:C72)</f>
        <v>3347741940</v>
      </c>
      <c r="D73" s="1283">
        <f>SUM(D4:D72)</f>
        <v>-1038019.2101004099</v>
      </c>
      <c r="E73" s="1283">
        <f t="shared" si="6"/>
        <v>-15149501</v>
      </c>
      <c r="F73" s="1283">
        <f t="shared" si="6"/>
        <v>-132625731</v>
      </c>
      <c r="G73" s="1283">
        <f t="shared" si="6"/>
        <v>-1901020</v>
      </c>
      <c r="H73" s="1283">
        <f t="shared" si="6"/>
        <v>-2054476</v>
      </c>
      <c r="I73" s="1283">
        <f t="shared" si="6"/>
        <v>-2190524</v>
      </c>
      <c r="J73" s="1283">
        <f t="shared" si="6"/>
        <v>-1946762</v>
      </c>
      <c r="K73" s="1283">
        <f t="shared" si="6"/>
        <v>-1691346</v>
      </c>
      <c r="L73" s="1283">
        <f t="shared" si="6"/>
        <v>-3948725</v>
      </c>
      <c r="M73" s="1283">
        <f t="shared" si="6"/>
        <v>-477864.5</v>
      </c>
      <c r="N73" s="1283">
        <f t="shared" si="6"/>
        <v>-3063115</v>
      </c>
      <c r="O73" s="1283">
        <f t="shared" si="6"/>
        <v>-879287</v>
      </c>
      <c r="P73" s="1283">
        <f t="shared" si="6"/>
        <v>-509037</v>
      </c>
      <c r="Q73" s="1283">
        <f t="shared" si="6"/>
        <v>-1063104</v>
      </c>
      <c r="R73" s="1283">
        <f t="shared" si="6"/>
        <v>-551226</v>
      </c>
      <c r="S73" s="1283">
        <f t="shared" si="6"/>
        <v>-3102427</v>
      </c>
      <c r="T73" s="1283">
        <f t="shared" si="6"/>
        <v>-846580</v>
      </c>
      <c r="U73" s="1283">
        <f t="shared" si="6"/>
        <v>-801144</v>
      </c>
      <c r="V73" s="1283">
        <f t="shared" si="6"/>
        <v>-927100</v>
      </c>
      <c r="W73" s="1283">
        <f t="shared" si="6"/>
        <v>-1596893</v>
      </c>
      <c r="X73" s="1283">
        <f t="shared" si="6"/>
        <v>-3936448</v>
      </c>
      <c r="Y73" s="1283">
        <f t="shared" si="6"/>
        <v>-502150</v>
      </c>
      <c r="Z73" s="1283">
        <f t="shared" si="6"/>
        <v>-451000</v>
      </c>
      <c r="AA73" s="1283">
        <f t="shared" si="6"/>
        <v>-3324774</v>
      </c>
      <c r="AB73" s="1283">
        <f t="shared" si="6"/>
        <v>-3228944</v>
      </c>
      <c r="AC73" s="1283">
        <f t="shared" si="6"/>
        <v>-2779200</v>
      </c>
      <c r="AD73" s="1283">
        <f>SUM(AD4:AD72)</f>
        <v>-7150576.4999999981</v>
      </c>
      <c r="AE73" s="1283">
        <f>SUM(AE4:AE72)</f>
        <v>-4815601.6500000013</v>
      </c>
      <c r="AF73" s="1283">
        <f>SUM(AF4:AF72)</f>
        <v>-202552575.86010039</v>
      </c>
      <c r="AG73" s="1284">
        <f t="shared" si="6"/>
        <v>3145189364.1399007</v>
      </c>
    </row>
    <row r="74" spans="1:33" ht="13.8" thickTop="1"/>
  </sheetData>
  <printOptions horizontalCentered="1"/>
  <pageMargins left="0.25" right="0.25" top="0.99" bottom="0.75" header="0.3" footer="0.3"/>
  <pageSetup paperSize="5" scale="80" firstPageNumber="7" orientation="portrait" r:id="rId1"/>
  <headerFooter>
    <oddHeader xml:space="preserve">&amp;L&amp;"Arial,Bold"&amp;14&amp;K000000Table 2A-1:  FY2014-15 Budget Letter 
MFP Transfer Amount (Annual) 
</oddHeader>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K74"/>
  <sheetViews>
    <sheetView view="pageBreakPreview" zoomScale="90" zoomScaleNormal="70" zoomScaleSheetLayoutView="90" workbookViewId="0">
      <pane xSplit="2" ySplit="2" topLeftCell="C4" activePane="bottomRight" state="frozen"/>
      <selection sqref="A1:H1"/>
      <selection pane="topRight" sqref="A1:H1"/>
      <selection pane="bottomLeft" sqref="A1:H1"/>
      <selection pane="bottomRight" sqref="A1:H1"/>
    </sheetView>
  </sheetViews>
  <sheetFormatPr defaultRowHeight="13.2"/>
  <cols>
    <col min="1" max="1" width="3.44140625" bestFit="1" customWidth="1"/>
    <col min="2" max="2" width="17.5546875" bestFit="1" customWidth="1"/>
    <col min="3" max="3" width="12.6640625" bestFit="1" customWidth="1"/>
    <col min="4" max="20" width="14.5546875" customWidth="1"/>
    <col min="21" max="29" width="14.5546875" style="594" customWidth="1"/>
    <col min="30" max="33" width="14.5546875" customWidth="1"/>
    <col min="34" max="50" width="14.6640625" customWidth="1"/>
    <col min="51" max="59" width="14.6640625" style="594" customWidth="1"/>
    <col min="60" max="61" width="14.6640625" customWidth="1"/>
    <col min="62" max="62" width="13.88671875" bestFit="1" customWidth="1"/>
    <col min="63" max="63" width="1.109375" customWidth="1"/>
  </cols>
  <sheetData>
    <row r="1" spans="1:63" ht="147.6" customHeight="1">
      <c r="A1" s="1761" t="s">
        <v>311</v>
      </c>
      <c r="B1" s="1761" t="s">
        <v>203</v>
      </c>
      <c r="C1" s="1495" t="s">
        <v>765</v>
      </c>
      <c r="D1" s="1762" t="s">
        <v>1179</v>
      </c>
      <c r="E1" s="1763" t="s">
        <v>1180</v>
      </c>
      <c r="F1" s="1763" t="s">
        <v>1181</v>
      </c>
      <c r="G1" s="1495" t="s">
        <v>1182</v>
      </c>
      <c r="H1" s="1495" t="s">
        <v>1183</v>
      </c>
      <c r="I1" s="1495" t="s">
        <v>1184</v>
      </c>
      <c r="J1" s="1495" t="s">
        <v>1185</v>
      </c>
      <c r="K1" s="1495" t="s">
        <v>1186</v>
      </c>
      <c r="L1" s="1495" t="s">
        <v>1187</v>
      </c>
      <c r="M1" s="1495" t="s">
        <v>1188</v>
      </c>
      <c r="N1" s="1495" t="s">
        <v>1189</v>
      </c>
      <c r="O1" s="1495" t="s">
        <v>1190</v>
      </c>
      <c r="P1" s="1495" t="s">
        <v>1191</v>
      </c>
      <c r="Q1" s="1495" t="s">
        <v>1192</v>
      </c>
      <c r="R1" s="1495" t="s">
        <v>1193</v>
      </c>
      <c r="S1" s="1495" t="s">
        <v>1194</v>
      </c>
      <c r="T1" s="1495" t="s">
        <v>1195</v>
      </c>
      <c r="U1" s="1495" t="s">
        <v>1196</v>
      </c>
      <c r="V1" s="1495" t="s">
        <v>1197</v>
      </c>
      <c r="W1" s="1495" t="s">
        <v>1198</v>
      </c>
      <c r="X1" s="1495" t="s">
        <v>1199</v>
      </c>
      <c r="Y1" s="1495" t="s">
        <v>1200</v>
      </c>
      <c r="Z1" s="1495" t="s">
        <v>1201</v>
      </c>
      <c r="AA1" s="1495" t="s">
        <v>1202</v>
      </c>
      <c r="AB1" s="1495" t="s">
        <v>1203</v>
      </c>
      <c r="AC1" s="1495" t="s">
        <v>1204</v>
      </c>
      <c r="AD1" s="1495" t="s">
        <v>1205</v>
      </c>
      <c r="AE1" s="1495" t="s">
        <v>1206</v>
      </c>
      <c r="AF1" s="1726" t="s">
        <v>1280</v>
      </c>
      <c r="AG1" s="1764" t="s">
        <v>1207</v>
      </c>
      <c r="AH1" s="1491" t="s">
        <v>1208</v>
      </c>
      <c r="AI1" s="1491" t="s">
        <v>1209</v>
      </c>
      <c r="AJ1" s="1491" t="s">
        <v>1210</v>
      </c>
      <c r="AK1" s="1491" t="s">
        <v>1211</v>
      </c>
      <c r="AL1" s="1491" t="s">
        <v>1212</v>
      </c>
      <c r="AM1" s="1491" t="s">
        <v>1213</v>
      </c>
      <c r="AN1" s="1491" t="s">
        <v>1214</v>
      </c>
      <c r="AO1" s="1491" t="s">
        <v>1215</v>
      </c>
      <c r="AP1" s="1491" t="s">
        <v>1216</v>
      </c>
      <c r="AQ1" s="1491" t="s">
        <v>1217</v>
      </c>
      <c r="AR1" s="1491" t="s">
        <v>1218</v>
      </c>
      <c r="AS1" s="1491" t="s">
        <v>1219</v>
      </c>
      <c r="AT1" s="1491" t="s">
        <v>1220</v>
      </c>
      <c r="AU1" s="1491" t="s">
        <v>1221</v>
      </c>
      <c r="AV1" s="1491" t="s">
        <v>1222</v>
      </c>
      <c r="AW1" s="1491" t="s">
        <v>1223</v>
      </c>
      <c r="AX1" s="1491" t="s">
        <v>1224</v>
      </c>
      <c r="AY1" s="1491" t="s">
        <v>1225</v>
      </c>
      <c r="AZ1" s="1491" t="s">
        <v>1226</v>
      </c>
      <c r="BA1" s="1491" t="s">
        <v>1227</v>
      </c>
      <c r="BB1" s="1491" t="s">
        <v>1228</v>
      </c>
      <c r="BC1" s="1491" t="s">
        <v>1229</v>
      </c>
      <c r="BD1" s="1491" t="s">
        <v>1230</v>
      </c>
      <c r="BE1" s="1491" t="s">
        <v>1231</v>
      </c>
      <c r="BF1" s="1491" t="s">
        <v>1232</v>
      </c>
      <c r="BG1" s="1491" t="s">
        <v>1233</v>
      </c>
      <c r="BH1" s="1491" t="s">
        <v>1234</v>
      </c>
      <c r="BI1" s="1491" t="s">
        <v>1235</v>
      </c>
      <c r="BJ1" s="1765" t="s">
        <v>365</v>
      </c>
      <c r="BK1" s="38"/>
    </row>
    <row r="2" spans="1:63" s="363" customFormat="1">
      <c r="A2" s="1277"/>
      <c r="B2" s="1278"/>
      <c r="C2" s="1279">
        <v>1</v>
      </c>
      <c r="D2" s="1279">
        <f>+C2+1</f>
        <v>2</v>
      </c>
      <c r="E2" s="1279">
        <f>+D2+1</f>
        <v>3</v>
      </c>
      <c r="F2" s="1279">
        <f t="shared" ref="F2" si="0">+E2+1</f>
        <v>4</v>
      </c>
      <c r="G2" s="1279">
        <f t="shared" ref="G2:BK2" si="1">F2+1</f>
        <v>5</v>
      </c>
      <c r="H2" s="1279">
        <f t="shared" si="1"/>
        <v>6</v>
      </c>
      <c r="I2" s="1279">
        <f t="shared" si="1"/>
        <v>7</v>
      </c>
      <c r="J2" s="1279">
        <f t="shared" ref="J2:K2" si="2">I2+1</f>
        <v>8</v>
      </c>
      <c r="K2" s="1279">
        <f t="shared" si="2"/>
        <v>9</v>
      </c>
      <c r="L2" s="1279">
        <f t="shared" ref="L2" si="3">K2+1</f>
        <v>10</v>
      </c>
      <c r="M2" s="1279">
        <f t="shared" ref="M2" si="4">L2+1</f>
        <v>11</v>
      </c>
      <c r="N2" s="1279">
        <f t="shared" ref="N2" si="5">M2+1</f>
        <v>12</v>
      </c>
      <c r="O2" s="1279">
        <f t="shared" ref="O2" si="6">N2+1</f>
        <v>13</v>
      </c>
      <c r="P2" s="1279">
        <f t="shared" ref="P2" si="7">O2+1</f>
        <v>14</v>
      </c>
      <c r="Q2" s="1279">
        <f t="shared" ref="Q2" si="8">P2+1</f>
        <v>15</v>
      </c>
      <c r="R2" s="1279">
        <f t="shared" ref="R2" si="9">Q2+1</f>
        <v>16</v>
      </c>
      <c r="S2" s="1279">
        <f t="shared" ref="S2" si="10">R2+1</f>
        <v>17</v>
      </c>
      <c r="T2" s="1279">
        <f t="shared" ref="T2" si="11">S2+1</f>
        <v>18</v>
      </c>
      <c r="U2" s="1279">
        <f t="shared" ref="U2" si="12">T2+1</f>
        <v>19</v>
      </c>
      <c r="V2" s="1279">
        <f t="shared" ref="V2" si="13">U2+1</f>
        <v>20</v>
      </c>
      <c r="W2" s="1279">
        <f t="shared" ref="W2" si="14">V2+1</f>
        <v>21</v>
      </c>
      <c r="X2" s="1279">
        <f t="shared" ref="X2" si="15">W2+1</f>
        <v>22</v>
      </c>
      <c r="Y2" s="1279">
        <f t="shared" ref="Y2" si="16">X2+1</f>
        <v>23</v>
      </c>
      <c r="Z2" s="1279">
        <f t="shared" ref="Z2" si="17">Y2+1</f>
        <v>24</v>
      </c>
      <c r="AA2" s="1279">
        <f t="shared" ref="AA2" si="18">Z2+1</f>
        <v>25</v>
      </c>
      <c r="AB2" s="1279">
        <f t="shared" ref="AB2" si="19">AA2+1</f>
        <v>26</v>
      </c>
      <c r="AC2" s="1279">
        <f t="shared" ref="AC2" si="20">AB2+1</f>
        <v>27</v>
      </c>
      <c r="AD2" s="1279">
        <f t="shared" ref="AD2" si="21">AC2+1</f>
        <v>28</v>
      </c>
      <c r="AE2" s="1279">
        <f t="shared" ref="AE2:AF2" si="22">AD2+1</f>
        <v>29</v>
      </c>
      <c r="AF2" s="1279">
        <f t="shared" si="22"/>
        <v>30</v>
      </c>
      <c r="AG2" s="1279">
        <f t="shared" ref="AG2" si="23">AF2+1</f>
        <v>31</v>
      </c>
      <c r="AH2" s="1279">
        <f t="shared" ref="AH2" si="24">AG2+1</f>
        <v>32</v>
      </c>
      <c r="AI2" s="1279">
        <f t="shared" ref="AI2" si="25">AH2+1</f>
        <v>33</v>
      </c>
      <c r="AJ2" s="1279">
        <f t="shared" ref="AJ2" si="26">AI2+1</f>
        <v>34</v>
      </c>
      <c r="AK2" s="1279">
        <f t="shared" ref="AK2" si="27">AJ2+1</f>
        <v>35</v>
      </c>
      <c r="AL2" s="1279">
        <f t="shared" ref="AL2" si="28">AK2+1</f>
        <v>36</v>
      </c>
      <c r="AM2" s="1279">
        <f t="shared" ref="AM2" si="29">AL2+1</f>
        <v>37</v>
      </c>
      <c r="AN2" s="1279">
        <f t="shared" ref="AN2" si="30">AM2+1</f>
        <v>38</v>
      </c>
      <c r="AO2" s="1279">
        <f t="shared" ref="AO2" si="31">AN2+1</f>
        <v>39</v>
      </c>
      <c r="AP2" s="1279">
        <f t="shared" ref="AP2" si="32">AO2+1</f>
        <v>40</v>
      </c>
      <c r="AQ2" s="1279">
        <f t="shared" ref="AQ2" si="33">AP2+1</f>
        <v>41</v>
      </c>
      <c r="AR2" s="1279">
        <f t="shared" ref="AR2" si="34">AQ2+1</f>
        <v>42</v>
      </c>
      <c r="AS2" s="1279">
        <f t="shared" ref="AS2" si="35">AR2+1</f>
        <v>43</v>
      </c>
      <c r="AT2" s="1279">
        <f t="shared" ref="AT2" si="36">AS2+1</f>
        <v>44</v>
      </c>
      <c r="AU2" s="1279">
        <f t="shared" ref="AU2" si="37">AT2+1</f>
        <v>45</v>
      </c>
      <c r="AV2" s="1279">
        <f t="shared" ref="AV2" si="38">AU2+1</f>
        <v>46</v>
      </c>
      <c r="AW2" s="1279">
        <f t="shared" ref="AW2" si="39">AV2+1</f>
        <v>47</v>
      </c>
      <c r="AX2" s="1279">
        <f t="shared" ref="AX2" si="40">AW2+1</f>
        <v>48</v>
      </c>
      <c r="AY2" s="1279">
        <f t="shared" ref="AY2" si="41">AX2+1</f>
        <v>49</v>
      </c>
      <c r="AZ2" s="1279">
        <f t="shared" ref="AZ2" si="42">AY2+1</f>
        <v>50</v>
      </c>
      <c r="BA2" s="1279">
        <f t="shared" ref="BA2" si="43">AZ2+1</f>
        <v>51</v>
      </c>
      <c r="BB2" s="1279">
        <f t="shared" ref="BB2" si="44">BA2+1</f>
        <v>52</v>
      </c>
      <c r="BC2" s="1279">
        <f t="shared" ref="BC2" si="45">BB2+1</f>
        <v>53</v>
      </c>
      <c r="BD2" s="1279">
        <f t="shared" ref="BD2" si="46">BC2+1</f>
        <v>54</v>
      </c>
      <c r="BE2" s="1279">
        <f t="shared" ref="BE2" si="47">BD2+1</f>
        <v>55</v>
      </c>
      <c r="BF2" s="1279">
        <f t="shared" ref="BF2" si="48">BE2+1</f>
        <v>56</v>
      </c>
      <c r="BG2" s="1279">
        <f t="shared" ref="BG2" si="49">BF2+1</f>
        <v>57</v>
      </c>
      <c r="BH2" s="1279">
        <f t="shared" ref="BH2" si="50">BG2+1</f>
        <v>58</v>
      </c>
      <c r="BI2" s="1279">
        <f t="shared" ref="BI2" si="51">BH2+1</f>
        <v>59</v>
      </c>
      <c r="BJ2" s="1279">
        <f t="shared" ref="BJ2" si="52">BI2+1</f>
        <v>60</v>
      </c>
      <c r="BK2" s="362">
        <f t="shared" si="1"/>
        <v>61</v>
      </c>
    </row>
    <row r="3" spans="1:63" s="625" customFormat="1" hidden="1">
      <c r="A3" s="622"/>
      <c r="B3" s="626"/>
      <c r="C3" s="627" t="s">
        <v>951</v>
      </c>
      <c r="D3" s="627" t="s">
        <v>952</v>
      </c>
      <c r="E3" s="627" t="s">
        <v>577</v>
      </c>
      <c r="F3" s="627"/>
      <c r="G3" s="627" t="s">
        <v>567</v>
      </c>
      <c r="H3" s="627" t="s">
        <v>567</v>
      </c>
      <c r="I3" s="627" t="s">
        <v>567</v>
      </c>
      <c r="J3" s="627" t="s">
        <v>567</v>
      </c>
      <c r="K3" s="627" t="s">
        <v>576</v>
      </c>
      <c r="L3" s="627" t="s">
        <v>567</v>
      </c>
      <c r="M3" s="627" t="s">
        <v>567</v>
      </c>
      <c r="N3" s="627" t="s">
        <v>567</v>
      </c>
      <c r="O3" s="627" t="s">
        <v>567</v>
      </c>
      <c r="P3" s="627" t="s">
        <v>567</v>
      </c>
      <c r="Q3" s="627" t="s">
        <v>567</v>
      </c>
      <c r="R3" s="627" t="s">
        <v>567</v>
      </c>
      <c r="S3" s="627" t="s">
        <v>567</v>
      </c>
      <c r="T3" s="627" t="s">
        <v>567</v>
      </c>
      <c r="U3" s="627" t="s">
        <v>567</v>
      </c>
      <c r="V3" s="627" t="s">
        <v>567</v>
      </c>
      <c r="W3" s="627" t="s">
        <v>567</v>
      </c>
      <c r="X3" s="627" t="s">
        <v>567</v>
      </c>
      <c r="Y3" s="627" t="s">
        <v>567</v>
      </c>
      <c r="Z3" s="627" t="s">
        <v>567</v>
      </c>
      <c r="AA3" s="627" t="s">
        <v>567</v>
      </c>
      <c r="AB3" s="627" t="s">
        <v>567</v>
      </c>
      <c r="AC3" s="627" t="s">
        <v>567</v>
      </c>
      <c r="AD3" s="627" t="s">
        <v>576</v>
      </c>
      <c r="AE3" s="627" t="s">
        <v>576</v>
      </c>
      <c r="AF3" s="627"/>
      <c r="AG3" s="627"/>
      <c r="AH3" s="627"/>
      <c r="AI3" s="627"/>
      <c r="AJ3" s="627"/>
      <c r="AK3" s="627"/>
      <c r="AL3" s="627"/>
      <c r="AM3" s="627"/>
      <c r="AN3" s="627"/>
      <c r="AO3" s="627"/>
      <c r="AP3" s="627"/>
      <c r="AQ3" s="627"/>
      <c r="AR3" s="627"/>
      <c r="AS3" s="627"/>
      <c r="AT3" s="627"/>
      <c r="AU3" s="627"/>
      <c r="AV3" s="627"/>
      <c r="AW3" s="627"/>
      <c r="AX3" s="627"/>
      <c r="AY3" s="627"/>
      <c r="AZ3" s="627"/>
      <c r="BA3" s="627"/>
      <c r="BB3" s="627"/>
      <c r="BC3" s="627"/>
      <c r="BD3" s="627"/>
      <c r="BE3" s="627"/>
      <c r="BF3" s="627"/>
      <c r="BG3" s="627"/>
      <c r="BH3" s="627"/>
      <c r="BI3" s="627"/>
      <c r="BJ3" s="627"/>
      <c r="BK3" s="623"/>
    </row>
    <row r="4" spans="1:63" ht="14.4" customHeight="1">
      <c r="A4" s="1250">
        <v>1</v>
      </c>
      <c r="B4" s="1251" t="s">
        <v>81</v>
      </c>
      <c r="C4" s="1252">
        <f>'Table 2_State Distrib and Adjs'!AL7</f>
        <v>4472772</v>
      </c>
      <c r="D4" s="1253">
        <f>-'Table 5A3_OJJ'!W6</f>
        <v>-147</v>
      </c>
      <c r="E4" s="1253"/>
      <c r="F4" s="1253"/>
      <c r="G4" s="1253">
        <f>-'Table 5C1A-Madison Prep'!AI7</f>
        <v>0</v>
      </c>
      <c r="H4" s="1253">
        <f>-'Table 5C1B-DArbonne'!AI7</f>
        <v>0</v>
      </c>
      <c r="I4" s="1253">
        <f>-'Table 5C1C-Intl_VIBE'!AI7</f>
        <v>0</v>
      </c>
      <c r="J4" s="1253">
        <f>-'Table 5C1D-NOMMA'!AI7</f>
        <v>0</v>
      </c>
      <c r="K4" s="1253">
        <f>-'Table 5C1E-LFNO'!AI7</f>
        <v>0</v>
      </c>
      <c r="L4" s="1253">
        <f>-'Table 5C1F-Lake Charles Charter'!AI7</f>
        <v>0</v>
      </c>
      <c r="M4" s="1253">
        <f>-'Table 5C1G-JS Clark Academy'!AI7</f>
        <v>0</v>
      </c>
      <c r="N4" s="1253">
        <f>-'Table 5C1H-Southwest LA Charter'!AI7</f>
        <v>0</v>
      </c>
      <c r="O4" s="1253">
        <f>-'Table 5C1I-LA Key Academy'!AI7</f>
        <v>0</v>
      </c>
      <c r="P4" s="1253">
        <f>-'Table 5C1J-Jefferson Chamber'!AI7</f>
        <v>0</v>
      </c>
      <c r="Q4" s="1253">
        <f>-'Table 5C1K-Tallulah Charter'!AI7</f>
        <v>0</v>
      </c>
      <c r="R4" s="1253">
        <f>-'Table 5C1L-Northshore Charter'!AI7</f>
        <v>0</v>
      </c>
      <c r="S4" s="1253">
        <f>-'Table 5C1M-B.R. Charter'!AI7</f>
        <v>0</v>
      </c>
      <c r="T4" s="1253">
        <f>-'Table 5C1N-Delta Charter'!AI7</f>
        <v>0</v>
      </c>
      <c r="U4" s="1253">
        <f>-'Table 5C1O-Impact'!AI7</f>
        <v>0</v>
      </c>
      <c r="V4" s="1253">
        <f>-'Table 5C1P-Vision'!AI7</f>
        <v>0</v>
      </c>
      <c r="W4" s="1253">
        <f>-'Table 5C1Q-Advantage'!AI7</f>
        <v>0</v>
      </c>
      <c r="X4" s="1253">
        <f>-'Table 5C1R-Iberville'!AI7</f>
        <v>0</v>
      </c>
      <c r="Y4" s="1253">
        <f>-'Table 5C1S-L.C. Coll Prep'!AI7</f>
        <v>0</v>
      </c>
      <c r="Z4" s="1253">
        <f>-'Table 5C1T-Northeast'!AI7</f>
        <v>0</v>
      </c>
      <c r="AA4" s="1253">
        <f>-'Table 5C1U-Acadiana Ren'!AI7</f>
        <v>-2403</v>
      </c>
      <c r="AB4" s="1253">
        <f>-'Table 5C1V-Laf Ren'!AI7</f>
        <v>-2403</v>
      </c>
      <c r="AC4" s="1253">
        <f>-'Table 5C1W-Willow'!AI7</f>
        <v>0</v>
      </c>
      <c r="AD4" s="1253">
        <f>-'Table 5C2 - LA Virtual Admy'!AJ6</f>
        <v>-3244</v>
      </c>
      <c r="AE4" s="1253">
        <f>-'Table 5C3 - LA Connections EBR'!AJ6</f>
        <v>-2523</v>
      </c>
      <c r="AF4" s="1253">
        <f t="shared" ref="AF4:AF35" si="53">SUM(D4:AE4)</f>
        <v>-10720</v>
      </c>
      <c r="AG4" s="1280">
        <f t="shared" ref="AG4:AG35" si="54">C4+AF4</f>
        <v>4462052</v>
      </c>
      <c r="AH4" s="1253"/>
      <c r="AI4" s="1253"/>
      <c r="AJ4" s="1253"/>
      <c r="AK4" s="1253">
        <f>'Table 5C1A-Madison Prep'!AC7</f>
        <v>0</v>
      </c>
      <c r="AL4" s="1253">
        <f>'Table 5C1B-DArbonne'!AC7</f>
        <v>0</v>
      </c>
      <c r="AM4" s="1253">
        <f>'Table 5C1C-Intl_VIBE'!AC7</f>
        <v>0</v>
      </c>
      <c r="AN4" s="1253">
        <f>'Table 5C1D-NOMMA'!AC7</f>
        <v>0</v>
      </c>
      <c r="AO4" s="1253">
        <f>'Table 5C1E-LFNO'!AC7</f>
        <v>0</v>
      </c>
      <c r="AP4" s="1253">
        <f>'Table 5C1F-Lake Charles Charter'!AC7</f>
        <v>0</v>
      </c>
      <c r="AQ4" s="1253">
        <f>'Table 5C1G-JS Clark Academy'!AC7</f>
        <v>0</v>
      </c>
      <c r="AR4" s="1253">
        <f>'Table 5C1H-Southwest LA Charter'!AC7</f>
        <v>0</v>
      </c>
      <c r="AS4" s="1253">
        <f>'Table 5C1I-LA Key Academy'!AC7</f>
        <v>0</v>
      </c>
      <c r="AT4" s="1253">
        <f>'Table 5C1J-Jefferson Chamber'!AC7</f>
        <v>0</v>
      </c>
      <c r="AU4" s="1253">
        <f>'Table 5C1K-Tallulah Charter'!AC7</f>
        <v>0</v>
      </c>
      <c r="AV4" s="1253">
        <f>'Table 5C1L-Northshore Charter'!AC7</f>
        <v>0</v>
      </c>
      <c r="AW4" s="1253">
        <f>'Table 5C1M-B.R. Charter'!AC7</f>
        <v>0</v>
      </c>
      <c r="AX4" s="1253">
        <f>'Table 5C1N-Delta Charter'!AC7</f>
        <v>0</v>
      </c>
      <c r="AY4" s="1253">
        <f>'Table 5C1O-Impact'!AC7</f>
        <v>0</v>
      </c>
      <c r="AZ4" s="1253">
        <f>+'Table 5C1P-Vision'!AC7</f>
        <v>0</v>
      </c>
      <c r="BA4" s="1253">
        <f>+'Table 5C1Q-Advantage'!AC7</f>
        <v>0</v>
      </c>
      <c r="BB4" s="1253">
        <f>+'Table 5C1R-Iberville'!AC7</f>
        <v>0</v>
      </c>
      <c r="BC4" s="1253">
        <f>+'Table 5C1S-L.C. Coll Prep'!AC7</f>
        <v>0</v>
      </c>
      <c r="BD4" s="1253">
        <f>+'Table 5C1T-Northeast'!AC7</f>
        <v>0</v>
      </c>
      <c r="BE4" s="1253">
        <f>+'Table 5C1U-Acadiana Ren'!AC7</f>
        <v>-72.27</v>
      </c>
      <c r="BF4" s="1253">
        <f>+'Table 5C1V-Laf Ren'!AC7</f>
        <v>-72.27</v>
      </c>
      <c r="BG4" s="1253">
        <f>+'Table 5C1W-Willow'!AC7</f>
        <v>0</v>
      </c>
      <c r="BH4" s="1253">
        <f>'Table 5C2 - LA Virtual Admy'!AD6</f>
        <v>-97.564499999999995</v>
      </c>
      <c r="BI4" s="1253">
        <f>'Table 5C3 - LA Connections EBR'!AD6</f>
        <v>-75.883499999999998</v>
      </c>
      <c r="BJ4" s="1280">
        <f t="shared" ref="BJ4:BJ35" si="55">SUM(AG4:BI4)</f>
        <v>4461734.0120000001</v>
      </c>
      <c r="BK4" s="38"/>
    </row>
    <row r="5" spans="1:63" ht="14.4" customHeight="1">
      <c r="A5" s="1250">
        <v>2</v>
      </c>
      <c r="B5" s="1251" t="s">
        <v>82</v>
      </c>
      <c r="C5" s="1252">
        <f>'Table 2_State Distrib and Adjs'!AL8</f>
        <v>2431772</v>
      </c>
      <c r="D5" s="1253">
        <f>-'Table 5A3_OJJ'!W7</f>
        <v>0</v>
      </c>
      <c r="E5" s="1253"/>
      <c r="F5" s="1253"/>
      <c r="G5" s="1253">
        <f>-'Table 5C1A-Madison Prep'!AI8</f>
        <v>0</v>
      </c>
      <c r="H5" s="1253">
        <f>-'Table 5C1B-DArbonne'!AI8</f>
        <v>0</v>
      </c>
      <c r="I5" s="1253">
        <f>-'Table 5C1C-Intl_VIBE'!AI8</f>
        <v>0</v>
      </c>
      <c r="J5" s="1253">
        <f>-'Table 5C1D-NOMMA'!AI8</f>
        <v>0</v>
      </c>
      <c r="K5" s="1253">
        <f>-'Table 5C1E-LFNO'!AI8</f>
        <v>0</v>
      </c>
      <c r="L5" s="1253">
        <f>-'Table 5C1F-Lake Charles Charter'!AI8</f>
        <v>0</v>
      </c>
      <c r="M5" s="1253">
        <f>-'Table 5C1G-JS Clark Academy'!AI8</f>
        <v>0</v>
      </c>
      <c r="N5" s="1253">
        <f>-'Table 5C1H-Southwest LA Charter'!AI8</f>
        <v>0</v>
      </c>
      <c r="O5" s="1253">
        <f>-'Table 5C1I-LA Key Academy'!AI8</f>
        <v>0</v>
      </c>
      <c r="P5" s="1253">
        <f>-'Table 5C1J-Jefferson Chamber'!AI8</f>
        <v>0</v>
      </c>
      <c r="Q5" s="1253">
        <f>-'Table 5C1K-Tallulah Charter'!AI8</f>
        <v>0</v>
      </c>
      <c r="R5" s="1253">
        <f>-'Table 5C1L-Northshore Charter'!AI8</f>
        <v>0</v>
      </c>
      <c r="S5" s="1253">
        <f>-'Table 5C1M-B.R. Charter'!AI8</f>
        <v>0</v>
      </c>
      <c r="T5" s="1253">
        <f>-'Table 5C1N-Delta Charter'!AI8</f>
        <v>0</v>
      </c>
      <c r="U5" s="1253">
        <f>-'Table 5C1O-Impact'!AI8</f>
        <v>0</v>
      </c>
      <c r="V5" s="1253">
        <f>-'Table 5C1P-Vision'!AI8</f>
        <v>0</v>
      </c>
      <c r="W5" s="1253">
        <f>-'Table 5C1Q-Advantage'!AI8</f>
        <v>0</v>
      </c>
      <c r="X5" s="1253">
        <f>-'Table 5C1R-Iberville'!AI8</f>
        <v>0</v>
      </c>
      <c r="Y5" s="1253">
        <f>-'Table 5C1S-L.C. Coll Prep'!AI8</f>
        <v>0</v>
      </c>
      <c r="Z5" s="1253">
        <f>-'Table 5C1T-Northeast'!AI8</f>
        <v>0</v>
      </c>
      <c r="AA5" s="1253">
        <f>-'Table 5C1U-Acadiana Ren'!AI8</f>
        <v>0</v>
      </c>
      <c r="AB5" s="1253">
        <f>-'Table 5C1V-Laf Ren'!AI8</f>
        <v>0</v>
      </c>
      <c r="AC5" s="1253">
        <f>-'Table 5C1W-Willow'!AI8</f>
        <v>0</v>
      </c>
      <c r="AD5" s="1253">
        <f>-'Table 5C2 - LA Virtual Admy'!AJ7</f>
        <v>-1693</v>
      </c>
      <c r="AE5" s="1253">
        <f>-'Table 5C3 - LA Connections EBR'!AJ7</f>
        <v>-1905</v>
      </c>
      <c r="AF5" s="1253">
        <f t="shared" si="53"/>
        <v>-3598</v>
      </c>
      <c r="AG5" s="1280">
        <f t="shared" si="54"/>
        <v>2428174</v>
      </c>
      <c r="AH5" s="1253"/>
      <c r="AI5" s="1253"/>
      <c r="AJ5" s="1253"/>
      <c r="AK5" s="1253">
        <f>'Table 5C1A-Madison Prep'!AC8</f>
        <v>0</v>
      </c>
      <c r="AL5" s="1253">
        <f>'Table 5C1B-DArbonne'!AC8</f>
        <v>0</v>
      </c>
      <c r="AM5" s="1253">
        <f>'Table 5C1C-Intl_VIBE'!AC8</f>
        <v>0</v>
      </c>
      <c r="AN5" s="1253">
        <f>'Table 5C1D-NOMMA'!AC8</f>
        <v>0</v>
      </c>
      <c r="AO5" s="1253">
        <f>'Table 5C1E-LFNO'!AC8</f>
        <v>0</v>
      </c>
      <c r="AP5" s="1253">
        <f>'Table 5C1F-Lake Charles Charter'!AC8</f>
        <v>0</v>
      </c>
      <c r="AQ5" s="1253">
        <f>'Table 5C1G-JS Clark Academy'!AC8</f>
        <v>0</v>
      </c>
      <c r="AR5" s="1253">
        <f>'Table 5C1H-Southwest LA Charter'!AC8</f>
        <v>0</v>
      </c>
      <c r="AS5" s="1253">
        <f>'Table 5C1I-LA Key Academy'!AC8</f>
        <v>0</v>
      </c>
      <c r="AT5" s="1253">
        <f>'Table 5C1J-Jefferson Chamber'!AC8</f>
        <v>0</v>
      </c>
      <c r="AU5" s="1253">
        <f>'Table 5C1K-Tallulah Charter'!AC8</f>
        <v>0</v>
      </c>
      <c r="AV5" s="1253">
        <f>'Table 5C1L-Northshore Charter'!AC8</f>
        <v>0</v>
      </c>
      <c r="AW5" s="1253">
        <f>'Table 5C1M-B.R. Charter'!AC8</f>
        <v>0</v>
      </c>
      <c r="AX5" s="1253">
        <f>'Table 5C1N-Delta Charter'!AC8</f>
        <v>0</v>
      </c>
      <c r="AY5" s="1253">
        <f>'Table 5C1O-Impact'!AC8</f>
        <v>0</v>
      </c>
      <c r="AZ5" s="1253">
        <f>+'Table 5C1P-Vision'!AC8</f>
        <v>0</v>
      </c>
      <c r="BA5" s="1253">
        <f>+'Table 5C1Q-Advantage'!AC8</f>
        <v>0</v>
      </c>
      <c r="BB5" s="1253">
        <f>+'Table 5C1R-Iberville'!AC8</f>
        <v>0</v>
      </c>
      <c r="BC5" s="1253">
        <f>+'Table 5C1S-L.C. Coll Prep'!AC8</f>
        <v>0</v>
      </c>
      <c r="BD5" s="1253">
        <f>+'Table 5C1T-Northeast'!AC8</f>
        <v>0</v>
      </c>
      <c r="BE5" s="1253">
        <f>+'Table 5C1U-Acadiana Ren'!AC8</f>
        <v>0</v>
      </c>
      <c r="BF5" s="1253">
        <f>+'Table 5C1V-Laf Ren'!AC8</f>
        <v>0</v>
      </c>
      <c r="BG5" s="1253">
        <f>+'Table 5C1W-Willow'!AC8</f>
        <v>0</v>
      </c>
      <c r="BH5" s="1253">
        <f>'Table 5C2 - LA Virtual Admy'!AD7</f>
        <v>-50.921999999999997</v>
      </c>
      <c r="BI5" s="1253">
        <f>'Table 5C3 - LA Connections EBR'!AD7</f>
        <v>-57.287249999999993</v>
      </c>
      <c r="BJ5" s="1280">
        <f t="shared" si="55"/>
        <v>2428065.7907500002</v>
      </c>
      <c r="BK5" s="38"/>
    </row>
    <row r="6" spans="1:63" ht="14.4" customHeight="1">
      <c r="A6" s="1250">
        <v>3</v>
      </c>
      <c r="B6" s="1251" t="s">
        <v>83</v>
      </c>
      <c r="C6" s="1252">
        <f>'Table 2_State Distrib and Adjs'!AL9</f>
        <v>8277962</v>
      </c>
      <c r="D6" s="1253">
        <f>-'Table 5A3_OJJ'!W8</f>
        <v>-302</v>
      </c>
      <c r="E6" s="1253"/>
      <c r="F6" s="1253"/>
      <c r="G6" s="1253">
        <f>-'Table 5C1A-Madison Prep'!AI9</f>
        <v>0</v>
      </c>
      <c r="H6" s="1253">
        <f>-'Table 5C1B-DArbonne'!AI9</f>
        <v>0</v>
      </c>
      <c r="I6" s="1253">
        <f>-'Table 5C1C-Intl_VIBE'!AI9</f>
        <v>0</v>
      </c>
      <c r="J6" s="1253">
        <f>-'Table 5C1D-NOMMA'!AI9</f>
        <v>0</v>
      </c>
      <c r="K6" s="1253">
        <f>-'Table 5C1E-LFNO'!AI9</f>
        <v>0</v>
      </c>
      <c r="L6" s="1253">
        <f>-'Table 5C1F-Lake Charles Charter'!AI9</f>
        <v>0</v>
      </c>
      <c r="M6" s="1253">
        <f>-'Table 5C1G-JS Clark Academy'!AI9</f>
        <v>0</v>
      </c>
      <c r="N6" s="1253">
        <f>-'Table 5C1H-Southwest LA Charter'!AI9</f>
        <v>0</v>
      </c>
      <c r="O6" s="1253">
        <f>-'Table 5C1I-LA Key Academy'!AI9</f>
        <v>-3837</v>
      </c>
      <c r="P6" s="1253">
        <f>-'Table 5C1J-Jefferson Chamber'!AI9</f>
        <v>0</v>
      </c>
      <c r="Q6" s="1253">
        <f>-'Table 5C1K-Tallulah Charter'!AI9</f>
        <v>0</v>
      </c>
      <c r="R6" s="1253">
        <f>-'Table 5C1L-Northshore Charter'!AI9</f>
        <v>0</v>
      </c>
      <c r="S6" s="1253">
        <f>-'Table 5C1M-B.R. Charter'!AI9</f>
        <v>-480</v>
      </c>
      <c r="T6" s="1253">
        <f>-'Table 5C1N-Delta Charter'!AI9</f>
        <v>0</v>
      </c>
      <c r="U6" s="1253">
        <f>-'Table 5C1O-Impact'!AI9</f>
        <v>0</v>
      </c>
      <c r="V6" s="1253">
        <f>-'Table 5C1P-Vision'!AI9</f>
        <v>0</v>
      </c>
      <c r="W6" s="1253">
        <f>-'Table 5C1Q-Advantage'!AI9</f>
        <v>0</v>
      </c>
      <c r="X6" s="1253">
        <f>-'Table 5C1R-Iberville'!AI9</f>
        <v>-3837</v>
      </c>
      <c r="Y6" s="1253">
        <f>-'Table 5C1S-L.C. Coll Prep'!AI9</f>
        <v>0</v>
      </c>
      <c r="Z6" s="1253">
        <f>-'Table 5C1T-Northeast'!AI9</f>
        <v>0</v>
      </c>
      <c r="AA6" s="1253">
        <f>-'Table 5C1U-Acadiana Ren'!AI9</f>
        <v>0</v>
      </c>
      <c r="AB6" s="1253">
        <f>-'Table 5C1V-Laf Ren'!AI9</f>
        <v>0</v>
      </c>
      <c r="AC6" s="1253">
        <f>-'Table 5C1W-Willow'!AI9</f>
        <v>0</v>
      </c>
      <c r="AD6" s="1253">
        <f>-'Table 5C2 - LA Virtual Admy'!AJ8</f>
        <v>-22878</v>
      </c>
      <c r="AE6" s="1253">
        <f>-'Table 5C3 - LA Connections EBR'!AJ8</f>
        <v>-18562</v>
      </c>
      <c r="AF6" s="1253">
        <f t="shared" si="53"/>
        <v>-49896</v>
      </c>
      <c r="AG6" s="1280">
        <f t="shared" si="54"/>
        <v>8228066</v>
      </c>
      <c r="AH6" s="1253"/>
      <c r="AI6" s="1253"/>
      <c r="AJ6" s="1253"/>
      <c r="AK6" s="1253">
        <f>'Table 5C1A-Madison Prep'!AC9</f>
        <v>0</v>
      </c>
      <c r="AL6" s="1253">
        <f>'Table 5C1B-DArbonne'!AC9</f>
        <v>0</v>
      </c>
      <c r="AM6" s="1253">
        <f>'Table 5C1C-Intl_VIBE'!AC9</f>
        <v>0</v>
      </c>
      <c r="AN6" s="1253">
        <f>'Table 5C1D-NOMMA'!AC9</f>
        <v>0</v>
      </c>
      <c r="AO6" s="1253">
        <f>'Table 5C1E-LFNO'!AC9</f>
        <v>0</v>
      </c>
      <c r="AP6" s="1253">
        <f>'Table 5C1F-Lake Charles Charter'!AC9</f>
        <v>0</v>
      </c>
      <c r="AQ6" s="1253">
        <f>'Table 5C1G-JS Clark Academy'!AC9</f>
        <v>0</v>
      </c>
      <c r="AR6" s="1253">
        <f>'Table 5C1H-Southwest LA Charter'!AC9</f>
        <v>0</v>
      </c>
      <c r="AS6" s="1253">
        <f>'Table 5C1I-LA Key Academy'!AC9</f>
        <v>-115.4</v>
      </c>
      <c r="AT6" s="1253">
        <f>'Table 5C1J-Jefferson Chamber'!AC9</f>
        <v>0</v>
      </c>
      <c r="AU6" s="1253">
        <f>'Table 5C1K-Tallulah Charter'!AC9</f>
        <v>0</v>
      </c>
      <c r="AV6" s="1253">
        <f>'Table 5C1L-Northshore Charter'!AC9</f>
        <v>0</v>
      </c>
      <c r="AW6" s="1253">
        <f>'Table 5C1M-B.R. Charter'!AC9</f>
        <v>-14.425000000000001</v>
      </c>
      <c r="AX6" s="1253">
        <f>'Table 5C1N-Delta Charter'!AC9</f>
        <v>0</v>
      </c>
      <c r="AY6" s="1253">
        <f>'Table 5C1O-Impact'!AC9</f>
        <v>0</v>
      </c>
      <c r="AZ6" s="1253">
        <f>+'Table 5C1P-Vision'!AC9</f>
        <v>0</v>
      </c>
      <c r="BA6" s="1253">
        <f>+'Table 5C1Q-Advantage'!AC9</f>
        <v>0</v>
      </c>
      <c r="BB6" s="1253">
        <f>+'Table 5C1R-Iberville'!AC9</f>
        <v>-115.4</v>
      </c>
      <c r="BC6" s="1253">
        <f>+'Table 5C1S-L.C. Coll Prep'!AC9</f>
        <v>0</v>
      </c>
      <c r="BD6" s="1253">
        <f>+'Table 5C1T-Northeast'!AC9</f>
        <v>0</v>
      </c>
      <c r="BE6" s="1253">
        <f>+'Table 5C1U-Acadiana Ren'!AC9</f>
        <v>0</v>
      </c>
      <c r="BF6" s="1253">
        <f>+'Table 5C1V-Laf Ren'!AC9</f>
        <v>0</v>
      </c>
      <c r="BG6" s="1253">
        <f>+'Table 5C1W-Willow'!AC9</f>
        <v>0</v>
      </c>
      <c r="BH6" s="1253">
        <f>'Table 5C2 - LA Virtual Admy'!AD8</f>
        <v>-688.07249999999999</v>
      </c>
      <c r="BI6" s="1253">
        <f>'Table 5C3 - LA Connections EBR'!AD8</f>
        <v>-558.24750000000006</v>
      </c>
      <c r="BJ6" s="1280">
        <f t="shared" si="55"/>
        <v>8226574.4550000001</v>
      </c>
      <c r="BK6" s="38"/>
    </row>
    <row r="7" spans="1:63" ht="14.4" customHeight="1">
      <c r="A7" s="1250">
        <v>4</v>
      </c>
      <c r="B7" s="1251" t="s">
        <v>84</v>
      </c>
      <c r="C7" s="1252">
        <f>'Table 2_State Distrib and Adjs'!AL10</f>
        <v>2002387</v>
      </c>
      <c r="D7" s="1253">
        <f>-'Table 5A3_OJJ'!W9</f>
        <v>-223</v>
      </c>
      <c r="E7" s="1253"/>
      <c r="F7" s="1253"/>
      <c r="G7" s="1253">
        <f>-'Table 5C1A-Madison Prep'!AI10</f>
        <v>0</v>
      </c>
      <c r="H7" s="1253">
        <f>-'Table 5C1B-DArbonne'!AI10</f>
        <v>0</v>
      </c>
      <c r="I7" s="1253">
        <f>-'Table 5C1C-Intl_VIBE'!AI10</f>
        <v>0</v>
      </c>
      <c r="J7" s="1253">
        <f>-'Table 5C1D-NOMMA'!AI10</f>
        <v>0</v>
      </c>
      <c r="K7" s="1253">
        <f>-'Table 5C1E-LFNO'!AI10</f>
        <v>0</v>
      </c>
      <c r="L7" s="1253">
        <f>-'Table 5C1F-Lake Charles Charter'!AI10</f>
        <v>0</v>
      </c>
      <c r="M7" s="1253">
        <f>-'Table 5C1G-JS Clark Academy'!AI10</f>
        <v>0</v>
      </c>
      <c r="N7" s="1253">
        <f>-'Table 5C1H-Southwest LA Charter'!AI10</f>
        <v>0</v>
      </c>
      <c r="O7" s="1253">
        <f>-'Table 5C1I-LA Key Academy'!AI10</f>
        <v>0</v>
      </c>
      <c r="P7" s="1253">
        <f>-'Table 5C1J-Jefferson Chamber'!AI10</f>
        <v>0</v>
      </c>
      <c r="Q7" s="1253">
        <f>-'Table 5C1K-Tallulah Charter'!AI10</f>
        <v>0</v>
      </c>
      <c r="R7" s="1253">
        <f>-'Table 5C1L-Northshore Charter'!AI10</f>
        <v>0</v>
      </c>
      <c r="S7" s="1253">
        <f>-'Table 5C1M-B.R. Charter'!AI10</f>
        <v>0</v>
      </c>
      <c r="T7" s="1253">
        <f>-'Table 5C1N-Delta Charter'!AI10</f>
        <v>0</v>
      </c>
      <c r="U7" s="1253">
        <f>-'Table 5C1O-Impact'!AI10</f>
        <v>0</v>
      </c>
      <c r="V7" s="1253">
        <f>-'Table 5C1P-Vision'!AI10</f>
        <v>0</v>
      </c>
      <c r="W7" s="1253">
        <f>-'Table 5C1Q-Advantage'!AI10</f>
        <v>0</v>
      </c>
      <c r="X7" s="1253">
        <f>-'Table 5C1R-Iberville'!AI10</f>
        <v>0</v>
      </c>
      <c r="Y7" s="1253">
        <f>-'Table 5C1S-L.C. Coll Prep'!AI10</f>
        <v>0</v>
      </c>
      <c r="Z7" s="1253">
        <f>-'Table 5C1T-Northeast'!AI10</f>
        <v>0</v>
      </c>
      <c r="AA7" s="1253">
        <f>-'Table 5C1U-Acadiana Ren'!AI10</f>
        <v>0</v>
      </c>
      <c r="AB7" s="1253">
        <f>-'Table 5C1V-Laf Ren'!AI10</f>
        <v>0</v>
      </c>
      <c r="AC7" s="1253">
        <f>-'Table 5C1W-Willow'!AI10</f>
        <v>0</v>
      </c>
      <c r="AD7" s="1253">
        <f>-'Table 5C2 - LA Virtual Admy'!AJ9</f>
        <v>-246</v>
      </c>
      <c r="AE7" s="1253">
        <f>-'Table 5C3 - LA Connections EBR'!AJ9</f>
        <v>-738</v>
      </c>
      <c r="AF7" s="1253">
        <f t="shared" si="53"/>
        <v>-1207</v>
      </c>
      <c r="AG7" s="1280">
        <f t="shared" si="54"/>
        <v>2001180</v>
      </c>
      <c r="AH7" s="1253"/>
      <c r="AI7" s="1253"/>
      <c r="AJ7" s="1253"/>
      <c r="AK7" s="1253">
        <f>'Table 5C1A-Madison Prep'!AC10</f>
        <v>0</v>
      </c>
      <c r="AL7" s="1253">
        <f>'Table 5C1B-DArbonne'!AC10</f>
        <v>0</v>
      </c>
      <c r="AM7" s="1253">
        <f>'Table 5C1C-Intl_VIBE'!AC10</f>
        <v>0</v>
      </c>
      <c r="AN7" s="1253">
        <f>'Table 5C1D-NOMMA'!AC10</f>
        <v>0</v>
      </c>
      <c r="AO7" s="1253">
        <f>'Table 5C1E-LFNO'!AC10</f>
        <v>0</v>
      </c>
      <c r="AP7" s="1253">
        <f>'Table 5C1F-Lake Charles Charter'!AC10</f>
        <v>0</v>
      </c>
      <c r="AQ7" s="1253">
        <f>'Table 5C1G-JS Clark Academy'!AC10</f>
        <v>0</v>
      </c>
      <c r="AR7" s="1253">
        <f>'Table 5C1H-Southwest LA Charter'!AC10</f>
        <v>0</v>
      </c>
      <c r="AS7" s="1253">
        <f>'Table 5C1I-LA Key Academy'!AC10</f>
        <v>0</v>
      </c>
      <c r="AT7" s="1253">
        <f>'Table 5C1J-Jefferson Chamber'!AC10</f>
        <v>0</v>
      </c>
      <c r="AU7" s="1253">
        <f>'Table 5C1K-Tallulah Charter'!AC10</f>
        <v>0</v>
      </c>
      <c r="AV7" s="1253">
        <f>'Table 5C1L-Northshore Charter'!AC10</f>
        <v>0</v>
      </c>
      <c r="AW7" s="1253">
        <f>'Table 5C1M-B.R. Charter'!AC10</f>
        <v>0</v>
      </c>
      <c r="AX7" s="1253">
        <f>'Table 5C1N-Delta Charter'!AC10</f>
        <v>0</v>
      </c>
      <c r="AY7" s="1253">
        <f>'Table 5C1O-Impact'!AC10</f>
        <v>0</v>
      </c>
      <c r="AZ7" s="1253">
        <f>+'Table 5C1P-Vision'!AC10</f>
        <v>0</v>
      </c>
      <c r="BA7" s="1253">
        <f>+'Table 5C1Q-Advantage'!AC10</f>
        <v>0</v>
      </c>
      <c r="BB7" s="1253">
        <f>+'Table 5C1R-Iberville'!AC10</f>
        <v>0</v>
      </c>
      <c r="BC7" s="1253">
        <f>+'Table 5C1S-L.C. Coll Prep'!AC10</f>
        <v>0</v>
      </c>
      <c r="BD7" s="1253">
        <f>+'Table 5C1T-Northeast'!AC10</f>
        <v>0</v>
      </c>
      <c r="BE7" s="1253">
        <f>+'Table 5C1U-Acadiana Ren'!AC10</f>
        <v>0</v>
      </c>
      <c r="BF7" s="1253">
        <f>+'Table 5C1V-Laf Ren'!AC10</f>
        <v>0</v>
      </c>
      <c r="BG7" s="1253">
        <f>+'Table 5C1W-Willow'!AC10</f>
        <v>0</v>
      </c>
      <c r="BH7" s="1253">
        <f>'Table 5C2 - LA Virtual Admy'!AD9</f>
        <v>-7.3957500000000005</v>
      </c>
      <c r="BI7" s="1253">
        <f>'Table 5C3 - LA Connections EBR'!AD9</f>
        <v>-22.187250000000002</v>
      </c>
      <c r="BJ7" s="1280">
        <f t="shared" si="55"/>
        <v>2001150.4170000001</v>
      </c>
      <c r="BK7" s="38"/>
    </row>
    <row r="8" spans="1:63" ht="14.4" customHeight="1">
      <c r="A8" s="85">
        <v>5</v>
      </c>
      <c r="B8" s="207" t="s">
        <v>85</v>
      </c>
      <c r="C8" s="209">
        <f>'Table 2_State Distrib and Adjs'!AL11</f>
        <v>2728430</v>
      </c>
      <c r="D8" s="219">
        <f>-'Table 5A3_OJJ'!W10</f>
        <v>-186</v>
      </c>
      <c r="E8" s="219"/>
      <c r="F8" s="219"/>
      <c r="G8" s="219">
        <f>-'Table 5C1A-Madison Prep'!AI11</f>
        <v>0</v>
      </c>
      <c r="H8" s="219">
        <f>-'Table 5C1B-DArbonne'!AI11</f>
        <v>0</v>
      </c>
      <c r="I8" s="219">
        <f>-'Table 5C1C-Intl_VIBE'!AI11</f>
        <v>0</v>
      </c>
      <c r="J8" s="219">
        <f>-'Table 5C1D-NOMMA'!AI11</f>
        <v>0</v>
      </c>
      <c r="K8" s="219">
        <f>-'Table 5C1E-LFNO'!AI11</f>
        <v>0</v>
      </c>
      <c r="L8" s="219">
        <f>-'Table 5C1F-Lake Charles Charter'!AI11</f>
        <v>0</v>
      </c>
      <c r="M8" s="219">
        <f>-'Table 5C1G-JS Clark Academy'!AI11</f>
        <v>0</v>
      </c>
      <c r="N8" s="219">
        <f>-'Table 5C1H-Southwest LA Charter'!AI11</f>
        <v>0</v>
      </c>
      <c r="O8" s="219">
        <f>-'Table 5C1I-LA Key Academy'!AI11</f>
        <v>0</v>
      </c>
      <c r="P8" s="219">
        <f>-'Table 5C1J-Jefferson Chamber'!AI11</f>
        <v>0</v>
      </c>
      <c r="Q8" s="219">
        <f>-'Table 5C1K-Tallulah Charter'!AI11</f>
        <v>0</v>
      </c>
      <c r="R8" s="219">
        <f>-'Table 5C1L-Northshore Charter'!AI11</f>
        <v>0</v>
      </c>
      <c r="S8" s="219">
        <f>-'Table 5C1M-B.R. Charter'!AI11</f>
        <v>0</v>
      </c>
      <c r="T8" s="219">
        <f>-'Table 5C1N-Delta Charter'!AI11</f>
        <v>0</v>
      </c>
      <c r="U8" s="219">
        <f>-'Table 5C1O-Impact'!AI11</f>
        <v>0</v>
      </c>
      <c r="V8" s="219">
        <f>-'Table 5C1P-Vision'!AI11</f>
        <v>0</v>
      </c>
      <c r="W8" s="219">
        <f>-'Table 5C1Q-Advantage'!AI11</f>
        <v>0</v>
      </c>
      <c r="X8" s="219">
        <f>-'Table 5C1R-Iberville'!AI11</f>
        <v>0</v>
      </c>
      <c r="Y8" s="219">
        <f>-'Table 5C1S-L.C. Coll Prep'!AI11</f>
        <v>0</v>
      </c>
      <c r="Z8" s="219">
        <f>-'Table 5C1T-Northeast'!AI11</f>
        <v>0</v>
      </c>
      <c r="AA8" s="219">
        <f>-'Table 5C1U-Acadiana Ren'!AI11</f>
        <v>0</v>
      </c>
      <c r="AB8" s="219">
        <f>-'Table 5C1V-Laf Ren'!AI11</f>
        <v>0</v>
      </c>
      <c r="AC8" s="219">
        <f>-'Table 5C1W-Willow'!AI11</f>
        <v>0</v>
      </c>
      <c r="AD8" s="219">
        <f>-'Table 5C2 - LA Virtual Admy'!AJ10</f>
        <v>-4024</v>
      </c>
      <c r="AE8" s="219">
        <f>-'Table 5C3 - LA Connections EBR'!AJ10</f>
        <v>-1725</v>
      </c>
      <c r="AF8" s="219">
        <f t="shared" si="53"/>
        <v>-5935</v>
      </c>
      <c r="AG8" s="364">
        <f t="shared" si="54"/>
        <v>2722495</v>
      </c>
      <c r="AH8" s="219"/>
      <c r="AI8" s="219"/>
      <c r="AJ8" s="219"/>
      <c r="AK8" s="219">
        <f>'Table 5C1A-Madison Prep'!AC11</f>
        <v>0</v>
      </c>
      <c r="AL8" s="219">
        <f>'Table 5C1B-DArbonne'!AC11</f>
        <v>0</v>
      </c>
      <c r="AM8" s="219">
        <f>'Table 5C1C-Intl_VIBE'!AC11</f>
        <v>0</v>
      </c>
      <c r="AN8" s="219">
        <f>'Table 5C1D-NOMMA'!AC11</f>
        <v>0</v>
      </c>
      <c r="AO8" s="219">
        <f>'Table 5C1E-LFNO'!AC11</f>
        <v>0</v>
      </c>
      <c r="AP8" s="219">
        <f>'Table 5C1F-Lake Charles Charter'!AC11</f>
        <v>0</v>
      </c>
      <c r="AQ8" s="219">
        <f>'Table 5C1G-JS Clark Academy'!AC11</f>
        <v>0</v>
      </c>
      <c r="AR8" s="219">
        <f>'Table 5C1H-Southwest LA Charter'!AC11</f>
        <v>0</v>
      </c>
      <c r="AS8" s="219">
        <f>'Table 5C1I-LA Key Academy'!AC11</f>
        <v>0</v>
      </c>
      <c r="AT8" s="219">
        <f>'Table 5C1J-Jefferson Chamber'!AC11</f>
        <v>0</v>
      </c>
      <c r="AU8" s="219">
        <f>'Table 5C1K-Tallulah Charter'!AC11</f>
        <v>0</v>
      </c>
      <c r="AV8" s="219">
        <f>'Table 5C1L-Northshore Charter'!AC11</f>
        <v>0</v>
      </c>
      <c r="AW8" s="219">
        <f>'Table 5C1M-B.R. Charter'!AC11</f>
        <v>0</v>
      </c>
      <c r="AX8" s="219">
        <f>'Table 5C1N-Delta Charter'!AC11</f>
        <v>0</v>
      </c>
      <c r="AY8" s="219">
        <f>'Table 5C1O-Impact'!AC11</f>
        <v>0</v>
      </c>
      <c r="AZ8" s="219">
        <f>+'Table 5C1P-Vision'!AC11</f>
        <v>0</v>
      </c>
      <c r="BA8" s="219">
        <f>+'Table 5C1Q-Advantage'!AC11</f>
        <v>0</v>
      </c>
      <c r="BB8" s="219">
        <f>+'Table 5C1R-Iberville'!AC11</f>
        <v>0</v>
      </c>
      <c r="BC8" s="219">
        <f>+'Table 5C1S-L.C. Coll Prep'!AC11</f>
        <v>0</v>
      </c>
      <c r="BD8" s="219">
        <f>+'Table 5C1T-Northeast'!AC11</f>
        <v>0</v>
      </c>
      <c r="BE8" s="219">
        <f>+'Table 5C1U-Acadiana Ren'!AC11</f>
        <v>0</v>
      </c>
      <c r="BF8" s="219">
        <f>+'Table 5C1V-Laf Ren'!AC11</f>
        <v>0</v>
      </c>
      <c r="BG8" s="219">
        <f>+'Table 5C1W-Willow'!AC11</f>
        <v>0</v>
      </c>
      <c r="BH8" s="219">
        <f>'Table 5C2 - LA Virtual Admy'!AD10</f>
        <v>-121.02300000000001</v>
      </c>
      <c r="BI8" s="219">
        <f>'Table 5C3 - LA Connections EBR'!AD10</f>
        <v>-51.867000000000012</v>
      </c>
      <c r="BJ8" s="364">
        <f t="shared" si="55"/>
        <v>2722322.11</v>
      </c>
      <c r="BK8" s="38"/>
    </row>
    <row r="9" spans="1:63" ht="14.4" customHeight="1">
      <c r="A9" s="1250">
        <v>6</v>
      </c>
      <c r="B9" s="1251" t="s">
        <v>86</v>
      </c>
      <c r="C9" s="1252">
        <f>'Table 2_State Distrib and Adjs'!AL12</f>
        <v>2899251</v>
      </c>
      <c r="D9" s="1253">
        <f>-'Table 5A3_OJJ'!W11</f>
        <v>-620</v>
      </c>
      <c r="E9" s="1253"/>
      <c r="F9" s="1253"/>
      <c r="G9" s="1253">
        <f>-'Table 5C1A-Madison Prep'!AI12</f>
        <v>0</v>
      </c>
      <c r="H9" s="1253">
        <f>-'Table 5C1B-DArbonne'!AI12</f>
        <v>0</v>
      </c>
      <c r="I9" s="1253">
        <f>-'Table 5C1C-Intl_VIBE'!AI12</f>
        <v>0</v>
      </c>
      <c r="J9" s="1253">
        <f>-'Table 5C1D-NOMMA'!AI12</f>
        <v>0</v>
      </c>
      <c r="K9" s="1253">
        <f>-'Table 5C1E-LFNO'!AI12</f>
        <v>0</v>
      </c>
      <c r="L9" s="1253">
        <f>-'Table 5C1F-Lake Charles Charter'!AI12</f>
        <v>0</v>
      </c>
      <c r="M9" s="1253">
        <f>-'Table 5C1G-JS Clark Academy'!AI12</f>
        <v>0</v>
      </c>
      <c r="N9" s="1253">
        <f>-'Table 5C1H-Southwest LA Charter'!AI12</f>
        <v>0</v>
      </c>
      <c r="O9" s="1253">
        <f>-'Table 5C1I-LA Key Academy'!AI12</f>
        <v>0</v>
      </c>
      <c r="P9" s="1253">
        <f>-'Table 5C1J-Jefferson Chamber'!AI12</f>
        <v>0</v>
      </c>
      <c r="Q9" s="1253">
        <f>-'Table 5C1K-Tallulah Charter'!AI12</f>
        <v>0</v>
      </c>
      <c r="R9" s="1253">
        <f>-'Table 5C1L-Northshore Charter'!AI12</f>
        <v>0</v>
      </c>
      <c r="S9" s="1253">
        <f>-'Table 5C1M-B.R. Charter'!AI12</f>
        <v>0</v>
      </c>
      <c r="T9" s="1253">
        <f>-'Table 5C1N-Delta Charter'!AI12</f>
        <v>0</v>
      </c>
      <c r="U9" s="1253">
        <f>-'Table 5C1O-Impact'!AI12</f>
        <v>0</v>
      </c>
      <c r="V9" s="1253">
        <f>-'Table 5C1P-Vision'!AI12</f>
        <v>0</v>
      </c>
      <c r="W9" s="1253">
        <f>-'Table 5C1Q-Advantage'!AI12</f>
        <v>0</v>
      </c>
      <c r="X9" s="1253">
        <f>-'Table 5C1R-Iberville'!AI12</f>
        <v>0</v>
      </c>
      <c r="Y9" s="1253">
        <f>-'Table 5C1S-L.C. Coll Prep'!AI12</f>
        <v>0</v>
      </c>
      <c r="Z9" s="1253">
        <f>-'Table 5C1T-Northeast'!AI12</f>
        <v>0</v>
      </c>
      <c r="AA9" s="1253">
        <f>-'Table 5C1U-Acadiana Ren'!AI12</f>
        <v>0</v>
      </c>
      <c r="AB9" s="1253">
        <f>-'Table 5C1V-Laf Ren'!AI12</f>
        <v>0</v>
      </c>
      <c r="AC9" s="1253">
        <f>-'Table 5C1W-Willow'!AI12</f>
        <v>0</v>
      </c>
      <c r="AD9" s="1253">
        <f>-'Table 5C2 - LA Virtual Admy'!AJ11</f>
        <v>-5981</v>
      </c>
      <c r="AE9" s="1253">
        <f>-'Table 5C3 - LA Connections EBR'!AJ11</f>
        <v>-2848</v>
      </c>
      <c r="AF9" s="1253">
        <f t="shared" si="53"/>
        <v>-9449</v>
      </c>
      <c r="AG9" s="1280">
        <f t="shared" si="54"/>
        <v>2889802</v>
      </c>
      <c r="AH9" s="1253"/>
      <c r="AI9" s="1253"/>
      <c r="AJ9" s="1253"/>
      <c r="AK9" s="1253">
        <f>'Table 5C1A-Madison Prep'!AC12</f>
        <v>0</v>
      </c>
      <c r="AL9" s="1253">
        <f>'Table 5C1B-DArbonne'!AC12</f>
        <v>0</v>
      </c>
      <c r="AM9" s="1253">
        <f>'Table 5C1C-Intl_VIBE'!AC12</f>
        <v>0</v>
      </c>
      <c r="AN9" s="1253">
        <f>'Table 5C1D-NOMMA'!AC12</f>
        <v>0</v>
      </c>
      <c r="AO9" s="1253">
        <f>'Table 5C1E-LFNO'!AC12</f>
        <v>0</v>
      </c>
      <c r="AP9" s="1253">
        <f>'Table 5C1F-Lake Charles Charter'!AC12</f>
        <v>0</v>
      </c>
      <c r="AQ9" s="1253">
        <f>'Table 5C1G-JS Clark Academy'!AC12</f>
        <v>0</v>
      </c>
      <c r="AR9" s="1253">
        <f>'Table 5C1H-Southwest LA Charter'!AC12</f>
        <v>0</v>
      </c>
      <c r="AS9" s="1253">
        <f>'Table 5C1I-LA Key Academy'!AC12</f>
        <v>0</v>
      </c>
      <c r="AT9" s="1253">
        <f>'Table 5C1J-Jefferson Chamber'!AC12</f>
        <v>0</v>
      </c>
      <c r="AU9" s="1253">
        <f>'Table 5C1K-Tallulah Charter'!AC12</f>
        <v>0</v>
      </c>
      <c r="AV9" s="1253">
        <f>'Table 5C1L-Northshore Charter'!AC12</f>
        <v>0</v>
      </c>
      <c r="AW9" s="1253">
        <f>'Table 5C1M-B.R. Charter'!AC12</f>
        <v>0</v>
      </c>
      <c r="AX9" s="1253">
        <f>'Table 5C1N-Delta Charter'!AC12</f>
        <v>0</v>
      </c>
      <c r="AY9" s="1253">
        <f>'Table 5C1O-Impact'!AC12</f>
        <v>0</v>
      </c>
      <c r="AZ9" s="1253">
        <f>+'Table 5C1P-Vision'!AC12</f>
        <v>0</v>
      </c>
      <c r="BA9" s="1253">
        <f>+'Table 5C1Q-Advantage'!AC12</f>
        <v>0</v>
      </c>
      <c r="BB9" s="1253">
        <f>+'Table 5C1R-Iberville'!AC12</f>
        <v>0</v>
      </c>
      <c r="BC9" s="1253">
        <f>+'Table 5C1S-L.C. Coll Prep'!AC12</f>
        <v>0</v>
      </c>
      <c r="BD9" s="1253">
        <f>+'Table 5C1T-Northeast'!AC12</f>
        <v>0</v>
      </c>
      <c r="BE9" s="1253">
        <f>+'Table 5C1U-Acadiana Ren'!AC12</f>
        <v>0</v>
      </c>
      <c r="BF9" s="1253">
        <f>+'Table 5C1V-Laf Ren'!AC12</f>
        <v>0</v>
      </c>
      <c r="BG9" s="1253">
        <f>+'Table 5C1W-Willow'!AC12</f>
        <v>0</v>
      </c>
      <c r="BH9" s="1253">
        <f>'Table 5C2 - LA Virtual Admy'!AD11</f>
        <v>-179.88075000000001</v>
      </c>
      <c r="BI9" s="1253">
        <f>'Table 5C3 - LA Connections EBR'!AD11</f>
        <v>-85.657499999999999</v>
      </c>
      <c r="BJ9" s="1280">
        <f t="shared" si="55"/>
        <v>2889536.4617499998</v>
      </c>
      <c r="BK9" s="38"/>
    </row>
    <row r="10" spans="1:63" ht="14.4" customHeight="1">
      <c r="A10" s="1250">
        <v>7</v>
      </c>
      <c r="B10" s="1251" t="s">
        <v>87</v>
      </c>
      <c r="C10" s="1252">
        <f>'Table 2_State Distrib and Adjs'!AL13</f>
        <v>546482</v>
      </c>
      <c r="D10" s="1253">
        <f>-'Table 5A3_OJJ'!W12</f>
        <v>-220</v>
      </c>
      <c r="E10" s="1253"/>
      <c r="F10" s="1253"/>
      <c r="G10" s="1253">
        <f>-'Table 5C1A-Madison Prep'!AI13</f>
        <v>0</v>
      </c>
      <c r="H10" s="1253">
        <f>-'Table 5C1B-DArbonne'!AI13</f>
        <v>0</v>
      </c>
      <c r="I10" s="1253">
        <f>-'Table 5C1C-Intl_VIBE'!AI13</f>
        <v>0</v>
      </c>
      <c r="J10" s="1253">
        <f>-'Table 5C1D-NOMMA'!AI13</f>
        <v>0</v>
      </c>
      <c r="K10" s="1253">
        <f>-'Table 5C1E-LFNO'!AI13</f>
        <v>0</v>
      </c>
      <c r="L10" s="1253">
        <f>-'Table 5C1F-Lake Charles Charter'!AI13</f>
        <v>0</v>
      </c>
      <c r="M10" s="1253">
        <f>-'Table 5C1G-JS Clark Academy'!AI13</f>
        <v>0</v>
      </c>
      <c r="N10" s="1253">
        <f>-'Table 5C1H-Southwest LA Charter'!AI13</f>
        <v>0</v>
      </c>
      <c r="O10" s="1253">
        <f>-'Table 5C1I-LA Key Academy'!AI13</f>
        <v>0</v>
      </c>
      <c r="P10" s="1253">
        <f>-'Table 5C1J-Jefferson Chamber'!AI13</f>
        <v>0</v>
      </c>
      <c r="Q10" s="1253">
        <f>-'Table 5C1K-Tallulah Charter'!AI13</f>
        <v>0</v>
      </c>
      <c r="R10" s="1253">
        <f>-'Table 5C1L-Northshore Charter'!AI13</f>
        <v>0</v>
      </c>
      <c r="S10" s="1253">
        <f>-'Table 5C1M-B.R. Charter'!AI13</f>
        <v>0</v>
      </c>
      <c r="T10" s="1253">
        <f>-'Table 5C1N-Delta Charter'!AI13</f>
        <v>0</v>
      </c>
      <c r="U10" s="1253">
        <f>-'Table 5C1O-Impact'!AI13</f>
        <v>0</v>
      </c>
      <c r="V10" s="1253">
        <f>-'Table 5C1P-Vision'!AI13</f>
        <v>0</v>
      </c>
      <c r="W10" s="1253">
        <f>-'Table 5C1Q-Advantage'!AI13</f>
        <v>0</v>
      </c>
      <c r="X10" s="1253">
        <f>-'Table 5C1R-Iberville'!AI13</f>
        <v>0</v>
      </c>
      <c r="Y10" s="1253">
        <f>-'Table 5C1S-L.C. Coll Prep'!AI13</f>
        <v>0</v>
      </c>
      <c r="Z10" s="1253">
        <f>-'Table 5C1T-Northeast'!AI13</f>
        <v>0</v>
      </c>
      <c r="AA10" s="1253">
        <f>-'Table 5C1U-Acadiana Ren'!AI13</f>
        <v>0</v>
      </c>
      <c r="AB10" s="1253">
        <f>-'Table 5C1V-Laf Ren'!AI13</f>
        <v>0</v>
      </c>
      <c r="AC10" s="1253">
        <f>-'Table 5C1W-Willow'!AI13</f>
        <v>0</v>
      </c>
      <c r="AD10" s="1253">
        <f>-'Table 5C2 - LA Virtual Admy'!AJ12</f>
        <v>-5336</v>
      </c>
      <c r="AE10" s="1253">
        <f>-'Table 5C3 - LA Connections EBR'!AJ12</f>
        <v>-5336</v>
      </c>
      <c r="AF10" s="1253">
        <f t="shared" si="53"/>
        <v>-10892</v>
      </c>
      <c r="AG10" s="1280">
        <f t="shared" si="54"/>
        <v>535590</v>
      </c>
      <c r="AH10" s="1253"/>
      <c r="AI10" s="1253"/>
      <c r="AJ10" s="1253"/>
      <c r="AK10" s="1253">
        <f>'Table 5C1A-Madison Prep'!AC13</f>
        <v>0</v>
      </c>
      <c r="AL10" s="1253">
        <f>'Table 5C1B-DArbonne'!AC13</f>
        <v>0</v>
      </c>
      <c r="AM10" s="1253">
        <f>'Table 5C1C-Intl_VIBE'!AC13</f>
        <v>0</v>
      </c>
      <c r="AN10" s="1253">
        <f>'Table 5C1D-NOMMA'!AC13</f>
        <v>0</v>
      </c>
      <c r="AO10" s="1253">
        <f>'Table 5C1E-LFNO'!AC13</f>
        <v>0</v>
      </c>
      <c r="AP10" s="1253">
        <f>'Table 5C1F-Lake Charles Charter'!AC13</f>
        <v>0</v>
      </c>
      <c r="AQ10" s="1253">
        <f>'Table 5C1G-JS Clark Academy'!AC13</f>
        <v>0</v>
      </c>
      <c r="AR10" s="1253">
        <f>'Table 5C1H-Southwest LA Charter'!AC13</f>
        <v>0</v>
      </c>
      <c r="AS10" s="1253">
        <f>'Table 5C1I-LA Key Academy'!AC13</f>
        <v>0</v>
      </c>
      <c r="AT10" s="1253">
        <f>'Table 5C1J-Jefferson Chamber'!AC13</f>
        <v>0</v>
      </c>
      <c r="AU10" s="1253">
        <f>'Table 5C1K-Tallulah Charter'!AC13</f>
        <v>0</v>
      </c>
      <c r="AV10" s="1253">
        <f>'Table 5C1L-Northshore Charter'!AC13</f>
        <v>0</v>
      </c>
      <c r="AW10" s="1253">
        <f>'Table 5C1M-B.R. Charter'!AC13</f>
        <v>0</v>
      </c>
      <c r="AX10" s="1253">
        <f>'Table 5C1N-Delta Charter'!AC13</f>
        <v>0</v>
      </c>
      <c r="AY10" s="1253">
        <f>'Table 5C1O-Impact'!AC13</f>
        <v>0</v>
      </c>
      <c r="AZ10" s="1253">
        <f>+'Table 5C1P-Vision'!AC13</f>
        <v>0</v>
      </c>
      <c r="BA10" s="1253">
        <f>+'Table 5C1Q-Advantage'!AC13</f>
        <v>0</v>
      </c>
      <c r="BB10" s="1253">
        <f>+'Table 5C1R-Iberville'!AC13</f>
        <v>0</v>
      </c>
      <c r="BC10" s="1253">
        <f>+'Table 5C1S-L.C. Coll Prep'!AC13</f>
        <v>0</v>
      </c>
      <c r="BD10" s="1253">
        <f>+'Table 5C1T-Northeast'!AC13</f>
        <v>0</v>
      </c>
      <c r="BE10" s="1253">
        <f>+'Table 5C1U-Acadiana Ren'!AC13</f>
        <v>0</v>
      </c>
      <c r="BF10" s="1253">
        <f>+'Table 5C1V-Laf Ren'!AC13</f>
        <v>0</v>
      </c>
      <c r="BG10" s="1253">
        <f>+'Table 5C1W-Willow'!AC13</f>
        <v>0</v>
      </c>
      <c r="BH10" s="1253">
        <f>'Table 5C2 - LA Virtual Admy'!AD12</f>
        <v>-160.48800000000003</v>
      </c>
      <c r="BI10" s="1253">
        <f>'Table 5C3 - LA Connections EBR'!AD12</f>
        <v>-160.48800000000003</v>
      </c>
      <c r="BJ10" s="1280">
        <f t="shared" si="55"/>
        <v>535269.02399999998</v>
      </c>
      <c r="BK10" s="38"/>
    </row>
    <row r="11" spans="1:63" ht="14.4" customHeight="1">
      <c r="A11" s="1250">
        <v>8</v>
      </c>
      <c r="B11" s="1251" t="s">
        <v>88</v>
      </c>
      <c r="C11" s="1252">
        <f>'Table 2_State Distrib and Adjs'!AL14</f>
        <v>9671551</v>
      </c>
      <c r="D11" s="1253">
        <f>-'Table 5A3_OJJ'!W13</f>
        <v>-2167</v>
      </c>
      <c r="E11" s="1253"/>
      <c r="F11" s="1253"/>
      <c r="G11" s="1253">
        <f>-'Table 5C1A-Madison Prep'!AI14</f>
        <v>0</v>
      </c>
      <c r="H11" s="1253">
        <f>-'Table 5C1B-DArbonne'!AI14</f>
        <v>0</v>
      </c>
      <c r="I11" s="1253">
        <f>-'Table 5C1C-Intl_VIBE'!AI14</f>
        <v>0</v>
      </c>
      <c r="J11" s="1253">
        <f>-'Table 5C1D-NOMMA'!AI14</f>
        <v>0</v>
      </c>
      <c r="K11" s="1253">
        <f>-'Table 5C1E-LFNO'!AI14</f>
        <v>0</v>
      </c>
      <c r="L11" s="1253">
        <f>-'Table 5C1F-Lake Charles Charter'!AI14</f>
        <v>0</v>
      </c>
      <c r="M11" s="1253">
        <f>-'Table 5C1G-JS Clark Academy'!AI14</f>
        <v>0</v>
      </c>
      <c r="N11" s="1253">
        <f>-'Table 5C1H-Southwest LA Charter'!AI14</f>
        <v>0</v>
      </c>
      <c r="O11" s="1253">
        <f>-'Table 5C1I-LA Key Academy'!AI14</f>
        <v>0</v>
      </c>
      <c r="P11" s="1253">
        <f>-'Table 5C1J-Jefferson Chamber'!AI14</f>
        <v>0</v>
      </c>
      <c r="Q11" s="1253">
        <f>-'Table 5C1K-Tallulah Charter'!AI14</f>
        <v>0</v>
      </c>
      <c r="R11" s="1253">
        <f>-'Table 5C1L-Northshore Charter'!AI14</f>
        <v>0</v>
      </c>
      <c r="S11" s="1253">
        <f>-'Table 5C1M-B.R. Charter'!AI14</f>
        <v>0</v>
      </c>
      <c r="T11" s="1253">
        <f>-'Table 5C1N-Delta Charter'!AI14</f>
        <v>0</v>
      </c>
      <c r="U11" s="1253">
        <f>-'Table 5C1O-Impact'!AI14</f>
        <v>0</v>
      </c>
      <c r="V11" s="1253">
        <f>-'Table 5C1P-Vision'!AI14</f>
        <v>0</v>
      </c>
      <c r="W11" s="1253">
        <f>-'Table 5C1Q-Advantage'!AI14</f>
        <v>0</v>
      </c>
      <c r="X11" s="1253">
        <f>-'Table 5C1R-Iberville'!AI14</f>
        <v>0</v>
      </c>
      <c r="Y11" s="1253">
        <f>-'Table 5C1S-L.C. Coll Prep'!AI14</f>
        <v>0</v>
      </c>
      <c r="Z11" s="1253">
        <f>-'Table 5C1T-Northeast'!AI14</f>
        <v>0</v>
      </c>
      <c r="AA11" s="1253">
        <f>-'Table 5C1U-Acadiana Ren'!AI14</f>
        <v>0</v>
      </c>
      <c r="AB11" s="1253">
        <f>-'Table 5C1V-Laf Ren'!AI14</f>
        <v>0</v>
      </c>
      <c r="AC11" s="1253">
        <f>-'Table 5C1W-Willow'!AI14</f>
        <v>0</v>
      </c>
      <c r="AD11" s="1253">
        <f>-'Table 5C2 - LA Virtual Admy'!AJ13</f>
        <v>-20471</v>
      </c>
      <c r="AE11" s="1253">
        <f>-'Table 5C3 - LA Connections EBR'!AJ13</f>
        <v>-11741</v>
      </c>
      <c r="AF11" s="1253">
        <f t="shared" si="53"/>
        <v>-34379</v>
      </c>
      <c r="AG11" s="1280">
        <f t="shared" si="54"/>
        <v>9637172</v>
      </c>
      <c r="AH11" s="1253"/>
      <c r="AI11" s="1253"/>
      <c r="AJ11" s="1253"/>
      <c r="AK11" s="1253">
        <f>'Table 5C1A-Madison Prep'!AC14</f>
        <v>0</v>
      </c>
      <c r="AL11" s="1253">
        <f>'Table 5C1B-DArbonne'!AC14</f>
        <v>0</v>
      </c>
      <c r="AM11" s="1253">
        <f>'Table 5C1C-Intl_VIBE'!AC14</f>
        <v>0</v>
      </c>
      <c r="AN11" s="1253">
        <f>'Table 5C1D-NOMMA'!AC14</f>
        <v>0</v>
      </c>
      <c r="AO11" s="1253">
        <f>'Table 5C1E-LFNO'!AC14</f>
        <v>0</v>
      </c>
      <c r="AP11" s="1253">
        <f>'Table 5C1F-Lake Charles Charter'!AC14</f>
        <v>0</v>
      </c>
      <c r="AQ11" s="1253">
        <f>'Table 5C1G-JS Clark Academy'!AC14</f>
        <v>0</v>
      </c>
      <c r="AR11" s="1253">
        <f>'Table 5C1H-Southwest LA Charter'!AC14</f>
        <v>0</v>
      </c>
      <c r="AS11" s="1253">
        <f>'Table 5C1I-LA Key Academy'!AC14</f>
        <v>0</v>
      </c>
      <c r="AT11" s="1253">
        <f>'Table 5C1J-Jefferson Chamber'!AC14</f>
        <v>0</v>
      </c>
      <c r="AU11" s="1253">
        <f>'Table 5C1K-Tallulah Charter'!AC14</f>
        <v>0</v>
      </c>
      <c r="AV11" s="1253">
        <f>'Table 5C1L-Northshore Charter'!AC14</f>
        <v>0</v>
      </c>
      <c r="AW11" s="1253">
        <f>'Table 5C1M-B.R. Charter'!AC14</f>
        <v>0</v>
      </c>
      <c r="AX11" s="1253">
        <f>'Table 5C1N-Delta Charter'!AC14</f>
        <v>0</v>
      </c>
      <c r="AY11" s="1253">
        <f>'Table 5C1O-Impact'!AC14</f>
        <v>0</v>
      </c>
      <c r="AZ11" s="1253">
        <f>+'Table 5C1P-Vision'!AC14</f>
        <v>0</v>
      </c>
      <c r="BA11" s="1253">
        <f>+'Table 5C1Q-Advantage'!AC14</f>
        <v>0</v>
      </c>
      <c r="BB11" s="1253">
        <f>+'Table 5C1R-Iberville'!AC14</f>
        <v>0</v>
      </c>
      <c r="BC11" s="1253">
        <f>+'Table 5C1S-L.C. Coll Prep'!AC14</f>
        <v>0</v>
      </c>
      <c r="BD11" s="1253">
        <f>+'Table 5C1T-Northeast'!AC14</f>
        <v>0</v>
      </c>
      <c r="BE11" s="1253">
        <f>+'Table 5C1U-Acadiana Ren'!AC14</f>
        <v>0</v>
      </c>
      <c r="BF11" s="1253">
        <f>+'Table 5C1V-Laf Ren'!AC14</f>
        <v>0</v>
      </c>
      <c r="BG11" s="1253">
        <f>+'Table 5C1W-Willow'!AC14</f>
        <v>0</v>
      </c>
      <c r="BH11" s="1253">
        <f>'Table 5C2 - LA Virtual Admy'!AD13</f>
        <v>-615.67200000000003</v>
      </c>
      <c r="BI11" s="1253">
        <f>'Table 5C3 - LA Connections EBR'!AD13</f>
        <v>-353.10599999999999</v>
      </c>
      <c r="BJ11" s="1280">
        <f t="shared" si="55"/>
        <v>9636203.2219999991</v>
      </c>
      <c r="BK11" s="38"/>
    </row>
    <row r="12" spans="1:63" ht="14.4" customHeight="1">
      <c r="A12" s="1250">
        <v>9</v>
      </c>
      <c r="B12" s="1251" t="s">
        <v>89</v>
      </c>
      <c r="C12" s="1252">
        <f>'Table 2_State Distrib and Adjs'!AL15</f>
        <v>17937517</v>
      </c>
      <c r="D12" s="1253">
        <f>-'Table 5A3_OJJ'!W14</f>
        <v>-11453</v>
      </c>
      <c r="E12" s="1253">
        <f>-'Table 5B2_RSD_LA'!AS15</f>
        <v>-170759</v>
      </c>
      <c r="F12" s="1253"/>
      <c r="G12" s="1253">
        <f>-'Table 5C1A-Madison Prep'!AI15</f>
        <v>0</v>
      </c>
      <c r="H12" s="1253">
        <f>-'Table 5C1B-DArbonne'!AI15</f>
        <v>0</v>
      </c>
      <c r="I12" s="1253">
        <f>-'Table 5C1C-Intl_VIBE'!AI15</f>
        <v>0</v>
      </c>
      <c r="J12" s="1253">
        <f>-'Table 5C1D-NOMMA'!AI15</f>
        <v>0</v>
      </c>
      <c r="K12" s="1253">
        <f>-'Table 5C1E-LFNO'!AI15</f>
        <v>0</v>
      </c>
      <c r="L12" s="1253">
        <f>-'Table 5C1F-Lake Charles Charter'!AI15</f>
        <v>0</v>
      </c>
      <c r="M12" s="1253">
        <f>-'Table 5C1G-JS Clark Academy'!AI15</f>
        <v>0</v>
      </c>
      <c r="N12" s="1253">
        <f>-'Table 5C1H-Southwest LA Charter'!AI15</f>
        <v>0</v>
      </c>
      <c r="O12" s="1253">
        <f>-'Table 5C1I-LA Key Academy'!AI15</f>
        <v>0</v>
      </c>
      <c r="P12" s="1253">
        <f>-'Table 5C1J-Jefferson Chamber'!AI15</f>
        <v>0</v>
      </c>
      <c r="Q12" s="1253">
        <f>-'Table 5C1K-Tallulah Charter'!AI15</f>
        <v>0</v>
      </c>
      <c r="R12" s="1253">
        <f>-'Table 5C1L-Northshore Charter'!AI15</f>
        <v>0</v>
      </c>
      <c r="S12" s="1253">
        <f>-'Table 5C1M-B.R. Charter'!AI15</f>
        <v>0</v>
      </c>
      <c r="T12" s="1253">
        <f>-'Table 5C1N-Delta Charter'!AI15</f>
        <v>0</v>
      </c>
      <c r="U12" s="1253">
        <f>-'Table 5C1O-Impact'!AI15</f>
        <v>0</v>
      </c>
      <c r="V12" s="1253">
        <f>-'Table 5C1P-Vision'!AI15</f>
        <v>0</v>
      </c>
      <c r="W12" s="1253">
        <f>-'Table 5C1Q-Advantage'!AI15</f>
        <v>0</v>
      </c>
      <c r="X12" s="1253">
        <f>-'Table 5C1R-Iberville'!AI15</f>
        <v>0</v>
      </c>
      <c r="Y12" s="1253">
        <f>-'Table 5C1S-L.C. Coll Prep'!AI15</f>
        <v>0</v>
      </c>
      <c r="Z12" s="1253">
        <f>-'Table 5C1T-Northeast'!AI15</f>
        <v>0</v>
      </c>
      <c r="AA12" s="1253">
        <f>-'Table 5C1U-Acadiana Ren'!AI15</f>
        <v>0</v>
      </c>
      <c r="AB12" s="1253">
        <f>-'Table 5C1V-Laf Ren'!AI15</f>
        <v>0</v>
      </c>
      <c r="AC12" s="1253">
        <f>-'Table 5C1W-Willow'!AI15</f>
        <v>0</v>
      </c>
      <c r="AD12" s="1253">
        <f>-'Table 5C2 - LA Virtual Admy'!AJ14</f>
        <v>-36481</v>
      </c>
      <c r="AE12" s="1253">
        <f>-'Table 5C3 - LA Connections EBR'!AJ14</f>
        <v>-23478</v>
      </c>
      <c r="AF12" s="1253">
        <f t="shared" si="53"/>
        <v>-242171</v>
      </c>
      <c r="AG12" s="1280">
        <f t="shared" si="54"/>
        <v>17695346</v>
      </c>
      <c r="AH12" s="1253">
        <f>'Table 5B2_RSD_LA'!AK15</f>
        <v>-36591.240000000005</v>
      </c>
      <c r="AI12" s="1253">
        <f>'Table 5B2_RSD_LA'!AL15</f>
        <v>-5227.32</v>
      </c>
      <c r="AJ12" s="1253"/>
      <c r="AK12" s="1253">
        <f>'Table 5C1A-Madison Prep'!AC15</f>
        <v>0</v>
      </c>
      <c r="AL12" s="1253">
        <f>'Table 5C1B-DArbonne'!AC15</f>
        <v>0</v>
      </c>
      <c r="AM12" s="1253">
        <f>'Table 5C1C-Intl_VIBE'!AC15</f>
        <v>0</v>
      </c>
      <c r="AN12" s="1253">
        <f>'Table 5C1D-NOMMA'!AC15</f>
        <v>0</v>
      </c>
      <c r="AO12" s="1253">
        <f>'Table 5C1E-LFNO'!AC15</f>
        <v>0</v>
      </c>
      <c r="AP12" s="1253">
        <f>'Table 5C1F-Lake Charles Charter'!AC15</f>
        <v>0</v>
      </c>
      <c r="AQ12" s="1253">
        <f>'Table 5C1G-JS Clark Academy'!AC15</f>
        <v>0</v>
      </c>
      <c r="AR12" s="1253">
        <f>'Table 5C1H-Southwest LA Charter'!AC15</f>
        <v>0</v>
      </c>
      <c r="AS12" s="1253">
        <f>'Table 5C1I-LA Key Academy'!AC15</f>
        <v>0</v>
      </c>
      <c r="AT12" s="1253">
        <f>'Table 5C1J-Jefferson Chamber'!AC15</f>
        <v>0</v>
      </c>
      <c r="AU12" s="1253">
        <f>'Table 5C1K-Tallulah Charter'!AC15</f>
        <v>0</v>
      </c>
      <c r="AV12" s="1253">
        <f>'Table 5C1L-Northshore Charter'!AC15</f>
        <v>0</v>
      </c>
      <c r="AW12" s="1253">
        <f>'Table 5C1M-B.R. Charter'!AC15</f>
        <v>0</v>
      </c>
      <c r="AX12" s="1253">
        <f>'Table 5C1N-Delta Charter'!AC15</f>
        <v>0</v>
      </c>
      <c r="AY12" s="1253">
        <f>'Table 5C1O-Impact'!AC15</f>
        <v>0</v>
      </c>
      <c r="AZ12" s="1253">
        <f>+'Table 5C1P-Vision'!AC15</f>
        <v>0</v>
      </c>
      <c r="BA12" s="1253">
        <f>+'Table 5C1Q-Advantage'!AC15</f>
        <v>0</v>
      </c>
      <c r="BB12" s="1253">
        <f>+'Table 5C1R-Iberville'!AC15</f>
        <v>0</v>
      </c>
      <c r="BC12" s="1253">
        <f>+'Table 5C1S-L.C. Coll Prep'!AC15</f>
        <v>0</v>
      </c>
      <c r="BD12" s="1253">
        <f>+'Table 5C1T-Northeast'!AC15</f>
        <v>0</v>
      </c>
      <c r="BE12" s="1253">
        <f>+'Table 5C1U-Acadiana Ren'!AC15</f>
        <v>0</v>
      </c>
      <c r="BF12" s="1253">
        <f>+'Table 5C1V-Laf Ren'!AC15</f>
        <v>0</v>
      </c>
      <c r="BG12" s="1253">
        <f>+'Table 5C1W-Willow'!AC15</f>
        <v>0</v>
      </c>
      <c r="BH12" s="1253">
        <f>'Table 5C2 - LA Virtual Admy'!AD14</f>
        <v>-1097.163</v>
      </c>
      <c r="BI12" s="1253">
        <f>'Table 5C3 - LA Connections EBR'!AD14</f>
        <v>-706.09500000000003</v>
      </c>
      <c r="BJ12" s="1280">
        <f t="shared" si="55"/>
        <v>17651724.182000004</v>
      </c>
      <c r="BK12" s="38"/>
    </row>
    <row r="13" spans="1:63" ht="14.4" customHeight="1">
      <c r="A13" s="85">
        <v>10</v>
      </c>
      <c r="B13" s="207" t="s">
        <v>90</v>
      </c>
      <c r="C13" s="209">
        <f>'Table 2_State Distrib and Adjs'!AL16</f>
        <v>12853919</v>
      </c>
      <c r="D13" s="219">
        <f>-'Table 5A3_OJJ'!W15</f>
        <v>-3027</v>
      </c>
      <c r="E13" s="219"/>
      <c r="F13" s="219"/>
      <c r="G13" s="219">
        <f>-'Table 5C1A-Madison Prep'!AI16</f>
        <v>0</v>
      </c>
      <c r="H13" s="219">
        <f>-'Table 5C1B-DArbonne'!AI16</f>
        <v>0</v>
      </c>
      <c r="I13" s="219">
        <f>-'Table 5C1C-Intl_VIBE'!AI16</f>
        <v>0</v>
      </c>
      <c r="J13" s="219">
        <f>-'Table 5C1D-NOMMA'!AI16</f>
        <v>0</v>
      </c>
      <c r="K13" s="219">
        <f>-'Table 5C1E-LFNO'!AI16</f>
        <v>0</v>
      </c>
      <c r="L13" s="219">
        <f>-'Table 5C1F-Lake Charles Charter'!AI16</f>
        <v>-328238</v>
      </c>
      <c r="M13" s="219">
        <f>-'Table 5C1G-JS Clark Academy'!AI16</f>
        <v>0</v>
      </c>
      <c r="N13" s="219">
        <f>-'Table 5C1H-Southwest LA Charter'!AI16</f>
        <v>-254621</v>
      </c>
      <c r="O13" s="219">
        <f>-'Table 5C1I-LA Key Academy'!AI16</f>
        <v>0</v>
      </c>
      <c r="P13" s="219">
        <f>-'Table 5C1J-Jefferson Chamber'!AI16</f>
        <v>0</v>
      </c>
      <c r="Q13" s="219">
        <f>-'Table 5C1K-Tallulah Charter'!AI16</f>
        <v>0</v>
      </c>
      <c r="R13" s="219">
        <f>-'Table 5C1L-Northshore Charter'!AI16</f>
        <v>0</v>
      </c>
      <c r="S13" s="219">
        <f>-'Table 5C1M-B.R. Charter'!AI16</f>
        <v>0</v>
      </c>
      <c r="T13" s="219">
        <f>-'Table 5C1N-Delta Charter'!AI16</f>
        <v>0</v>
      </c>
      <c r="U13" s="219">
        <f>-'Table 5C1O-Impact'!AI16</f>
        <v>0</v>
      </c>
      <c r="V13" s="219">
        <f>-'Table 5C1P-Vision'!AI16</f>
        <v>0</v>
      </c>
      <c r="W13" s="219">
        <f>-'Table 5C1Q-Advantage'!AI16</f>
        <v>0</v>
      </c>
      <c r="X13" s="219">
        <f>-'Table 5C1R-Iberville'!AI16</f>
        <v>0</v>
      </c>
      <c r="Y13" s="219">
        <f>-'Table 5C1S-L.C. Coll Prep'!AI16</f>
        <v>-41741</v>
      </c>
      <c r="Z13" s="219">
        <f>-'Table 5C1T-Northeast'!AI16</f>
        <v>0</v>
      </c>
      <c r="AA13" s="219">
        <f>-'Table 5C1U-Acadiana Ren'!AI16</f>
        <v>0</v>
      </c>
      <c r="AB13" s="219">
        <f>-'Table 5C1V-Laf Ren'!AI16</f>
        <v>0</v>
      </c>
      <c r="AC13" s="219">
        <f>-'Table 5C1W-Willow'!AI16</f>
        <v>0</v>
      </c>
      <c r="AD13" s="219">
        <f>-'Table 5C2 - LA Virtual Admy'!AJ15</f>
        <v>-26638</v>
      </c>
      <c r="AE13" s="219">
        <f>-'Table 5C3 - LA Connections EBR'!AJ15</f>
        <v>-16051</v>
      </c>
      <c r="AF13" s="219">
        <f t="shared" si="53"/>
        <v>-670316</v>
      </c>
      <c r="AG13" s="364">
        <f t="shared" si="54"/>
        <v>12183603</v>
      </c>
      <c r="AH13" s="219"/>
      <c r="AI13" s="219"/>
      <c r="AJ13" s="219"/>
      <c r="AK13" s="219">
        <f>'Table 5C1A-Madison Prep'!AC16</f>
        <v>0</v>
      </c>
      <c r="AL13" s="219">
        <f>'Table 5C1B-DArbonne'!AC16</f>
        <v>0</v>
      </c>
      <c r="AM13" s="219">
        <f>'Table 5C1C-Intl_VIBE'!AC16</f>
        <v>0</v>
      </c>
      <c r="AN13" s="219">
        <f>'Table 5C1D-NOMMA'!AC16</f>
        <v>0</v>
      </c>
      <c r="AO13" s="219">
        <f>'Table 5C1E-LFNO'!AC16</f>
        <v>0</v>
      </c>
      <c r="AP13" s="219">
        <f>'Table 5C1F-Lake Charles Charter'!AC16</f>
        <v>-9871.8125</v>
      </c>
      <c r="AQ13" s="219">
        <f>'Table 5C1G-JS Clark Academy'!AC16</f>
        <v>0</v>
      </c>
      <c r="AR13" s="219">
        <f>'Table 5C1H-Southwest LA Charter'!AC16</f>
        <v>-7657.7875000000004</v>
      </c>
      <c r="AS13" s="219">
        <f>'Table 5C1I-LA Key Academy'!AC16</f>
        <v>0</v>
      </c>
      <c r="AT13" s="219">
        <f>'Table 5C1J-Jefferson Chamber'!AC16</f>
        <v>0</v>
      </c>
      <c r="AU13" s="219">
        <f>'Table 5C1K-Tallulah Charter'!AC16</f>
        <v>0</v>
      </c>
      <c r="AV13" s="219">
        <f>'Table 5C1L-Northshore Charter'!AC16</f>
        <v>0</v>
      </c>
      <c r="AW13" s="219">
        <f>'Table 5C1M-B.R. Charter'!AC16</f>
        <v>0</v>
      </c>
      <c r="AX13" s="219">
        <f>'Table 5C1N-Delta Charter'!AC16</f>
        <v>0</v>
      </c>
      <c r="AY13" s="219">
        <f>'Table 5C1O-Impact'!AC16</f>
        <v>0</v>
      </c>
      <c r="AZ13" s="219">
        <f>+'Table 5C1P-Vision'!AC16</f>
        <v>0</v>
      </c>
      <c r="BA13" s="219">
        <f>+'Table 5C1Q-Advantage'!AC16</f>
        <v>0</v>
      </c>
      <c r="BB13" s="219">
        <f>+'Table 5C1R-Iberville'!AC16</f>
        <v>0</v>
      </c>
      <c r="BC13" s="219">
        <f>+'Table 5C1S-L.C. Coll Prep'!AC16</f>
        <v>-1255.375</v>
      </c>
      <c r="BD13" s="219">
        <f>+'Table 5C1T-Northeast'!AC16</f>
        <v>0</v>
      </c>
      <c r="BE13" s="219">
        <f>+'Table 5C1U-Acadiana Ren'!AC16</f>
        <v>0</v>
      </c>
      <c r="BF13" s="219">
        <f>+'Table 5C1V-Laf Ren'!AC16</f>
        <v>0</v>
      </c>
      <c r="BG13" s="219">
        <f>+'Table 5C1W-Willow'!AC16</f>
        <v>0</v>
      </c>
      <c r="BH13" s="219">
        <f>'Table 5C2 - LA Virtual Admy'!AD15</f>
        <v>-801.15750000000003</v>
      </c>
      <c r="BI13" s="219">
        <f>'Table 5C3 - LA Connections EBR'!AD15</f>
        <v>-482.74875000000003</v>
      </c>
      <c r="BJ13" s="364">
        <f t="shared" si="55"/>
        <v>12163534.11875</v>
      </c>
      <c r="BK13" s="38"/>
    </row>
    <row r="14" spans="1:63" ht="14.4" customHeight="1">
      <c r="A14" s="1250">
        <v>11</v>
      </c>
      <c r="B14" s="1251" t="s">
        <v>91</v>
      </c>
      <c r="C14" s="1252">
        <f>'Table 2_State Distrib and Adjs'!AL17</f>
        <v>1019744</v>
      </c>
      <c r="D14" s="1253">
        <f>-'Table 5A3_OJJ'!W16</f>
        <v>0</v>
      </c>
      <c r="E14" s="1253"/>
      <c r="F14" s="1253"/>
      <c r="G14" s="1253">
        <f>-'Table 5C1A-Madison Prep'!AI17</f>
        <v>0</v>
      </c>
      <c r="H14" s="1253">
        <f>-'Table 5C1B-DArbonne'!AI17</f>
        <v>0</v>
      </c>
      <c r="I14" s="1253">
        <f>-'Table 5C1C-Intl_VIBE'!AI17</f>
        <v>0</v>
      </c>
      <c r="J14" s="1253">
        <f>-'Table 5C1D-NOMMA'!AI17</f>
        <v>0</v>
      </c>
      <c r="K14" s="1253">
        <f>-'Table 5C1E-LFNO'!AI17</f>
        <v>0</v>
      </c>
      <c r="L14" s="1253">
        <f>-'Table 5C1F-Lake Charles Charter'!AI17</f>
        <v>0</v>
      </c>
      <c r="M14" s="1253">
        <f>-'Table 5C1G-JS Clark Academy'!AI17</f>
        <v>0</v>
      </c>
      <c r="N14" s="1253">
        <f>-'Table 5C1H-Southwest LA Charter'!AI17</f>
        <v>0</v>
      </c>
      <c r="O14" s="1253">
        <f>-'Table 5C1I-LA Key Academy'!AI17</f>
        <v>0</v>
      </c>
      <c r="P14" s="1253">
        <f>-'Table 5C1J-Jefferson Chamber'!AI17</f>
        <v>0</v>
      </c>
      <c r="Q14" s="1253">
        <f>-'Table 5C1K-Tallulah Charter'!AI17</f>
        <v>0</v>
      </c>
      <c r="R14" s="1253">
        <f>-'Table 5C1L-Northshore Charter'!AI17</f>
        <v>0</v>
      </c>
      <c r="S14" s="1253">
        <f>-'Table 5C1M-B.R. Charter'!AI17</f>
        <v>0</v>
      </c>
      <c r="T14" s="1253">
        <f>-'Table 5C1N-Delta Charter'!AI17</f>
        <v>0</v>
      </c>
      <c r="U14" s="1253">
        <f>-'Table 5C1O-Impact'!AI17</f>
        <v>0</v>
      </c>
      <c r="V14" s="1253">
        <f>-'Table 5C1P-Vision'!AI17</f>
        <v>0</v>
      </c>
      <c r="W14" s="1253">
        <f>-'Table 5C1Q-Advantage'!AI17</f>
        <v>0</v>
      </c>
      <c r="X14" s="1253">
        <f>-'Table 5C1R-Iberville'!AI17</f>
        <v>0</v>
      </c>
      <c r="Y14" s="1253">
        <f>-'Table 5C1S-L.C. Coll Prep'!AI17</f>
        <v>0</v>
      </c>
      <c r="Z14" s="1253">
        <f>-'Table 5C1T-Northeast'!AI17</f>
        <v>0</v>
      </c>
      <c r="AA14" s="1253">
        <f>-'Table 5C1U-Acadiana Ren'!AI17</f>
        <v>0</v>
      </c>
      <c r="AB14" s="1253">
        <f>-'Table 5C1V-Laf Ren'!AI17</f>
        <v>0</v>
      </c>
      <c r="AC14" s="1253">
        <f>-'Table 5C1W-Willow'!AI17</f>
        <v>0</v>
      </c>
      <c r="AD14" s="1253">
        <f>-'Table 5C2 - LA Virtual Admy'!AJ16</f>
        <v>-1073</v>
      </c>
      <c r="AE14" s="1253">
        <f>-'Table 5C3 - LA Connections EBR'!AJ16</f>
        <v>-268</v>
      </c>
      <c r="AF14" s="1253">
        <f t="shared" si="53"/>
        <v>-1341</v>
      </c>
      <c r="AG14" s="1280">
        <f t="shared" si="54"/>
        <v>1018403</v>
      </c>
      <c r="AH14" s="1253"/>
      <c r="AI14" s="1253"/>
      <c r="AJ14" s="1253"/>
      <c r="AK14" s="1253">
        <f>'Table 5C1A-Madison Prep'!AC17</f>
        <v>0</v>
      </c>
      <c r="AL14" s="1253">
        <f>'Table 5C1B-DArbonne'!AC17</f>
        <v>0</v>
      </c>
      <c r="AM14" s="1253">
        <f>'Table 5C1C-Intl_VIBE'!AC17</f>
        <v>0</v>
      </c>
      <c r="AN14" s="1253">
        <f>'Table 5C1D-NOMMA'!AC17</f>
        <v>0</v>
      </c>
      <c r="AO14" s="1253">
        <f>'Table 5C1E-LFNO'!AC17</f>
        <v>0</v>
      </c>
      <c r="AP14" s="1253">
        <f>'Table 5C1F-Lake Charles Charter'!AC17</f>
        <v>0</v>
      </c>
      <c r="AQ14" s="1253">
        <f>'Table 5C1G-JS Clark Academy'!AC17</f>
        <v>0</v>
      </c>
      <c r="AR14" s="1253">
        <f>'Table 5C1H-Southwest LA Charter'!AC17</f>
        <v>0</v>
      </c>
      <c r="AS14" s="1253">
        <f>'Table 5C1I-LA Key Academy'!AC17</f>
        <v>0</v>
      </c>
      <c r="AT14" s="1253">
        <f>'Table 5C1J-Jefferson Chamber'!AC17</f>
        <v>0</v>
      </c>
      <c r="AU14" s="1253">
        <f>'Table 5C1K-Tallulah Charter'!AC17</f>
        <v>0</v>
      </c>
      <c r="AV14" s="1253">
        <f>'Table 5C1L-Northshore Charter'!AC17</f>
        <v>0</v>
      </c>
      <c r="AW14" s="1253">
        <f>'Table 5C1M-B.R. Charter'!AC17</f>
        <v>0</v>
      </c>
      <c r="AX14" s="1253">
        <f>'Table 5C1N-Delta Charter'!AC17</f>
        <v>0</v>
      </c>
      <c r="AY14" s="1253">
        <f>'Table 5C1O-Impact'!AC17</f>
        <v>0</v>
      </c>
      <c r="AZ14" s="1253">
        <f>+'Table 5C1P-Vision'!AC17</f>
        <v>0</v>
      </c>
      <c r="BA14" s="1253">
        <f>+'Table 5C1Q-Advantage'!AC17</f>
        <v>0</v>
      </c>
      <c r="BB14" s="1253">
        <f>+'Table 5C1R-Iberville'!AC17</f>
        <v>0</v>
      </c>
      <c r="BC14" s="1253">
        <f>+'Table 5C1S-L.C. Coll Prep'!AC17</f>
        <v>0</v>
      </c>
      <c r="BD14" s="1253">
        <f>+'Table 5C1T-Northeast'!AC17</f>
        <v>0</v>
      </c>
      <c r="BE14" s="1253">
        <f>+'Table 5C1U-Acadiana Ren'!AC17</f>
        <v>0</v>
      </c>
      <c r="BF14" s="1253">
        <f>+'Table 5C1V-Laf Ren'!AC17</f>
        <v>0</v>
      </c>
      <c r="BG14" s="1253">
        <f>+'Table 5C1W-Willow'!AC17</f>
        <v>0</v>
      </c>
      <c r="BH14" s="1253">
        <f>'Table 5C2 - LA Virtual Admy'!AD16</f>
        <v>-32.283000000000001</v>
      </c>
      <c r="BI14" s="1253">
        <f>'Table 5C3 - LA Connections EBR'!AD16</f>
        <v>-8.0707500000000003</v>
      </c>
      <c r="BJ14" s="1280">
        <f t="shared" si="55"/>
        <v>1018362.64625</v>
      </c>
      <c r="BK14" s="38"/>
    </row>
    <row r="15" spans="1:63" ht="14.4" customHeight="1">
      <c r="A15" s="1250">
        <v>12</v>
      </c>
      <c r="B15" s="1251" t="s">
        <v>92</v>
      </c>
      <c r="C15" s="1252">
        <f>'Table 2_State Distrib and Adjs'!AL18</f>
        <v>281581</v>
      </c>
      <c r="D15" s="1253">
        <f>-'Table 5A3_OJJ'!W17</f>
        <v>0</v>
      </c>
      <c r="E15" s="1253"/>
      <c r="F15" s="1253"/>
      <c r="G15" s="1253">
        <f>-'Table 5C1A-Madison Prep'!AI18</f>
        <v>0</v>
      </c>
      <c r="H15" s="1253">
        <f>-'Table 5C1B-DArbonne'!AI18</f>
        <v>0</v>
      </c>
      <c r="I15" s="1253">
        <f>-'Table 5C1C-Intl_VIBE'!AI18</f>
        <v>0</v>
      </c>
      <c r="J15" s="1253">
        <f>-'Table 5C1D-NOMMA'!AI18</f>
        <v>0</v>
      </c>
      <c r="K15" s="1253">
        <f>-'Table 5C1E-LFNO'!AI18</f>
        <v>0</v>
      </c>
      <c r="L15" s="1253">
        <f>-'Table 5C1F-Lake Charles Charter'!AI18</f>
        <v>0</v>
      </c>
      <c r="M15" s="1253">
        <f>-'Table 5C1G-JS Clark Academy'!AI18</f>
        <v>0</v>
      </c>
      <c r="N15" s="1253">
        <f>-'Table 5C1H-Southwest LA Charter'!AI18</f>
        <v>0</v>
      </c>
      <c r="O15" s="1253">
        <f>-'Table 5C1I-LA Key Academy'!AI18</f>
        <v>0</v>
      </c>
      <c r="P15" s="1253">
        <f>-'Table 5C1J-Jefferson Chamber'!AI18</f>
        <v>0</v>
      </c>
      <c r="Q15" s="1253">
        <f>-'Table 5C1K-Tallulah Charter'!AI18</f>
        <v>0</v>
      </c>
      <c r="R15" s="1253">
        <f>-'Table 5C1L-Northshore Charter'!AI18</f>
        <v>0</v>
      </c>
      <c r="S15" s="1253">
        <f>-'Table 5C1M-B.R. Charter'!AI18</f>
        <v>0</v>
      </c>
      <c r="T15" s="1253">
        <f>-'Table 5C1N-Delta Charter'!AI18</f>
        <v>0</v>
      </c>
      <c r="U15" s="1253">
        <f>-'Table 5C1O-Impact'!AI18</f>
        <v>0</v>
      </c>
      <c r="V15" s="1253">
        <f>-'Table 5C1P-Vision'!AI18</f>
        <v>0</v>
      </c>
      <c r="W15" s="1253">
        <f>-'Table 5C1Q-Advantage'!AI18</f>
        <v>0</v>
      </c>
      <c r="X15" s="1253">
        <f>-'Table 5C1R-Iberville'!AI18</f>
        <v>0</v>
      </c>
      <c r="Y15" s="1253">
        <f>-'Table 5C1S-L.C. Coll Prep'!AI18</f>
        <v>0</v>
      </c>
      <c r="Z15" s="1253">
        <f>-'Table 5C1T-Northeast'!AI18</f>
        <v>0</v>
      </c>
      <c r="AA15" s="1253">
        <f>-'Table 5C1U-Acadiana Ren'!AI18</f>
        <v>0</v>
      </c>
      <c r="AB15" s="1253">
        <f>-'Table 5C1V-Laf Ren'!AI18</f>
        <v>0</v>
      </c>
      <c r="AC15" s="1253">
        <f>-'Table 5C1W-Willow'!AI18</f>
        <v>0</v>
      </c>
      <c r="AD15" s="1253">
        <f>-'Table 5C2 - LA Virtual Admy'!AJ17</f>
        <v>-1211</v>
      </c>
      <c r="AE15" s="1253">
        <f>-'Table 5C3 - LA Connections EBR'!AJ17</f>
        <v>-606</v>
      </c>
      <c r="AF15" s="1253">
        <f t="shared" si="53"/>
        <v>-1817</v>
      </c>
      <c r="AG15" s="1280">
        <f t="shared" si="54"/>
        <v>279764</v>
      </c>
      <c r="AH15" s="1253"/>
      <c r="AI15" s="1253"/>
      <c r="AJ15" s="1253"/>
      <c r="AK15" s="1253">
        <f>'Table 5C1A-Madison Prep'!AC18</f>
        <v>0</v>
      </c>
      <c r="AL15" s="1253">
        <f>'Table 5C1B-DArbonne'!AC18</f>
        <v>0</v>
      </c>
      <c r="AM15" s="1253">
        <f>'Table 5C1C-Intl_VIBE'!AC18</f>
        <v>0</v>
      </c>
      <c r="AN15" s="1253">
        <f>'Table 5C1D-NOMMA'!AC18</f>
        <v>0</v>
      </c>
      <c r="AO15" s="1253">
        <f>'Table 5C1E-LFNO'!AC18</f>
        <v>0</v>
      </c>
      <c r="AP15" s="1253">
        <f>'Table 5C1F-Lake Charles Charter'!AC18</f>
        <v>0</v>
      </c>
      <c r="AQ15" s="1253">
        <f>'Table 5C1G-JS Clark Academy'!AC18</f>
        <v>0</v>
      </c>
      <c r="AR15" s="1253">
        <f>'Table 5C1H-Southwest LA Charter'!AC18</f>
        <v>0</v>
      </c>
      <c r="AS15" s="1253">
        <f>'Table 5C1I-LA Key Academy'!AC18</f>
        <v>0</v>
      </c>
      <c r="AT15" s="1253">
        <f>'Table 5C1J-Jefferson Chamber'!AC18</f>
        <v>0</v>
      </c>
      <c r="AU15" s="1253">
        <f>'Table 5C1K-Tallulah Charter'!AC18</f>
        <v>0</v>
      </c>
      <c r="AV15" s="1253">
        <f>'Table 5C1L-Northshore Charter'!AC18</f>
        <v>0</v>
      </c>
      <c r="AW15" s="1253">
        <f>'Table 5C1M-B.R. Charter'!AC18</f>
        <v>0</v>
      </c>
      <c r="AX15" s="1253">
        <f>'Table 5C1N-Delta Charter'!AC18</f>
        <v>0</v>
      </c>
      <c r="AY15" s="1253">
        <f>'Table 5C1O-Impact'!AC18</f>
        <v>0</v>
      </c>
      <c r="AZ15" s="1253">
        <f>+'Table 5C1P-Vision'!AC18</f>
        <v>0</v>
      </c>
      <c r="BA15" s="1253">
        <f>+'Table 5C1Q-Advantage'!AC18</f>
        <v>0</v>
      </c>
      <c r="BB15" s="1253">
        <f>+'Table 5C1R-Iberville'!AC18</f>
        <v>0</v>
      </c>
      <c r="BC15" s="1253">
        <f>+'Table 5C1S-L.C. Coll Prep'!AC18</f>
        <v>0</v>
      </c>
      <c r="BD15" s="1253">
        <f>+'Table 5C1T-Northeast'!AC18</f>
        <v>0</v>
      </c>
      <c r="BE15" s="1253">
        <f>+'Table 5C1U-Acadiana Ren'!AC18</f>
        <v>0</v>
      </c>
      <c r="BF15" s="1253">
        <f>+'Table 5C1V-Laf Ren'!AC18</f>
        <v>0</v>
      </c>
      <c r="BG15" s="1253">
        <f>+'Table 5C1W-Willow'!AC18</f>
        <v>0</v>
      </c>
      <c r="BH15" s="1253">
        <f>'Table 5C2 - LA Virtual Admy'!AD17</f>
        <v>-36.423000000000002</v>
      </c>
      <c r="BI15" s="1253">
        <f>'Table 5C3 - LA Connections EBR'!AD17</f>
        <v>-18.211500000000001</v>
      </c>
      <c r="BJ15" s="1280">
        <f t="shared" si="55"/>
        <v>279709.36550000001</v>
      </c>
      <c r="BK15" s="38"/>
    </row>
    <row r="16" spans="1:63" ht="14.4" customHeight="1">
      <c r="A16" s="1250">
        <v>13</v>
      </c>
      <c r="B16" s="1251" t="s">
        <v>93</v>
      </c>
      <c r="C16" s="1252">
        <f>'Table 2_State Distrib and Adjs'!AL19</f>
        <v>857229</v>
      </c>
      <c r="D16" s="1253">
        <f>-'Table 5A3_OJJ'!W18</f>
        <v>0</v>
      </c>
      <c r="E16" s="1253"/>
      <c r="F16" s="1253"/>
      <c r="G16" s="1253">
        <f>-'Table 5C1A-Madison Prep'!AI19</f>
        <v>0</v>
      </c>
      <c r="H16" s="1253">
        <f>-'Table 5C1B-DArbonne'!AI19</f>
        <v>0</v>
      </c>
      <c r="I16" s="1253">
        <f>-'Table 5C1C-Intl_VIBE'!AI19</f>
        <v>0</v>
      </c>
      <c r="J16" s="1253">
        <f>-'Table 5C1D-NOMMA'!AI19</f>
        <v>0</v>
      </c>
      <c r="K16" s="1253">
        <f>-'Table 5C1E-LFNO'!AI19</f>
        <v>0</v>
      </c>
      <c r="L16" s="1253">
        <f>-'Table 5C1F-Lake Charles Charter'!AI19</f>
        <v>0</v>
      </c>
      <c r="M16" s="1253">
        <f>-'Table 5C1G-JS Clark Academy'!AI19</f>
        <v>0</v>
      </c>
      <c r="N16" s="1253">
        <f>-'Table 5C1H-Southwest LA Charter'!AI19</f>
        <v>0</v>
      </c>
      <c r="O16" s="1253">
        <f>-'Table 5C1I-LA Key Academy'!AI19</f>
        <v>0</v>
      </c>
      <c r="P16" s="1253">
        <f>-'Table 5C1J-Jefferson Chamber'!AI19</f>
        <v>0</v>
      </c>
      <c r="Q16" s="1253">
        <f>-'Table 5C1K-Tallulah Charter'!AI19</f>
        <v>0</v>
      </c>
      <c r="R16" s="1253">
        <f>-'Table 5C1L-Northshore Charter'!AI19</f>
        <v>0</v>
      </c>
      <c r="S16" s="1253">
        <f>-'Table 5C1M-B.R. Charter'!AI19</f>
        <v>0</v>
      </c>
      <c r="T16" s="1253">
        <f>-'Table 5C1N-Delta Charter'!AI19</f>
        <v>-9686</v>
      </c>
      <c r="U16" s="1253">
        <f>-'Table 5C1O-Impact'!AI19</f>
        <v>0</v>
      </c>
      <c r="V16" s="1253">
        <f>-'Table 5C1P-Vision'!AI19</f>
        <v>0</v>
      </c>
      <c r="W16" s="1253">
        <f>-'Table 5C1Q-Advantage'!AI19</f>
        <v>0</v>
      </c>
      <c r="X16" s="1253">
        <f>-'Table 5C1R-Iberville'!AI19</f>
        <v>0</v>
      </c>
      <c r="Y16" s="1253">
        <f>-'Table 5C1S-L.C. Coll Prep'!AI19</f>
        <v>0</v>
      </c>
      <c r="Z16" s="1253">
        <f>-'Table 5C1T-Northeast'!AI19</f>
        <v>0</v>
      </c>
      <c r="AA16" s="1253">
        <f>-'Table 5C1U-Acadiana Ren'!AI19</f>
        <v>0</v>
      </c>
      <c r="AB16" s="1253">
        <f>-'Table 5C1V-Laf Ren'!AI19</f>
        <v>0</v>
      </c>
      <c r="AC16" s="1253">
        <f>-'Table 5C1W-Willow'!AI19</f>
        <v>0</v>
      </c>
      <c r="AD16" s="1253">
        <f>-'Table 5C2 - LA Virtual Admy'!AJ18</f>
        <v>-1488</v>
      </c>
      <c r="AE16" s="1253">
        <f>-'Table 5C3 - LA Connections EBR'!AJ18</f>
        <v>-1914</v>
      </c>
      <c r="AF16" s="1253">
        <f t="shared" si="53"/>
        <v>-13088</v>
      </c>
      <c r="AG16" s="1280">
        <f t="shared" si="54"/>
        <v>844141</v>
      </c>
      <c r="AH16" s="1253"/>
      <c r="AI16" s="1253"/>
      <c r="AJ16" s="1253"/>
      <c r="AK16" s="1253">
        <f>'Table 5C1A-Madison Prep'!AC19</f>
        <v>0</v>
      </c>
      <c r="AL16" s="1253">
        <f>'Table 5C1B-DArbonne'!AC19</f>
        <v>0</v>
      </c>
      <c r="AM16" s="1253">
        <f>'Table 5C1C-Intl_VIBE'!AC19</f>
        <v>0</v>
      </c>
      <c r="AN16" s="1253">
        <f>'Table 5C1D-NOMMA'!AC19</f>
        <v>0</v>
      </c>
      <c r="AO16" s="1253">
        <f>'Table 5C1E-LFNO'!AC19</f>
        <v>0</v>
      </c>
      <c r="AP16" s="1253">
        <f>'Table 5C1F-Lake Charles Charter'!AC19</f>
        <v>0</v>
      </c>
      <c r="AQ16" s="1253">
        <f>'Table 5C1G-JS Clark Academy'!AC19</f>
        <v>0</v>
      </c>
      <c r="AR16" s="1253">
        <f>'Table 5C1H-Southwest LA Charter'!AC19</f>
        <v>0</v>
      </c>
      <c r="AS16" s="1253">
        <f>'Table 5C1I-LA Key Academy'!AC19</f>
        <v>0</v>
      </c>
      <c r="AT16" s="1253">
        <f>'Table 5C1J-Jefferson Chamber'!AC19</f>
        <v>0</v>
      </c>
      <c r="AU16" s="1253">
        <f>'Table 5C1K-Tallulah Charter'!AC19</f>
        <v>0</v>
      </c>
      <c r="AV16" s="1253">
        <f>'Table 5C1L-Northshore Charter'!AC19</f>
        <v>0</v>
      </c>
      <c r="AW16" s="1253">
        <f>'Table 5C1M-B.R. Charter'!AC19</f>
        <v>0</v>
      </c>
      <c r="AX16" s="1253">
        <f>'Table 5C1N-Delta Charter'!AC19</f>
        <v>-291.30500000000001</v>
      </c>
      <c r="AY16" s="1253">
        <f>'Table 5C1O-Impact'!AC19</f>
        <v>0</v>
      </c>
      <c r="AZ16" s="1253">
        <f>+'Table 5C1P-Vision'!AC19</f>
        <v>0</v>
      </c>
      <c r="BA16" s="1253">
        <f>+'Table 5C1Q-Advantage'!AC19</f>
        <v>0</v>
      </c>
      <c r="BB16" s="1253">
        <f>+'Table 5C1R-Iberville'!AC19</f>
        <v>0</v>
      </c>
      <c r="BC16" s="1253">
        <f>+'Table 5C1S-L.C. Coll Prep'!AC19</f>
        <v>0</v>
      </c>
      <c r="BD16" s="1253">
        <f>+'Table 5C1T-Northeast'!AC19</f>
        <v>0</v>
      </c>
      <c r="BE16" s="1253">
        <f>+'Table 5C1U-Acadiana Ren'!AC19</f>
        <v>0</v>
      </c>
      <c r="BF16" s="1253">
        <f>+'Table 5C1V-Laf Ren'!AC19</f>
        <v>0</v>
      </c>
      <c r="BG16" s="1253">
        <f>+'Table 5C1W-Willow'!AC19</f>
        <v>0</v>
      </c>
      <c r="BH16" s="1253">
        <f>'Table 5C2 - LA Virtual Admy'!AD18</f>
        <v>-44.761500000000005</v>
      </c>
      <c r="BI16" s="1253">
        <f>'Table 5C3 - LA Connections EBR'!AD18</f>
        <v>-57.5505</v>
      </c>
      <c r="BJ16" s="1280">
        <f t="shared" si="55"/>
        <v>843747.38299999991</v>
      </c>
      <c r="BK16" s="38"/>
    </row>
    <row r="17" spans="1:63" ht="14.4" customHeight="1">
      <c r="A17" s="1250">
        <v>14</v>
      </c>
      <c r="B17" s="1251" t="s">
        <v>94</v>
      </c>
      <c r="C17" s="1252">
        <f>'Table 2_State Distrib and Adjs'!AL20</f>
        <v>852147</v>
      </c>
      <c r="D17" s="1253">
        <f>-'Table 5A3_OJJ'!W19</f>
        <v>-380</v>
      </c>
      <c r="E17" s="1253"/>
      <c r="F17" s="1253"/>
      <c r="G17" s="1253">
        <f>-'Table 5C1A-Madison Prep'!AI20</f>
        <v>0</v>
      </c>
      <c r="H17" s="1253">
        <f>-'Table 5C1B-DArbonne'!AI20</f>
        <v>-699</v>
      </c>
      <c r="I17" s="1253">
        <f>-'Table 5C1C-Intl_VIBE'!AI20</f>
        <v>0</v>
      </c>
      <c r="J17" s="1253">
        <f>-'Table 5C1D-NOMMA'!AI20</f>
        <v>0</v>
      </c>
      <c r="K17" s="1253">
        <f>-'Table 5C1E-LFNO'!AI20</f>
        <v>0</v>
      </c>
      <c r="L17" s="1253">
        <f>-'Table 5C1F-Lake Charles Charter'!AI20</f>
        <v>0</v>
      </c>
      <c r="M17" s="1253">
        <f>-'Table 5C1G-JS Clark Academy'!AI20</f>
        <v>0</v>
      </c>
      <c r="N17" s="1253">
        <f>-'Table 5C1H-Southwest LA Charter'!AI20</f>
        <v>0</v>
      </c>
      <c r="O17" s="1253">
        <f>-'Table 5C1I-LA Key Academy'!AI20</f>
        <v>0</v>
      </c>
      <c r="P17" s="1253">
        <f>-'Table 5C1J-Jefferson Chamber'!AI20</f>
        <v>0</v>
      </c>
      <c r="Q17" s="1253">
        <f>-'Table 5C1K-Tallulah Charter'!AI20</f>
        <v>0</v>
      </c>
      <c r="R17" s="1253">
        <f>-'Table 5C1L-Northshore Charter'!AI20</f>
        <v>0</v>
      </c>
      <c r="S17" s="1253">
        <f>-'Table 5C1M-B.R. Charter'!AI20</f>
        <v>0</v>
      </c>
      <c r="T17" s="1253">
        <f>-'Table 5C1N-Delta Charter'!AI20</f>
        <v>0</v>
      </c>
      <c r="U17" s="1253">
        <f>-'Table 5C1O-Impact'!AI20</f>
        <v>0</v>
      </c>
      <c r="V17" s="1253">
        <f>-'Table 5C1P-Vision'!AI20</f>
        <v>0</v>
      </c>
      <c r="W17" s="1253">
        <f>-'Table 5C1Q-Advantage'!AI20</f>
        <v>0</v>
      </c>
      <c r="X17" s="1253">
        <f>-'Table 5C1R-Iberville'!AI20</f>
        <v>0</v>
      </c>
      <c r="Y17" s="1253">
        <f>-'Table 5C1S-L.C. Coll Prep'!AI20</f>
        <v>0</v>
      </c>
      <c r="Z17" s="1253">
        <f>-'Table 5C1T-Northeast'!AI20</f>
        <v>-27963</v>
      </c>
      <c r="AA17" s="1253">
        <f>-'Table 5C1U-Acadiana Ren'!AI20</f>
        <v>0</v>
      </c>
      <c r="AB17" s="1253">
        <f>-'Table 5C1V-Laf Ren'!AI20</f>
        <v>0</v>
      </c>
      <c r="AC17" s="1253">
        <f>-'Table 5C1W-Willow'!AI20</f>
        <v>0</v>
      </c>
      <c r="AD17" s="1253">
        <f>-'Table 5C2 - LA Virtual Admy'!AJ19</f>
        <v>0</v>
      </c>
      <c r="AE17" s="1253">
        <f>-'Table 5C3 - LA Connections EBR'!AJ19</f>
        <v>-5348</v>
      </c>
      <c r="AF17" s="1253">
        <f t="shared" si="53"/>
        <v>-34390</v>
      </c>
      <c r="AG17" s="1280">
        <f t="shared" si="54"/>
        <v>817757</v>
      </c>
      <c r="AH17" s="1253"/>
      <c r="AI17" s="1253"/>
      <c r="AJ17" s="1253"/>
      <c r="AK17" s="1253">
        <f>'Table 5C1A-Madison Prep'!AC20</f>
        <v>0</v>
      </c>
      <c r="AL17" s="1253">
        <f>'Table 5C1B-DArbonne'!AC20</f>
        <v>-21.025000000000002</v>
      </c>
      <c r="AM17" s="1253">
        <f>'Table 5C1C-Intl_VIBE'!AC20</f>
        <v>0</v>
      </c>
      <c r="AN17" s="1253">
        <f>'Table 5C1D-NOMMA'!AC20</f>
        <v>0</v>
      </c>
      <c r="AO17" s="1253">
        <f>'Table 5C1E-LFNO'!AC20</f>
        <v>0</v>
      </c>
      <c r="AP17" s="1253">
        <f>'Table 5C1F-Lake Charles Charter'!AC20</f>
        <v>0</v>
      </c>
      <c r="AQ17" s="1253">
        <f>'Table 5C1G-JS Clark Academy'!AC20</f>
        <v>0</v>
      </c>
      <c r="AR17" s="1253">
        <f>'Table 5C1H-Southwest LA Charter'!AC20</f>
        <v>0</v>
      </c>
      <c r="AS17" s="1253">
        <f>'Table 5C1I-LA Key Academy'!AC20</f>
        <v>0</v>
      </c>
      <c r="AT17" s="1253">
        <f>'Table 5C1J-Jefferson Chamber'!AC20</f>
        <v>0</v>
      </c>
      <c r="AU17" s="1253">
        <f>'Table 5C1K-Tallulah Charter'!AC20</f>
        <v>0</v>
      </c>
      <c r="AV17" s="1253">
        <f>'Table 5C1L-Northshore Charter'!AC20</f>
        <v>0</v>
      </c>
      <c r="AW17" s="1253">
        <f>'Table 5C1M-B.R. Charter'!AC20</f>
        <v>0</v>
      </c>
      <c r="AX17" s="1253">
        <f>'Table 5C1N-Delta Charter'!AC20</f>
        <v>0</v>
      </c>
      <c r="AY17" s="1253">
        <f>'Table 5C1O-Impact'!AC20</f>
        <v>0</v>
      </c>
      <c r="AZ17" s="1253">
        <f>+'Table 5C1P-Vision'!AC20</f>
        <v>0</v>
      </c>
      <c r="BA17" s="1253">
        <f>+'Table 5C1Q-Advantage'!AC20</f>
        <v>0</v>
      </c>
      <c r="BB17" s="1253">
        <f>+'Table 5C1R-Iberville'!AC20</f>
        <v>0</v>
      </c>
      <c r="BC17" s="1253">
        <f>+'Table 5C1S-L.C. Coll Prep'!AC20</f>
        <v>0</v>
      </c>
      <c r="BD17" s="1253">
        <f>+'Table 5C1T-Northeast'!AC20</f>
        <v>-841</v>
      </c>
      <c r="BE17" s="1253">
        <f>+'Table 5C1U-Acadiana Ren'!AC20</f>
        <v>0</v>
      </c>
      <c r="BF17" s="1253">
        <f>+'Table 5C1V-Laf Ren'!AC20</f>
        <v>0</v>
      </c>
      <c r="BG17" s="1253">
        <f>+'Table 5C1W-Willow'!AC20</f>
        <v>0</v>
      </c>
      <c r="BH17" s="1253">
        <f>'Table 5C2 - LA Virtual Admy'!AD19</f>
        <v>0</v>
      </c>
      <c r="BI17" s="1253">
        <f>'Table 5C3 - LA Connections EBR'!AD19</f>
        <v>-160.84125</v>
      </c>
      <c r="BJ17" s="1280">
        <f t="shared" si="55"/>
        <v>816734.13374999992</v>
      </c>
      <c r="BK17" s="38"/>
    </row>
    <row r="18" spans="1:63" ht="14.4" customHeight="1">
      <c r="A18" s="85">
        <v>15</v>
      </c>
      <c r="B18" s="207" t="s">
        <v>95</v>
      </c>
      <c r="C18" s="209">
        <f>'Table 2_State Distrib and Adjs'!AL21</f>
        <v>1778951</v>
      </c>
      <c r="D18" s="219">
        <f>-'Table 5A3_OJJ'!W20</f>
        <v>0</v>
      </c>
      <c r="E18" s="219"/>
      <c r="F18" s="219"/>
      <c r="G18" s="219">
        <f>-'Table 5C1A-Madison Prep'!AI21</f>
        <v>0</v>
      </c>
      <c r="H18" s="219">
        <f>-'Table 5C1B-DArbonne'!AI21</f>
        <v>0</v>
      </c>
      <c r="I18" s="219">
        <f>-'Table 5C1C-Intl_VIBE'!AI21</f>
        <v>0</v>
      </c>
      <c r="J18" s="219">
        <f>-'Table 5C1D-NOMMA'!AI21</f>
        <v>0</v>
      </c>
      <c r="K18" s="219">
        <f>-'Table 5C1E-LFNO'!AI21</f>
        <v>0</v>
      </c>
      <c r="L18" s="219">
        <f>-'Table 5C1F-Lake Charles Charter'!AI21</f>
        <v>0</v>
      </c>
      <c r="M18" s="219">
        <f>-'Table 5C1G-JS Clark Academy'!AI21</f>
        <v>0</v>
      </c>
      <c r="N18" s="219">
        <f>-'Table 5C1H-Southwest LA Charter'!AI21</f>
        <v>0</v>
      </c>
      <c r="O18" s="219">
        <f>-'Table 5C1I-LA Key Academy'!AI21</f>
        <v>0</v>
      </c>
      <c r="P18" s="219">
        <f>-'Table 5C1J-Jefferson Chamber'!AI21</f>
        <v>0</v>
      </c>
      <c r="Q18" s="219">
        <f>-'Table 5C1K-Tallulah Charter'!AI21</f>
        <v>0</v>
      </c>
      <c r="R18" s="219">
        <f>-'Table 5C1L-Northshore Charter'!AI21</f>
        <v>0</v>
      </c>
      <c r="S18" s="219">
        <f>-'Table 5C1M-B.R. Charter'!AI21</f>
        <v>0</v>
      </c>
      <c r="T18" s="219">
        <f>-'Table 5C1N-Delta Charter'!AI21</f>
        <v>-56684</v>
      </c>
      <c r="U18" s="219">
        <f>-'Table 5C1O-Impact'!AI21</f>
        <v>0</v>
      </c>
      <c r="V18" s="219">
        <f>-'Table 5C1P-Vision'!AI21</f>
        <v>0</v>
      </c>
      <c r="W18" s="219">
        <f>-'Table 5C1Q-Advantage'!AI21</f>
        <v>0</v>
      </c>
      <c r="X18" s="219">
        <f>-'Table 5C1R-Iberville'!AI21</f>
        <v>0</v>
      </c>
      <c r="Y18" s="219">
        <f>-'Table 5C1S-L.C. Coll Prep'!AI21</f>
        <v>0</v>
      </c>
      <c r="Z18" s="219">
        <f>-'Table 5C1T-Northeast'!AI21</f>
        <v>0</v>
      </c>
      <c r="AA18" s="219">
        <f>-'Table 5C1U-Acadiana Ren'!AI21</f>
        <v>0</v>
      </c>
      <c r="AB18" s="219">
        <f>-'Table 5C1V-Laf Ren'!AI21</f>
        <v>0</v>
      </c>
      <c r="AC18" s="219">
        <f>-'Table 5C1W-Willow'!AI21</f>
        <v>0</v>
      </c>
      <c r="AD18" s="219">
        <f>-'Table 5C2 - LA Virtual Admy'!AJ20</f>
        <v>-4172</v>
      </c>
      <c r="AE18" s="219">
        <f>-'Table 5C3 - LA Connections EBR'!AJ20</f>
        <v>-948</v>
      </c>
      <c r="AF18" s="219">
        <f t="shared" si="53"/>
        <v>-61804</v>
      </c>
      <c r="AG18" s="364">
        <f t="shared" si="54"/>
        <v>1717147</v>
      </c>
      <c r="AH18" s="219"/>
      <c r="AI18" s="219"/>
      <c r="AJ18" s="219"/>
      <c r="AK18" s="219">
        <f>'Table 5C1A-Madison Prep'!AC21</f>
        <v>0</v>
      </c>
      <c r="AL18" s="219">
        <f>'Table 5C1B-DArbonne'!AC21</f>
        <v>0</v>
      </c>
      <c r="AM18" s="219">
        <f>'Table 5C1C-Intl_VIBE'!AC21</f>
        <v>0</v>
      </c>
      <c r="AN18" s="219">
        <f>'Table 5C1D-NOMMA'!AC21</f>
        <v>0</v>
      </c>
      <c r="AO18" s="219">
        <f>'Table 5C1E-LFNO'!AC21</f>
        <v>0</v>
      </c>
      <c r="AP18" s="219">
        <f>'Table 5C1F-Lake Charles Charter'!AC21</f>
        <v>0</v>
      </c>
      <c r="AQ18" s="219">
        <f>'Table 5C1G-JS Clark Academy'!AC21</f>
        <v>0</v>
      </c>
      <c r="AR18" s="219">
        <f>'Table 5C1H-Southwest LA Charter'!AC21</f>
        <v>0</v>
      </c>
      <c r="AS18" s="219">
        <f>'Table 5C1I-LA Key Academy'!AC21</f>
        <v>0</v>
      </c>
      <c r="AT18" s="219">
        <f>'Table 5C1J-Jefferson Chamber'!AC21</f>
        <v>0</v>
      </c>
      <c r="AU18" s="219">
        <f>'Table 5C1K-Tallulah Charter'!AC21</f>
        <v>0</v>
      </c>
      <c r="AV18" s="219">
        <f>'Table 5C1L-Northshore Charter'!AC21</f>
        <v>0</v>
      </c>
      <c r="AW18" s="219">
        <f>'Table 5C1M-B.R. Charter'!AC21</f>
        <v>0</v>
      </c>
      <c r="AX18" s="219">
        <f>'Table 5C1N-Delta Charter'!AC21</f>
        <v>-1704.7875000000001</v>
      </c>
      <c r="AY18" s="219">
        <f>'Table 5C1O-Impact'!AC21</f>
        <v>0</v>
      </c>
      <c r="AZ18" s="219">
        <f>+'Table 5C1P-Vision'!AC21</f>
        <v>0</v>
      </c>
      <c r="BA18" s="219">
        <f>+'Table 5C1Q-Advantage'!AC21</f>
        <v>0</v>
      </c>
      <c r="BB18" s="219">
        <f>+'Table 5C1R-Iberville'!AC21</f>
        <v>0</v>
      </c>
      <c r="BC18" s="219">
        <f>+'Table 5C1S-L.C. Coll Prep'!AC21</f>
        <v>0</v>
      </c>
      <c r="BD18" s="219">
        <f>+'Table 5C1T-Northeast'!AC21</f>
        <v>0</v>
      </c>
      <c r="BE18" s="219">
        <f>+'Table 5C1U-Acadiana Ren'!AC21</f>
        <v>0</v>
      </c>
      <c r="BF18" s="219">
        <f>+'Table 5C1V-Laf Ren'!AC21</f>
        <v>0</v>
      </c>
      <c r="BG18" s="219">
        <f>+'Table 5C1W-Willow'!AC21</f>
        <v>0</v>
      </c>
      <c r="BH18" s="219">
        <f>'Table 5C2 - LA Virtual Admy'!AD20</f>
        <v>-125.4825</v>
      </c>
      <c r="BI18" s="219">
        <f>'Table 5C3 - LA Connections EBR'!AD20</f>
        <v>-28.518750000000001</v>
      </c>
      <c r="BJ18" s="364">
        <f t="shared" si="55"/>
        <v>1715288.2112499999</v>
      </c>
      <c r="BK18" s="38"/>
    </row>
    <row r="19" spans="1:63" ht="14.4" customHeight="1">
      <c r="A19" s="1250">
        <v>16</v>
      </c>
      <c r="B19" s="1251" t="s">
        <v>96</v>
      </c>
      <c r="C19" s="1252">
        <f>'Table 2_State Distrib and Adjs'!AL22</f>
        <v>1083803</v>
      </c>
      <c r="D19" s="1253">
        <f>-'Table 5A3_OJJ'!W21</f>
        <v>-850</v>
      </c>
      <c r="E19" s="1253"/>
      <c r="F19" s="1253"/>
      <c r="G19" s="1253">
        <f>-'Table 5C1A-Madison Prep'!AI22</f>
        <v>0</v>
      </c>
      <c r="H19" s="1253">
        <f>-'Table 5C1B-DArbonne'!AI22</f>
        <v>0</v>
      </c>
      <c r="I19" s="1253">
        <f>-'Table 5C1C-Intl_VIBE'!AI22</f>
        <v>0</v>
      </c>
      <c r="J19" s="1253">
        <f>-'Table 5C1D-NOMMA'!AI22</f>
        <v>0</v>
      </c>
      <c r="K19" s="1253">
        <f>-'Table 5C1E-LFNO'!AI22</f>
        <v>0</v>
      </c>
      <c r="L19" s="1253">
        <f>-'Table 5C1F-Lake Charles Charter'!AI22</f>
        <v>0</v>
      </c>
      <c r="M19" s="1253">
        <f>-'Table 5C1G-JS Clark Academy'!AI22</f>
        <v>0</v>
      </c>
      <c r="N19" s="1253">
        <f>-'Table 5C1H-Southwest LA Charter'!AI22</f>
        <v>0</v>
      </c>
      <c r="O19" s="1253">
        <f>-'Table 5C1I-LA Key Academy'!AI22</f>
        <v>0</v>
      </c>
      <c r="P19" s="1253">
        <f>-'Table 5C1J-Jefferson Chamber'!AI22</f>
        <v>0</v>
      </c>
      <c r="Q19" s="1253">
        <f>-'Table 5C1K-Tallulah Charter'!AI22</f>
        <v>0</v>
      </c>
      <c r="R19" s="1253">
        <f>-'Table 5C1L-Northshore Charter'!AI22</f>
        <v>0</v>
      </c>
      <c r="S19" s="1253">
        <f>-'Table 5C1M-B.R. Charter'!AI22</f>
        <v>0</v>
      </c>
      <c r="T19" s="1253">
        <f>-'Table 5C1N-Delta Charter'!AI22</f>
        <v>0</v>
      </c>
      <c r="U19" s="1253">
        <f>-'Table 5C1O-Impact'!AI22</f>
        <v>0</v>
      </c>
      <c r="V19" s="1253">
        <f>-'Table 5C1P-Vision'!AI22</f>
        <v>0</v>
      </c>
      <c r="W19" s="1253">
        <f>-'Table 5C1Q-Advantage'!AI22</f>
        <v>0</v>
      </c>
      <c r="X19" s="1253">
        <f>-'Table 5C1R-Iberville'!AI22</f>
        <v>0</v>
      </c>
      <c r="Y19" s="1253">
        <f>-'Table 5C1S-L.C. Coll Prep'!AI22</f>
        <v>0</v>
      </c>
      <c r="Z19" s="1253">
        <f>-'Table 5C1T-Northeast'!AI22</f>
        <v>0</v>
      </c>
      <c r="AA19" s="1253">
        <f>-'Table 5C1U-Acadiana Ren'!AI22</f>
        <v>0</v>
      </c>
      <c r="AB19" s="1253">
        <f>-'Table 5C1V-Laf Ren'!AI22</f>
        <v>0</v>
      </c>
      <c r="AC19" s="1253">
        <f>-'Table 5C1W-Willow'!AI22</f>
        <v>0</v>
      </c>
      <c r="AD19" s="1253">
        <f>-'Table 5C2 - LA Virtual Admy'!AJ21</f>
        <v>-18149</v>
      </c>
      <c r="AE19" s="1253">
        <f>-'Table 5C3 - LA Connections EBR'!AJ21</f>
        <v>-3821</v>
      </c>
      <c r="AF19" s="1253">
        <f t="shared" si="53"/>
        <v>-22820</v>
      </c>
      <c r="AG19" s="1280">
        <f t="shared" si="54"/>
        <v>1060983</v>
      </c>
      <c r="AH19" s="1253"/>
      <c r="AI19" s="1253"/>
      <c r="AJ19" s="1253"/>
      <c r="AK19" s="1253">
        <f>'Table 5C1A-Madison Prep'!AC22</f>
        <v>0</v>
      </c>
      <c r="AL19" s="1253">
        <f>'Table 5C1B-DArbonne'!AC22</f>
        <v>0</v>
      </c>
      <c r="AM19" s="1253">
        <f>'Table 5C1C-Intl_VIBE'!AC22</f>
        <v>0</v>
      </c>
      <c r="AN19" s="1253">
        <f>'Table 5C1D-NOMMA'!AC22</f>
        <v>0</v>
      </c>
      <c r="AO19" s="1253">
        <f>'Table 5C1E-LFNO'!AC22</f>
        <v>0</v>
      </c>
      <c r="AP19" s="1253">
        <f>'Table 5C1F-Lake Charles Charter'!AC22</f>
        <v>0</v>
      </c>
      <c r="AQ19" s="1253">
        <f>'Table 5C1G-JS Clark Academy'!AC22</f>
        <v>0</v>
      </c>
      <c r="AR19" s="1253">
        <f>'Table 5C1H-Southwest LA Charter'!AC22</f>
        <v>0</v>
      </c>
      <c r="AS19" s="1253">
        <f>'Table 5C1I-LA Key Academy'!AC22</f>
        <v>0</v>
      </c>
      <c r="AT19" s="1253">
        <f>'Table 5C1J-Jefferson Chamber'!AC22</f>
        <v>0</v>
      </c>
      <c r="AU19" s="1253">
        <f>'Table 5C1K-Tallulah Charter'!AC22</f>
        <v>0</v>
      </c>
      <c r="AV19" s="1253">
        <f>'Table 5C1L-Northshore Charter'!AC22</f>
        <v>0</v>
      </c>
      <c r="AW19" s="1253">
        <f>'Table 5C1M-B.R. Charter'!AC22</f>
        <v>0</v>
      </c>
      <c r="AX19" s="1253">
        <f>'Table 5C1N-Delta Charter'!AC22</f>
        <v>0</v>
      </c>
      <c r="AY19" s="1253">
        <f>'Table 5C1O-Impact'!AC22</f>
        <v>0</v>
      </c>
      <c r="AZ19" s="1253">
        <f>+'Table 5C1P-Vision'!AC22</f>
        <v>0</v>
      </c>
      <c r="BA19" s="1253">
        <f>+'Table 5C1Q-Advantage'!AC22</f>
        <v>0</v>
      </c>
      <c r="BB19" s="1253">
        <f>+'Table 5C1R-Iberville'!AC22</f>
        <v>0</v>
      </c>
      <c r="BC19" s="1253">
        <f>+'Table 5C1S-L.C. Coll Prep'!AC22</f>
        <v>0</v>
      </c>
      <c r="BD19" s="1253">
        <f>+'Table 5C1T-Northeast'!AC22</f>
        <v>0</v>
      </c>
      <c r="BE19" s="1253">
        <f>+'Table 5C1U-Acadiana Ren'!AC22</f>
        <v>0</v>
      </c>
      <c r="BF19" s="1253">
        <f>+'Table 5C1V-Laf Ren'!AC22</f>
        <v>0</v>
      </c>
      <c r="BG19" s="1253">
        <f>+'Table 5C1W-Willow'!AC22</f>
        <v>0</v>
      </c>
      <c r="BH19" s="1253">
        <f>'Table 5C2 - LA Virtual Admy'!AD21</f>
        <v>-545.83200000000011</v>
      </c>
      <c r="BI19" s="1253">
        <f>'Table 5C3 - LA Connections EBR'!AD21</f>
        <v>-114.91200000000001</v>
      </c>
      <c r="BJ19" s="1280">
        <f t="shared" si="55"/>
        <v>1060322.2560000001</v>
      </c>
      <c r="BK19" s="38"/>
    </row>
    <row r="20" spans="1:63" ht="14.4" customHeight="1">
      <c r="A20" s="1250">
        <v>17</v>
      </c>
      <c r="B20" s="1251" t="s">
        <v>97</v>
      </c>
      <c r="C20" s="1252">
        <f>'Table 2_State Distrib and Adjs'!AL23</f>
        <v>14025609</v>
      </c>
      <c r="D20" s="1253">
        <f>-'Table 5A3_OJJ'!W22</f>
        <v>-10237</v>
      </c>
      <c r="E20" s="1253">
        <f>-'Table 5B2_RSD_LA'!AS12</f>
        <v>-1066451</v>
      </c>
      <c r="F20" s="1253"/>
      <c r="G20" s="1253">
        <f>-'Table 5C1A-Madison Prep'!AI23</f>
        <v>-153540</v>
      </c>
      <c r="H20" s="1253">
        <f>-'Table 5C1B-DArbonne'!AI23</f>
        <v>0</v>
      </c>
      <c r="I20" s="1253">
        <f>-'Table 5C1C-Intl_VIBE'!AI23</f>
        <v>0</v>
      </c>
      <c r="J20" s="1253">
        <f>-'Table 5C1D-NOMMA'!AI23</f>
        <v>0</v>
      </c>
      <c r="K20" s="1253">
        <f>-'Table 5C1E-LFNO'!AI23</f>
        <v>0</v>
      </c>
      <c r="L20" s="1253">
        <f>-'Table 5C1F-Lake Charles Charter'!AI23</f>
        <v>0</v>
      </c>
      <c r="M20" s="1253">
        <f>-'Table 5C1G-JS Clark Academy'!AI23</f>
        <v>0</v>
      </c>
      <c r="N20" s="1253">
        <f>-'Table 5C1H-Southwest LA Charter'!AI23</f>
        <v>0</v>
      </c>
      <c r="O20" s="1253">
        <f>-'Table 5C1I-LA Key Academy'!AI23</f>
        <v>-63291</v>
      </c>
      <c r="P20" s="1253">
        <f>-'Table 5C1J-Jefferson Chamber'!AI23</f>
        <v>0</v>
      </c>
      <c r="Q20" s="1253">
        <f>-'Table 5C1K-Tallulah Charter'!AI23</f>
        <v>0</v>
      </c>
      <c r="R20" s="1253">
        <f>-'Table 5C1L-Northshore Charter'!AI23</f>
        <v>0</v>
      </c>
      <c r="S20" s="1253">
        <f>-'Table 5C1M-B.R. Charter'!AI23</f>
        <v>-253166</v>
      </c>
      <c r="T20" s="1253">
        <f>-'Table 5C1N-Delta Charter'!AI23</f>
        <v>0</v>
      </c>
      <c r="U20" s="1253">
        <f>-'Table 5C1O-Impact'!AI23</f>
        <v>-21097</v>
      </c>
      <c r="V20" s="1253">
        <f>-'Table 5C1P-Vision'!AI23</f>
        <v>0</v>
      </c>
      <c r="W20" s="1253">
        <f>-'Table 5C1Q-Advantage'!AI23</f>
        <v>-77942</v>
      </c>
      <c r="X20" s="1253">
        <f>-'Table 5C1R-Iberville'!AI23</f>
        <v>-4688</v>
      </c>
      <c r="Y20" s="1253">
        <f>-'Table 5C1S-L.C. Coll Prep'!AI23</f>
        <v>0</v>
      </c>
      <c r="Z20" s="1253">
        <f>-'Table 5C1T-Northeast'!AI23</f>
        <v>0</v>
      </c>
      <c r="AA20" s="1253">
        <f>-'Table 5C1U-Acadiana Ren'!AI23</f>
        <v>0</v>
      </c>
      <c r="AB20" s="1253">
        <f>-'Table 5C1V-Laf Ren'!AI23</f>
        <v>0</v>
      </c>
      <c r="AC20" s="1253">
        <f>-'Table 5C1W-Willow'!AI23</f>
        <v>0</v>
      </c>
      <c r="AD20" s="1253">
        <f>-'Table 5C2 - LA Virtual Admy'!AJ22</f>
        <v>-54853</v>
      </c>
      <c r="AE20" s="1253">
        <f>-'Table 5C3 - LA Connections EBR'!AJ22</f>
        <v>-45079</v>
      </c>
      <c r="AF20" s="1253">
        <f t="shared" si="53"/>
        <v>-1750344</v>
      </c>
      <c r="AG20" s="1280">
        <f t="shared" si="54"/>
        <v>12275265</v>
      </c>
      <c r="AH20" s="1253">
        <f>'Table 5B2_RSD_LA'!AK12</f>
        <v>-228525.02750000003</v>
      </c>
      <c r="AI20" s="1253">
        <f>'Table 5B2_RSD_LA'!AL12</f>
        <v>-32646.432500000003</v>
      </c>
      <c r="AJ20" s="1253"/>
      <c r="AK20" s="1253">
        <f>'Table 5C1A-Madison Prep'!AC23</f>
        <v>-4617.75</v>
      </c>
      <c r="AL20" s="1253">
        <f>'Table 5C1B-DArbonne'!AC23</f>
        <v>0</v>
      </c>
      <c r="AM20" s="1253">
        <f>'Table 5C1C-Intl_VIBE'!AC23</f>
        <v>0</v>
      </c>
      <c r="AN20" s="1253">
        <f>'Table 5C1D-NOMMA'!AC23</f>
        <v>0</v>
      </c>
      <c r="AO20" s="1253">
        <f>'Table 5C1E-LFNO'!AC23</f>
        <v>0</v>
      </c>
      <c r="AP20" s="1253">
        <f>'Table 5C1F-Lake Charles Charter'!AC23</f>
        <v>0</v>
      </c>
      <c r="AQ20" s="1253">
        <f>'Table 5C1G-JS Clark Academy'!AC23</f>
        <v>0</v>
      </c>
      <c r="AR20" s="1253">
        <f>'Table 5C1H-Southwest LA Charter'!AC23</f>
        <v>0</v>
      </c>
      <c r="AS20" s="1253">
        <f>'Table 5C1I-LA Key Academy'!AC23</f>
        <v>-1903.5</v>
      </c>
      <c r="AT20" s="1253">
        <f>'Table 5C1J-Jefferson Chamber'!AC23</f>
        <v>0</v>
      </c>
      <c r="AU20" s="1253">
        <f>'Table 5C1K-Tallulah Charter'!AC23</f>
        <v>0</v>
      </c>
      <c r="AV20" s="1253">
        <f>'Table 5C1L-Northshore Charter'!AC23</f>
        <v>0</v>
      </c>
      <c r="AW20" s="1253">
        <f>'Table 5C1M-B.R. Charter'!AC23</f>
        <v>-7614</v>
      </c>
      <c r="AX20" s="1253">
        <f>'Table 5C1N-Delta Charter'!AC23</f>
        <v>0</v>
      </c>
      <c r="AY20" s="1253">
        <f>'Table 5C1O-Impact'!AC23</f>
        <v>-634.5</v>
      </c>
      <c r="AZ20" s="1253">
        <f>+'Table 5C1P-Vision'!AC23</f>
        <v>0</v>
      </c>
      <c r="BA20" s="1253">
        <f>+'Table 5C1Q-Advantage'!AC23</f>
        <v>-2344.125</v>
      </c>
      <c r="BB20" s="1253">
        <f>+'Table 5C1R-Iberville'!AC23</f>
        <v>-141</v>
      </c>
      <c r="BC20" s="1253">
        <f>+'Table 5C1S-L.C. Coll Prep'!AC23</f>
        <v>0</v>
      </c>
      <c r="BD20" s="1253">
        <f>+'Table 5C1T-Northeast'!AC23</f>
        <v>0</v>
      </c>
      <c r="BE20" s="1253">
        <f>+'Table 5C1U-Acadiana Ren'!AC23</f>
        <v>0</v>
      </c>
      <c r="BF20" s="1253">
        <f>+'Table 5C1V-Laf Ren'!AC23</f>
        <v>0</v>
      </c>
      <c r="BG20" s="1253">
        <f>+'Table 5C1W-Willow'!AC23</f>
        <v>0</v>
      </c>
      <c r="BH20" s="1253">
        <f>'Table 5C2 - LA Virtual Admy'!AD22</f>
        <v>-1649.7</v>
      </c>
      <c r="BI20" s="1253">
        <f>'Table 5C3 - LA Connections EBR'!AD22</f>
        <v>-1348.3125</v>
      </c>
      <c r="BJ20" s="1280">
        <f t="shared" si="55"/>
        <v>11993840.652500002</v>
      </c>
      <c r="BK20" s="38"/>
    </row>
    <row r="21" spans="1:63" ht="14.4" customHeight="1">
      <c r="A21" s="1250">
        <v>18</v>
      </c>
      <c r="B21" s="1251" t="s">
        <v>98</v>
      </c>
      <c r="C21" s="1252">
        <f>'Table 2_State Distrib and Adjs'!AL24</f>
        <v>630509</v>
      </c>
      <c r="D21" s="1253">
        <f>-'Table 5A3_OJJ'!W23</f>
        <v>-177</v>
      </c>
      <c r="E21" s="1253"/>
      <c r="F21" s="1253"/>
      <c r="G21" s="1253">
        <f>-'Table 5C1A-Madison Prep'!AI24</f>
        <v>0</v>
      </c>
      <c r="H21" s="1253">
        <f>-'Table 5C1B-DArbonne'!AI24</f>
        <v>0</v>
      </c>
      <c r="I21" s="1253">
        <f>-'Table 5C1C-Intl_VIBE'!AI24</f>
        <v>0</v>
      </c>
      <c r="J21" s="1253">
        <f>-'Table 5C1D-NOMMA'!AI24</f>
        <v>0</v>
      </c>
      <c r="K21" s="1253">
        <f>-'Table 5C1E-LFNO'!AI24</f>
        <v>0</v>
      </c>
      <c r="L21" s="1253">
        <f>-'Table 5C1F-Lake Charles Charter'!AI24</f>
        <v>0</v>
      </c>
      <c r="M21" s="1253">
        <f>-'Table 5C1G-JS Clark Academy'!AI24</f>
        <v>0</v>
      </c>
      <c r="N21" s="1253">
        <f>-'Table 5C1H-Southwest LA Charter'!AI24</f>
        <v>0</v>
      </c>
      <c r="O21" s="1253">
        <f>-'Table 5C1I-LA Key Academy'!AI24</f>
        <v>0</v>
      </c>
      <c r="P21" s="1253">
        <f>-'Table 5C1J-Jefferson Chamber'!AI24</f>
        <v>0</v>
      </c>
      <c r="Q21" s="1253">
        <f>-'Table 5C1K-Tallulah Charter'!AI24</f>
        <v>0</v>
      </c>
      <c r="R21" s="1253">
        <f>-'Table 5C1L-Northshore Charter'!AI24</f>
        <v>0</v>
      </c>
      <c r="S21" s="1253">
        <f>-'Table 5C1M-B.R. Charter'!AI24</f>
        <v>0</v>
      </c>
      <c r="T21" s="1253">
        <f>-'Table 5C1N-Delta Charter'!AI24</f>
        <v>0</v>
      </c>
      <c r="U21" s="1253">
        <f>-'Table 5C1O-Impact'!AI24</f>
        <v>0</v>
      </c>
      <c r="V21" s="1253">
        <f>-'Table 5C1P-Vision'!AI24</f>
        <v>0</v>
      </c>
      <c r="W21" s="1253">
        <f>-'Table 5C1Q-Advantage'!AI24</f>
        <v>0</v>
      </c>
      <c r="X21" s="1253">
        <f>-'Table 5C1R-Iberville'!AI24</f>
        <v>0</v>
      </c>
      <c r="Y21" s="1253">
        <f>-'Table 5C1S-L.C. Coll Prep'!AI24</f>
        <v>0</v>
      </c>
      <c r="Z21" s="1253">
        <f>-'Table 5C1T-Northeast'!AI24</f>
        <v>0</v>
      </c>
      <c r="AA21" s="1253">
        <f>-'Table 5C1U-Acadiana Ren'!AI24</f>
        <v>0</v>
      </c>
      <c r="AB21" s="1253">
        <f>-'Table 5C1V-Laf Ren'!AI24</f>
        <v>0</v>
      </c>
      <c r="AC21" s="1253">
        <f>-'Table 5C1W-Willow'!AI24</f>
        <v>0</v>
      </c>
      <c r="AD21" s="1253">
        <f>-'Table 5C2 - LA Virtual Admy'!AJ23</f>
        <v>-567</v>
      </c>
      <c r="AE21" s="1253">
        <f>-'Table 5C3 - LA Connections EBR'!AJ23</f>
        <v>0</v>
      </c>
      <c r="AF21" s="1253">
        <f t="shared" si="53"/>
        <v>-744</v>
      </c>
      <c r="AG21" s="1280">
        <f t="shared" si="54"/>
        <v>629765</v>
      </c>
      <c r="AH21" s="1253"/>
      <c r="AI21" s="1253"/>
      <c r="AJ21" s="1253"/>
      <c r="AK21" s="1253">
        <f>'Table 5C1A-Madison Prep'!AC24</f>
        <v>0</v>
      </c>
      <c r="AL21" s="1253">
        <f>'Table 5C1B-DArbonne'!AC24</f>
        <v>0</v>
      </c>
      <c r="AM21" s="1253">
        <f>'Table 5C1C-Intl_VIBE'!AC24</f>
        <v>0</v>
      </c>
      <c r="AN21" s="1253">
        <f>'Table 5C1D-NOMMA'!AC24</f>
        <v>0</v>
      </c>
      <c r="AO21" s="1253">
        <f>'Table 5C1E-LFNO'!AC24</f>
        <v>0</v>
      </c>
      <c r="AP21" s="1253">
        <f>'Table 5C1F-Lake Charles Charter'!AC24</f>
        <v>0</v>
      </c>
      <c r="AQ21" s="1253">
        <f>'Table 5C1G-JS Clark Academy'!AC24</f>
        <v>0</v>
      </c>
      <c r="AR21" s="1253">
        <f>'Table 5C1H-Southwest LA Charter'!AC24</f>
        <v>0</v>
      </c>
      <c r="AS21" s="1253">
        <f>'Table 5C1I-LA Key Academy'!AC24</f>
        <v>0</v>
      </c>
      <c r="AT21" s="1253">
        <f>'Table 5C1J-Jefferson Chamber'!AC24</f>
        <v>0</v>
      </c>
      <c r="AU21" s="1253">
        <f>'Table 5C1K-Tallulah Charter'!AC24</f>
        <v>0</v>
      </c>
      <c r="AV21" s="1253">
        <f>'Table 5C1L-Northshore Charter'!AC24</f>
        <v>0</v>
      </c>
      <c r="AW21" s="1253">
        <f>'Table 5C1M-B.R. Charter'!AC24</f>
        <v>0</v>
      </c>
      <c r="AX21" s="1253">
        <f>'Table 5C1N-Delta Charter'!AC24</f>
        <v>0</v>
      </c>
      <c r="AY21" s="1253">
        <f>'Table 5C1O-Impact'!AC24</f>
        <v>0</v>
      </c>
      <c r="AZ21" s="1253">
        <f>+'Table 5C1P-Vision'!AC24</f>
        <v>0</v>
      </c>
      <c r="BA21" s="1253">
        <f>+'Table 5C1Q-Advantage'!AC24</f>
        <v>0</v>
      </c>
      <c r="BB21" s="1253">
        <f>+'Table 5C1R-Iberville'!AC24</f>
        <v>0</v>
      </c>
      <c r="BC21" s="1253">
        <f>+'Table 5C1S-L.C. Coll Prep'!AC24</f>
        <v>0</v>
      </c>
      <c r="BD21" s="1253">
        <f>+'Table 5C1T-Northeast'!AC24</f>
        <v>0</v>
      </c>
      <c r="BE21" s="1253">
        <f>+'Table 5C1U-Acadiana Ren'!AC24</f>
        <v>0</v>
      </c>
      <c r="BF21" s="1253">
        <f>+'Table 5C1V-Laf Ren'!AC24</f>
        <v>0</v>
      </c>
      <c r="BG21" s="1253">
        <f>+'Table 5C1W-Willow'!AC24</f>
        <v>0</v>
      </c>
      <c r="BH21" s="1253">
        <f>'Table 5C2 - LA Virtual Admy'!AD23</f>
        <v>-17.050500000000003</v>
      </c>
      <c r="BI21" s="1253">
        <f>'Table 5C3 - LA Connections EBR'!AD23</f>
        <v>0</v>
      </c>
      <c r="BJ21" s="1280">
        <f t="shared" si="55"/>
        <v>629747.94949999999</v>
      </c>
      <c r="BK21" s="38"/>
    </row>
    <row r="22" spans="1:63" ht="14.4" customHeight="1">
      <c r="A22" s="1250">
        <v>19</v>
      </c>
      <c r="B22" s="1251" t="s">
        <v>99</v>
      </c>
      <c r="C22" s="1252">
        <f>'Table 2_State Distrib and Adjs'!AL25</f>
        <v>981480</v>
      </c>
      <c r="D22" s="1253">
        <f>-'Table 5A3_OJJ'!W24</f>
        <v>-217</v>
      </c>
      <c r="E22" s="1253"/>
      <c r="F22" s="1253"/>
      <c r="G22" s="1253">
        <f>-'Table 5C1A-Madison Prep'!AI25</f>
        <v>0</v>
      </c>
      <c r="H22" s="1253">
        <f>-'Table 5C1B-DArbonne'!AI25</f>
        <v>0</v>
      </c>
      <c r="I22" s="1253">
        <f>-'Table 5C1C-Intl_VIBE'!AI25</f>
        <v>0</v>
      </c>
      <c r="J22" s="1253">
        <f>-'Table 5C1D-NOMMA'!AI25</f>
        <v>0</v>
      </c>
      <c r="K22" s="1253">
        <f>-'Table 5C1E-LFNO'!AI25</f>
        <v>0</v>
      </c>
      <c r="L22" s="1253">
        <f>-'Table 5C1F-Lake Charles Charter'!AI25</f>
        <v>0</v>
      </c>
      <c r="M22" s="1253">
        <f>-'Table 5C1G-JS Clark Academy'!AI25</f>
        <v>0</v>
      </c>
      <c r="N22" s="1253">
        <f>-'Table 5C1H-Southwest LA Charter'!AI25</f>
        <v>0</v>
      </c>
      <c r="O22" s="1253">
        <f>-'Table 5C1I-LA Key Academy'!AI25</f>
        <v>-483</v>
      </c>
      <c r="P22" s="1253">
        <f>-'Table 5C1J-Jefferson Chamber'!AI25</f>
        <v>0</v>
      </c>
      <c r="Q22" s="1253">
        <f>-'Table 5C1K-Tallulah Charter'!AI25</f>
        <v>0</v>
      </c>
      <c r="R22" s="1253">
        <f>-'Table 5C1L-Northshore Charter'!AI25</f>
        <v>0</v>
      </c>
      <c r="S22" s="1253">
        <f>-'Table 5C1M-B.R. Charter'!AI25</f>
        <v>-725</v>
      </c>
      <c r="T22" s="1253">
        <f>-'Table 5C1N-Delta Charter'!AI25</f>
        <v>0</v>
      </c>
      <c r="U22" s="1253">
        <f>-'Table 5C1O-Impact'!AI25</f>
        <v>-2901</v>
      </c>
      <c r="V22" s="1253">
        <f>-'Table 5C1P-Vision'!AI25</f>
        <v>0</v>
      </c>
      <c r="W22" s="1253">
        <f>-'Table 5C1Q-Advantage'!AI25</f>
        <v>0</v>
      </c>
      <c r="X22" s="1253">
        <f>-'Table 5C1R-Iberville'!AI25</f>
        <v>0</v>
      </c>
      <c r="Y22" s="1253">
        <f>-'Table 5C1S-L.C. Coll Prep'!AI25</f>
        <v>0</v>
      </c>
      <c r="Z22" s="1253">
        <f>-'Table 5C1T-Northeast'!AI25</f>
        <v>0</v>
      </c>
      <c r="AA22" s="1253">
        <f>-'Table 5C1U-Acadiana Ren'!AI25</f>
        <v>0</v>
      </c>
      <c r="AB22" s="1253">
        <f>-'Table 5C1V-Laf Ren'!AI25</f>
        <v>0</v>
      </c>
      <c r="AC22" s="1253">
        <f>-'Table 5C1W-Willow'!AI25</f>
        <v>0</v>
      </c>
      <c r="AD22" s="1253">
        <f>-'Table 5C2 - LA Virtual Admy'!AJ24</f>
        <v>-3046</v>
      </c>
      <c r="AE22" s="1253">
        <f>-'Table 5C3 - LA Connections EBR'!AJ24</f>
        <v>-1305</v>
      </c>
      <c r="AF22" s="1253">
        <f t="shared" si="53"/>
        <v>-8677</v>
      </c>
      <c r="AG22" s="1280">
        <f t="shared" si="54"/>
        <v>972803</v>
      </c>
      <c r="AH22" s="1253"/>
      <c r="AI22" s="1253"/>
      <c r="AJ22" s="1253"/>
      <c r="AK22" s="1253">
        <f>'Table 5C1A-Madison Prep'!AC25</f>
        <v>0</v>
      </c>
      <c r="AL22" s="1253">
        <f>'Table 5C1B-DArbonne'!AC25</f>
        <v>0</v>
      </c>
      <c r="AM22" s="1253">
        <f>'Table 5C1C-Intl_VIBE'!AC25</f>
        <v>0</v>
      </c>
      <c r="AN22" s="1253">
        <f>'Table 5C1D-NOMMA'!AC25</f>
        <v>0</v>
      </c>
      <c r="AO22" s="1253">
        <f>'Table 5C1E-LFNO'!AC25</f>
        <v>0</v>
      </c>
      <c r="AP22" s="1253">
        <f>'Table 5C1F-Lake Charles Charter'!AC25</f>
        <v>0</v>
      </c>
      <c r="AQ22" s="1253">
        <f>'Table 5C1G-JS Clark Academy'!AC25</f>
        <v>0</v>
      </c>
      <c r="AR22" s="1253">
        <f>'Table 5C1H-Southwest LA Charter'!AC25</f>
        <v>0</v>
      </c>
      <c r="AS22" s="1253">
        <f>'Table 5C1I-LA Key Academy'!AC25</f>
        <v>-14.540000000000001</v>
      </c>
      <c r="AT22" s="1253">
        <f>'Table 5C1J-Jefferson Chamber'!AC25</f>
        <v>0</v>
      </c>
      <c r="AU22" s="1253">
        <f>'Table 5C1K-Tallulah Charter'!AC25</f>
        <v>0</v>
      </c>
      <c r="AV22" s="1253">
        <f>'Table 5C1L-Northshore Charter'!AC25</f>
        <v>0</v>
      </c>
      <c r="AW22" s="1253">
        <f>'Table 5C1M-B.R. Charter'!AC25</f>
        <v>-21.81</v>
      </c>
      <c r="AX22" s="1253">
        <f>'Table 5C1N-Delta Charter'!AC25</f>
        <v>0</v>
      </c>
      <c r="AY22" s="1253">
        <f>'Table 5C1O-Impact'!AC25</f>
        <v>-87.24</v>
      </c>
      <c r="AZ22" s="1253">
        <f>+'Table 5C1P-Vision'!AC25</f>
        <v>0</v>
      </c>
      <c r="BA22" s="1253">
        <f>+'Table 5C1Q-Advantage'!AC25</f>
        <v>0</v>
      </c>
      <c r="BB22" s="1253">
        <f>+'Table 5C1R-Iberville'!AC25</f>
        <v>0</v>
      </c>
      <c r="BC22" s="1253">
        <f>+'Table 5C1S-L.C. Coll Prep'!AC25</f>
        <v>0</v>
      </c>
      <c r="BD22" s="1253">
        <f>+'Table 5C1T-Northeast'!AC25</f>
        <v>0</v>
      </c>
      <c r="BE22" s="1253">
        <f>+'Table 5C1U-Acadiana Ren'!AC25</f>
        <v>0</v>
      </c>
      <c r="BF22" s="1253">
        <f>+'Table 5C1V-Laf Ren'!AC25</f>
        <v>0</v>
      </c>
      <c r="BG22" s="1253">
        <f>+'Table 5C1W-Willow'!AC25</f>
        <v>0</v>
      </c>
      <c r="BH22" s="1253">
        <f>'Table 5C2 - LA Virtual Admy'!AD24</f>
        <v>-91.602000000000004</v>
      </c>
      <c r="BI22" s="1253">
        <f>'Table 5C3 - LA Connections EBR'!AD24</f>
        <v>-39.258000000000003</v>
      </c>
      <c r="BJ22" s="1280">
        <f t="shared" si="55"/>
        <v>972548.54999999993</v>
      </c>
      <c r="BK22" s="38"/>
    </row>
    <row r="23" spans="1:63" ht="14.4" customHeight="1">
      <c r="A23" s="85">
        <v>20</v>
      </c>
      <c r="B23" s="207" t="s">
        <v>100</v>
      </c>
      <c r="C23" s="209">
        <f>'Table 2_State Distrib and Adjs'!AL26</f>
        <v>2859388</v>
      </c>
      <c r="D23" s="219">
        <f>-'Table 5A3_OJJ'!W25</f>
        <v>-857</v>
      </c>
      <c r="E23" s="219"/>
      <c r="F23" s="219"/>
      <c r="G23" s="219">
        <f>-'Table 5C1A-Madison Prep'!AI26</f>
        <v>0</v>
      </c>
      <c r="H23" s="219">
        <f>-'Table 5C1B-DArbonne'!AI26</f>
        <v>0</v>
      </c>
      <c r="I23" s="219">
        <f>-'Table 5C1C-Intl_VIBE'!AI26</f>
        <v>0</v>
      </c>
      <c r="J23" s="219">
        <f>-'Table 5C1D-NOMMA'!AI26</f>
        <v>0</v>
      </c>
      <c r="K23" s="219">
        <f>-'Table 5C1E-LFNO'!AI26</f>
        <v>0</v>
      </c>
      <c r="L23" s="219">
        <f>-'Table 5C1F-Lake Charles Charter'!AI26</f>
        <v>0</v>
      </c>
      <c r="M23" s="219">
        <f>-'Table 5C1G-JS Clark Academy'!AI26</f>
        <v>0</v>
      </c>
      <c r="N23" s="219">
        <f>-'Table 5C1H-Southwest LA Charter'!AI26</f>
        <v>0</v>
      </c>
      <c r="O23" s="219">
        <f>-'Table 5C1I-LA Key Academy'!AI26</f>
        <v>0</v>
      </c>
      <c r="P23" s="219">
        <f>-'Table 5C1J-Jefferson Chamber'!AI26</f>
        <v>0</v>
      </c>
      <c r="Q23" s="219">
        <f>-'Table 5C1K-Tallulah Charter'!AI26</f>
        <v>0</v>
      </c>
      <c r="R23" s="219">
        <f>-'Table 5C1L-Northshore Charter'!AI26</f>
        <v>0</v>
      </c>
      <c r="S23" s="219">
        <f>-'Table 5C1M-B.R. Charter'!AI26</f>
        <v>0</v>
      </c>
      <c r="T23" s="219">
        <f>-'Table 5C1N-Delta Charter'!AI26</f>
        <v>0</v>
      </c>
      <c r="U23" s="219">
        <f>-'Table 5C1O-Impact'!AI26</f>
        <v>0</v>
      </c>
      <c r="V23" s="219">
        <f>-'Table 5C1P-Vision'!AI26</f>
        <v>0</v>
      </c>
      <c r="W23" s="219">
        <f>-'Table 5C1Q-Advantage'!AI26</f>
        <v>0</v>
      </c>
      <c r="X23" s="219">
        <f>-'Table 5C1R-Iberville'!AI26</f>
        <v>0</v>
      </c>
      <c r="Y23" s="219">
        <f>-'Table 5C1S-L.C. Coll Prep'!AI26</f>
        <v>0</v>
      </c>
      <c r="Z23" s="219">
        <f>-'Table 5C1T-Northeast'!AI26</f>
        <v>0</v>
      </c>
      <c r="AA23" s="219">
        <f>-'Table 5C1U-Acadiana Ren'!AI26</f>
        <v>0</v>
      </c>
      <c r="AB23" s="219">
        <f>-'Table 5C1V-Laf Ren'!AI26</f>
        <v>0</v>
      </c>
      <c r="AC23" s="219">
        <f>-'Table 5C1W-Willow'!AI26</f>
        <v>0</v>
      </c>
      <c r="AD23" s="219">
        <f>-'Table 5C2 - LA Virtual Admy'!AJ25</f>
        <v>-1456</v>
      </c>
      <c r="AE23" s="219">
        <f>-'Table 5C3 - LA Connections EBR'!AJ25</f>
        <v>-1092</v>
      </c>
      <c r="AF23" s="219">
        <f t="shared" si="53"/>
        <v>-3405</v>
      </c>
      <c r="AG23" s="364">
        <f t="shared" si="54"/>
        <v>2855983</v>
      </c>
      <c r="AH23" s="219"/>
      <c r="AI23" s="219"/>
      <c r="AJ23" s="219"/>
      <c r="AK23" s="219">
        <f>'Table 5C1A-Madison Prep'!AC26</f>
        <v>0</v>
      </c>
      <c r="AL23" s="219">
        <f>'Table 5C1B-DArbonne'!AC26</f>
        <v>0</v>
      </c>
      <c r="AM23" s="219">
        <f>'Table 5C1C-Intl_VIBE'!AC26</f>
        <v>0</v>
      </c>
      <c r="AN23" s="219">
        <f>'Table 5C1D-NOMMA'!AC26</f>
        <v>0</v>
      </c>
      <c r="AO23" s="219">
        <f>'Table 5C1E-LFNO'!AC26</f>
        <v>0</v>
      </c>
      <c r="AP23" s="219">
        <f>'Table 5C1F-Lake Charles Charter'!AC26</f>
        <v>0</v>
      </c>
      <c r="AQ23" s="219">
        <f>'Table 5C1G-JS Clark Academy'!AC26</f>
        <v>0</v>
      </c>
      <c r="AR23" s="219">
        <f>'Table 5C1H-Southwest LA Charter'!AC26</f>
        <v>0</v>
      </c>
      <c r="AS23" s="219">
        <f>'Table 5C1I-LA Key Academy'!AC26</f>
        <v>0</v>
      </c>
      <c r="AT23" s="219">
        <f>'Table 5C1J-Jefferson Chamber'!AC26</f>
        <v>0</v>
      </c>
      <c r="AU23" s="219">
        <f>'Table 5C1K-Tallulah Charter'!AC26</f>
        <v>0</v>
      </c>
      <c r="AV23" s="219">
        <f>'Table 5C1L-Northshore Charter'!AC26</f>
        <v>0</v>
      </c>
      <c r="AW23" s="219">
        <f>'Table 5C1M-B.R. Charter'!AC26</f>
        <v>0</v>
      </c>
      <c r="AX23" s="219">
        <f>'Table 5C1N-Delta Charter'!AC26</f>
        <v>0</v>
      </c>
      <c r="AY23" s="219">
        <f>'Table 5C1O-Impact'!AC26</f>
        <v>0</v>
      </c>
      <c r="AZ23" s="219">
        <f>+'Table 5C1P-Vision'!AC26</f>
        <v>0</v>
      </c>
      <c r="BA23" s="219">
        <f>+'Table 5C1Q-Advantage'!AC26</f>
        <v>0</v>
      </c>
      <c r="BB23" s="219">
        <f>+'Table 5C1R-Iberville'!AC26</f>
        <v>0</v>
      </c>
      <c r="BC23" s="219">
        <f>+'Table 5C1S-L.C. Coll Prep'!AC26</f>
        <v>0</v>
      </c>
      <c r="BD23" s="219">
        <f>+'Table 5C1T-Northeast'!AC26</f>
        <v>0</v>
      </c>
      <c r="BE23" s="219">
        <f>+'Table 5C1U-Acadiana Ren'!AC26</f>
        <v>0</v>
      </c>
      <c r="BF23" s="219">
        <f>+'Table 5C1V-Laf Ren'!AC26</f>
        <v>0</v>
      </c>
      <c r="BG23" s="219">
        <f>+'Table 5C1W-Willow'!AC26</f>
        <v>0</v>
      </c>
      <c r="BH23" s="219">
        <f>'Table 5C2 - LA Virtual Admy'!AD25</f>
        <v>-43.776000000000003</v>
      </c>
      <c r="BI23" s="219">
        <f>'Table 5C3 - LA Connections EBR'!AD25</f>
        <v>-32.832000000000001</v>
      </c>
      <c r="BJ23" s="364">
        <f t="shared" si="55"/>
        <v>2855906.392</v>
      </c>
      <c r="BK23" s="38"/>
    </row>
    <row r="24" spans="1:63" ht="14.4" customHeight="1">
      <c r="A24" s="1250">
        <v>21</v>
      </c>
      <c r="B24" s="1251" t="s">
        <v>101</v>
      </c>
      <c r="C24" s="1252">
        <f>'Table 2_State Distrib and Adjs'!AL27</f>
        <v>1614266</v>
      </c>
      <c r="D24" s="1253">
        <f>-'Table 5A3_OJJ'!W26</f>
        <v>-422</v>
      </c>
      <c r="E24" s="1253"/>
      <c r="F24" s="1253"/>
      <c r="G24" s="1253">
        <f>-'Table 5C1A-Madison Prep'!AI27</f>
        <v>0</v>
      </c>
      <c r="H24" s="1253">
        <f>-'Table 5C1B-DArbonne'!AI27</f>
        <v>0</v>
      </c>
      <c r="I24" s="1253">
        <f>-'Table 5C1C-Intl_VIBE'!AI27</f>
        <v>0</v>
      </c>
      <c r="J24" s="1253">
        <f>-'Table 5C1D-NOMMA'!AI27</f>
        <v>0</v>
      </c>
      <c r="K24" s="1253">
        <f>-'Table 5C1E-LFNO'!AI27</f>
        <v>0</v>
      </c>
      <c r="L24" s="1253">
        <f>-'Table 5C1F-Lake Charles Charter'!AI27</f>
        <v>0</v>
      </c>
      <c r="M24" s="1253">
        <f>-'Table 5C1G-JS Clark Academy'!AI27</f>
        <v>0</v>
      </c>
      <c r="N24" s="1253">
        <f>-'Table 5C1H-Southwest LA Charter'!AI27</f>
        <v>0</v>
      </c>
      <c r="O24" s="1253">
        <f>-'Table 5C1I-LA Key Academy'!AI27</f>
        <v>0</v>
      </c>
      <c r="P24" s="1253">
        <f>-'Table 5C1J-Jefferson Chamber'!AI27</f>
        <v>0</v>
      </c>
      <c r="Q24" s="1253">
        <f>-'Table 5C1K-Tallulah Charter'!AI27</f>
        <v>0</v>
      </c>
      <c r="R24" s="1253">
        <f>-'Table 5C1L-Northshore Charter'!AI27</f>
        <v>0</v>
      </c>
      <c r="S24" s="1253">
        <f>-'Table 5C1M-B.R. Charter'!AI27</f>
        <v>0</v>
      </c>
      <c r="T24" s="1253">
        <f>-'Table 5C1N-Delta Charter'!AI27</f>
        <v>-409</v>
      </c>
      <c r="U24" s="1253">
        <f>-'Table 5C1O-Impact'!AI27</f>
        <v>0</v>
      </c>
      <c r="V24" s="1253">
        <f>-'Table 5C1P-Vision'!AI27</f>
        <v>0</v>
      </c>
      <c r="W24" s="1253">
        <f>-'Table 5C1Q-Advantage'!AI27</f>
        <v>0</v>
      </c>
      <c r="X24" s="1253">
        <f>-'Table 5C1R-Iberville'!AI27</f>
        <v>0</v>
      </c>
      <c r="Y24" s="1253">
        <f>-'Table 5C1S-L.C. Coll Prep'!AI27</f>
        <v>0</v>
      </c>
      <c r="Z24" s="1253">
        <f>-'Table 5C1T-Northeast'!AI27</f>
        <v>0</v>
      </c>
      <c r="AA24" s="1253">
        <f>-'Table 5C1U-Acadiana Ren'!AI27</f>
        <v>0</v>
      </c>
      <c r="AB24" s="1253">
        <f>-'Table 5C1V-Laf Ren'!AI27</f>
        <v>0</v>
      </c>
      <c r="AC24" s="1253">
        <f>-'Table 5C1W-Willow'!AI27</f>
        <v>0</v>
      </c>
      <c r="AD24" s="1253">
        <f>-'Table 5C2 - LA Virtual Admy'!AJ26</f>
        <v>-1104</v>
      </c>
      <c r="AE24" s="1253">
        <f>-'Table 5C3 - LA Connections EBR'!AJ26</f>
        <v>-1104</v>
      </c>
      <c r="AF24" s="1253">
        <f t="shared" si="53"/>
        <v>-3039</v>
      </c>
      <c r="AG24" s="1280">
        <f t="shared" si="54"/>
        <v>1611227</v>
      </c>
      <c r="AH24" s="1253"/>
      <c r="AI24" s="1253"/>
      <c r="AJ24" s="1253"/>
      <c r="AK24" s="1253">
        <f>'Table 5C1A-Madison Prep'!AC27</f>
        <v>0</v>
      </c>
      <c r="AL24" s="1253">
        <f>'Table 5C1B-DArbonne'!AC27</f>
        <v>0</v>
      </c>
      <c r="AM24" s="1253">
        <f>'Table 5C1C-Intl_VIBE'!AC27</f>
        <v>0</v>
      </c>
      <c r="AN24" s="1253">
        <f>'Table 5C1D-NOMMA'!AC27</f>
        <v>0</v>
      </c>
      <c r="AO24" s="1253">
        <f>'Table 5C1E-LFNO'!AC27</f>
        <v>0</v>
      </c>
      <c r="AP24" s="1253">
        <f>'Table 5C1F-Lake Charles Charter'!AC27</f>
        <v>0</v>
      </c>
      <c r="AQ24" s="1253">
        <f>'Table 5C1G-JS Clark Academy'!AC27</f>
        <v>0</v>
      </c>
      <c r="AR24" s="1253">
        <f>'Table 5C1H-Southwest LA Charter'!AC27</f>
        <v>0</v>
      </c>
      <c r="AS24" s="1253">
        <f>'Table 5C1I-LA Key Academy'!AC27</f>
        <v>0</v>
      </c>
      <c r="AT24" s="1253">
        <f>'Table 5C1J-Jefferson Chamber'!AC27</f>
        <v>0</v>
      </c>
      <c r="AU24" s="1253">
        <f>'Table 5C1K-Tallulah Charter'!AC27</f>
        <v>0</v>
      </c>
      <c r="AV24" s="1253">
        <f>'Table 5C1L-Northshore Charter'!AC27</f>
        <v>0</v>
      </c>
      <c r="AW24" s="1253">
        <f>'Table 5C1M-B.R. Charter'!AC27</f>
        <v>0</v>
      </c>
      <c r="AX24" s="1253">
        <f>'Table 5C1N-Delta Charter'!AC27</f>
        <v>-12.3</v>
      </c>
      <c r="AY24" s="1253">
        <f>'Table 5C1O-Impact'!AC27</f>
        <v>0</v>
      </c>
      <c r="AZ24" s="1253">
        <f>+'Table 5C1P-Vision'!AC27</f>
        <v>0</v>
      </c>
      <c r="BA24" s="1253">
        <f>+'Table 5C1Q-Advantage'!AC27</f>
        <v>0</v>
      </c>
      <c r="BB24" s="1253">
        <f>+'Table 5C1R-Iberville'!AC27</f>
        <v>0</v>
      </c>
      <c r="BC24" s="1253">
        <f>+'Table 5C1S-L.C. Coll Prep'!AC27</f>
        <v>0</v>
      </c>
      <c r="BD24" s="1253">
        <f>+'Table 5C1T-Northeast'!AC27</f>
        <v>0</v>
      </c>
      <c r="BE24" s="1253">
        <f>+'Table 5C1U-Acadiana Ren'!AC27</f>
        <v>0</v>
      </c>
      <c r="BF24" s="1253">
        <f>+'Table 5C1V-Laf Ren'!AC27</f>
        <v>0</v>
      </c>
      <c r="BG24" s="1253">
        <f>+'Table 5C1W-Willow'!AC27</f>
        <v>0</v>
      </c>
      <c r="BH24" s="1253">
        <f>'Table 5C2 - LA Virtual Admy'!AD26</f>
        <v>-33.21</v>
      </c>
      <c r="BI24" s="1253">
        <f>'Table 5C3 - LA Connections EBR'!AD26</f>
        <v>-33.21</v>
      </c>
      <c r="BJ24" s="1280">
        <f t="shared" si="55"/>
        <v>1611148.28</v>
      </c>
      <c r="BK24" s="38"/>
    </row>
    <row r="25" spans="1:63" ht="14.4" customHeight="1">
      <c r="A25" s="1250">
        <v>22</v>
      </c>
      <c r="B25" s="1251" t="s">
        <v>102</v>
      </c>
      <c r="C25" s="1252">
        <f>'Table 2_State Distrib and Adjs'!AL28</f>
        <v>1803688</v>
      </c>
      <c r="D25" s="1253">
        <f>-'Table 5A3_OJJ'!W27</f>
        <v>-110</v>
      </c>
      <c r="E25" s="1253"/>
      <c r="F25" s="1253"/>
      <c r="G25" s="1253">
        <f>-'Table 5C1A-Madison Prep'!AI28</f>
        <v>0</v>
      </c>
      <c r="H25" s="1253">
        <f>-'Table 5C1B-DArbonne'!AI28</f>
        <v>0</v>
      </c>
      <c r="I25" s="1253">
        <f>-'Table 5C1C-Intl_VIBE'!AI28</f>
        <v>0</v>
      </c>
      <c r="J25" s="1253">
        <f>-'Table 5C1D-NOMMA'!AI28</f>
        <v>0</v>
      </c>
      <c r="K25" s="1253">
        <f>-'Table 5C1E-LFNO'!AI28</f>
        <v>0</v>
      </c>
      <c r="L25" s="1253">
        <f>-'Table 5C1F-Lake Charles Charter'!AI28</f>
        <v>0</v>
      </c>
      <c r="M25" s="1253">
        <f>-'Table 5C1G-JS Clark Academy'!AI28</f>
        <v>0</v>
      </c>
      <c r="N25" s="1253">
        <f>-'Table 5C1H-Southwest LA Charter'!AI28</f>
        <v>0</v>
      </c>
      <c r="O25" s="1253">
        <f>-'Table 5C1I-LA Key Academy'!AI28</f>
        <v>0</v>
      </c>
      <c r="P25" s="1253">
        <f>-'Table 5C1J-Jefferson Chamber'!AI28</f>
        <v>0</v>
      </c>
      <c r="Q25" s="1253">
        <f>-'Table 5C1K-Tallulah Charter'!AI28</f>
        <v>0</v>
      </c>
      <c r="R25" s="1253">
        <f>-'Table 5C1L-Northshore Charter'!AI28</f>
        <v>0</v>
      </c>
      <c r="S25" s="1253">
        <f>-'Table 5C1M-B.R. Charter'!AI28</f>
        <v>0</v>
      </c>
      <c r="T25" s="1253">
        <f>-'Table 5C1N-Delta Charter'!AI28</f>
        <v>0</v>
      </c>
      <c r="U25" s="1253">
        <f>-'Table 5C1O-Impact'!AI28</f>
        <v>0</v>
      </c>
      <c r="V25" s="1253">
        <f>-'Table 5C1P-Vision'!AI28</f>
        <v>0</v>
      </c>
      <c r="W25" s="1253">
        <f>-'Table 5C1Q-Advantage'!AI28</f>
        <v>0</v>
      </c>
      <c r="X25" s="1253">
        <f>-'Table 5C1R-Iberville'!AI28</f>
        <v>0</v>
      </c>
      <c r="Y25" s="1253">
        <f>-'Table 5C1S-L.C. Coll Prep'!AI28</f>
        <v>0</v>
      </c>
      <c r="Z25" s="1253">
        <f>-'Table 5C1T-Northeast'!AI28</f>
        <v>0</v>
      </c>
      <c r="AA25" s="1253">
        <f>-'Table 5C1U-Acadiana Ren'!AI28</f>
        <v>0</v>
      </c>
      <c r="AB25" s="1253">
        <f>-'Table 5C1V-Laf Ren'!AI28</f>
        <v>0</v>
      </c>
      <c r="AC25" s="1253">
        <f>-'Table 5C1W-Willow'!AI28</f>
        <v>0</v>
      </c>
      <c r="AD25" s="1253">
        <f>-'Table 5C2 - LA Virtual Admy'!AJ27</f>
        <v>-965</v>
      </c>
      <c r="AE25" s="1253">
        <f>-'Table 5C3 - LA Connections EBR'!AJ27</f>
        <v>-1086</v>
      </c>
      <c r="AF25" s="1253">
        <f t="shared" si="53"/>
        <v>-2161</v>
      </c>
      <c r="AG25" s="1280">
        <f t="shared" si="54"/>
        <v>1801527</v>
      </c>
      <c r="AH25" s="1253"/>
      <c r="AI25" s="1253"/>
      <c r="AJ25" s="1253"/>
      <c r="AK25" s="1253">
        <f>'Table 5C1A-Madison Prep'!AC28</f>
        <v>0</v>
      </c>
      <c r="AL25" s="1253">
        <f>'Table 5C1B-DArbonne'!AC28</f>
        <v>0</v>
      </c>
      <c r="AM25" s="1253">
        <f>'Table 5C1C-Intl_VIBE'!AC28</f>
        <v>0</v>
      </c>
      <c r="AN25" s="1253">
        <f>'Table 5C1D-NOMMA'!AC28</f>
        <v>0</v>
      </c>
      <c r="AO25" s="1253">
        <f>'Table 5C1E-LFNO'!AC28</f>
        <v>0</v>
      </c>
      <c r="AP25" s="1253">
        <f>'Table 5C1F-Lake Charles Charter'!AC28</f>
        <v>0</v>
      </c>
      <c r="AQ25" s="1253">
        <f>'Table 5C1G-JS Clark Academy'!AC28</f>
        <v>0</v>
      </c>
      <c r="AR25" s="1253">
        <f>'Table 5C1H-Southwest LA Charter'!AC28</f>
        <v>0</v>
      </c>
      <c r="AS25" s="1253">
        <f>'Table 5C1I-LA Key Academy'!AC28</f>
        <v>0</v>
      </c>
      <c r="AT25" s="1253">
        <f>'Table 5C1J-Jefferson Chamber'!AC28</f>
        <v>0</v>
      </c>
      <c r="AU25" s="1253">
        <f>'Table 5C1K-Tallulah Charter'!AC28</f>
        <v>0</v>
      </c>
      <c r="AV25" s="1253">
        <f>'Table 5C1L-Northshore Charter'!AC28</f>
        <v>0</v>
      </c>
      <c r="AW25" s="1253">
        <f>'Table 5C1M-B.R. Charter'!AC28</f>
        <v>0</v>
      </c>
      <c r="AX25" s="1253">
        <f>'Table 5C1N-Delta Charter'!AC28</f>
        <v>0</v>
      </c>
      <c r="AY25" s="1253">
        <f>'Table 5C1O-Impact'!AC28</f>
        <v>0</v>
      </c>
      <c r="AZ25" s="1253">
        <f>+'Table 5C1P-Vision'!AC28</f>
        <v>0</v>
      </c>
      <c r="BA25" s="1253">
        <f>+'Table 5C1Q-Advantage'!AC28</f>
        <v>0</v>
      </c>
      <c r="BB25" s="1253">
        <f>+'Table 5C1R-Iberville'!AC28</f>
        <v>0</v>
      </c>
      <c r="BC25" s="1253">
        <f>+'Table 5C1S-L.C. Coll Prep'!AC28</f>
        <v>0</v>
      </c>
      <c r="BD25" s="1253">
        <f>+'Table 5C1T-Northeast'!AC28</f>
        <v>0</v>
      </c>
      <c r="BE25" s="1253">
        <f>+'Table 5C1U-Acadiana Ren'!AC28</f>
        <v>0</v>
      </c>
      <c r="BF25" s="1253">
        <f>+'Table 5C1V-Laf Ren'!AC28</f>
        <v>0</v>
      </c>
      <c r="BG25" s="1253">
        <f>+'Table 5C1W-Willow'!AC28</f>
        <v>0</v>
      </c>
      <c r="BH25" s="1253">
        <f>'Table 5C2 - LA Virtual Admy'!AD27</f>
        <v>-29.034000000000002</v>
      </c>
      <c r="BI25" s="1253">
        <f>'Table 5C3 - LA Connections EBR'!AD27</f>
        <v>-32.663250000000005</v>
      </c>
      <c r="BJ25" s="1280">
        <f t="shared" si="55"/>
        <v>1801465.30275</v>
      </c>
      <c r="BK25" s="38"/>
    </row>
    <row r="26" spans="1:63" ht="14.4" customHeight="1">
      <c r="A26" s="1250">
        <v>23</v>
      </c>
      <c r="B26" s="1251" t="s">
        <v>103</v>
      </c>
      <c r="C26" s="1252">
        <f>'Table 2_State Distrib and Adjs'!AL29</f>
        <v>6437512</v>
      </c>
      <c r="D26" s="1253">
        <f>-'Table 5A3_OJJ'!W28</f>
        <v>-1805</v>
      </c>
      <c r="E26" s="1253"/>
      <c r="F26" s="1253"/>
      <c r="G26" s="1253">
        <f>-'Table 5C1A-Madison Prep'!AI29</f>
        <v>0</v>
      </c>
      <c r="H26" s="1253">
        <f>-'Table 5C1B-DArbonne'!AI29</f>
        <v>0</v>
      </c>
      <c r="I26" s="1253">
        <f>-'Table 5C1C-Intl_VIBE'!AI29</f>
        <v>0</v>
      </c>
      <c r="J26" s="1253">
        <f>-'Table 5C1D-NOMMA'!AI29</f>
        <v>0</v>
      </c>
      <c r="K26" s="1253">
        <f>-'Table 5C1E-LFNO'!AI29</f>
        <v>0</v>
      </c>
      <c r="L26" s="1253">
        <f>-'Table 5C1F-Lake Charles Charter'!AI29</f>
        <v>0</v>
      </c>
      <c r="M26" s="1253">
        <f>-'Table 5C1G-JS Clark Academy'!AI29</f>
        <v>0</v>
      </c>
      <c r="N26" s="1253">
        <f>-'Table 5C1H-Southwest LA Charter'!AI29</f>
        <v>0</v>
      </c>
      <c r="O26" s="1253">
        <f>-'Table 5C1I-LA Key Academy'!AI29</f>
        <v>0</v>
      </c>
      <c r="P26" s="1253">
        <f>-'Table 5C1J-Jefferson Chamber'!AI29</f>
        <v>0</v>
      </c>
      <c r="Q26" s="1253">
        <f>-'Table 5C1K-Tallulah Charter'!AI29</f>
        <v>0</v>
      </c>
      <c r="R26" s="1253">
        <f>-'Table 5C1L-Northshore Charter'!AI29</f>
        <v>0</v>
      </c>
      <c r="S26" s="1253">
        <f>-'Table 5C1M-B.R. Charter'!AI29</f>
        <v>0</v>
      </c>
      <c r="T26" s="1253">
        <f>-'Table 5C1N-Delta Charter'!AI29</f>
        <v>0</v>
      </c>
      <c r="U26" s="1253">
        <f>-'Table 5C1O-Impact'!AI29</f>
        <v>0</v>
      </c>
      <c r="V26" s="1253">
        <f>-'Table 5C1P-Vision'!AI29</f>
        <v>0</v>
      </c>
      <c r="W26" s="1253">
        <f>-'Table 5C1Q-Advantage'!AI29</f>
        <v>0</v>
      </c>
      <c r="X26" s="1253">
        <f>-'Table 5C1R-Iberville'!AI29</f>
        <v>0</v>
      </c>
      <c r="Y26" s="1253">
        <f>-'Table 5C1S-L.C. Coll Prep'!AI29</f>
        <v>0</v>
      </c>
      <c r="Z26" s="1253">
        <f>-'Table 5C1T-Northeast'!AI29</f>
        <v>0</v>
      </c>
      <c r="AA26" s="1253">
        <f>-'Table 5C1U-Acadiana Ren'!AI29</f>
        <v>-3464</v>
      </c>
      <c r="AB26" s="1253">
        <f>-'Table 5C1V-Laf Ren'!AI29</f>
        <v>-4908</v>
      </c>
      <c r="AC26" s="1253">
        <f>-'Table 5C1W-Willow'!AI29</f>
        <v>0</v>
      </c>
      <c r="AD26" s="1253">
        <f>-'Table 5C2 - LA Virtual Admy'!AJ28</f>
        <v>-4937</v>
      </c>
      <c r="AE26" s="1253">
        <f>-'Table 5C3 - LA Connections EBR'!AJ28</f>
        <v>-6236</v>
      </c>
      <c r="AF26" s="1253">
        <f t="shared" si="53"/>
        <v>-21350</v>
      </c>
      <c r="AG26" s="1280">
        <f t="shared" si="54"/>
        <v>6416162</v>
      </c>
      <c r="AH26" s="1253"/>
      <c r="AI26" s="1253"/>
      <c r="AJ26" s="1253"/>
      <c r="AK26" s="1253">
        <f>'Table 5C1A-Madison Prep'!AC29</f>
        <v>0</v>
      </c>
      <c r="AL26" s="1253">
        <f>'Table 5C1B-DArbonne'!AC29</f>
        <v>0</v>
      </c>
      <c r="AM26" s="1253">
        <f>'Table 5C1C-Intl_VIBE'!AC29</f>
        <v>0</v>
      </c>
      <c r="AN26" s="1253">
        <f>'Table 5C1D-NOMMA'!AC29</f>
        <v>0</v>
      </c>
      <c r="AO26" s="1253">
        <f>'Table 5C1E-LFNO'!AC29</f>
        <v>0</v>
      </c>
      <c r="AP26" s="1253">
        <f>'Table 5C1F-Lake Charles Charter'!AC29</f>
        <v>0</v>
      </c>
      <c r="AQ26" s="1253">
        <f>'Table 5C1G-JS Clark Academy'!AC29</f>
        <v>0</v>
      </c>
      <c r="AR26" s="1253">
        <f>'Table 5C1H-Southwest LA Charter'!AC29</f>
        <v>0</v>
      </c>
      <c r="AS26" s="1253">
        <f>'Table 5C1I-LA Key Academy'!AC29</f>
        <v>0</v>
      </c>
      <c r="AT26" s="1253">
        <f>'Table 5C1J-Jefferson Chamber'!AC29</f>
        <v>0</v>
      </c>
      <c r="AU26" s="1253">
        <f>'Table 5C1K-Tallulah Charter'!AC29</f>
        <v>0</v>
      </c>
      <c r="AV26" s="1253">
        <f>'Table 5C1L-Northshore Charter'!AC29</f>
        <v>0</v>
      </c>
      <c r="AW26" s="1253">
        <f>'Table 5C1M-B.R. Charter'!AC29</f>
        <v>0</v>
      </c>
      <c r="AX26" s="1253">
        <f>'Table 5C1N-Delta Charter'!AC29</f>
        <v>0</v>
      </c>
      <c r="AY26" s="1253">
        <f>'Table 5C1O-Impact'!AC29</f>
        <v>0</v>
      </c>
      <c r="AZ26" s="1253">
        <f>+'Table 5C1P-Vision'!AC29</f>
        <v>0</v>
      </c>
      <c r="BA26" s="1253">
        <f>+'Table 5C1Q-Advantage'!AC29</f>
        <v>0</v>
      </c>
      <c r="BB26" s="1253">
        <f>+'Table 5C1R-Iberville'!AC29</f>
        <v>0</v>
      </c>
      <c r="BC26" s="1253">
        <f>+'Table 5C1S-L.C. Coll Prep'!AC29</f>
        <v>0</v>
      </c>
      <c r="BD26" s="1253">
        <f>+'Table 5C1T-Northeast'!AC29</f>
        <v>0</v>
      </c>
      <c r="BE26" s="1253">
        <f>+'Table 5C1U-Acadiana Ren'!AC29</f>
        <v>-104.19</v>
      </c>
      <c r="BF26" s="1253">
        <f>+'Table 5C1V-Laf Ren'!AC29</f>
        <v>-147.60249999999999</v>
      </c>
      <c r="BG26" s="1253">
        <f>+'Table 5C1W-Willow'!AC29</f>
        <v>0</v>
      </c>
      <c r="BH26" s="1253">
        <f>'Table 5C2 - LA Virtual Admy'!AD28</f>
        <v>-148.47075000000001</v>
      </c>
      <c r="BI26" s="1253">
        <f>'Table 5C3 - LA Connections EBR'!AD28</f>
        <v>-187.542</v>
      </c>
      <c r="BJ26" s="1280">
        <f t="shared" si="55"/>
        <v>6415574.1947499989</v>
      </c>
      <c r="BK26" s="38"/>
    </row>
    <row r="27" spans="1:63" ht="14.4" customHeight="1">
      <c r="A27" s="1250">
        <v>24</v>
      </c>
      <c r="B27" s="1251" t="s">
        <v>104</v>
      </c>
      <c r="C27" s="1252">
        <f>'Table 2_State Distrib and Adjs'!AL30</f>
        <v>1322849</v>
      </c>
      <c r="D27" s="1253">
        <f>-'Table 5A3_OJJ'!W29</f>
        <v>-762</v>
      </c>
      <c r="E27" s="1253"/>
      <c r="F27" s="1253"/>
      <c r="G27" s="1253">
        <f>-'Table 5C1A-Madison Prep'!AI30</f>
        <v>-836</v>
      </c>
      <c r="H27" s="1253">
        <f>-'Table 5C1B-DArbonne'!AI30</f>
        <v>0</v>
      </c>
      <c r="I27" s="1253">
        <f>-'Table 5C1C-Intl_VIBE'!AI30</f>
        <v>0</v>
      </c>
      <c r="J27" s="1253">
        <f>-'Table 5C1D-NOMMA'!AI30</f>
        <v>0</v>
      </c>
      <c r="K27" s="1253">
        <f>-'Table 5C1E-LFNO'!AI30</f>
        <v>0</v>
      </c>
      <c r="L27" s="1253">
        <f>-'Table 5C1F-Lake Charles Charter'!AI30</f>
        <v>0</v>
      </c>
      <c r="M27" s="1253">
        <f>-'Table 5C1G-JS Clark Academy'!AI30</f>
        <v>0</v>
      </c>
      <c r="N27" s="1253">
        <f>-'Table 5C1H-Southwest LA Charter'!AI30</f>
        <v>0</v>
      </c>
      <c r="O27" s="1253">
        <f>-'Table 5C1I-LA Key Academy'!AI30</f>
        <v>-3343</v>
      </c>
      <c r="P27" s="1253">
        <f>-'Table 5C1J-Jefferson Chamber'!AI30</f>
        <v>0</v>
      </c>
      <c r="Q27" s="1253">
        <f>-'Table 5C1K-Tallulah Charter'!AI30</f>
        <v>0</v>
      </c>
      <c r="R27" s="1253">
        <f>-'Table 5C1L-Northshore Charter'!AI30</f>
        <v>0</v>
      </c>
      <c r="S27" s="1253">
        <f>-'Table 5C1M-B.R. Charter'!AI30</f>
        <v>-3343</v>
      </c>
      <c r="T27" s="1253">
        <f>-'Table 5C1N-Delta Charter'!AI30</f>
        <v>0</v>
      </c>
      <c r="U27" s="1253">
        <f>-'Table 5C1O-Impact'!AI30</f>
        <v>0</v>
      </c>
      <c r="V27" s="1253">
        <f>-'Table 5C1P-Vision'!AI30</f>
        <v>0</v>
      </c>
      <c r="W27" s="1253">
        <f>-'Table 5C1Q-Advantage'!AI30</f>
        <v>0</v>
      </c>
      <c r="X27" s="1253">
        <f>-'Table 5C1R-Iberville'!AI30</f>
        <v>-314207</v>
      </c>
      <c r="Y27" s="1253">
        <f>-'Table 5C1S-L.C. Coll Prep'!AI30</f>
        <v>0</v>
      </c>
      <c r="Z27" s="1253">
        <f>-'Table 5C1T-Northeast'!AI30</f>
        <v>0</v>
      </c>
      <c r="AA27" s="1253">
        <f>-'Table 5C1U-Acadiana Ren'!AI30</f>
        <v>0</v>
      </c>
      <c r="AB27" s="1253">
        <f>-'Table 5C1V-Laf Ren'!AI30</f>
        <v>0</v>
      </c>
      <c r="AC27" s="1253">
        <f>-'Table 5C1W-Willow'!AI30</f>
        <v>0</v>
      </c>
      <c r="AD27" s="1253">
        <f>-'Table 5C2 - LA Virtual Admy'!AJ29</f>
        <v>-10529</v>
      </c>
      <c r="AE27" s="1253">
        <f>-'Table 5C3 - LA Connections EBR'!AJ29</f>
        <v>-1504</v>
      </c>
      <c r="AF27" s="1253">
        <f t="shared" si="53"/>
        <v>-334524</v>
      </c>
      <c r="AG27" s="1280">
        <f t="shared" si="54"/>
        <v>988325</v>
      </c>
      <c r="AH27" s="1253"/>
      <c r="AI27" s="1253"/>
      <c r="AJ27" s="1253"/>
      <c r="AK27" s="1253">
        <f>'Table 5C1A-Madison Prep'!AC30</f>
        <v>-25.1325</v>
      </c>
      <c r="AL27" s="1253">
        <f>'Table 5C1B-DArbonne'!AC30</f>
        <v>0</v>
      </c>
      <c r="AM27" s="1253">
        <f>'Table 5C1C-Intl_VIBE'!AC30</f>
        <v>0</v>
      </c>
      <c r="AN27" s="1253">
        <f>'Table 5C1D-NOMMA'!AC30</f>
        <v>0</v>
      </c>
      <c r="AO27" s="1253">
        <f>'Table 5C1E-LFNO'!AC30</f>
        <v>0</v>
      </c>
      <c r="AP27" s="1253">
        <f>'Table 5C1F-Lake Charles Charter'!AC30</f>
        <v>0</v>
      </c>
      <c r="AQ27" s="1253">
        <f>'Table 5C1G-JS Clark Academy'!AC30</f>
        <v>0</v>
      </c>
      <c r="AR27" s="1253">
        <f>'Table 5C1H-Southwest LA Charter'!AC30</f>
        <v>0</v>
      </c>
      <c r="AS27" s="1253">
        <f>'Table 5C1I-LA Key Academy'!AC30</f>
        <v>-100.53</v>
      </c>
      <c r="AT27" s="1253">
        <f>'Table 5C1J-Jefferson Chamber'!AC30</f>
        <v>0</v>
      </c>
      <c r="AU27" s="1253">
        <f>'Table 5C1K-Tallulah Charter'!AC30</f>
        <v>0</v>
      </c>
      <c r="AV27" s="1253">
        <f>'Table 5C1L-Northshore Charter'!AC30</f>
        <v>0</v>
      </c>
      <c r="AW27" s="1253">
        <f>'Table 5C1M-B.R. Charter'!AC30</f>
        <v>-100.53</v>
      </c>
      <c r="AX27" s="1253">
        <f>'Table 5C1N-Delta Charter'!AC30</f>
        <v>0</v>
      </c>
      <c r="AY27" s="1253">
        <f>'Table 5C1O-Impact'!AC30</f>
        <v>0</v>
      </c>
      <c r="AZ27" s="1253">
        <f>+'Table 5C1P-Vision'!AC30</f>
        <v>0</v>
      </c>
      <c r="BA27" s="1253">
        <f>+'Table 5C1Q-Advantage'!AC30</f>
        <v>0</v>
      </c>
      <c r="BB27" s="1253">
        <f>+'Table 5C1R-Iberville'!AC30</f>
        <v>-9449.82</v>
      </c>
      <c r="BC27" s="1253">
        <f>+'Table 5C1S-L.C. Coll Prep'!AC30</f>
        <v>0</v>
      </c>
      <c r="BD27" s="1253">
        <f>+'Table 5C1T-Northeast'!AC30</f>
        <v>0</v>
      </c>
      <c r="BE27" s="1253">
        <f>+'Table 5C1U-Acadiana Ren'!AC30</f>
        <v>0</v>
      </c>
      <c r="BF27" s="1253">
        <f>+'Table 5C1V-Laf Ren'!AC30</f>
        <v>0</v>
      </c>
      <c r="BG27" s="1253">
        <f>+'Table 5C1W-Willow'!AC30</f>
        <v>0</v>
      </c>
      <c r="BH27" s="1253">
        <f>'Table 5C2 - LA Virtual Admy'!AD29</f>
        <v>-316.66950000000003</v>
      </c>
      <c r="BI27" s="1253">
        <f>'Table 5C3 - LA Connections EBR'!AD29</f>
        <v>-45.238500000000002</v>
      </c>
      <c r="BJ27" s="1280">
        <f t="shared" si="55"/>
        <v>978287.07950000011</v>
      </c>
      <c r="BK27" s="38"/>
    </row>
    <row r="28" spans="1:63" ht="14.4" customHeight="1">
      <c r="A28" s="85">
        <v>25</v>
      </c>
      <c r="B28" s="207" t="s">
        <v>105</v>
      </c>
      <c r="C28" s="209">
        <f>'Table 2_State Distrib and Adjs'!AL31</f>
        <v>921073</v>
      </c>
      <c r="D28" s="219">
        <f>-'Table 5A3_OJJ'!W30</f>
        <v>-25</v>
      </c>
      <c r="E28" s="219"/>
      <c r="F28" s="219"/>
      <c r="G28" s="219">
        <f>-'Table 5C1A-Madison Prep'!AI31</f>
        <v>0</v>
      </c>
      <c r="H28" s="219">
        <f>-'Table 5C1B-DArbonne'!AI31</f>
        <v>0</v>
      </c>
      <c r="I28" s="219">
        <f>-'Table 5C1C-Intl_VIBE'!AI31</f>
        <v>0</v>
      </c>
      <c r="J28" s="219">
        <f>-'Table 5C1D-NOMMA'!AI31</f>
        <v>0</v>
      </c>
      <c r="K28" s="219">
        <f>-'Table 5C1E-LFNO'!AI31</f>
        <v>0</v>
      </c>
      <c r="L28" s="219">
        <f>-'Table 5C1F-Lake Charles Charter'!AI31</f>
        <v>0</v>
      </c>
      <c r="M28" s="219">
        <f>-'Table 5C1G-JS Clark Academy'!AI31</f>
        <v>0</v>
      </c>
      <c r="N28" s="219">
        <f>-'Table 5C1H-Southwest LA Charter'!AI31</f>
        <v>0</v>
      </c>
      <c r="O28" s="219">
        <f>-'Table 5C1I-LA Key Academy'!AI31</f>
        <v>0</v>
      </c>
      <c r="P28" s="219">
        <f>-'Table 5C1J-Jefferson Chamber'!AI31</f>
        <v>0</v>
      </c>
      <c r="Q28" s="219">
        <f>-'Table 5C1K-Tallulah Charter'!AI31</f>
        <v>0</v>
      </c>
      <c r="R28" s="219">
        <f>-'Table 5C1L-Northshore Charter'!AI31</f>
        <v>0</v>
      </c>
      <c r="S28" s="219">
        <f>-'Table 5C1M-B.R. Charter'!AI31</f>
        <v>0</v>
      </c>
      <c r="T28" s="219">
        <f>-'Table 5C1N-Delta Charter'!AI31</f>
        <v>0</v>
      </c>
      <c r="U28" s="219">
        <f>-'Table 5C1O-Impact'!AI31</f>
        <v>0</v>
      </c>
      <c r="V28" s="219">
        <f>-'Table 5C1P-Vision'!AI31</f>
        <v>0</v>
      </c>
      <c r="W28" s="219">
        <f>-'Table 5C1Q-Advantage'!AI31</f>
        <v>0</v>
      </c>
      <c r="X28" s="219">
        <f>-'Table 5C1R-Iberville'!AI31</f>
        <v>0</v>
      </c>
      <c r="Y28" s="219">
        <f>-'Table 5C1S-L.C. Coll Prep'!AI31</f>
        <v>0</v>
      </c>
      <c r="Z28" s="219">
        <f>-'Table 5C1T-Northeast'!AI31</f>
        <v>0</v>
      </c>
      <c r="AA28" s="219">
        <f>-'Table 5C1U-Acadiana Ren'!AI31</f>
        <v>0</v>
      </c>
      <c r="AB28" s="219">
        <f>-'Table 5C1V-Laf Ren'!AI31</f>
        <v>0</v>
      </c>
      <c r="AC28" s="219">
        <f>-'Table 5C1W-Willow'!AI31</f>
        <v>0</v>
      </c>
      <c r="AD28" s="219">
        <f>-'Table 5C2 - LA Virtual Admy'!AJ30</f>
        <v>-380</v>
      </c>
      <c r="AE28" s="219">
        <f>-'Table 5C3 - LA Connections EBR'!AJ30</f>
        <v>-380</v>
      </c>
      <c r="AF28" s="219">
        <f t="shared" si="53"/>
        <v>-785</v>
      </c>
      <c r="AG28" s="364">
        <f t="shared" si="54"/>
        <v>920288</v>
      </c>
      <c r="AH28" s="219"/>
      <c r="AI28" s="219"/>
      <c r="AJ28" s="219"/>
      <c r="AK28" s="219">
        <f>'Table 5C1A-Madison Prep'!AC31</f>
        <v>0</v>
      </c>
      <c r="AL28" s="219">
        <f>'Table 5C1B-DArbonne'!AC31</f>
        <v>0</v>
      </c>
      <c r="AM28" s="219">
        <f>'Table 5C1C-Intl_VIBE'!AC31</f>
        <v>0</v>
      </c>
      <c r="AN28" s="219">
        <f>'Table 5C1D-NOMMA'!AC31</f>
        <v>0</v>
      </c>
      <c r="AO28" s="219">
        <f>'Table 5C1E-LFNO'!AC31</f>
        <v>0</v>
      </c>
      <c r="AP28" s="219">
        <f>'Table 5C1F-Lake Charles Charter'!AC31</f>
        <v>0</v>
      </c>
      <c r="AQ28" s="219">
        <f>'Table 5C1G-JS Clark Academy'!AC31</f>
        <v>0</v>
      </c>
      <c r="AR28" s="219">
        <f>'Table 5C1H-Southwest LA Charter'!AC31</f>
        <v>0</v>
      </c>
      <c r="AS28" s="219">
        <f>'Table 5C1I-LA Key Academy'!AC31</f>
        <v>0</v>
      </c>
      <c r="AT28" s="219">
        <f>'Table 5C1J-Jefferson Chamber'!AC31</f>
        <v>0</v>
      </c>
      <c r="AU28" s="219">
        <f>'Table 5C1K-Tallulah Charter'!AC31</f>
        <v>0</v>
      </c>
      <c r="AV28" s="219">
        <f>'Table 5C1L-Northshore Charter'!AC31</f>
        <v>0</v>
      </c>
      <c r="AW28" s="219">
        <f>'Table 5C1M-B.R. Charter'!AC31</f>
        <v>0</v>
      </c>
      <c r="AX28" s="219">
        <f>'Table 5C1N-Delta Charter'!AC31</f>
        <v>0</v>
      </c>
      <c r="AY28" s="219">
        <f>'Table 5C1O-Impact'!AC31</f>
        <v>0</v>
      </c>
      <c r="AZ28" s="219">
        <f>+'Table 5C1P-Vision'!AC31</f>
        <v>0</v>
      </c>
      <c r="BA28" s="219">
        <f>+'Table 5C1Q-Advantage'!AC31</f>
        <v>0</v>
      </c>
      <c r="BB28" s="219">
        <f>+'Table 5C1R-Iberville'!AC31</f>
        <v>0</v>
      </c>
      <c r="BC28" s="219">
        <f>+'Table 5C1S-L.C. Coll Prep'!AC31</f>
        <v>0</v>
      </c>
      <c r="BD28" s="219">
        <f>+'Table 5C1T-Northeast'!AC31</f>
        <v>0</v>
      </c>
      <c r="BE28" s="219">
        <f>+'Table 5C1U-Acadiana Ren'!AC31</f>
        <v>0</v>
      </c>
      <c r="BF28" s="219">
        <f>+'Table 5C1V-Laf Ren'!AC31</f>
        <v>0</v>
      </c>
      <c r="BG28" s="219">
        <f>+'Table 5C1W-Willow'!AC31</f>
        <v>0</v>
      </c>
      <c r="BH28" s="219">
        <f>'Table 5C2 - LA Virtual Admy'!AD30</f>
        <v>-11.414249999999999</v>
      </c>
      <c r="BI28" s="219">
        <f>'Table 5C3 - LA Connections EBR'!AD30</f>
        <v>-11.414249999999999</v>
      </c>
      <c r="BJ28" s="364">
        <f t="shared" si="55"/>
        <v>920265.17149999994</v>
      </c>
      <c r="BK28" s="38"/>
    </row>
    <row r="29" spans="1:63" ht="14.4" customHeight="1">
      <c r="A29" s="1250">
        <v>26</v>
      </c>
      <c r="B29" s="1251" t="s">
        <v>106</v>
      </c>
      <c r="C29" s="1252">
        <f>'Table 2_State Distrib and Adjs'!AL32</f>
        <v>15922140</v>
      </c>
      <c r="D29" s="1253">
        <f>-'Table 5A3_OJJ'!W31</f>
        <v>-6546</v>
      </c>
      <c r="E29" s="1253"/>
      <c r="F29" s="1253"/>
      <c r="G29" s="1253">
        <f>-'Table 5C1A-Madison Prep'!AI32</f>
        <v>0</v>
      </c>
      <c r="H29" s="1253">
        <f>-'Table 5C1B-DArbonne'!AI32</f>
        <v>0</v>
      </c>
      <c r="I29" s="1253">
        <f>-'Table 5C1C-Intl_VIBE'!AI32</f>
        <v>-25360</v>
      </c>
      <c r="J29" s="1253">
        <f>-'Table 5C1D-NOMMA'!AI32</f>
        <v>-83512</v>
      </c>
      <c r="K29" s="1253">
        <f>-'Table 5C1E-LFNO'!AI32</f>
        <v>-31044</v>
      </c>
      <c r="L29" s="1253">
        <f>-'Table 5C1F-Lake Charles Charter'!AI32</f>
        <v>0</v>
      </c>
      <c r="M29" s="1253">
        <f>-'Table 5C1G-JS Clark Academy'!AI32</f>
        <v>0</v>
      </c>
      <c r="N29" s="1253">
        <f>-'Table 5C1H-Southwest LA Charter'!AI32</f>
        <v>0</v>
      </c>
      <c r="O29" s="1253">
        <f>-'Table 5C1I-LA Key Academy'!AI32</f>
        <v>0</v>
      </c>
      <c r="P29" s="1253">
        <f>-'Table 5C1J-Jefferson Chamber'!AI32</f>
        <v>-39789</v>
      </c>
      <c r="Q29" s="1253">
        <f>-'Table 5C1K-Tallulah Charter'!AI32</f>
        <v>0</v>
      </c>
      <c r="R29" s="1253">
        <f>-'Table 5C1L-Northshore Charter'!AI32</f>
        <v>0</v>
      </c>
      <c r="S29" s="1253">
        <f>-'Table 5C1M-B.R. Charter'!AI32</f>
        <v>0</v>
      </c>
      <c r="T29" s="1253">
        <f>-'Table 5C1N-Delta Charter'!AI32</f>
        <v>0</v>
      </c>
      <c r="U29" s="1253">
        <f>-'Table 5C1O-Impact'!AI32</f>
        <v>0</v>
      </c>
      <c r="V29" s="1253">
        <f>-'Table 5C1P-Vision'!AI32</f>
        <v>0</v>
      </c>
      <c r="W29" s="1253">
        <f>-'Table 5C1Q-Advantage'!AI32</f>
        <v>0</v>
      </c>
      <c r="X29" s="1253">
        <f>-'Table 5C1R-Iberville'!AI32</f>
        <v>0</v>
      </c>
      <c r="Y29" s="1253">
        <f>-'Table 5C1S-L.C. Coll Prep'!AI32</f>
        <v>0</v>
      </c>
      <c r="Z29" s="1253">
        <f>-'Table 5C1T-Northeast'!AI32</f>
        <v>0</v>
      </c>
      <c r="AA29" s="1253">
        <f>-'Table 5C1U-Acadiana Ren'!AI32</f>
        <v>0</v>
      </c>
      <c r="AB29" s="1253">
        <f>-'Table 5C1V-Laf Ren'!AI32</f>
        <v>0</v>
      </c>
      <c r="AC29" s="1253">
        <f>-'Table 5C1W-Willow'!AI32</f>
        <v>0</v>
      </c>
      <c r="AD29" s="1253">
        <f>-'Table 5C2 - LA Virtual Admy'!AJ31</f>
        <v>-65717</v>
      </c>
      <c r="AE29" s="1253">
        <f>-'Table 5C3 - LA Connections EBR'!AJ31</f>
        <v>-40138</v>
      </c>
      <c r="AF29" s="1253">
        <f t="shared" si="53"/>
        <v>-292106</v>
      </c>
      <c r="AG29" s="1280">
        <f t="shared" si="54"/>
        <v>15630034</v>
      </c>
      <c r="AH29" s="1253"/>
      <c r="AI29" s="1253"/>
      <c r="AJ29" s="1253"/>
      <c r="AK29" s="1253">
        <f>'Table 5C1A-Madison Prep'!AC32</f>
        <v>0</v>
      </c>
      <c r="AL29" s="1253">
        <f>'Table 5C1B-DArbonne'!AC32</f>
        <v>0</v>
      </c>
      <c r="AM29" s="1253">
        <f>'Table 5C1C-Intl_VIBE'!AC32</f>
        <v>-762.7</v>
      </c>
      <c r="AN29" s="1253">
        <f>'Table 5C1D-NOMMA'!AC32</f>
        <v>-2511.65</v>
      </c>
      <c r="AO29" s="1253">
        <f>'Table 5C1E-LFNO'!AC32</f>
        <v>-933.65</v>
      </c>
      <c r="AP29" s="1253">
        <f>'Table 5C1F-Lake Charles Charter'!AC32</f>
        <v>0</v>
      </c>
      <c r="AQ29" s="1253">
        <f>'Table 5C1G-JS Clark Academy'!AC32</f>
        <v>0</v>
      </c>
      <c r="AR29" s="1253">
        <f>'Table 5C1H-Southwest LA Charter'!AC32</f>
        <v>0</v>
      </c>
      <c r="AS29" s="1253">
        <f>'Table 5C1I-LA Key Academy'!AC32</f>
        <v>0</v>
      </c>
      <c r="AT29" s="1253">
        <f>'Table 5C1J-Jefferson Chamber'!AC32</f>
        <v>-1196.6500000000001</v>
      </c>
      <c r="AU29" s="1253">
        <f>'Table 5C1K-Tallulah Charter'!AC32</f>
        <v>0</v>
      </c>
      <c r="AV29" s="1253">
        <f>'Table 5C1L-Northshore Charter'!AC32</f>
        <v>0</v>
      </c>
      <c r="AW29" s="1253">
        <f>'Table 5C1M-B.R. Charter'!AC32</f>
        <v>0</v>
      </c>
      <c r="AX29" s="1253">
        <f>'Table 5C1N-Delta Charter'!AC32</f>
        <v>0</v>
      </c>
      <c r="AY29" s="1253">
        <f>'Table 5C1O-Impact'!AC32</f>
        <v>0</v>
      </c>
      <c r="AZ29" s="1253">
        <f>+'Table 5C1P-Vision'!AC32</f>
        <v>0</v>
      </c>
      <c r="BA29" s="1253">
        <f>+'Table 5C1Q-Advantage'!AC32</f>
        <v>0</v>
      </c>
      <c r="BB29" s="1253">
        <f>+'Table 5C1R-Iberville'!AC32</f>
        <v>0</v>
      </c>
      <c r="BC29" s="1253">
        <f>+'Table 5C1S-L.C. Coll Prep'!AC32</f>
        <v>0</v>
      </c>
      <c r="BD29" s="1253">
        <f>+'Table 5C1T-Northeast'!AC32</f>
        <v>0</v>
      </c>
      <c r="BE29" s="1253">
        <f>+'Table 5C1U-Acadiana Ren'!AC32</f>
        <v>0</v>
      </c>
      <c r="BF29" s="1253">
        <f>+'Table 5C1V-Laf Ren'!AC32</f>
        <v>0</v>
      </c>
      <c r="BG29" s="1253">
        <f>+'Table 5C1W-Willow'!AC32</f>
        <v>0</v>
      </c>
      <c r="BH29" s="1253">
        <f>'Table 5C2 - LA Virtual Admy'!AD31</f>
        <v>-1976.4449999999999</v>
      </c>
      <c r="BI29" s="1253">
        <f>'Table 5C3 - LA Connections EBR'!AD31</f>
        <v>-1207.17</v>
      </c>
      <c r="BJ29" s="1280">
        <f t="shared" si="55"/>
        <v>15621445.734999999</v>
      </c>
      <c r="BK29" s="38"/>
    </row>
    <row r="30" spans="1:63" ht="14.4" customHeight="1">
      <c r="A30" s="1250">
        <v>27</v>
      </c>
      <c r="B30" s="1251" t="s">
        <v>107</v>
      </c>
      <c r="C30" s="1252">
        <f>'Table 2_State Distrib and Adjs'!AL33</f>
        <v>3048644</v>
      </c>
      <c r="D30" s="1253">
        <f>-'Table 5A3_OJJ'!W32</f>
        <v>-675</v>
      </c>
      <c r="E30" s="1253"/>
      <c r="F30" s="1253"/>
      <c r="G30" s="1253">
        <f>-'Table 5C1A-Madison Prep'!AI33</f>
        <v>0</v>
      </c>
      <c r="H30" s="1253">
        <f>-'Table 5C1B-DArbonne'!AI33</f>
        <v>0</v>
      </c>
      <c r="I30" s="1253">
        <f>-'Table 5C1C-Intl_VIBE'!AI33</f>
        <v>0</v>
      </c>
      <c r="J30" s="1253">
        <f>-'Table 5C1D-NOMMA'!AI33</f>
        <v>0</v>
      </c>
      <c r="K30" s="1253">
        <f>-'Table 5C1E-LFNO'!AI33</f>
        <v>0</v>
      </c>
      <c r="L30" s="1253">
        <f>-'Table 5C1F-Lake Charles Charter'!AI33</f>
        <v>0</v>
      </c>
      <c r="M30" s="1253">
        <f>-'Table 5C1G-JS Clark Academy'!AI33</f>
        <v>0</v>
      </c>
      <c r="N30" s="1253">
        <f>-'Table 5C1H-Southwest LA Charter'!AI33</f>
        <v>0</v>
      </c>
      <c r="O30" s="1253">
        <f>-'Table 5C1I-LA Key Academy'!AI33</f>
        <v>0</v>
      </c>
      <c r="P30" s="1253">
        <f>-'Table 5C1J-Jefferson Chamber'!AI33</f>
        <v>0</v>
      </c>
      <c r="Q30" s="1253">
        <f>-'Table 5C1K-Tallulah Charter'!AI33</f>
        <v>0</v>
      </c>
      <c r="R30" s="1253">
        <f>-'Table 5C1L-Northshore Charter'!AI33</f>
        <v>0</v>
      </c>
      <c r="S30" s="1253">
        <f>-'Table 5C1M-B.R. Charter'!AI33</f>
        <v>0</v>
      </c>
      <c r="T30" s="1253">
        <f>-'Table 5C1N-Delta Charter'!AI33</f>
        <v>0</v>
      </c>
      <c r="U30" s="1253">
        <f>-'Table 5C1O-Impact'!AI33</f>
        <v>0</v>
      </c>
      <c r="V30" s="1253">
        <f>-'Table 5C1P-Vision'!AI33</f>
        <v>0</v>
      </c>
      <c r="W30" s="1253">
        <f>-'Table 5C1Q-Advantage'!AI33</f>
        <v>0</v>
      </c>
      <c r="X30" s="1253">
        <f>-'Table 5C1R-Iberville'!AI33</f>
        <v>0</v>
      </c>
      <c r="Y30" s="1253">
        <f>-'Table 5C1S-L.C. Coll Prep'!AI33</f>
        <v>0</v>
      </c>
      <c r="Z30" s="1253">
        <f>-'Table 5C1T-Northeast'!AI33</f>
        <v>0</v>
      </c>
      <c r="AA30" s="1253">
        <f>-'Table 5C1U-Acadiana Ren'!AI33</f>
        <v>0</v>
      </c>
      <c r="AB30" s="1253">
        <f>-'Table 5C1V-Laf Ren'!AI33</f>
        <v>0</v>
      </c>
      <c r="AC30" s="1253">
        <f>-'Table 5C1W-Willow'!AI33</f>
        <v>0</v>
      </c>
      <c r="AD30" s="1253">
        <f>-'Table 5C2 - LA Virtual Admy'!AJ32</f>
        <v>-2845</v>
      </c>
      <c r="AE30" s="1253">
        <f>-'Table 5C3 - LA Connections EBR'!AJ32</f>
        <v>-1185</v>
      </c>
      <c r="AF30" s="1253">
        <f t="shared" si="53"/>
        <v>-4705</v>
      </c>
      <c r="AG30" s="1280">
        <f t="shared" si="54"/>
        <v>3043939</v>
      </c>
      <c r="AH30" s="1253"/>
      <c r="AI30" s="1253"/>
      <c r="AJ30" s="1253"/>
      <c r="AK30" s="1253">
        <f>'Table 5C1A-Madison Prep'!AC33</f>
        <v>0</v>
      </c>
      <c r="AL30" s="1253">
        <f>'Table 5C1B-DArbonne'!AC33</f>
        <v>0</v>
      </c>
      <c r="AM30" s="1253">
        <f>'Table 5C1C-Intl_VIBE'!AC33</f>
        <v>0</v>
      </c>
      <c r="AN30" s="1253">
        <f>'Table 5C1D-NOMMA'!AC33</f>
        <v>0</v>
      </c>
      <c r="AO30" s="1253">
        <f>'Table 5C1E-LFNO'!AC33</f>
        <v>0</v>
      </c>
      <c r="AP30" s="1253">
        <f>'Table 5C1F-Lake Charles Charter'!AC33</f>
        <v>0</v>
      </c>
      <c r="AQ30" s="1253">
        <f>'Table 5C1G-JS Clark Academy'!AC33</f>
        <v>0</v>
      </c>
      <c r="AR30" s="1253">
        <f>'Table 5C1H-Southwest LA Charter'!AC33</f>
        <v>0</v>
      </c>
      <c r="AS30" s="1253">
        <f>'Table 5C1I-LA Key Academy'!AC33</f>
        <v>0</v>
      </c>
      <c r="AT30" s="1253">
        <f>'Table 5C1J-Jefferson Chamber'!AC33</f>
        <v>0</v>
      </c>
      <c r="AU30" s="1253">
        <f>'Table 5C1K-Tallulah Charter'!AC33</f>
        <v>0</v>
      </c>
      <c r="AV30" s="1253">
        <f>'Table 5C1L-Northshore Charter'!AC33</f>
        <v>0</v>
      </c>
      <c r="AW30" s="1253">
        <f>'Table 5C1M-B.R. Charter'!AC33</f>
        <v>0</v>
      </c>
      <c r="AX30" s="1253">
        <f>'Table 5C1N-Delta Charter'!AC33</f>
        <v>0</v>
      </c>
      <c r="AY30" s="1253">
        <f>'Table 5C1O-Impact'!AC33</f>
        <v>0</v>
      </c>
      <c r="AZ30" s="1253">
        <f>+'Table 5C1P-Vision'!AC33</f>
        <v>0</v>
      </c>
      <c r="BA30" s="1253">
        <f>+'Table 5C1Q-Advantage'!AC33</f>
        <v>0</v>
      </c>
      <c r="BB30" s="1253">
        <f>+'Table 5C1R-Iberville'!AC33</f>
        <v>0</v>
      </c>
      <c r="BC30" s="1253">
        <f>+'Table 5C1S-L.C. Coll Prep'!AC33</f>
        <v>0</v>
      </c>
      <c r="BD30" s="1253">
        <f>+'Table 5C1T-Northeast'!AC33</f>
        <v>0</v>
      </c>
      <c r="BE30" s="1253">
        <f>+'Table 5C1U-Acadiana Ren'!AC33</f>
        <v>0</v>
      </c>
      <c r="BF30" s="1253">
        <f>+'Table 5C1V-Laf Ren'!AC33</f>
        <v>0</v>
      </c>
      <c r="BG30" s="1253">
        <f>+'Table 5C1W-Willow'!AC33</f>
        <v>0</v>
      </c>
      <c r="BH30" s="1253">
        <f>'Table 5C2 - LA Virtual Admy'!AD32</f>
        <v>-85.562999999999988</v>
      </c>
      <c r="BI30" s="1253">
        <f>'Table 5C3 - LA Connections EBR'!AD32</f>
        <v>-35.651249999999997</v>
      </c>
      <c r="BJ30" s="1280">
        <f t="shared" si="55"/>
        <v>3043817.7857499998</v>
      </c>
      <c r="BK30" s="38"/>
    </row>
    <row r="31" spans="1:63" ht="14.4" customHeight="1">
      <c r="A31" s="1250">
        <v>28</v>
      </c>
      <c r="B31" s="1251" t="s">
        <v>108</v>
      </c>
      <c r="C31" s="1252">
        <f>'Table 2_State Distrib and Adjs'!AL34</f>
        <v>9692321</v>
      </c>
      <c r="D31" s="1253">
        <f>-'Table 5A3_OJJ'!W33</f>
        <v>-1776</v>
      </c>
      <c r="E31" s="1253"/>
      <c r="F31" s="1253"/>
      <c r="G31" s="1253">
        <f>-'Table 5C1A-Madison Prep'!AI34</f>
        <v>0</v>
      </c>
      <c r="H31" s="1253">
        <f>-'Table 5C1B-DArbonne'!AI34</f>
        <v>0</v>
      </c>
      <c r="I31" s="1253">
        <f>-'Table 5C1C-Intl_VIBE'!AI34</f>
        <v>0</v>
      </c>
      <c r="J31" s="1253">
        <f>-'Table 5C1D-NOMMA'!AI34</f>
        <v>0</v>
      </c>
      <c r="K31" s="1253">
        <f>-'Table 5C1E-LFNO'!AI34</f>
        <v>0</v>
      </c>
      <c r="L31" s="1253">
        <f>-'Table 5C1F-Lake Charles Charter'!AI34</f>
        <v>0</v>
      </c>
      <c r="M31" s="1253">
        <f>-'Table 5C1G-JS Clark Academy'!AI34</f>
        <v>-481</v>
      </c>
      <c r="N31" s="1253">
        <f>-'Table 5C1H-Southwest LA Charter'!AI34</f>
        <v>0</v>
      </c>
      <c r="O31" s="1253">
        <f>-'Table 5C1I-LA Key Academy'!AI34</f>
        <v>0</v>
      </c>
      <c r="P31" s="1253">
        <f>-'Table 5C1J-Jefferson Chamber'!AI34</f>
        <v>0</v>
      </c>
      <c r="Q31" s="1253">
        <f>-'Table 5C1K-Tallulah Charter'!AI34</f>
        <v>0</v>
      </c>
      <c r="R31" s="1253">
        <f>-'Table 5C1L-Northshore Charter'!AI34</f>
        <v>0</v>
      </c>
      <c r="S31" s="1253">
        <f>-'Table 5C1M-B.R. Charter'!AI34</f>
        <v>0</v>
      </c>
      <c r="T31" s="1253">
        <f>-'Table 5C1N-Delta Charter'!AI34</f>
        <v>0</v>
      </c>
      <c r="U31" s="1253">
        <f>-'Table 5C1O-Impact'!AI34</f>
        <v>0</v>
      </c>
      <c r="V31" s="1253">
        <f>-'Table 5C1P-Vision'!AI34</f>
        <v>0</v>
      </c>
      <c r="W31" s="1253">
        <f>-'Table 5C1Q-Advantage'!AI34</f>
        <v>0</v>
      </c>
      <c r="X31" s="1253">
        <f>-'Table 5C1R-Iberville'!AI34</f>
        <v>0</v>
      </c>
      <c r="Y31" s="1253">
        <f>-'Table 5C1S-L.C. Coll Prep'!AI34</f>
        <v>0</v>
      </c>
      <c r="Z31" s="1253">
        <f>-'Table 5C1T-Northeast'!AI34</f>
        <v>0</v>
      </c>
      <c r="AA31" s="1253">
        <f>-'Table 5C1U-Acadiana Ren'!AI34</f>
        <v>-267118</v>
      </c>
      <c r="AB31" s="1253">
        <f>-'Table 5C1V-Laf Ren'!AI34</f>
        <v>-254604</v>
      </c>
      <c r="AC31" s="1253">
        <f>-'Table 5C1W-Willow'!AI34</f>
        <v>-231021</v>
      </c>
      <c r="AD31" s="1253">
        <f>-'Table 5C2 - LA Virtual Admy'!AJ33</f>
        <v>-37685</v>
      </c>
      <c r="AE31" s="1253">
        <f>-'Table 5C3 - LA Connections EBR'!AJ33</f>
        <v>-22958</v>
      </c>
      <c r="AF31" s="1253">
        <f t="shared" si="53"/>
        <v>-815643</v>
      </c>
      <c r="AG31" s="1280">
        <f t="shared" si="54"/>
        <v>8876678</v>
      </c>
      <c r="AH31" s="1253"/>
      <c r="AI31" s="1253"/>
      <c r="AJ31" s="1253"/>
      <c r="AK31" s="1253">
        <f>'Table 5C1A-Madison Prep'!AC34</f>
        <v>0</v>
      </c>
      <c r="AL31" s="1253">
        <f>'Table 5C1B-DArbonne'!AC34</f>
        <v>0</v>
      </c>
      <c r="AM31" s="1253">
        <f>'Table 5C1C-Intl_VIBE'!AC34</f>
        <v>0</v>
      </c>
      <c r="AN31" s="1253">
        <f>'Table 5C1D-NOMMA'!AC34</f>
        <v>0</v>
      </c>
      <c r="AO31" s="1253">
        <f>'Table 5C1E-LFNO'!AC34</f>
        <v>0</v>
      </c>
      <c r="AP31" s="1253">
        <f>'Table 5C1F-Lake Charles Charter'!AC34</f>
        <v>0</v>
      </c>
      <c r="AQ31" s="1253">
        <f>'Table 5C1G-JS Clark Academy'!AC34</f>
        <v>-14.475</v>
      </c>
      <c r="AR31" s="1253">
        <f>'Table 5C1H-Southwest LA Charter'!AC34</f>
        <v>0</v>
      </c>
      <c r="AS31" s="1253">
        <f>'Table 5C1I-LA Key Academy'!AC34</f>
        <v>0</v>
      </c>
      <c r="AT31" s="1253">
        <f>'Table 5C1J-Jefferson Chamber'!AC34</f>
        <v>0</v>
      </c>
      <c r="AU31" s="1253">
        <f>'Table 5C1K-Tallulah Charter'!AC34</f>
        <v>0</v>
      </c>
      <c r="AV31" s="1253">
        <f>'Table 5C1L-Northshore Charter'!AC34</f>
        <v>0</v>
      </c>
      <c r="AW31" s="1253">
        <f>'Table 5C1M-B.R. Charter'!AC34</f>
        <v>0</v>
      </c>
      <c r="AX31" s="1253">
        <f>'Table 5C1N-Delta Charter'!AC34</f>
        <v>0</v>
      </c>
      <c r="AY31" s="1253">
        <f>'Table 5C1O-Impact'!AC34</f>
        <v>0</v>
      </c>
      <c r="AZ31" s="1253">
        <f>+'Table 5C1P-Vision'!AC34</f>
        <v>0</v>
      </c>
      <c r="BA31" s="1253">
        <f>+'Table 5C1Q-Advantage'!AC34</f>
        <v>0</v>
      </c>
      <c r="BB31" s="1253">
        <f>+'Table 5C1R-Iberville'!AC34</f>
        <v>0</v>
      </c>
      <c r="BC31" s="1253">
        <f>+'Table 5C1S-L.C. Coll Prep'!AC34</f>
        <v>0</v>
      </c>
      <c r="BD31" s="1253">
        <f>+'Table 5C1T-Northeast'!AC34</f>
        <v>0</v>
      </c>
      <c r="BE31" s="1253">
        <f>+'Table 5C1U-Acadiana Ren'!AC34</f>
        <v>-8033.625</v>
      </c>
      <c r="BF31" s="1253">
        <f>+'Table 5C1V-Laf Ren'!AC34</f>
        <v>-7657.2750000000005</v>
      </c>
      <c r="BG31" s="1253">
        <f>+'Table 5C1W-Willow'!AC34</f>
        <v>-6948</v>
      </c>
      <c r="BH31" s="1253">
        <f>'Table 5C2 - LA Virtual Admy'!AD33</f>
        <v>-1133.3924999999999</v>
      </c>
      <c r="BI31" s="1253">
        <f>'Table 5C3 - LA Connections EBR'!AD33</f>
        <v>-690.45749999999998</v>
      </c>
      <c r="BJ31" s="1280">
        <f t="shared" si="55"/>
        <v>8852200.7750000004</v>
      </c>
      <c r="BK31" s="38"/>
    </row>
    <row r="32" spans="1:63" ht="14.4" customHeight="1">
      <c r="A32" s="1250">
        <v>29</v>
      </c>
      <c r="B32" s="1251" t="s">
        <v>109</v>
      </c>
      <c r="C32" s="1252">
        <f>'Table 2_State Distrib and Adjs'!AL35</f>
        <v>5349744</v>
      </c>
      <c r="D32" s="1253">
        <f>-'Table 5A3_OJJ'!W34</f>
        <v>-2433</v>
      </c>
      <c r="E32" s="1253"/>
      <c r="F32" s="1253"/>
      <c r="G32" s="1253">
        <f>-'Table 5C1A-Madison Prep'!AI35</f>
        <v>0</v>
      </c>
      <c r="H32" s="1253">
        <f>-'Table 5C1B-DArbonne'!AI35</f>
        <v>0</v>
      </c>
      <c r="I32" s="1253">
        <f>-'Table 5C1C-Intl_VIBE'!AI35</f>
        <v>0</v>
      </c>
      <c r="J32" s="1253">
        <f>-'Table 5C1D-NOMMA'!AI35</f>
        <v>0</v>
      </c>
      <c r="K32" s="1253">
        <f>-'Table 5C1E-LFNO'!AI35</f>
        <v>-421</v>
      </c>
      <c r="L32" s="1253">
        <f>-'Table 5C1F-Lake Charles Charter'!AI35</f>
        <v>0</v>
      </c>
      <c r="M32" s="1253">
        <f>-'Table 5C1G-JS Clark Academy'!AI35</f>
        <v>0</v>
      </c>
      <c r="N32" s="1253">
        <f>-'Table 5C1H-Southwest LA Charter'!AI35</f>
        <v>0</v>
      </c>
      <c r="O32" s="1253">
        <f>-'Table 5C1I-LA Key Academy'!AI35</f>
        <v>0</v>
      </c>
      <c r="P32" s="1253">
        <f>-'Table 5C1J-Jefferson Chamber'!AI35</f>
        <v>0</v>
      </c>
      <c r="Q32" s="1253">
        <f>-'Table 5C1K-Tallulah Charter'!AI35</f>
        <v>0</v>
      </c>
      <c r="R32" s="1253">
        <f>-'Table 5C1L-Northshore Charter'!AI35</f>
        <v>0</v>
      </c>
      <c r="S32" s="1253">
        <f>-'Table 5C1M-B.R. Charter'!AI35</f>
        <v>0</v>
      </c>
      <c r="T32" s="1253">
        <f>-'Table 5C1N-Delta Charter'!AI35</f>
        <v>0</v>
      </c>
      <c r="U32" s="1253">
        <f>-'Table 5C1O-Impact'!AI35</f>
        <v>0</v>
      </c>
      <c r="V32" s="1253">
        <f>-'Table 5C1P-Vision'!AI35</f>
        <v>0</v>
      </c>
      <c r="W32" s="1253">
        <f>-'Table 5C1Q-Advantage'!AI35</f>
        <v>0</v>
      </c>
      <c r="X32" s="1253">
        <f>-'Table 5C1R-Iberville'!AI35</f>
        <v>0</v>
      </c>
      <c r="Y32" s="1253">
        <f>-'Table 5C1S-L.C. Coll Prep'!AI35</f>
        <v>0</v>
      </c>
      <c r="Z32" s="1253">
        <f>-'Table 5C1T-Northeast'!AI35</f>
        <v>0</v>
      </c>
      <c r="AA32" s="1253">
        <f>-'Table 5C1U-Acadiana Ren'!AI35</f>
        <v>0</v>
      </c>
      <c r="AB32" s="1253">
        <f>-'Table 5C1V-Laf Ren'!AI35</f>
        <v>0</v>
      </c>
      <c r="AC32" s="1253">
        <f>-'Table 5C1W-Willow'!AI35</f>
        <v>0</v>
      </c>
      <c r="AD32" s="1253">
        <f>-'Table 5C2 - LA Virtual Admy'!AJ34</f>
        <v>-9101</v>
      </c>
      <c r="AE32" s="1253">
        <f>-'Table 5C3 - LA Connections EBR'!AJ34</f>
        <v>-1138</v>
      </c>
      <c r="AF32" s="1253">
        <f t="shared" si="53"/>
        <v>-13093</v>
      </c>
      <c r="AG32" s="1280">
        <f t="shared" si="54"/>
        <v>5336651</v>
      </c>
      <c r="AH32" s="1253"/>
      <c r="AI32" s="1253"/>
      <c r="AJ32" s="1253"/>
      <c r="AK32" s="1253">
        <f>'Table 5C1A-Madison Prep'!AC35</f>
        <v>0</v>
      </c>
      <c r="AL32" s="1253">
        <f>'Table 5C1B-DArbonne'!AC35</f>
        <v>0</v>
      </c>
      <c r="AM32" s="1253">
        <f>'Table 5C1C-Intl_VIBE'!AC35</f>
        <v>0</v>
      </c>
      <c r="AN32" s="1253">
        <f>'Table 5C1D-NOMMA'!AC35</f>
        <v>0</v>
      </c>
      <c r="AO32" s="1253">
        <f>'Table 5C1E-LFNO'!AC35</f>
        <v>-12.672499999999999</v>
      </c>
      <c r="AP32" s="1253">
        <f>'Table 5C1F-Lake Charles Charter'!AC35</f>
        <v>0</v>
      </c>
      <c r="AQ32" s="1253">
        <f>'Table 5C1G-JS Clark Academy'!AC35</f>
        <v>0</v>
      </c>
      <c r="AR32" s="1253">
        <f>'Table 5C1H-Southwest LA Charter'!AC35</f>
        <v>0</v>
      </c>
      <c r="AS32" s="1253">
        <f>'Table 5C1I-LA Key Academy'!AC35</f>
        <v>0</v>
      </c>
      <c r="AT32" s="1253">
        <f>'Table 5C1J-Jefferson Chamber'!AC35</f>
        <v>0</v>
      </c>
      <c r="AU32" s="1253">
        <f>'Table 5C1K-Tallulah Charter'!AC35</f>
        <v>0</v>
      </c>
      <c r="AV32" s="1253">
        <f>'Table 5C1L-Northshore Charter'!AC35</f>
        <v>0</v>
      </c>
      <c r="AW32" s="1253">
        <f>'Table 5C1M-B.R. Charter'!AC35</f>
        <v>0</v>
      </c>
      <c r="AX32" s="1253">
        <f>'Table 5C1N-Delta Charter'!AC35</f>
        <v>0</v>
      </c>
      <c r="AY32" s="1253">
        <f>'Table 5C1O-Impact'!AC35</f>
        <v>0</v>
      </c>
      <c r="AZ32" s="1253">
        <f>+'Table 5C1P-Vision'!AC35</f>
        <v>0</v>
      </c>
      <c r="BA32" s="1253">
        <f>+'Table 5C1Q-Advantage'!AC35</f>
        <v>0</v>
      </c>
      <c r="BB32" s="1253">
        <f>+'Table 5C1R-Iberville'!AC35</f>
        <v>0</v>
      </c>
      <c r="BC32" s="1253">
        <f>+'Table 5C1S-L.C. Coll Prep'!AC35</f>
        <v>0</v>
      </c>
      <c r="BD32" s="1253">
        <f>+'Table 5C1T-Northeast'!AC35</f>
        <v>0</v>
      </c>
      <c r="BE32" s="1253">
        <f>+'Table 5C1U-Acadiana Ren'!AC35</f>
        <v>0</v>
      </c>
      <c r="BF32" s="1253">
        <f>+'Table 5C1V-Laf Ren'!AC35</f>
        <v>0</v>
      </c>
      <c r="BG32" s="1253">
        <f>+'Table 5C1W-Willow'!AC35</f>
        <v>0</v>
      </c>
      <c r="BH32" s="1253">
        <f>'Table 5C2 - LA Virtual Admy'!AD34</f>
        <v>-273.726</v>
      </c>
      <c r="BI32" s="1253">
        <f>'Table 5C3 - LA Connections EBR'!AD34</f>
        <v>-34.21575</v>
      </c>
      <c r="BJ32" s="1280">
        <f t="shared" si="55"/>
        <v>5336330.3857499994</v>
      </c>
      <c r="BK32" s="38"/>
    </row>
    <row r="33" spans="1:63" ht="14.4" customHeight="1">
      <c r="A33" s="85">
        <v>30</v>
      </c>
      <c r="B33" s="207" t="s">
        <v>110</v>
      </c>
      <c r="C33" s="209">
        <f>'Table 2_State Distrib and Adjs'!AL36</f>
        <v>1341326</v>
      </c>
      <c r="D33" s="219">
        <f>-'Table 5A3_OJJ'!W35</f>
        <v>-142</v>
      </c>
      <c r="E33" s="219"/>
      <c r="F33" s="219"/>
      <c r="G33" s="219">
        <f>-'Table 5C1A-Madison Prep'!AI36</f>
        <v>0</v>
      </c>
      <c r="H33" s="219">
        <f>-'Table 5C1B-DArbonne'!AI36</f>
        <v>0</v>
      </c>
      <c r="I33" s="219">
        <f>-'Table 5C1C-Intl_VIBE'!AI36</f>
        <v>0</v>
      </c>
      <c r="J33" s="219">
        <f>-'Table 5C1D-NOMMA'!AI36</f>
        <v>0</v>
      </c>
      <c r="K33" s="219">
        <f>-'Table 5C1E-LFNO'!AI36</f>
        <v>0</v>
      </c>
      <c r="L33" s="219">
        <f>-'Table 5C1F-Lake Charles Charter'!AI36</f>
        <v>0</v>
      </c>
      <c r="M33" s="219">
        <f>-'Table 5C1G-JS Clark Academy'!AI36</f>
        <v>0</v>
      </c>
      <c r="N33" s="219">
        <f>-'Table 5C1H-Southwest LA Charter'!AI36</f>
        <v>0</v>
      </c>
      <c r="O33" s="219">
        <f>-'Table 5C1I-LA Key Academy'!AI36</f>
        <v>0</v>
      </c>
      <c r="P33" s="219">
        <f>-'Table 5C1J-Jefferson Chamber'!AI36</f>
        <v>0</v>
      </c>
      <c r="Q33" s="219">
        <f>-'Table 5C1K-Tallulah Charter'!AI36</f>
        <v>0</v>
      </c>
      <c r="R33" s="219">
        <f>-'Table 5C1L-Northshore Charter'!AI36</f>
        <v>0</v>
      </c>
      <c r="S33" s="219">
        <f>-'Table 5C1M-B.R. Charter'!AI36</f>
        <v>0</v>
      </c>
      <c r="T33" s="219">
        <f>-'Table 5C1N-Delta Charter'!AI36</f>
        <v>0</v>
      </c>
      <c r="U33" s="219">
        <f>-'Table 5C1O-Impact'!AI36</f>
        <v>0</v>
      </c>
      <c r="V33" s="219">
        <f>-'Table 5C1P-Vision'!AI36</f>
        <v>0</v>
      </c>
      <c r="W33" s="219">
        <f>-'Table 5C1Q-Advantage'!AI36</f>
        <v>0</v>
      </c>
      <c r="X33" s="219">
        <f>-'Table 5C1R-Iberville'!AI36</f>
        <v>0</v>
      </c>
      <c r="Y33" s="219">
        <f>-'Table 5C1S-L.C. Coll Prep'!AI36</f>
        <v>0</v>
      </c>
      <c r="Z33" s="219">
        <f>-'Table 5C1T-Northeast'!AI36</f>
        <v>0</v>
      </c>
      <c r="AA33" s="219">
        <f>-'Table 5C1U-Acadiana Ren'!AI36</f>
        <v>0</v>
      </c>
      <c r="AB33" s="219">
        <f>-'Table 5C1V-Laf Ren'!AI36</f>
        <v>0</v>
      </c>
      <c r="AC33" s="219">
        <f>-'Table 5C1W-Willow'!AI36</f>
        <v>0</v>
      </c>
      <c r="AD33" s="219">
        <f>-'Table 5C2 - LA Virtual Admy'!AJ35</f>
        <v>-1350</v>
      </c>
      <c r="AE33" s="219">
        <f>-'Table 5C3 - LA Connections EBR'!AJ35</f>
        <v>-810</v>
      </c>
      <c r="AF33" s="219">
        <f t="shared" si="53"/>
        <v>-2302</v>
      </c>
      <c r="AG33" s="364">
        <f t="shared" si="54"/>
        <v>1339024</v>
      </c>
      <c r="AH33" s="219"/>
      <c r="AI33" s="219"/>
      <c r="AJ33" s="219"/>
      <c r="AK33" s="219">
        <f>'Table 5C1A-Madison Prep'!AC36</f>
        <v>0</v>
      </c>
      <c r="AL33" s="219">
        <f>'Table 5C1B-DArbonne'!AC36</f>
        <v>0</v>
      </c>
      <c r="AM33" s="219">
        <f>'Table 5C1C-Intl_VIBE'!AC36</f>
        <v>0</v>
      </c>
      <c r="AN33" s="219">
        <f>'Table 5C1D-NOMMA'!AC36</f>
        <v>0</v>
      </c>
      <c r="AO33" s="219">
        <f>'Table 5C1E-LFNO'!AC36</f>
        <v>0</v>
      </c>
      <c r="AP33" s="219">
        <f>'Table 5C1F-Lake Charles Charter'!AC36</f>
        <v>0</v>
      </c>
      <c r="AQ33" s="219">
        <f>'Table 5C1G-JS Clark Academy'!AC36</f>
        <v>0</v>
      </c>
      <c r="AR33" s="219">
        <f>'Table 5C1H-Southwest LA Charter'!AC36</f>
        <v>0</v>
      </c>
      <c r="AS33" s="219">
        <f>'Table 5C1I-LA Key Academy'!AC36</f>
        <v>0</v>
      </c>
      <c r="AT33" s="219">
        <f>'Table 5C1J-Jefferson Chamber'!AC36</f>
        <v>0</v>
      </c>
      <c r="AU33" s="219">
        <f>'Table 5C1K-Tallulah Charter'!AC36</f>
        <v>0</v>
      </c>
      <c r="AV33" s="219">
        <f>'Table 5C1L-Northshore Charter'!AC36</f>
        <v>0</v>
      </c>
      <c r="AW33" s="219">
        <f>'Table 5C1M-B.R. Charter'!AC36</f>
        <v>0</v>
      </c>
      <c r="AX33" s="219">
        <f>'Table 5C1N-Delta Charter'!AC36</f>
        <v>0</v>
      </c>
      <c r="AY33" s="219">
        <f>'Table 5C1O-Impact'!AC36</f>
        <v>0</v>
      </c>
      <c r="AZ33" s="219">
        <f>+'Table 5C1P-Vision'!AC36</f>
        <v>0</v>
      </c>
      <c r="BA33" s="219">
        <f>+'Table 5C1Q-Advantage'!AC36</f>
        <v>0</v>
      </c>
      <c r="BB33" s="219">
        <f>+'Table 5C1R-Iberville'!AC36</f>
        <v>0</v>
      </c>
      <c r="BC33" s="219">
        <f>+'Table 5C1S-L.C. Coll Prep'!AC36</f>
        <v>0</v>
      </c>
      <c r="BD33" s="219">
        <f>+'Table 5C1T-Northeast'!AC36</f>
        <v>0</v>
      </c>
      <c r="BE33" s="219">
        <f>+'Table 5C1U-Acadiana Ren'!AC36</f>
        <v>0</v>
      </c>
      <c r="BF33" s="219">
        <f>+'Table 5C1V-Laf Ren'!AC36</f>
        <v>0</v>
      </c>
      <c r="BG33" s="219">
        <f>+'Table 5C1W-Willow'!AC36</f>
        <v>0</v>
      </c>
      <c r="BH33" s="219">
        <f>'Table 5C2 - LA Virtual Admy'!AD35</f>
        <v>-40.60125</v>
      </c>
      <c r="BI33" s="219">
        <f>'Table 5C3 - LA Connections EBR'!AD35</f>
        <v>-24.360749999999999</v>
      </c>
      <c r="BJ33" s="364">
        <f t="shared" si="55"/>
        <v>1338959.0379999999</v>
      </c>
      <c r="BK33" s="38"/>
    </row>
    <row r="34" spans="1:63" ht="14.4" customHeight="1">
      <c r="A34" s="1250">
        <v>31</v>
      </c>
      <c r="B34" s="1251" t="s">
        <v>111</v>
      </c>
      <c r="C34" s="1252">
        <f>'Table 2_State Distrib and Adjs'!AL37</f>
        <v>2728674</v>
      </c>
      <c r="D34" s="1253">
        <f>-'Table 5A3_OJJ'!W36</f>
        <v>-453</v>
      </c>
      <c r="E34" s="1253"/>
      <c r="F34" s="1253"/>
      <c r="G34" s="1253">
        <f>-'Table 5C1A-Madison Prep'!AI37</f>
        <v>0</v>
      </c>
      <c r="H34" s="1253">
        <f>-'Table 5C1B-DArbonne'!AI37</f>
        <v>-5030</v>
      </c>
      <c r="I34" s="1253">
        <f>-'Table 5C1C-Intl_VIBE'!AI37</f>
        <v>0</v>
      </c>
      <c r="J34" s="1253">
        <f>-'Table 5C1D-NOMMA'!AI37</f>
        <v>0</v>
      </c>
      <c r="K34" s="1253">
        <f>-'Table 5C1E-LFNO'!AI37</f>
        <v>0</v>
      </c>
      <c r="L34" s="1253">
        <f>-'Table 5C1F-Lake Charles Charter'!AI37</f>
        <v>0</v>
      </c>
      <c r="M34" s="1253">
        <f>-'Table 5C1G-JS Clark Academy'!AI37</f>
        <v>0</v>
      </c>
      <c r="N34" s="1253">
        <f>-'Table 5C1H-Southwest LA Charter'!AI37</f>
        <v>0</v>
      </c>
      <c r="O34" s="1253">
        <f>-'Table 5C1I-LA Key Academy'!AI37</f>
        <v>0</v>
      </c>
      <c r="P34" s="1253">
        <f>-'Table 5C1J-Jefferson Chamber'!AI37</f>
        <v>0</v>
      </c>
      <c r="Q34" s="1253">
        <f>-'Table 5C1K-Tallulah Charter'!AI37</f>
        <v>0</v>
      </c>
      <c r="R34" s="1253">
        <f>-'Table 5C1L-Northshore Charter'!AI37</f>
        <v>0</v>
      </c>
      <c r="S34" s="1253">
        <f>-'Table 5C1M-B.R. Charter'!AI37</f>
        <v>0</v>
      </c>
      <c r="T34" s="1253">
        <f>-'Table 5C1N-Delta Charter'!AI37</f>
        <v>0</v>
      </c>
      <c r="U34" s="1253">
        <f>-'Table 5C1O-Impact'!AI37</f>
        <v>0</v>
      </c>
      <c r="V34" s="1253">
        <f>-'Table 5C1P-Vision'!AI37</f>
        <v>0</v>
      </c>
      <c r="W34" s="1253">
        <f>-'Table 5C1Q-Advantage'!AI37</f>
        <v>0</v>
      </c>
      <c r="X34" s="1253">
        <f>-'Table 5C1R-Iberville'!AI37</f>
        <v>0</v>
      </c>
      <c r="Y34" s="1253">
        <f>-'Table 5C1S-L.C. Coll Prep'!AI37</f>
        <v>0</v>
      </c>
      <c r="Z34" s="1253">
        <f>-'Table 5C1T-Northeast'!AI37</f>
        <v>0</v>
      </c>
      <c r="AA34" s="1253">
        <f>-'Table 5C1U-Acadiana Ren'!AI37</f>
        <v>0</v>
      </c>
      <c r="AB34" s="1253">
        <f>-'Table 5C1V-Laf Ren'!AI37</f>
        <v>0</v>
      </c>
      <c r="AC34" s="1253">
        <f>-'Table 5C1W-Willow'!AI37</f>
        <v>0</v>
      </c>
      <c r="AD34" s="1253">
        <f>-'Table 5C2 - LA Virtual Admy'!AJ36</f>
        <v>-1886</v>
      </c>
      <c r="AE34" s="1253">
        <f>-'Table 5C3 - LA Connections EBR'!AJ36</f>
        <v>-1132</v>
      </c>
      <c r="AF34" s="1253">
        <f t="shared" si="53"/>
        <v>-8501</v>
      </c>
      <c r="AG34" s="1280">
        <f t="shared" si="54"/>
        <v>2720173</v>
      </c>
      <c r="AH34" s="1253"/>
      <c r="AI34" s="1253"/>
      <c r="AJ34" s="1253"/>
      <c r="AK34" s="1253">
        <f>'Table 5C1A-Madison Prep'!AC37</f>
        <v>0</v>
      </c>
      <c r="AL34" s="1253">
        <f>'Table 5C1B-DArbonne'!AC37</f>
        <v>-151.29</v>
      </c>
      <c r="AM34" s="1253">
        <f>'Table 5C1C-Intl_VIBE'!AC37</f>
        <v>0</v>
      </c>
      <c r="AN34" s="1253">
        <f>'Table 5C1D-NOMMA'!AC37</f>
        <v>0</v>
      </c>
      <c r="AO34" s="1253">
        <f>'Table 5C1E-LFNO'!AC37</f>
        <v>0</v>
      </c>
      <c r="AP34" s="1253">
        <f>'Table 5C1F-Lake Charles Charter'!AC37</f>
        <v>0</v>
      </c>
      <c r="AQ34" s="1253">
        <f>'Table 5C1G-JS Clark Academy'!AC37</f>
        <v>0</v>
      </c>
      <c r="AR34" s="1253">
        <f>'Table 5C1H-Southwest LA Charter'!AC37</f>
        <v>0</v>
      </c>
      <c r="AS34" s="1253">
        <f>'Table 5C1I-LA Key Academy'!AC37</f>
        <v>0</v>
      </c>
      <c r="AT34" s="1253">
        <f>'Table 5C1J-Jefferson Chamber'!AC37</f>
        <v>0</v>
      </c>
      <c r="AU34" s="1253">
        <f>'Table 5C1K-Tallulah Charter'!AC37</f>
        <v>0</v>
      </c>
      <c r="AV34" s="1253">
        <f>'Table 5C1L-Northshore Charter'!AC37</f>
        <v>0</v>
      </c>
      <c r="AW34" s="1253">
        <f>'Table 5C1M-B.R. Charter'!AC37</f>
        <v>0</v>
      </c>
      <c r="AX34" s="1253">
        <f>'Table 5C1N-Delta Charter'!AC37</f>
        <v>0</v>
      </c>
      <c r="AY34" s="1253">
        <f>'Table 5C1O-Impact'!AC37</f>
        <v>0</v>
      </c>
      <c r="AZ34" s="1253">
        <f>+'Table 5C1P-Vision'!AC37</f>
        <v>0</v>
      </c>
      <c r="BA34" s="1253">
        <f>+'Table 5C1Q-Advantage'!AC37</f>
        <v>0</v>
      </c>
      <c r="BB34" s="1253">
        <f>+'Table 5C1R-Iberville'!AC37</f>
        <v>0</v>
      </c>
      <c r="BC34" s="1253">
        <f>+'Table 5C1S-L.C. Coll Prep'!AC37</f>
        <v>0</v>
      </c>
      <c r="BD34" s="1253">
        <f>+'Table 5C1T-Northeast'!AC37</f>
        <v>0</v>
      </c>
      <c r="BE34" s="1253">
        <f>+'Table 5C1U-Acadiana Ren'!AC37</f>
        <v>0</v>
      </c>
      <c r="BF34" s="1253">
        <f>+'Table 5C1V-Laf Ren'!AC37</f>
        <v>0</v>
      </c>
      <c r="BG34" s="1253">
        <f>+'Table 5C1W-Willow'!AC37</f>
        <v>0</v>
      </c>
      <c r="BH34" s="1253">
        <f>'Table 5C2 - LA Virtual Admy'!AD36</f>
        <v>-56.733750000000001</v>
      </c>
      <c r="BI34" s="1253">
        <f>'Table 5C3 - LA Connections EBR'!AD36</f>
        <v>-34.04025</v>
      </c>
      <c r="BJ34" s="1280">
        <f t="shared" si="55"/>
        <v>2719930.9359999998</v>
      </c>
      <c r="BK34" s="38"/>
    </row>
    <row r="35" spans="1:63" ht="14.4" customHeight="1">
      <c r="A35" s="1250">
        <v>32</v>
      </c>
      <c r="B35" s="1251" t="s">
        <v>112</v>
      </c>
      <c r="C35" s="1252">
        <f>'Table 2_State Distrib and Adjs'!AL38</f>
        <v>12976009</v>
      </c>
      <c r="D35" s="1253">
        <f>-'Table 5A3_OJJ'!W37</f>
        <v>-677</v>
      </c>
      <c r="E35" s="1253"/>
      <c r="F35" s="1253"/>
      <c r="G35" s="1253">
        <f>-'Table 5C1A-Madison Prep'!AI38</f>
        <v>0</v>
      </c>
      <c r="H35" s="1253">
        <f>-'Table 5C1B-DArbonne'!AI38</f>
        <v>0</v>
      </c>
      <c r="I35" s="1253">
        <f>-'Table 5C1C-Intl_VIBE'!AI38</f>
        <v>0</v>
      </c>
      <c r="J35" s="1253">
        <f>-'Table 5C1D-NOMMA'!AI38</f>
        <v>0</v>
      </c>
      <c r="K35" s="1253">
        <f>-'Table 5C1E-LFNO'!AI38</f>
        <v>0</v>
      </c>
      <c r="L35" s="1253">
        <f>-'Table 5C1F-Lake Charles Charter'!AI38</f>
        <v>0</v>
      </c>
      <c r="M35" s="1253">
        <f>-'Table 5C1G-JS Clark Academy'!AI38</f>
        <v>0</v>
      </c>
      <c r="N35" s="1253">
        <f>-'Table 5C1H-Southwest LA Charter'!AI38</f>
        <v>0</v>
      </c>
      <c r="O35" s="1253">
        <f>-'Table 5C1I-LA Key Academy'!AI38</f>
        <v>-882</v>
      </c>
      <c r="P35" s="1253">
        <f>-'Table 5C1J-Jefferson Chamber'!AI38</f>
        <v>0</v>
      </c>
      <c r="Q35" s="1253">
        <f>-'Table 5C1K-Tallulah Charter'!AI38</f>
        <v>0</v>
      </c>
      <c r="R35" s="1253">
        <f>-'Table 5C1L-Northshore Charter'!AI38</f>
        <v>0</v>
      </c>
      <c r="S35" s="1253">
        <f>-'Table 5C1M-B.R. Charter'!AI38</f>
        <v>-176</v>
      </c>
      <c r="T35" s="1253">
        <f>-'Table 5C1N-Delta Charter'!AI38</f>
        <v>0</v>
      </c>
      <c r="U35" s="1253">
        <f>-'Table 5C1O-Impact'!AI38</f>
        <v>0</v>
      </c>
      <c r="V35" s="1253">
        <f>-'Table 5C1P-Vision'!AI38</f>
        <v>0</v>
      </c>
      <c r="W35" s="1253">
        <f>-'Table 5C1Q-Advantage'!AI38</f>
        <v>0</v>
      </c>
      <c r="X35" s="1253">
        <f>-'Table 5C1R-Iberville'!AI38</f>
        <v>0</v>
      </c>
      <c r="Y35" s="1253">
        <f>-'Table 5C1S-L.C. Coll Prep'!AI38</f>
        <v>0</v>
      </c>
      <c r="Z35" s="1253">
        <f>-'Table 5C1T-Northeast'!AI38</f>
        <v>0</v>
      </c>
      <c r="AA35" s="1253">
        <f>-'Table 5C1U-Acadiana Ren'!AI38</f>
        <v>0</v>
      </c>
      <c r="AB35" s="1253">
        <f>-'Table 5C1V-Laf Ren'!AI38</f>
        <v>0</v>
      </c>
      <c r="AC35" s="1253">
        <f>-'Table 5C1W-Willow'!AI38</f>
        <v>0</v>
      </c>
      <c r="AD35" s="1253">
        <f>-'Table 5C2 - LA Virtual Admy'!AJ37</f>
        <v>-12536</v>
      </c>
      <c r="AE35" s="1253">
        <f>-'Table 5C3 - LA Connections EBR'!AJ37</f>
        <v>-11583</v>
      </c>
      <c r="AF35" s="1253">
        <f t="shared" si="53"/>
        <v>-25854</v>
      </c>
      <c r="AG35" s="1280">
        <f t="shared" si="54"/>
        <v>12950155</v>
      </c>
      <c r="AH35" s="1253"/>
      <c r="AI35" s="1253"/>
      <c r="AJ35" s="1253"/>
      <c r="AK35" s="1253">
        <f>'Table 5C1A-Madison Prep'!AC38</f>
        <v>0</v>
      </c>
      <c r="AL35" s="1253">
        <f>'Table 5C1B-DArbonne'!AC38</f>
        <v>0</v>
      </c>
      <c r="AM35" s="1253">
        <f>'Table 5C1C-Intl_VIBE'!AC38</f>
        <v>0</v>
      </c>
      <c r="AN35" s="1253">
        <f>'Table 5C1D-NOMMA'!AC38</f>
        <v>0</v>
      </c>
      <c r="AO35" s="1253">
        <f>'Table 5C1E-LFNO'!AC38</f>
        <v>0</v>
      </c>
      <c r="AP35" s="1253">
        <f>'Table 5C1F-Lake Charles Charter'!AC38</f>
        <v>0</v>
      </c>
      <c r="AQ35" s="1253">
        <f>'Table 5C1G-JS Clark Academy'!AC38</f>
        <v>0</v>
      </c>
      <c r="AR35" s="1253">
        <f>'Table 5C1H-Southwest LA Charter'!AC38</f>
        <v>0</v>
      </c>
      <c r="AS35" s="1253">
        <f>'Table 5C1I-LA Key Academy'!AC38</f>
        <v>-26.512499999999999</v>
      </c>
      <c r="AT35" s="1253">
        <f>'Table 5C1J-Jefferson Chamber'!AC38</f>
        <v>0</v>
      </c>
      <c r="AU35" s="1253">
        <f>'Table 5C1K-Tallulah Charter'!AC38</f>
        <v>0</v>
      </c>
      <c r="AV35" s="1253">
        <f>'Table 5C1L-Northshore Charter'!AC38</f>
        <v>0</v>
      </c>
      <c r="AW35" s="1253">
        <f>'Table 5C1M-B.R. Charter'!AC38</f>
        <v>-5.3025000000000002</v>
      </c>
      <c r="AX35" s="1253">
        <f>'Table 5C1N-Delta Charter'!AC38</f>
        <v>0</v>
      </c>
      <c r="AY35" s="1253">
        <f>'Table 5C1O-Impact'!AC38</f>
        <v>0</v>
      </c>
      <c r="AZ35" s="1253">
        <f>+'Table 5C1P-Vision'!AC38</f>
        <v>0</v>
      </c>
      <c r="BA35" s="1253">
        <f>+'Table 5C1Q-Advantage'!AC38</f>
        <v>0</v>
      </c>
      <c r="BB35" s="1253">
        <f>+'Table 5C1R-Iberville'!AC38</f>
        <v>0</v>
      </c>
      <c r="BC35" s="1253">
        <f>+'Table 5C1S-L.C. Coll Prep'!AC38</f>
        <v>0</v>
      </c>
      <c r="BD35" s="1253">
        <f>+'Table 5C1T-Northeast'!AC38</f>
        <v>0</v>
      </c>
      <c r="BE35" s="1253">
        <f>+'Table 5C1U-Acadiana Ren'!AC38</f>
        <v>0</v>
      </c>
      <c r="BF35" s="1253">
        <f>+'Table 5C1V-Laf Ren'!AC38</f>
        <v>0</v>
      </c>
      <c r="BG35" s="1253">
        <f>+'Table 5C1W-Willow'!AC38</f>
        <v>0</v>
      </c>
      <c r="BH35" s="1253">
        <f>'Table 5C2 - LA Virtual Admy'!AD37</f>
        <v>-377.00775000000004</v>
      </c>
      <c r="BI35" s="1253">
        <f>'Table 5C3 - LA Connections EBR'!AD37</f>
        <v>-348.37425000000002</v>
      </c>
      <c r="BJ35" s="1280">
        <f t="shared" si="55"/>
        <v>12949397.802999999</v>
      </c>
      <c r="BK35" s="38"/>
    </row>
    <row r="36" spans="1:63" ht="14.4" customHeight="1">
      <c r="A36" s="1250">
        <v>33</v>
      </c>
      <c r="B36" s="1251" t="s">
        <v>113</v>
      </c>
      <c r="C36" s="1252">
        <f>'Table 2_State Distrib and Adjs'!AL39</f>
        <v>717943</v>
      </c>
      <c r="D36" s="1253">
        <f>-'Table 5A3_OJJ'!W38</f>
        <v>-30</v>
      </c>
      <c r="E36" s="1253"/>
      <c r="F36" s="1253"/>
      <c r="G36" s="1253">
        <f>-'Table 5C1A-Madison Prep'!AI39</f>
        <v>0</v>
      </c>
      <c r="H36" s="1253">
        <f>-'Table 5C1B-DArbonne'!AI39</f>
        <v>0</v>
      </c>
      <c r="I36" s="1253">
        <f>-'Table 5C1C-Intl_VIBE'!AI39</f>
        <v>0</v>
      </c>
      <c r="J36" s="1253">
        <f>-'Table 5C1D-NOMMA'!AI39</f>
        <v>0</v>
      </c>
      <c r="K36" s="1253">
        <f>-'Table 5C1E-LFNO'!AI39</f>
        <v>0</v>
      </c>
      <c r="L36" s="1253">
        <f>-'Table 5C1F-Lake Charles Charter'!AI39</f>
        <v>0</v>
      </c>
      <c r="M36" s="1253">
        <f>-'Table 5C1G-JS Clark Academy'!AI39</f>
        <v>0</v>
      </c>
      <c r="N36" s="1253">
        <f>-'Table 5C1H-Southwest LA Charter'!AI39</f>
        <v>0</v>
      </c>
      <c r="O36" s="1253">
        <f>-'Table 5C1I-LA Key Academy'!AI39</f>
        <v>0</v>
      </c>
      <c r="P36" s="1253">
        <f>-'Table 5C1J-Jefferson Chamber'!AI39</f>
        <v>0</v>
      </c>
      <c r="Q36" s="1253">
        <f>-'Table 5C1K-Tallulah Charter'!AI39</f>
        <v>-88371</v>
      </c>
      <c r="R36" s="1253">
        <f>-'Table 5C1L-Northshore Charter'!AI39</f>
        <v>0</v>
      </c>
      <c r="S36" s="1253">
        <f>-'Table 5C1M-B.R. Charter'!AI39</f>
        <v>0</v>
      </c>
      <c r="T36" s="1253">
        <f>-'Table 5C1N-Delta Charter'!AI39</f>
        <v>0</v>
      </c>
      <c r="U36" s="1253">
        <f>-'Table 5C1O-Impact'!AI39</f>
        <v>0</v>
      </c>
      <c r="V36" s="1253">
        <f>-'Table 5C1P-Vision'!AI39</f>
        <v>0</v>
      </c>
      <c r="W36" s="1253">
        <f>-'Table 5C1Q-Advantage'!AI39</f>
        <v>0</v>
      </c>
      <c r="X36" s="1253">
        <f>-'Table 5C1R-Iberville'!AI39</f>
        <v>0</v>
      </c>
      <c r="Y36" s="1253">
        <f>-'Table 5C1S-L.C. Coll Prep'!AI39</f>
        <v>0</v>
      </c>
      <c r="Z36" s="1253">
        <f>-'Table 5C1T-Northeast'!AI39</f>
        <v>0</v>
      </c>
      <c r="AA36" s="1253">
        <f>-'Table 5C1U-Acadiana Ren'!AI39</f>
        <v>0</v>
      </c>
      <c r="AB36" s="1253">
        <f>-'Table 5C1V-Laf Ren'!AI39</f>
        <v>0</v>
      </c>
      <c r="AC36" s="1253">
        <f>-'Table 5C1W-Willow'!AI39</f>
        <v>0</v>
      </c>
      <c r="AD36" s="1253">
        <f>-'Table 5C2 - LA Virtual Admy'!AJ38</f>
        <v>-541</v>
      </c>
      <c r="AE36" s="1253">
        <f>-'Table 5C3 - LA Connections EBR'!AJ38</f>
        <v>0</v>
      </c>
      <c r="AF36" s="1253">
        <f t="shared" ref="AF36:AF67" si="56">SUM(D36:AE36)</f>
        <v>-88942</v>
      </c>
      <c r="AG36" s="1280">
        <f t="shared" ref="AG36:AG67" si="57">C36+AF36</f>
        <v>629001</v>
      </c>
      <c r="AH36" s="1253"/>
      <c r="AI36" s="1253"/>
      <c r="AJ36" s="1253"/>
      <c r="AK36" s="1253">
        <f>'Table 5C1A-Madison Prep'!AC39</f>
        <v>0</v>
      </c>
      <c r="AL36" s="1253">
        <f>'Table 5C1B-DArbonne'!AC39</f>
        <v>0</v>
      </c>
      <c r="AM36" s="1253">
        <f>'Table 5C1C-Intl_VIBE'!AC39</f>
        <v>0</v>
      </c>
      <c r="AN36" s="1253">
        <f>'Table 5C1D-NOMMA'!AC39</f>
        <v>0</v>
      </c>
      <c r="AO36" s="1253">
        <f>'Table 5C1E-LFNO'!AC39</f>
        <v>0</v>
      </c>
      <c r="AP36" s="1253">
        <f>'Table 5C1F-Lake Charles Charter'!AC39</f>
        <v>0</v>
      </c>
      <c r="AQ36" s="1253">
        <f>'Table 5C1G-JS Clark Academy'!AC39</f>
        <v>0</v>
      </c>
      <c r="AR36" s="1253">
        <f>'Table 5C1H-Southwest LA Charter'!AC39</f>
        <v>0</v>
      </c>
      <c r="AS36" s="1253">
        <f>'Table 5C1I-LA Key Academy'!AC39</f>
        <v>0</v>
      </c>
      <c r="AT36" s="1253">
        <f>'Table 5C1J-Jefferson Chamber'!AC39</f>
        <v>0</v>
      </c>
      <c r="AU36" s="1253">
        <f>'Table 5C1K-Tallulah Charter'!AC39</f>
        <v>-2657.76</v>
      </c>
      <c r="AV36" s="1253">
        <f>'Table 5C1L-Northshore Charter'!AC39</f>
        <v>0</v>
      </c>
      <c r="AW36" s="1253">
        <f>'Table 5C1M-B.R. Charter'!AC39</f>
        <v>0</v>
      </c>
      <c r="AX36" s="1253">
        <f>'Table 5C1N-Delta Charter'!AC39</f>
        <v>0</v>
      </c>
      <c r="AY36" s="1253">
        <f>'Table 5C1O-Impact'!AC39</f>
        <v>0</v>
      </c>
      <c r="AZ36" s="1253">
        <f>+'Table 5C1P-Vision'!AC39</f>
        <v>0</v>
      </c>
      <c r="BA36" s="1253">
        <f>+'Table 5C1Q-Advantage'!AC39</f>
        <v>0</v>
      </c>
      <c r="BB36" s="1253">
        <f>+'Table 5C1R-Iberville'!AC39</f>
        <v>0</v>
      </c>
      <c r="BC36" s="1253">
        <f>+'Table 5C1S-L.C. Coll Prep'!AC39</f>
        <v>0</v>
      </c>
      <c r="BD36" s="1253">
        <f>+'Table 5C1T-Northeast'!AC39</f>
        <v>0</v>
      </c>
      <c r="BE36" s="1253">
        <f>+'Table 5C1U-Acadiana Ren'!AC39</f>
        <v>0</v>
      </c>
      <c r="BF36" s="1253">
        <f>+'Table 5C1V-Laf Ren'!AC39</f>
        <v>0</v>
      </c>
      <c r="BG36" s="1253">
        <f>+'Table 5C1W-Willow'!AC39</f>
        <v>0</v>
      </c>
      <c r="BH36" s="1253">
        <f>'Table 5C2 - LA Virtual Admy'!AD38</f>
        <v>-16.272000000000002</v>
      </c>
      <c r="BI36" s="1253">
        <f>'Table 5C3 - LA Connections EBR'!AD38</f>
        <v>0</v>
      </c>
      <c r="BJ36" s="1280">
        <f t="shared" ref="BJ36:BJ67" si="58">SUM(AG36:BI36)</f>
        <v>626326.96799999999</v>
      </c>
      <c r="BK36" s="38"/>
    </row>
    <row r="37" spans="1:63" ht="14.4" customHeight="1">
      <c r="A37" s="1250">
        <v>34</v>
      </c>
      <c r="B37" s="1251" t="s">
        <v>114</v>
      </c>
      <c r="C37" s="1252">
        <f>'Table 2_State Distrib and Adjs'!AL40</f>
        <v>2532654</v>
      </c>
      <c r="D37" s="1253">
        <f>-'Table 5A3_OJJ'!W39</f>
        <v>-217</v>
      </c>
      <c r="E37" s="1253"/>
      <c r="F37" s="1253"/>
      <c r="G37" s="1253">
        <f>-'Table 5C1A-Madison Prep'!AI40</f>
        <v>0</v>
      </c>
      <c r="H37" s="1253">
        <f>-'Table 5C1B-DArbonne'!AI40</f>
        <v>0</v>
      </c>
      <c r="I37" s="1253">
        <f>-'Table 5C1C-Intl_VIBE'!AI40</f>
        <v>0</v>
      </c>
      <c r="J37" s="1253">
        <f>-'Table 5C1D-NOMMA'!AI40</f>
        <v>0</v>
      </c>
      <c r="K37" s="1253">
        <f>-'Table 5C1E-LFNO'!AI40</f>
        <v>0</v>
      </c>
      <c r="L37" s="1253">
        <f>-'Table 5C1F-Lake Charles Charter'!AI40</f>
        <v>0</v>
      </c>
      <c r="M37" s="1253">
        <f>-'Table 5C1G-JS Clark Academy'!AI40</f>
        <v>0</v>
      </c>
      <c r="N37" s="1253">
        <f>-'Table 5C1H-Southwest LA Charter'!AI40</f>
        <v>0</v>
      </c>
      <c r="O37" s="1253">
        <f>-'Table 5C1I-LA Key Academy'!AI40</f>
        <v>0</v>
      </c>
      <c r="P37" s="1253">
        <f>-'Table 5C1J-Jefferson Chamber'!AI40</f>
        <v>0</v>
      </c>
      <c r="Q37" s="1253">
        <f>-'Table 5C1K-Tallulah Charter'!AI40</f>
        <v>0</v>
      </c>
      <c r="R37" s="1253">
        <f>-'Table 5C1L-Northshore Charter'!AI40</f>
        <v>0</v>
      </c>
      <c r="S37" s="1253">
        <f>-'Table 5C1M-B.R. Charter'!AI40</f>
        <v>0</v>
      </c>
      <c r="T37" s="1253">
        <f>-'Table 5C1N-Delta Charter'!AI40</f>
        <v>0</v>
      </c>
      <c r="U37" s="1253">
        <f>-'Table 5C1O-Impact'!AI40</f>
        <v>0</v>
      </c>
      <c r="V37" s="1253">
        <f>-'Table 5C1P-Vision'!AI40</f>
        <v>-4524</v>
      </c>
      <c r="W37" s="1253">
        <f>-'Table 5C1Q-Advantage'!AI40</f>
        <v>0</v>
      </c>
      <c r="X37" s="1253">
        <f>-'Table 5C1R-Iberville'!AI40</f>
        <v>0</v>
      </c>
      <c r="Y37" s="1253">
        <f>-'Table 5C1S-L.C. Coll Prep'!AI40</f>
        <v>0</v>
      </c>
      <c r="Z37" s="1253">
        <f>-'Table 5C1T-Northeast'!AI40</f>
        <v>0</v>
      </c>
      <c r="AA37" s="1253">
        <f>-'Table 5C1U-Acadiana Ren'!AI40</f>
        <v>0</v>
      </c>
      <c r="AB37" s="1253">
        <f>-'Table 5C1V-Laf Ren'!AI40</f>
        <v>0</v>
      </c>
      <c r="AC37" s="1253">
        <f>-'Table 5C1W-Willow'!AI40</f>
        <v>0</v>
      </c>
      <c r="AD37" s="1253">
        <f>-'Table 5C2 - LA Virtual Admy'!AJ39</f>
        <v>-4886</v>
      </c>
      <c r="AE37" s="1253">
        <f>-'Table 5C3 - LA Connections EBR'!AJ39</f>
        <v>-814</v>
      </c>
      <c r="AF37" s="1253">
        <f t="shared" si="56"/>
        <v>-10441</v>
      </c>
      <c r="AG37" s="1280">
        <f t="shared" si="57"/>
        <v>2522213</v>
      </c>
      <c r="AH37" s="1253"/>
      <c r="AI37" s="1253"/>
      <c r="AJ37" s="1253"/>
      <c r="AK37" s="1253">
        <f>'Table 5C1A-Madison Prep'!AC40</f>
        <v>0</v>
      </c>
      <c r="AL37" s="1253">
        <f>'Table 5C1B-DArbonne'!AC40</f>
        <v>0</v>
      </c>
      <c r="AM37" s="1253">
        <f>'Table 5C1C-Intl_VIBE'!AC40</f>
        <v>0</v>
      </c>
      <c r="AN37" s="1253">
        <f>'Table 5C1D-NOMMA'!AC40</f>
        <v>0</v>
      </c>
      <c r="AO37" s="1253">
        <f>'Table 5C1E-LFNO'!AC40</f>
        <v>0</v>
      </c>
      <c r="AP37" s="1253">
        <f>'Table 5C1F-Lake Charles Charter'!AC40</f>
        <v>0</v>
      </c>
      <c r="AQ37" s="1253">
        <f>'Table 5C1G-JS Clark Academy'!AC40</f>
        <v>0</v>
      </c>
      <c r="AR37" s="1253">
        <f>'Table 5C1H-Southwest LA Charter'!AC40</f>
        <v>0</v>
      </c>
      <c r="AS37" s="1253">
        <f>'Table 5C1I-LA Key Academy'!AC40</f>
        <v>0</v>
      </c>
      <c r="AT37" s="1253">
        <f>'Table 5C1J-Jefferson Chamber'!AC40</f>
        <v>0</v>
      </c>
      <c r="AU37" s="1253">
        <f>'Table 5C1K-Tallulah Charter'!AC40</f>
        <v>0</v>
      </c>
      <c r="AV37" s="1253">
        <f>'Table 5C1L-Northshore Charter'!AC40</f>
        <v>0</v>
      </c>
      <c r="AW37" s="1253">
        <f>'Table 5C1M-B.R. Charter'!AC40</f>
        <v>0</v>
      </c>
      <c r="AX37" s="1253">
        <f>'Table 5C1N-Delta Charter'!AC40</f>
        <v>0</v>
      </c>
      <c r="AY37" s="1253">
        <f>'Table 5C1O-Impact'!AC40</f>
        <v>0</v>
      </c>
      <c r="AZ37" s="1253">
        <f>+'Table 5C1P-Vision'!AC40</f>
        <v>-136.05000000000001</v>
      </c>
      <c r="BA37" s="1253">
        <f>+'Table 5C1Q-Advantage'!AC40</f>
        <v>0</v>
      </c>
      <c r="BB37" s="1253">
        <f>+'Table 5C1R-Iberville'!AC40</f>
        <v>0</v>
      </c>
      <c r="BC37" s="1253">
        <f>+'Table 5C1S-L.C. Coll Prep'!AC40</f>
        <v>0</v>
      </c>
      <c r="BD37" s="1253">
        <f>+'Table 5C1T-Northeast'!AC40</f>
        <v>0</v>
      </c>
      <c r="BE37" s="1253">
        <f>+'Table 5C1U-Acadiana Ren'!AC40</f>
        <v>0</v>
      </c>
      <c r="BF37" s="1253">
        <f>+'Table 5C1V-Laf Ren'!AC40</f>
        <v>0</v>
      </c>
      <c r="BG37" s="1253">
        <f>+'Table 5C1W-Willow'!AC40</f>
        <v>0</v>
      </c>
      <c r="BH37" s="1253">
        <f>'Table 5C2 - LA Virtual Admy'!AD39</f>
        <v>-146.93400000000003</v>
      </c>
      <c r="BI37" s="1253">
        <f>'Table 5C3 - LA Connections EBR'!AD39</f>
        <v>-24.489000000000001</v>
      </c>
      <c r="BJ37" s="1280">
        <f t="shared" si="58"/>
        <v>2521905.5270000002</v>
      </c>
      <c r="BK37" s="38"/>
    </row>
    <row r="38" spans="1:63" ht="14.4" customHeight="1">
      <c r="A38" s="85">
        <v>35</v>
      </c>
      <c r="B38" s="207" t="s">
        <v>115</v>
      </c>
      <c r="C38" s="209">
        <f>'Table 2_State Distrib and Adjs'!AL41</f>
        <v>3033784</v>
      </c>
      <c r="D38" s="219">
        <f>-'Table 5A3_OJJ'!W40</f>
        <v>-832</v>
      </c>
      <c r="E38" s="219"/>
      <c r="F38" s="219"/>
      <c r="G38" s="219">
        <f>-'Table 5C1A-Madison Prep'!AI41</f>
        <v>0</v>
      </c>
      <c r="H38" s="219">
        <f>-'Table 5C1B-DArbonne'!AI41</f>
        <v>0</v>
      </c>
      <c r="I38" s="219">
        <f>-'Table 5C1C-Intl_VIBE'!AI41</f>
        <v>0</v>
      </c>
      <c r="J38" s="219">
        <f>-'Table 5C1D-NOMMA'!AI41</f>
        <v>0</v>
      </c>
      <c r="K38" s="219">
        <f>-'Table 5C1E-LFNO'!AI41</f>
        <v>0</v>
      </c>
      <c r="L38" s="219">
        <f>-'Table 5C1F-Lake Charles Charter'!AI41</f>
        <v>0</v>
      </c>
      <c r="M38" s="219">
        <f>-'Table 5C1G-JS Clark Academy'!AI41</f>
        <v>0</v>
      </c>
      <c r="N38" s="219">
        <f>-'Table 5C1H-Southwest LA Charter'!AI41</f>
        <v>0</v>
      </c>
      <c r="O38" s="219">
        <f>-'Table 5C1I-LA Key Academy'!AI41</f>
        <v>0</v>
      </c>
      <c r="P38" s="219">
        <f>-'Table 5C1J-Jefferson Chamber'!AI41</f>
        <v>0</v>
      </c>
      <c r="Q38" s="219">
        <f>-'Table 5C1K-Tallulah Charter'!AI41</f>
        <v>0</v>
      </c>
      <c r="R38" s="219">
        <f>-'Table 5C1L-Northshore Charter'!AI41</f>
        <v>0</v>
      </c>
      <c r="S38" s="219">
        <f>-'Table 5C1M-B.R. Charter'!AI41</f>
        <v>0</v>
      </c>
      <c r="T38" s="219">
        <f>-'Table 5C1N-Delta Charter'!AI41</f>
        <v>-271</v>
      </c>
      <c r="U38" s="219">
        <f>-'Table 5C1O-Impact'!AI41</f>
        <v>0</v>
      </c>
      <c r="V38" s="219">
        <f>-'Table 5C1P-Vision'!AI41</f>
        <v>0</v>
      </c>
      <c r="W38" s="219">
        <f>-'Table 5C1Q-Advantage'!AI41</f>
        <v>0</v>
      </c>
      <c r="X38" s="219">
        <f>-'Table 5C1R-Iberville'!AI41</f>
        <v>0</v>
      </c>
      <c r="Y38" s="219">
        <f>-'Table 5C1S-L.C. Coll Prep'!AI41</f>
        <v>0</v>
      </c>
      <c r="Z38" s="219">
        <f>-'Table 5C1T-Northeast'!AI41</f>
        <v>0</v>
      </c>
      <c r="AA38" s="219">
        <f>-'Table 5C1U-Acadiana Ren'!AI41</f>
        <v>0</v>
      </c>
      <c r="AB38" s="219">
        <f>-'Table 5C1V-Laf Ren'!AI41</f>
        <v>0</v>
      </c>
      <c r="AC38" s="219">
        <f>-'Table 5C1W-Willow'!AI41</f>
        <v>0</v>
      </c>
      <c r="AD38" s="219">
        <f>-'Table 5C2 - LA Virtual Admy'!AJ40</f>
        <v>-4140</v>
      </c>
      <c r="AE38" s="219">
        <f>-'Table 5C3 - LA Connections EBR'!AJ40</f>
        <v>-4627</v>
      </c>
      <c r="AF38" s="219">
        <f t="shared" si="56"/>
        <v>-9870</v>
      </c>
      <c r="AG38" s="364">
        <f t="shared" si="57"/>
        <v>3023914</v>
      </c>
      <c r="AH38" s="219"/>
      <c r="AI38" s="219"/>
      <c r="AJ38" s="219"/>
      <c r="AK38" s="219">
        <f>'Table 5C1A-Madison Prep'!AC41</f>
        <v>0</v>
      </c>
      <c r="AL38" s="219">
        <f>'Table 5C1B-DArbonne'!AC41</f>
        <v>0</v>
      </c>
      <c r="AM38" s="219">
        <f>'Table 5C1C-Intl_VIBE'!AC41</f>
        <v>0</v>
      </c>
      <c r="AN38" s="219">
        <f>'Table 5C1D-NOMMA'!AC41</f>
        <v>0</v>
      </c>
      <c r="AO38" s="219">
        <f>'Table 5C1E-LFNO'!AC41</f>
        <v>0</v>
      </c>
      <c r="AP38" s="219">
        <f>'Table 5C1F-Lake Charles Charter'!AC41</f>
        <v>0</v>
      </c>
      <c r="AQ38" s="219">
        <f>'Table 5C1G-JS Clark Academy'!AC41</f>
        <v>0</v>
      </c>
      <c r="AR38" s="219">
        <f>'Table 5C1H-Southwest LA Charter'!AC41</f>
        <v>0</v>
      </c>
      <c r="AS38" s="219">
        <f>'Table 5C1I-LA Key Academy'!AC41</f>
        <v>0</v>
      </c>
      <c r="AT38" s="219">
        <f>'Table 5C1J-Jefferson Chamber'!AC41</f>
        <v>0</v>
      </c>
      <c r="AU38" s="219">
        <f>'Table 5C1K-Tallulah Charter'!AC41</f>
        <v>0</v>
      </c>
      <c r="AV38" s="219">
        <f>'Table 5C1L-Northshore Charter'!AC41</f>
        <v>0</v>
      </c>
      <c r="AW38" s="219">
        <f>'Table 5C1M-B.R. Charter'!AC41</f>
        <v>0</v>
      </c>
      <c r="AX38" s="219">
        <f>'Table 5C1N-Delta Charter'!AC41</f>
        <v>-8.1374999999999993</v>
      </c>
      <c r="AY38" s="219">
        <f>'Table 5C1O-Impact'!AC41</f>
        <v>0</v>
      </c>
      <c r="AZ38" s="219">
        <f>+'Table 5C1P-Vision'!AC41</f>
        <v>0</v>
      </c>
      <c r="BA38" s="219">
        <f>+'Table 5C1Q-Advantage'!AC41</f>
        <v>0</v>
      </c>
      <c r="BB38" s="219">
        <f>+'Table 5C1R-Iberville'!AC41</f>
        <v>0</v>
      </c>
      <c r="BC38" s="219">
        <f>+'Table 5C1S-L.C. Coll Prep'!AC41</f>
        <v>0</v>
      </c>
      <c r="BD38" s="219">
        <f>+'Table 5C1T-Northeast'!AC41</f>
        <v>0</v>
      </c>
      <c r="BE38" s="219">
        <f>+'Table 5C1U-Acadiana Ren'!AC41</f>
        <v>0</v>
      </c>
      <c r="BF38" s="219">
        <f>+'Table 5C1V-Laf Ren'!AC41</f>
        <v>0</v>
      </c>
      <c r="BG38" s="219">
        <f>+'Table 5C1W-Willow'!AC41</f>
        <v>0</v>
      </c>
      <c r="BH38" s="219">
        <f>'Table 5C2 - LA Virtual Admy'!AD40</f>
        <v>-124.50375</v>
      </c>
      <c r="BI38" s="219">
        <f>'Table 5C3 - LA Connections EBR'!AD40</f>
        <v>-139.15125</v>
      </c>
      <c r="BJ38" s="364">
        <f t="shared" si="58"/>
        <v>3023642.2074999996</v>
      </c>
      <c r="BK38" s="38"/>
    </row>
    <row r="39" spans="1:63" ht="14.4" customHeight="1">
      <c r="A39" s="1250">
        <v>36</v>
      </c>
      <c r="B39" s="1251" t="s">
        <v>116</v>
      </c>
      <c r="C39" s="1252">
        <f>'Table 2_State Distrib and Adjs'!AL42</f>
        <v>4416743</v>
      </c>
      <c r="D39" s="1253">
        <f>-'Table 5A3_OJJ'!W41</f>
        <v>-12498</v>
      </c>
      <c r="E39" s="1253"/>
      <c r="F39" s="1253">
        <f>-'Table 5B1_RSD_Orleans'!AR72+'Table 5B1_RSD_Orleans'!AR8</f>
        <v>-11024648</v>
      </c>
      <c r="G39" s="1253">
        <f>-'Table 5C1A-Madison Prep'!AI42</f>
        <v>0</v>
      </c>
      <c r="H39" s="1253">
        <f>-'Table 5C1B-DArbonne'!AI42</f>
        <v>0</v>
      </c>
      <c r="I39" s="1253">
        <f>-'Table 5C1C-Intl_VIBE'!AI42</f>
        <v>-154889</v>
      </c>
      <c r="J39" s="1253">
        <f>-'Table 5C1D-NOMMA'!AI42</f>
        <v>-71382</v>
      </c>
      <c r="K39" s="1253">
        <f>-'Table 5C1E-LFNO'!AI42</f>
        <v>-101651</v>
      </c>
      <c r="L39" s="1253">
        <f>-'Table 5C1F-Lake Charles Charter'!AI42</f>
        <v>0</v>
      </c>
      <c r="M39" s="1253">
        <f>-'Table 5C1G-JS Clark Academy'!AI42</f>
        <v>0</v>
      </c>
      <c r="N39" s="1253">
        <f>-'Table 5C1H-Southwest LA Charter'!AI42</f>
        <v>0</v>
      </c>
      <c r="O39" s="1253">
        <f>-'Table 5C1I-LA Key Academy'!AI42</f>
        <v>0</v>
      </c>
      <c r="P39" s="1253">
        <f>-'Table 5C1J-Jefferson Chamber'!AI42</f>
        <v>-904</v>
      </c>
      <c r="Q39" s="1253">
        <f>-'Table 5C1K-Tallulah Charter'!AI42</f>
        <v>0</v>
      </c>
      <c r="R39" s="1253">
        <f>-'Table 5C1L-Northshore Charter'!AI42</f>
        <v>0</v>
      </c>
      <c r="S39" s="1253">
        <f>-'Table 5C1M-B.R. Charter'!AI42</f>
        <v>0</v>
      </c>
      <c r="T39" s="1253">
        <f>-'Table 5C1N-Delta Charter'!AI42</f>
        <v>0</v>
      </c>
      <c r="U39" s="1253">
        <f>-'Table 5C1O-Impact'!AI42</f>
        <v>0</v>
      </c>
      <c r="V39" s="1253">
        <f>-'Table 5C1P-Vision'!AI42</f>
        <v>0</v>
      </c>
      <c r="W39" s="1253">
        <f>-'Table 5C1Q-Advantage'!AI42</f>
        <v>0</v>
      </c>
      <c r="X39" s="1253">
        <f>-'Table 5C1R-Iberville'!AI42</f>
        <v>0</v>
      </c>
      <c r="Y39" s="1253">
        <f>-'Table 5C1S-L.C. Coll Prep'!AI42</f>
        <v>0</v>
      </c>
      <c r="Z39" s="1253">
        <f>-'Table 5C1T-Northeast'!AI42</f>
        <v>0</v>
      </c>
      <c r="AA39" s="1253">
        <f>-'Table 5C1U-Acadiana Ren'!AI42</f>
        <v>0</v>
      </c>
      <c r="AB39" s="1253">
        <f>-'Table 5C1V-Laf Ren'!AI42</f>
        <v>0</v>
      </c>
      <c r="AC39" s="1253">
        <f>-'Table 5C1W-Willow'!AI42</f>
        <v>0</v>
      </c>
      <c r="AD39" s="1253">
        <f>-'Table 5C2 - LA Virtual Admy'!AJ41</f>
        <v>-26429</v>
      </c>
      <c r="AE39" s="1253">
        <f>-'Table 5C3 - LA Connections EBR'!AJ41</f>
        <v>-12605</v>
      </c>
      <c r="AF39" s="1253">
        <f t="shared" si="56"/>
        <v>-11405006</v>
      </c>
      <c r="AG39" s="1280">
        <f t="shared" si="57"/>
        <v>-6988263</v>
      </c>
      <c r="AH39" s="1253"/>
      <c r="AI39" s="1253"/>
      <c r="AJ39" s="1253">
        <f>'Table 5B1_RSD_Orleans'!AJ72</f>
        <v>-329935.38750000013</v>
      </c>
      <c r="AK39" s="1253">
        <f>'Table 5C1A-Madison Prep'!AC42</f>
        <v>0</v>
      </c>
      <c r="AL39" s="1253">
        <f>'Table 5C1B-DArbonne'!AC42</f>
        <v>0</v>
      </c>
      <c r="AM39" s="1253">
        <f>'Table 5C1C-Intl_VIBE'!AC42</f>
        <v>-4658.3249999999998</v>
      </c>
      <c r="AN39" s="1253">
        <f>'Table 5C1D-NOMMA'!AC42</f>
        <v>-2146.8249999999998</v>
      </c>
      <c r="AO39" s="1253">
        <f>'Table 5C1E-LFNO'!AC42</f>
        <v>-3057.1875</v>
      </c>
      <c r="AP39" s="1253">
        <f>'Table 5C1F-Lake Charles Charter'!AC42</f>
        <v>0</v>
      </c>
      <c r="AQ39" s="1253">
        <f>'Table 5C1G-JS Clark Academy'!AC42</f>
        <v>0</v>
      </c>
      <c r="AR39" s="1253">
        <f>'Table 5C1H-Southwest LA Charter'!AC42</f>
        <v>0</v>
      </c>
      <c r="AS39" s="1253">
        <f>'Table 5C1I-LA Key Academy'!AC42</f>
        <v>0</v>
      </c>
      <c r="AT39" s="1253">
        <f>'Table 5C1J-Jefferson Chamber'!AC42</f>
        <v>-27.175000000000001</v>
      </c>
      <c r="AU39" s="1253">
        <f>'Table 5C1K-Tallulah Charter'!AC42</f>
        <v>0</v>
      </c>
      <c r="AV39" s="1253">
        <f>'Table 5C1L-Northshore Charter'!AC42</f>
        <v>0</v>
      </c>
      <c r="AW39" s="1253">
        <f>'Table 5C1M-B.R. Charter'!AC42</f>
        <v>0</v>
      </c>
      <c r="AX39" s="1253">
        <f>'Table 5C1N-Delta Charter'!AC42</f>
        <v>0</v>
      </c>
      <c r="AY39" s="1253">
        <f>'Table 5C1O-Impact'!AC42</f>
        <v>0</v>
      </c>
      <c r="AZ39" s="1253">
        <f>+'Table 5C1P-Vision'!AC42</f>
        <v>0</v>
      </c>
      <c r="BA39" s="1253">
        <f>+'Table 5C1Q-Advantage'!AC42</f>
        <v>0</v>
      </c>
      <c r="BB39" s="1253">
        <f>+'Table 5C1R-Iberville'!AC42</f>
        <v>0</v>
      </c>
      <c r="BC39" s="1253">
        <f>+'Table 5C1S-L.C. Coll Prep'!AC42</f>
        <v>0</v>
      </c>
      <c r="BD39" s="1253">
        <f>+'Table 5C1T-Northeast'!AC42</f>
        <v>0</v>
      </c>
      <c r="BE39" s="1253">
        <f>+'Table 5C1U-Acadiana Ren'!AC42</f>
        <v>0</v>
      </c>
      <c r="BF39" s="1253">
        <f>+'Table 5C1V-Laf Ren'!AC42</f>
        <v>0</v>
      </c>
      <c r="BG39" s="1253">
        <f>+'Table 5C1W-Willow'!AC42</f>
        <v>0</v>
      </c>
      <c r="BH39" s="1253">
        <f>'Table 5C2 - LA Virtual Admy'!AD41</f>
        <v>-794.86874999999998</v>
      </c>
      <c r="BI39" s="1253">
        <f>'Table 5C3 - LA Connections EBR'!AD41</f>
        <v>-379.09125</v>
      </c>
      <c r="BJ39" s="1280">
        <f t="shared" si="58"/>
        <v>-7329261.8600000003</v>
      </c>
      <c r="BK39" s="361"/>
    </row>
    <row r="40" spans="1:63" ht="14.4" customHeight="1">
      <c r="A40" s="1250">
        <v>37</v>
      </c>
      <c r="B40" s="1251" t="s">
        <v>117</v>
      </c>
      <c r="C40" s="1252">
        <f>'Table 2_State Distrib and Adjs'!AL43</f>
        <v>10219838</v>
      </c>
      <c r="D40" s="1253">
        <f>-'Table 5A3_OJJ'!W42</f>
        <v>-1590</v>
      </c>
      <c r="E40" s="1253"/>
      <c r="F40" s="1253"/>
      <c r="G40" s="1253">
        <f>-'Table 5C1A-Madison Prep'!AI43</f>
        <v>0</v>
      </c>
      <c r="H40" s="1253">
        <f>-'Table 5C1B-DArbonne'!AI43</f>
        <v>-878</v>
      </c>
      <c r="I40" s="1253">
        <f>-'Table 5C1C-Intl_VIBE'!AI43</f>
        <v>0</v>
      </c>
      <c r="J40" s="1253">
        <f>-'Table 5C1D-NOMMA'!AI43</f>
        <v>0</v>
      </c>
      <c r="K40" s="1253">
        <f>-'Table 5C1E-LFNO'!AI43</f>
        <v>0</v>
      </c>
      <c r="L40" s="1253">
        <f>-'Table 5C1F-Lake Charles Charter'!AI43</f>
        <v>0</v>
      </c>
      <c r="M40" s="1253">
        <f>-'Table 5C1G-JS Clark Academy'!AI43</f>
        <v>0</v>
      </c>
      <c r="N40" s="1253">
        <f>-'Table 5C1H-Southwest LA Charter'!AI43</f>
        <v>0</v>
      </c>
      <c r="O40" s="1253">
        <f>-'Table 5C1I-LA Key Academy'!AI43</f>
        <v>0</v>
      </c>
      <c r="P40" s="1253">
        <f>-'Table 5C1J-Jefferson Chamber'!AI43</f>
        <v>0</v>
      </c>
      <c r="Q40" s="1253">
        <f>-'Table 5C1K-Tallulah Charter'!AI43</f>
        <v>0</v>
      </c>
      <c r="R40" s="1253">
        <f>-'Table 5C1L-Northshore Charter'!AI43</f>
        <v>0</v>
      </c>
      <c r="S40" s="1253">
        <f>-'Table 5C1M-B.R. Charter'!AI43</f>
        <v>0</v>
      </c>
      <c r="T40" s="1253">
        <f>-'Table 5C1N-Delta Charter'!AI43</f>
        <v>-585</v>
      </c>
      <c r="U40" s="1253">
        <f>-'Table 5C1O-Impact'!AI43</f>
        <v>0</v>
      </c>
      <c r="V40" s="1253">
        <f>-'Table 5C1P-Vision'!AI43</f>
        <v>-5852</v>
      </c>
      <c r="W40" s="1253">
        <f>-'Table 5C1Q-Advantage'!AI43</f>
        <v>0</v>
      </c>
      <c r="X40" s="1253">
        <f>-'Table 5C1R-Iberville'!AI43</f>
        <v>0</v>
      </c>
      <c r="Y40" s="1253">
        <f>-'Table 5C1S-L.C. Coll Prep'!AI43</f>
        <v>0</v>
      </c>
      <c r="Z40" s="1253">
        <f>-'Table 5C1T-Northeast'!AI43</f>
        <v>0</v>
      </c>
      <c r="AA40" s="1253">
        <f>-'Table 5C1U-Acadiana Ren'!AI43</f>
        <v>0</v>
      </c>
      <c r="AB40" s="1253">
        <f>-'Table 5C1V-Laf Ren'!AI43</f>
        <v>0</v>
      </c>
      <c r="AC40" s="1253">
        <f>-'Table 5C1W-Willow'!AI43</f>
        <v>0</v>
      </c>
      <c r="AD40" s="1253">
        <f>-'Table 5C2 - LA Virtual Admy'!AJ42</f>
        <v>-14220</v>
      </c>
      <c r="AE40" s="1253">
        <f>-'Table 5C3 - LA Connections EBR'!AJ42</f>
        <v>-7900</v>
      </c>
      <c r="AF40" s="1253">
        <f t="shared" si="56"/>
        <v>-31025</v>
      </c>
      <c r="AG40" s="1280">
        <f t="shared" si="57"/>
        <v>10188813</v>
      </c>
      <c r="AH40" s="1253"/>
      <c r="AI40" s="1253"/>
      <c r="AJ40" s="1253"/>
      <c r="AK40" s="1253">
        <f>'Table 5C1A-Madison Prep'!AC43</f>
        <v>0</v>
      </c>
      <c r="AL40" s="1253">
        <f>'Table 5C1B-DArbonne'!AC43</f>
        <v>-26.400000000000002</v>
      </c>
      <c r="AM40" s="1253">
        <f>'Table 5C1C-Intl_VIBE'!AC43</f>
        <v>0</v>
      </c>
      <c r="AN40" s="1253">
        <f>'Table 5C1D-NOMMA'!AC43</f>
        <v>0</v>
      </c>
      <c r="AO40" s="1253">
        <f>'Table 5C1E-LFNO'!AC43</f>
        <v>0</v>
      </c>
      <c r="AP40" s="1253">
        <f>'Table 5C1F-Lake Charles Charter'!AC43</f>
        <v>0</v>
      </c>
      <c r="AQ40" s="1253">
        <f>'Table 5C1G-JS Clark Academy'!AC43</f>
        <v>0</v>
      </c>
      <c r="AR40" s="1253">
        <f>'Table 5C1H-Southwest LA Charter'!AC43</f>
        <v>0</v>
      </c>
      <c r="AS40" s="1253">
        <f>'Table 5C1I-LA Key Academy'!AC43</f>
        <v>0</v>
      </c>
      <c r="AT40" s="1253">
        <f>'Table 5C1J-Jefferson Chamber'!AC43</f>
        <v>0</v>
      </c>
      <c r="AU40" s="1253">
        <f>'Table 5C1K-Tallulah Charter'!AC43</f>
        <v>0</v>
      </c>
      <c r="AV40" s="1253">
        <f>'Table 5C1L-Northshore Charter'!AC43</f>
        <v>0</v>
      </c>
      <c r="AW40" s="1253">
        <f>'Table 5C1M-B.R. Charter'!AC43</f>
        <v>0</v>
      </c>
      <c r="AX40" s="1253">
        <f>'Table 5C1N-Delta Charter'!AC43</f>
        <v>-17.600000000000001</v>
      </c>
      <c r="AY40" s="1253">
        <f>'Table 5C1O-Impact'!AC43</f>
        <v>0</v>
      </c>
      <c r="AZ40" s="1253">
        <f>+'Table 5C1P-Vision'!AC43</f>
        <v>-176</v>
      </c>
      <c r="BA40" s="1253">
        <f>+'Table 5C1Q-Advantage'!AC43</f>
        <v>0</v>
      </c>
      <c r="BB40" s="1253">
        <f>+'Table 5C1R-Iberville'!AC43</f>
        <v>0</v>
      </c>
      <c r="BC40" s="1253">
        <f>+'Table 5C1S-L.C. Coll Prep'!AC43</f>
        <v>0</v>
      </c>
      <c r="BD40" s="1253">
        <f>+'Table 5C1T-Northeast'!AC43</f>
        <v>0</v>
      </c>
      <c r="BE40" s="1253">
        <f>+'Table 5C1U-Acadiana Ren'!AC43</f>
        <v>0</v>
      </c>
      <c r="BF40" s="1253">
        <f>+'Table 5C1V-Laf Ren'!AC43</f>
        <v>0</v>
      </c>
      <c r="BG40" s="1253">
        <f>+'Table 5C1W-Willow'!AC43</f>
        <v>0</v>
      </c>
      <c r="BH40" s="1253">
        <f>'Table 5C2 - LA Virtual Admy'!AD42</f>
        <v>-427.68</v>
      </c>
      <c r="BI40" s="1253">
        <f>'Table 5C3 - LA Connections EBR'!AD42</f>
        <v>-237.6</v>
      </c>
      <c r="BJ40" s="1280">
        <f t="shared" si="58"/>
        <v>10187927.720000001</v>
      </c>
      <c r="BK40" s="361"/>
    </row>
    <row r="41" spans="1:63" ht="14.4" customHeight="1">
      <c r="A41" s="1250">
        <v>38</v>
      </c>
      <c r="B41" s="1251" t="s">
        <v>118</v>
      </c>
      <c r="C41" s="1252">
        <f>'Table 2_State Distrib and Adjs'!AL44</f>
        <v>943558</v>
      </c>
      <c r="D41" s="1253">
        <f>-'Table 5A3_OJJ'!W43</f>
        <v>-457</v>
      </c>
      <c r="E41" s="1253"/>
      <c r="F41" s="1253"/>
      <c r="G41" s="1253">
        <f>-'Table 5C1A-Madison Prep'!AI44</f>
        <v>0</v>
      </c>
      <c r="H41" s="1253">
        <f>-'Table 5C1B-DArbonne'!AI44</f>
        <v>0</v>
      </c>
      <c r="I41" s="1253">
        <f>-'Table 5C1C-Intl_VIBE'!AI44</f>
        <v>0</v>
      </c>
      <c r="J41" s="1253">
        <f>-'Table 5C1D-NOMMA'!AI44</f>
        <v>-6621</v>
      </c>
      <c r="K41" s="1253">
        <f>-'Table 5C1E-LFNO'!AI44</f>
        <v>-3784</v>
      </c>
      <c r="L41" s="1253">
        <f>-'Table 5C1F-Lake Charles Charter'!AI44</f>
        <v>0</v>
      </c>
      <c r="M41" s="1253">
        <f>-'Table 5C1G-JS Clark Academy'!AI44</f>
        <v>0</v>
      </c>
      <c r="N41" s="1253">
        <f>-'Table 5C1H-Southwest LA Charter'!AI44</f>
        <v>0</v>
      </c>
      <c r="O41" s="1253">
        <f>-'Table 5C1I-LA Key Academy'!AI44</f>
        <v>0</v>
      </c>
      <c r="P41" s="1253">
        <f>-'Table 5C1J-Jefferson Chamber'!AI44</f>
        <v>0</v>
      </c>
      <c r="Q41" s="1253">
        <f>-'Table 5C1K-Tallulah Charter'!AI44</f>
        <v>0</v>
      </c>
      <c r="R41" s="1253">
        <f>-'Table 5C1L-Northshore Charter'!AI44</f>
        <v>0</v>
      </c>
      <c r="S41" s="1253">
        <f>-'Table 5C1M-B.R. Charter'!AI44</f>
        <v>0</v>
      </c>
      <c r="T41" s="1253">
        <f>-'Table 5C1N-Delta Charter'!AI44</f>
        <v>0</v>
      </c>
      <c r="U41" s="1253">
        <f>-'Table 5C1O-Impact'!AI44</f>
        <v>0</v>
      </c>
      <c r="V41" s="1253">
        <f>-'Table 5C1P-Vision'!AI44</f>
        <v>0</v>
      </c>
      <c r="W41" s="1253">
        <f>-'Table 5C1Q-Advantage'!AI44</f>
        <v>0</v>
      </c>
      <c r="X41" s="1253">
        <f>-'Table 5C1R-Iberville'!AI44</f>
        <v>0</v>
      </c>
      <c r="Y41" s="1253">
        <f>-'Table 5C1S-L.C. Coll Prep'!AI44</f>
        <v>0</v>
      </c>
      <c r="Z41" s="1253">
        <f>-'Table 5C1T-Northeast'!AI44</f>
        <v>0</v>
      </c>
      <c r="AA41" s="1253">
        <f>-'Table 5C1U-Acadiana Ren'!AI44</f>
        <v>0</v>
      </c>
      <c r="AB41" s="1253">
        <f>-'Table 5C1V-Laf Ren'!AI44</f>
        <v>0</v>
      </c>
      <c r="AC41" s="1253">
        <f>-'Table 5C1W-Willow'!AI44</f>
        <v>0</v>
      </c>
      <c r="AD41" s="1253">
        <f>-'Table 5C2 - LA Virtual Admy'!AJ43</f>
        <v>-5108</v>
      </c>
      <c r="AE41" s="1253">
        <f>-'Table 5C3 - LA Connections EBR'!AJ43</f>
        <v>-5108</v>
      </c>
      <c r="AF41" s="1253">
        <f t="shared" si="56"/>
        <v>-21078</v>
      </c>
      <c r="AG41" s="1280">
        <f t="shared" si="57"/>
        <v>922480</v>
      </c>
      <c r="AH41" s="1253"/>
      <c r="AI41" s="1253"/>
      <c r="AJ41" s="1253"/>
      <c r="AK41" s="1253">
        <f>'Table 5C1A-Madison Prep'!AC44</f>
        <v>0</v>
      </c>
      <c r="AL41" s="1253">
        <f>'Table 5C1B-DArbonne'!AC44</f>
        <v>0</v>
      </c>
      <c r="AM41" s="1253">
        <f>'Table 5C1C-Intl_VIBE'!AC44</f>
        <v>0</v>
      </c>
      <c r="AN41" s="1253">
        <f>'Table 5C1D-NOMMA'!AC44</f>
        <v>-199.13249999999999</v>
      </c>
      <c r="AO41" s="1253">
        <f>'Table 5C1E-LFNO'!AC44</f>
        <v>-113.79</v>
      </c>
      <c r="AP41" s="1253">
        <f>'Table 5C1F-Lake Charles Charter'!AC44</f>
        <v>0</v>
      </c>
      <c r="AQ41" s="1253">
        <f>'Table 5C1G-JS Clark Academy'!AC44</f>
        <v>0</v>
      </c>
      <c r="AR41" s="1253">
        <f>'Table 5C1H-Southwest LA Charter'!AC44</f>
        <v>0</v>
      </c>
      <c r="AS41" s="1253">
        <f>'Table 5C1I-LA Key Academy'!AC44</f>
        <v>0</v>
      </c>
      <c r="AT41" s="1253">
        <f>'Table 5C1J-Jefferson Chamber'!AC44</f>
        <v>0</v>
      </c>
      <c r="AU41" s="1253">
        <f>'Table 5C1K-Tallulah Charter'!AC44</f>
        <v>0</v>
      </c>
      <c r="AV41" s="1253">
        <f>'Table 5C1L-Northshore Charter'!AC44</f>
        <v>0</v>
      </c>
      <c r="AW41" s="1253">
        <f>'Table 5C1M-B.R. Charter'!AC44</f>
        <v>0</v>
      </c>
      <c r="AX41" s="1253">
        <f>'Table 5C1N-Delta Charter'!AC44</f>
        <v>0</v>
      </c>
      <c r="AY41" s="1253">
        <f>'Table 5C1O-Impact'!AC44</f>
        <v>0</v>
      </c>
      <c r="AZ41" s="1253">
        <f>+'Table 5C1P-Vision'!AC44</f>
        <v>0</v>
      </c>
      <c r="BA41" s="1253">
        <f>+'Table 5C1Q-Advantage'!AC44</f>
        <v>0</v>
      </c>
      <c r="BB41" s="1253">
        <f>+'Table 5C1R-Iberville'!AC44</f>
        <v>0</v>
      </c>
      <c r="BC41" s="1253">
        <f>+'Table 5C1S-L.C. Coll Prep'!AC44</f>
        <v>0</v>
      </c>
      <c r="BD41" s="1253">
        <f>+'Table 5C1T-Northeast'!AC44</f>
        <v>0</v>
      </c>
      <c r="BE41" s="1253">
        <f>+'Table 5C1U-Acadiana Ren'!AC44</f>
        <v>0</v>
      </c>
      <c r="BF41" s="1253">
        <f>+'Table 5C1V-Laf Ren'!AC44</f>
        <v>0</v>
      </c>
      <c r="BG41" s="1253">
        <f>+'Table 5C1W-Willow'!AC44</f>
        <v>0</v>
      </c>
      <c r="BH41" s="1253">
        <f>'Table 5C2 - LA Virtual Admy'!AD43</f>
        <v>-153.61650000000003</v>
      </c>
      <c r="BI41" s="1253">
        <f>'Table 5C3 - LA Connections EBR'!AD43</f>
        <v>-153.61650000000003</v>
      </c>
      <c r="BJ41" s="1280">
        <f t="shared" si="58"/>
        <v>921859.84450000001</v>
      </c>
      <c r="BK41" s="361"/>
    </row>
    <row r="42" spans="1:63" ht="14.4" customHeight="1">
      <c r="A42" s="1250">
        <v>39</v>
      </c>
      <c r="B42" s="1251" t="s">
        <v>119</v>
      </c>
      <c r="C42" s="1252">
        <f>'Table 2_State Distrib and Adjs'!AL45</f>
        <v>1032477</v>
      </c>
      <c r="D42" s="1253">
        <f>-'Table 5A3_OJJ'!W44</f>
        <v>-260</v>
      </c>
      <c r="E42" s="1253"/>
      <c r="F42" s="1253"/>
      <c r="G42" s="1253">
        <f>-'Table 5C1A-Madison Prep'!AI45</f>
        <v>0</v>
      </c>
      <c r="H42" s="1253">
        <f>-'Table 5C1B-DArbonne'!AI45</f>
        <v>0</v>
      </c>
      <c r="I42" s="1253">
        <f>-'Table 5C1C-Intl_VIBE'!AI45</f>
        <v>0</v>
      </c>
      <c r="J42" s="1253">
        <f>-'Table 5C1D-NOMMA'!AI45</f>
        <v>0</v>
      </c>
      <c r="K42" s="1253">
        <f>-'Table 5C1E-LFNO'!AI45</f>
        <v>0</v>
      </c>
      <c r="L42" s="1253">
        <f>-'Table 5C1F-Lake Charles Charter'!AI45</f>
        <v>0</v>
      </c>
      <c r="M42" s="1253">
        <f>-'Table 5C1G-JS Clark Academy'!AI45</f>
        <v>0</v>
      </c>
      <c r="N42" s="1253">
        <f>-'Table 5C1H-Southwest LA Charter'!AI45</f>
        <v>0</v>
      </c>
      <c r="O42" s="1253">
        <f>-'Table 5C1I-LA Key Academy'!AI45</f>
        <v>-412</v>
      </c>
      <c r="P42" s="1253">
        <f>-'Table 5C1J-Jefferson Chamber'!AI45</f>
        <v>0</v>
      </c>
      <c r="Q42" s="1253">
        <f>-'Table 5C1K-Tallulah Charter'!AI45</f>
        <v>0</v>
      </c>
      <c r="R42" s="1253">
        <f>-'Table 5C1L-Northshore Charter'!AI45</f>
        <v>0</v>
      </c>
      <c r="S42" s="1253">
        <f>-'Table 5C1M-B.R. Charter'!AI45</f>
        <v>0</v>
      </c>
      <c r="T42" s="1253">
        <f>-'Table 5C1N-Delta Charter'!AI45</f>
        <v>0</v>
      </c>
      <c r="U42" s="1253">
        <f>-'Table 5C1O-Impact'!AI45</f>
        <v>0</v>
      </c>
      <c r="V42" s="1253">
        <f>-'Table 5C1P-Vision'!AI45</f>
        <v>0</v>
      </c>
      <c r="W42" s="1253">
        <f>-'Table 5C1Q-Advantage'!AI45</f>
        <v>0</v>
      </c>
      <c r="X42" s="1253">
        <f>-'Table 5C1R-Iberville'!AI45</f>
        <v>0</v>
      </c>
      <c r="Y42" s="1253">
        <f>-'Table 5C1S-L.C. Coll Prep'!AI45</f>
        <v>0</v>
      </c>
      <c r="Z42" s="1253">
        <f>-'Table 5C1T-Northeast'!AI45</f>
        <v>0</v>
      </c>
      <c r="AA42" s="1253">
        <f>-'Table 5C1U-Acadiana Ren'!AI45</f>
        <v>0</v>
      </c>
      <c r="AB42" s="1253">
        <f>-'Table 5C1V-Laf Ren'!AI45</f>
        <v>0</v>
      </c>
      <c r="AC42" s="1253">
        <f>-'Table 5C1W-Willow'!AI45</f>
        <v>0</v>
      </c>
      <c r="AD42" s="1253">
        <f>-'Table 5C2 - LA Virtual Admy'!AJ44</f>
        <v>-1853</v>
      </c>
      <c r="AE42" s="1253">
        <f>-'Table 5C3 - LA Connections EBR'!AJ44</f>
        <v>-3336</v>
      </c>
      <c r="AF42" s="1253">
        <f t="shared" si="56"/>
        <v>-5861</v>
      </c>
      <c r="AG42" s="1280">
        <f t="shared" si="57"/>
        <v>1026616</v>
      </c>
      <c r="AH42" s="1253"/>
      <c r="AI42" s="1253"/>
      <c r="AJ42" s="1253"/>
      <c r="AK42" s="1253">
        <f>'Table 5C1A-Madison Prep'!AC45</f>
        <v>0</v>
      </c>
      <c r="AL42" s="1253">
        <f>'Table 5C1B-DArbonne'!AC45</f>
        <v>0</v>
      </c>
      <c r="AM42" s="1253">
        <f>'Table 5C1C-Intl_VIBE'!AC45</f>
        <v>0</v>
      </c>
      <c r="AN42" s="1253">
        <f>'Table 5C1D-NOMMA'!AC45</f>
        <v>0</v>
      </c>
      <c r="AO42" s="1253">
        <f>'Table 5C1E-LFNO'!AC45</f>
        <v>0</v>
      </c>
      <c r="AP42" s="1253">
        <f>'Table 5C1F-Lake Charles Charter'!AC45</f>
        <v>0</v>
      </c>
      <c r="AQ42" s="1253">
        <f>'Table 5C1G-JS Clark Academy'!AC45</f>
        <v>0</v>
      </c>
      <c r="AR42" s="1253">
        <f>'Table 5C1H-Southwest LA Charter'!AC45</f>
        <v>0</v>
      </c>
      <c r="AS42" s="1253">
        <f>'Table 5C1I-LA Key Academy'!AC45</f>
        <v>-12.387500000000001</v>
      </c>
      <c r="AT42" s="1253">
        <f>'Table 5C1J-Jefferson Chamber'!AC45</f>
        <v>0</v>
      </c>
      <c r="AU42" s="1253">
        <f>'Table 5C1K-Tallulah Charter'!AC45</f>
        <v>0</v>
      </c>
      <c r="AV42" s="1253">
        <f>'Table 5C1L-Northshore Charter'!AC45</f>
        <v>0</v>
      </c>
      <c r="AW42" s="1253">
        <f>'Table 5C1M-B.R. Charter'!AC45</f>
        <v>0</v>
      </c>
      <c r="AX42" s="1253">
        <f>'Table 5C1N-Delta Charter'!AC45</f>
        <v>0</v>
      </c>
      <c r="AY42" s="1253">
        <f>'Table 5C1O-Impact'!AC45</f>
        <v>0</v>
      </c>
      <c r="AZ42" s="1253">
        <f>+'Table 5C1P-Vision'!AC45</f>
        <v>0</v>
      </c>
      <c r="BA42" s="1253">
        <f>+'Table 5C1Q-Advantage'!AC45</f>
        <v>0</v>
      </c>
      <c r="BB42" s="1253">
        <f>+'Table 5C1R-Iberville'!AC45</f>
        <v>0</v>
      </c>
      <c r="BC42" s="1253">
        <f>+'Table 5C1S-L.C. Coll Prep'!AC45</f>
        <v>0</v>
      </c>
      <c r="BD42" s="1253">
        <f>+'Table 5C1T-Northeast'!AC45</f>
        <v>0</v>
      </c>
      <c r="BE42" s="1253">
        <f>+'Table 5C1U-Acadiana Ren'!AC45</f>
        <v>0</v>
      </c>
      <c r="BF42" s="1253">
        <f>+'Table 5C1V-Laf Ren'!AC45</f>
        <v>0</v>
      </c>
      <c r="BG42" s="1253">
        <f>+'Table 5C1W-Willow'!AC45</f>
        <v>0</v>
      </c>
      <c r="BH42" s="1253">
        <f>'Table 5C2 - LA Virtual Admy'!AD44</f>
        <v>-55.743749999999999</v>
      </c>
      <c r="BI42" s="1253">
        <f>'Table 5C3 - LA Connections EBR'!AD44</f>
        <v>-100.33875</v>
      </c>
      <c r="BJ42" s="1280">
        <f t="shared" si="58"/>
        <v>1026447.53</v>
      </c>
      <c r="BK42" s="365"/>
    </row>
    <row r="43" spans="1:63" ht="14.4" customHeight="1">
      <c r="A43" s="85">
        <v>40</v>
      </c>
      <c r="B43" s="207" t="s">
        <v>120</v>
      </c>
      <c r="C43" s="209">
        <f>'Table 2_State Distrib and Adjs'!AL46</f>
        <v>11136019</v>
      </c>
      <c r="D43" s="219">
        <f>-'Table 5A3_OJJ'!W45</f>
        <v>-3321</v>
      </c>
      <c r="E43" s="219"/>
      <c r="F43" s="219"/>
      <c r="G43" s="219">
        <f>-'Table 5C1A-Madison Prep'!AI46</f>
        <v>0</v>
      </c>
      <c r="H43" s="219">
        <f>-'Table 5C1B-DArbonne'!AI46</f>
        <v>0</v>
      </c>
      <c r="I43" s="219">
        <f>-'Table 5C1C-Intl_VIBE'!AI46</f>
        <v>0</v>
      </c>
      <c r="J43" s="219">
        <f>-'Table 5C1D-NOMMA'!AI46</f>
        <v>0</v>
      </c>
      <c r="K43" s="219">
        <f>-'Table 5C1E-LFNO'!AI46</f>
        <v>0</v>
      </c>
      <c r="L43" s="219">
        <f>-'Table 5C1F-Lake Charles Charter'!AI46</f>
        <v>0</v>
      </c>
      <c r="M43" s="219">
        <f>-'Table 5C1G-JS Clark Academy'!AI46</f>
        <v>0</v>
      </c>
      <c r="N43" s="219">
        <f>-'Table 5C1H-Southwest LA Charter'!AI46</f>
        <v>0</v>
      </c>
      <c r="O43" s="219">
        <f>-'Table 5C1I-LA Key Academy'!AI46</f>
        <v>0</v>
      </c>
      <c r="P43" s="219">
        <f>-'Table 5C1J-Jefferson Chamber'!AI46</f>
        <v>0</v>
      </c>
      <c r="Q43" s="219">
        <f>-'Table 5C1K-Tallulah Charter'!AI46</f>
        <v>0</v>
      </c>
      <c r="R43" s="219">
        <f>-'Table 5C1L-Northshore Charter'!AI46</f>
        <v>0</v>
      </c>
      <c r="S43" s="219">
        <f>-'Table 5C1M-B.R. Charter'!AI46</f>
        <v>0</v>
      </c>
      <c r="T43" s="219">
        <f>-'Table 5C1N-Delta Charter'!AI46</f>
        <v>0</v>
      </c>
      <c r="U43" s="219">
        <f>-'Table 5C1O-Impact'!AI46</f>
        <v>0</v>
      </c>
      <c r="V43" s="219">
        <f>-'Table 5C1P-Vision'!AI46</f>
        <v>0</v>
      </c>
      <c r="W43" s="219">
        <f>-'Table 5C1Q-Advantage'!AI46</f>
        <v>0</v>
      </c>
      <c r="X43" s="219">
        <f>-'Table 5C1R-Iberville'!AI46</f>
        <v>0</v>
      </c>
      <c r="Y43" s="219">
        <f>-'Table 5C1S-L.C. Coll Prep'!AI46</f>
        <v>0</v>
      </c>
      <c r="Z43" s="219">
        <f>-'Table 5C1T-Northeast'!AI46</f>
        <v>0</v>
      </c>
      <c r="AA43" s="219">
        <f>-'Table 5C1U-Acadiana Ren'!AI46</f>
        <v>0</v>
      </c>
      <c r="AB43" s="219">
        <f>-'Table 5C1V-Laf Ren'!AI46</f>
        <v>0</v>
      </c>
      <c r="AC43" s="219">
        <f>-'Table 5C1W-Willow'!AI46</f>
        <v>0</v>
      </c>
      <c r="AD43" s="219">
        <f>-'Table 5C2 - LA Virtual Admy'!AJ45</f>
        <v>-13546</v>
      </c>
      <c r="AE43" s="219">
        <f>-'Table 5C3 - LA Connections EBR'!AJ45</f>
        <v>-8036</v>
      </c>
      <c r="AF43" s="219">
        <f t="shared" si="56"/>
        <v>-24903</v>
      </c>
      <c r="AG43" s="364">
        <f t="shared" si="57"/>
        <v>11111116</v>
      </c>
      <c r="AH43" s="219"/>
      <c r="AI43" s="219"/>
      <c r="AJ43" s="219"/>
      <c r="AK43" s="219">
        <f>'Table 5C1A-Madison Prep'!AC46</f>
        <v>0</v>
      </c>
      <c r="AL43" s="219">
        <f>'Table 5C1B-DArbonne'!AC46</f>
        <v>0</v>
      </c>
      <c r="AM43" s="219">
        <f>'Table 5C1C-Intl_VIBE'!AC46</f>
        <v>0</v>
      </c>
      <c r="AN43" s="219">
        <f>'Table 5C1D-NOMMA'!AC46</f>
        <v>0</v>
      </c>
      <c r="AO43" s="219">
        <f>'Table 5C1E-LFNO'!AC46</f>
        <v>0</v>
      </c>
      <c r="AP43" s="219">
        <f>'Table 5C1F-Lake Charles Charter'!AC46</f>
        <v>0</v>
      </c>
      <c r="AQ43" s="219">
        <f>'Table 5C1G-JS Clark Academy'!AC46</f>
        <v>0</v>
      </c>
      <c r="AR43" s="219">
        <f>'Table 5C1H-Southwest LA Charter'!AC46</f>
        <v>0</v>
      </c>
      <c r="AS43" s="219">
        <f>'Table 5C1I-LA Key Academy'!AC46</f>
        <v>0</v>
      </c>
      <c r="AT43" s="219">
        <f>'Table 5C1J-Jefferson Chamber'!AC46</f>
        <v>0</v>
      </c>
      <c r="AU43" s="219">
        <f>'Table 5C1K-Tallulah Charter'!AC46</f>
        <v>0</v>
      </c>
      <c r="AV43" s="219">
        <f>'Table 5C1L-Northshore Charter'!AC46</f>
        <v>0</v>
      </c>
      <c r="AW43" s="219">
        <f>'Table 5C1M-B.R. Charter'!AC46</f>
        <v>0</v>
      </c>
      <c r="AX43" s="219">
        <f>'Table 5C1N-Delta Charter'!AC46</f>
        <v>0</v>
      </c>
      <c r="AY43" s="219">
        <f>'Table 5C1O-Impact'!AC46</f>
        <v>0</v>
      </c>
      <c r="AZ43" s="219">
        <f>+'Table 5C1P-Vision'!AC46</f>
        <v>0</v>
      </c>
      <c r="BA43" s="219">
        <f>+'Table 5C1Q-Advantage'!AC46</f>
        <v>0</v>
      </c>
      <c r="BB43" s="219">
        <f>+'Table 5C1R-Iberville'!AC46</f>
        <v>0</v>
      </c>
      <c r="BC43" s="219">
        <f>+'Table 5C1S-L.C. Coll Prep'!AC46</f>
        <v>0</v>
      </c>
      <c r="BD43" s="219">
        <f>+'Table 5C1T-Northeast'!AC46</f>
        <v>0</v>
      </c>
      <c r="BE43" s="219">
        <f>+'Table 5C1U-Acadiana Ren'!AC46</f>
        <v>0</v>
      </c>
      <c r="BF43" s="219">
        <f>+'Table 5C1V-Laf Ren'!AC46</f>
        <v>0</v>
      </c>
      <c r="BG43" s="219">
        <f>+'Table 5C1W-Willow'!AC46</f>
        <v>0</v>
      </c>
      <c r="BH43" s="219">
        <f>'Table 5C2 - LA Virtual Admy'!AD45</f>
        <v>-407.40974999999997</v>
      </c>
      <c r="BI43" s="219">
        <f>'Table 5C3 - LA Connections EBR'!AD45</f>
        <v>-241.68375</v>
      </c>
      <c r="BJ43" s="364">
        <f t="shared" si="58"/>
        <v>11110466.906500001</v>
      </c>
      <c r="BK43" s="38"/>
    </row>
    <row r="44" spans="1:63" ht="14.4" customHeight="1">
      <c r="A44" s="1250">
        <v>41</v>
      </c>
      <c r="B44" s="1251" t="s">
        <v>121</v>
      </c>
      <c r="C44" s="1252">
        <f>'Table 2_State Distrib and Adjs'!AL47</f>
        <v>506467</v>
      </c>
      <c r="D44" s="1253">
        <f>-'Table 5A3_OJJ'!W46</f>
        <v>-427</v>
      </c>
      <c r="E44" s="1253"/>
      <c r="F44" s="1253"/>
      <c r="G44" s="1253">
        <f>-'Table 5C1A-Madison Prep'!AI47</f>
        <v>0</v>
      </c>
      <c r="H44" s="1253">
        <f>-'Table 5C1B-DArbonne'!AI47</f>
        <v>0</v>
      </c>
      <c r="I44" s="1253">
        <f>-'Table 5C1C-Intl_VIBE'!AI47</f>
        <v>0</v>
      </c>
      <c r="J44" s="1253">
        <f>-'Table 5C1D-NOMMA'!AI47</f>
        <v>0</v>
      </c>
      <c r="K44" s="1253">
        <f>-'Table 5C1E-LFNO'!AI47</f>
        <v>0</v>
      </c>
      <c r="L44" s="1253">
        <f>-'Table 5C1F-Lake Charles Charter'!AI47</f>
        <v>0</v>
      </c>
      <c r="M44" s="1253">
        <f>-'Table 5C1G-JS Clark Academy'!AI47</f>
        <v>0</v>
      </c>
      <c r="N44" s="1253">
        <f>-'Table 5C1H-Southwest LA Charter'!AI47</f>
        <v>0</v>
      </c>
      <c r="O44" s="1253">
        <f>-'Table 5C1I-LA Key Academy'!AI47</f>
        <v>0</v>
      </c>
      <c r="P44" s="1253">
        <f>-'Table 5C1J-Jefferson Chamber'!AI47</f>
        <v>0</v>
      </c>
      <c r="Q44" s="1253">
        <f>-'Table 5C1K-Tallulah Charter'!AI47</f>
        <v>0</v>
      </c>
      <c r="R44" s="1253">
        <f>-'Table 5C1L-Northshore Charter'!AI47</f>
        <v>0</v>
      </c>
      <c r="S44" s="1253">
        <f>-'Table 5C1M-B.R. Charter'!AI47</f>
        <v>0</v>
      </c>
      <c r="T44" s="1253">
        <f>-'Table 5C1N-Delta Charter'!AI47</f>
        <v>0</v>
      </c>
      <c r="U44" s="1253">
        <f>-'Table 5C1O-Impact'!AI47</f>
        <v>0</v>
      </c>
      <c r="V44" s="1253">
        <f>-'Table 5C1P-Vision'!AI47</f>
        <v>0</v>
      </c>
      <c r="W44" s="1253">
        <f>-'Table 5C1Q-Advantage'!AI47</f>
        <v>0</v>
      </c>
      <c r="X44" s="1253">
        <f>-'Table 5C1R-Iberville'!AI47</f>
        <v>0</v>
      </c>
      <c r="Y44" s="1253">
        <f>-'Table 5C1S-L.C. Coll Prep'!AI47</f>
        <v>0</v>
      </c>
      <c r="Z44" s="1253">
        <f>-'Table 5C1T-Northeast'!AI47</f>
        <v>0</v>
      </c>
      <c r="AA44" s="1253">
        <f>-'Table 5C1U-Acadiana Ren'!AI47</f>
        <v>0</v>
      </c>
      <c r="AB44" s="1253">
        <f>-'Table 5C1V-Laf Ren'!AI47</f>
        <v>0</v>
      </c>
      <c r="AC44" s="1253">
        <f>-'Table 5C1W-Willow'!AI47</f>
        <v>0</v>
      </c>
      <c r="AD44" s="1253">
        <f>-'Table 5C2 - LA Virtual Admy'!AJ46</f>
        <v>0</v>
      </c>
      <c r="AE44" s="1253">
        <f>-'Table 5C3 - LA Connections EBR'!AJ46</f>
        <v>0</v>
      </c>
      <c r="AF44" s="1253">
        <f t="shared" si="56"/>
        <v>-427</v>
      </c>
      <c r="AG44" s="1280">
        <f t="shared" si="57"/>
        <v>506040</v>
      </c>
      <c r="AH44" s="1253"/>
      <c r="AI44" s="1253"/>
      <c r="AJ44" s="1253"/>
      <c r="AK44" s="1253">
        <f>'Table 5C1A-Madison Prep'!AC47</f>
        <v>0</v>
      </c>
      <c r="AL44" s="1253">
        <f>'Table 5C1B-DArbonne'!AC47</f>
        <v>0</v>
      </c>
      <c r="AM44" s="1253">
        <f>'Table 5C1C-Intl_VIBE'!AC47</f>
        <v>0</v>
      </c>
      <c r="AN44" s="1253">
        <f>'Table 5C1D-NOMMA'!AC47</f>
        <v>0</v>
      </c>
      <c r="AO44" s="1253">
        <f>'Table 5C1E-LFNO'!AC47</f>
        <v>0</v>
      </c>
      <c r="AP44" s="1253">
        <f>'Table 5C1F-Lake Charles Charter'!AC47</f>
        <v>0</v>
      </c>
      <c r="AQ44" s="1253">
        <f>'Table 5C1G-JS Clark Academy'!AC47</f>
        <v>0</v>
      </c>
      <c r="AR44" s="1253">
        <f>'Table 5C1H-Southwest LA Charter'!AC47</f>
        <v>0</v>
      </c>
      <c r="AS44" s="1253">
        <f>'Table 5C1I-LA Key Academy'!AC47</f>
        <v>0</v>
      </c>
      <c r="AT44" s="1253">
        <f>'Table 5C1J-Jefferson Chamber'!AC47</f>
        <v>0</v>
      </c>
      <c r="AU44" s="1253">
        <f>'Table 5C1K-Tallulah Charter'!AC47</f>
        <v>0</v>
      </c>
      <c r="AV44" s="1253">
        <f>'Table 5C1L-Northshore Charter'!AC47</f>
        <v>0</v>
      </c>
      <c r="AW44" s="1253">
        <f>'Table 5C1M-B.R. Charter'!AC47</f>
        <v>0</v>
      </c>
      <c r="AX44" s="1253">
        <f>'Table 5C1N-Delta Charter'!AC47</f>
        <v>0</v>
      </c>
      <c r="AY44" s="1253">
        <f>'Table 5C1O-Impact'!AC47</f>
        <v>0</v>
      </c>
      <c r="AZ44" s="1253">
        <f>+'Table 5C1P-Vision'!AC47</f>
        <v>0</v>
      </c>
      <c r="BA44" s="1253">
        <f>+'Table 5C1Q-Advantage'!AC47</f>
        <v>0</v>
      </c>
      <c r="BB44" s="1253">
        <f>+'Table 5C1R-Iberville'!AC47</f>
        <v>0</v>
      </c>
      <c r="BC44" s="1253">
        <f>+'Table 5C1S-L.C. Coll Prep'!AC47</f>
        <v>0</v>
      </c>
      <c r="BD44" s="1253">
        <f>+'Table 5C1T-Northeast'!AC47</f>
        <v>0</v>
      </c>
      <c r="BE44" s="1253">
        <f>+'Table 5C1U-Acadiana Ren'!AC47</f>
        <v>0</v>
      </c>
      <c r="BF44" s="1253">
        <f>+'Table 5C1V-Laf Ren'!AC47</f>
        <v>0</v>
      </c>
      <c r="BG44" s="1253">
        <f>+'Table 5C1W-Willow'!AC47</f>
        <v>0</v>
      </c>
      <c r="BH44" s="1253">
        <f>'Table 5C2 - LA Virtual Admy'!AD46</f>
        <v>0</v>
      </c>
      <c r="BI44" s="1253">
        <f>'Table 5C3 - LA Connections EBR'!AD46</f>
        <v>0</v>
      </c>
      <c r="BJ44" s="1280">
        <f t="shared" si="58"/>
        <v>506040</v>
      </c>
      <c r="BK44" s="38"/>
    </row>
    <row r="45" spans="1:63" ht="14.4" customHeight="1">
      <c r="A45" s="1250">
        <v>42</v>
      </c>
      <c r="B45" s="1251" t="s">
        <v>122</v>
      </c>
      <c r="C45" s="1252">
        <f>'Table 2_State Distrib and Adjs'!AL48</f>
        <v>1525200</v>
      </c>
      <c r="D45" s="1253">
        <f>-'Table 5A3_OJJ'!W47</f>
        <v>-932</v>
      </c>
      <c r="E45" s="1253"/>
      <c r="F45" s="1253"/>
      <c r="G45" s="1253">
        <f>-'Table 5C1A-Madison Prep'!AI48</f>
        <v>0</v>
      </c>
      <c r="H45" s="1253">
        <f>-'Table 5C1B-DArbonne'!AI48</f>
        <v>0</v>
      </c>
      <c r="I45" s="1253">
        <f>-'Table 5C1C-Intl_VIBE'!AI48</f>
        <v>0</v>
      </c>
      <c r="J45" s="1253">
        <f>-'Table 5C1D-NOMMA'!AI48</f>
        <v>0</v>
      </c>
      <c r="K45" s="1253">
        <f>-'Table 5C1E-LFNO'!AI48</f>
        <v>0</v>
      </c>
      <c r="L45" s="1253">
        <f>-'Table 5C1F-Lake Charles Charter'!AI48</f>
        <v>0</v>
      </c>
      <c r="M45" s="1253">
        <f>-'Table 5C1G-JS Clark Academy'!AI48</f>
        <v>0</v>
      </c>
      <c r="N45" s="1253">
        <f>-'Table 5C1H-Southwest LA Charter'!AI48</f>
        <v>0</v>
      </c>
      <c r="O45" s="1253">
        <f>-'Table 5C1I-LA Key Academy'!AI48</f>
        <v>0</v>
      </c>
      <c r="P45" s="1253">
        <f>-'Table 5C1J-Jefferson Chamber'!AI48</f>
        <v>0</v>
      </c>
      <c r="Q45" s="1253">
        <f>-'Table 5C1K-Tallulah Charter'!AI48</f>
        <v>0</v>
      </c>
      <c r="R45" s="1253">
        <f>-'Table 5C1L-Northshore Charter'!AI48</f>
        <v>0</v>
      </c>
      <c r="S45" s="1253">
        <f>-'Table 5C1M-B.R. Charter'!AI48</f>
        <v>0</v>
      </c>
      <c r="T45" s="1253">
        <f>-'Table 5C1N-Delta Charter'!AI48</f>
        <v>0</v>
      </c>
      <c r="U45" s="1253">
        <f>-'Table 5C1O-Impact'!AI48</f>
        <v>0</v>
      </c>
      <c r="V45" s="1253">
        <f>-'Table 5C1P-Vision'!AI48</f>
        <v>-2974</v>
      </c>
      <c r="W45" s="1253">
        <f>-'Table 5C1Q-Advantage'!AI48</f>
        <v>0</v>
      </c>
      <c r="X45" s="1253">
        <f>-'Table 5C1R-Iberville'!AI48</f>
        <v>0</v>
      </c>
      <c r="Y45" s="1253">
        <f>-'Table 5C1S-L.C. Coll Prep'!AI48</f>
        <v>0</v>
      </c>
      <c r="Z45" s="1253">
        <f>-'Table 5C1T-Northeast'!AI48</f>
        <v>0</v>
      </c>
      <c r="AA45" s="1253">
        <f>-'Table 5C1U-Acadiana Ren'!AI48</f>
        <v>0</v>
      </c>
      <c r="AB45" s="1253">
        <f>-'Table 5C1V-Laf Ren'!AI48</f>
        <v>0</v>
      </c>
      <c r="AC45" s="1253">
        <f>-'Table 5C1W-Willow'!AI48</f>
        <v>0</v>
      </c>
      <c r="AD45" s="1253">
        <f>-'Table 5C2 - LA Virtual Admy'!AJ47</f>
        <v>-1338</v>
      </c>
      <c r="AE45" s="1253">
        <f>-'Table 5C3 - LA Connections EBR'!AJ47</f>
        <v>-1338</v>
      </c>
      <c r="AF45" s="1253">
        <f t="shared" si="56"/>
        <v>-6582</v>
      </c>
      <c r="AG45" s="1280">
        <f t="shared" si="57"/>
        <v>1518618</v>
      </c>
      <c r="AH45" s="1253"/>
      <c r="AI45" s="1253"/>
      <c r="AJ45" s="1253"/>
      <c r="AK45" s="1253">
        <f>'Table 5C1A-Madison Prep'!AC48</f>
        <v>0</v>
      </c>
      <c r="AL45" s="1253">
        <f>'Table 5C1B-DArbonne'!AC48</f>
        <v>0</v>
      </c>
      <c r="AM45" s="1253">
        <f>'Table 5C1C-Intl_VIBE'!AC48</f>
        <v>0</v>
      </c>
      <c r="AN45" s="1253">
        <f>'Table 5C1D-NOMMA'!AC48</f>
        <v>0</v>
      </c>
      <c r="AO45" s="1253">
        <f>'Table 5C1E-LFNO'!AC48</f>
        <v>0</v>
      </c>
      <c r="AP45" s="1253">
        <f>'Table 5C1F-Lake Charles Charter'!AC48</f>
        <v>0</v>
      </c>
      <c r="AQ45" s="1253">
        <f>'Table 5C1G-JS Clark Academy'!AC48</f>
        <v>0</v>
      </c>
      <c r="AR45" s="1253">
        <f>'Table 5C1H-Southwest LA Charter'!AC48</f>
        <v>0</v>
      </c>
      <c r="AS45" s="1253">
        <f>'Table 5C1I-LA Key Academy'!AC48</f>
        <v>0</v>
      </c>
      <c r="AT45" s="1253">
        <f>'Table 5C1J-Jefferson Chamber'!AC48</f>
        <v>0</v>
      </c>
      <c r="AU45" s="1253">
        <f>'Table 5C1K-Tallulah Charter'!AC48</f>
        <v>0</v>
      </c>
      <c r="AV45" s="1253">
        <f>'Table 5C1L-Northshore Charter'!AC48</f>
        <v>0</v>
      </c>
      <c r="AW45" s="1253">
        <f>'Table 5C1M-B.R. Charter'!AC48</f>
        <v>0</v>
      </c>
      <c r="AX45" s="1253">
        <f>'Table 5C1N-Delta Charter'!AC48</f>
        <v>0</v>
      </c>
      <c r="AY45" s="1253">
        <f>'Table 5C1O-Impact'!AC48</f>
        <v>0</v>
      </c>
      <c r="AZ45" s="1253">
        <f>+'Table 5C1P-Vision'!AC48</f>
        <v>-89.45</v>
      </c>
      <c r="BA45" s="1253">
        <f>+'Table 5C1Q-Advantage'!AC48</f>
        <v>0</v>
      </c>
      <c r="BB45" s="1253">
        <f>+'Table 5C1R-Iberville'!AC48</f>
        <v>0</v>
      </c>
      <c r="BC45" s="1253">
        <f>+'Table 5C1S-L.C. Coll Prep'!AC48</f>
        <v>0</v>
      </c>
      <c r="BD45" s="1253">
        <f>+'Table 5C1T-Northeast'!AC48</f>
        <v>0</v>
      </c>
      <c r="BE45" s="1253">
        <f>+'Table 5C1U-Acadiana Ren'!AC48</f>
        <v>0</v>
      </c>
      <c r="BF45" s="1253">
        <f>+'Table 5C1V-Laf Ren'!AC48</f>
        <v>0</v>
      </c>
      <c r="BG45" s="1253">
        <f>+'Table 5C1W-Willow'!AC48</f>
        <v>0</v>
      </c>
      <c r="BH45" s="1253">
        <f>'Table 5C2 - LA Virtual Admy'!AD47</f>
        <v>-40.252500000000005</v>
      </c>
      <c r="BI45" s="1253">
        <f>'Table 5C3 - LA Connections EBR'!AD47</f>
        <v>-40.252500000000005</v>
      </c>
      <c r="BJ45" s="1280">
        <f t="shared" si="58"/>
        <v>1518448.0450000002</v>
      </c>
      <c r="BK45" s="38"/>
    </row>
    <row r="46" spans="1:63" ht="14.4" customHeight="1">
      <c r="A46" s="1250">
        <v>43</v>
      </c>
      <c r="B46" s="1251" t="s">
        <v>123</v>
      </c>
      <c r="C46" s="1252">
        <f>'Table 2_State Distrib and Adjs'!AL49</f>
        <v>2174007</v>
      </c>
      <c r="D46" s="1253">
        <f>-'Table 5A3_OJJ'!W48</f>
        <v>-532</v>
      </c>
      <c r="E46" s="1253"/>
      <c r="F46" s="1253"/>
      <c r="G46" s="1253">
        <f>-'Table 5C1A-Madison Prep'!AI49</f>
        <v>0</v>
      </c>
      <c r="H46" s="1253">
        <f>-'Table 5C1B-DArbonne'!AI49</f>
        <v>0</v>
      </c>
      <c r="I46" s="1253">
        <f>-'Table 5C1C-Intl_VIBE'!AI49</f>
        <v>0</v>
      </c>
      <c r="J46" s="1253">
        <f>-'Table 5C1D-NOMMA'!AI49</f>
        <v>0</v>
      </c>
      <c r="K46" s="1253">
        <f>-'Table 5C1E-LFNO'!AI49</f>
        <v>0</v>
      </c>
      <c r="L46" s="1253">
        <f>-'Table 5C1F-Lake Charles Charter'!AI49</f>
        <v>0</v>
      </c>
      <c r="M46" s="1253">
        <f>-'Table 5C1G-JS Clark Academy'!AI49</f>
        <v>0</v>
      </c>
      <c r="N46" s="1253">
        <f>-'Table 5C1H-Southwest LA Charter'!AI49</f>
        <v>0</v>
      </c>
      <c r="O46" s="1253">
        <f>-'Table 5C1I-LA Key Academy'!AI49</f>
        <v>0</v>
      </c>
      <c r="P46" s="1253">
        <f>-'Table 5C1J-Jefferson Chamber'!AI49</f>
        <v>0</v>
      </c>
      <c r="Q46" s="1253">
        <f>-'Table 5C1K-Tallulah Charter'!AI49</f>
        <v>0</v>
      </c>
      <c r="R46" s="1253">
        <f>-'Table 5C1L-Northshore Charter'!AI49</f>
        <v>0</v>
      </c>
      <c r="S46" s="1253">
        <f>-'Table 5C1M-B.R. Charter'!AI49</f>
        <v>0</v>
      </c>
      <c r="T46" s="1253">
        <f>-'Table 5C1N-Delta Charter'!AI49</f>
        <v>0</v>
      </c>
      <c r="U46" s="1253">
        <f>-'Table 5C1O-Impact'!AI49</f>
        <v>0</v>
      </c>
      <c r="V46" s="1253">
        <f>-'Table 5C1P-Vision'!AI49</f>
        <v>0</v>
      </c>
      <c r="W46" s="1253">
        <f>-'Table 5C1Q-Advantage'!AI49</f>
        <v>0</v>
      </c>
      <c r="X46" s="1253">
        <f>-'Table 5C1R-Iberville'!AI49</f>
        <v>0</v>
      </c>
      <c r="Y46" s="1253">
        <f>-'Table 5C1S-L.C. Coll Prep'!AI49</f>
        <v>0</v>
      </c>
      <c r="Z46" s="1253">
        <f>-'Table 5C1T-Northeast'!AI49</f>
        <v>0</v>
      </c>
      <c r="AA46" s="1253">
        <f>-'Table 5C1U-Acadiana Ren'!AI49</f>
        <v>0</v>
      </c>
      <c r="AB46" s="1253">
        <f>-'Table 5C1V-Laf Ren'!AI49</f>
        <v>0</v>
      </c>
      <c r="AC46" s="1253">
        <f>-'Table 5C1W-Willow'!AI49</f>
        <v>0</v>
      </c>
      <c r="AD46" s="1253">
        <f>-'Table 5C2 - LA Virtual Admy'!AJ48</f>
        <v>-2398</v>
      </c>
      <c r="AE46" s="1253">
        <f>-'Table 5C3 - LA Connections EBR'!AJ48</f>
        <v>-1439</v>
      </c>
      <c r="AF46" s="1253">
        <f t="shared" si="56"/>
        <v>-4369</v>
      </c>
      <c r="AG46" s="1280">
        <f t="shared" si="57"/>
        <v>2169638</v>
      </c>
      <c r="AH46" s="1253"/>
      <c r="AI46" s="1253"/>
      <c r="AJ46" s="1253"/>
      <c r="AK46" s="1253">
        <f>'Table 5C1A-Madison Prep'!AC49</f>
        <v>0</v>
      </c>
      <c r="AL46" s="1253">
        <f>'Table 5C1B-DArbonne'!AC49</f>
        <v>0</v>
      </c>
      <c r="AM46" s="1253">
        <f>'Table 5C1C-Intl_VIBE'!AC49</f>
        <v>0</v>
      </c>
      <c r="AN46" s="1253">
        <f>'Table 5C1D-NOMMA'!AC49</f>
        <v>0</v>
      </c>
      <c r="AO46" s="1253">
        <f>'Table 5C1E-LFNO'!AC49</f>
        <v>0</v>
      </c>
      <c r="AP46" s="1253">
        <f>'Table 5C1F-Lake Charles Charter'!AC49</f>
        <v>0</v>
      </c>
      <c r="AQ46" s="1253">
        <f>'Table 5C1G-JS Clark Academy'!AC49</f>
        <v>0</v>
      </c>
      <c r="AR46" s="1253">
        <f>'Table 5C1H-Southwest LA Charter'!AC49</f>
        <v>0</v>
      </c>
      <c r="AS46" s="1253">
        <f>'Table 5C1I-LA Key Academy'!AC49</f>
        <v>0</v>
      </c>
      <c r="AT46" s="1253">
        <f>'Table 5C1J-Jefferson Chamber'!AC49</f>
        <v>0</v>
      </c>
      <c r="AU46" s="1253">
        <f>'Table 5C1K-Tallulah Charter'!AC49</f>
        <v>0</v>
      </c>
      <c r="AV46" s="1253">
        <f>'Table 5C1L-Northshore Charter'!AC49</f>
        <v>0</v>
      </c>
      <c r="AW46" s="1253">
        <f>'Table 5C1M-B.R. Charter'!AC49</f>
        <v>0</v>
      </c>
      <c r="AX46" s="1253">
        <f>'Table 5C1N-Delta Charter'!AC49</f>
        <v>0</v>
      </c>
      <c r="AY46" s="1253">
        <f>'Table 5C1O-Impact'!AC49</f>
        <v>0</v>
      </c>
      <c r="AZ46" s="1253">
        <f>+'Table 5C1P-Vision'!AC49</f>
        <v>0</v>
      </c>
      <c r="BA46" s="1253">
        <f>+'Table 5C1Q-Advantage'!AC49</f>
        <v>0</v>
      </c>
      <c r="BB46" s="1253">
        <f>+'Table 5C1R-Iberville'!AC49</f>
        <v>0</v>
      </c>
      <c r="BC46" s="1253">
        <f>+'Table 5C1S-L.C. Coll Prep'!AC49</f>
        <v>0</v>
      </c>
      <c r="BD46" s="1253">
        <f>+'Table 5C1T-Northeast'!AC49</f>
        <v>0</v>
      </c>
      <c r="BE46" s="1253">
        <f>+'Table 5C1U-Acadiana Ren'!AC49</f>
        <v>0</v>
      </c>
      <c r="BF46" s="1253">
        <f>+'Table 5C1V-Laf Ren'!AC49</f>
        <v>0</v>
      </c>
      <c r="BG46" s="1253">
        <f>+'Table 5C1W-Willow'!AC49</f>
        <v>0</v>
      </c>
      <c r="BH46" s="1253">
        <f>'Table 5C2 - LA Virtual Admy'!AD48</f>
        <v>-72.112499999999997</v>
      </c>
      <c r="BI46" s="1253">
        <f>'Table 5C3 - LA Connections EBR'!AD48</f>
        <v>-43.267499999999998</v>
      </c>
      <c r="BJ46" s="1280">
        <f t="shared" si="58"/>
        <v>2169522.62</v>
      </c>
      <c r="BK46" s="38"/>
    </row>
    <row r="47" spans="1:63" ht="14.4" customHeight="1">
      <c r="A47" s="1250">
        <v>44</v>
      </c>
      <c r="B47" s="1251" t="s">
        <v>124</v>
      </c>
      <c r="C47" s="1252">
        <f>'Table 2_State Distrib and Adjs'!AL50</f>
        <v>3087925</v>
      </c>
      <c r="D47" s="1253">
        <f>-'Table 5A3_OJJ'!W49</f>
        <v>-140</v>
      </c>
      <c r="E47" s="1253"/>
      <c r="F47" s="1253"/>
      <c r="G47" s="1253">
        <f>-'Table 5C1A-Madison Prep'!AI50</f>
        <v>0</v>
      </c>
      <c r="H47" s="1253">
        <f>-'Table 5C1B-DArbonne'!AI50</f>
        <v>0</v>
      </c>
      <c r="I47" s="1253">
        <f>-'Table 5C1C-Intl_VIBE'!AI50</f>
        <v>-618</v>
      </c>
      <c r="J47" s="1253">
        <f>-'Table 5C1D-NOMMA'!AI50</f>
        <v>-309</v>
      </c>
      <c r="K47" s="1253">
        <f>-'Table 5C1E-LFNO'!AI50</f>
        <v>-1237</v>
      </c>
      <c r="L47" s="1253">
        <f>-'Table 5C1F-Lake Charles Charter'!AI50</f>
        <v>0</v>
      </c>
      <c r="M47" s="1253">
        <f>-'Table 5C1G-JS Clark Academy'!AI50</f>
        <v>0</v>
      </c>
      <c r="N47" s="1253">
        <f>-'Table 5C1H-Southwest LA Charter'!AI50</f>
        <v>0</v>
      </c>
      <c r="O47" s="1253">
        <f>-'Table 5C1I-LA Key Academy'!AI50</f>
        <v>0</v>
      </c>
      <c r="P47" s="1253">
        <f>-'Table 5C1J-Jefferson Chamber'!AI50</f>
        <v>0</v>
      </c>
      <c r="Q47" s="1253">
        <f>-'Table 5C1K-Tallulah Charter'!AI50</f>
        <v>0</v>
      </c>
      <c r="R47" s="1253">
        <f>-'Table 5C1L-Northshore Charter'!AI50</f>
        <v>0</v>
      </c>
      <c r="S47" s="1253">
        <f>-'Table 5C1M-B.R. Charter'!AI50</f>
        <v>0</v>
      </c>
      <c r="T47" s="1253">
        <f>-'Table 5C1N-Delta Charter'!AI50</f>
        <v>0</v>
      </c>
      <c r="U47" s="1253">
        <f>-'Table 5C1O-Impact'!AI50</f>
        <v>0</v>
      </c>
      <c r="V47" s="1253">
        <f>-'Table 5C1P-Vision'!AI50</f>
        <v>0</v>
      </c>
      <c r="W47" s="1253">
        <f>-'Table 5C1Q-Advantage'!AI50</f>
        <v>0</v>
      </c>
      <c r="X47" s="1253">
        <f>-'Table 5C1R-Iberville'!AI50</f>
        <v>0</v>
      </c>
      <c r="Y47" s="1253">
        <f>-'Table 5C1S-L.C. Coll Prep'!AI50</f>
        <v>0</v>
      </c>
      <c r="Z47" s="1253">
        <f>-'Table 5C1T-Northeast'!AI50</f>
        <v>0</v>
      </c>
      <c r="AA47" s="1253">
        <f>-'Table 5C1U-Acadiana Ren'!AI50</f>
        <v>0</v>
      </c>
      <c r="AB47" s="1253">
        <f>-'Table 5C1V-Laf Ren'!AI50</f>
        <v>0</v>
      </c>
      <c r="AC47" s="1253">
        <f>-'Table 5C1W-Willow'!AI50</f>
        <v>0</v>
      </c>
      <c r="AD47" s="1253">
        <f>-'Table 5C2 - LA Virtual Admy'!AJ49</f>
        <v>-4452</v>
      </c>
      <c r="AE47" s="1253">
        <f>-'Table 5C3 - LA Connections EBR'!AJ49</f>
        <v>-1669</v>
      </c>
      <c r="AF47" s="1253">
        <f t="shared" si="56"/>
        <v>-8425</v>
      </c>
      <c r="AG47" s="1280">
        <f t="shared" si="57"/>
        <v>3079500</v>
      </c>
      <c r="AH47" s="1253"/>
      <c r="AI47" s="1253"/>
      <c r="AJ47" s="1253"/>
      <c r="AK47" s="1253">
        <f>'Table 5C1A-Madison Prep'!AC50</f>
        <v>0</v>
      </c>
      <c r="AL47" s="1253">
        <f>'Table 5C1B-DArbonne'!AC50</f>
        <v>0</v>
      </c>
      <c r="AM47" s="1253">
        <f>'Table 5C1C-Intl_VIBE'!AC50</f>
        <v>-18.594999999999999</v>
      </c>
      <c r="AN47" s="1253">
        <f>'Table 5C1D-NOMMA'!AC50</f>
        <v>-9.2974999999999994</v>
      </c>
      <c r="AO47" s="1253">
        <f>'Table 5C1E-LFNO'!AC50</f>
        <v>-37.19</v>
      </c>
      <c r="AP47" s="1253">
        <f>'Table 5C1F-Lake Charles Charter'!AC50</f>
        <v>0</v>
      </c>
      <c r="AQ47" s="1253">
        <f>'Table 5C1G-JS Clark Academy'!AC50</f>
        <v>0</v>
      </c>
      <c r="AR47" s="1253">
        <f>'Table 5C1H-Southwest LA Charter'!AC50</f>
        <v>0</v>
      </c>
      <c r="AS47" s="1253">
        <f>'Table 5C1I-LA Key Academy'!AC50</f>
        <v>0</v>
      </c>
      <c r="AT47" s="1253">
        <f>'Table 5C1J-Jefferson Chamber'!AC50</f>
        <v>0</v>
      </c>
      <c r="AU47" s="1253">
        <f>'Table 5C1K-Tallulah Charter'!AC50</f>
        <v>0</v>
      </c>
      <c r="AV47" s="1253">
        <f>'Table 5C1L-Northshore Charter'!AC50</f>
        <v>0</v>
      </c>
      <c r="AW47" s="1253">
        <f>'Table 5C1M-B.R. Charter'!AC50</f>
        <v>0</v>
      </c>
      <c r="AX47" s="1253">
        <f>'Table 5C1N-Delta Charter'!AC50</f>
        <v>0</v>
      </c>
      <c r="AY47" s="1253">
        <f>'Table 5C1O-Impact'!AC50</f>
        <v>0</v>
      </c>
      <c r="AZ47" s="1253">
        <f>+'Table 5C1P-Vision'!AC50</f>
        <v>0</v>
      </c>
      <c r="BA47" s="1253">
        <f>+'Table 5C1Q-Advantage'!AC50</f>
        <v>0</v>
      </c>
      <c r="BB47" s="1253">
        <f>+'Table 5C1R-Iberville'!AC50</f>
        <v>0</v>
      </c>
      <c r="BC47" s="1253">
        <f>+'Table 5C1S-L.C. Coll Prep'!AC50</f>
        <v>0</v>
      </c>
      <c r="BD47" s="1253">
        <f>+'Table 5C1T-Northeast'!AC50</f>
        <v>0</v>
      </c>
      <c r="BE47" s="1253">
        <f>+'Table 5C1U-Acadiana Ren'!AC50</f>
        <v>0</v>
      </c>
      <c r="BF47" s="1253">
        <f>+'Table 5C1V-Laf Ren'!AC50</f>
        <v>0</v>
      </c>
      <c r="BG47" s="1253">
        <f>+'Table 5C1W-Willow'!AC50</f>
        <v>0</v>
      </c>
      <c r="BH47" s="1253">
        <f>'Table 5C2 - LA Virtual Admy'!AD49</f>
        <v>-133.88399999999999</v>
      </c>
      <c r="BI47" s="1253">
        <f>'Table 5C3 - LA Connections EBR'!AD49</f>
        <v>-50.206499999999998</v>
      </c>
      <c r="BJ47" s="1280">
        <f t="shared" si="58"/>
        <v>3079250.827</v>
      </c>
      <c r="BK47" s="38"/>
    </row>
    <row r="48" spans="1:63" ht="14.4" customHeight="1">
      <c r="A48" s="85">
        <v>45</v>
      </c>
      <c r="B48" s="207" t="s">
        <v>125</v>
      </c>
      <c r="C48" s="209">
        <f>'Table 2_State Distrib and Adjs'!AL51</f>
        <v>2206959</v>
      </c>
      <c r="D48" s="219">
        <f>-'Table 5A3_OJJ'!W50</f>
        <v>-555</v>
      </c>
      <c r="E48" s="219"/>
      <c r="F48" s="219"/>
      <c r="G48" s="219">
        <f>-'Table 5C1A-Madison Prep'!AI51</f>
        <v>0</v>
      </c>
      <c r="H48" s="219">
        <f>-'Table 5C1B-DArbonne'!AI51</f>
        <v>0</v>
      </c>
      <c r="I48" s="219">
        <f>-'Table 5C1C-Intl_VIBE'!AI51</f>
        <v>0</v>
      </c>
      <c r="J48" s="219">
        <f>-'Table 5C1D-NOMMA'!AI51</f>
        <v>0</v>
      </c>
      <c r="K48" s="219">
        <f>-'Table 5C1E-LFNO'!AI51</f>
        <v>-2023</v>
      </c>
      <c r="L48" s="219">
        <f>-'Table 5C1F-Lake Charles Charter'!AI51</f>
        <v>0</v>
      </c>
      <c r="M48" s="219">
        <f>-'Table 5C1G-JS Clark Academy'!AI51</f>
        <v>0</v>
      </c>
      <c r="N48" s="219">
        <f>-'Table 5C1H-Southwest LA Charter'!AI51</f>
        <v>0</v>
      </c>
      <c r="O48" s="219">
        <f>-'Table 5C1I-LA Key Academy'!AI51</f>
        <v>0</v>
      </c>
      <c r="P48" s="219">
        <f>-'Table 5C1J-Jefferson Chamber'!AI51</f>
        <v>-1012</v>
      </c>
      <c r="Q48" s="219">
        <f>-'Table 5C1K-Tallulah Charter'!AI51</f>
        <v>0</v>
      </c>
      <c r="R48" s="219">
        <f>-'Table 5C1L-Northshore Charter'!AI51</f>
        <v>0</v>
      </c>
      <c r="S48" s="219">
        <f>-'Table 5C1M-B.R. Charter'!AI51</f>
        <v>0</v>
      </c>
      <c r="T48" s="219">
        <f>-'Table 5C1N-Delta Charter'!AI51</f>
        <v>0</v>
      </c>
      <c r="U48" s="219">
        <f>-'Table 5C1O-Impact'!AI51</f>
        <v>0</v>
      </c>
      <c r="V48" s="219">
        <f>-'Table 5C1P-Vision'!AI51</f>
        <v>0</v>
      </c>
      <c r="W48" s="219">
        <f>-'Table 5C1Q-Advantage'!AI51</f>
        <v>0</v>
      </c>
      <c r="X48" s="219">
        <f>-'Table 5C1R-Iberville'!AI51</f>
        <v>0</v>
      </c>
      <c r="Y48" s="219">
        <f>-'Table 5C1S-L.C. Coll Prep'!AI51</f>
        <v>0</v>
      </c>
      <c r="Z48" s="219">
        <f>-'Table 5C1T-Northeast'!AI51</f>
        <v>0</v>
      </c>
      <c r="AA48" s="219">
        <f>-'Table 5C1U-Acadiana Ren'!AI51</f>
        <v>0</v>
      </c>
      <c r="AB48" s="219">
        <f>-'Table 5C1V-Laf Ren'!AI51</f>
        <v>0</v>
      </c>
      <c r="AC48" s="219">
        <f>-'Table 5C1W-Willow'!AI51</f>
        <v>0</v>
      </c>
      <c r="AD48" s="219">
        <f>-'Table 5C2 - LA Virtual Admy'!AJ50</f>
        <v>-10014</v>
      </c>
      <c r="AE48" s="219">
        <f>-'Table 5C3 - LA Connections EBR'!AJ50</f>
        <v>-11835</v>
      </c>
      <c r="AF48" s="219">
        <f t="shared" si="56"/>
        <v>-25439</v>
      </c>
      <c r="AG48" s="364">
        <f t="shared" si="57"/>
        <v>2181520</v>
      </c>
      <c r="AH48" s="219"/>
      <c r="AI48" s="219"/>
      <c r="AJ48" s="219"/>
      <c r="AK48" s="219">
        <f>'Table 5C1A-Madison Prep'!AC51</f>
        <v>0</v>
      </c>
      <c r="AL48" s="219">
        <f>'Table 5C1B-DArbonne'!AC51</f>
        <v>0</v>
      </c>
      <c r="AM48" s="219">
        <f>'Table 5C1C-Intl_VIBE'!AC51</f>
        <v>0</v>
      </c>
      <c r="AN48" s="219">
        <f>'Table 5C1D-NOMMA'!AC51</f>
        <v>0</v>
      </c>
      <c r="AO48" s="219">
        <f>'Table 5C1E-LFNO'!AC51</f>
        <v>-60.844999999999999</v>
      </c>
      <c r="AP48" s="219">
        <f>'Table 5C1F-Lake Charles Charter'!AC51</f>
        <v>0</v>
      </c>
      <c r="AQ48" s="219">
        <f>'Table 5C1G-JS Clark Academy'!AC51</f>
        <v>0</v>
      </c>
      <c r="AR48" s="219">
        <f>'Table 5C1H-Southwest LA Charter'!AC51</f>
        <v>0</v>
      </c>
      <c r="AS48" s="219">
        <f>'Table 5C1I-LA Key Academy'!AC51</f>
        <v>0</v>
      </c>
      <c r="AT48" s="219">
        <f>'Table 5C1J-Jefferson Chamber'!AC51</f>
        <v>-30.422499999999999</v>
      </c>
      <c r="AU48" s="219">
        <f>'Table 5C1K-Tallulah Charter'!AC51</f>
        <v>0</v>
      </c>
      <c r="AV48" s="219">
        <f>'Table 5C1L-Northshore Charter'!AC51</f>
        <v>0</v>
      </c>
      <c r="AW48" s="219">
        <f>'Table 5C1M-B.R. Charter'!AC51</f>
        <v>0</v>
      </c>
      <c r="AX48" s="219">
        <f>'Table 5C1N-Delta Charter'!AC51</f>
        <v>0</v>
      </c>
      <c r="AY48" s="219">
        <f>'Table 5C1O-Impact'!AC51</f>
        <v>0</v>
      </c>
      <c r="AZ48" s="219">
        <f>+'Table 5C1P-Vision'!AC51</f>
        <v>0</v>
      </c>
      <c r="BA48" s="219">
        <f>+'Table 5C1Q-Advantage'!AC51</f>
        <v>0</v>
      </c>
      <c r="BB48" s="219">
        <f>+'Table 5C1R-Iberville'!AC51</f>
        <v>0</v>
      </c>
      <c r="BC48" s="219">
        <f>+'Table 5C1S-L.C. Coll Prep'!AC51</f>
        <v>0</v>
      </c>
      <c r="BD48" s="219">
        <f>+'Table 5C1T-Northeast'!AC51</f>
        <v>0</v>
      </c>
      <c r="BE48" s="219">
        <f>+'Table 5C1U-Acadiana Ren'!AC51</f>
        <v>0</v>
      </c>
      <c r="BF48" s="219">
        <f>+'Table 5C1V-Laf Ren'!AC51</f>
        <v>0</v>
      </c>
      <c r="BG48" s="219">
        <f>+'Table 5C1W-Willow'!AC51</f>
        <v>0</v>
      </c>
      <c r="BH48" s="219">
        <f>'Table 5C2 - LA Virtual Admy'!AD50</f>
        <v>-301.18275</v>
      </c>
      <c r="BI48" s="219">
        <f>'Table 5C3 - LA Connections EBR'!AD50</f>
        <v>-355.94325000000003</v>
      </c>
      <c r="BJ48" s="364">
        <f t="shared" si="58"/>
        <v>2180771.6064999998</v>
      </c>
      <c r="BK48" s="38"/>
    </row>
    <row r="49" spans="1:63" ht="14.4" customHeight="1">
      <c r="A49" s="1250">
        <v>46</v>
      </c>
      <c r="B49" s="1251" t="s">
        <v>126</v>
      </c>
      <c r="C49" s="1252">
        <f>'Table 2_State Distrib and Adjs'!AL52</f>
        <v>580642</v>
      </c>
      <c r="D49" s="1253">
        <f>-'Table 5A3_OJJ'!W51</f>
        <v>0</v>
      </c>
      <c r="E49" s="1253"/>
      <c r="F49" s="1253"/>
      <c r="G49" s="1253">
        <f>-'Table 5C1A-Madison Prep'!AI52</f>
        <v>0</v>
      </c>
      <c r="H49" s="1253">
        <f>-'Table 5C1B-DArbonne'!AI52</f>
        <v>0</v>
      </c>
      <c r="I49" s="1253">
        <f>-'Table 5C1C-Intl_VIBE'!AI52</f>
        <v>0</v>
      </c>
      <c r="J49" s="1253">
        <f>-'Table 5C1D-NOMMA'!AI52</f>
        <v>0</v>
      </c>
      <c r="K49" s="1253">
        <f>-'Table 5C1E-LFNO'!AI52</f>
        <v>0</v>
      </c>
      <c r="L49" s="1253">
        <f>-'Table 5C1F-Lake Charles Charter'!AI52</f>
        <v>0</v>
      </c>
      <c r="M49" s="1253">
        <f>-'Table 5C1G-JS Clark Academy'!AI52</f>
        <v>0</v>
      </c>
      <c r="N49" s="1253">
        <f>-'Table 5C1H-Southwest LA Charter'!AI52</f>
        <v>0</v>
      </c>
      <c r="O49" s="1253">
        <f>-'Table 5C1I-LA Key Academy'!AI52</f>
        <v>0</v>
      </c>
      <c r="P49" s="1253">
        <f>-'Table 5C1J-Jefferson Chamber'!AI52</f>
        <v>0</v>
      </c>
      <c r="Q49" s="1253">
        <f>-'Table 5C1K-Tallulah Charter'!AI52</f>
        <v>0</v>
      </c>
      <c r="R49" s="1253">
        <f>-'Table 5C1L-Northshore Charter'!AI52</f>
        <v>0</v>
      </c>
      <c r="S49" s="1253">
        <f>-'Table 5C1M-B.R. Charter'!AI52</f>
        <v>0</v>
      </c>
      <c r="T49" s="1253">
        <f>-'Table 5C1N-Delta Charter'!AI52</f>
        <v>0</v>
      </c>
      <c r="U49" s="1253">
        <f>-'Table 5C1O-Impact'!AI52</f>
        <v>0</v>
      </c>
      <c r="V49" s="1253">
        <f>-'Table 5C1P-Vision'!AI52</f>
        <v>0</v>
      </c>
      <c r="W49" s="1253">
        <f>-'Table 5C1Q-Advantage'!AI52</f>
        <v>0</v>
      </c>
      <c r="X49" s="1253">
        <f>-'Table 5C1R-Iberville'!AI52</f>
        <v>0</v>
      </c>
      <c r="Y49" s="1253">
        <f>-'Table 5C1S-L.C. Coll Prep'!AI52</f>
        <v>0</v>
      </c>
      <c r="Z49" s="1253">
        <f>-'Table 5C1T-Northeast'!AI52</f>
        <v>0</v>
      </c>
      <c r="AA49" s="1253">
        <f>-'Table 5C1U-Acadiana Ren'!AI52</f>
        <v>0</v>
      </c>
      <c r="AB49" s="1253">
        <f>-'Table 5C1V-Laf Ren'!AI52</f>
        <v>0</v>
      </c>
      <c r="AC49" s="1253">
        <f>-'Table 5C1W-Willow'!AI52</f>
        <v>0</v>
      </c>
      <c r="AD49" s="1253">
        <f>-'Table 5C2 - LA Virtual Admy'!AJ51</f>
        <v>-1624</v>
      </c>
      <c r="AE49" s="1253">
        <f>-'Table 5C3 - LA Connections EBR'!AJ51</f>
        <v>-1218</v>
      </c>
      <c r="AF49" s="1253">
        <f t="shared" si="56"/>
        <v>-2842</v>
      </c>
      <c r="AG49" s="1280">
        <f t="shared" si="57"/>
        <v>577800</v>
      </c>
      <c r="AH49" s="1253"/>
      <c r="AI49" s="1253"/>
      <c r="AJ49" s="1253"/>
      <c r="AK49" s="1253">
        <f>'Table 5C1A-Madison Prep'!AC52</f>
        <v>0</v>
      </c>
      <c r="AL49" s="1253">
        <f>'Table 5C1B-DArbonne'!AC52</f>
        <v>0</v>
      </c>
      <c r="AM49" s="1253">
        <f>'Table 5C1C-Intl_VIBE'!AC52</f>
        <v>0</v>
      </c>
      <c r="AN49" s="1253">
        <f>'Table 5C1D-NOMMA'!AC52</f>
        <v>0</v>
      </c>
      <c r="AO49" s="1253">
        <f>'Table 5C1E-LFNO'!AC52</f>
        <v>0</v>
      </c>
      <c r="AP49" s="1253">
        <f>'Table 5C1F-Lake Charles Charter'!AC52</f>
        <v>0</v>
      </c>
      <c r="AQ49" s="1253">
        <f>'Table 5C1G-JS Clark Academy'!AC52</f>
        <v>0</v>
      </c>
      <c r="AR49" s="1253">
        <f>'Table 5C1H-Southwest LA Charter'!AC52</f>
        <v>0</v>
      </c>
      <c r="AS49" s="1253">
        <f>'Table 5C1I-LA Key Academy'!AC52</f>
        <v>0</v>
      </c>
      <c r="AT49" s="1253">
        <f>'Table 5C1J-Jefferson Chamber'!AC52</f>
        <v>0</v>
      </c>
      <c r="AU49" s="1253">
        <f>'Table 5C1K-Tallulah Charter'!AC52</f>
        <v>0</v>
      </c>
      <c r="AV49" s="1253">
        <f>'Table 5C1L-Northshore Charter'!AC52</f>
        <v>0</v>
      </c>
      <c r="AW49" s="1253">
        <f>'Table 5C1M-B.R. Charter'!AC52</f>
        <v>0</v>
      </c>
      <c r="AX49" s="1253">
        <f>'Table 5C1N-Delta Charter'!AC52</f>
        <v>0</v>
      </c>
      <c r="AY49" s="1253">
        <f>'Table 5C1O-Impact'!AC52</f>
        <v>0</v>
      </c>
      <c r="AZ49" s="1253">
        <f>+'Table 5C1P-Vision'!AC52</f>
        <v>0</v>
      </c>
      <c r="BA49" s="1253">
        <f>+'Table 5C1Q-Advantage'!AC52</f>
        <v>0</v>
      </c>
      <c r="BB49" s="1253">
        <f>+'Table 5C1R-Iberville'!AC52</f>
        <v>0</v>
      </c>
      <c r="BC49" s="1253">
        <f>+'Table 5C1S-L.C. Coll Prep'!AC52</f>
        <v>0</v>
      </c>
      <c r="BD49" s="1253">
        <f>+'Table 5C1T-Northeast'!AC52</f>
        <v>0</v>
      </c>
      <c r="BE49" s="1253">
        <f>+'Table 5C1U-Acadiana Ren'!AC52</f>
        <v>0</v>
      </c>
      <c r="BF49" s="1253">
        <f>+'Table 5C1V-Laf Ren'!AC52</f>
        <v>0</v>
      </c>
      <c r="BG49" s="1253">
        <f>+'Table 5C1W-Willow'!AC52</f>
        <v>0</v>
      </c>
      <c r="BH49" s="1253">
        <f>'Table 5C2 - LA Virtual Admy'!AD51</f>
        <v>-48.834000000000003</v>
      </c>
      <c r="BI49" s="1253">
        <f>'Table 5C3 - LA Connections EBR'!AD51</f>
        <v>-36.625500000000002</v>
      </c>
      <c r="BJ49" s="1280">
        <f t="shared" si="58"/>
        <v>577714.5405</v>
      </c>
      <c r="BK49" s="38"/>
    </row>
    <row r="50" spans="1:63" ht="14.4" customHeight="1">
      <c r="A50" s="1250">
        <v>47</v>
      </c>
      <c r="B50" s="1251" t="s">
        <v>127</v>
      </c>
      <c r="C50" s="1252">
        <f>'Table 2_State Distrib and Adjs'!AL53</f>
        <v>1041434</v>
      </c>
      <c r="D50" s="1253">
        <f>-'Table 5A3_OJJ'!W52</f>
        <v>-68</v>
      </c>
      <c r="E50" s="1253"/>
      <c r="F50" s="1253"/>
      <c r="G50" s="1253">
        <f>-'Table 5C1A-Madison Prep'!AI53</f>
        <v>0</v>
      </c>
      <c r="H50" s="1253">
        <f>-'Table 5C1B-DArbonne'!AI53</f>
        <v>0</v>
      </c>
      <c r="I50" s="1253">
        <f>-'Table 5C1C-Intl_VIBE'!AI53</f>
        <v>0</v>
      </c>
      <c r="J50" s="1253">
        <f>-'Table 5C1D-NOMMA'!AI53</f>
        <v>0</v>
      </c>
      <c r="K50" s="1253">
        <f>-'Table 5C1E-LFNO'!AI53</f>
        <v>0</v>
      </c>
      <c r="L50" s="1253">
        <f>-'Table 5C1F-Lake Charles Charter'!AI53</f>
        <v>0</v>
      </c>
      <c r="M50" s="1253">
        <f>-'Table 5C1G-JS Clark Academy'!AI53</f>
        <v>0</v>
      </c>
      <c r="N50" s="1253">
        <f>-'Table 5C1H-Southwest LA Charter'!AI53</f>
        <v>0</v>
      </c>
      <c r="O50" s="1253">
        <f>-'Table 5C1I-LA Key Academy'!AI53</f>
        <v>0</v>
      </c>
      <c r="P50" s="1253">
        <f>-'Table 5C1J-Jefferson Chamber'!AI53</f>
        <v>0</v>
      </c>
      <c r="Q50" s="1253">
        <f>-'Table 5C1K-Tallulah Charter'!AI53</f>
        <v>0</v>
      </c>
      <c r="R50" s="1253">
        <f>-'Table 5C1L-Northshore Charter'!AI53</f>
        <v>0</v>
      </c>
      <c r="S50" s="1253">
        <f>-'Table 5C1M-B.R. Charter'!AI53</f>
        <v>0</v>
      </c>
      <c r="T50" s="1253">
        <f>-'Table 5C1N-Delta Charter'!AI53</f>
        <v>0</v>
      </c>
      <c r="U50" s="1253">
        <f>-'Table 5C1O-Impact'!AI53</f>
        <v>0</v>
      </c>
      <c r="V50" s="1253">
        <f>-'Table 5C1P-Vision'!AI53</f>
        <v>0</v>
      </c>
      <c r="W50" s="1253">
        <f>-'Table 5C1Q-Advantage'!AI53</f>
        <v>0</v>
      </c>
      <c r="X50" s="1253">
        <f>-'Table 5C1R-Iberville'!AI53</f>
        <v>0</v>
      </c>
      <c r="Y50" s="1253">
        <f>-'Table 5C1S-L.C. Coll Prep'!AI53</f>
        <v>0</v>
      </c>
      <c r="Z50" s="1253">
        <f>-'Table 5C1T-Northeast'!AI53</f>
        <v>0</v>
      </c>
      <c r="AA50" s="1253">
        <f>-'Table 5C1U-Acadiana Ren'!AI53</f>
        <v>0</v>
      </c>
      <c r="AB50" s="1253">
        <f>-'Table 5C1V-Laf Ren'!AI53</f>
        <v>0</v>
      </c>
      <c r="AC50" s="1253">
        <f>-'Table 5C1W-Willow'!AI53</f>
        <v>0</v>
      </c>
      <c r="AD50" s="1253">
        <f>-'Table 5C2 - LA Virtual Admy'!AJ52</f>
        <v>-1751</v>
      </c>
      <c r="AE50" s="1253">
        <f>-'Table 5C3 - LA Connections EBR'!AJ52</f>
        <v>-875</v>
      </c>
      <c r="AF50" s="1253">
        <f t="shared" si="56"/>
        <v>-2694</v>
      </c>
      <c r="AG50" s="1280">
        <f t="shared" si="57"/>
        <v>1038740</v>
      </c>
      <c r="AH50" s="1253"/>
      <c r="AI50" s="1253"/>
      <c r="AJ50" s="1253"/>
      <c r="AK50" s="1253">
        <f>'Table 5C1A-Madison Prep'!AC53</f>
        <v>0</v>
      </c>
      <c r="AL50" s="1253">
        <f>'Table 5C1B-DArbonne'!AC53</f>
        <v>0</v>
      </c>
      <c r="AM50" s="1253">
        <f>'Table 5C1C-Intl_VIBE'!AC53</f>
        <v>0</v>
      </c>
      <c r="AN50" s="1253">
        <f>'Table 5C1D-NOMMA'!AC53</f>
        <v>0</v>
      </c>
      <c r="AO50" s="1253">
        <f>'Table 5C1E-LFNO'!AC53</f>
        <v>0</v>
      </c>
      <c r="AP50" s="1253">
        <f>'Table 5C1F-Lake Charles Charter'!AC53</f>
        <v>0</v>
      </c>
      <c r="AQ50" s="1253">
        <f>'Table 5C1G-JS Clark Academy'!AC53</f>
        <v>0</v>
      </c>
      <c r="AR50" s="1253">
        <f>'Table 5C1H-Southwest LA Charter'!AC53</f>
        <v>0</v>
      </c>
      <c r="AS50" s="1253">
        <f>'Table 5C1I-LA Key Academy'!AC53</f>
        <v>0</v>
      </c>
      <c r="AT50" s="1253">
        <f>'Table 5C1J-Jefferson Chamber'!AC53</f>
        <v>0</v>
      </c>
      <c r="AU50" s="1253">
        <f>'Table 5C1K-Tallulah Charter'!AC53</f>
        <v>0</v>
      </c>
      <c r="AV50" s="1253">
        <f>'Table 5C1L-Northshore Charter'!AC53</f>
        <v>0</v>
      </c>
      <c r="AW50" s="1253">
        <f>'Table 5C1M-B.R. Charter'!AC53</f>
        <v>0</v>
      </c>
      <c r="AX50" s="1253">
        <f>'Table 5C1N-Delta Charter'!AC53</f>
        <v>0</v>
      </c>
      <c r="AY50" s="1253">
        <f>'Table 5C1O-Impact'!AC53</f>
        <v>0</v>
      </c>
      <c r="AZ50" s="1253">
        <f>+'Table 5C1P-Vision'!AC53</f>
        <v>0</v>
      </c>
      <c r="BA50" s="1253">
        <f>+'Table 5C1Q-Advantage'!AC53</f>
        <v>0</v>
      </c>
      <c r="BB50" s="1253">
        <f>+'Table 5C1R-Iberville'!AC53</f>
        <v>0</v>
      </c>
      <c r="BC50" s="1253">
        <f>+'Table 5C1S-L.C. Coll Prep'!AC53</f>
        <v>0</v>
      </c>
      <c r="BD50" s="1253">
        <f>+'Table 5C1T-Northeast'!AC53</f>
        <v>0</v>
      </c>
      <c r="BE50" s="1253">
        <f>+'Table 5C1U-Acadiana Ren'!AC53</f>
        <v>0</v>
      </c>
      <c r="BF50" s="1253">
        <f>+'Table 5C1V-Laf Ren'!AC53</f>
        <v>0</v>
      </c>
      <c r="BG50" s="1253">
        <f>+'Table 5C1W-Willow'!AC53</f>
        <v>0</v>
      </c>
      <c r="BH50" s="1253">
        <f>'Table 5C2 - LA Virtual Admy'!AD52</f>
        <v>-52.654499999999999</v>
      </c>
      <c r="BI50" s="1253">
        <f>'Table 5C3 - LA Connections EBR'!AD52</f>
        <v>-26.327249999999999</v>
      </c>
      <c r="BJ50" s="1280">
        <f t="shared" si="58"/>
        <v>1038661.0182500001</v>
      </c>
      <c r="BK50" s="38"/>
    </row>
    <row r="51" spans="1:63" ht="14.4" customHeight="1">
      <c r="A51" s="1250">
        <v>48</v>
      </c>
      <c r="B51" s="1251" t="s">
        <v>178</v>
      </c>
      <c r="C51" s="1252">
        <f>'Table 2_State Distrib and Adjs'!AL54</f>
        <v>2326540</v>
      </c>
      <c r="D51" s="1253">
        <f>-'Table 5A3_OJJ'!W53</f>
        <v>-764</v>
      </c>
      <c r="E51" s="1253"/>
      <c r="F51" s="1253"/>
      <c r="G51" s="1253">
        <f>-'Table 5C1A-Madison Prep'!AI54</f>
        <v>0</v>
      </c>
      <c r="H51" s="1253">
        <f>-'Table 5C1B-DArbonne'!AI54</f>
        <v>0</v>
      </c>
      <c r="I51" s="1253">
        <f>-'Table 5C1C-Intl_VIBE'!AI54</f>
        <v>-1220</v>
      </c>
      <c r="J51" s="1253">
        <f>-'Table 5C1D-NOMMA'!AI54</f>
        <v>0</v>
      </c>
      <c r="K51" s="1253">
        <f>-'Table 5C1E-LFNO'!AI54</f>
        <v>0</v>
      </c>
      <c r="L51" s="1253">
        <f>-'Table 5C1F-Lake Charles Charter'!AI54</f>
        <v>0</v>
      </c>
      <c r="M51" s="1253">
        <f>-'Table 5C1G-JS Clark Academy'!AI54</f>
        <v>0</v>
      </c>
      <c r="N51" s="1253">
        <f>-'Table 5C1H-Southwest LA Charter'!AI54</f>
        <v>0</v>
      </c>
      <c r="O51" s="1253">
        <f>-'Table 5C1I-LA Key Academy'!AI54</f>
        <v>0</v>
      </c>
      <c r="P51" s="1253">
        <f>-'Table 5C1J-Jefferson Chamber'!AI54</f>
        <v>-610</v>
      </c>
      <c r="Q51" s="1253">
        <f>-'Table 5C1K-Tallulah Charter'!AI54</f>
        <v>0</v>
      </c>
      <c r="R51" s="1253">
        <f>-'Table 5C1L-Northshore Charter'!AI54</f>
        <v>0</v>
      </c>
      <c r="S51" s="1253">
        <f>-'Table 5C1M-B.R. Charter'!AI54</f>
        <v>0</v>
      </c>
      <c r="T51" s="1253">
        <f>-'Table 5C1N-Delta Charter'!AI54</f>
        <v>0</v>
      </c>
      <c r="U51" s="1253">
        <f>-'Table 5C1O-Impact'!AI54</f>
        <v>0</v>
      </c>
      <c r="V51" s="1253">
        <f>-'Table 5C1P-Vision'!AI54</f>
        <v>0</v>
      </c>
      <c r="W51" s="1253">
        <f>-'Table 5C1Q-Advantage'!AI54</f>
        <v>0</v>
      </c>
      <c r="X51" s="1253">
        <f>-'Table 5C1R-Iberville'!AI54</f>
        <v>0</v>
      </c>
      <c r="Y51" s="1253">
        <f>-'Table 5C1S-L.C. Coll Prep'!AI54</f>
        <v>0</v>
      </c>
      <c r="Z51" s="1253">
        <f>-'Table 5C1T-Northeast'!AI54</f>
        <v>0</v>
      </c>
      <c r="AA51" s="1253">
        <f>-'Table 5C1U-Acadiana Ren'!AI54</f>
        <v>0</v>
      </c>
      <c r="AB51" s="1253">
        <f>-'Table 5C1V-Laf Ren'!AI54</f>
        <v>0</v>
      </c>
      <c r="AC51" s="1253">
        <f>-'Table 5C1W-Willow'!AI54</f>
        <v>0</v>
      </c>
      <c r="AD51" s="1253">
        <f>-'Table 5C2 - LA Virtual Admy'!AJ53</f>
        <v>-13724</v>
      </c>
      <c r="AE51" s="1253">
        <f>-'Table 5C3 - LA Connections EBR'!AJ53</f>
        <v>-15371</v>
      </c>
      <c r="AF51" s="1253">
        <f t="shared" si="56"/>
        <v>-31689</v>
      </c>
      <c r="AG51" s="1280">
        <f t="shared" si="57"/>
        <v>2294851</v>
      </c>
      <c r="AH51" s="1253"/>
      <c r="AI51" s="1253"/>
      <c r="AJ51" s="1253"/>
      <c r="AK51" s="1253">
        <f>'Table 5C1A-Madison Prep'!AC54</f>
        <v>0</v>
      </c>
      <c r="AL51" s="1253">
        <f>'Table 5C1B-DArbonne'!AC54</f>
        <v>0</v>
      </c>
      <c r="AM51" s="1253">
        <f>'Table 5C1C-Intl_VIBE'!AC54</f>
        <v>-36.69</v>
      </c>
      <c r="AN51" s="1253">
        <f>'Table 5C1D-NOMMA'!AC54</f>
        <v>0</v>
      </c>
      <c r="AO51" s="1253">
        <f>'Table 5C1E-LFNO'!AC54</f>
        <v>0</v>
      </c>
      <c r="AP51" s="1253">
        <f>'Table 5C1F-Lake Charles Charter'!AC54</f>
        <v>0</v>
      </c>
      <c r="AQ51" s="1253">
        <f>'Table 5C1G-JS Clark Academy'!AC54</f>
        <v>0</v>
      </c>
      <c r="AR51" s="1253">
        <f>'Table 5C1H-Southwest LA Charter'!AC54</f>
        <v>0</v>
      </c>
      <c r="AS51" s="1253">
        <f>'Table 5C1I-LA Key Academy'!AC54</f>
        <v>0</v>
      </c>
      <c r="AT51" s="1253">
        <f>'Table 5C1J-Jefferson Chamber'!AC54</f>
        <v>-18.344999999999999</v>
      </c>
      <c r="AU51" s="1253">
        <f>'Table 5C1K-Tallulah Charter'!AC54</f>
        <v>0</v>
      </c>
      <c r="AV51" s="1253">
        <f>'Table 5C1L-Northshore Charter'!AC54</f>
        <v>0</v>
      </c>
      <c r="AW51" s="1253">
        <f>'Table 5C1M-B.R. Charter'!AC54</f>
        <v>0</v>
      </c>
      <c r="AX51" s="1253">
        <f>'Table 5C1N-Delta Charter'!AC54</f>
        <v>0</v>
      </c>
      <c r="AY51" s="1253">
        <f>'Table 5C1O-Impact'!AC54</f>
        <v>0</v>
      </c>
      <c r="AZ51" s="1253">
        <f>+'Table 5C1P-Vision'!AC54</f>
        <v>0</v>
      </c>
      <c r="BA51" s="1253">
        <f>+'Table 5C1Q-Advantage'!AC54</f>
        <v>0</v>
      </c>
      <c r="BB51" s="1253">
        <f>+'Table 5C1R-Iberville'!AC54</f>
        <v>0</v>
      </c>
      <c r="BC51" s="1253">
        <f>+'Table 5C1S-L.C. Coll Prep'!AC54</f>
        <v>0</v>
      </c>
      <c r="BD51" s="1253">
        <f>+'Table 5C1T-Northeast'!AC54</f>
        <v>0</v>
      </c>
      <c r="BE51" s="1253">
        <f>+'Table 5C1U-Acadiana Ren'!AC54</f>
        <v>0</v>
      </c>
      <c r="BF51" s="1253">
        <f>+'Table 5C1V-Laf Ren'!AC54</f>
        <v>0</v>
      </c>
      <c r="BG51" s="1253">
        <f>+'Table 5C1W-Willow'!AC54</f>
        <v>0</v>
      </c>
      <c r="BH51" s="1253">
        <f>'Table 5C2 - LA Virtual Admy'!AD53</f>
        <v>-412.76249999999999</v>
      </c>
      <c r="BI51" s="1253">
        <f>'Table 5C3 - LA Connections EBR'!AD53</f>
        <v>-462.29400000000004</v>
      </c>
      <c r="BJ51" s="1280">
        <f t="shared" si="58"/>
        <v>2293920.9084999994</v>
      </c>
      <c r="BK51" s="38"/>
    </row>
    <row r="52" spans="1:63" ht="14.4" customHeight="1">
      <c r="A52" s="1250">
        <v>49</v>
      </c>
      <c r="B52" s="1251" t="s">
        <v>128</v>
      </c>
      <c r="C52" s="1252">
        <f>'Table 2_State Distrib and Adjs'!AL55</f>
        <v>6610152</v>
      </c>
      <c r="D52" s="1253">
        <f>-'Table 5A3_OJJ'!W54</f>
        <v>-1592</v>
      </c>
      <c r="E52" s="1253"/>
      <c r="F52" s="1253"/>
      <c r="G52" s="1253">
        <f>-'Table 5C1A-Madison Prep'!AI55</f>
        <v>0</v>
      </c>
      <c r="H52" s="1253">
        <f>-'Table 5C1B-DArbonne'!AI55</f>
        <v>0</v>
      </c>
      <c r="I52" s="1253">
        <f>-'Table 5C1C-Intl_VIBE'!AI55</f>
        <v>0</v>
      </c>
      <c r="J52" s="1253">
        <f>-'Table 5C1D-NOMMA'!AI55</f>
        <v>0</v>
      </c>
      <c r="K52" s="1253">
        <f>-'Table 5C1E-LFNO'!AI55</f>
        <v>0</v>
      </c>
      <c r="L52" s="1253">
        <f>-'Table 5C1F-Lake Charles Charter'!AI55</f>
        <v>0</v>
      </c>
      <c r="M52" s="1253">
        <f>-'Table 5C1G-JS Clark Academy'!AI55</f>
        <v>-39244</v>
      </c>
      <c r="N52" s="1253">
        <f>-'Table 5C1H-Southwest LA Charter'!AI55</f>
        <v>0</v>
      </c>
      <c r="O52" s="1253">
        <f>-'Table 5C1I-LA Key Academy'!AI55</f>
        <v>0</v>
      </c>
      <c r="P52" s="1253">
        <f>-'Table 5C1J-Jefferson Chamber'!AI55</f>
        <v>0</v>
      </c>
      <c r="Q52" s="1253">
        <f>-'Table 5C1K-Tallulah Charter'!AI55</f>
        <v>0</v>
      </c>
      <c r="R52" s="1253">
        <f>-'Table 5C1L-Northshore Charter'!AI55</f>
        <v>0</v>
      </c>
      <c r="S52" s="1253">
        <f>-'Table 5C1M-B.R. Charter'!AI55</f>
        <v>0</v>
      </c>
      <c r="T52" s="1253">
        <f>-'Table 5C1N-Delta Charter'!AI55</f>
        <v>0</v>
      </c>
      <c r="U52" s="1253">
        <f>-'Table 5C1O-Impact'!AI55</f>
        <v>0</v>
      </c>
      <c r="V52" s="1253">
        <f>-'Table 5C1P-Vision'!AI55</f>
        <v>0</v>
      </c>
      <c r="W52" s="1253">
        <f>-'Table 5C1Q-Advantage'!AI55</f>
        <v>0</v>
      </c>
      <c r="X52" s="1253">
        <f>-'Table 5C1R-Iberville'!AI55</f>
        <v>0</v>
      </c>
      <c r="Y52" s="1253">
        <f>-'Table 5C1S-L.C. Coll Prep'!AI55</f>
        <v>0</v>
      </c>
      <c r="Z52" s="1253">
        <f>-'Table 5C1T-Northeast'!AI55</f>
        <v>0</v>
      </c>
      <c r="AA52" s="1253">
        <f>-'Table 5C1U-Acadiana Ren'!AI55</f>
        <v>0</v>
      </c>
      <c r="AB52" s="1253">
        <f>-'Table 5C1V-Laf Ren'!AI55</f>
        <v>0</v>
      </c>
      <c r="AC52" s="1253">
        <f>-'Table 5C1W-Willow'!AI55</f>
        <v>0</v>
      </c>
      <c r="AD52" s="1253">
        <f>-'Table 5C2 - LA Virtual Admy'!AJ54</f>
        <v>-11794</v>
      </c>
      <c r="AE52" s="1253">
        <f>-'Table 5C3 - LA Connections EBR'!AJ54</f>
        <v>-6161</v>
      </c>
      <c r="AF52" s="1253">
        <f t="shared" si="56"/>
        <v>-58791</v>
      </c>
      <c r="AG52" s="1280">
        <f t="shared" si="57"/>
        <v>6551361</v>
      </c>
      <c r="AH52" s="1253"/>
      <c r="AI52" s="1253"/>
      <c r="AJ52" s="1253"/>
      <c r="AK52" s="1253">
        <f>'Table 5C1A-Madison Prep'!AC55</f>
        <v>0</v>
      </c>
      <c r="AL52" s="1253">
        <f>'Table 5C1B-DArbonne'!AC55</f>
        <v>0</v>
      </c>
      <c r="AM52" s="1253">
        <f>'Table 5C1C-Intl_VIBE'!AC55</f>
        <v>0</v>
      </c>
      <c r="AN52" s="1253">
        <f>'Table 5C1D-NOMMA'!AC55</f>
        <v>0</v>
      </c>
      <c r="AO52" s="1253">
        <f>'Table 5C1E-LFNO'!AC55</f>
        <v>0</v>
      </c>
      <c r="AP52" s="1253">
        <f>'Table 5C1F-Lake Charles Charter'!AC55</f>
        <v>0</v>
      </c>
      <c r="AQ52" s="1253">
        <f>'Table 5C1G-JS Clark Academy'!AC55</f>
        <v>-1147.0875000000001</v>
      </c>
      <c r="AR52" s="1253">
        <f>'Table 5C1H-Southwest LA Charter'!AC55</f>
        <v>0</v>
      </c>
      <c r="AS52" s="1253">
        <f>'Table 5C1I-LA Key Academy'!AC55</f>
        <v>0</v>
      </c>
      <c r="AT52" s="1253">
        <f>'Table 5C1J-Jefferson Chamber'!AC55</f>
        <v>0</v>
      </c>
      <c r="AU52" s="1253">
        <f>'Table 5C1K-Tallulah Charter'!AC55</f>
        <v>0</v>
      </c>
      <c r="AV52" s="1253">
        <f>'Table 5C1L-Northshore Charter'!AC55</f>
        <v>0</v>
      </c>
      <c r="AW52" s="1253">
        <f>'Table 5C1M-B.R. Charter'!AC55</f>
        <v>0</v>
      </c>
      <c r="AX52" s="1253">
        <f>'Table 5C1N-Delta Charter'!AC55</f>
        <v>0</v>
      </c>
      <c r="AY52" s="1253">
        <f>'Table 5C1O-Impact'!AC55</f>
        <v>0</v>
      </c>
      <c r="AZ52" s="1253">
        <f>+'Table 5C1P-Vision'!AC55</f>
        <v>0</v>
      </c>
      <c r="BA52" s="1253">
        <f>+'Table 5C1Q-Advantage'!AC55</f>
        <v>0</v>
      </c>
      <c r="BB52" s="1253">
        <f>+'Table 5C1R-Iberville'!AC55</f>
        <v>0</v>
      </c>
      <c r="BC52" s="1253">
        <f>+'Table 5C1S-L.C. Coll Prep'!AC55</f>
        <v>0</v>
      </c>
      <c r="BD52" s="1253">
        <f>+'Table 5C1T-Northeast'!AC55</f>
        <v>0</v>
      </c>
      <c r="BE52" s="1253">
        <f>+'Table 5C1U-Acadiana Ren'!AC55</f>
        <v>0</v>
      </c>
      <c r="BF52" s="1253">
        <f>+'Table 5C1V-Laf Ren'!AC55</f>
        <v>0</v>
      </c>
      <c r="BG52" s="1253">
        <f>+'Table 5C1W-Willow'!AC55</f>
        <v>0</v>
      </c>
      <c r="BH52" s="1253">
        <f>'Table 5C2 - LA Virtual Admy'!AD54</f>
        <v>-354.71475000000004</v>
      </c>
      <c r="BI52" s="1253">
        <f>'Table 5C3 - LA Connections EBR'!AD54</f>
        <v>-185.29875000000004</v>
      </c>
      <c r="BJ52" s="1280">
        <f t="shared" si="58"/>
        <v>6549673.8989999993</v>
      </c>
      <c r="BK52" s="38"/>
    </row>
    <row r="53" spans="1:63" ht="14.4" customHeight="1">
      <c r="A53" s="85">
        <v>50</v>
      </c>
      <c r="B53" s="207" t="s">
        <v>129</v>
      </c>
      <c r="C53" s="209">
        <f>'Table 2_State Distrib and Adjs'!AL56</f>
        <v>3845143</v>
      </c>
      <c r="D53" s="219">
        <f>-'Table 5A3_OJJ'!W55</f>
        <v>-562</v>
      </c>
      <c r="E53" s="219"/>
      <c r="F53" s="219"/>
      <c r="G53" s="219">
        <f>-'Table 5C1A-Madison Prep'!AI56</f>
        <v>0</v>
      </c>
      <c r="H53" s="219">
        <f>-'Table 5C1B-DArbonne'!AI56</f>
        <v>0</v>
      </c>
      <c r="I53" s="219">
        <f>-'Table 5C1C-Intl_VIBE'!AI56</f>
        <v>0</v>
      </c>
      <c r="J53" s="219">
        <f>-'Table 5C1D-NOMMA'!AI56</f>
        <v>0</v>
      </c>
      <c r="K53" s="219">
        <f>-'Table 5C1E-LFNO'!AI56</f>
        <v>0</v>
      </c>
      <c r="L53" s="219">
        <f>-'Table 5C1F-Lake Charles Charter'!AI56</f>
        <v>0</v>
      </c>
      <c r="M53" s="219">
        <f>-'Table 5C1G-JS Clark Academy'!AI56</f>
        <v>0</v>
      </c>
      <c r="N53" s="219">
        <f>-'Table 5C1H-Southwest LA Charter'!AI56</f>
        <v>0</v>
      </c>
      <c r="O53" s="219">
        <f>-'Table 5C1I-LA Key Academy'!AI56</f>
        <v>0</v>
      </c>
      <c r="P53" s="219">
        <f>-'Table 5C1J-Jefferson Chamber'!AI56</f>
        <v>0</v>
      </c>
      <c r="Q53" s="219">
        <f>-'Table 5C1K-Tallulah Charter'!AI56</f>
        <v>0</v>
      </c>
      <c r="R53" s="219">
        <f>-'Table 5C1L-Northshore Charter'!AI56</f>
        <v>0</v>
      </c>
      <c r="S53" s="219">
        <f>-'Table 5C1M-B.R. Charter'!AI56</f>
        <v>0</v>
      </c>
      <c r="T53" s="219">
        <f>-'Table 5C1N-Delta Charter'!AI56</f>
        <v>0</v>
      </c>
      <c r="U53" s="219">
        <f>-'Table 5C1O-Impact'!AI56</f>
        <v>0</v>
      </c>
      <c r="V53" s="219">
        <f>-'Table 5C1P-Vision'!AI56</f>
        <v>0</v>
      </c>
      <c r="W53" s="219">
        <f>-'Table 5C1Q-Advantage'!AI56</f>
        <v>0</v>
      </c>
      <c r="X53" s="219">
        <f>-'Table 5C1R-Iberville'!AI56</f>
        <v>0</v>
      </c>
      <c r="Y53" s="219">
        <f>-'Table 5C1S-L.C. Coll Prep'!AI56</f>
        <v>0</v>
      </c>
      <c r="Z53" s="219">
        <f>-'Table 5C1T-Northeast'!AI56</f>
        <v>0</v>
      </c>
      <c r="AA53" s="219">
        <f>-'Table 5C1U-Acadiana Ren'!AI56</f>
        <v>0</v>
      </c>
      <c r="AB53" s="219">
        <f>-'Table 5C1V-Laf Ren'!AI56</f>
        <v>0</v>
      </c>
      <c r="AC53" s="219">
        <f>-'Table 5C1W-Willow'!AI56</f>
        <v>0</v>
      </c>
      <c r="AD53" s="219">
        <f>-'Table 5C2 - LA Virtual Admy'!AJ55</f>
        <v>-6302</v>
      </c>
      <c r="AE53" s="219">
        <f>-'Table 5C3 - LA Connections EBR'!AJ55</f>
        <v>-1576</v>
      </c>
      <c r="AF53" s="219">
        <f t="shared" si="56"/>
        <v>-8440</v>
      </c>
      <c r="AG53" s="364">
        <f t="shared" si="57"/>
        <v>3836703</v>
      </c>
      <c r="AH53" s="219"/>
      <c r="AI53" s="219"/>
      <c r="AJ53" s="219"/>
      <c r="AK53" s="219">
        <f>'Table 5C1A-Madison Prep'!AC56</f>
        <v>0</v>
      </c>
      <c r="AL53" s="219">
        <f>'Table 5C1B-DArbonne'!AC56</f>
        <v>0</v>
      </c>
      <c r="AM53" s="219">
        <f>'Table 5C1C-Intl_VIBE'!AC56</f>
        <v>0</v>
      </c>
      <c r="AN53" s="219">
        <f>'Table 5C1D-NOMMA'!AC56</f>
        <v>0</v>
      </c>
      <c r="AO53" s="219">
        <f>'Table 5C1E-LFNO'!AC56</f>
        <v>0</v>
      </c>
      <c r="AP53" s="219">
        <f>'Table 5C1F-Lake Charles Charter'!AC56</f>
        <v>0</v>
      </c>
      <c r="AQ53" s="219">
        <f>'Table 5C1G-JS Clark Academy'!AC56</f>
        <v>0</v>
      </c>
      <c r="AR53" s="219">
        <f>'Table 5C1H-Southwest LA Charter'!AC56</f>
        <v>0</v>
      </c>
      <c r="AS53" s="219">
        <f>'Table 5C1I-LA Key Academy'!AC56</f>
        <v>0</v>
      </c>
      <c r="AT53" s="219">
        <f>'Table 5C1J-Jefferson Chamber'!AC56</f>
        <v>0</v>
      </c>
      <c r="AU53" s="219">
        <f>'Table 5C1K-Tallulah Charter'!AC56</f>
        <v>0</v>
      </c>
      <c r="AV53" s="219">
        <f>'Table 5C1L-Northshore Charter'!AC56</f>
        <v>0</v>
      </c>
      <c r="AW53" s="219">
        <f>'Table 5C1M-B.R. Charter'!AC56</f>
        <v>0</v>
      </c>
      <c r="AX53" s="219">
        <f>'Table 5C1N-Delta Charter'!AC56</f>
        <v>0</v>
      </c>
      <c r="AY53" s="219">
        <f>'Table 5C1O-Impact'!AC56</f>
        <v>0</v>
      </c>
      <c r="AZ53" s="219">
        <f>+'Table 5C1P-Vision'!AC56</f>
        <v>0</v>
      </c>
      <c r="BA53" s="219">
        <f>+'Table 5C1Q-Advantage'!AC56</f>
        <v>0</v>
      </c>
      <c r="BB53" s="219">
        <f>+'Table 5C1R-Iberville'!AC56</f>
        <v>0</v>
      </c>
      <c r="BC53" s="219">
        <f>+'Table 5C1S-L.C. Coll Prep'!AC56</f>
        <v>0</v>
      </c>
      <c r="BD53" s="219">
        <f>+'Table 5C1T-Northeast'!AC56</f>
        <v>0</v>
      </c>
      <c r="BE53" s="219">
        <f>+'Table 5C1U-Acadiana Ren'!AC56</f>
        <v>0</v>
      </c>
      <c r="BF53" s="219">
        <f>+'Table 5C1V-Laf Ren'!AC56</f>
        <v>0</v>
      </c>
      <c r="BG53" s="219">
        <f>+'Table 5C1W-Willow'!AC56</f>
        <v>0</v>
      </c>
      <c r="BH53" s="219">
        <f>'Table 5C2 - LA Virtual Admy'!AD55</f>
        <v>-189.54</v>
      </c>
      <c r="BI53" s="219">
        <f>'Table 5C3 - LA Connections EBR'!AD55</f>
        <v>-47.384999999999998</v>
      </c>
      <c r="BJ53" s="364">
        <f t="shared" si="58"/>
        <v>3836466.0750000002</v>
      </c>
      <c r="BK53" s="38"/>
    </row>
    <row r="54" spans="1:63" ht="14.4" customHeight="1">
      <c r="A54" s="1250">
        <v>51</v>
      </c>
      <c r="B54" s="1251" t="s">
        <v>130</v>
      </c>
      <c r="C54" s="1252">
        <f>'Table 2_State Distrib and Adjs'!AL57</f>
        <v>3600900</v>
      </c>
      <c r="D54" s="1253">
        <f>-'Table 5A3_OJJ'!W56</f>
        <v>-957</v>
      </c>
      <c r="E54" s="1253"/>
      <c r="F54" s="1253"/>
      <c r="G54" s="1253">
        <f>-'Table 5C1A-Madison Prep'!AI57</f>
        <v>0</v>
      </c>
      <c r="H54" s="1253">
        <f>-'Table 5C1B-DArbonne'!AI57</f>
        <v>0</v>
      </c>
      <c r="I54" s="1253">
        <f>-'Table 5C1C-Intl_VIBE'!AI57</f>
        <v>0</v>
      </c>
      <c r="J54" s="1253">
        <f>-'Table 5C1D-NOMMA'!AI57</f>
        <v>0</v>
      </c>
      <c r="K54" s="1253">
        <f>-'Table 5C1E-LFNO'!AI57</f>
        <v>0</v>
      </c>
      <c r="L54" s="1253">
        <f>-'Table 5C1F-Lake Charles Charter'!AI57</f>
        <v>0</v>
      </c>
      <c r="M54" s="1253">
        <f>-'Table 5C1G-JS Clark Academy'!AI57</f>
        <v>0</v>
      </c>
      <c r="N54" s="1253">
        <f>-'Table 5C1H-Southwest LA Charter'!AI57</f>
        <v>0</v>
      </c>
      <c r="O54" s="1253">
        <f>-'Table 5C1I-LA Key Academy'!AI57</f>
        <v>0</v>
      </c>
      <c r="P54" s="1253">
        <f>-'Table 5C1J-Jefferson Chamber'!AI57</f>
        <v>0</v>
      </c>
      <c r="Q54" s="1253">
        <f>-'Table 5C1K-Tallulah Charter'!AI57</f>
        <v>0</v>
      </c>
      <c r="R54" s="1253">
        <f>-'Table 5C1L-Northshore Charter'!AI57</f>
        <v>0</v>
      </c>
      <c r="S54" s="1253">
        <f>-'Table 5C1M-B.R. Charter'!AI57</f>
        <v>0</v>
      </c>
      <c r="T54" s="1253">
        <f>-'Table 5C1N-Delta Charter'!AI57</f>
        <v>0</v>
      </c>
      <c r="U54" s="1253">
        <f>-'Table 5C1O-Impact'!AI57</f>
        <v>0</v>
      </c>
      <c r="V54" s="1253">
        <f>-'Table 5C1P-Vision'!AI57</f>
        <v>0</v>
      </c>
      <c r="W54" s="1253">
        <f>-'Table 5C1Q-Advantage'!AI57</f>
        <v>0</v>
      </c>
      <c r="X54" s="1253">
        <f>-'Table 5C1R-Iberville'!AI57</f>
        <v>0</v>
      </c>
      <c r="Y54" s="1253">
        <f>-'Table 5C1S-L.C. Coll Prep'!AI57</f>
        <v>0</v>
      </c>
      <c r="Z54" s="1253">
        <f>-'Table 5C1T-Northeast'!AI57</f>
        <v>0</v>
      </c>
      <c r="AA54" s="1253">
        <f>-'Table 5C1U-Acadiana Ren'!AI57</f>
        <v>0</v>
      </c>
      <c r="AB54" s="1253">
        <f>-'Table 5C1V-Laf Ren'!AI57</f>
        <v>0</v>
      </c>
      <c r="AC54" s="1253">
        <f>-'Table 5C1W-Willow'!AI57</f>
        <v>0</v>
      </c>
      <c r="AD54" s="1253">
        <f>-'Table 5C2 - LA Virtual Admy'!AJ56</f>
        <v>-6190</v>
      </c>
      <c r="AE54" s="1253">
        <f>-'Table 5C3 - LA Connections EBR'!AJ56</f>
        <v>-1376</v>
      </c>
      <c r="AF54" s="1253">
        <f t="shared" si="56"/>
        <v>-8523</v>
      </c>
      <c r="AG54" s="1280">
        <f t="shared" si="57"/>
        <v>3592377</v>
      </c>
      <c r="AH54" s="1253"/>
      <c r="AI54" s="1253"/>
      <c r="AJ54" s="1253"/>
      <c r="AK54" s="1253">
        <f>'Table 5C1A-Madison Prep'!AC57</f>
        <v>0</v>
      </c>
      <c r="AL54" s="1253">
        <f>'Table 5C1B-DArbonne'!AC57</f>
        <v>0</v>
      </c>
      <c r="AM54" s="1253">
        <f>'Table 5C1C-Intl_VIBE'!AC57</f>
        <v>0</v>
      </c>
      <c r="AN54" s="1253">
        <f>'Table 5C1D-NOMMA'!AC57</f>
        <v>0</v>
      </c>
      <c r="AO54" s="1253">
        <f>'Table 5C1E-LFNO'!AC57</f>
        <v>0</v>
      </c>
      <c r="AP54" s="1253">
        <f>'Table 5C1F-Lake Charles Charter'!AC57</f>
        <v>0</v>
      </c>
      <c r="AQ54" s="1253">
        <f>'Table 5C1G-JS Clark Academy'!AC57</f>
        <v>0</v>
      </c>
      <c r="AR54" s="1253">
        <f>'Table 5C1H-Southwest LA Charter'!AC57</f>
        <v>0</v>
      </c>
      <c r="AS54" s="1253">
        <f>'Table 5C1I-LA Key Academy'!AC57</f>
        <v>0</v>
      </c>
      <c r="AT54" s="1253">
        <f>'Table 5C1J-Jefferson Chamber'!AC57</f>
        <v>0</v>
      </c>
      <c r="AU54" s="1253">
        <f>'Table 5C1K-Tallulah Charter'!AC57</f>
        <v>0</v>
      </c>
      <c r="AV54" s="1253">
        <f>'Table 5C1L-Northshore Charter'!AC57</f>
        <v>0</v>
      </c>
      <c r="AW54" s="1253">
        <f>'Table 5C1M-B.R. Charter'!AC57</f>
        <v>0</v>
      </c>
      <c r="AX54" s="1253">
        <f>'Table 5C1N-Delta Charter'!AC57</f>
        <v>0</v>
      </c>
      <c r="AY54" s="1253">
        <f>'Table 5C1O-Impact'!AC57</f>
        <v>0</v>
      </c>
      <c r="AZ54" s="1253">
        <f>+'Table 5C1P-Vision'!AC57</f>
        <v>0</v>
      </c>
      <c r="BA54" s="1253">
        <f>+'Table 5C1Q-Advantage'!AC57</f>
        <v>0</v>
      </c>
      <c r="BB54" s="1253">
        <f>+'Table 5C1R-Iberville'!AC57</f>
        <v>0</v>
      </c>
      <c r="BC54" s="1253">
        <f>+'Table 5C1S-L.C. Coll Prep'!AC57</f>
        <v>0</v>
      </c>
      <c r="BD54" s="1253">
        <f>+'Table 5C1T-Northeast'!AC57</f>
        <v>0</v>
      </c>
      <c r="BE54" s="1253">
        <f>+'Table 5C1U-Acadiana Ren'!AC57</f>
        <v>0</v>
      </c>
      <c r="BF54" s="1253">
        <f>+'Table 5C1V-Laf Ren'!AC57</f>
        <v>0</v>
      </c>
      <c r="BG54" s="1253">
        <f>+'Table 5C1W-Willow'!AC57</f>
        <v>0</v>
      </c>
      <c r="BH54" s="1253">
        <f>'Table 5C2 - LA Virtual Admy'!AD56</f>
        <v>-186.17850000000001</v>
      </c>
      <c r="BI54" s="1253">
        <f>'Table 5C3 - LA Connections EBR'!AD56</f>
        <v>-41.373000000000005</v>
      </c>
      <c r="BJ54" s="1280">
        <f t="shared" si="58"/>
        <v>3592149.4484999999</v>
      </c>
      <c r="BK54" s="38"/>
    </row>
    <row r="55" spans="1:63" ht="14.4" customHeight="1">
      <c r="A55" s="1250">
        <v>52</v>
      </c>
      <c r="B55" s="1251" t="s">
        <v>131</v>
      </c>
      <c r="C55" s="1252">
        <f>'Table 2_State Distrib and Adjs'!AL58</f>
        <v>17681470</v>
      </c>
      <c r="D55" s="1253">
        <f>-'Table 5A3_OJJ'!W57</f>
        <v>-3809</v>
      </c>
      <c r="E55" s="1253"/>
      <c r="F55" s="1253"/>
      <c r="G55" s="1253">
        <f>-'Table 5C1A-Madison Prep'!AI58</f>
        <v>0</v>
      </c>
      <c r="H55" s="1253">
        <f>-'Table 5C1B-DArbonne'!AI58</f>
        <v>0</v>
      </c>
      <c r="I55" s="1253">
        <f>-'Table 5C1C-Intl_VIBE'!AI58</f>
        <v>0</v>
      </c>
      <c r="J55" s="1253">
        <f>-'Table 5C1D-NOMMA'!AI58</f>
        <v>0</v>
      </c>
      <c r="K55" s="1253">
        <f>-'Table 5C1E-LFNO'!AI58</f>
        <v>-433</v>
      </c>
      <c r="L55" s="1253">
        <f>-'Table 5C1F-Lake Charles Charter'!AI58</f>
        <v>0</v>
      </c>
      <c r="M55" s="1253">
        <f>-'Table 5C1G-JS Clark Academy'!AI58</f>
        <v>0</v>
      </c>
      <c r="N55" s="1253">
        <f>-'Table 5C1H-Southwest LA Charter'!AI58</f>
        <v>0</v>
      </c>
      <c r="O55" s="1253">
        <f>-'Table 5C1I-LA Key Academy'!AI58</f>
        <v>0</v>
      </c>
      <c r="P55" s="1253">
        <f>-'Table 5C1J-Jefferson Chamber'!AI58</f>
        <v>0</v>
      </c>
      <c r="Q55" s="1253">
        <f>-'Table 5C1K-Tallulah Charter'!AI58</f>
        <v>0</v>
      </c>
      <c r="R55" s="1253">
        <f>-'Table 5C1L-Northshore Charter'!AI58</f>
        <v>0</v>
      </c>
      <c r="S55" s="1253">
        <f>-'Table 5C1M-B.R. Charter'!AI58</f>
        <v>0</v>
      </c>
      <c r="T55" s="1253">
        <f>-'Table 5C1N-Delta Charter'!AI58</f>
        <v>0</v>
      </c>
      <c r="U55" s="1253">
        <f>-'Table 5C1O-Impact'!AI58</f>
        <v>0</v>
      </c>
      <c r="V55" s="1253">
        <f>-'Table 5C1P-Vision'!AI58</f>
        <v>0</v>
      </c>
      <c r="W55" s="1253">
        <f>-'Table 5C1Q-Advantage'!AI58</f>
        <v>0</v>
      </c>
      <c r="X55" s="1253">
        <f>-'Table 5C1R-Iberville'!AI58</f>
        <v>0</v>
      </c>
      <c r="Y55" s="1253">
        <f>-'Table 5C1S-L.C. Coll Prep'!AI58</f>
        <v>0</v>
      </c>
      <c r="Z55" s="1253">
        <f>-'Table 5C1T-Northeast'!AI58</f>
        <v>0</v>
      </c>
      <c r="AA55" s="1253">
        <f>-'Table 5C1U-Acadiana Ren'!AI58</f>
        <v>0</v>
      </c>
      <c r="AB55" s="1253">
        <f>-'Table 5C1V-Laf Ren'!AI58</f>
        <v>0</v>
      </c>
      <c r="AC55" s="1253">
        <f>-'Table 5C1W-Willow'!AI58</f>
        <v>0</v>
      </c>
      <c r="AD55" s="1253">
        <f>-'Table 5C2 - LA Virtual Admy'!AJ57</f>
        <v>-37823</v>
      </c>
      <c r="AE55" s="1253">
        <f>-'Table 5C3 - LA Connections EBR'!AJ57</f>
        <v>-38992</v>
      </c>
      <c r="AF55" s="1253">
        <f t="shared" si="56"/>
        <v>-81057</v>
      </c>
      <c r="AG55" s="1280">
        <f t="shared" si="57"/>
        <v>17600413</v>
      </c>
      <c r="AH55" s="1253"/>
      <c r="AI55" s="1253"/>
      <c r="AJ55" s="1253"/>
      <c r="AK55" s="1253">
        <f>'Table 5C1A-Madison Prep'!AC58</f>
        <v>0</v>
      </c>
      <c r="AL55" s="1253">
        <f>'Table 5C1B-DArbonne'!AC58</f>
        <v>0</v>
      </c>
      <c r="AM55" s="1253">
        <f>'Table 5C1C-Intl_VIBE'!AC58</f>
        <v>0</v>
      </c>
      <c r="AN55" s="1253">
        <f>'Table 5C1D-NOMMA'!AC58</f>
        <v>0</v>
      </c>
      <c r="AO55" s="1253">
        <f>'Table 5C1E-LFNO'!AC58</f>
        <v>-13.030000000000001</v>
      </c>
      <c r="AP55" s="1253">
        <f>'Table 5C1F-Lake Charles Charter'!AC58</f>
        <v>0</v>
      </c>
      <c r="AQ55" s="1253">
        <f>'Table 5C1G-JS Clark Academy'!AC58</f>
        <v>0</v>
      </c>
      <c r="AR55" s="1253">
        <f>'Table 5C1H-Southwest LA Charter'!AC58</f>
        <v>0</v>
      </c>
      <c r="AS55" s="1253">
        <f>'Table 5C1I-LA Key Academy'!AC58</f>
        <v>0</v>
      </c>
      <c r="AT55" s="1253">
        <f>'Table 5C1J-Jefferson Chamber'!AC58</f>
        <v>0</v>
      </c>
      <c r="AU55" s="1253">
        <f>'Table 5C1K-Tallulah Charter'!AC58</f>
        <v>0</v>
      </c>
      <c r="AV55" s="1253">
        <f>'Table 5C1L-Northshore Charter'!AC58</f>
        <v>0</v>
      </c>
      <c r="AW55" s="1253">
        <f>'Table 5C1M-B.R. Charter'!AC58</f>
        <v>0</v>
      </c>
      <c r="AX55" s="1253">
        <f>'Table 5C1N-Delta Charter'!AC58</f>
        <v>0</v>
      </c>
      <c r="AY55" s="1253">
        <f>'Table 5C1O-Impact'!AC58</f>
        <v>0</v>
      </c>
      <c r="AZ55" s="1253">
        <f>+'Table 5C1P-Vision'!AC58</f>
        <v>0</v>
      </c>
      <c r="BA55" s="1253">
        <f>+'Table 5C1Q-Advantage'!AC58</f>
        <v>0</v>
      </c>
      <c r="BB55" s="1253">
        <f>+'Table 5C1R-Iberville'!AC58</f>
        <v>0</v>
      </c>
      <c r="BC55" s="1253">
        <f>+'Table 5C1S-L.C. Coll Prep'!AC58</f>
        <v>0</v>
      </c>
      <c r="BD55" s="1253">
        <f>+'Table 5C1T-Northeast'!AC58</f>
        <v>0</v>
      </c>
      <c r="BE55" s="1253">
        <f>+'Table 5C1U-Acadiana Ren'!AC58</f>
        <v>0</v>
      </c>
      <c r="BF55" s="1253">
        <f>+'Table 5C1V-Laf Ren'!AC58</f>
        <v>0</v>
      </c>
      <c r="BG55" s="1253">
        <f>+'Table 5C1W-Willow'!AC58</f>
        <v>0</v>
      </c>
      <c r="BH55" s="1253">
        <f>'Table 5C2 - LA Virtual Admy'!AD57</f>
        <v>-1137.519</v>
      </c>
      <c r="BI55" s="1253">
        <f>'Table 5C3 - LA Connections EBR'!AD57</f>
        <v>-1172.7</v>
      </c>
      <c r="BJ55" s="1280">
        <f t="shared" si="58"/>
        <v>17598089.750999998</v>
      </c>
      <c r="BK55" s="38"/>
    </row>
    <row r="56" spans="1:63" ht="14.4" customHeight="1">
      <c r="A56" s="1250">
        <v>53</v>
      </c>
      <c r="B56" s="1251" t="s">
        <v>132</v>
      </c>
      <c r="C56" s="1252">
        <f>'Table 2_State Distrib and Adjs'!AL59</f>
        <v>9256952</v>
      </c>
      <c r="D56" s="1253">
        <f>-'Table 5A3_OJJ'!W58</f>
        <v>-1787</v>
      </c>
      <c r="E56" s="1253"/>
      <c r="F56" s="1253"/>
      <c r="G56" s="1253">
        <f>-'Table 5C1A-Madison Prep'!AI59</f>
        <v>0</v>
      </c>
      <c r="H56" s="1253">
        <f>-'Table 5C1B-DArbonne'!AI59</f>
        <v>0</v>
      </c>
      <c r="I56" s="1253">
        <f>-'Table 5C1C-Intl_VIBE'!AI59</f>
        <v>0</v>
      </c>
      <c r="J56" s="1253">
        <f>-'Table 5C1D-NOMMA'!AI59</f>
        <v>0</v>
      </c>
      <c r="K56" s="1253">
        <f>-'Table 5C1E-LFNO'!AI59</f>
        <v>0</v>
      </c>
      <c r="L56" s="1253">
        <f>-'Table 5C1F-Lake Charles Charter'!AI59</f>
        <v>0</v>
      </c>
      <c r="M56" s="1253">
        <f>-'Table 5C1G-JS Clark Academy'!AI59</f>
        <v>0</v>
      </c>
      <c r="N56" s="1253">
        <f>-'Table 5C1H-Southwest LA Charter'!AI59</f>
        <v>0</v>
      </c>
      <c r="O56" s="1253">
        <f>-'Table 5C1I-LA Key Academy'!AI59</f>
        <v>0</v>
      </c>
      <c r="P56" s="1253">
        <f>-'Table 5C1J-Jefferson Chamber'!AI59</f>
        <v>0</v>
      </c>
      <c r="Q56" s="1253">
        <f>-'Table 5C1K-Tallulah Charter'!AI59</f>
        <v>0</v>
      </c>
      <c r="R56" s="1253">
        <f>-'Table 5C1L-Northshore Charter'!AI59</f>
        <v>0</v>
      </c>
      <c r="S56" s="1253">
        <f>-'Table 5C1M-B.R. Charter'!AI59</f>
        <v>0</v>
      </c>
      <c r="T56" s="1253">
        <f>-'Table 5C1N-Delta Charter'!AI59</f>
        <v>0</v>
      </c>
      <c r="U56" s="1253">
        <f>-'Table 5C1O-Impact'!AI59</f>
        <v>0</v>
      </c>
      <c r="V56" s="1253">
        <f>-'Table 5C1P-Vision'!AI59</f>
        <v>0</v>
      </c>
      <c r="W56" s="1253">
        <f>-'Table 5C1Q-Advantage'!AI59</f>
        <v>0</v>
      </c>
      <c r="X56" s="1253">
        <f>-'Table 5C1R-Iberville'!AI59</f>
        <v>0</v>
      </c>
      <c r="Y56" s="1253">
        <f>-'Table 5C1S-L.C. Coll Prep'!AI59</f>
        <v>0</v>
      </c>
      <c r="Z56" s="1253">
        <f>-'Table 5C1T-Northeast'!AI59</f>
        <v>0</v>
      </c>
      <c r="AA56" s="1253">
        <f>-'Table 5C1U-Acadiana Ren'!AI59</f>
        <v>0</v>
      </c>
      <c r="AB56" s="1253">
        <f>-'Table 5C1V-Laf Ren'!AI59</f>
        <v>0</v>
      </c>
      <c r="AC56" s="1253">
        <f>-'Table 5C1W-Willow'!AI59</f>
        <v>0</v>
      </c>
      <c r="AD56" s="1253">
        <f>-'Table 5C2 - LA Virtual Admy'!AJ58</f>
        <v>-15827</v>
      </c>
      <c r="AE56" s="1253">
        <f>-'Table 5C3 - LA Connections EBR'!AJ58</f>
        <v>-10296</v>
      </c>
      <c r="AF56" s="1253">
        <f t="shared" si="56"/>
        <v>-27910</v>
      </c>
      <c r="AG56" s="1280">
        <f t="shared" si="57"/>
        <v>9229042</v>
      </c>
      <c r="AH56" s="1253"/>
      <c r="AI56" s="1253"/>
      <c r="AJ56" s="1253"/>
      <c r="AK56" s="1253">
        <f>'Table 5C1A-Madison Prep'!AC59</f>
        <v>0</v>
      </c>
      <c r="AL56" s="1253">
        <f>'Table 5C1B-DArbonne'!AC59</f>
        <v>0</v>
      </c>
      <c r="AM56" s="1253">
        <f>'Table 5C1C-Intl_VIBE'!AC59</f>
        <v>0</v>
      </c>
      <c r="AN56" s="1253">
        <f>'Table 5C1D-NOMMA'!AC59</f>
        <v>0</v>
      </c>
      <c r="AO56" s="1253">
        <f>'Table 5C1E-LFNO'!AC59</f>
        <v>0</v>
      </c>
      <c r="AP56" s="1253">
        <f>'Table 5C1F-Lake Charles Charter'!AC59</f>
        <v>0</v>
      </c>
      <c r="AQ56" s="1253">
        <f>'Table 5C1G-JS Clark Academy'!AC59</f>
        <v>0</v>
      </c>
      <c r="AR56" s="1253">
        <f>'Table 5C1H-Southwest LA Charter'!AC59</f>
        <v>0</v>
      </c>
      <c r="AS56" s="1253">
        <f>'Table 5C1I-LA Key Academy'!AC59</f>
        <v>0</v>
      </c>
      <c r="AT56" s="1253">
        <f>'Table 5C1J-Jefferson Chamber'!AC59</f>
        <v>0</v>
      </c>
      <c r="AU56" s="1253">
        <f>'Table 5C1K-Tallulah Charter'!AC59</f>
        <v>0</v>
      </c>
      <c r="AV56" s="1253">
        <f>'Table 5C1L-Northshore Charter'!AC59</f>
        <v>0</v>
      </c>
      <c r="AW56" s="1253">
        <f>'Table 5C1M-B.R. Charter'!AC59</f>
        <v>0</v>
      </c>
      <c r="AX56" s="1253">
        <f>'Table 5C1N-Delta Charter'!AC59</f>
        <v>0</v>
      </c>
      <c r="AY56" s="1253">
        <f>'Table 5C1O-Impact'!AC59</f>
        <v>0</v>
      </c>
      <c r="AZ56" s="1253">
        <f>+'Table 5C1P-Vision'!AC59</f>
        <v>0</v>
      </c>
      <c r="BA56" s="1253">
        <f>+'Table 5C1Q-Advantage'!AC59</f>
        <v>0</v>
      </c>
      <c r="BB56" s="1253">
        <f>+'Table 5C1R-Iberville'!AC59</f>
        <v>0</v>
      </c>
      <c r="BC56" s="1253">
        <f>+'Table 5C1S-L.C. Coll Prep'!AC59</f>
        <v>0</v>
      </c>
      <c r="BD56" s="1253">
        <f>+'Table 5C1T-Northeast'!AC59</f>
        <v>0</v>
      </c>
      <c r="BE56" s="1253">
        <f>+'Table 5C1U-Acadiana Ren'!AC59</f>
        <v>0</v>
      </c>
      <c r="BF56" s="1253">
        <f>+'Table 5C1V-Laf Ren'!AC59</f>
        <v>0</v>
      </c>
      <c r="BG56" s="1253">
        <f>+'Table 5C1W-Willow'!AC59</f>
        <v>0</v>
      </c>
      <c r="BH56" s="1253">
        <f>'Table 5C2 - LA Virtual Admy'!AD58</f>
        <v>-476.01450000000006</v>
      </c>
      <c r="BI56" s="1253">
        <f>'Table 5C3 - LA Connections EBR'!AD58</f>
        <v>-309.64050000000003</v>
      </c>
      <c r="BJ56" s="1280">
        <f t="shared" si="58"/>
        <v>9228256.3450000007</v>
      </c>
      <c r="BK56" s="38"/>
    </row>
    <row r="57" spans="1:63" ht="14.4" customHeight="1">
      <c r="A57" s="1250">
        <v>54</v>
      </c>
      <c r="B57" s="1251" t="s">
        <v>133</v>
      </c>
      <c r="C57" s="1252">
        <f>'Table 2_State Distrib and Adjs'!AL60</f>
        <v>366528</v>
      </c>
      <c r="D57" s="1253">
        <f>-'Table 5A3_OJJ'!W59</f>
        <v>-329</v>
      </c>
      <c r="E57" s="1253"/>
      <c r="F57" s="1253"/>
      <c r="G57" s="1253">
        <f>-'Table 5C1A-Madison Prep'!AI60</f>
        <v>0</v>
      </c>
      <c r="H57" s="1253">
        <f>-'Table 5C1B-DArbonne'!AI60</f>
        <v>0</v>
      </c>
      <c r="I57" s="1253">
        <f>-'Table 5C1C-Intl_VIBE'!AI60</f>
        <v>0</v>
      </c>
      <c r="J57" s="1253">
        <f>-'Table 5C1D-NOMMA'!AI60</f>
        <v>0</v>
      </c>
      <c r="K57" s="1253">
        <f>-'Table 5C1E-LFNO'!AI60</f>
        <v>0</v>
      </c>
      <c r="L57" s="1253">
        <f>-'Table 5C1F-Lake Charles Charter'!AI60</f>
        <v>0</v>
      </c>
      <c r="M57" s="1253">
        <f>-'Table 5C1G-JS Clark Academy'!AI60</f>
        <v>0</v>
      </c>
      <c r="N57" s="1253">
        <f>-'Table 5C1H-Southwest LA Charter'!AI60</f>
        <v>0</v>
      </c>
      <c r="O57" s="1253">
        <f>-'Table 5C1I-LA Key Academy'!AI60</f>
        <v>0</v>
      </c>
      <c r="P57" s="1253">
        <f>-'Table 5C1J-Jefferson Chamber'!AI60</f>
        <v>0</v>
      </c>
      <c r="Q57" s="1253">
        <f>-'Table 5C1K-Tallulah Charter'!AI60</f>
        <v>0</v>
      </c>
      <c r="R57" s="1253">
        <f>-'Table 5C1L-Northshore Charter'!AI60</f>
        <v>0</v>
      </c>
      <c r="S57" s="1253">
        <f>-'Table 5C1M-B.R. Charter'!AI60</f>
        <v>0</v>
      </c>
      <c r="T57" s="1253">
        <f>-'Table 5C1N-Delta Charter'!AI60</f>
        <v>-2737</v>
      </c>
      <c r="U57" s="1253">
        <f>-'Table 5C1O-Impact'!AI60</f>
        <v>0</v>
      </c>
      <c r="V57" s="1253">
        <f>-'Table 5C1P-Vision'!AI60</f>
        <v>0</v>
      </c>
      <c r="W57" s="1253">
        <f>-'Table 5C1Q-Advantage'!AI60</f>
        <v>0</v>
      </c>
      <c r="X57" s="1253">
        <f>-'Table 5C1R-Iberville'!AI60</f>
        <v>0</v>
      </c>
      <c r="Y57" s="1253">
        <f>-'Table 5C1S-L.C. Coll Prep'!AI60</f>
        <v>0</v>
      </c>
      <c r="Z57" s="1253">
        <f>-'Table 5C1T-Northeast'!AI60</f>
        <v>0</v>
      </c>
      <c r="AA57" s="1253">
        <f>-'Table 5C1U-Acadiana Ren'!AI60</f>
        <v>0</v>
      </c>
      <c r="AB57" s="1253">
        <f>-'Table 5C1V-Laf Ren'!AI60</f>
        <v>0</v>
      </c>
      <c r="AC57" s="1253">
        <f>-'Table 5C1W-Willow'!AI60</f>
        <v>0</v>
      </c>
      <c r="AD57" s="1253">
        <f>-'Table 5C2 - LA Virtual Admy'!AJ59</f>
        <v>0</v>
      </c>
      <c r="AE57" s="1253">
        <f>-'Table 5C3 - LA Connections EBR'!AJ59</f>
        <v>-1848</v>
      </c>
      <c r="AF57" s="1253">
        <f t="shared" si="56"/>
        <v>-4914</v>
      </c>
      <c r="AG57" s="1280">
        <f t="shared" si="57"/>
        <v>361614</v>
      </c>
      <c r="AH57" s="1253"/>
      <c r="AI57" s="1253"/>
      <c r="AJ57" s="1253"/>
      <c r="AK57" s="1253">
        <f>'Table 5C1A-Madison Prep'!AC60</f>
        <v>0</v>
      </c>
      <c r="AL57" s="1253">
        <f>'Table 5C1B-DArbonne'!AC60</f>
        <v>0</v>
      </c>
      <c r="AM57" s="1253">
        <f>'Table 5C1C-Intl_VIBE'!AC60</f>
        <v>0</v>
      </c>
      <c r="AN57" s="1253">
        <f>'Table 5C1D-NOMMA'!AC60</f>
        <v>0</v>
      </c>
      <c r="AO57" s="1253">
        <f>'Table 5C1E-LFNO'!AC60</f>
        <v>0</v>
      </c>
      <c r="AP57" s="1253">
        <f>'Table 5C1F-Lake Charles Charter'!AC60</f>
        <v>0</v>
      </c>
      <c r="AQ57" s="1253">
        <f>'Table 5C1G-JS Clark Academy'!AC60</f>
        <v>0</v>
      </c>
      <c r="AR57" s="1253">
        <f>'Table 5C1H-Southwest LA Charter'!AC60</f>
        <v>0</v>
      </c>
      <c r="AS57" s="1253">
        <f>'Table 5C1I-LA Key Academy'!AC60</f>
        <v>0</v>
      </c>
      <c r="AT57" s="1253">
        <f>'Table 5C1J-Jefferson Chamber'!AC60</f>
        <v>0</v>
      </c>
      <c r="AU57" s="1253">
        <f>'Table 5C1K-Tallulah Charter'!AC60</f>
        <v>0</v>
      </c>
      <c r="AV57" s="1253">
        <f>'Table 5C1L-Northshore Charter'!AC60</f>
        <v>0</v>
      </c>
      <c r="AW57" s="1253">
        <f>'Table 5C1M-B.R. Charter'!AC60</f>
        <v>0</v>
      </c>
      <c r="AX57" s="1253">
        <f>'Table 5C1N-Delta Charter'!AC60</f>
        <v>-82.320000000000007</v>
      </c>
      <c r="AY57" s="1253">
        <f>'Table 5C1O-Impact'!AC60</f>
        <v>0</v>
      </c>
      <c r="AZ57" s="1253">
        <f>+'Table 5C1P-Vision'!AC60</f>
        <v>0</v>
      </c>
      <c r="BA57" s="1253">
        <f>+'Table 5C1Q-Advantage'!AC60</f>
        <v>0</v>
      </c>
      <c r="BB57" s="1253">
        <f>+'Table 5C1R-Iberville'!AC60</f>
        <v>0</v>
      </c>
      <c r="BC57" s="1253">
        <f>+'Table 5C1S-L.C. Coll Prep'!AC60</f>
        <v>0</v>
      </c>
      <c r="BD57" s="1253">
        <f>+'Table 5C1T-Northeast'!AC60</f>
        <v>0</v>
      </c>
      <c r="BE57" s="1253">
        <f>+'Table 5C1U-Acadiana Ren'!AC60</f>
        <v>0</v>
      </c>
      <c r="BF57" s="1253">
        <f>+'Table 5C1V-Laf Ren'!AC60</f>
        <v>0</v>
      </c>
      <c r="BG57" s="1253">
        <f>+'Table 5C1W-Willow'!AC60</f>
        <v>0</v>
      </c>
      <c r="BH57" s="1253">
        <f>'Table 5C2 - LA Virtual Admy'!AD59</f>
        <v>0</v>
      </c>
      <c r="BI57" s="1253">
        <f>'Table 5C3 - LA Connections EBR'!AD59</f>
        <v>-55.566000000000003</v>
      </c>
      <c r="BJ57" s="1280">
        <f t="shared" si="58"/>
        <v>361476.114</v>
      </c>
      <c r="BK57" s="38"/>
    </row>
    <row r="58" spans="1:63" ht="14.4" customHeight="1">
      <c r="A58" s="85">
        <v>55</v>
      </c>
      <c r="B58" s="207" t="s">
        <v>134</v>
      </c>
      <c r="C58" s="209">
        <f>'Table 2_State Distrib and Adjs'!AL61</f>
        <v>7492277</v>
      </c>
      <c r="D58" s="219">
        <f>-'Table 5A3_OJJ'!W60</f>
        <v>-5231</v>
      </c>
      <c r="E58" s="219"/>
      <c r="F58" s="219"/>
      <c r="G58" s="219">
        <f>-'Table 5C1A-Madison Prep'!AI61</f>
        <v>0</v>
      </c>
      <c r="H58" s="219">
        <f>-'Table 5C1B-DArbonne'!AI61</f>
        <v>0</v>
      </c>
      <c r="I58" s="219">
        <f>-'Table 5C1C-Intl_VIBE'!AI61</f>
        <v>0</v>
      </c>
      <c r="J58" s="219">
        <f>-'Table 5C1D-NOMMA'!AI61</f>
        <v>0</v>
      </c>
      <c r="K58" s="219">
        <f>-'Table 5C1E-LFNO'!AI61</f>
        <v>0</v>
      </c>
      <c r="L58" s="219">
        <f>-'Table 5C1F-Lake Charles Charter'!AI61</f>
        <v>0</v>
      </c>
      <c r="M58" s="219">
        <f>-'Table 5C1G-JS Clark Academy'!AI61</f>
        <v>0</v>
      </c>
      <c r="N58" s="219">
        <f>-'Table 5C1H-Southwest LA Charter'!AI61</f>
        <v>0</v>
      </c>
      <c r="O58" s="219">
        <f>-'Table 5C1I-LA Key Academy'!AI61</f>
        <v>0</v>
      </c>
      <c r="P58" s="219">
        <f>-'Table 5C1J-Jefferson Chamber'!AI61</f>
        <v>0</v>
      </c>
      <c r="Q58" s="219">
        <f>-'Table 5C1K-Tallulah Charter'!AI61</f>
        <v>0</v>
      </c>
      <c r="R58" s="219">
        <f>-'Table 5C1L-Northshore Charter'!AI61</f>
        <v>0</v>
      </c>
      <c r="S58" s="219">
        <f>-'Table 5C1M-B.R. Charter'!AI61</f>
        <v>0</v>
      </c>
      <c r="T58" s="219">
        <f>-'Table 5C1N-Delta Charter'!AI61</f>
        <v>0</v>
      </c>
      <c r="U58" s="219">
        <f>-'Table 5C1O-Impact'!AI61</f>
        <v>0</v>
      </c>
      <c r="V58" s="219">
        <f>-'Table 5C1P-Vision'!AI61</f>
        <v>0</v>
      </c>
      <c r="W58" s="219">
        <f>-'Table 5C1Q-Advantage'!AI61</f>
        <v>0</v>
      </c>
      <c r="X58" s="219">
        <f>-'Table 5C1R-Iberville'!AI61</f>
        <v>0</v>
      </c>
      <c r="Y58" s="219">
        <f>-'Table 5C1S-L.C. Coll Prep'!AI61</f>
        <v>0</v>
      </c>
      <c r="Z58" s="219">
        <f>-'Table 5C1T-Northeast'!AI61</f>
        <v>0</v>
      </c>
      <c r="AA58" s="219">
        <f>-'Table 5C1U-Acadiana Ren'!AI61</f>
        <v>0</v>
      </c>
      <c r="AB58" s="219">
        <f>-'Table 5C1V-Laf Ren'!AI61</f>
        <v>0</v>
      </c>
      <c r="AC58" s="219">
        <f>-'Table 5C1W-Willow'!AI61</f>
        <v>0</v>
      </c>
      <c r="AD58" s="219">
        <f>-'Table 5C2 - LA Virtual Admy'!AJ60</f>
        <v>-9777</v>
      </c>
      <c r="AE58" s="219">
        <f>-'Table 5C3 - LA Connections EBR'!AJ60</f>
        <v>-8191</v>
      </c>
      <c r="AF58" s="219">
        <f t="shared" si="56"/>
        <v>-23199</v>
      </c>
      <c r="AG58" s="364">
        <f t="shared" si="57"/>
        <v>7469078</v>
      </c>
      <c r="AH58" s="219"/>
      <c r="AI58" s="219"/>
      <c r="AJ58" s="219"/>
      <c r="AK58" s="219">
        <f>'Table 5C1A-Madison Prep'!AC61</f>
        <v>0</v>
      </c>
      <c r="AL58" s="219">
        <f>'Table 5C1B-DArbonne'!AC61</f>
        <v>0</v>
      </c>
      <c r="AM58" s="219">
        <f>'Table 5C1C-Intl_VIBE'!AC61</f>
        <v>0</v>
      </c>
      <c r="AN58" s="219">
        <f>'Table 5C1D-NOMMA'!AC61</f>
        <v>0</v>
      </c>
      <c r="AO58" s="219">
        <f>'Table 5C1E-LFNO'!AC61</f>
        <v>0</v>
      </c>
      <c r="AP58" s="219">
        <f>'Table 5C1F-Lake Charles Charter'!AC61</f>
        <v>0</v>
      </c>
      <c r="AQ58" s="219">
        <f>'Table 5C1G-JS Clark Academy'!AC61</f>
        <v>0</v>
      </c>
      <c r="AR58" s="219">
        <f>'Table 5C1H-Southwest LA Charter'!AC61</f>
        <v>0</v>
      </c>
      <c r="AS58" s="219">
        <f>'Table 5C1I-LA Key Academy'!AC61</f>
        <v>0</v>
      </c>
      <c r="AT58" s="219">
        <f>'Table 5C1J-Jefferson Chamber'!AC61</f>
        <v>0</v>
      </c>
      <c r="AU58" s="219">
        <f>'Table 5C1K-Tallulah Charter'!AC61</f>
        <v>0</v>
      </c>
      <c r="AV58" s="219">
        <f>'Table 5C1L-Northshore Charter'!AC61</f>
        <v>0</v>
      </c>
      <c r="AW58" s="219">
        <f>'Table 5C1M-B.R. Charter'!AC61</f>
        <v>0</v>
      </c>
      <c r="AX58" s="219">
        <f>'Table 5C1N-Delta Charter'!AC61</f>
        <v>0</v>
      </c>
      <c r="AY58" s="219">
        <f>'Table 5C1O-Impact'!AC61</f>
        <v>0</v>
      </c>
      <c r="AZ58" s="219">
        <f>+'Table 5C1P-Vision'!AC61</f>
        <v>0</v>
      </c>
      <c r="BA58" s="219">
        <f>+'Table 5C1Q-Advantage'!AC61</f>
        <v>0</v>
      </c>
      <c r="BB58" s="219">
        <f>+'Table 5C1R-Iberville'!AC61</f>
        <v>0</v>
      </c>
      <c r="BC58" s="219">
        <f>+'Table 5C1S-L.C. Coll Prep'!AC61</f>
        <v>0</v>
      </c>
      <c r="BD58" s="219">
        <f>+'Table 5C1T-Northeast'!AC61</f>
        <v>0</v>
      </c>
      <c r="BE58" s="219">
        <f>+'Table 5C1U-Acadiana Ren'!AC61</f>
        <v>0</v>
      </c>
      <c r="BF58" s="219">
        <f>+'Table 5C1V-Laf Ren'!AC61</f>
        <v>0</v>
      </c>
      <c r="BG58" s="219">
        <f>+'Table 5C1W-Willow'!AC61</f>
        <v>0</v>
      </c>
      <c r="BH58" s="219">
        <f>'Table 5C2 - LA Virtual Admy'!AD60</f>
        <v>-294.03900000000004</v>
      </c>
      <c r="BI58" s="219">
        <f>'Table 5C3 - LA Connections EBR'!AD60</f>
        <v>-246.357</v>
      </c>
      <c r="BJ58" s="364">
        <f t="shared" si="58"/>
        <v>7468537.6040000003</v>
      </c>
      <c r="BK58" s="38"/>
    </row>
    <row r="59" spans="1:63" ht="14.4" customHeight="1">
      <c r="A59" s="1250">
        <v>56</v>
      </c>
      <c r="B59" s="1251" t="s">
        <v>135</v>
      </c>
      <c r="C59" s="1252">
        <f>'Table 2_State Distrib and Adjs'!AL62</f>
        <v>1032558</v>
      </c>
      <c r="D59" s="1253">
        <f>-'Table 5A3_OJJ'!W61</f>
        <v>0</v>
      </c>
      <c r="E59" s="1253"/>
      <c r="F59" s="1253"/>
      <c r="G59" s="1253">
        <f>-'Table 5C1A-Madison Prep'!AI62</f>
        <v>0</v>
      </c>
      <c r="H59" s="1253">
        <f>-'Table 5C1B-DArbonne'!AI62</f>
        <v>-162897</v>
      </c>
      <c r="I59" s="1253">
        <f>-'Table 5C1C-Intl_VIBE'!AI62</f>
        <v>0</v>
      </c>
      <c r="J59" s="1253">
        <f>-'Table 5C1D-NOMMA'!AI62</f>
        <v>0</v>
      </c>
      <c r="K59" s="1253">
        <f>-'Table 5C1E-LFNO'!AI62</f>
        <v>0</v>
      </c>
      <c r="L59" s="1253">
        <f>-'Table 5C1F-Lake Charles Charter'!AI62</f>
        <v>0</v>
      </c>
      <c r="M59" s="1253">
        <f>-'Table 5C1G-JS Clark Academy'!AI62</f>
        <v>0</v>
      </c>
      <c r="N59" s="1253">
        <f>-'Table 5C1H-Southwest LA Charter'!AI62</f>
        <v>0</v>
      </c>
      <c r="O59" s="1253">
        <f>-'Table 5C1I-LA Key Academy'!AI62</f>
        <v>0</v>
      </c>
      <c r="P59" s="1253">
        <f>-'Table 5C1J-Jefferson Chamber'!AI62</f>
        <v>0</v>
      </c>
      <c r="Q59" s="1253">
        <f>-'Table 5C1K-Tallulah Charter'!AI62</f>
        <v>0</v>
      </c>
      <c r="R59" s="1253">
        <f>-'Table 5C1L-Northshore Charter'!AI62</f>
        <v>0</v>
      </c>
      <c r="S59" s="1253">
        <f>-'Table 5C1M-B.R. Charter'!AI62</f>
        <v>0</v>
      </c>
      <c r="T59" s="1253">
        <f>-'Table 5C1N-Delta Charter'!AI62</f>
        <v>0</v>
      </c>
      <c r="U59" s="1253">
        <f>-'Table 5C1O-Impact'!AI62</f>
        <v>0</v>
      </c>
      <c r="V59" s="1253">
        <f>-'Table 5C1P-Vision'!AI62</f>
        <v>0</v>
      </c>
      <c r="W59" s="1253">
        <f>-'Table 5C1Q-Advantage'!AI62</f>
        <v>0</v>
      </c>
      <c r="X59" s="1253">
        <f>-'Table 5C1R-Iberville'!AI62</f>
        <v>0</v>
      </c>
      <c r="Y59" s="1253">
        <f>-'Table 5C1S-L.C. Coll Prep'!AI62</f>
        <v>0</v>
      </c>
      <c r="Z59" s="1253">
        <f>-'Table 5C1T-Northeast'!AI62</f>
        <v>-9526</v>
      </c>
      <c r="AA59" s="1253">
        <f>-'Table 5C1U-Acadiana Ren'!AI62</f>
        <v>0</v>
      </c>
      <c r="AB59" s="1253">
        <f>-'Table 5C1V-Laf Ren'!AI62</f>
        <v>0</v>
      </c>
      <c r="AC59" s="1253">
        <f>-'Table 5C1W-Willow'!AI62</f>
        <v>0</v>
      </c>
      <c r="AD59" s="1253">
        <f>-'Table 5C2 - LA Virtual Admy'!AJ61</f>
        <v>-1286</v>
      </c>
      <c r="AE59" s="1253">
        <f>-'Table 5C3 - LA Connections EBR'!AJ61</f>
        <v>-857</v>
      </c>
      <c r="AF59" s="1253">
        <f t="shared" si="56"/>
        <v>-174566</v>
      </c>
      <c r="AG59" s="1280">
        <f t="shared" si="57"/>
        <v>857992</v>
      </c>
      <c r="AH59" s="1253"/>
      <c r="AI59" s="1253"/>
      <c r="AJ59" s="1253"/>
      <c r="AK59" s="1253">
        <f>'Table 5C1A-Madison Prep'!AC62</f>
        <v>0</v>
      </c>
      <c r="AL59" s="1253">
        <f>'Table 5C1B-DArbonne'!AC62</f>
        <v>-4899.1500000000005</v>
      </c>
      <c r="AM59" s="1253">
        <f>'Table 5C1C-Intl_VIBE'!AC62</f>
        <v>0</v>
      </c>
      <c r="AN59" s="1253">
        <f>'Table 5C1D-NOMMA'!AC62</f>
        <v>0</v>
      </c>
      <c r="AO59" s="1253">
        <f>'Table 5C1E-LFNO'!AC62</f>
        <v>0</v>
      </c>
      <c r="AP59" s="1253">
        <f>'Table 5C1F-Lake Charles Charter'!AC62</f>
        <v>0</v>
      </c>
      <c r="AQ59" s="1253">
        <f>'Table 5C1G-JS Clark Academy'!AC62</f>
        <v>0</v>
      </c>
      <c r="AR59" s="1253">
        <f>'Table 5C1H-Southwest LA Charter'!AC62</f>
        <v>0</v>
      </c>
      <c r="AS59" s="1253">
        <f>'Table 5C1I-LA Key Academy'!AC62</f>
        <v>0</v>
      </c>
      <c r="AT59" s="1253">
        <f>'Table 5C1J-Jefferson Chamber'!AC62</f>
        <v>0</v>
      </c>
      <c r="AU59" s="1253">
        <f>'Table 5C1K-Tallulah Charter'!AC62</f>
        <v>0</v>
      </c>
      <c r="AV59" s="1253">
        <f>'Table 5C1L-Northshore Charter'!AC62</f>
        <v>0</v>
      </c>
      <c r="AW59" s="1253">
        <f>'Table 5C1M-B.R. Charter'!AC62</f>
        <v>0</v>
      </c>
      <c r="AX59" s="1253">
        <f>'Table 5C1N-Delta Charter'!AC62</f>
        <v>0</v>
      </c>
      <c r="AY59" s="1253">
        <f>'Table 5C1O-Impact'!AC62</f>
        <v>0</v>
      </c>
      <c r="AZ59" s="1253">
        <f>+'Table 5C1P-Vision'!AC62</f>
        <v>0</v>
      </c>
      <c r="BA59" s="1253">
        <f>+'Table 5C1Q-Advantage'!AC62</f>
        <v>0</v>
      </c>
      <c r="BB59" s="1253">
        <f>+'Table 5C1R-Iberville'!AC62</f>
        <v>0</v>
      </c>
      <c r="BC59" s="1253">
        <f>+'Table 5C1S-L.C. Coll Prep'!AC62</f>
        <v>0</v>
      </c>
      <c r="BD59" s="1253">
        <f>+'Table 5C1T-Northeast'!AC62</f>
        <v>-286.5</v>
      </c>
      <c r="BE59" s="1253">
        <f>+'Table 5C1U-Acadiana Ren'!AC62</f>
        <v>0</v>
      </c>
      <c r="BF59" s="1253">
        <f>+'Table 5C1V-Laf Ren'!AC62</f>
        <v>0</v>
      </c>
      <c r="BG59" s="1253">
        <f>+'Table 5C1W-Willow'!AC62</f>
        <v>0</v>
      </c>
      <c r="BH59" s="1253">
        <f>'Table 5C2 - LA Virtual Admy'!AD61</f>
        <v>-38.677500000000002</v>
      </c>
      <c r="BI59" s="1253">
        <f>'Table 5C3 - LA Connections EBR'!AD61</f>
        <v>-25.785</v>
      </c>
      <c r="BJ59" s="1280">
        <f t="shared" si="58"/>
        <v>852741.88749999995</v>
      </c>
      <c r="BK59" s="38"/>
    </row>
    <row r="60" spans="1:63" ht="14.4" customHeight="1">
      <c r="A60" s="1250">
        <v>57</v>
      </c>
      <c r="B60" s="1251" t="s">
        <v>136</v>
      </c>
      <c r="C60" s="1252">
        <f>'Table 2_State Distrib and Adjs'!AL63</f>
        <v>4093677</v>
      </c>
      <c r="D60" s="1253">
        <f>-'Table 5A3_OJJ'!W62</f>
        <v>-605</v>
      </c>
      <c r="E60" s="1253"/>
      <c r="F60" s="1253"/>
      <c r="G60" s="1253">
        <f>-'Table 5C1A-Madison Prep'!AI63</f>
        <v>0</v>
      </c>
      <c r="H60" s="1253">
        <f>-'Table 5C1B-DArbonne'!AI63</f>
        <v>0</v>
      </c>
      <c r="I60" s="1253">
        <f>-'Table 5C1C-Intl_VIBE'!AI63</f>
        <v>0</v>
      </c>
      <c r="J60" s="1253">
        <f>-'Table 5C1D-NOMMA'!AI63</f>
        <v>0</v>
      </c>
      <c r="K60" s="1253">
        <f>-'Table 5C1E-LFNO'!AI63</f>
        <v>0</v>
      </c>
      <c r="L60" s="1253">
        <f>-'Table 5C1F-Lake Charles Charter'!AI63</f>
        <v>0</v>
      </c>
      <c r="M60" s="1253">
        <f>-'Table 5C1G-JS Clark Academy'!AI63</f>
        <v>0</v>
      </c>
      <c r="N60" s="1253">
        <f>-'Table 5C1H-Southwest LA Charter'!AI63</f>
        <v>0</v>
      </c>
      <c r="O60" s="1253">
        <f>-'Table 5C1I-LA Key Academy'!AI63</f>
        <v>0</v>
      </c>
      <c r="P60" s="1253">
        <f>-'Table 5C1J-Jefferson Chamber'!AI63</f>
        <v>0</v>
      </c>
      <c r="Q60" s="1253">
        <f>-'Table 5C1K-Tallulah Charter'!AI63</f>
        <v>0</v>
      </c>
      <c r="R60" s="1253">
        <f>-'Table 5C1L-Northshore Charter'!AI63</f>
        <v>0</v>
      </c>
      <c r="S60" s="1253">
        <f>-'Table 5C1M-B.R. Charter'!AI63</f>
        <v>0</v>
      </c>
      <c r="T60" s="1253">
        <f>-'Table 5C1N-Delta Charter'!AI63</f>
        <v>0</v>
      </c>
      <c r="U60" s="1253">
        <f>-'Table 5C1O-Impact'!AI63</f>
        <v>0</v>
      </c>
      <c r="V60" s="1253">
        <f>-'Table 5C1P-Vision'!AI63</f>
        <v>0</v>
      </c>
      <c r="W60" s="1253">
        <f>-'Table 5C1Q-Advantage'!AI63</f>
        <v>0</v>
      </c>
      <c r="X60" s="1253">
        <f>-'Table 5C1R-Iberville'!AI63</f>
        <v>0</v>
      </c>
      <c r="Y60" s="1253">
        <f>-'Table 5C1S-L.C. Coll Prep'!AI63</f>
        <v>0</v>
      </c>
      <c r="Z60" s="1253">
        <f>-'Table 5C1T-Northeast'!AI63</f>
        <v>0</v>
      </c>
      <c r="AA60" s="1253">
        <f>-'Table 5C1U-Acadiana Ren'!AI63</f>
        <v>-3387</v>
      </c>
      <c r="AB60" s="1253">
        <f>-'Table 5C1V-Laf Ren'!AI63</f>
        <v>-6491</v>
      </c>
      <c r="AC60" s="1253">
        <f>-'Table 5C1W-Willow'!AI63</f>
        <v>0</v>
      </c>
      <c r="AD60" s="1253">
        <f>-'Table 5C2 - LA Virtual Admy'!AJ62</f>
        <v>-5842</v>
      </c>
      <c r="AE60" s="1253">
        <f>-'Table 5C3 - LA Connections EBR'!AJ62</f>
        <v>-1778</v>
      </c>
      <c r="AF60" s="1253">
        <f t="shared" si="56"/>
        <v>-18103</v>
      </c>
      <c r="AG60" s="1280">
        <f t="shared" si="57"/>
        <v>4075574</v>
      </c>
      <c r="AH60" s="1253"/>
      <c r="AI60" s="1253"/>
      <c r="AJ60" s="1253"/>
      <c r="AK60" s="1253">
        <f>'Table 5C1A-Madison Prep'!AC63</f>
        <v>0</v>
      </c>
      <c r="AL60" s="1253">
        <f>'Table 5C1B-DArbonne'!AC63</f>
        <v>0</v>
      </c>
      <c r="AM60" s="1253">
        <f>'Table 5C1C-Intl_VIBE'!AC63</f>
        <v>0</v>
      </c>
      <c r="AN60" s="1253">
        <f>'Table 5C1D-NOMMA'!AC63</f>
        <v>0</v>
      </c>
      <c r="AO60" s="1253">
        <f>'Table 5C1E-LFNO'!AC63</f>
        <v>0</v>
      </c>
      <c r="AP60" s="1253">
        <f>'Table 5C1F-Lake Charles Charter'!AC63</f>
        <v>0</v>
      </c>
      <c r="AQ60" s="1253">
        <f>'Table 5C1G-JS Clark Academy'!AC63</f>
        <v>0</v>
      </c>
      <c r="AR60" s="1253">
        <f>'Table 5C1H-Southwest LA Charter'!AC63</f>
        <v>0</v>
      </c>
      <c r="AS60" s="1253">
        <f>'Table 5C1I-LA Key Academy'!AC63</f>
        <v>0</v>
      </c>
      <c r="AT60" s="1253">
        <f>'Table 5C1J-Jefferson Chamber'!AC63</f>
        <v>0</v>
      </c>
      <c r="AU60" s="1253">
        <f>'Table 5C1K-Tallulah Charter'!AC63</f>
        <v>0</v>
      </c>
      <c r="AV60" s="1253">
        <f>'Table 5C1L-Northshore Charter'!AC63</f>
        <v>0</v>
      </c>
      <c r="AW60" s="1253">
        <f>'Table 5C1M-B.R. Charter'!AC63</f>
        <v>0</v>
      </c>
      <c r="AX60" s="1253">
        <f>'Table 5C1N-Delta Charter'!AC63</f>
        <v>0</v>
      </c>
      <c r="AY60" s="1253">
        <f>'Table 5C1O-Impact'!AC63</f>
        <v>0</v>
      </c>
      <c r="AZ60" s="1253">
        <f>+'Table 5C1P-Vision'!AC63</f>
        <v>0</v>
      </c>
      <c r="BA60" s="1253">
        <f>+'Table 5C1Q-Advantage'!AC63</f>
        <v>0</v>
      </c>
      <c r="BB60" s="1253">
        <f>+'Table 5C1R-Iberville'!AC63</f>
        <v>0</v>
      </c>
      <c r="BC60" s="1253">
        <f>+'Table 5C1S-L.C. Coll Prep'!AC63</f>
        <v>0</v>
      </c>
      <c r="BD60" s="1253">
        <f>+'Table 5C1T-Northeast'!AC63</f>
        <v>0</v>
      </c>
      <c r="BE60" s="1253">
        <f>+'Table 5C1U-Acadiana Ren'!AC63</f>
        <v>-101.85000000000001</v>
      </c>
      <c r="BF60" s="1253">
        <f>+'Table 5C1V-Laf Ren'!AC63</f>
        <v>-195.21250000000001</v>
      </c>
      <c r="BG60" s="1253">
        <f>+'Table 5C1W-Willow'!AC63</f>
        <v>0</v>
      </c>
      <c r="BH60" s="1253">
        <f>'Table 5C2 - LA Virtual Admy'!AD62</f>
        <v>-175.69125</v>
      </c>
      <c r="BI60" s="1253">
        <f>'Table 5C3 - LA Connections EBR'!AD62</f>
        <v>-53.471249999999998</v>
      </c>
      <c r="BJ60" s="1280">
        <f t="shared" si="58"/>
        <v>4075047.7749999999</v>
      </c>
      <c r="BK60" s="38"/>
    </row>
    <row r="61" spans="1:63" ht="14.4" customHeight="1">
      <c r="A61" s="1250">
        <v>58</v>
      </c>
      <c r="B61" s="1251" t="s">
        <v>137</v>
      </c>
      <c r="C61" s="1252">
        <f>'Table 2_State Distrib and Adjs'!AL64</f>
        <v>4747772</v>
      </c>
      <c r="D61" s="1253">
        <f>-'Table 5A3_OJJ'!W63</f>
        <v>0</v>
      </c>
      <c r="E61" s="1253"/>
      <c r="F61" s="1253"/>
      <c r="G61" s="1253">
        <f>-'Table 5C1A-Madison Prep'!AI64</f>
        <v>0</v>
      </c>
      <c r="H61" s="1253">
        <f>-'Table 5C1B-DArbonne'!AI64</f>
        <v>0</v>
      </c>
      <c r="I61" s="1253">
        <f>-'Table 5C1C-Intl_VIBE'!AI64</f>
        <v>0</v>
      </c>
      <c r="J61" s="1253">
        <f>-'Table 5C1D-NOMMA'!AI64</f>
        <v>0</v>
      </c>
      <c r="K61" s="1253">
        <f>-'Table 5C1E-LFNO'!AI64</f>
        <v>0</v>
      </c>
      <c r="L61" s="1253">
        <f>-'Table 5C1F-Lake Charles Charter'!AI64</f>
        <v>0</v>
      </c>
      <c r="M61" s="1253">
        <f>-'Table 5C1G-JS Clark Academy'!AI64</f>
        <v>0</v>
      </c>
      <c r="N61" s="1253">
        <f>-'Table 5C1H-Southwest LA Charter'!AI64</f>
        <v>0</v>
      </c>
      <c r="O61" s="1253">
        <f>-'Table 5C1I-LA Key Academy'!AI64</f>
        <v>0</v>
      </c>
      <c r="P61" s="1253">
        <f>-'Table 5C1J-Jefferson Chamber'!AI64</f>
        <v>0</v>
      </c>
      <c r="Q61" s="1253">
        <f>-'Table 5C1K-Tallulah Charter'!AI64</f>
        <v>0</v>
      </c>
      <c r="R61" s="1253">
        <f>-'Table 5C1L-Northshore Charter'!AI64</f>
        <v>0</v>
      </c>
      <c r="S61" s="1253">
        <f>-'Table 5C1M-B.R. Charter'!AI64</f>
        <v>0</v>
      </c>
      <c r="T61" s="1253">
        <f>-'Table 5C1N-Delta Charter'!AI64</f>
        <v>0</v>
      </c>
      <c r="U61" s="1253">
        <f>-'Table 5C1O-Impact'!AI64</f>
        <v>0</v>
      </c>
      <c r="V61" s="1253">
        <f>-'Table 5C1P-Vision'!AI64</f>
        <v>0</v>
      </c>
      <c r="W61" s="1253">
        <f>-'Table 5C1Q-Advantage'!AI64</f>
        <v>0</v>
      </c>
      <c r="X61" s="1253">
        <f>-'Table 5C1R-Iberville'!AI64</f>
        <v>0</v>
      </c>
      <c r="Y61" s="1253">
        <f>-'Table 5C1S-L.C. Coll Prep'!AI64</f>
        <v>0</v>
      </c>
      <c r="Z61" s="1253">
        <f>-'Table 5C1T-Northeast'!AI64</f>
        <v>0</v>
      </c>
      <c r="AA61" s="1253">
        <f>-'Table 5C1U-Acadiana Ren'!AI64</f>
        <v>0</v>
      </c>
      <c r="AB61" s="1253">
        <f>-'Table 5C1V-Laf Ren'!AI64</f>
        <v>0</v>
      </c>
      <c r="AC61" s="1253">
        <f>-'Table 5C1W-Willow'!AI64</f>
        <v>0</v>
      </c>
      <c r="AD61" s="1253">
        <f>-'Table 5C2 - LA Virtual Admy'!AJ63</f>
        <v>-8107</v>
      </c>
      <c r="AE61" s="1253">
        <f>-'Table 5C3 - LA Connections EBR'!AJ63</f>
        <v>-4365</v>
      </c>
      <c r="AF61" s="1253">
        <f t="shared" si="56"/>
        <v>-12472</v>
      </c>
      <c r="AG61" s="1280">
        <f t="shared" si="57"/>
        <v>4735300</v>
      </c>
      <c r="AH61" s="1253"/>
      <c r="AI61" s="1253"/>
      <c r="AJ61" s="1253"/>
      <c r="AK61" s="1253">
        <f>'Table 5C1A-Madison Prep'!AC64</f>
        <v>0</v>
      </c>
      <c r="AL61" s="1253">
        <f>'Table 5C1B-DArbonne'!AC64</f>
        <v>0</v>
      </c>
      <c r="AM61" s="1253">
        <f>'Table 5C1C-Intl_VIBE'!AC64</f>
        <v>0</v>
      </c>
      <c r="AN61" s="1253">
        <f>'Table 5C1D-NOMMA'!AC64</f>
        <v>0</v>
      </c>
      <c r="AO61" s="1253">
        <f>'Table 5C1E-LFNO'!AC64</f>
        <v>0</v>
      </c>
      <c r="AP61" s="1253">
        <f>'Table 5C1F-Lake Charles Charter'!AC64</f>
        <v>0</v>
      </c>
      <c r="AQ61" s="1253">
        <f>'Table 5C1G-JS Clark Academy'!AC64</f>
        <v>0</v>
      </c>
      <c r="AR61" s="1253">
        <f>'Table 5C1H-Southwest LA Charter'!AC64</f>
        <v>0</v>
      </c>
      <c r="AS61" s="1253">
        <f>'Table 5C1I-LA Key Academy'!AC64</f>
        <v>0</v>
      </c>
      <c r="AT61" s="1253">
        <f>'Table 5C1J-Jefferson Chamber'!AC64</f>
        <v>0</v>
      </c>
      <c r="AU61" s="1253">
        <f>'Table 5C1K-Tallulah Charter'!AC64</f>
        <v>0</v>
      </c>
      <c r="AV61" s="1253">
        <f>'Table 5C1L-Northshore Charter'!AC64</f>
        <v>0</v>
      </c>
      <c r="AW61" s="1253">
        <f>'Table 5C1M-B.R. Charter'!AC64</f>
        <v>0</v>
      </c>
      <c r="AX61" s="1253">
        <f>'Table 5C1N-Delta Charter'!AC64</f>
        <v>0</v>
      </c>
      <c r="AY61" s="1253">
        <f>'Table 5C1O-Impact'!AC64</f>
        <v>0</v>
      </c>
      <c r="AZ61" s="1253">
        <f>+'Table 5C1P-Vision'!AC64</f>
        <v>0</v>
      </c>
      <c r="BA61" s="1253">
        <f>+'Table 5C1Q-Advantage'!AC64</f>
        <v>0</v>
      </c>
      <c r="BB61" s="1253">
        <f>+'Table 5C1R-Iberville'!AC64</f>
        <v>0</v>
      </c>
      <c r="BC61" s="1253">
        <f>+'Table 5C1S-L.C. Coll Prep'!AC64</f>
        <v>0</v>
      </c>
      <c r="BD61" s="1253">
        <f>+'Table 5C1T-Northeast'!AC64</f>
        <v>0</v>
      </c>
      <c r="BE61" s="1253">
        <f>+'Table 5C1U-Acadiana Ren'!AC64</f>
        <v>0</v>
      </c>
      <c r="BF61" s="1253">
        <f>+'Table 5C1V-Laf Ren'!AC64</f>
        <v>0</v>
      </c>
      <c r="BG61" s="1253">
        <f>+'Table 5C1W-Willow'!AC64</f>
        <v>0</v>
      </c>
      <c r="BH61" s="1253">
        <f>'Table 5C2 - LA Virtual Admy'!AD63</f>
        <v>-243.82800000000003</v>
      </c>
      <c r="BI61" s="1253">
        <f>'Table 5C3 - LA Connections EBR'!AD63</f>
        <v>-131.292</v>
      </c>
      <c r="BJ61" s="1280">
        <f t="shared" si="58"/>
        <v>4734924.88</v>
      </c>
      <c r="BK61" s="38"/>
    </row>
    <row r="62" spans="1:63" ht="14.4" customHeight="1">
      <c r="A62" s="1250">
        <v>59</v>
      </c>
      <c r="B62" s="1251" t="s">
        <v>138</v>
      </c>
      <c r="C62" s="1252">
        <f>'Table 2_State Distrib and Adjs'!AL65</f>
        <v>3114813</v>
      </c>
      <c r="D62" s="1253">
        <f>-'Table 5A3_OJJ'!W64</f>
        <v>-154</v>
      </c>
      <c r="E62" s="1253"/>
      <c r="F62" s="1253"/>
      <c r="G62" s="1253">
        <f>-'Table 5C1A-Madison Prep'!AI65</f>
        <v>0</v>
      </c>
      <c r="H62" s="1253">
        <f>-'Table 5C1B-DArbonne'!AI65</f>
        <v>0</v>
      </c>
      <c r="I62" s="1253">
        <f>-'Table 5C1C-Intl_VIBE'!AI65</f>
        <v>0</v>
      </c>
      <c r="J62" s="1253">
        <f>-'Table 5C1D-NOMMA'!AI65</f>
        <v>0</v>
      </c>
      <c r="K62" s="1253">
        <f>-'Table 5C1E-LFNO'!AI65</f>
        <v>0</v>
      </c>
      <c r="L62" s="1253">
        <f>-'Table 5C1F-Lake Charles Charter'!AI65</f>
        <v>0</v>
      </c>
      <c r="M62" s="1253">
        <f>-'Table 5C1G-JS Clark Academy'!AI65</f>
        <v>0</v>
      </c>
      <c r="N62" s="1253">
        <f>-'Table 5C1H-Southwest LA Charter'!AI65</f>
        <v>0</v>
      </c>
      <c r="O62" s="1253">
        <f>-'Table 5C1I-LA Key Academy'!AI65</f>
        <v>0</v>
      </c>
      <c r="P62" s="1253">
        <f>-'Table 5C1J-Jefferson Chamber'!AI65</f>
        <v>0</v>
      </c>
      <c r="Q62" s="1253">
        <f>-'Table 5C1K-Tallulah Charter'!AI65</f>
        <v>0</v>
      </c>
      <c r="R62" s="1253">
        <f>-'Table 5C1L-Northshore Charter'!AI65</f>
        <v>-1573</v>
      </c>
      <c r="S62" s="1253">
        <f>-'Table 5C1M-B.R. Charter'!AI65</f>
        <v>0</v>
      </c>
      <c r="T62" s="1253">
        <f>-'Table 5C1N-Delta Charter'!AI65</f>
        <v>0</v>
      </c>
      <c r="U62" s="1253">
        <f>-'Table 5C1O-Impact'!AI65</f>
        <v>0</v>
      </c>
      <c r="V62" s="1253">
        <f>-'Table 5C1P-Vision'!AI65</f>
        <v>0</v>
      </c>
      <c r="W62" s="1253">
        <f>-'Table 5C1Q-Advantage'!AI65</f>
        <v>0</v>
      </c>
      <c r="X62" s="1253">
        <f>-'Table 5C1R-Iberville'!AI65</f>
        <v>0</v>
      </c>
      <c r="Y62" s="1253">
        <f>-'Table 5C1S-L.C. Coll Prep'!AI65</f>
        <v>0</v>
      </c>
      <c r="Z62" s="1253">
        <f>-'Table 5C1T-Northeast'!AI65</f>
        <v>0</v>
      </c>
      <c r="AA62" s="1253">
        <f>-'Table 5C1U-Acadiana Ren'!AI65</f>
        <v>0</v>
      </c>
      <c r="AB62" s="1253">
        <f>-'Table 5C1V-Laf Ren'!AI65</f>
        <v>0</v>
      </c>
      <c r="AC62" s="1253">
        <f>-'Table 5C1W-Willow'!AI65</f>
        <v>0</v>
      </c>
      <c r="AD62" s="1253">
        <f>-'Table 5C2 - LA Virtual Admy'!AJ64</f>
        <v>-2832</v>
      </c>
      <c r="AE62" s="1253">
        <f>-'Table 5C3 - LA Connections EBR'!AJ64</f>
        <v>-718</v>
      </c>
      <c r="AF62" s="1253">
        <f t="shared" si="56"/>
        <v>-5277</v>
      </c>
      <c r="AG62" s="1280">
        <f t="shared" si="57"/>
        <v>3109536</v>
      </c>
      <c r="AH62" s="1253"/>
      <c r="AI62" s="1253"/>
      <c r="AJ62" s="1253"/>
      <c r="AK62" s="1253">
        <f>'Table 5C1A-Madison Prep'!AC65</f>
        <v>0</v>
      </c>
      <c r="AL62" s="1253">
        <f>'Table 5C1B-DArbonne'!AC65</f>
        <v>0</v>
      </c>
      <c r="AM62" s="1253">
        <f>'Table 5C1C-Intl_VIBE'!AC65</f>
        <v>0</v>
      </c>
      <c r="AN62" s="1253">
        <f>'Table 5C1D-NOMMA'!AC65</f>
        <v>0</v>
      </c>
      <c r="AO62" s="1253">
        <f>'Table 5C1E-LFNO'!AC65</f>
        <v>0</v>
      </c>
      <c r="AP62" s="1253">
        <f>'Table 5C1F-Lake Charles Charter'!AC65</f>
        <v>0</v>
      </c>
      <c r="AQ62" s="1253">
        <f>'Table 5C1G-JS Clark Academy'!AC65</f>
        <v>0</v>
      </c>
      <c r="AR62" s="1253">
        <f>'Table 5C1H-Southwest LA Charter'!AC65</f>
        <v>0</v>
      </c>
      <c r="AS62" s="1253">
        <f>'Table 5C1I-LA Key Academy'!AC65</f>
        <v>0</v>
      </c>
      <c r="AT62" s="1253">
        <f>'Table 5C1J-Jefferson Chamber'!AC65</f>
        <v>0</v>
      </c>
      <c r="AU62" s="1253">
        <f>'Table 5C1K-Tallulah Charter'!AC65</f>
        <v>0</v>
      </c>
      <c r="AV62" s="1253">
        <f>'Table 5C1L-Northshore Charter'!AC65</f>
        <v>-47.31</v>
      </c>
      <c r="AW62" s="1253">
        <f>'Table 5C1M-B.R. Charter'!AC65</f>
        <v>0</v>
      </c>
      <c r="AX62" s="1253">
        <f>'Table 5C1N-Delta Charter'!AC65</f>
        <v>0</v>
      </c>
      <c r="AY62" s="1253">
        <f>'Table 5C1O-Impact'!AC65</f>
        <v>0</v>
      </c>
      <c r="AZ62" s="1253">
        <f>+'Table 5C1P-Vision'!AC65</f>
        <v>0</v>
      </c>
      <c r="BA62" s="1253">
        <f>+'Table 5C1Q-Advantage'!AC65</f>
        <v>0</v>
      </c>
      <c r="BB62" s="1253">
        <f>+'Table 5C1R-Iberville'!AC65</f>
        <v>0</v>
      </c>
      <c r="BC62" s="1253">
        <f>+'Table 5C1S-L.C. Coll Prep'!AC65</f>
        <v>0</v>
      </c>
      <c r="BD62" s="1253">
        <f>+'Table 5C1T-Northeast'!AC65</f>
        <v>0</v>
      </c>
      <c r="BE62" s="1253">
        <f>+'Table 5C1U-Acadiana Ren'!AC65</f>
        <v>0</v>
      </c>
      <c r="BF62" s="1253">
        <f>+'Table 5C1V-Laf Ren'!AC65</f>
        <v>0</v>
      </c>
      <c r="BG62" s="1253">
        <f>+'Table 5C1W-Willow'!AC65</f>
        <v>0</v>
      </c>
      <c r="BH62" s="1253">
        <f>'Table 5C2 - LA Virtual Admy'!AD64</f>
        <v>-85.158000000000001</v>
      </c>
      <c r="BI62" s="1253">
        <f>'Table 5C3 - LA Connections EBR'!AD64</f>
        <v>-31.934249999999999</v>
      </c>
      <c r="BJ62" s="1280">
        <f t="shared" si="58"/>
        <v>3109371.5977500002</v>
      </c>
      <c r="BK62" s="38"/>
    </row>
    <row r="63" spans="1:63" ht="14.4" customHeight="1">
      <c r="A63" s="85">
        <v>60</v>
      </c>
      <c r="B63" s="207" t="s">
        <v>139</v>
      </c>
      <c r="C63" s="209">
        <f>'Table 2_State Distrib and Adjs'!AL66</f>
        <v>3154149</v>
      </c>
      <c r="D63" s="219">
        <f>-'Table 5A3_OJJ'!W65</f>
        <v>-1009</v>
      </c>
      <c r="E63" s="219"/>
      <c r="F63" s="219"/>
      <c r="G63" s="219">
        <f>-'Table 5C1A-Madison Prep'!AI66</f>
        <v>0</v>
      </c>
      <c r="H63" s="219">
        <f>-'Table 5C1B-DArbonne'!AI66</f>
        <v>0</v>
      </c>
      <c r="I63" s="219">
        <f>-'Table 5C1C-Intl_VIBE'!AI66</f>
        <v>0</v>
      </c>
      <c r="J63" s="219">
        <f>-'Table 5C1D-NOMMA'!AI66</f>
        <v>0</v>
      </c>
      <c r="K63" s="219">
        <f>-'Table 5C1E-LFNO'!AI66</f>
        <v>0</v>
      </c>
      <c r="L63" s="219">
        <f>-'Table 5C1F-Lake Charles Charter'!AI66</f>
        <v>0</v>
      </c>
      <c r="M63" s="219">
        <f>-'Table 5C1G-JS Clark Academy'!AI66</f>
        <v>0</v>
      </c>
      <c r="N63" s="219">
        <f>-'Table 5C1H-Southwest LA Charter'!AI66</f>
        <v>0</v>
      </c>
      <c r="O63" s="219">
        <f>-'Table 5C1I-LA Key Academy'!AI66</f>
        <v>0</v>
      </c>
      <c r="P63" s="219">
        <f>-'Table 5C1J-Jefferson Chamber'!AI66</f>
        <v>0</v>
      </c>
      <c r="Q63" s="219">
        <f>-'Table 5C1K-Tallulah Charter'!AI66</f>
        <v>0</v>
      </c>
      <c r="R63" s="219">
        <f>-'Table 5C1L-Northshore Charter'!AI66</f>
        <v>0</v>
      </c>
      <c r="S63" s="219">
        <f>-'Table 5C1M-B.R. Charter'!AI66</f>
        <v>0</v>
      </c>
      <c r="T63" s="219">
        <f>-'Table 5C1N-Delta Charter'!AI66</f>
        <v>0</v>
      </c>
      <c r="U63" s="219">
        <f>-'Table 5C1O-Impact'!AI66</f>
        <v>0</v>
      </c>
      <c r="V63" s="219">
        <f>-'Table 5C1P-Vision'!AI66</f>
        <v>0</v>
      </c>
      <c r="W63" s="219">
        <f>-'Table 5C1Q-Advantage'!AI66</f>
        <v>0</v>
      </c>
      <c r="X63" s="219">
        <f>-'Table 5C1R-Iberville'!AI66</f>
        <v>0</v>
      </c>
      <c r="Y63" s="219">
        <f>-'Table 5C1S-L.C. Coll Prep'!AI66</f>
        <v>0</v>
      </c>
      <c r="Z63" s="219">
        <f>-'Table 5C1T-Northeast'!AI66</f>
        <v>0</v>
      </c>
      <c r="AA63" s="219">
        <f>-'Table 5C1U-Acadiana Ren'!AI66</f>
        <v>0</v>
      </c>
      <c r="AB63" s="219">
        <f>-'Table 5C1V-Laf Ren'!AI66</f>
        <v>0</v>
      </c>
      <c r="AC63" s="219">
        <f>-'Table 5C1W-Willow'!AI66</f>
        <v>0</v>
      </c>
      <c r="AD63" s="219">
        <f>-'Table 5C2 - LA Virtual Admy'!AJ65</f>
        <v>-4108</v>
      </c>
      <c r="AE63" s="219">
        <f>-'Table 5C3 - LA Connections EBR'!AJ65</f>
        <v>-5575</v>
      </c>
      <c r="AF63" s="219">
        <f t="shared" si="56"/>
        <v>-10692</v>
      </c>
      <c r="AG63" s="364">
        <f t="shared" si="57"/>
        <v>3143457</v>
      </c>
      <c r="AH63" s="219"/>
      <c r="AI63" s="219"/>
      <c r="AJ63" s="219"/>
      <c r="AK63" s="219">
        <f>'Table 5C1A-Madison Prep'!AC66</f>
        <v>0</v>
      </c>
      <c r="AL63" s="219">
        <f>'Table 5C1B-DArbonne'!AC66</f>
        <v>0</v>
      </c>
      <c r="AM63" s="219">
        <f>'Table 5C1C-Intl_VIBE'!AC66</f>
        <v>0</v>
      </c>
      <c r="AN63" s="219">
        <f>'Table 5C1D-NOMMA'!AC66</f>
        <v>0</v>
      </c>
      <c r="AO63" s="219">
        <f>'Table 5C1E-LFNO'!AC66</f>
        <v>0</v>
      </c>
      <c r="AP63" s="219">
        <f>'Table 5C1F-Lake Charles Charter'!AC66</f>
        <v>0</v>
      </c>
      <c r="AQ63" s="219">
        <f>'Table 5C1G-JS Clark Academy'!AC66</f>
        <v>0</v>
      </c>
      <c r="AR63" s="219">
        <f>'Table 5C1H-Southwest LA Charter'!AC66</f>
        <v>0</v>
      </c>
      <c r="AS63" s="219">
        <f>'Table 5C1I-LA Key Academy'!AC66</f>
        <v>0</v>
      </c>
      <c r="AT63" s="219">
        <f>'Table 5C1J-Jefferson Chamber'!AC66</f>
        <v>0</v>
      </c>
      <c r="AU63" s="219">
        <f>'Table 5C1K-Tallulah Charter'!AC66</f>
        <v>0</v>
      </c>
      <c r="AV63" s="219">
        <f>'Table 5C1L-Northshore Charter'!AC66</f>
        <v>0</v>
      </c>
      <c r="AW63" s="219">
        <f>'Table 5C1M-B.R. Charter'!AC66</f>
        <v>0</v>
      </c>
      <c r="AX63" s="219">
        <f>'Table 5C1N-Delta Charter'!AC66</f>
        <v>0</v>
      </c>
      <c r="AY63" s="219">
        <f>'Table 5C1O-Impact'!AC66</f>
        <v>0</v>
      </c>
      <c r="AZ63" s="219">
        <f>+'Table 5C1P-Vision'!AC66</f>
        <v>0</v>
      </c>
      <c r="BA63" s="219">
        <f>+'Table 5C1Q-Advantage'!AC66</f>
        <v>0</v>
      </c>
      <c r="BB63" s="219">
        <f>+'Table 5C1R-Iberville'!AC66</f>
        <v>0</v>
      </c>
      <c r="BC63" s="219">
        <f>+'Table 5C1S-L.C. Coll Prep'!AC66</f>
        <v>0</v>
      </c>
      <c r="BD63" s="219">
        <f>+'Table 5C1T-Northeast'!AC66</f>
        <v>0</v>
      </c>
      <c r="BE63" s="219">
        <f>+'Table 5C1U-Acadiana Ren'!AC66</f>
        <v>0</v>
      </c>
      <c r="BF63" s="219">
        <f>+'Table 5C1V-Laf Ren'!AC66</f>
        <v>0</v>
      </c>
      <c r="BG63" s="219">
        <f>+'Table 5C1W-Willow'!AC66</f>
        <v>0</v>
      </c>
      <c r="BH63" s="219">
        <f>'Table 5C2 - LA Virtual Admy'!AD65</f>
        <v>-123.54300000000002</v>
      </c>
      <c r="BI63" s="219">
        <f>'Table 5C3 - LA Connections EBR'!AD65</f>
        <v>-167.66550000000001</v>
      </c>
      <c r="BJ63" s="364">
        <f t="shared" si="58"/>
        <v>3143165.7914999998</v>
      </c>
      <c r="BK63" s="38"/>
    </row>
    <row r="64" spans="1:63" ht="14.4" customHeight="1">
      <c r="A64" s="1250">
        <v>61</v>
      </c>
      <c r="B64" s="1251" t="s">
        <v>140</v>
      </c>
      <c r="C64" s="1252">
        <f>'Table 2_State Distrib and Adjs'!AL67</f>
        <v>1110630</v>
      </c>
      <c r="D64" s="1253">
        <f>-'Table 5A3_OJJ'!W66</f>
        <v>-358</v>
      </c>
      <c r="E64" s="1253"/>
      <c r="F64" s="1253"/>
      <c r="G64" s="1253">
        <f>-'Table 5C1A-Madison Prep'!AI67</f>
        <v>-561</v>
      </c>
      <c r="H64" s="1253">
        <f>-'Table 5C1B-DArbonne'!AI67</f>
        <v>0</v>
      </c>
      <c r="I64" s="1253">
        <f>-'Table 5C1C-Intl_VIBE'!AI67</f>
        <v>0</v>
      </c>
      <c r="J64" s="1253">
        <f>-'Table 5C1D-NOMMA'!AI67</f>
        <v>0</v>
      </c>
      <c r="K64" s="1253">
        <f>-'Table 5C1E-LFNO'!AI67</f>
        <v>0</v>
      </c>
      <c r="L64" s="1253">
        <f>-'Table 5C1F-Lake Charles Charter'!AI67</f>
        <v>0</v>
      </c>
      <c r="M64" s="1253">
        <f>-'Table 5C1G-JS Clark Academy'!AI67</f>
        <v>0</v>
      </c>
      <c r="N64" s="1253">
        <f>-'Table 5C1H-Southwest LA Charter'!AI67</f>
        <v>0</v>
      </c>
      <c r="O64" s="1253">
        <f>-'Table 5C1I-LA Key Academy'!AI67</f>
        <v>-561</v>
      </c>
      <c r="P64" s="1253">
        <f>-'Table 5C1J-Jefferson Chamber'!AI67</f>
        <v>0</v>
      </c>
      <c r="Q64" s="1253">
        <f>-'Table 5C1K-Tallulah Charter'!AI67</f>
        <v>0</v>
      </c>
      <c r="R64" s="1253">
        <f>-'Table 5C1L-Northshore Charter'!AI67</f>
        <v>0</v>
      </c>
      <c r="S64" s="1253">
        <f>-'Table 5C1M-B.R. Charter'!AI67</f>
        <v>0</v>
      </c>
      <c r="T64" s="1253">
        <f>-'Table 5C1N-Delta Charter'!AI67</f>
        <v>0</v>
      </c>
      <c r="U64" s="1253">
        <f>-'Table 5C1O-Impact'!AI67</f>
        <v>0</v>
      </c>
      <c r="V64" s="1253">
        <f>-'Table 5C1P-Vision'!AI67</f>
        <v>0</v>
      </c>
      <c r="W64" s="1253">
        <f>-'Table 5C1Q-Advantage'!AI67</f>
        <v>0</v>
      </c>
      <c r="X64" s="1253">
        <f>-'Table 5C1R-Iberville'!AI67</f>
        <v>-4485</v>
      </c>
      <c r="Y64" s="1253">
        <f>-'Table 5C1S-L.C. Coll Prep'!AI67</f>
        <v>0</v>
      </c>
      <c r="Z64" s="1253">
        <f>-'Table 5C1T-Northeast'!AI67</f>
        <v>0</v>
      </c>
      <c r="AA64" s="1253">
        <f>-'Table 5C1U-Acadiana Ren'!AI67</f>
        <v>0</v>
      </c>
      <c r="AB64" s="1253">
        <f>-'Table 5C1V-Laf Ren'!AI67</f>
        <v>0</v>
      </c>
      <c r="AC64" s="1253">
        <f>-'Table 5C1W-Willow'!AI67</f>
        <v>0</v>
      </c>
      <c r="AD64" s="1253">
        <f>-'Table 5C2 - LA Virtual Admy'!AJ66</f>
        <v>-3028</v>
      </c>
      <c r="AE64" s="1253">
        <f>-'Table 5C3 - LA Connections EBR'!AJ66</f>
        <v>-5046</v>
      </c>
      <c r="AF64" s="1253">
        <f t="shared" si="56"/>
        <v>-14039</v>
      </c>
      <c r="AG64" s="1280">
        <f t="shared" si="57"/>
        <v>1096591</v>
      </c>
      <c r="AH64" s="1253"/>
      <c r="AI64" s="1253"/>
      <c r="AJ64" s="1253"/>
      <c r="AK64" s="1253">
        <f>'Table 5C1A-Madison Prep'!AC67</f>
        <v>-16.862500000000001</v>
      </c>
      <c r="AL64" s="1253">
        <f>'Table 5C1B-DArbonne'!AC67</f>
        <v>0</v>
      </c>
      <c r="AM64" s="1253">
        <f>'Table 5C1C-Intl_VIBE'!AC67</f>
        <v>0</v>
      </c>
      <c r="AN64" s="1253">
        <f>'Table 5C1D-NOMMA'!AC67</f>
        <v>0</v>
      </c>
      <c r="AO64" s="1253">
        <f>'Table 5C1E-LFNO'!AC67</f>
        <v>0</v>
      </c>
      <c r="AP64" s="1253">
        <f>'Table 5C1F-Lake Charles Charter'!AC67</f>
        <v>0</v>
      </c>
      <c r="AQ64" s="1253">
        <f>'Table 5C1G-JS Clark Academy'!AC67</f>
        <v>0</v>
      </c>
      <c r="AR64" s="1253">
        <f>'Table 5C1H-Southwest LA Charter'!AC67</f>
        <v>0</v>
      </c>
      <c r="AS64" s="1253">
        <f>'Table 5C1I-LA Key Academy'!AC67</f>
        <v>-16.862500000000001</v>
      </c>
      <c r="AT64" s="1253">
        <f>'Table 5C1J-Jefferson Chamber'!AC67</f>
        <v>0</v>
      </c>
      <c r="AU64" s="1253">
        <f>'Table 5C1K-Tallulah Charter'!AC67</f>
        <v>0</v>
      </c>
      <c r="AV64" s="1253">
        <f>'Table 5C1L-Northshore Charter'!AC67</f>
        <v>0</v>
      </c>
      <c r="AW64" s="1253">
        <f>'Table 5C1M-B.R. Charter'!AC67</f>
        <v>0</v>
      </c>
      <c r="AX64" s="1253">
        <f>'Table 5C1N-Delta Charter'!AC67</f>
        <v>0</v>
      </c>
      <c r="AY64" s="1253">
        <f>'Table 5C1O-Impact'!AC67</f>
        <v>0</v>
      </c>
      <c r="AZ64" s="1253">
        <f>+'Table 5C1P-Vision'!AC67</f>
        <v>0</v>
      </c>
      <c r="BA64" s="1253">
        <f>+'Table 5C1Q-Advantage'!AC67</f>
        <v>0</v>
      </c>
      <c r="BB64" s="1253">
        <f>+'Table 5C1R-Iberville'!AC67</f>
        <v>-134.9</v>
      </c>
      <c r="BC64" s="1253">
        <f>+'Table 5C1S-L.C. Coll Prep'!AC67</f>
        <v>0</v>
      </c>
      <c r="BD64" s="1253">
        <f>+'Table 5C1T-Northeast'!AC67</f>
        <v>0</v>
      </c>
      <c r="BE64" s="1253">
        <f>+'Table 5C1U-Acadiana Ren'!AC67</f>
        <v>0</v>
      </c>
      <c r="BF64" s="1253">
        <f>+'Table 5C1V-Laf Ren'!AC67</f>
        <v>0</v>
      </c>
      <c r="BG64" s="1253">
        <f>+'Table 5C1W-Willow'!AC67</f>
        <v>0</v>
      </c>
      <c r="BH64" s="1253">
        <f>'Table 5C2 - LA Virtual Admy'!AD66</f>
        <v>-91.057500000000005</v>
      </c>
      <c r="BI64" s="1253">
        <f>'Table 5C3 - LA Connections EBR'!AD66</f>
        <v>-151.76250000000002</v>
      </c>
      <c r="BJ64" s="1280">
        <f t="shared" si="58"/>
        <v>1096179.5549999999</v>
      </c>
      <c r="BK64" s="38"/>
    </row>
    <row r="65" spans="1:63" ht="14.4" customHeight="1">
      <c r="A65" s="1250">
        <v>62</v>
      </c>
      <c r="B65" s="1251" t="s">
        <v>141</v>
      </c>
      <c r="C65" s="1252">
        <f>'Table 2_State Distrib and Adjs'!AL68</f>
        <v>1131859</v>
      </c>
      <c r="D65" s="1253">
        <f>-'Table 5A3_OJJ'!W67</f>
        <v>-166</v>
      </c>
      <c r="E65" s="1253"/>
      <c r="F65" s="1253"/>
      <c r="G65" s="1253">
        <f>-'Table 5C1A-Madison Prep'!AI68</f>
        <v>0</v>
      </c>
      <c r="H65" s="1253">
        <f>-'Table 5C1B-DArbonne'!AI68</f>
        <v>0</v>
      </c>
      <c r="I65" s="1253">
        <f>-'Table 5C1C-Intl_VIBE'!AI68</f>
        <v>0</v>
      </c>
      <c r="J65" s="1253">
        <f>-'Table 5C1D-NOMMA'!AI68</f>
        <v>0</v>
      </c>
      <c r="K65" s="1253">
        <f>-'Table 5C1E-LFNO'!AI68</f>
        <v>0</v>
      </c>
      <c r="L65" s="1253">
        <f>-'Table 5C1F-Lake Charles Charter'!AI68</f>
        <v>0</v>
      </c>
      <c r="M65" s="1253">
        <f>-'Table 5C1G-JS Clark Academy'!AI68</f>
        <v>0</v>
      </c>
      <c r="N65" s="1253">
        <f>-'Table 5C1H-Southwest LA Charter'!AI68</f>
        <v>0</v>
      </c>
      <c r="O65" s="1253">
        <f>-'Table 5C1I-LA Key Academy'!AI68</f>
        <v>0</v>
      </c>
      <c r="P65" s="1253">
        <f>-'Table 5C1J-Jefferson Chamber'!AI68</f>
        <v>0</v>
      </c>
      <c r="Q65" s="1253">
        <f>-'Table 5C1K-Tallulah Charter'!AI68</f>
        <v>0</v>
      </c>
      <c r="R65" s="1253">
        <f>-'Table 5C1L-Northshore Charter'!AI68</f>
        <v>0</v>
      </c>
      <c r="S65" s="1253">
        <f>-'Table 5C1M-B.R. Charter'!AI68</f>
        <v>0</v>
      </c>
      <c r="T65" s="1253">
        <f>-'Table 5C1N-Delta Charter'!AI68</f>
        <v>0</v>
      </c>
      <c r="U65" s="1253">
        <f>-'Table 5C1O-Impact'!AI68</f>
        <v>0</v>
      </c>
      <c r="V65" s="1253">
        <f>-'Table 5C1P-Vision'!AI68</f>
        <v>0</v>
      </c>
      <c r="W65" s="1253">
        <f>-'Table 5C1Q-Advantage'!AI68</f>
        <v>0</v>
      </c>
      <c r="X65" s="1253">
        <f>-'Table 5C1R-Iberville'!AI68</f>
        <v>0</v>
      </c>
      <c r="Y65" s="1253">
        <f>-'Table 5C1S-L.C. Coll Prep'!AI68</f>
        <v>0</v>
      </c>
      <c r="Z65" s="1253">
        <f>-'Table 5C1T-Northeast'!AI68</f>
        <v>0</v>
      </c>
      <c r="AA65" s="1253">
        <f>-'Table 5C1U-Acadiana Ren'!AI68</f>
        <v>0</v>
      </c>
      <c r="AB65" s="1253">
        <f>-'Table 5C1V-Laf Ren'!AI68</f>
        <v>0</v>
      </c>
      <c r="AC65" s="1253">
        <f>-'Table 5C1W-Willow'!AI68</f>
        <v>0</v>
      </c>
      <c r="AD65" s="1253">
        <f>-'Table 5C2 - LA Virtual Admy'!AJ67</f>
        <v>-1427</v>
      </c>
      <c r="AE65" s="1253">
        <f>-'Table 5C3 - LA Connections EBR'!AJ67</f>
        <v>-143</v>
      </c>
      <c r="AF65" s="1253">
        <f t="shared" si="56"/>
        <v>-1736</v>
      </c>
      <c r="AG65" s="1280">
        <f t="shared" si="57"/>
        <v>1130123</v>
      </c>
      <c r="AH65" s="1253"/>
      <c r="AI65" s="1253"/>
      <c r="AJ65" s="1253"/>
      <c r="AK65" s="1253">
        <f>'Table 5C1A-Madison Prep'!AC68</f>
        <v>0</v>
      </c>
      <c r="AL65" s="1253">
        <f>'Table 5C1B-DArbonne'!AC68</f>
        <v>0</v>
      </c>
      <c r="AM65" s="1253">
        <f>'Table 5C1C-Intl_VIBE'!AC68</f>
        <v>0</v>
      </c>
      <c r="AN65" s="1253">
        <f>'Table 5C1D-NOMMA'!AC68</f>
        <v>0</v>
      </c>
      <c r="AO65" s="1253">
        <f>'Table 5C1E-LFNO'!AC68</f>
        <v>0</v>
      </c>
      <c r="AP65" s="1253">
        <f>'Table 5C1F-Lake Charles Charter'!AC68</f>
        <v>0</v>
      </c>
      <c r="AQ65" s="1253">
        <f>'Table 5C1G-JS Clark Academy'!AC68</f>
        <v>0</v>
      </c>
      <c r="AR65" s="1253">
        <f>'Table 5C1H-Southwest LA Charter'!AC68</f>
        <v>0</v>
      </c>
      <c r="AS65" s="1253">
        <f>'Table 5C1I-LA Key Academy'!AC68</f>
        <v>0</v>
      </c>
      <c r="AT65" s="1253">
        <f>'Table 5C1J-Jefferson Chamber'!AC68</f>
        <v>0</v>
      </c>
      <c r="AU65" s="1253">
        <f>'Table 5C1K-Tallulah Charter'!AC68</f>
        <v>0</v>
      </c>
      <c r="AV65" s="1253">
        <f>'Table 5C1L-Northshore Charter'!AC68</f>
        <v>0</v>
      </c>
      <c r="AW65" s="1253">
        <f>'Table 5C1M-B.R. Charter'!AC68</f>
        <v>0</v>
      </c>
      <c r="AX65" s="1253">
        <f>'Table 5C1N-Delta Charter'!AC68</f>
        <v>0</v>
      </c>
      <c r="AY65" s="1253">
        <f>'Table 5C1O-Impact'!AC68</f>
        <v>0</v>
      </c>
      <c r="AZ65" s="1253">
        <f>+'Table 5C1P-Vision'!AC68</f>
        <v>0</v>
      </c>
      <c r="BA65" s="1253">
        <f>+'Table 5C1Q-Advantage'!AC68</f>
        <v>0</v>
      </c>
      <c r="BB65" s="1253">
        <f>+'Table 5C1R-Iberville'!AC68</f>
        <v>0</v>
      </c>
      <c r="BC65" s="1253">
        <f>+'Table 5C1S-L.C. Coll Prep'!AC68</f>
        <v>0</v>
      </c>
      <c r="BD65" s="1253">
        <f>+'Table 5C1T-Northeast'!AC68</f>
        <v>0</v>
      </c>
      <c r="BE65" s="1253">
        <f>+'Table 5C1U-Acadiana Ren'!AC68</f>
        <v>0</v>
      </c>
      <c r="BF65" s="1253">
        <f>+'Table 5C1V-Laf Ren'!AC68</f>
        <v>0</v>
      </c>
      <c r="BG65" s="1253">
        <f>+'Table 5C1W-Willow'!AC68</f>
        <v>0</v>
      </c>
      <c r="BH65" s="1253">
        <f>'Table 5C2 - LA Virtual Admy'!AD67</f>
        <v>-42.93</v>
      </c>
      <c r="BI65" s="1253">
        <f>'Table 5C3 - LA Connections EBR'!AD67</f>
        <v>-4.2930000000000001</v>
      </c>
      <c r="BJ65" s="1280">
        <f t="shared" si="58"/>
        <v>1130075.777</v>
      </c>
      <c r="BK65" s="38"/>
    </row>
    <row r="66" spans="1:63" ht="14.4" customHeight="1">
      <c r="A66" s="1250">
        <v>63</v>
      </c>
      <c r="B66" s="1251" t="s">
        <v>142</v>
      </c>
      <c r="C66" s="1252">
        <f>'Table 2_State Distrib and Adjs'!AL69</f>
        <v>829815</v>
      </c>
      <c r="D66" s="1253">
        <f>-'Table 5A3_OJJ'!W68</f>
        <v>-218</v>
      </c>
      <c r="E66" s="1253"/>
      <c r="F66" s="1253"/>
      <c r="G66" s="1253">
        <f>-'Table 5C1A-Madison Prep'!AI69</f>
        <v>0</v>
      </c>
      <c r="H66" s="1253">
        <f>-'Table 5C1B-DArbonne'!AI69</f>
        <v>0</v>
      </c>
      <c r="I66" s="1253">
        <f>-'Table 5C1C-Intl_VIBE'!AI69</f>
        <v>0</v>
      </c>
      <c r="J66" s="1253">
        <f>-'Table 5C1D-NOMMA'!AI69</f>
        <v>0</v>
      </c>
      <c r="K66" s="1253">
        <f>-'Table 5C1E-LFNO'!AI69</f>
        <v>0</v>
      </c>
      <c r="L66" s="1253">
        <f>-'Table 5C1F-Lake Charles Charter'!AI69</f>
        <v>0</v>
      </c>
      <c r="M66" s="1253">
        <f>-'Table 5C1G-JS Clark Academy'!AI69</f>
        <v>0</v>
      </c>
      <c r="N66" s="1253">
        <f>-'Table 5C1H-Southwest LA Charter'!AI69</f>
        <v>0</v>
      </c>
      <c r="O66" s="1253">
        <f>-'Table 5C1I-LA Key Academy'!AI69</f>
        <v>0</v>
      </c>
      <c r="P66" s="1253">
        <f>-'Table 5C1J-Jefferson Chamber'!AI69</f>
        <v>0</v>
      </c>
      <c r="Q66" s="1253">
        <f>-'Table 5C1K-Tallulah Charter'!AI69</f>
        <v>0</v>
      </c>
      <c r="R66" s="1253">
        <f>-'Table 5C1L-Northshore Charter'!AI69</f>
        <v>0</v>
      </c>
      <c r="S66" s="1253">
        <f>-'Table 5C1M-B.R. Charter'!AI69</f>
        <v>0</v>
      </c>
      <c r="T66" s="1253">
        <f>-'Table 5C1N-Delta Charter'!AI69</f>
        <v>0</v>
      </c>
      <c r="U66" s="1253">
        <f>-'Table 5C1O-Impact'!AI69</f>
        <v>0</v>
      </c>
      <c r="V66" s="1253">
        <f>-'Table 5C1P-Vision'!AI69</f>
        <v>0</v>
      </c>
      <c r="W66" s="1253">
        <f>-'Table 5C1Q-Advantage'!AI69</f>
        <v>0</v>
      </c>
      <c r="X66" s="1253">
        <f>-'Table 5C1R-Iberville'!AI69</f>
        <v>0</v>
      </c>
      <c r="Y66" s="1253">
        <f>-'Table 5C1S-L.C. Coll Prep'!AI69</f>
        <v>0</v>
      </c>
      <c r="Z66" s="1253">
        <f>-'Table 5C1T-Northeast'!AI69</f>
        <v>0</v>
      </c>
      <c r="AA66" s="1253">
        <f>-'Table 5C1U-Acadiana Ren'!AI69</f>
        <v>0</v>
      </c>
      <c r="AB66" s="1253">
        <f>-'Table 5C1V-Laf Ren'!AI69</f>
        <v>0</v>
      </c>
      <c r="AC66" s="1253">
        <f>-'Table 5C1W-Willow'!AI69</f>
        <v>0</v>
      </c>
      <c r="AD66" s="1253">
        <f>-'Table 5C2 - LA Virtual Admy'!AJ68</f>
        <v>-1636</v>
      </c>
      <c r="AE66" s="1253">
        <f>-'Table 5C3 - LA Connections EBR'!AJ68</f>
        <v>0</v>
      </c>
      <c r="AF66" s="1253">
        <f t="shared" si="56"/>
        <v>-1854</v>
      </c>
      <c r="AG66" s="1280">
        <f t="shared" si="57"/>
        <v>827961</v>
      </c>
      <c r="AH66" s="1253"/>
      <c r="AI66" s="1253"/>
      <c r="AJ66" s="1253"/>
      <c r="AK66" s="1253">
        <f>'Table 5C1A-Madison Prep'!AC69</f>
        <v>0</v>
      </c>
      <c r="AL66" s="1253">
        <f>'Table 5C1B-DArbonne'!AC69</f>
        <v>0</v>
      </c>
      <c r="AM66" s="1253">
        <f>'Table 5C1C-Intl_VIBE'!AC69</f>
        <v>0</v>
      </c>
      <c r="AN66" s="1253">
        <f>'Table 5C1D-NOMMA'!AC69</f>
        <v>0</v>
      </c>
      <c r="AO66" s="1253">
        <f>'Table 5C1E-LFNO'!AC69</f>
        <v>0</v>
      </c>
      <c r="AP66" s="1253">
        <f>'Table 5C1F-Lake Charles Charter'!AC69</f>
        <v>0</v>
      </c>
      <c r="AQ66" s="1253">
        <f>'Table 5C1G-JS Clark Academy'!AC69</f>
        <v>0</v>
      </c>
      <c r="AR66" s="1253">
        <f>'Table 5C1H-Southwest LA Charter'!AC69</f>
        <v>0</v>
      </c>
      <c r="AS66" s="1253">
        <f>'Table 5C1I-LA Key Academy'!AC69</f>
        <v>0</v>
      </c>
      <c r="AT66" s="1253">
        <f>'Table 5C1J-Jefferson Chamber'!AC69</f>
        <v>0</v>
      </c>
      <c r="AU66" s="1253">
        <f>'Table 5C1K-Tallulah Charter'!AC69</f>
        <v>0</v>
      </c>
      <c r="AV66" s="1253">
        <f>'Table 5C1L-Northshore Charter'!AC69</f>
        <v>0</v>
      </c>
      <c r="AW66" s="1253">
        <f>'Table 5C1M-B.R. Charter'!AC69</f>
        <v>0</v>
      </c>
      <c r="AX66" s="1253">
        <f>'Table 5C1N-Delta Charter'!AC69</f>
        <v>0</v>
      </c>
      <c r="AY66" s="1253">
        <f>'Table 5C1O-Impact'!AC69</f>
        <v>0</v>
      </c>
      <c r="AZ66" s="1253">
        <f>+'Table 5C1P-Vision'!AC69</f>
        <v>0</v>
      </c>
      <c r="BA66" s="1253">
        <f>+'Table 5C1Q-Advantage'!AC69</f>
        <v>0</v>
      </c>
      <c r="BB66" s="1253">
        <f>+'Table 5C1R-Iberville'!AC69</f>
        <v>0</v>
      </c>
      <c r="BC66" s="1253">
        <f>+'Table 5C1S-L.C. Coll Prep'!AC69</f>
        <v>0</v>
      </c>
      <c r="BD66" s="1253">
        <f>+'Table 5C1T-Northeast'!AC69</f>
        <v>0</v>
      </c>
      <c r="BE66" s="1253">
        <f>+'Table 5C1U-Acadiana Ren'!AC69</f>
        <v>0</v>
      </c>
      <c r="BF66" s="1253">
        <f>+'Table 5C1V-Laf Ren'!AC69</f>
        <v>0</v>
      </c>
      <c r="BG66" s="1253">
        <f>+'Table 5C1W-Willow'!AC69</f>
        <v>0</v>
      </c>
      <c r="BH66" s="1253">
        <f>'Table 5C2 - LA Virtual Admy'!AD68</f>
        <v>-49.207500000000003</v>
      </c>
      <c r="BI66" s="1253">
        <f>'Table 5C3 - LA Connections EBR'!AD68</f>
        <v>0</v>
      </c>
      <c r="BJ66" s="1280">
        <f t="shared" si="58"/>
        <v>827911.79249999998</v>
      </c>
      <c r="BK66" s="38"/>
    </row>
    <row r="67" spans="1:63" ht="14.4" customHeight="1">
      <c r="A67" s="1250">
        <v>64</v>
      </c>
      <c r="B67" s="1251" t="s">
        <v>143</v>
      </c>
      <c r="C67" s="1252">
        <f>'Table 2_State Distrib and Adjs'!AL70</f>
        <v>1345421</v>
      </c>
      <c r="D67" s="1253">
        <f>-'Table 5A3_OJJ'!W69</f>
        <v>-155</v>
      </c>
      <c r="E67" s="1253"/>
      <c r="F67" s="1253"/>
      <c r="G67" s="1253">
        <f>-'Table 5C1A-Madison Prep'!AI70</f>
        <v>0</v>
      </c>
      <c r="H67" s="1253">
        <f>-'Table 5C1B-DArbonne'!AI70</f>
        <v>0</v>
      </c>
      <c r="I67" s="1253">
        <f>-'Table 5C1C-Intl_VIBE'!AI70</f>
        <v>0</v>
      </c>
      <c r="J67" s="1253">
        <f>-'Table 5C1D-NOMMA'!AI70</f>
        <v>0</v>
      </c>
      <c r="K67" s="1253">
        <f>-'Table 5C1E-LFNO'!AI70</f>
        <v>0</v>
      </c>
      <c r="L67" s="1253">
        <f>-'Table 5C1F-Lake Charles Charter'!AI70</f>
        <v>0</v>
      </c>
      <c r="M67" s="1253">
        <f>-'Table 5C1G-JS Clark Academy'!AI70</f>
        <v>0</v>
      </c>
      <c r="N67" s="1253">
        <f>-'Table 5C1H-Southwest LA Charter'!AI70</f>
        <v>0</v>
      </c>
      <c r="O67" s="1253">
        <f>-'Table 5C1I-LA Key Academy'!AI70</f>
        <v>0</v>
      </c>
      <c r="P67" s="1253">
        <f>-'Table 5C1J-Jefferson Chamber'!AI70</f>
        <v>0</v>
      </c>
      <c r="Q67" s="1253">
        <f>-'Table 5C1K-Tallulah Charter'!AI70</f>
        <v>0</v>
      </c>
      <c r="R67" s="1253">
        <f>-'Table 5C1L-Northshore Charter'!AI70</f>
        <v>0</v>
      </c>
      <c r="S67" s="1253">
        <f>-'Table 5C1M-B.R. Charter'!AI70</f>
        <v>0</v>
      </c>
      <c r="T67" s="1253">
        <f>-'Table 5C1N-Delta Charter'!AI70</f>
        <v>0</v>
      </c>
      <c r="U67" s="1253">
        <f>-'Table 5C1O-Impact'!AI70</f>
        <v>0</v>
      </c>
      <c r="V67" s="1253">
        <f>-'Table 5C1P-Vision'!AI70</f>
        <v>0</v>
      </c>
      <c r="W67" s="1253">
        <f>-'Table 5C1Q-Advantage'!AI70</f>
        <v>0</v>
      </c>
      <c r="X67" s="1253">
        <f>-'Table 5C1R-Iberville'!AI70</f>
        <v>0</v>
      </c>
      <c r="Y67" s="1253">
        <f>-'Table 5C1S-L.C. Coll Prep'!AI70</f>
        <v>0</v>
      </c>
      <c r="Z67" s="1253">
        <f>-'Table 5C1T-Northeast'!AI70</f>
        <v>0</v>
      </c>
      <c r="AA67" s="1253">
        <f>-'Table 5C1U-Acadiana Ren'!AI70</f>
        <v>0</v>
      </c>
      <c r="AB67" s="1253">
        <f>-'Table 5C1V-Laf Ren'!AI70</f>
        <v>0</v>
      </c>
      <c r="AC67" s="1253">
        <f>-'Table 5C1W-Willow'!AI70</f>
        <v>0</v>
      </c>
      <c r="AD67" s="1253">
        <f>-'Table 5C2 - LA Virtual Admy'!AJ69</f>
        <v>-1018</v>
      </c>
      <c r="AE67" s="1253">
        <f>-'Table 5C3 - LA Connections EBR'!AJ69</f>
        <v>-611</v>
      </c>
      <c r="AF67" s="1253">
        <f t="shared" si="56"/>
        <v>-1784</v>
      </c>
      <c r="AG67" s="1280">
        <f t="shared" si="57"/>
        <v>1343637</v>
      </c>
      <c r="AH67" s="1253"/>
      <c r="AI67" s="1253"/>
      <c r="AJ67" s="1253"/>
      <c r="AK67" s="1253">
        <f>'Table 5C1A-Madison Prep'!AC70</f>
        <v>0</v>
      </c>
      <c r="AL67" s="1253">
        <f>'Table 5C1B-DArbonne'!AC70</f>
        <v>0</v>
      </c>
      <c r="AM67" s="1253">
        <f>'Table 5C1C-Intl_VIBE'!AC70</f>
        <v>0</v>
      </c>
      <c r="AN67" s="1253">
        <f>'Table 5C1D-NOMMA'!AC70</f>
        <v>0</v>
      </c>
      <c r="AO67" s="1253">
        <f>'Table 5C1E-LFNO'!AC70</f>
        <v>0</v>
      </c>
      <c r="AP67" s="1253">
        <f>'Table 5C1F-Lake Charles Charter'!AC70</f>
        <v>0</v>
      </c>
      <c r="AQ67" s="1253">
        <f>'Table 5C1G-JS Clark Academy'!AC70</f>
        <v>0</v>
      </c>
      <c r="AR67" s="1253">
        <f>'Table 5C1H-Southwest LA Charter'!AC70</f>
        <v>0</v>
      </c>
      <c r="AS67" s="1253">
        <f>'Table 5C1I-LA Key Academy'!AC70</f>
        <v>0</v>
      </c>
      <c r="AT67" s="1253">
        <f>'Table 5C1J-Jefferson Chamber'!AC70</f>
        <v>0</v>
      </c>
      <c r="AU67" s="1253">
        <f>'Table 5C1K-Tallulah Charter'!AC70</f>
        <v>0</v>
      </c>
      <c r="AV67" s="1253">
        <f>'Table 5C1L-Northshore Charter'!AC70</f>
        <v>0</v>
      </c>
      <c r="AW67" s="1253">
        <f>'Table 5C1M-B.R. Charter'!AC70</f>
        <v>0</v>
      </c>
      <c r="AX67" s="1253">
        <f>'Table 5C1N-Delta Charter'!AC70</f>
        <v>0</v>
      </c>
      <c r="AY67" s="1253">
        <f>'Table 5C1O-Impact'!AC70</f>
        <v>0</v>
      </c>
      <c r="AZ67" s="1253">
        <f>+'Table 5C1P-Vision'!AC70</f>
        <v>0</v>
      </c>
      <c r="BA67" s="1253">
        <f>+'Table 5C1Q-Advantage'!AC70</f>
        <v>0</v>
      </c>
      <c r="BB67" s="1253">
        <f>+'Table 5C1R-Iberville'!AC70</f>
        <v>0</v>
      </c>
      <c r="BC67" s="1253">
        <f>+'Table 5C1S-L.C. Coll Prep'!AC70</f>
        <v>0</v>
      </c>
      <c r="BD67" s="1253">
        <f>+'Table 5C1T-Northeast'!AC70</f>
        <v>0</v>
      </c>
      <c r="BE67" s="1253">
        <f>+'Table 5C1U-Acadiana Ren'!AC70</f>
        <v>0</v>
      </c>
      <c r="BF67" s="1253">
        <f>+'Table 5C1V-Laf Ren'!AC70</f>
        <v>0</v>
      </c>
      <c r="BG67" s="1253">
        <f>+'Table 5C1W-Willow'!AC70</f>
        <v>0</v>
      </c>
      <c r="BH67" s="1253">
        <f>'Table 5C2 - LA Virtual Admy'!AD69</f>
        <v>-30.611250000000002</v>
      </c>
      <c r="BI67" s="1253">
        <f>'Table 5C3 - LA Connections EBR'!AD69</f>
        <v>-18.366750000000003</v>
      </c>
      <c r="BJ67" s="1280">
        <f t="shared" si="58"/>
        <v>1343588.0219999999</v>
      </c>
      <c r="BK67" s="38"/>
    </row>
    <row r="68" spans="1:63" ht="14.4" customHeight="1">
      <c r="A68" s="85">
        <v>65</v>
      </c>
      <c r="B68" s="207" t="s">
        <v>144</v>
      </c>
      <c r="C68" s="209">
        <f>'Table 2_State Distrib and Adjs'!AL71</f>
        <v>3824052</v>
      </c>
      <c r="D68" s="219">
        <f>-'Table 5A3_OJJ'!W70</f>
        <v>0</v>
      </c>
      <c r="E68" s="219"/>
      <c r="F68" s="219"/>
      <c r="G68" s="219">
        <f>-'Table 5C1A-Madison Prep'!AI71</f>
        <v>0</v>
      </c>
      <c r="H68" s="219">
        <f>-'Table 5C1B-DArbonne'!AI71</f>
        <v>-1274</v>
      </c>
      <c r="I68" s="219">
        <f>-'Table 5C1C-Intl_VIBE'!AI71</f>
        <v>0</v>
      </c>
      <c r="J68" s="219">
        <f>-'Table 5C1D-NOMMA'!AI71</f>
        <v>0</v>
      </c>
      <c r="K68" s="219">
        <f>-'Table 5C1E-LFNO'!AI71</f>
        <v>0</v>
      </c>
      <c r="L68" s="219">
        <f>-'Table 5C1F-Lake Charles Charter'!AI71</f>
        <v>0</v>
      </c>
      <c r="M68" s="219">
        <f>-'Table 5C1G-JS Clark Academy'!AI71</f>
        <v>0</v>
      </c>
      <c r="N68" s="219">
        <f>-'Table 5C1H-Southwest LA Charter'!AI71</f>
        <v>0</v>
      </c>
      <c r="O68" s="219">
        <f>-'Table 5C1I-LA Key Academy'!AI71</f>
        <v>0</v>
      </c>
      <c r="P68" s="219">
        <f>-'Table 5C1J-Jefferson Chamber'!AI71</f>
        <v>0</v>
      </c>
      <c r="Q68" s="219">
        <f>-'Table 5C1K-Tallulah Charter'!AI71</f>
        <v>0</v>
      </c>
      <c r="R68" s="219">
        <f>-'Table 5C1L-Northshore Charter'!AI71</f>
        <v>0</v>
      </c>
      <c r="S68" s="219">
        <f>-'Table 5C1M-B.R. Charter'!AI71</f>
        <v>0</v>
      </c>
      <c r="T68" s="219">
        <f>-'Table 5C1N-Delta Charter'!AI71</f>
        <v>0</v>
      </c>
      <c r="U68" s="219">
        <f>-'Table 5C1O-Impact'!AI71</f>
        <v>0</v>
      </c>
      <c r="V68" s="219">
        <f>-'Table 5C1P-Vision'!AI71</f>
        <v>-63715</v>
      </c>
      <c r="W68" s="219">
        <f>-'Table 5C1Q-Advantage'!AI71</f>
        <v>0</v>
      </c>
      <c r="X68" s="219">
        <f>-'Table 5C1R-Iberville'!AI71</f>
        <v>0</v>
      </c>
      <c r="Y68" s="219">
        <f>-'Table 5C1S-L.C. Coll Prep'!AI71</f>
        <v>0</v>
      </c>
      <c r="Z68" s="219">
        <f>-'Table 5C1T-Northeast'!AI71</f>
        <v>0</v>
      </c>
      <c r="AA68" s="219">
        <f>-'Table 5C1U-Acadiana Ren'!AI71</f>
        <v>0</v>
      </c>
      <c r="AB68" s="219">
        <f>-'Table 5C1V-Laf Ren'!AI71</f>
        <v>0</v>
      </c>
      <c r="AC68" s="219">
        <f>-'Table 5C1W-Willow'!AI71</f>
        <v>0</v>
      </c>
      <c r="AD68" s="219">
        <f>-'Table 5C2 - LA Virtual Admy'!AJ70</f>
        <v>0</v>
      </c>
      <c r="AE68" s="219">
        <f>-'Table 5C3 - LA Connections EBR'!AJ70</f>
        <v>0</v>
      </c>
      <c r="AF68" s="219">
        <f t="shared" ref="AF68:AF72" si="59">SUM(D68:AE68)</f>
        <v>-64989</v>
      </c>
      <c r="AG68" s="364">
        <f t="shared" ref="AG68:AG72" si="60">C68+AF68</f>
        <v>3759063</v>
      </c>
      <c r="AH68" s="219"/>
      <c r="AI68" s="219"/>
      <c r="AJ68" s="219"/>
      <c r="AK68" s="219">
        <f>'Table 5C1A-Madison Prep'!AC71</f>
        <v>0</v>
      </c>
      <c r="AL68" s="219">
        <f>'Table 5C1B-DArbonne'!AC71</f>
        <v>-38.325000000000003</v>
      </c>
      <c r="AM68" s="219">
        <f>'Table 5C1C-Intl_VIBE'!AC71</f>
        <v>0</v>
      </c>
      <c r="AN68" s="219">
        <f>'Table 5C1D-NOMMA'!AC71</f>
        <v>0</v>
      </c>
      <c r="AO68" s="219">
        <f>'Table 5C1E-LFNO'!AC71</f>
        <v>0</v>
      </c>
      <c r="AP68" s="219">
        <f>'Table 5C1F-Lake Charles Charter'!AC71</f>
        <v>0</v>
      </c>
      <c r="AQ68" s="219">
        <f>'Table 5C1G-JS Clark Academy'!AC71</f>
        <v>0</v>
      </c>
      <c r="AR68" s="219">
        <f>'Table 5C1H-Southwest LA Charter'!AC71</f>
        <v>0</v>
      </c>
      <c r="AS68" s="219">
        <f>'Table 5C1I-LA Key Academy'!AC71</f>
        <v>0</v>
      </c>
      <c r="AT68" s="219">
        <f>'Table 5C1J-Jefferson Chamber'!AC71</f>
        <v>0</v>
      </c>
      <c r="AU68" s="219">
        <f>'Table 5C1K-Tallulah Charter'!AC71</f>
        <v>0</v>
      </c>
      <c r="AV68" s="219">
        <f>'Table 5C1L-Northshore Charter'!AC71</f>
        <v>0</v>
      </c>
      <c r="AW68" s="219">
        <f>'Table 5C1M-B.R. Charter'!AC71</f>
        <v>0</v>
      </c>
      <c r="AX68" s="219">
        <f>'Table 5C1N-Delta Charter'!AC71</f>
        <v>0</v>
      </c>
      <c r="AY68" s="219">
        <f>'Table 5C1O-Impact'!AC71</f>
        <v>0</v>
      </c>
      <c r="AZ68" s="219">
        <f>+'Table 5C1P-Vision'!AC71</f>
        <v>-1916.25</v>
      </c>
      <c r="BA68" s="219">
        <f>+'Table 5C1Q-Advantage'!AC71</f>
        <v>0</v>
      </c>
      <c r="BB68" s="219">
        <f>+'Table 5C1R-Iberville'!AC71</f>
        <v>0</v>
      </c>
      <c r="BC68" s="219">
        <f>+'Table 5C1S-L.C. Coll Prep'!AC71</f>
        <v>0</v>
      </c>
      <c r="BD68" s="219">
        <f>+'Table 5C1T-Northeast'!AC71</f>
        <v>0</v>
      </c>
      <c r="BE68" s="219">
        <f>+'Table 5C1U-Acadiana Ren'!AC71</f>
        <v>0</v>
      </c>
      <c r="BF68" s="219">
        <f>+'Table 5C1V-Laf Ren'!AC71</f>
        <v>0</v>
      </c>
      <c r="BG68" s="219">
        <f>+'Table 5C1W-Willow'!AC71</f>
        <v>0</v>
      </c>
      <c r="BH68" s="219">
        <f>'Table 5C2 - LA Virtual Admy'!AD70</f>
        <v>0</v>
      </c>
      <c r="BI68" s="219">
        <f>'Table 5C3 - LA Connections EBR'!AD70</f>
        <v>0</v>
      </c>
      <c r="BJ68" s="364">
        <f t="shared" ref="BJ68:BJ72" si="61">SUM(AG68:BI68)</f>
        <v>3757108.4249999998</v>
      </c>
      <c r="BK68" s="38"/>
    </row>
    <row r="69" spans="1:63" ht="14.4" customHeight="1">
      <c r="A69" s="1250">
        <v>66</v>
      </c>
      <c r="B69" s="1251" t="s">
        <v>145</v>
      </c>
      <c r="C69" s="1252">
        <f>'Table 2_State Distrib and Adjs'!AL72</f>
        <v>1122216</v>
      </c>
      <c r="D69" s="1253">
        <f>-'Table 5A3_OJJ'!W71</f>
        <v>0</v>
      </c>
      <c r="E69" s="1253"/>
      <c r="F69" s="1253"/>
      <c r="G69" s="1253">
        <f>-'Table 5C1A-Madison Prep'!AI72</f>
        <v>0</v>
      </c>
      <c r="H69" s="1253">
        <f>-'Table 5C1B-DArbonne'!AI72</f>
        <v>0</v>
      </c>
      <c r="I69" s="1253">
        <f>-'Table 5C1C-Intl_VIBE'!AI72</f>
        <v>0</v>
      </c>
      <c r="J69" s="1253">
        <f>-'Table 5C1D-NOMMA'!AI72</f>
        <v>0</v>
      </c>
      <c r="K69" s="1253">
        <f>-'Table 5C1E-LFNO'!AI72</f>
        <v>0</v>
      </c>
      <c r="L69" s="1253">
        <f>-'Table 5C1F-Lake Charles Charter'!AI72</f>
        <v>0</v>
      </c>
      <c r="M69" s="1253">
        <f>-'Table 5C1G-JS Clark Academy'!AI72</f>
        <v>0</v>
      </c>
      <c r="N69" s="1253">
        <f>-'Table 5C1H-Southwest LA Charter'!AI72</f>
        <v>0</v>
      </c>
      <c r="O69" s="1253">
        <f>-'Table 5C1I-LA Key Academy'!AI72</f>
        <v>0</v>
      </c>
      <c r="P69" s="1253">
        <f>-'Table 5C1J-Jefferson Chamber'!AI72</f>
        <v>0</v>
      </c>
      <c r="Q69" s="1253">
        <f>-'Table 5C1K-Tallulah Charter'!AI72</f>
        <v>0</v>
      </c>
      <c r="R69" s="1253">
        <f>-'Table 5C1L-Northshore Charter'!AI72</f>
        <v>-44248</v>
      </c>
      <c r="S69" s="1253">
        <f>-'Table 5C1M-B.R. Charter'!AI72</f>
        <v>0</v>
      </c>
      <c r="T69" s="1253">
        <f>-'Table 5C1N-Delta Charter'!AI72</f>
        <v>0</v>
      </c>
      <c r="U69" s="1253">
        <f>-'Table 5C1O-Impact'!AI72</f>
        <v>0</v>
      </c>
      <c r="V69" s="1253">
        <f>-'Table 5C1P-Vision'!AI72</f>
        <v>0</v>
      </c>
      <c r="W69" s="1253">
        <f>-'Table 5C1Q-Advantage'!AI72</f>
        <v>0</v>
      </c>
      <c r="X69" s="1253">
        <f>-'Table 5C1R-Iberville'!AI72</f>
        <v>0</v>
      </c>
      <c r="Y69" s="1253">
        <f>-'Table 5C1S-L.C. Coll Prep'!AI72</f>
        <v>0</v>
      </c>
      <c r="Z69" s="1253">
        <f>-'Table 5C1T-Northeast'!AI72</f>
        <v>0</v>
      </c>
      <c r="AA69" s="1253">
        <f>-'Table 5C1U-Acadiana Ren'!AI72</f>
        <v>0</v>
      </c>
      <c r="AB69" s="1253">
        <f>-'Table 5C1V-Laf Ren'!AI72</f>
        <v>0</v>
      </c>
      <c r="AC69" s="1253">
        <f>-'Table 5C1W-Willow'!AI72</f>
        <v>0</v>
      </c>
      <c r="AD69" s="1253">
        <f>-'Table 5C2 - LA Virtual Admy'!AJ71</f>
        <v>-3781</v>
      </c>
      <c r="AE69" s="1253">
        <f>-'Table 5C3 - LA Connections EBR'!AJ71</f>
        <v>-2054</v>
      </c>
      <c r="AF69" s="1253">
        <f t="shared" si="59"/>
        <v>-50083</v>
      </c>
      <c r="AG69" s="1280">
        <f t="shared" si="60"/>
        <v>1072133</v>
      </c>
      <c r="AH69" s="1253"/>
      <c r="AI69" s="1253"/>
      <c r="AJ69" s="1253"/>
      <c r="AK69" s="1253">
        <f>'Table 5C1A-Madison Prep'!AC72</f>
        <v>0</v>
      </c>
      <c r="AL69" s="1253">
        <f>'Table 5C1B-DArbonne'!AC72</f>
        <v>0</v>
      </c>
      <c r="AM69" s="1253">
        <f>'Table 5C1C-Intl_VIBE'!AC72</f>
        <v>0</v>
      </c>
      <c r="AN69" s="1253">
        <f>'Table 5C1D-NOMMA'!AC72</f>
        <v>0</v>
      </c>
      <c r="AO69" s="1253">
        <f>'Table 5C1E-LFNO'!AC72</f>
        <v>0</v>
      </c>
      <c r="AP69" s="1253">
        <f>'Table 5C1F-Lake Charles Charter'!AC72</f>
        <v>0</v>
      </c>
      <c r="AQ69" s="1253">
        <f>'Table 5C1G-JS Clark Academy'!AC72</f>
        <v>0</v>
      </c>
      <c r="AR69" s="1253">
        <f>'Table 5C1H-Southwest LA Charter'!AC72</f>
        <v>0</v>
      </c>
      <c r="AS69" s="1253">
        <f>'Table 5C1I-LA Key Academy'!AC72</f>
        <v>0</v>
      </c>
      <c r="AT69" s="1253">
        <f>'Table 5C1J-Jefferson Chamber'!AC72</f>
        <v>0</v>
      </c>
      <c r="AU69" s="1253">
        <f>'Table 5C1K-Tallulah Charter'!AC72</f>
        <v>0</v>
      </c>
      <c r="AV69" s="1253">
        <f>'Table 5C1L-Northshore Charter'!AC72</f>
        <v>-1330.7550000000001</v>
      </c>
      <c r="AW69" s="1253">
        <f>'Table 5C1M-B.R. Charter'!AC72</f>
        <v>0</v>
      </c>
      <c r="AX69" s="1253">
        <f>'Table 5C1N-Delta Charter'!AC72</f>
        <v>0</v>
      </c>
      <c r="AY69" s="1253">
        <f>'Table 5C1O-Impact'!AC72</f>
        <v>0</v>
      </c>
      <c r="AZ69" s="1253">
        <f>+'Table 5C1P-Vision'!AC72</f>
        <v>0</v>
      </c>
      <c r="BA69" s="1253">
        <f>+'Table 5C1Q-Advantage'!AC72</f>
        <v>0</v>
      </c>
      <c r="BB69" s="1253">
        <f>+'Table 5C1R-Iberville'!AC72</f>
        <v>0</v>
      </c>
      <c r="BC69" s="1253">
        <f>+'Table 5C1S-L.C. Coll Prep'!AC72</f>
        <v>0</v>
      </c>
      <c r="BD69" s="1253">
        <f>+'Table 5C1T-Northeast'!AC72</f>
        <v>0</v>
      </c>
      <c r="BE69" s="1253">
        <f>+'Table 5C1U-Acadiana Ren'!AC72</f>
        <v>0</v>
      </c>
      <c r="BF69" s="1253">
        <f>+'Table 5C1V-Laf Ren'!AC72</f>
        <v>0</v>
      </c>
      <c r="BG69" s="1253">
        <f>+'Table 5C1W-Willow'!AC72</f>
        <v>0</v>
      </c>
      <c r="BH69" s="1253">
        <f>'Table 5C2 - LA Virtual Admy'!AD71</f>
        <v>-113.70375</v>
      </c>
      <c r="BI69" s="1253">
        <f>'Table 5C3 - LA Connections EBR'!AD71</f>
        <v>-37.901249999999997</v>
      </c>
      <c r="BJ69" s="1280">
        <f t="shared" si="61"/>
        <v>1070650.6399999999</v>
      </c>
      <c r="BK69" s="38"/>
    </row>
    <row r="70" spans="1:63" ht="14.4" customHeight="1">
      <c r="A70" s="1250">
        <v>67</v>
      </c>
      <c r="B70" s="1251" t="s">
        <v>30</v>
      </c>
      <c r="C70" s="1252">
        <f>'Table 2_State Distrib and Adjs'!AL73</f>
        <v>2519996</v>
      </c>
      <c r="D70" s="1253">
        <f>-'Table 5A3_OJJ'!W72</f>
        <v>0</v>
      </c>
      <c r="E70" s="1253"/>
      <c r="F70" s="1253"/>
      <c r="G70" s="1253">
        <f>-'Table 5C1A-Madison Prep'!AI73</f>
        <v>-1251</v>
      </c>
      <c r="H70" s="1253">
        <f>-'Table 5C1B-DArbonne'!AI73</f>
        <v>0</v>
      </c>
      <c r="I70" s="1253">
        <f>-'Table 5C1C-Intl_VIBE'!AI73</f>
        <v>0</v>
      </c>
      <c r="J70" s="1253">
        <f>-'Table 5C1D-NOMMA'!AI73</f>
        <v>0</v>
      </c>
      <c r="K70" s="1253">
        <f>-'Table 5C1E-LFNO'!AI73</f>
        <v>0</v>
      </c>
      <c r="L70" s="1253">
        <f>-'Table 5C1F-Lake Charles Charter'!AI73</f>
        <v>0</v>
      </c>
      <c r="M70" s="1253">
        <f>-'Table 5C1G-JS Clark Academy'!AI73</f>
        <v>0</v>
      </c>
      <c r="N70" s="1253">
        <f>-'Table 5C1H-Southwest LA Charter'!AI73</f>
        <v>0</v>
      </c>
      <c r="O70" s="1253">
        <f>-'Table 5C1I-LA Key Academy'!AI73</f>
        <v>0</v>
      </c>
      <c r="P70" s="1253">
        <f>-'Table 5C1J-Jefferson Chamber'!AI73</f>
        <v>0</v>
      </c>
      <c r="Q70" s="1253">
        <f>-'Table 5C1K-Tallulah Charter'!AI73</f>
        <v>0</v>
      </c>
      <c r="R70" s="1253">
        <f>-'Table 5C1L-Northshore Charter'!AI73</f>
        <v>0</v>
      </c>
      <c r="S70" s="1253">
        <f>-'Table 5C1M-B.R. Charter'!AI73</f>
        <v>0</v>
      </c>
      <c r="T70" s="1253">
        <f>-'Table 5C1N-Delta Charter'!AI73</f>
        <v>0</v>
      </c>
      <c r="U70" s="1253">
        <f>-'Table 5C1O-Impact'!AI73</f>
        <v>0</v>
      </c>
      <c r="V70" s="1253">
        <f>-'Table 5C1P-Vision'!AI73</f>
        <v>0</v>
      </c>
      <c r="W70" s="1253">
        <f>-'Table 5C1Q-Advantage'!AI73</f>
        <v>0</v>
      </c>
      <c r="X70" s="1253">
        <f>-'Table 5C1R-Iberville'!AI73</f>
        <v>0</v>
      </c>
      <c r="Y70" s="1253">
        <f>-'Table 5C1S-L.C. Coll Prep'!AI73</f>
        <v>0</v>
      </c>
      <c r="Z70" s="1253">
        <f>-'Table 5C1T-Northeast'!AI73</f>
        <v>0</v>
      </c>
      <c r="AA70" s="1253">
        <f>-'Table 5C1U-Acadiana Ren'!AI73</f>
        <v>0</v>
      </c>
      <c r="AB70" s="1253">
        <f>-'Table 5C1V-Laf Ren'!AI73</f>
        <v>0</v>
      </c>
      <c r="AC70" s="1253">
        <f>-'Table 5C1W-Willow'!AI73</f>
        <v>0</v>
      </c>
      <c r="AD70" s="1253">
        <f>-'Table 5C2 - LA Virtual Admy'!AJ72</f>
        <v>-1501</v>
      </c>
      <c r="AE70" s="1253">
        <f>-'Table 5C3 - LA Connections EBR'!AJ72</f>
        <v>0</v>
      </c>
      <c r="AF70" s="1253">
        <f t="shared" si="59"/>
        <v>-2752</v>
      </c>
      <c r="AG70" s="1280">
        <f t="shared" si="60"/>
        <v>2517244</v>
      </c>
      <c r="AH70" s="1253"/>
      <c r="AI70" s="1253"/>
      <c r="AJ70" s="1253"/>
      <c r="AK70" s="1253">
        <f>'Table 5C1A-Madison Prep'!AC73</f>
        <v>-37.612500000000004</v>
      </c>
      <c r="AL70" s="1253">
        <f>'Table 5C1B-DArbonne'!AC73</f>
        <v>0</v>
      </c>
      <c r="AM70" s="1253">
        <f>'Table 5C1C-Intl_VIBE'!AC73</f>
        <v>0</v>
      </c>
      <c r="AN70" s="1253">
        <f>'Table 5C1D-NOMMA'!AC73</f>
        <v>0</v>
      </c>
      <c r="AO70" s="1253">
        <f>'Table 5C1E-LFNO'!AC73</f>
        <v>0</v>
      </c>
      <c r="AP70" s="1253">
        <f>'Table 5C1F-Lake Charles Charter'!AC73</f>
        <v>0</v>
      </c>
      <c r="AQ70" s="1253">
        <f>'Table 5C1G-JS Clark Academy'!AC73</f>
        <v>0</v>
      </c>
      <c r="AR70" s="1253">
        <f>'Table 5C1H-Southwest LA Charter'!AC73</f>
        <v>0</v>
      </c>
      <c r="AS70" s="1253">
        <f>'Table 5C1I-LA Key Academy'!AC73</f>
        <v>0</v>
      </c>
      <c r="AT70" s="1253">
        <f>'Table 5C1J-Jefferson Chamber'!AC73</f>
        <v>0</v>
      </c>
      <c r="AU70" s="1253">
        <f>'Table 5C1K-Tallulah Charter'!AC73</f>
        <v>0</v>
      </c>
      <c r="AV70" s="1253">
        <f>'Table 5C1L-Northshore Charter'!AC73</f>
        <v>0</v>
      </c>
      <c r="AW70" s="1253">
        <f>'Table 5C1M-B.R. Charter'!AC73</f>
        <v>0</v>
      </c>
      <c r="AX70" s="1253">
        <f>'Table 5C1N-Delta Charter'!AC73</f>
        <v>0</v>
      </c>
      <c r="AY70" s="1253">
        <f>'Table 5C1O-Impact'!AC73</f>
        <v>0</v>
      </c>
      <c r="AZ70" s="1253">
        <f>+'Table 5C1P-Vision'!AC73</f>
        <v>0</v>
      </c>
      <c r="BA70" s="1253">
        <f>+'Table 5C1Q-Advantage'!AC73</f>
        <v>0</v>
      </c>
      <c r="BB70" s="1253">
        <f>+'Table 5C1R-Iberville'!AC73</f>
        <v>0</v>
      </c>
      <c r="BC70" s="1253">
        <f>+'Table 5C1S-L.C. Coll Prep'!AC73</f>
        <v>0</v>
      </c>
      <c r="BD70" s="1253">
        <f>+'Table 5C1T-Northeast'!AC73</f>
        <v>0</v>
      </c>
      <c r="BE70" s="1253">
        <f>+'Table 5C1U-Acadiana Ren'!AC73</f>
        <v>0</v>
      </c>
      <c r="BF70" s="1253">
        <f>+'Table 5C1V-Laf Ren'!AC73</f>
        <v>0</v>
      </c>
      <c r="BG70" s="1253">
        <f>+'Table 5C1W-Willow'!AC73</f>
        <v>0</v>
      </c>
      <c r="BH70" s="1253">
        <f>'Table 5C2 - LA Virtual Admy'!AD72</f>
        <v>-45.134999999999998</v>
      </c>
      <c r="BI70" s="1253">
        <f>'Table 5C3 - LA Connections EBR'!AD72</f>
        <v>0</v>
      </c>
      <c r="BJ70" s="1280">
        <f t="shared" si="61"/>
        <v>2517161.2525000004</v>
      </c>
      <c r="BK70" s="38"/>
    </row>
    <row r="71" spans="1:63" ht="14.4" customHeight="1">
      <c r="A71" s="1250">
        <v>68</v>
      </c>
      <c r="B71" s="1251" t="s">
        <v>28</v>
      </c>
      <c r="C71" s="1252">
        <f>'Table 2_State Distrib and Adjs'!AL74</f>
        <v>958256</v>
      </c>
      <c r="D71" s="1253">
        <f>-'Table 5A3_OJJ'!W73</f>
        <v>-59</v>
      </c>
      <c r="E71" s="1253"/>
      <c r="F71" s="1253"/>
      <c r="G71" s="1253">
        <f>-'Table 5C1A-Madison Prep'!AI74</f>
        <v>-1553</v>
      </c>
      <c r="H71" s="1253">
        <f>-'Table 5C1B-DArbonne'!AI74</f>
        <v>0</v>
      </c>
      <c r="I71" s="1253">
        <f>-'Table 5C1C-Intl_VIBE'!AI74</f>
        <v>0</v>
      </c>
      <c r="J71" s="1253">
        <f>-'Table 5C1D-NOMMA'!AI74</f>
        <v>0</v>
      </c>
      <c r="K71" s="1253">
        <f>-'Table 5C1E-LFNO'!AI74</f>
        <v>0</v>
      </c>
      <c r="L71" s="1253">
        <f>-'Table 5C1F-Lake Charles Charter'!AI74</f>
        <v>0</v>
      </c>
      <c r="M71" s="1253">
        <f>-'Table 5C1G-JS Clark Academy'!AI74</f>
        <v>0</v>
      </c>
      <c r="N71" s="1253">
        <f>-'Table 5C1H-Southwest LA Charter'!AI74</f>
        <v>0</v>
      </c>
      <c r="O71" s="1253">
        <f>-'Table 5C1I-LA Key Academy'!AI74</f>
        <v>0</v>
      </c>
      <c r="P71" s="1253">
        <f>-'Table 5C1J-Jefferson Chamber'!AI74</f>
        <v>0</v>
      </c>
      <c r="Q71" s="1253">
        <f>-'Table 5C1K-Tallulah Charter'!AI74</f>
        <v>0</v>
      </c>
      <c r="R71" s="1253">
        <f>-'Table 5C1L-Northshore Charter'!AI74</f>
        <v>0</v>
      </c>
      <c r="S71" s="1253">
        <f>-'Table 5C1M-B.R. Charter'!AI74</f>
        <v>0</v>
      </c>
      <c r="T71" s="1253">
        <f>-'Table 5C1N-Delta Charter'!AI74</f>
        <v>0</v>
      </c>
      <c r="U71" s="1253">
        <f>-'Table 5C1O-Impact'!AI74</f>
        <v>-42597</v>
      </c>
      <c r="V71" s="1253">
        <f>-'Table 5C1P-Vision'!AI74</f>
        <v>0</v>
      </c>
      <c r="W71" s="1253">
        <f>-'Table 5C1Q-Advantage'!AI74</f>
        <v>-54800</v>
      </c>
      <c r="X71" s="1253">
        <f>-'Table 5C1R-Iberville'!AI74</f>
        <v>0</v>
      </c>
      <c r="Y71" s="1253">
        <f>-'Table 5C1S-L.C. Coll Prep'!AI74</f>
        <v>0</v>
      </c>
      <c r="Z71" s="1253">
        <f>-'Table 5C1T-Northeast'!AI74</f>
        <v>0</v>
      </c>
      <c r="AA71" s="1253">
        <f>-'Table 5C1U-Acadiana Ren'!AI74</f>
        <v>0</v>
      </c>
      <c r="AB71" s="1253">
        <f>-'Table 5C1V-Laf Ren'!AI74</f>
        <v>0</v>
      </c>
      <c r="AC71" s="1253">
        <f>-'Table 5C1W-Willow'!AI74</f>
        <v>0</v>
      </c>
      <c r="AD71" s="1253">
        <f>-'Table 5C2 - LA Virtual Admy'!AJ73</f>
        <v>-998</v>
      </c>
      <c r="AE71" s="1253">
        <f>-'Table 5C3 - LA Connections EBR'!AJ73</f>
        <v>0</v>
      </c>
      <c r="AF71" s="1253">
        <f t="shared" si="59"/>
        <v>-100007</v>
      </c>
      <c r="AG71" s="1280">
        <f t="shared" si="60"/>
        <v>858249</v>
      </c>
      <c r="AH71" s="1253"/>
      <c r="AI71" s="1253"/>
      <c r="AJ71" s="1253"/>
      <c r="AK71" s="1253">
        <f>'Table 5C1A-Madison Prep'!AC74</f>
        <v>-46.707500000000003</v>
      </c>
      <c r="AL71" s="1253">
        <f>'Table 5C1B-DArbonne'!AC74</f>
        <v>0</v>
      </c>
      <c r="AM71" s="1253">
        <f>'Table 5C1C-Intl_VIBE'!AC74</f>
        <v>0</v>
      </c>
      <c r="AN71" s="1253">
        <f>'Table 5C1D-NOMMA'!AC74</f>
        <v>0</v>
      </c>
      <c r="AO71" s="1253">
        <f>'Table 5C1E-LFNO'!AC74</f>
        <v>0</v>
      </c>
      <c r="AP71" s="1253">
        <f>'Table 5C1F-Lake Charles Charter'!AC74</f>
        <v>0</v>
      </c>
      <c r="AQ71" s="1253">
        <f>'Table 5C1G-JS Clark Academy'!AC74</f>
        <v>0</v>
      </c>
      <c r="AR71" s="1253">
        <f>'Table 5C1H-Southwest LA Charter'!AC74</f>
        <v>0</v>
      </c>
      <c r="AS71" s="1253">
        <f>'Table 5C1I-LA Key Academy'!AC74</f>
        <v>0</v>
      </c>
      <c r="AT71" s="1253">
        <f>'Table 5C1J-Jefferson Chamber'!AC74</f>
        <v>0</v>
      </c>
      <c r="AU71" s="1253">
        <f>'Table 5C1K-Tallulah Charter'!AC74</f>
        <v>0</v>
      </c>
      <c r="AV71" s="1253">
        <f>'Table 5C1L-Northshore Charter'!AC74</f>
        <v>0</v>
      </c>
      <c r="AW71" s="1253">
        <f>'Table 5C1M-B.R. Charter'!AC74</f>
        <v>0</v>
      </c>
      <c r="AX71" s="1253">
        <f>'Table 5C1N-Delta Charter'!AC74</f>
        <v>0</v>
      </c>
      <c r="AY71" s="1253">
        <f>'Table 5C1O-Impact'!AC74</f>
        <v>-1281.1200000000001</v>
      </c>
      <c r="AZ71" s="1253">
        <f>+'Table 5C1P-Vision'!AC74</f>
        <v>0</v>
      </c>
      <c r="BA71" s="1253">
        <f>+'Table 5C1Q-Advantage'!AC74</f>
        <v>-1648.1075000000001</v>
      </c>
      <c r="BB71" s="1253">
        <f>+'Table 5C1R-Iberville'!AC74</f>
        <v>0</v>
      </c>
      <c r="BC71" s="1253">
        <f>+'Table 5C1S-L.C. Coll Prep'!AC74</f>
        <v>0</v>
      </c>
      <c r="BD71" s="1253">
        <f>+'Table 5C1T-Northeast'!AC74</f>
        <v>0</v>
      </c>
      <c r="BE71" s="1253">
        <f>+'Table 5C1U-Acadiana Ren'!AC74</f>
        <v>0</v>
      </c>
      <c r="BF71" s="1253">
        <f>+'Table 5C1V-Laf Ren'!AC74</f>
        <v>0</v>
      </c>
      <c r="BG71" s="1253">
        <f>+'Table 5C1W-Willow'!AC74</f>
        <v>0</v>
      </c>
      <c r="BH71" s="1253">
        <f>'Table 5C2 - LA Virtual Admy'!AD73</f>
        <v>-30.026250000000001</v>
      </c>
      <c r="BI71" s="1253">
        <f>'Table 5C3 - LA Connections EBR'!AD73</f>
        <v>0</v>
      </c>
      <c r="BJ71" s="1280">
        <f t="shared" si="61"/>
        <v>855243.03874999995</v>
      </c>
      <c r="BK71" s="38"/>
    </row>
    <row r="72" spans="1:63" ht="14.4" customHeight="1">
      <c r="A72" s="84">
        <v>69</v>
      </c>
      <c r="B72" s="206" t="s">
        <v>183</v>
      </c>
      <c r="C72" s="614">
        <f>'Table 2_State Distrib and Adjs'!AL75</f>
        <v>2306940</v>
      </c>
      <c r="D72" s="566">
        <f>-'Table 5A3_OJJ'!W74</f>
        <v>0</v>
      </c>
      <c r="E72" s="566"/>
      <c r="F72" s="566"/>
      <c r="G72" s="566">
        <f>-'Table 5C1A-Madison Prep'!AI75</f>
        <v>-282</v>
      </c>
      <c r="H72" s="566">
        <f>-'Table 5C1B-DArbonne'!AI75</f>
        <v>0</v>
      </c>
      <c r="I72" s="566">
        <f>-'Table 5C1C-Intl_VIBE'!AI75</f>
        <v>0</v>
      </c>
      <c r="J72" s="566">
        <f>-'Table 5C1D-NOMMA'!AI75</f>
        <v>0</v>
      </c>
      <c r="K72" s="566">
        <f>-'Table 5C1E-LFNO'!AI75</f>
        <v>0</v>
      </c>
      <c r="L72" s="566">
        <f>-'Table 5C1F-Lake Charles Charter'!AI75</f>
        <v>0</v>
      </c>
      <c r="M72" s="566">
        <f>-'Table 5C1G-JS Clark Academy'!AI75</f>
        <v>0</v>
      </c>
      <c r="N72" s="566">
        <f>-'Table 5C1H-Southwest LA Charter'!AI75</f>
        <v>0</v>
      </c>
      <c r="O72" s="566">
        <f>-'Table 5C1I-LA Key Academy'!AI75</f>
        <v>-282</v>
      </c>
      <c r="P72" s="566">
        <f>-'Table 5C1J-Jefferson Chamber'!AI75</f>
        <v>0</v>
      </c>
      <c r="Q72" s="566">
        <f>-'Table 5C1K-Tallulah Charter'!AI75</f>
        <v>0</v>
      </c>
      <c r="R72" s="566">
        <f>-'Table 5C1L-Northshore Charter'!AI75</f>
        <v>0</v>
      </c>
      <c r="S72" s="566">
        <f>-'Table 5C1M-B.R. Charter'!AI75</f>
        <v>0</v>
      </c>
      <c r="T72" s="566">
        <f>-'Table 5C1N-Delta Charter'!AI75</f>
        <v>0</v>
      </c>
      <c r="U72" s="566">
        <f>-'Table 5C1O-Impact'!AI75</f>
        <v>0</v>
      </c>
      <c r="V72" s="566">
        <f>-'Table 5C1P-Vision'!AI75</f>
        <v>0</v>
      </c>
      <c r="W72" s="566">
        <f>-'Table 5C1Q-Advantage'!AI75</f>
        <v>0</v>
      </c>
      <c r="X72" s="566">
        <f>-'Table 5C1R-Iberville'!AI75</f>
        <v>0</v>
      </c>
      <c r="Y72" s="566">
        <f>-'Table 5C1S-L.C. Coll Prep'!AI75</f>
        <v>0</v>
      </c>
      <c r="Z72" s="566">
        <f>-'Table 5C1T-Northeast'!AI75</f>
        <v>0</v>
      </c>
      <c r="AA72" s="566">
        <f>-'Table 5C1U-Acadiana Ren'!AI75</f>
        <v>0</v>
      </c>
      <c r="AB72" s="566">
        <f>-'Table 5C1V-Laf Ren'!AI75</f>
        <v>0</v>
      </c>
      <c r="AC72" s="566">
        <f>-'Table 5C1W-Willow'!AI75</f>
        <v>0</v>
      </c>
      <c r="AD72" s="566">
        <f>-'Table 5C2 - LA Virtual Admy'!AJ74</f>
        <v>-3047</v>
      </c>
      <c r="AE72" s="566">
        <f>-'Table 5C3 - LA Connections EBR'!AJ74</f>
        <v>0</v>
      </c>
      <c r="AF72" s="566">
        <f t="shared" si="59"/>
        <v>-3611</v>
      </c>
      <c r="AG72" s="945">
        <f t="shared" si="60"/>
        <v>2303329</v>
      </c>
      <c r="AH72" s="566"/>
      <c r="AI72" s="566"/>
      <c r="AJ72" s="566"/>
      <c r="AK72" s="566">
        <f>'Table 5C1A-Madison Prep'!AC75</f>
        <v>-8.4849999999999994</v>
      </c>
      <c r="AL72" s="566">
        <f>'Table 5C1B-DArbonne'!AC75</f>
        <v>0</v>
      </c>
      <c r="AM72" s="566">
        <f>'Table 5C1C-Intl_VIBE'!AC75</f>
        <v>0</v>
      </c>
      <c r="AN72" s="566">
        <f>'Table 5C1D-NOMMA'!AC75</f>
        <v>0</v>
      </c>
      <c r="AO72" s="566">
        <f>'Table 5C1E-LFNO'!AC75</f>
        <v>0</v>
      </c>
      <c r="AP72" s="566">
        <f>'Table 5C1F-Lake Charles Charter'!AC75</f>
        <v>0</v>
      </c>
      <c r="AQ72" s="566">
        <f>'Table 5C1G-JS Clark Academy'!AC75</f>
        <v>0</v>
      </c>
      <c r="AR72" s="566">
        <f>'Table 5C1H-Southwest LA Charter'!AC75</f>
        <v>0</v>
      </c>
      <c r="AS72" s="566">
        <f>'Table 5C1I-LA Key Academy'!AC75</f>
        <v>-8.4849999999999994</v>
      </c>
      <c r="AT72" s="566">
        <f>'Table 5C1J-Jefferson Chamber'!AC75</f>
        <v>0</v>
      </c>
      <c r="AU72" s="566">
        <f>'Table 5C1K-Tallulah Charter'!AC75</f>
        <v>0</v>
      </c>
      <c r="AV72" s="566">
        <f>'Table 5C1L-Northshore Charter'!AC75</f>
        <v>0</v>
      </c>
      <c r="AW72" s="566">
        <f>'Table 5C1M-B.R. Charter'!AC75</f>
        <v>0</v>
      </c>
      <c r="AX72" s="566">
        <f>'Table 5C1N-Delta Charter'!AC75</f>
        <v>0</v>
      </c>
      <c r="AY72" s="566">
        <f>'Table 5C1O-Impact'!AC75</f>
        <v>0</v>
      </c>
      <c r="AZ72" s="566">
        <f>+'Table 5C1P-Vision'!AC75</f>
        <v>0</v>
      </c>
      <c r="BA72" s="566">
        <f>+'Table 5C1Q-Advantage'!AC75</f>
        <v>0</v>
      </c>
      <c r="BB72" s="566">
        <f>+'Table 5C1R-Iberville'!AC75</f>
        <v>0</v>
      </c>
      <c r="BC72" s="566">
        <f>+'Table 5C1S-L.C. Coll Prep'!AC75</f>
        <v>0</v>
      </c>
      <c r="BD72" s="566">
        <f>+'Table 5C1T-Northeast'!AC75</f>
        <v>0</v>
      </c>
      <c r="BE72" s="566">
        <f>+'Table 5C1U-Acadiana Ren'!AC75</f>
        <v>0</v>
      </c>
      <c r="BF72" s="566">
        <f>+'Table 5C1V-Laf Ren'!AC75</f>
        <v>0</v>
      </c>
      <c r="BG72" s="566">
        <f>+'Table 5C1W-Willow'!AC75</f>
        <v>0</v>
      </c>
      <c r="BH72" s="566">
        <f>'Table 5C2 - LA Virtual Admy'!AD74</f>
        <v>-91.637999999999991</v>
      </c>
      <c r="BI72" s="566">
        <f>'Table 5C3 - LA Connections EBR'!AD74</f>
        <v>0</v>
      </c>
      <c r="BJ72" s="945">
        <f t="shared" si="61"/>
        <v>2303220.3920000005</v>
      </c>
      <c r="BK72" s="38"/>
    </row>
    <row r="73" spans="1:63" ht="14.4" customHeight="1" thickBot="1">
      <c r="A73" s="1266"/>
      <c r="B73" s="1267" t="s">
        <v>146</v>
      </c>
      <c r="C73" s="1283">
        <f t="shared" ref="C73:BK73" si="62">SUM(C4:C72)</f>
        <v>278978496</v>
      </c>
      <c r="D73" s="1283">
        <f>SUM(D4:D72)</f>
        <v>-86503</v>
      </c>
      <c r="E73" s="1283">
        <f t="shared" si="62"/>
        <v>-1237210</v>
      </c>
      <c r="F73" s="1283">
        <f t="shared" si="62"/>
        <v>-11024648</v>
      </c>
      <c r="G73" s="1283">
        <f t="shared" si="62"/>
        <v>-158023</v>
      </c>
      <c r="H73" s="1283">
        <f t="shared" si="62"/>
        <v>-170778</v>
      </c>
      <c r="I73" s="1283">
        <f t="shared" si="62"/>
        <v>-182087</v>
      </c>
      <c r="J73" s="1283">
        <f t="shared" si="62"/>
        <v>-161824</v>
      </c>
      <c r="K73" s="1283">
        <f t="shared" si="62"/>
        <v>-140593</v>
      </c>
      <c r="L73" s="1283">
        <f t="shared" si="62"/>
        <v>-328238</v>
      </c>
      <c r="M73" s="1283">
        <f t="shared" si="62"/>
        <v>-39725</v>
      </c>
      <c r="N73" s="1283">
        <f t="shared" si="62"/>
        <v>-254621</v>
      </c>
      <c r="O73" s="1283">
        <f t="shared" si="62"/>
        <v>-73091</v>
      </c>
      <c r="P73" s="1283">
        <f t="shared" si="62"/>
        <v>-42315</v>
      </c>
      <c r="Q73" s="1283">
        <f t="shared" si="62"/>
        <v>-88371</v>
      </c>
      <c r="R73" s="1283">
        <f t="shared" si="62"/>
        <v>-45821</v>
      </c>
      <c r="S73" s="1283">
        <f t="shared" si="62"/>
        <v>-257890</v>
      </c>
      <c r="T73" s="1283">
        <f t="shared" si="62"/>
        <v>-70372</v>
      </c>
      <c r="U73" s="1283">
        <f>SUM(U4:U72)</f>
        <v>-66595</v>
      </c>
      <c r="V73" s="1283">
        <f t="shared" ref="V73:AC73" si="63">SUM(V4:V72)</f>
        <v>-77065</v>
      </c>
      <c r="W73" s="1283">
        <f t="shared" si="63"/>
        <v>-132742</v>
      </c>
      <c r="X73" s="1283">
        <f t="shared" si="63"/>
        <v>-327217</v>
      </c>
      <c r="Y73" s="1283">
        <f t="shared" si="63"/>
        <v>-41741</v>
      </c>
      <c r="Z73" s="1283">
        <f t="shared" si="63"/>
        <v>-37489</v>
      </c>
      <c r="AA73" s="1283">
        <f t="shared" si="63"/>
        <v>-276372</v>
      </c>
      <c r="AB73" s="1283">
        <f t="shared" si="63"/>
        <v>-268406</v>
      </c>
      <c r="AC73" s="1283">
        <f t="shared" si="63"/>
        <v>-231021</v>
      </c>
      <c r="AD73" s="1283">
        <f>SUM(AD4:AD72)</f>
        <v>-594390</v>
      </c>
      <c r="AE73" s="1283">
        <f>SUM(AE4:AE72)</f>
        <v>-400300</v>
      </c>
      <c r="AF73" s="1283">
        <f t="shared" si="62"/>
        <v>-16815448</v>
      </c>
      <c r="AG73" s="1284">
        <f t="shared" si="62"/>
        <v>262163048</v>
      </c>
      <c r="AH73" s="1283">
        <f t="shared" si="62"/>
        <v>-265116.26750000002</v>
      </c>
      <c r="AI73" s="1283">
        <f t="shared" si="62"/>
        <v>-37873.752500000002</v>
      </c>
      <c r="AJ73" s="1283">
        <f>SUM(AJ4:AJ72)</f>
        <v>-329935.38750000013</v>
      </c>
      <c r="AK73" s="1283">
        <f t="shared" si="62"/>
        <v>-4752.55</v>
      </c>
      <c r="AL73" s="1283">
        <f t="shared" si="62"/>
        <v>-5136.1900000000005</v>
      </c>
      <c r="AM73" s="1283">
        <f t="shared" si="62"/>
        <v>-5476.3099999999995</v>
      </c>
      <c r="AN73" s="1283">
        <f t="shared" si="62"/>
        <v>-4866.9049999999997</v>
      </c>
      <c r="AO73" s="1283">
        <f t="shared" si="62"/>
        <v>-4228.3649999999998</v>
      </c>
      <c r="AP73" s="1283">
        <f t="shared" si="62"/>
        <v>-9871.8125</v>
      </c>
      <c r="AQ73" s="1283">
        <f t="shared" si="62"/>
        <v>-1161.5625</v>
      </c>
      <c r="AR73" s="1283">
        <f t="shared" si="62"/>
        <v>-7657.7875000000004</v>
      </c>
      <c r="AS73" s="1283">
        <f t="shared" si="62"/>
        <v>-2198.2175000000002</v>
      </c>
      <c r="AT73" s="1283">
        <f t="shared" si="62"/>
        <v>-1272.5925</v>
      </c>
      <c r="AU73" s="1283">
        <f t="shared" si="62"/>
        <v>-2657.76</v>
      </c>
      <c r="AV73" s="1283">
        <f t="shared" si="62"/>
        <v>-1378.0650000000001</v>
      </c>
      <c r="AW73" s="1283">
        <f t="shared" si="62"/>
        <v>-7756.0675000000001</v>
      </c>
      <c r="AX73" s="1283">
        <f t="shared" si="62"/>
        <v>-2116.4500000000003</v>
      </c>
      <c r="AY73" s="1283">
        <f t="shared" si="62"/>
        <v>-2002.8600000000001</v>
      </c>
      <c r="AZ73" s="1283">
        <f t="shared" si="62"/>
        <v>-2317.75</v>
      </c>
      <c r="BA73" s="1283">
        <f t="shared" si="62"/>
        <v>-3992.2325000000001</v>
      </c>
      <c r="BB73" s="1283">
        <f t="shared" si="62"/>
        <v>-9841.119999999999</v>
      </c>
      <c r="BC73" s="1283">
        <f t="shared" si="62"/>
        <v>-1255.375</v>
      </c>
      <c r="BD73" s="1283">
        <f t="shared" si="62"/>
        <v>-1127.5</v>
      </c>
      <c r="BE73" s="1283">
        <f t="shared" si="62"/>
        <v>-8311.9349999999995</v>
      </c>
      <c r="BF73" s="1283">
        <f t="shared" si="62"/>
        <v>-8072.3600000000006</v>
      </c>
      <c r="BG73" s="1283">
        <f t="shared" si="62"/>
        <v>-6948</v>
      </c>
      <c r="BH73" s="1283">
        <f>SUM(BH4:BH72)</f>
        <v>-17876.441250000007</v>
      </c>
      <c r="BI73" s="1283">
        <f>SUM(BI4:BI72)</f>
        <v>-12018.091500000002</v>
      </c>
      <c r="BJ73" s="1284">
        <f t="shared" si="62"/>
        <v>261395828.29224995</v>
      </c>
      <c r="BK73" s="38">
        <f t="shared" si="62"/>
        <v>0</v>
      </c>
    </row>
    <row r="74" spans="1:63" ht="13.8" thickTop="1"/>
  </sheetData>
  <printOptions horizontalCentered="1"/>
  <pageMargins left="0.4" right="0.4" top="1.01" bottom="0.75" header="0.3" footer="0.3"/>
  <pageSetup paperSize="5" scale="70" firstPageNumber="11" orientation="portrait" r:id="rId1"/>
  <headerFooter>
    <oddHeader xml:space="preserve">&amp;L&amp;"Arial,Bold"&amp;14&amp;K000000Table 2A-2:  FY2014-15 Budget Letter 
MFP Transfer Amount (Monthly Amount) </oddHeader>
    <oddFooter>&amp;R&amp;P</oddFooter>
  </headerFooter>
  <colBreaks count="1" manualBreakCount="1">
    <brk id="33" max="7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Y74"/>
  <sheetViews>
    <sheetView view="pageBreakPreview" zoomScale="80" zoomScaleNormal="85" zoomScaleSheetLayoutView="80" workbookViewId="0">
      <pane xSplit="2" ySplit="3" topLeftCell="C4" activePane="bottomRight" state="frozen"/>
      <selection sqref="A1:H1"/>
      <selection pane="topRight" sqref="A1:H1"/>
      <selection pane="bottomLeft" sqref="A1:H1"/>
      <selection pane="bottomRight" sqref="A1:H1"/>
    </sheetView>
  </sheetViews>
  <sheetFormatPr defaultColWidth="9.109375" defaultRowHeight="13.2"/>
  <cols>
    <col min="1" max="1" width="4.6640625" style="1" bestFit="1" customWidth="1"/>
    <col min="2" max="2" width="18.6640625" style="2" customWidth="1"/>
    <col min="3" max="3" width="15.44140625" style="2" bestFit="1" customWidth="1"/>
    <col min="4" max="4" width="11.6640625" style="2" bestFit="1" customWidth="1"/>
    <col min="5" max="5" width="7.88671875" style="3" bestFit="1" customWidth="1"/>
    <col min="6" max="6" width="11.109375" style="2" bestFit="1" customWidth="1"/>
    <col min="7" max="7" width="7.88671875" style="2" bestFit="1" customWidth="1"/>
    <col min="8" max="8" width="13.44140625" style="2" customWidth="1"/>
    <col min="9" max="9" width="7.88671875" style="2" bestFit="1" customWidth="1"/>
    <col min="10" max="10" width="10.109375" style="2" bestFit="1" customWidth="1"/>
    <col min="11" max="11" width="7.88671875" style="2" bestFit="1" customWidth="1"/>
    <col min="12" max="12" width="11.6640625" style="2" bestFit="1" customWidth="1"/>
    <col min="13" max="13" width="13.33203125" style="4" customWidth="1"/>
    <col min="14" max="15" width="14.88671875" style="2" customWidth="1"/>
    <col min="16" max="16" width="15.109375" style="2" bestFit="1" customWidth="1"/>
    <col min="17" max="17" width="9.88671875" style="2" bestFit="1" customWidth="1"/>
    <col min="18" max="18" width="17.6640625" style="2" customWidth="1"/>
    <col min="19" max="19" width="19.6640625" style="113" customWidth="1"/>
    <col min="20" max="20" width="15.33203125" style="113" customWidth="1"/>
    <col min="21" max="21" width="18.33203125" style="113" customWidth="1"/>
    <col min="22" max="22" width="10.6640625" style="113" bestFit="1" customWidth="1"/>
    <col min="23" max="24" width="10" style="113" customWidth="1"/>
    <col min="25" max="25" width="18.109375" style="113" customWidth="1"/>
    <col min="26" max="26" width="15.109375" style="113" customWidth="1"/>
    <col min="27" max="27" width="9.5546875" style="113" customWidth="1"/>
    <col min="28" max="28" width="14.109375" style="113" customWidth="1"/>
    <col min="29" max="29" width="14.44140625" style="113" customWidth="1"/>
    <col min="30" max="30" width="13.88671875" style="113" customWidth="1"/>
    <col min="31" max="31" width="16" style="113" customWidth="1"/>
    <col min="32" max="32" width="10.5546875" style="113" customWidth="1"/>
    <col min="33" max="33" width="15.5546875" style="113" customWidth="1"/>
    <col min="34" max="34" width="9.44140625" style="113" bestFit="1" customWidth="1"/>
    <col min="35" max="35" width="17.44140625" style="113" customWidth="1"/>
    <col min="36" max="36" width="9.44140625" style="113" bestFit="1" customWidth="1"/>
    <col min="37" max="37" width="18.88671875" style="113" customWidth="1"/>
    <col min="38" max="38" width="9.44140625" style="113" bestFit="1" customWidth="1"/>
    <col min="39" max="39" width="17.33203125" style="113" customWidth="1"/>
    <col min="40" max="40" width="9.44140625" style="113" bestFit="1" customWidth="1"/>
    <col min="41" max="41" width="17.88671875" style="113" customWidth="1"/>
    <col min="42" max="42" width="9.44140625" style="113" bestFit="1" customWidth="1"/>
    <col min="43" max="43" width="13.88671875" style="113" customWidth="1"/>
    <col min="44" max="44" width="5.6640625" style="113" bestFit="1" customWidth="1"/>
    <col min="45" max="45" width="16.33203125" style="113" customWidth="1"/>
    <col min="46" max="46" width="8.109375" style="113" bestFit="1" customWidth="1"/>
    <col min="47" max="47" width="5" style="113" bestFit="1" customWidth="1"/>
    <col min="48" max="48" width="9.88671875" style="113" bestFit="1" customWidth="1"/>
    <col min="49" max="49" width="18.5546875" style="113" customWidth="1"/>
    <col min="50" max="50" width="8.88671875" style="113" bestFit="1" customWidth="1"/>
    <col min="51" max="51" width="5" style="113" bestFit="1" customWidth="1"/>
    <col min="52" max="16384" width="9.109375" style="2"/>
  </cols>
  <sheetData>
    <row r="1" spans="1:51" s="7" customFormat="1" ht="20.25" customHeight="1">
      <c r="C1" s="175"/>
      <c r="D1" s="2123">
        <v>0.22</v>
      </c>
      <c r="E1" s="2124"/>
      <c r="F1" s="2125">
        <v>0.06</v>
      </c>
      <c r="G1" s="2126"/>
      <c r="H1" s="2125">
        <v>1.5</v>
      </c>
      <c r="I1" s="2126"/>
      <c r="J1" s="2123">
        <v>0.6</v>
      </c>
      <c r="K1" s="2124"/>
      <c r="L1" s="1736">
        <v>7500</v>
      </c>
      <c r="M1" s="1736">
        <v>37500</v>
      </c>
      <c r="N1" s="1737">
        <f>M1</f>
        <v>37500</v>
      </c>
      <c r="Q1" s="1738">
        <f>ROUND(3855*1.0275,0)</f>
        <v>3961</v>
      </c>
      <c r="S1" s="185"/>
      <c r="T1" s="1739">
        <v>0.75</v>
      </c>
      <c r="U1" s="186"/>
      <c r="V1" s="187"/>
      <c r="W1" s="187"/>
      <c r="X1" s="187"/>
      <c r="Z1" s="18"/>
      <c r="AA1" s="18"/>
      <c r="AB1" s="1740">
        <v>0.34</v>
      </c>
      <c r="AC1" s="18"/>
      <c r="AD1" s="1741">
        <v>1.72</v>
      </c>
      <c r="AE1" s="1742"/>
      <c r="AF1" s="18"/>
      <c r="AG1" s="18"/>
      <c r="AH1" s="18"/>
      <c r="AI1" s="2120" t="s">
        <v>302</v>
      </c>
      <c r="AJ1" s="2121"/>
      <c r="AK1" s="2121"/>
      <c r="AL1" s="2122"/>
      <c r="AM1" s="2117" t="s">
        <v>303</v>
      </c>
      <c r="AN1" s="2118"/>
      <c r="AO1" s="2118"/>
      <c r="AP1" s="2119"/>
      <c r="AQ1" s="18"/>
      <c r="AR1" s="18"/>
      <c r="AS1" s="18"/>
      <c r="AT1" s="18"/>
      <c r="AU1" s="18"/>
      <c r="AV1" s="18"/>
      <c r="AW1" s="18"/>
      <c r="AX1" s="18"/>
      <c r="AY1" s="18"/>
    </row>
    <row r="2" spans="1:51" s="1" customFormat="1" ht="192.75" customHeight="1">
      <c r="A2" s="37" t="s">
        <v>173</v>
      </c>
      <c r="B2" s="1735" t="s">
        <v>203</v>
      </c>
      <c r="C2" s="1735" t="s">
        <v>1100</v>
      </c>
      <c r="D2" s="1735" t="s">
        <v>944</v>
      </c>
      <c r="E2" s="1735" t="s">
        <v>1028</v>
      </c>
      <c r="F2" s="1735" t="s">
        <v>945</v>
      </c>
      <c r="G2" s="1735" t="s">
        <v>1028</v>
      </c>
      <c r="H2" s="1735" t="s">
        <v>1027</v>
      </c>
      <c r="I2" s="1735" t="s">
        <v>1029</v>
      </c>
      <c r="J2" s="1735" t="s">
        <v>1030</v>
      </c>
      <c r="K2" s="1735" t="s">
        <v>1029</v>
      </c>
      <c r="L2" s="1735" t="s">
        <v>1035</v>
      </c>
      <c r="M2" s="1743" t="s">
        <v>1031</v>
      </c>
      <c r="N2" s="1735" t="s">
        <v>1029</v>
      </c>
      <c r="O2" s="1735" t="s">
        <v>1032</v>
      </c>
      <c r="P2" s="1735" t="s">
        <v>198</v>
      </c>
      <c r="Q2" s="1735" t="s">
        <v>207</v>
      </c>
      <c r="R2" s="1735" t="s">
        <v>185</v>
      </c>
      <c r="S2" s="1744" t="s">
        <v>1033</v>
      </c>
      <c r="T2" s="1745" t="s">
        <v>1279</v>
      </c>
      <c r="U2" s="1746" t="s">
        <v>1102</v>
      </c>
      <c r="V2" s="1744" t="s">
        <v>377</v>
      </c>
      <c r="W2" s="1745" t="s">
        <v>378</v>
      </c>
      <c r="X2" s="1745" t="s">
        <v>379</v>
      </c>
      <c r="Y2" s="1747" t="s">
        <v>208</v>
      </c>
      <c r="Z2" s="1748" t="s">
        <v>209</v>
      </c>
      <c r="AA2" s="1747" t="s">
        <v>1287</v>
      </c>
      <c r="AB2" s="1747" t="s">
        <v>1288</v>
      </c>
      <c r="AC2" s="1749" t="s">
        <v>1289</v>
      </c>
      <c r="AD2" s="1747" t="s">
        <v>1034</v>
      </c>
      <c r="AE2" s="1750" t="s">
        <v>1103</v>
      </c>
      <c r="AF2" s="1747" t="s">
        <v>72</v>
      </c>
      <c r="AG2" s="1491" t="s">
        <v>1101</v>
      </c>
      <c r="AH2" s="1735" t="s">
        <v>210</v>
      </c>
      <c r="AI2" s="1491" t="s">
        <v>1292</v>
      </c>
      <c r="AJ2" s="1735" t="s">
        <v>210</v>
      </c>
      <c r="AK2" s="1491" t="s">
        <v>1293</v>
      </c>
      <c r="AL2" s="1735" t="s">
        <v>207</v>
      </c>
      <c r="AM2" s="1491" t="s">
        <v>1290</v>
      </c>
      <c r="AN2" s="1735" t="s">
        <v>207</v>
      </c>
      <c r="AO2" s="1491" t="s">
        <v>1291</v>
      </c>
      <c r="AP2" s="1735" t="s">
        <v>207</v>
      </c>
      <c r="AQ2" s="1491" t="s">
        <v>301</v>
      </c>
      <c r="AR2" s="1491" t="s">
        <v>177</v>
      </c>
      <c r="AS2" s="1749" t="s">
        <v>1294</v>
      </c>
      <c r="AT2" s="1749" t="s">
        <v>207</v>
      </c>
      <c r="AU2" s="1749" t="s">
        <v>191</v>
      </c>
      <c r="AV2" s="1749" t="s">
        <v>192</v>
      </c>
      <c r="AW2" s="1747" t="s">
        <v>1295</v>
      </c>
      <c r="AX2" s="1747" t="s">
        <v>207</v>
      </c>
      <c r="AY2" s="1747" t="s">
        <v>177</v>
      </c>
    </row>
    <row r="3" spans="1:51" s="174" customFormat="1" ht="13.2" customHeight="1">
      <c r="A3" s="171"/>
      <c r="B3" s="171"/>
      <c r="C3" s="173">
        <v>1</v>
      </c>
      <c r="D3" s="172" t="s">
        <v>754</v>
      </c>
      <c r="E3" s="172">
        <v>2</v>
      </c>
      <c r="F3" s="172" t="s">
        <v>755</v>
      </c>
      <c r="G3" s="172">
        <v>3</v>
      </c>
      <c r="H3" s="546" t="s">
        <v>959</v>
      </c>
      <c r="I3" s="546">
        <v>4</v>
      </c>
      <c r="J3" s="546" t="s">
        <v>387</v>
      </c>
      <c r="K3" s="547">
        <v>5</v>
      </c>
      <c r="L3" s="546" t="s">
        <v>388</v>
      </c>
      <c r="M3" s="172" t="s">
        <v>960</v>
      </c>
      <c r="N3" s="172">
        <v>6</v>
      </c>
      <c r="O3" s="172">
        <f t="shared" ref="O3:AN3" si="0">N3+1</f>
        <v>7</v>
      </c>
      <c r="P3" s="172">
        <f t="shared" si="0"/>
        <v>8</v>
      </c>
      <c r="Q3" s="172">
        <f t="shared" si="0"/>
        <v>9</v>
      </c>
      <c r="R3" s="172">
        <f t="shared" ref="R3" si="1">Q3+1</f>
        <v>10</v>
      </c>
      <c r="S3" s="172">
        <f t="shared" ref="S3" si="2">R3+1</f>
        <v>11</v>
      </c>
      <c r="T3" s="172" t="s">
        <v>961</v>
      </c>
      <c r="U3" s="172">
        <v>12</v>
      </c>
      <c r="V3" s="172">
        <f t="shared" si="0"/>
        <v>13</v>
      </c>
      <c r="W3" s="172">
        <f t="shared" si="0"/>
        <v>14</v>
      </c>
      <c r="X3" s="172">
        <f t="shared" si="0"/>
        <v>15</v>
      </c>
      <c r="Y3" s="172">
        <f t="shared" si="0"/>
        <v>16</v>
      </c>
      <c r="Z3" s="172">
        <f t="shared" si="0"/>
        <v>17</v>
      </c>
      <c r="AA3" s="172">
        <f t="shared" si="0"/>
        <v>18</v>
      </c>
      <c r="AB3" s="172">
        <f t="shared" si="0"/>
        <v>19</v>
      </c>
      <c r="AC3" s="172">
        <f t="shared" si="0"/>
        <v>20</v>
      </c>
      <c r="AD3" s="172">
        <f t="shared" si="0"/>
        <v>21</v>
      </c>
      <c r="AE3" s="172">
        <f t="shared" si="0"/>
        <v>22</v>
      </c>
      <c r="AF3" s="172">
        <f t="shared" si="0"/>
        <v>23</v>
      </c>
      <c r="AG3" s="172">
        <f t="shared" si="0"/>
        <v>24</v>
      </c>
      <c r="AH3" s="172">
        <f t="shared" si="0"/>
        <v>25</v>
      </c>
      <c r="AI3" s="172">
        <f t="shared" si="0"/>
        <v>26</v>
      </c>
      <c r="AJ3" s="172">
        <f t="shared" si="0"/>
        <v>27</v>
      </c>
      <c r="AK3" s="172">
        <f t="shared" si="0"/>
        <v>28</v>
      </c>
      <c r="AL3" s="172">
        <f t="shared" si="0"/>
        <v>29</v>
      </c>
      <c r="AM3" s="172">
        <f t="shared" si="0"/>
        <v>30</v>
      </c>
      <c r="AN3" s="172">
        <f t="shared" si="0"/>
        <v>31</v>
      </c>
      <c r="AO3" s="172">
        <f t="shared" ref="AO3" si="3">AN3+1</f>
        <v>32</v>
      </c>
      <c r="AP3" s="172">
        <f t="shared" ref="AP3" si="4">AO3+1</f>
        <v>33</v>
      </c>
      <c r="AQ3" s="172">
        <f t="shared" ref="AQ3" si="5">AP3+1</f>
        <v>34</v>
      </c>
      <c r="AR3" s="172">
        <f t="shared" ref="AR3" si="6">AQ3+1</f>
        <v>35</v>
      </c>
      <c r="AS3" s="172">
        <f t="shared" ref="AS3" si="7">AR3+1</f>
        <v>36</v>
      </c>
      <c r="AT3" s="172">
        <f t="shared" ref="AT3" si="8">AS3+1</f>
        <v>37</v>
      </c>
      <c r="AU3" s="172">
        <f t="shared" ref="AU3" si="9">AT3+1</f>
        <v>38</v>
      </c>
      <c r="AV3" s="172">
        <f t="shared" ref="AV3" si="10">AU3+1</f>
        <v>39</v>
      </c>
      <c r="AW3" s="172">
        <f t="shared" ref="AW3" si="11">AV3+1</f>
        <v>40</v>
      </c>
      <c r="AX3" s="172">
        <f t="shared" ref="AX3" si="12">AW3+1</f>
        <v>41</v>
      </c>
      <c r="AY3" s="172">
        <f t="shared" ref="AY3" si="13">AX3+1</f>
        <v>42</v>
      </c>
    </row>
    <row r="4" spans="1:51" s="5" customFormat="1" ht="15.6" customHeight="1">
      <c r="A4" s="1285">
        <v>1</v>
      </c>
      <c r="B4" s="1286" t="s">
        <v>81</v>
      </c>
      <c r="C4" s="1287">
        <f>+'Table 8 Membership 2.1.14'!W3</f>
        <v>9696</v>
      </c>
      <c r="D4" s="1287">
        <f>+'[4]ALL- TABLE 3 '!AA6-'[4]ALL- TABLE 3 '!W6-'[4]ALL- TABLE 3 '!X6-'[4]ALL- TABLE 3 '!Y6-'[4]ALL- TABLE 3 '!Z6</f>
        <v>6669</v>
      </c>
      <c r="E4" s="1287">
        <f t="shared" ref="E4:E35" si="14">ROUND($D$1*D4,0)</f>
        <v>1467</v>
      </c>
      <c r="F4" s="1287">
        <f>+'[5]MS6887_Total CTE T3 corrected'!M6</f>
        <v>2984.5</v>
      </c>
      <c r="G4" s="1287">
        <f t="shared" ref="G4:G35" si="15">ROUND($F$1*F4,0)</f>
        <v>179</v>
      </c>
      <c r="H4" s="1287">
        <f>+'[6]MFP Funded SWD -Table 3'!W5</f>
        <v>900</v>
      </c>
      <c r="I4" s="1287">
        <f>ROUND($H$1*H4,0)</f>
        <v>1350</v>
      </c>
      <c r="J4" s="1287">
        <f>+'[6]MFP Funded GT -Table 3'!S5</f>
        <v>111</v>
      </c>
      <c r="K4" s="1287">
        <f>ROUND($J$1*J4,0)</f>
        <v>67</v>
      </c>
      <c r="L4" s="1288">
        <f t="shared" ref="L4:L35" si="16">IF(C4&lt;$L$1,$L$1-C4,0)</f>
        <v>0</v>
      </c>
      <c r="M4" s="1289">
        <f t="shared" ref="M4:M35" si="17">ROUND(L4/$M$1,5)</f>
        <v>0</v>
      </c>
      <c r="N4" s="1287">
        <f t="shared" ref="N4:N35" si="18" xml:space="preserve"> ROUND(C4*M4,0)</f>
        <v>0</v>
      </c>
      <c r="O4" s="1287">
        <f>E4+G4+I4+K4+N4</f>
        <v>3063</v>
      </c>
      <c r="P4" s="1287">
        <f t="shared" ref="P4:P35" si="19">O4+C4</f>
        <v>12759</v>
      </c>
      <c r="Q4" s="1290">
        <f>$Q$1</f>
        <v>3961</v>
      </c>
      <c r="R4" s="1290">
        <f t="shared" ref="R4:R35" si="20">ROUND(P4*Q4,0)</f>
        <v>50538399</v>
      </c>
      <c r="S4" s="1290">
        <f>'Table 6 (Local Deduct Calc.)'!J7</f>
        <v>11717408.5</v>
      </c>
      <c r="T4" s="1290">
        <f>IF((S4&gt;R4*$T$1),R4*$T$1,S4)</f>
        <v>11717408.5</v>
      </c>
      <c r="U4" s="1291">
        <f>R4-T4</f>
        <v>38820990.5</v>
      </c>
      <c r="V4" s="1292">
        <f>ROUND(U4/R4,4)</f>
        <v>0.7681</v>
      </c>
      <c r="W4" s="1292">
        <f>ROUND(T4/R4,4)</f>
        <v>0.2319</v>
      </c>
      <c r="X4" s="1293">
        <f t="shared" ref="X4:X35" si="21">T4/C4</f>
        <v>1208.4785994224424</v>
      </c>
      <c r="Y4" s="1290">
        <f>'Table 7 Local Revenue'!AQ8</f>
        <v>21497220.5</v>
      </c>
      <c r="Z4" s="1290">
        <f>IF(Y4-T4&gt;0,Y4-T4,0)</f>
        <v>9779812</v>
      </c>
      <c r="AA4" s="1294">
        <f>IF(Y4-T4&lt;0,Y4-T4,0)</f>
        <v>0</v>
      </c>
      <c r="AB4" s="1295">
        <f>R4*$AB$1</f>
        <v>17183055.66</v>
      </c>
      <c r="AC4" s="1295">
        <f>IF(Z4&lt;AB4,Z4,AB4)</f>
        <v>9779812</v>
      </c>
      <c r="AD4" s="1290">
        <f>IF(AC4&gt;0,AC4*(W4*$AD$1),0)</f>
        <v>3900854.0528159998</v>
      </c>
      <c r="AE4" s="1296">
        <f>IF(AC4-AD4&gt;AC4*$AE$1,AC4-AD4,AC4*$AE$1)</f>
        <v>5878957.9471840002</v>
      </c>
      <c r="AF4" s="1297">
        <f>IF(AC4=0,0,ROUND(AE4/AC4,4))</f>
        <v>0.60109999999999997</v>
      </c>
      <c r="AG4" s="1296">
        <f>U4+AE4</f>
        <v>44699948.447183996</v>
      </c>
      <c r="AH4" s="1295">
        <f t="shared" ref="AH4:AH35" si="22">ROUND(AG4/C4,0)</f>
        <v>4610</v>
      </c>
      <c r="AI4" s="1296">
        <f>+'Table 3A Level 3'!O6</f>
        <v>1509815</v>
      </c>
      <c r="AJ4" s="1295">
        <f t="shared" ref="AJ4:AJ35" si="23">AI4/C4</f>
        <v>155.71524339933993</v>
      </c>
      <c r="AK4" s="1296">
        <f>AI4+AG4</f>
        <v>46209763.447183996</v>
      </c>
      <c r="AL4" s="1295">
        <f t="shared" ref="AL4:AL35" si="24">AK4/C4</f>
        <v>4765.8584413349836</v>
      </c>
      <c r="AM4" s="1298">
        <f>+'Table 3A Level 3'!P6</f>
        <v>9048261.0800000001</v>
      </c>
      <c r="AN4" s="1299">
        <f t="shared" ref="AN4:AN35" si="25">AM4/C4</f>
        <v>933.19524339933992</v>
      </c>
      <c r="AO4" s="1296">
        <f>AG4+AM4</f>
        <v>53748209.527183995</v>
      </c>
      <c r="AP4" s="1295">
        <f t="shared" ref="AP4:AP35" si="26">AO4/C4</f>
        <v>5543.3384413349831</v>
      </c>
      <c r="AQ4" s="1297">
        <f>AO4/AW4</f>
        <v>0.71430530077064247</v>
      </c>
      <c r="AR4" s="1300">
        <f>RANK(AQ4,$AQ$4:$AQ$72)</f>
        <v>12</v>
      </c>
      <c r="AS4" s="1295">
        <f>ROUND(AC4+T4,2)</f>
        <v>21497220.5</v>
      </c>
      <c r="AT4" s="1295">
        <f t="shared" ref="AT4:AT35" si="27">ROUND(AS4/C4,2)</f>
        <v>2217.12</v>
      </c>
      <c r="AU4" s="1300">
        <f>RANK(AT4,$AT$4:$AT$72)</f>
        <v>63</v>
      </c>
      <c r="AV4" s="1297">
        <f>AS4/AW4</f>
        <v>0.28569469922935753</v>
      </c>
      <c r="AW4" s="1300">
        <f>AO4+AS4</f>
        <v>75245430.027183995</v>
      </c>
      <c r="AX4" s="1301">
        <f t="shared" ref="AX4:AX35" si="28">AW4/C4</f>
        <v>7760.461017655115</v>
      </c>
      <c r="AY4" s="1300">
        <f>RANK(AX4,$AX$4:$AX$72)</f>
        <v>69</v>
      </c>
    </row>
    <row r="5" spans="1:51" s="5" customFormat="1" ht="15.6" customHeight="1">
      <c r="A5" s="1285">
        <v>2</v>
      </c>
      <c r="B5" s="1286" t="s">
        <v>82</v>
      </c>
      <c r="C5" s="1286">
        <f>+'Table 8 Membership 2.1.14'!W4</f>
        <v>4087</v>
      </c>
      <c r="D5" s="1287">
        <f>+'[4]ALL- TABLE 3 '!AA7-'[4]ALL- TABLE 3 '!W7-'[4]ALL- TABLE 3 '!X7-'[4]ALL- TABLE 3 '!Y7-'[4]ALL- TABLE 3 '!Z7</f>
        <v>2568</v>
      </c>
      <c r="E5" s="1287">
        <f t="shared" si="14"/>
        <v>565</v>
      </c>
      <c r="F5" s="1287">
        <f>+'[5]MS6887_Total CTE T3 corrected'!M7</f>
        <v>1559</v>
      </c>
      <c r="G5" s="1287">
        <f t="shared" si="15"/>
        <v>94</v>
      </c>
      <c r="H5" s="1287">
        <f>+'[6]MFP Funded SWD -Table 3'!W6</f>
        <v>417</v>
      </c>
      <c r="I5" s="1287">
        <f t="shared" ref="I5:I68" si="29">ROUND($H$1*H5,0)</f>
        <v>626</v>
      </c>
      <c r="J5" s="1287">
        <f>+'[6]MFP Funded GT -Table 3'!S6</f>
        <v>54</v>
      </c>
      <c r="K5" s="1287">
        <f t="shared" ref="K5:K68" si="30">ROUND($J$1*J5,0)</f>
        <v>32</v>
      </c>
      <c r="L5" s="1287">
        <f t="shared" si="16"/>
        <v>3413</v>
      </c>
      <c r="M5" s="1289">
        <f t="shared" si="17"/>
        <v>9.1009999999999994E-2</v>
      </c>
      <c r="N5" s="1287">
        <f t="shared" si="18"/>
        <v>372</v>
      </c>
      <c r="O5" s="1287">
        <f t="shared" ref="O5:O68" si="31">E5+G5+I5+K5+N5</f>
        <v>1689</v>
      </c>
      <c r="P5" s="1287">
        <f t="shared" si="19"/>
        <v>5776</v>
      </c>
      <c r="Q5" s="1290">
        <f t="shared" ref="Q5:Q68" si="32">$Q$1</f>
        <v>3961</v>
      </c>
      <c r="R5" s="1290">
        <f t="shared" si="20"/>
        <v>22878736</v>
      </c>
      <c r="S5" s="1290">
        <f>'Table 6 (Local Deduct Calc.)'!J8</f>
        <v>3456221</v>
      </c>
      <c r="T5" s="1290">
        <f t="shared" ref="T5:T68" si="33">IF((S5&gt;R5*$T$1),R5*$T$1,S5)</f>
        <v>3456221</v>
      </c>
      <c r="U5" s="1291">
        <f t="shared" ref="U5:U68" si="34">R5-T5</f>
        <v>19422515</v>
      </c>
      <c r="V5" s="1292">
        <f>ROUND(U5/R5,4)</f>
        <v>0.84889999999999999</v>
      </c>
      <c r="W5" s="1292">
        <f t="shared" ref="W5:W68" si="35">ROUND(T5/R5,4)</f>
        <v>0.15110000000000001</v>
      </c>
      <c r="X5" s="1293">
        <f t="shared" si="21"/>
        <v>845.66209933936875</v>
      </c>
      <c r="Y5" s="1290">
        <f>'Table 7 Local Revenue'!AQ9</f>
        <v>11464170</v>
      </c>
      <c r="Z5" s="1290">
        <f t="shared" ref="Z5:Z68" si="36">IF(Y5-T5&gt;0,Y5-T5,0)</f>
        <v>8007949</v>
      </c>
      <c r="AA5" s="1294">
        <f t="shared" ref="AA5:AA68" si="37">IF(Y5-T5&lt;0,Y5-T5,0)</f>
        <v>0</v>
      </c>
      <c r="AB5" s="1295">
        <f t="shared" ref="AB5:AB68" si="38">R5*$AB$1</f>
        <v>7778770.2400000002</v>
      </c>
      <c r="AC5" s="1295">
        <f t="shared" ref="AC5:AC68" si="39">IF(Z5&lt;AB5,Z5,AB5)</f>
        <v>7778770.2400000002</v>
      </c>
      <c r="AD5" s="1290">
        <f t="shared" ref="AD5:AD68" si="40">IF(AC5&gt;0,AC5*(W5*$AD$1),0)</f>
        <v>2021640.1552140801</v>
      </c>
      <c r="AE5" s="1296">
        <f t="shared" ref="AE5:AE68" si="41">IF(AC5-AD5&gt;AC5*$AE$1,AC5-AD5,AC5*$AE$1)</f>
        <v>5757130.0847859196</v>
      </c>
      <c r="AF5" s="1297">
        <f t="shared" ref="AF5:AF68" si="42">IF(AC5=0,0,ROUND(AE5/AC5,4))</f>
        <v>0.74009999999999998</v>
      </c>
      <c r="AG5" s="1296">
        <f t="shared" ref="AG5:AG68" si="43">U5+AE5</f>
        <v>25179645.08478592</v>
      </c>
      <c r="AH5" s="1295">
        <f t="shared" si="22"/>
        <v>6161</v>
      </c>
      <c r="AI5" s="1296">
        <f>+'Table 3A Level 3'!O7</f>
        <v>636408</v>
      </c>
      <c r="AJ5" s="1295">
        <f t="shared" si="23"/>
        <v>155.71519451920724</v>
      </c>
      <c r="AK5" s="1296">
        <f t="shared" ref="AK5:AK68" si="44">AI5+AG5</f>
        <v>25816053.08478592</v>
      </c>
      <c r="AL5" s="1295">
        <f t="shared" si="24"/>
        <v>6316.6266417386641</v>
      </c>
      <c r="AM5" s="1298">
        <f>+'Table 3A Level 3'!P7</f>
        <v>4078969.8400000003</v>
      </c>
      <c r="AN5" s="1299">
        <f t="shared" si="25"/>
        <v>998.03519451920727</v>
      </c>
      <c r="AO5" s="1296">
        <f t="shared" ref="AO5:AO68" si="45">AG5+AM5</f>
        <v>29258614.924785919</v>
      </c>
      <c r="AP5" s="1295">
        <f t="shared" si="26"/>
        <v>7158.9466417386639</v>
      </c>
      <c r="AQ5" s="1297">
        <f t="shared" ref="AQ5:AQ68" si="46">AO5/AW5</f>
        <v>0.72254900701409541</v>
      </c>
      <c r="AR5" s="1300">
        <f t="shared" ref="AR5:AR68" si="47">RANK(AQ5,$AQ$4:$AQ$72)</f>
        <v>11</v>
      </c>
      <c r="AS5" s="1295">
        <f t="shared" ref="AS5:AS68" si="48">ROUND(AC5+T5,2)</f>
        <v>11234991.24</v>
      </c>
      <c r="AT5" s="1295">
        <f t="shared" si="27"/>
        <v>2748.96</v>
      </c>
      <c r="AU5" s="1300">
        <f t="shared" ref="AU5:AU68" si="49">RANK(AT5,$AT$4:$AT$72)</f>
        <v>55</v>
      </c>
      <c r="AV5" s="1297">
        <f t="shared" ref="AV5:AV68" si="50">AS5/AW5</f>
        <v>0.27745099298590453</v>
      </c>
      <c r="AW5" s="1300">
        <f t="shared" ref="AW5:AW68" si="51">AO5+AS5</f>
        <v>40493606.164785922</v>
      </c>
      <c r="AX5" s="1301">
        <f t="shared" si="28"/>
        <v>9907.9046158027704</v>
      </c>
      <c r="AY5" s="1300">
        <f t="shared" ref="AY5:AY68" si="52">RANK(AX5,$AX$4:$AX$72)</f>
        <v>11</v>
      </c>
    </row>
    <row r="6" spans="1:51" s="5" customFormat="1" ht="15.6" customHeight="1">
      <c r="A6" s="1285">
        <v>3</v>
      </c>
      <c r="B6" s="1286" t="s">
        <v>83</v>
      </c>
      <c r="C6" s="1286">
        <f>+'Table 8 Membership 2.1.14'!W5</f>
        <v>20958</v>
      </c>
      <c r="D6" s="1287">
        <f>+'[4]ALL- TABLE 3 '!AA8-'[4]ALL- TABLE 3 '!W8-'[4]ALL- TABLE 3 '!X8-'[4]ALL- TABLE 3 '!Y8-'[4]ALL- TABLE 3 '!Z8</f>
        <v>10003</v>
      </c>
      <c r="E6" s="1287">
        <f t="shared" si="14"/>
        <v>2201</v>
      </c>
      <c r="F6" s="1287">
        <f>+'[5]MS6887_Total CTE T3 corrected'!M8</f>
        <v>7942.5</v>
      </c>
      <c r="G6" s="1287">
        <f t="shared" si="15"/>
        <v>477</v>
      </c>
      <c r="H6" s="1287">
        <f>+'[6]MFP Funded SWD -Table 3'!W7</f>
        <v>2308</v>
      </c>
      <c r="I6" s="1287">
        <f t="shared" si="29"/>
        <v>3462</v>
      </c>
      <c r="J6" s="1287">
        <f>+'[6]MFP Funded GT -Table 3'!S7</f>
        <v>560</v>
      </c>
      <c r="K6" s="1287">
        <f t="shared" si="30"/>
        <v>336</v>
      </c>
      <c r="L6" s="1287">
        <f t="shared" si="16"/>
        <v>0</v>
      </c>
      <c r="M6" s="1289">
        <f t="shared" si="17"/>
        <v>0</v>
      </c>
      <c r="N6" s="1287">
        <f t="shared" si="18"/>
        <v>0</v>
      </c>
      <c r="O6" s="1287">
        <f t="shared" si="31"/>
        <v>6476</v>
      </c>
      <c r="P6" s="1287">
        <f t="shared" si="19"/>
        <v>27434</v>
      </c>
      <c r="Q6" s="1290">
        <f t="shared" si="32"/>
        <v>3961</v>
      </c>
      <c r="R6" s="1290">
        <f t="shared" si="20"/>
        <v>108666074</v>
      </c>
      <c r="S6" s="1290">
        <f>'Table 6 (Local Deduct Calc.)'!J9</f>
        <v>38990632</v>
      </c>
      <c r="T6" s="1290">
        <f t="shared" si="33"/>
        <v>38990632</v>
      </c>
      <c r="U6" s="1291">
        <f t="shared" si="34"/>
        <v>69675442</v>
      </c>
      <c r="V6" s="1292">
        <f t="shared" ref="V6:V68" si="53">ROUND(U6/R6,4)</f>
        <v>0.64119999999999999</v>
      </c>
      <c r="W6" s="1292">
        <f t="shared" si="35"/>
        <v>0.35880000000000001</v>
      </c>
      <c r="X6" s="1293">
        <f t="shared" si="21"/>
        <v>1860.4175970989597</v>
      </c>
      <c r="Y6" s="1290">
        <f>'Table 7 Local Revenue'!AQ10</f>
        <v>118049170</v>
      </c>
      <c r="Z6" s="1290">
        <f t="shared" si="36"/>
        <v>79058538</v>
      </c>
      <c r="AA6" s="1294">
        <f t="shared" si="37"/>
        <v>0</v>
      </c>
      <c r="AB6" s="1295">
        <f t="shared" si="38"/>
        <v>36946465.160000004</v>
      </c>
      <c r="AC6" s="1295">
        <f t="shared" si="39"/>
        <v>36946465.160000004</v>
      </c>
      <c r="AD6" s="1290">
        <f t="shared" si="40"/>
        <v>22800993.722981762</v>
      </c>
      <c r="AE6" s="1296">
        <f t="shared" si="41"/>
        <v>14145471.437018242</v>
      </c>
      <c r="AF6" s="1297">
        <f t="shared" si="42"/>
        <v>0.38290000000000002</v>
      </c>
      <c r="AG6" s="1296">
        <f t="shared" si="43"/>
        <v>83820913.437018245</v>
      </c>
      <c r="AH6" s="1295">
        <f t="shared" si="22"/>
        <v>3999</v>
      </c>
      <c r="AI6" s="1296">
        <f>+'Table 3A Level 3'!O8</f>
        <v>3263479</v>
      </c>
      <c r="AJ6" s="1295">
        <f t="shared" si="23"/>
        <v>155.71519228934059</v>
      </c>
      <c r="AK6" s="1296">
        <f>AI6+AG6</f>
        <v>87084392.437018245</v>
      </c>
      <c r="AL6" s="1295">
        <f t="shared" si="24"/>
        <v>4155.1862027396819</v>
      </c>
      <c r="AM6" s="1298">
        <f>+'Table 3A Level 3'!P8</f>
        <v>15772051.720000001</v>
      </c>
      <c r="AN6" s="1299">
        <f t="shared" si="25"/>
        <v>752.55519228934065</v>
      </c>
      <c r="AO6" s="1296">
        <f t="shared" si="45"/>
        <v>99592965.157018244</v>
      </c>
      <c r="AP6" s="1295">
        <f t="shared" si="26"/>
        <v>4752.0262027396811</v>
      </c>
      <c r="AQ6" s="1297">
        <f t="shared" si="46"/>
        <v>0.5673840927438808</v>
      </c>
      <c r="AR6" s="1300">
        <f t="shared" si="47"/>
        <v>49</v>
      </c>
      <c r="AS6" s="1295">
        <f t="shared" si="48"/>
        <v>75937097.159999996</v>
      </c>
      <c r="AT6" s="1295">
        <f t="shared" si="27"/>
        <v>3623.3</v>
      </c>
      <c r="AU6" s="1300">
        <f t="shared" si="49"/>
        <v>27</v>
      </c>
      <c r="AV6" s="1297">
        <f t="shared" si="50"/>
        <v>0.43261590725611926</v>
      </c>
      <c r="AW6" s="1300">
        <f t="shared" si="51"/>
        <v>175530062.31701824</v>
      </c>
      <c r="AX6" s="1301">
        <f t="shared" si="28"/>
        <v>8375.3250461407697</v>
      </c>
      <c r="AY6" s="1300">
        <f t="shared" si="52"/>
        <v>61</v>
      </c>
    </row>
    <row r="7" spans="1:51" s="5" customFormat="1" ht="15.6" customHeight="1">
      <c r="A7" s="1285">
        <v>4</v>
      </c>
      <c r="B7" s="1286" t="s">
        <v>84</v>
      </c>
      <c r="C7" s="1286">
        <f>+'Table 8 Membership 2.1.14'!W6</f>
        <v>3569</v>
      </c>
      <c r="D7" s="1287">
        <f>+'[4]ALL- TABLE 3 '!AA9-'[4]ALL- TABLE 3 '!W9-'[4]ALL- TABLE 3 '!X9-'[4]ALL- TABLE 3 '!Y9-'[4]ALL- TABLE 3 '!Z9</f>
        <v>2347</v>
      </c>
      <c r="E7" s="1287">
        <f t="shared" si="14"/>
        <v>516</v>
      </c>
      <c r="F7" s="1287">
        <f>+'[5]MS6887_Total CTE T3 corrected'!M9</f>
        <v>1449.5</v>
      </c>
      <c r="G7" s="1287">
        <f t="shared" si="15"/>
        <v>87</v>
      </c>
      <c r="H7" s="1287">
        <f>+'[6]MFP Funded SWD -Table 3'!W8</f>
        <v>483</v>
      </c>
      <c r="I7" s="1287">
        <f t="shared" si="29"/>
        <v>725</v>
      </c>
      <c r="J7" s="1287">
        <f>+'[6]MFP Funded GT -Table 3'!S8</f>
        <v>76</v>
      </c>
      <c r="K7" s="1287">
        <f t="shared" si="30"/>
        <v>46</v>
      </c>
      <c r="L7" s="1287">
        <f t="shared" si="16"/>
        <v>3931</v>
      </c>
      <c r="M7" s="1289">
        <f t="shared" si="17"/>
        <v>0.10483000000000001</v>
      </c>
      <c r="N7" s="1287">
        <f t="shared" si="18"/>
        <v>374</v>
      </c>
      <c r="O7" s="1287">
        <f t="shared" si="31"/>
        <v>1748</v>
      </c>
      <c r="P7" s="1287">
        <f t="shared" si="19"/>
        <v>5317</v>
      </c>
      <c r="Q7" s="1290">
        <f t="shared" si="32"/>
        <v>3961</v>
      </c>
      <c r="R7" s="1290">
        <f t="shared" si="20"/>
        <v>21060637</v>
      </c>
      <c r="S7" s="1290">
        <f>'Table 6 (Local Deduct Calc.)'!J10</f>
        <v>4377532.5</v>
      </c>
      <c r="T7" s="1290">
        <f t="shared" si="33"/>
        <v>4377532.5</v>
      </c>
      <c r="U7" s="1291">
        <f t="shared" si="34"/>
        <v>16683104.5</v>
      </c>
      <c r="V7" s="1292">
        <f t="shared" si="53"/>
        <v>0.79210000000000003</v>
      </c>
      <c r="W7" s="1292">
        <f t="shared" si="35"/>
        <v>0.2079</v>
      </c>
      <c r="X7" s="1293">
        <f t="shared" si="21"/>
        <v>1226.5431493415522</v>
      </c>
      <c r="Y7" s="1290">
        <f>'Table 7 Local Revenue'!AQ11</f>
        <v>12769854.5</v>
      </c>
      <c r="Z7" s="1290">
        <f t="shared" si="36"/>
        <v>8392322</v>
      </c>
      <c r="AA7" s="1294">
        <f t="shared" si="37"/>
        <v>0</v>
      </c>
      <c r="AB7" s="1295">
        <f t="shared" si="38"/>
        <v>7160616.5800000001</v>
      </c>
      <c r="AC7" s="1295">
        <f t="shared" si="39"/>
        <v>7160616.5800000001</v>
      </c>
      <c r="AD7" s="1290">
        <f t="shared" si="40"/>
        <v>2560550.56160904</v>
      </c>
      <c r="AE7" s="1296">
        <f t="shared" si="41"/>
        <v>4600066.0183909601</v>
      </c>
      <c r="AF7" s="1297">
        <f t="shared" si="42"/>
        <v>0.64239999999999997</v>
      </c>
      <c r="AG7" s="1296">
        <f t="shared" si="43"/>
        <v>21283170.518390961</v>
      </c>
      <c r="AH7" s="1295">
        <f t="shared" si="22"/>
        <v>5963</v>
      </c>
      <c r="AI7" s="1296">
        <f>+'Table 3A Level 3'!O9</f>
        <v>555748</v>
      </c>
      <c r="AJ7" s="1295">
        <f t="shared" si="23"/>
        <v>155.71532642196695</v>
      </c>
      <c r="AK7" s="1296">
        <f t="shared" si="44"/>
        <v>21838918.518390961</v>
      </c>
      <c r="AL7" s="1295">
        <f t="shared" si="24"/>
        <v>6119.0581446878568</v>
      </c>
      <c r="AM7" s="1298">
        <f>+'Table 3A Level 3'!P9</f>
        <v>2646325.44</v>
      </c>
      <c r="AN7" s="1299">
        <f t="shared" si="25"/>
        <v>741.47532642196688</v>
      </c>
      <c r="AO7" s="1296">
        <f t="shared" si="45"/>
        <v>23929495.958390962</v>
      </c>
      <c r="AP7" s="1295">
        <f t="shared" si="26"/>
        <v>6704.8181446878571</v>
      </c>
      <c r="AQ7" s="1297">
        <f t="shared" si="46"/>
        <v>0.67468522177012724</v>
      </c>
      <c r="AR7" s="1300">
        <f t="shared" si="47"/>
        <v>24</v>
      </c>
      <c r="AS7" s="1295">
        <f t="shared" si="48"/>
        <v>11538149.08</v>
      </c>
      <c r="AT7" s="1295">
        <f t="shared" si="27"/>
        <v>3232.88</v>
      </c>
      <c r="AU7" s="1300">
        <f t="shared" si="49"/>
        <v>42</v>
      </c>
      <c r="AV7" s="1297">
        <f t="shared" si="50"/>
        <v>0.32531477822987265</v>
      </c>
      <c r="AW7" s="1300">
        <f t="shared" si="51"/>
        <v>35467645.038390964</v>
      </c>
      <c r="AX7" s="1301">
        <f t="shared" si="28"/>
        <v>9937.6982455564485</v>
      </c>
      <c r="AY7" s="1300">
        <f t="shared" si="52"/>
        <v>9</v>
      </c>
    </row>
    <row r="8" spans="1:51" s="17" customFormat="1" ht="15.6" customHeight="1">
      <c r="A8" s="87">
        <v>5</v>
      </c>
      <c r="B8" s="67" t="s">
        <v>85</v>
      </c>
      <c r="C8" s="67">
        <f>+'Table 8 Membership 2.1.14'!W7</f>
        <v>5650</v>
      </c>
      <c r="D8" s="15">
        <f>+'[4]ALL- TABLE 3 '!AA10-'[4]ALL- TABLE 3 '!W10-'[4]ALL- TABLE 3 '!X10-'[4]ALL- TABLE 3 '!Y10-'[4]ALL- TABLE 3 '!Z10</f>
        <v>4840</v>
      </c>
      <c r="E8" s="15">
        <f t="shared" si="14"/>
        <v>1065</v>
      </c>
      <c r="F8" s="15">
        <f>+'[5]MS6887_Total CTE T3 corrected'!M10</f>
        <v>2518</v>
      </c>
      <c r="G8" s="15">
        <f t="shared" si="15"/>
        <v>151</v>
      </c>
      <c r="H8" s="15">
        <f>+'[6]MFP Funded SWD -Table 3'!W9</f>
        <v>579</v>
      </c>
      <c r="I8" s="15">
        <f t="shared" si="29"/>
        <v>869</v>
      </c>
      <c r="J8" s="15">
        <f>+'[6]MFP Funded GT -Table 3'!S9</f>
        <v>12</v>
      </c>
      <c r="K8" s="15">
        <f t="shared" si="30"/>
        <v>7</v>
      </c>
      <c r="L8" s="15">
        <f t="shared" si="16"/>
        <v>1850</v>
      </c>
      <c r="M8" s="54">
        <f t="shared" si="17"/>
        <v>4.9329999999999999E-2</v>
      </c>
      <c r="N8" s="15">
        <f t="shared" si="18"/>
        <v>279</v>
      </c>
      <c r="O8" s="15">
        <f t="shared" si="31"/>
        <v>2371</v>
      </c>
      <c r="P8" s="1302">
        <f t="shared" si="19"/>
        <v>8021</v>
      </c>
      <c r="Q8" s="230">
        <f t="shared" si="32"/>
        <v>3961</v>
      </c>
      <c r="R8" s="230">
        <f t="shared" si="20"/>
        <v>31771181</v>
      </c>
      <c r="S8" s="230">
        <f>'Table 6 (Local Deduct Calc.)'!J11</f>
        <v>6349670</v>
      </c>
      <c r="T8" s="230">
        <f t="shared" si="33"/>
        <v>6349670</v>
      </c>
      <c r="U8" s="231">
        <f t="shared" si="34"/>
        <v>25421511</v>
      </c>
      <c r="V8" s="232">
        <f t="shared" si="53"/>
        <v>0.80010000000000003</v>
      </c>
      <c r="W8" s="233">
        <f t="shared" si="35"/>
        <v>0.19989999999999999</v>
      </c>
      <c r="X8" s="234">
        <f t="shared" si="21"/>
        <v>1123.8353982300885</v>
      </c>
      <c r="Y8" s="230">
        <f>'Table 7 Local Revenue'!AQ12</f>
        <v>11635193</v>
      </c>
      <c r="Z8" s="230">
        <f t="shared" si="36"/>
        <v>5285523</v>
      </c>
      <c r="AA8" s="199">
        <f t="shared" si="37"/>
        <v>0</v>
      </c>
      <c r="AB8" s="16">
        <f t="shared" si="38"/>
        <v>10802201.540000001</v>
      </c>
      <c r="AC8" s="16">
        <f t="shared" si="39"/>
        <v>5285523</v>
      </c>
      <c r="AD8" s="230">
        <f t="shared" si="40"/>
        <v>1817310.8020439998</v>
      </c>
      <c r="AE8" s="235">
        <f t="shared" si="41"/>
        <v>3468212.1979560005</v>
      </c>
      <c r="AF8" s="192">
        <f t="shared" si="42"/>
        <v>0.65620000000000001</v>
      </c>
      <c r="AG8" s="235">
        <f t="shared" si="43"/>
        <v>28889723.197956</v>
      </c>
      <c r="AH8" s="16">
        <f t="shared" si="22"/>
        <v>5113</v>
      </c>
      <c r="AI8" s="235">
        <f>+'Table 3A Level 3'!O10</f>
        <v>879791</v>
      </c>
      <c r="AJ8" s="16">
        <f t="shared" si="23"/>
        <v>155.71522123893806</v>
      </c>
      <c r="AK8" s="235">
        <f t="shared" si="44"/>
        <v>29769514.197956</v>
      </c>
      <c r="AL8" s="16">
        <f t="shared" si="24"/>
        <v>5268.940566009911</v>
      </c>
      <c r="AM8" s="287">
        <f>+'Table 3A Level 3'!P10</f>
        <v>4020682.5</v>
      </c>
      <c r="AN8" s="288">
        <f t="shared" si="25"/>
        <v>711.62522123893802</v>
      </c>
      <c r="AO8" s="235">
        <f t="shared" si="45"/>
        <v>32910405.697956</v>
      </c>
      <c r="AP8" s="16">
        <f t="shared" si="26"/>
        <v>5824.8505660099117</v>
      </c>
      <c r="AQ8" s="192">
        <f t="shared" si="46"/>
        <v>0.73880263505058952</v>
      </c>
      <c r="AR8" s="236">
        <f t="shared" si="47"/>
        <v>6</v>
      </c>
      <c r="AS8" s="16">
        <f t="shared" si="48"/>
        <v>11635193</v>
      </c>
      <c r="AT8" s="16">
        <f t="shared" si="27"/>
        <v>2059.33</v>
      </c>
      <c r="AU8" s="236">
        <f t="shared" si="49"/>
        <v>66</v>
      </c>
      <c r="AV8" s="192">
        <f t="shared" si="50"/>
        <v>0.26119736494941054</v>
      </c>
      <c r="AW8" s="236">
        <f t="shared" si="51"/>
        <v>44545598.697955996</v>
      </c>
      <c r="AX8" s="237">
        <f t="shared" si="28"/>
        <v>7884.1767607001766</v>
      </c>
      <c r="AY8" s="236">
        <f t="shared" si="52"/>
        <v>67</v>
      </c>
    </row>
    <row r="9" spans="1:51" s="5" customFormat="1" ht="15.6" customHeight="1">
      <c r="A9" s="1285">
        <v>6</v>
      </c>
      <c r="B9" s="1286" t="s">
        <v>86</v>
      </c>
      <c r="C9" s="1287">
        <f>+'Table 8 Membership 2.1.14'!W8</f>
        <v>5892</v>
      </c>
      <c r="D9" s="1287">
        <f>+'[4]ALL- TABLE 3 '!AA11-'[4]ALL- TABLE 3 '!W11-'[4]ALL- TABLE 3 '!X11-'[4]ALL- TABLE 3 '!Y11-'[4]ALL- TABLE 3 '!Z11</f>
        <v>3142</v>
      </c>
      <c r="E9" s="1287">
        <f t="shared" si="14"/>
        <v>691</v>
      </c>
      <c r="F9" s="1287">
        <f>+'[5]MS6887_Total CTE T3 corrected'!M11</f>
        <v>1868.5</v>
      </c>
      <c r="G9" s="1287">
        <f t="shared" si="15"/>
        <v>112</v>
      </c>
      <c r="H9" s="1287">
        <f>+'[6]MFP Funded SWD -Table 3'!W10</f>
        <v>873</v>
      </c>
      <c r="I9" s="1287">
        <f t="shared" si="29"/>
        <v>1310</v>
      </c>
      <c r="J9" s="1287">
        <f>+'[6]MFP Funded GT -Table 3'!S10</f>
        <v>70</v>
      </c>
      <c r="K9" s="1287">
        <f t="shared" si="30"/>
        <v>42</v>
      </c>
      <c r="L9" s="1288">
        <f t="shared" si="16"/>
        <v>1608</v>
      </c>
      <c r="M9" s="1289">
        <f t="shared" si="17"/>
        <v>4.2880000000000001E-2</v>
      </c>
      <c r="N9" s="1287">
        <f t="shared" si="18"/>
        <v>253</v>
      </c>
      <c r="O9" s="1287">
        <f t="shared" si="31"/>
        <v>2408</v>
      </c>
      <c r="P9" s="1287">
        <f t="shared" si="19"/>
        <v>8300</v>
      </c>
      <c r="Q9" s="1290">
        <f t="shared" si="32"/>
        <v>3961</v>
      </c>
      <c r="R9" s="1290">
        <f t="shared" si="20"/>
        <v>32876300</v>
      </c>
      <c r="S9" s="1290">
        <f>'Table 6 (Local Deduct Calc.)'!J12</f>
        <v>8380820.5</v>
      </c>
      <c r="T9" s="1290">
        <f t="shared" si="33"/>
        <v>8380820.5</v>
      </c>
      <c r="U9" s="1291">
        <f t="shared" si="34"/>
        <v>24495479.5</v>
      </c>
      <c r="V9" s="1292">
        <f t="shared" si="53"/>
        <v>0.74509999999999998</v>
      </c>
      <c r="W9" s="1292">
        <f t="shared" si="35"/>
        <v>0.25490000000000002</v>
      </c>
      <c r="X9" s="1293">
        <f t="shared" si="21"/>
        <v>1422.4067379497624</v>
      </c>
      <c r="Y9" s="1290">
        <f>'Table 7 Local Revenue'!AQ13</f>
        <v>22566872.5</v>
      </c>
      <c r="Z9" s="1290">
        <f t="shared" si="36"/>
        <v>14186052</v>
      </c>
      <c r="AA9" s="1294">
        <f t="shared" si="37"/>
        <v>0</v>
      </c>
      <c r="AB9" s="1295">
        <f t="shared" si="38"/>
        <v>11177942</v>
      </c>
      <c r="AC9" s="1295">
        <f t="shared" si="39"/>
        <v>11177942</v>
      </c>
      <c r="AD9" s="1290">
        <f t="shared" si="40"/>
        <v>4900722.7551760003</v>
      </c>
      <c r="AE9" s="1296">
        <f t="shared" si="41"/>
        <v>6277219.2448239997</v>
      </c>
      <c r="AF9" s="1297">
        <f t="shared" si="42"/>
        <v>0.56159999999999999</v>
      </c>
      <c r="AG9" s="1296">
        <f t="shared" si="43"/>
        <v>30772698.744824</v>
      </c>
      <c r="AH9" s="1295">
        <f t="shared" si="22"/>
        <v>5223</v>
      </c>
      <c r="AI9" s="1296">
        <f>+'Table 3A Level 3'!O11</f>
        <v>917474</v>
      </c>
      <c r="AJ9" s="1295">
        <f t="shared" si="23"/>
        <v>155.71520706042091</v>
      </c>
      <c r="AK9" s="1296">
        <f t="shared" si="44"/>
        <v>31690172.744824</v>
      </c>
      <c r="AL9" s="1295">
        <f t="shared" si="24"/>
        <v>5378.5086124955869</v>
      </c>
      <c r="AM9" s="1298">
        <f>+'Table 3A Level 3'!P11</f>
        <v>4131442.1599999992</v>
      </c>
      <c r="AN9" s="1299">
        <f t="shared" si="25"/>
        <v>701.19520706042078</v>
      </c>
      <c r="AO9" s="1296">
        <f t="shared" si="45"/>
        <v>34904140.904823996</v>
      </c>
      <c r="AP9" s="1295">
        <f t="shared" si="26"/>
        <v>5923.9886124955865</v>
      </c>
      <c r="AQ9" s="1297">
        <f t="shared" si="46"/>
        <v>0.64087918055673099</v>
      </c>
      <c r="AR9" s="1300">
        <f t="shared" si="47"/>
        <v>32</v>
      </c>
      <c r="AS9" s="1295">
        <f t="shared" si="48"/>
        <v>19558762.5</v>
      </c>
      <c r="AT9" s="1295">
        <f t="shared" si="27"/>
        <v>3319.55</v>
      </c>
      <c r="AU9" s="1300">
        <f t="shared" si="49"/>
        <v>38</v>
      </c>
      <c r="AV9" s="1297">
        <f t="shared" si="50"/>
        <v>0.35912081944326901</v>
      </c>
      <c r="AW9" s="1300">
        <f t="shared" si="51"/>
        <v>54462903.404823996</v>
      </c>
      <c r="AX9" s="1301">
        <f t="shared" si="28"/>
        <v>9243.5341827603515</v>
      </c>
      <c r="AY9" s="1300">
        <f t="shared" si="52"/>
        <v>28</v>
      </c>
    </row>
    <row r="10" spans="1:51" s="5" customFormat="1" ht="15.6" customHeight="1">
      <c r="A10" s="1285">
        <v>7</v>
      </c>
      <c r="B10" s="1286" t="s">
        <v>87</v>
      </c>
      <c r="C10" s="1286">
        <f>+'Table 8 Membership 2.1.14'!W9</f>
        <v>2190</v>
      </c>
      <c r="D10" s="1287">
        <f>+'[4]ALL- TABLE 3 '!AA12-'[4]ALL- TABLE 3 '!W12-'[4]ALL- TABLE 3 '!X12-'[4]ALL- TABLE 3 '!Y12-'[4]ALL- TABLE 3 '!Z12</f>
        <v>1515</v>
      </c>
      <c r="E10" s="1287">
        <f t="shared" si="14"/>
        <v>333</v>
      </c>
      <c r="F10" s="1287">
        <f>+'[5]MS6887_Total CTE T3 corrected'!M12</f>
        <v>846</v>
      </c>
      <c r="G10" s="1287">
        <f t="shared" si="15"/>
        <v>51</v>
      </c>
      <c r="H10" s="1287">
        <f>+'[6]MFP Funded SWD -Table 3'!W11</f>
        <v>209</v>
      </c>
      <c r="I10" s="1287">
        <f t="shared" si="29"/>
        <v>314</v>
      </c>
      <c r="J10" s="1287">
        <f>+'[6]MFP Funded GT -Table 3'!S11</f>
        <v>53</v>
      </c>
      <c r="K10" s="1287">
        <f t="shared" si="30"/>
        <v>32</v>
      </c>
      <c r="L10" s="1287">
        <f t="shared" si="16"/>
        <v>5310</v>
      </c>
      <c r="M10" s="1289">
        <f t="shared" si="17"/>
        <v>0.1416</v>
      </c>
      <c r="N10" s="1287">
        <f t="shared" si="18"/>
        <v>310</v>
      </c>
      <c r="O10" s="1287">
        <f t="shared" si="31"/>
        <v>1040</v>
      </c>
      <c r="P10" s="1287">
        <f t="shared" si="19"/>
        <v>3230</v>
      </c>
      <c r="Q10" s="1290">
        <f t="shared" si="32"/>
        <v>3961</v>
      </c>
      <c r="R10" s="1290">
        <f t="shared" si="20"/>
        <v>12794030</v>
      </c>
      <c r="S10" s="1290">
        <f>'Table 6 (Local Deduct Calc.)'!J13</f>
        <v>8222869</v>
      </c>
      <c r="T10" s="1290">
        <f t="shared" si="33"/>
        <v>8222869</v>
      </c>
      <c r="U10" s="1291">
        <f t="shared" si="34"/>
        <v>4571161</v>
      </c>
      <c r="V10" s="1292">
        <f t="shared" si="53"/>
        <v>0.35730000000000001</v>
      </c>
      <c r="W10" s="1292">
        <f t="shared" si="35"/>
        <v>0.64270000000000005</v>
      </c>
      <c r="X10" s="1293">
        <f t="shared" si="21"/>
        <v>3754.7347031963473</v>
      </c>
      <c r="Y10" s="1290">
        <f>'Table 7 Local Revenue'!AQ14</f>
        <v>26451166</v>
      </c>
      <c r="Z10" s="1290">
        <f t="shared" si="36"/>
        <v>18228297</v>
      </c>
      <c r="AA10" s="1294">
        <f t="shared" si="37"/>
        <v>0</v>
      </c>
      <c r="AB10" s="1295">
        <f t="shared" si="38"/>
        <v>4349970.2</v>
      </c>
      <c r="AC10" s="1295">
        <f t="shared" si="39"/>
        <v>4349970.2</v>
      </c>
      <c r="AD10" s="1290">
        <f t="shared" si="40"/>
        <v>4808648.4577688007</v>
      </c>
      <c r="AE10" s="1296">
        <f t="shared" si="41"/>
        <v>0</v>
      </c>
      <c r="AF10" s="1297">
        <f t="shared" si="42"/>
        <v>0</v>
      </c>
      <c r="AG10" s="1296">
        <f t="shared" si="43"/>
        <v>4571161</v>
      </c>
      <c r="AH10" s="1295">
        <f t="shared" si="22"/>
        <v>2087</v>
      </c>
      <c r="AI10" s="1296">
        <f>+'Table 3A Level 3'!O12</f>
        <v>341016</v>
      </c>
      <c r="AJ10" s="1295">
        <f t="shared" si="23"/>
        <v>155.71506849315068</v>
      </c>
      <c r="AK10" s="1296">
        <f t="shared" si="44"/>
        <v>4912177</v>
      </c>
      <c r="AL10" s="1295">
        <f t="shared" si="24"/>
        <v>2243.0031963470319</v>
      </c>
      <c r="AM10" s="1298">
        <f>+'Table 3A Level 3'!P12</f>
        <v>1998670.7999999996</v>
      </c>
      <c r="AN10" s="1299">
        <f t="shared" si="25"/>
        <v>912.63506849315047</v>
      </c>
      <c r="AO10" s="1296">
        <f t="shared" si="45"/>
        <v>6569831.7999999998</v>
      </c>
      <c r="AP10" s="1295">
        <f t="shared" si="26"/>
        <v>2999.923196347032</v>
      </c>
      <c r="AQ10" s="1297">
        <f t="shared" si="46"/>
        <v>0.34320350592662852</v>
      </c>
      <c r="AR10" s="1300">
        <f t="shared" si="47"/>
        <v>65</v>
      </c>
      <c r="AS10" s="1295">
        <f t="shared" si="48"/>
        <v>12572839.199999999</v>
      </c>
      <c r="AT10" s="1295">
        <f t="shared" si="27"/>
        <v>5741.02</v>
      </c>
      <c r="AU10" s="1300">
        <f t="shared" si="49"/>
        <v>4</v>
      </c>
      <c r="AV10" s="1297">
        <f t="shared" si="50"/>
        <v>0.65679649407337148</v>
      </c>
      <c r="AW10" s="1300">
        <f t="shared" si="51"/>
        <v>19142671</v>
      </c>
      <c r="AX10" s="1301">
        <f t="shared" si="28"/>
        <v>8740.9456621004574</v>
      </c>
      <c r="AY10" s="1300">
        <f t="shared" si="52"/>
        <v>52</v>
      </c>
    </row>
    <row r="11" spans="1:51" s="5" customFormat="1" ht="15.6" customHeight="1">
      <c r="A11" s="1285">
        <v>8</v>
      </c>
      <c r="B11" s="1286" t="s">
        <v>88</v>
      </c>
      <c r="C11" s="1286">
        <f>+'Table 8 Membership 2.1.14'!W10</f>
        <v>21562</v>
      </c>
      <c r="D11" s="1287">
        <f>+'[4]ALL- TABLE 3 '!AA13-'[4]ALL- TABLE 3 '!W13-'[4]ALL- TABLE 3 '!X13-'[4]ALL- TABLE 3 '!Y13-'[4]ALL- TABLE 3 '!Z13</f>
        <v>10087</v>
      </c>
      <c r="E11" s="1287">
        <f t="shared" si="14"/>
        <v>2219</v>
      </c>
      <c r="F11" s="1287">
        <f>+'[5]MS6887_Total CTE T3 corrected'!M13</f>
        <v>6770.5</v>
      </c>
      <c r="G11" s="1287">
        <f t="shared" si="15"/>
        <v>406</v>
      </c>
      <c r="H11" s="1287">
        <f>+'[6]MFP Funded SWD -Table 3'!W12</f>
        <v>2554</v>
      </c>
      <c r="I11" s="1287">
        <f t="shared" si="29"/>
        <v>3831</v>
      </c>
      <c r="J11" s="1287">
        <f>+'[6]MFP Funded GT -Table 3'!S12</f>
        <v>1095</v>
      </c>
      <c r="K11" s="1287">
        <f t="shared" si="30"/>
        <v>657</v>
      </c>
      <c r="L11" s="1287">
        <f t="shared" si="16"/>
        <v>0</v>
      </c>
      <c r="M11" s="1289">
        <f t="shared" si="17"/>
        <v>0</v>
      </c>
      <c r="N11" s="1287">
        <f t="shared" si="18"/>
        <v>0</v>
      </c>
      <c r="O11" s="1287">
        <f t="shared" si="31"/>
        <v>7113</v>
      </c>
      <c r="P11" s="1287">
        <f t="shared" si="19"/>
        <v>28675</v>
      </c>
      <c r="Q11" s="1290">
        <f t="shared" si="32"/>
        <v>3961</v>
      </c>
      <c r="R11" s="1290">
        <f t="shared" si="20"/>
        <v>113581675</v>
      </c>
      <c r="S11" s="1290">
        <f>'Table 6 (Local Deduct Calc.)'!J14</f>
        <v>34621097.5</v>
      </c>
      <c r="T11" s="1290">
        <f t="shared" si="33"/>
        <v>34621097.5</v>
      </c>
      <c r="U11" s="1291">
        <f t="shared" si="34"/>
        <v>78960577.5</v>
      </c>
      <c r="V11" s="1292">
        <f t="shared" si="53"/>
        <v>0.69520000000000004</v>
      </c>
      <c r="W11" s="1292">
        <f t="shared" si="35"/>
        <v>0.30480000000000002</v>
      </c>
      <c r="X11" s="1293">
        <f t="shared" si="21"/>
        <v>1605.6533484834431</v>
      </c>
      <c r="Y11" s="1290">
        <f>'Table 7 Local Revenue'!AQ15</f>
        <v>88059911.5</v>
      </c>
      <c r="Z11" s="1290">
        <f t="shared" si="36"/>
        <v>53438814</v>
      </c>
      <c r="AA11" s="1294">
        <f t="shared" si="37"/>
        <v>0</v>
      </c>
      <c r="AB11" s="1295">
        <f t="shared" si="38"/>
        <v>38617769.5</v>
      </c>
      <c r="AC11" s="1295">
        <f t="shared" si="39"/>
        <v>38617769.5</v>
      </c>
      <c r="AD11" s="1290">
        <f t="shared" si="40"/>
        <v>20245597.366992</v>
      </c>
      <c r="AE11" s="1296">
        <f t="shared" si="41"/>
        <v>18372172.133008</v>
      </c>
      <c r="AF11" s="1297">
        <f t="shared" si="42"/>
        <v>0.47570000000000001</v>
      </c>
      <c r="AG11" s="1296">
        <f t="shared" si="43"/>
        <v>97332749.633008003</v>
      </c>
      <c r="AH11" s="1295">
        <f t="shared" si="22"/>
        <v>4514</v>
      </c>
      <c r="AI11" s="1296">
        <f>+'Table 3A Level 3'!O13</f>
        <v>3357531</v>
      </c>
      <c r="AJ11" s="1295">
        <f t="shared" si="23"/>
        <v>155.7151933957889</v>
      </c>
      <c r="AK11" s="1296">
        <f t="shared" si="44"/>
        <v>100690280.633008</v>
      </c>
      <c r="AL11" s="1295">
        <f t="shared" si="24"/>
        <v>4669.802459558854</v>
      </c>
      <c r="AM11" s="1298">
        <f>+'Table 3A Level 3'!P13</f>
        <v>19006368.119999997</v>
      </c>
      <c r="AN11" s="1299">
        <f t="shared" si="25"/>
        <v>881.47519339578878</v>
      </c>
      <c r="AO11" s="1296">
        <f t="shared" si="45"/>
        <v>116339117.75300801</v>
      </c>
      <c r="AP11" s="1295">
        <f t="shared" si="26"/>
        <v>5395.5624595588542</v>
      </c>
      <c r="AQ11" s="1297">
        <f t="shared" si="46"/>
        <v>0.6136741980065914</v>
      </c>
      <c r="AR11" s="1300">
        <f t="shared" si="47"/>
        <v>40</v>
      </c>
      <c r="AS11" s="1295">
        <f t="shared" si="48"/>
        <v>73238867</v>
      </c>
      <c r="AT11" s="1295">
        <f t="shared" si="27"/>
        <v>3396.66</v>
      </c>
      <c r="AU11" s="1300">
        <f t="shared" si="49"/>
        <v>34</v>
      </c>
      <c r="AV11" s="1297">
        <f t="shared" si="50"/>
        <v>0.38632580199340855</v>
      </c>
      <c r="AW11" s="1300">
        <f t="shared" si="51"/>
        <v>189577984.75300801</v>
      </c>
      <c r="AX11" s="1301">
        <f t="shared" si="28"/>
        <v>8792.2263590115945</v>
      </c>
      <c r="AY11" s="1300">
        <f t="shared" si="52"/>
        <v>51</v>
      </c>
    </row>
    <row r="12" spans="1:51" s="5" customFormat="1" ht="15.6" customHeight="1">
      <c r="A12" s="1285">
        <v>9</v>
      </c>
      <c r="B12" s="1286" t="s">
        <v>89</v>
      </c>
      <c r="C12" s="1286">
        <f>+'Table 8 Membership 2.1.14'!W11</f>
        <v>40615</v>
      </c>
      <c r="D12" s="1287">
        <f>+'[4]ALL- TABLE 3 '!AA14-'[4]ALL- TABLE 3 '!W14-'[4]ALL- TABLE 3 '!X14-'[4]ALL- TABLE 3 '!Y14-'[4]ALL- TABLE 3 '!Z14</f>
        <v>27421</v>
      </c>
      <c r="E12" s="1287">
        <f t="shared" si="14"/>
        <v>6033</v>
      </c>
      <c r="F12" s="1287">
        <f>+'[5]MS6887_Total CTE T3 corrected'!M14</f>
        <v>11113.5</v>
      </c>
      <c r="G12" s="1287">
        <f t="shared" si="15"/>
        <v>667</v>
      </c>
      <c r="H12" s="1287">
        <f>+'[6]MFP Funded SWD -Table 3'!W13</f>
        <v>4071</v>
      </c>
      <c r="I12" s="1287">
        <f t="shared" si="29"/>
        <v>6107</v>
      </c>
      <c r="J12" s="1287">
        <f>+'[6]MFP Funded GT -Table 3'!S13</f>
        <v>1695</v>
      </c>
      <c r="K12" s="1287">
        <f t="shared" si="30"/>
        <v>1017</v>
      </c>
      <c r="L12" s="1287">
        <f t="shared" si="16"/>
        <v>0</v>
      </c>
      <c r="M12" s="1289">
        <f t="shared" si="17"/>
        <v>0</v>
      </c>
      <c r="N12" s="1287">
        <f t="shared" si="18"/>
        <v>0</v>
      </c>
      <c r="O12" s="1287">
        <f t="shared" si="31"/>
        <v>13824</v>
      </c>
      <c r="P12" s="1287">
        <f t="shared" si="19"/>
        <v>54439</v>
      </c>
      <c r="Q12" s="1290">
        <f t="shared" si="32"/>
        <v>3961</v>
      </c>
      <c r="R12" s="1290">
        <f t="shared" si="20"/>
        <v>215632879</v>
      </c>
      <c r="S12" s="1290">
        <f>'Table 6 (Local Deduct Calc.)'!J15</f>
        <v>67591996</v>
      </c>
      <c r="T12" s="1290">
        <f t="shared" si="33"/>
        <v>67591996</v>
      </c>
      <c r="U12" s="1291">
        <f t="shared" si="34"/>
        <v>148040883</v>
      </c>
      <c r="V12" s="1292">
        <f t="shared" si="53"/>
        <v>0.6865</v>
      </c>
      <c r="W12" s="1292">
        <f t="shared" si="35"/>
        <v>0.3135</v>
      </c>
      <c r="X12" s="1293">
        <f t="shared" si="21"/>
        <v>1664.2126308014281</v>
      </c>
      <c r="Y12" s="1290">
        <f>'Table 7 Local Revenue'!AQ16</f>
        <v>195174761</v>
      </c>
      <c r="Z12" s="1290">
        <f t="shared" si="36"/>
        <v>127582765</v>
      </c>
      <c r="AA12" s="1294">
        <f t="shared" si="37"/>
        <v>0</v>
      </c>
      <c r="AB12" s="1295">
        <f t="shared" si="38"/>
        <v>73315178.859999999</v>
      </c>
      <c r="AC12" s="1295">
        <f t="shared" si="39"/>
        <v>73315178.859999999</v>
      </c>
      <c r="AD12" s="1290">
        <f t="shared" si="40"/>
        <v>39533010.7448892</v>
      </c>
      <c r="AE12" s="1296">
        <f t="shared" si="41"/>
        <v>33782168.1151108</v>
      </c>
      <c r="AF12" s="1297">
        <f t="shared" si="42"/>
        <v>0.46079999999999999</v>
      </c>
      <c r="AG12" s="1296">
        <f t="shared" si="43"/>
        <v>181823051.11511081</v>
      </c>
      <c r="AH12" s="1295">
        <f t="shared" si="22"/>
        <v>4477</v>
      </c>
      <c r="AI12" s="1296">
        <f>+'Table 3A Level 3'!O14</f>
        <v>6324373</v>
      </c>
      <c r="AJ12" s="1295">
        <f t="shared" si="23"/>
        <v>155.71520374245969</v>
      </c>
      <c r="AK12" s="1296">
        <f t="shared" si="44"/>
        <v>188147424.11511081</v>
      </c>
      <c r="AL12" s="1295">
        <f t="shared" si="24"/>
        <v>4632.4615072045008</v>
      </c>
      <c r="AM12" s="1298">
        <f>+'Table 3A Level 3'!P14</f>
        <v>36572800.399999999</v>
      </c>
      <c r="AN12" s="1299">
        <f t="shared" si="25"/>
        <v>900.4752037424596</v>
      </c>
      <c r="AO12" s="1296">
        <f t="shared" si="45"/>
        <v>218395851.51511082</v>
      </c>
      <c r="AP12" s="1295">
        <f t="shared" si="26"/>
        <v>5377.221507204501</v>
      </c>
      <c r="AQ12" s="1297">
        <f t="shared" si="46"/>
        <v>0.60783192871608727</v>
      </c>
      <c r="AR12" s="1300">
        <f t="shared" si="47"/>
        <v>43</v>
      </c>
      <c r="AS12" s="1295">
        <f t="shared" si="48"/>
        <v>140907174.86000001</v>
      </c>
      <c r="AT12" s="1295">
        <f t="shared" si="27"/>
        <v>3469.34</v>
      </c>
      <c r="AU12" s="1300">
        <f t="shared" si="49"/>
        <v>31</v>
      </c>
      <c r="AV12" s="1297">
        <f t="shared" si="50"/>
        <v>0.39216807128391262</v>
      </c>
      <c r="AW12" s="1300">
        <f t="shared" si="51"/>
        <v>359303026.37511086</v>
      </c>
      <c r="AX12" s="1301">
        <f t="shared" si="28"/>
        <v>8846.5598024156316</v>
      </c>
      <c r="AY12" s="1300">
        <f t="shared" si="52"/>
        <v>48</v>
      </c>
    </row>
    <row r="13" spans="1:51" s="17" customFormat="1" ht="15.6" customHeight="1">
      <c r="A13" s="87">
        <v>10</v>
      </c>
      <c r="B13" s="67" t="s">
        <v>90</v>
      </c>
      <c r="C13" s="67">
        <f>+'Table 8 Membership 2.1.14'!W12</f>
        <v>32357</v>
      </c>
      <c r="D13" s="15">
        <f>+'[4]ALL- TABLE 3 '!AA15-'[4]ALL- TABLE 3 '!W15-'[4]ALL- TABLE 3 '!X15-'[4]ALL- TABLE 3 '!Y15-'[4]ALL- TABLE 3 '!Z15</f>
        <v>19482</v>
      </c>
      <c r="E13" s="15">
        <f t="shared" si="14"/>
        <v>4286</v>
      </c>
      <c r="F13" s="15">
        <f>+'[5]MS6887_Total CTE T3 corrected'!M15</f>
        <v>9134</v>
      </c>
      <c r="G13" s="15">
        <f t="shared" si="15"/>
        <v>548</v>
      </c>
      <c r="H13" s="15">
        <f>+'[6]MFP Funded SWD -Table 3'!W14</f>
        <v>5020</v>
      </c>
      <c r="I13" s="15">
        <f t="shared" si="29"/>
        <v>7530</v>
      </c>
      <c r="J13" s="15">
        <f>+'[6]MFP Funded GT -Table 3'!S14</f>
        <v>1298</v>
      </c>
      <c r="K13" s="15">
        <f t="shared" si="30"/>
        <v>779</v>
      </c>
      <c r="L13" s="15">
        <f t="shared" si="16"/>
        <v>0</v>
      </c>
      <c r="M13" s="54">
        <f t="shared" si="17"/>
        <v>0</v>
      </c>
      <c r="N13" s="15">
        <f t="shared" si="18"/>
        <v>0</v>
      </c>
      <c r="O13" s="15">
        <f t="shared" si="31"/>
        <v>13143</v>
      </c>
      <c r="P13" s="1302">
        <f t="shared" si="19"/>
        <v>45500</v>
      </c>
      <c r="Q13" s="230">
        <f t="shared" si="32"/>
        <v>3961</v>
      </c>
      <c r="R13" s="230">
        <f t="shared" si="20"/>
        <v>180225500</v>
      </c>
      <c r="S13" s="230">
        <f>'Table 6 (Local Deduct Calc.)'!J16</f>
        <v>66047846.5</v>
      </c>
      <c r="T13" s="230">
        <f t="shared" si="33"/>
        <v>66047846.5</v>
      </c>
      <c r="U13" s="231">
        <f t="shared" si="34"/>
        <v>114177653.5</v>
      </c>
      <c r="V13" s="232">
        <f t="shared" si="53"/>
        <v>0.63349999999999995</v>
      </c>
      <c r="W13" s="233">
        <f t="shared" si="35"/>
        <v>0.36649999999999999</v>
      </c>
      <c r="X13" s="234">
        <f t="shared" si="21"/>
        <v>2041.222811138239</v>
      </c>
      <c r="Y13" s="230">
        <f>'Table 7 Local Revenue'!AQ17</f>
        <v>146945245.5</v>
      </c>
      <c r="Z13" s="230">
        <f>IF(Y13-T13&gt;0,Y13-T13,0)</f>
        <v>80897399</v>
      </c>
      <c r="AA13" s="199">
        <f t="shared" si="37"/>
        <v>0</v>
      </c>
      <c r="AB13" s="16">
        <f t="shared" si="38"/>
        <v>61276670.000000007</v>
      </c>
      <c r="AC13" s="16">
        <f t="shared" si="39"/>
        <v>61276670.000000007</v>
      </c>
      <c r="AD13" s="230">
        <f t="shared" si="40"/>
        <v>38627587.2346</v>
      </c>
      <c r="AE13" s="235">
        <f t="shared" si="41"/>
        <v>22649082.765400007</v>
      </c>
      <c r="AF13" s="192">
        <f t="shared" si="42"/>
        <v>0.36959999999999998</v>
      </c>
      <c r="AG13" s="235">
        <f t="shared" si="43"/>
        <v>136826736.26539999</v>
      </c>
      <c r="AH13" s="16">
        <f t="shared" si="22"/>
        <v>4229</v>
      </c>
      <c r="AI13" s="235">
        <f>+'Table 3A Level 3'!O15</f>
        <v>5038477</v>
      </c>
      <c r="AJ13" s="16">
        <f t="shared" si="23"/>
        <v>155.71520845566647</v>
      </c>
      <c r="AK13" s="235">
        <f t="shared" si="44"/>
        <v>141865213.26539999</v>
      </c>
      <c r="AL13" s="16">
        <f t="shared" si="24"/>
        <v>4384.374733918472</v>
      </c>
      <c r="AM13" s="287">
        <f>+'Table 3A Level 3'!P15</f>
        <v>24712827.280000001</v>
      </c>
      <c r="AN13" s="288">
        <f t="shared" si="25"/>
        <v>763.75520845566655</v>
      </c>
      <c r="AO13" s="235">
        <f t="shared" si="45"/>
        <v>161539563.54539999</v>
      </c>
      <c r="AP13" s="16">
        <f t="shared" si="26"/>
        <v>4992.4147339184719</v>
      </c>
      <c r="AQ13" s="192">
        <f t="shared" si="46"/>
        <v>0.55922343657269968</v>
      </c>
      <c r="AR13" s="236">
        <f t="shared" si="47"/>
        <v>50</v>
      </c>
      <c r="AS13" s="16">
        <f t="shared" si="48"/>
        <v>127324516.5</v>
      </c>
      <c r="AT13" s="16">
        <f t="shared" si="27"/>
        <v>3934.99</v>
      </c>
      <c r="AU13" s="236">
        <f t="shared" si="49"/>
        <v>22</v>
      </c>
      <c r="AV13" s="192">
        <f t="shared" si="50"/>
        <v>0.44077656342730026</v>
      </c>
      <c r="AW13" s="236">
        <f t="shared" si="51"/>
        <v>288864080.04540002</v>
      </c>
      <c r="AX13" s="237">
        <f t="shared" si="28"/>
        <v>8927.4061268164551</v>
      </c>
      <c r="AY13" s="236">
        <f t="shared" si="52"/>
        <v>44</v>
      </c>
    </row>
    <row r="14" spans="1:51" s="5" customFormat="1" ht="15.6" customHeight="1">
      <c r="A14" s="1285">
        <v>11</v>
      </c>
      <c r="B14" s="1286" t="s">
        <v>91</v>
      </c>
      <c r="C14" s="1287">
        <f>+'Table 8 Membership 2.1.14'!W13</f>
        <v>1569</v>
      </c>
      <c r="D14" s="1287">
        <f>+'[4]ALL- TABLE 3 '!AA16-'[4]ALL- TABLE 3 '!W16-'[4]ALL- TABLE 3 '!X16-'[4]ALL- TABLE 3 '!Y16-'[4]ALL- TABLE 3 '!Z16</f>
        <v>1068</v>
      </c>
      <c r="E14" s="1287">
        <f t="shared" si="14"/>
        <v>235</v>
      </c>
      <c r="F14" s="1287">
        <f>+'[5]MS6887_Total CTE T3 corrected'!M16</f>
        <v>611</v>
      </c>
      <c r="G14" s="1287">
        <f t="shared" si="15"/>
        <v>37</v>
      </c>
      <c r="H14" s="1287">
        <f>+'[6]MFP Funded SWD -Table 3'!W15</f>
        <v>328</v>
      </c>
      <c r="I14" s="1287">
        <f t="shared" si="29"/>
        <v>492</v>
      </c>
      <c r="J14" s="1287">
        <f>+'[6]MFP Funded GT -Table 3'!S15</f>
        <v>35</v>
      </c>
      <c r="K14" s="1287">
        <f t="shared" si="30"/>
        <v>21</v>
      </c>
      <c r="L14" s="1288">
        <f t="shared" si="16"/>
        <v>5931</v>
      </c>
      <c r="M14" s="1289">
        <f t="shared" si="17"/>
        <v>0.15816</v>
      </c>
      <c r="N14" s="1287">
        <f t="shared" si="18"/>
        <v>248</v>
      </c>
      <c r="O14" s="1287">
        <f t="shared" si="31"/>
        <v>1033</v>
      </c>
      <c r="P14" s="1287">
        <f t="shared" si="19"/>
        <v>2602</v>
      </c>
      <c r="Q14" s="1290">
        <f t="shared" si="32"/>
        <v>3961</v>
      </c>
      <c r="R14" s="1290">
        <f t="shared" si="20"/>
        <v>10306522</v>
      </c>
      <c r="S14" s="1290">
        <f>'Table 6 (Local Deduct Calc.)'!J17</f>
        <v>1840984</v>
      </c>
      <c r="T14" s="1290">
        <f t="shared" si="33"/>
        <v>1840984</v>
      </c>
      <c r="U14" s="1291">
        <f t="shared" si="34"/>
        <v>8465538</v>
      </c>
      <c r="V14" s="1292">
        <f t="shared" si="53"/>
        <v>0.82140000000000002</v>
      </c>
      <c r="W14" s="1292">
        <f t="shared" si="35"/>
        <v>0.17860000000000001</v>
      </c>
      <c r="X14" s="1293">
        <f t="shared" si="21"/>
        <v>1173.3486297004461</v>
      </c>
      <c r="Y14" s="1290">
        <f>'Table 7 Local Revenue'!AQ18</f>
        <v>6108437</v>
      </c>
      <c r="Z14" s="1290">
        <f t="shared" si="36"/>
        <v>4267453</v>
      </c>
      <c r="AA14" s="1294">
        <f t="shared" si="37"/>
        <v>0</v>
      </c>
      <c r="AB14" s="1295">
        <f t="shared" si="38"/>
        <v>3504217.4800000004</v>
      </c>
      <c r="AC14" s="1295">
        <f t="shared" si="39"/>
        <v>3504217.4800000004</v>
      </c>
      <c r="AD14" s="1290">
        <f t="shared" si="40"/>
        <v>1076467.5761161603</v>
      </c>
      <c r="AE14" s="1296">
        <f t="shared" si="41"/>
        <v>2427749.90388384</v>
      </c>
      <c r="AF14" s="1297">
        <f t="shared" si="42"/>
        <v>0.69279999999999997</v>
      </c>
      <c r="AG14" s="1296">
        <f t="shared" si="43"/>
        <v>10893287.903883841</v>
      </c>
      <c r="AH14" s="1295">
        <f t="shared" si="22"/>
        <v>6943</v>
      </c>
      <c r="AI14" s="1296">
        <f>+'Table 3A Level 3'!O16</f>
        <v>244317</v>
      </c>
      <c r="AJ14" s="1295">
        <f t="shared" si="23"/>
        <v>155.71510516252391</v>
      </c>
      <c r="AK14" s="1296">
        <f t="shared" si="44"/>
        <v>11137604.903883841</v>
      </c>
      <c r="AL14" s="1295">
        <f t="shared" si="24"/>
        <v>7098.5372236353351</v>
      </c>
      <c r="AM14" s="1298">
        <f>+'Table 3A Level 3'!P16</f>
        <v>1352893.95</v>
      </c>
      <c r="AN14" s="1299">
        <f t="shared" si="25"/>
        <v>862.26510516252392</v>
      </c>
      <c r="AO14" s="1296">
        <f t="shared" si="45"/>
        <v>12246181.85388384</v>
      </c>
      <c r="AP14" s="1295">
        <f t="shared" si="26"/>
        <v>7805.0872236353343</v>
      </c>
      <c r="AQ14" s="1297">
        <f t="shared" si="46"/>
        <v>0.69614660890799418</v>
      </c>
      <c r="AR14" s="1300">
        <f t="shared" si="47"/>
        <v>16</v>
      </c>
      <c r="AS14" s="1295">
        <f t="shared" si="48"/>
        <v>5345201.4800000004</v>
      </c>
      <c r="AT14" s="1295">
        <f t="shared" si="27"/>
        <v>3406.76</v>
      </c>
      <c r="AU14" s="1300">
        <f t="shared" si="49"/>
        <v>32</v>
      </c>
      <c r="AV14" s="1297">
        <f t="shared" si="50"/>
        <v>0.30385339109200588</v>
      </c>
      <c r="AW14" s="1300">
        <f t="shared" si="51"/>
        <v>17591383.333883841</v>
      </c>
      <c r="AX14" s="1301">
        <f t="shared" si="28"/>
        <v>11211.844062386132</v>
      </c>
      <c r="AY14" s="1300">
        <f t="shared" si="52"/>
        <v>1</v>
      </c>
    </row>
    <row r="15" spans="1:51" s="5" customFormat="1" ht="15.6" customHeight="1">
      <c r="A15" s="1285">
        <v>12</v>
      </c>
      <c r="B15" s="1286" t="s">
        <v>92</v>
      </c>
      <c r="C15" s="1286">
        <f>+'Table 8 Membership 2.1.14'!W14</f>
        <v>1220</v>
      </c>
      <c r="D15" s="1287">
        <f>+'[4]ALL- TABLE 3 '!AA17-'[4]ALL- TABLE 3 '!W17-'[4]ALL- TABLE 3 '!X17-'[4]ALL- TABLE 3 '!Y17-'[4]ALL- TABLE 3 '!Z17</f>
        <v>532</v>
      </c>
      <c r="E15" s="1287">
        <f t="shared" si="14"/>
        <v>117</v>
      </c>
      <c r="F15" s="1287">
        <f>+'[5]MS6887_Total CTE T3 corrected'!M17</f>
        <v>445.5</v>
      </c>
      <c r="G15" s="1287">
        <f t="shared" si="15"/>
        <v>27</v>
      </c>
      <c r="H15" s="1287">
        <f>+'[6]MFP Funded SWD -Table 3'!W16</f>
        <v>142</v>
      </c>
      <c r="I15" s="1287">
        <f t="shared" si="29"/>
        <v>213</v>
      </c>
      <c r="J15" s="1287">
        <f>+'[6]MFP Funded GT -Table 3'!S16</f>
        <v>93</v>
      </c>
      <c r="K15" s="1287">
        <f t="shared" si="30"/>
        <v>56</v>
      </c>
      <c r="L15" s="1287">
        <f t="shared" si="16"/>
        <v>6280</v>
      </c>
      <c r="M15" s="1289">
        <f t="shared" si="17"/>
        <v>0.16747000000000001</v>
      </c>
      <c r="N15" s="1287">
        <f t="shared" si="18"/>
        <v>204</v>
      </c>
      <c r="O15" s="1287">
        <f t="shared" si="31"/>
        <v>617</v>
      </c>
      <c r="P15" s="1287">
        <f t="shared" si="19"/>
        <v>1837</v>
      </c>
      <c r="Q15" s="1290">
        <f t="shared" si="32"/>
        <v>3961</v>
      </c>
      <c r="R15" s="1290">
        <f t="shared" si="20"/>
        <v>7276357</v>
      </c>
      <c r="S15" s="1290">
        <f>'Table 6 (Local Deduct Calc.)'!J18</f>
        <v>5433073</v>
      </c>
      <c r="T15" s="1290">
        <f t="shared" si="33"/>
        <v>5433073</v>
      </c>
      <c r="U15" s="1291">
        <f t="shared" si="34"/>
        <v>1843284</v>
      </c>
      <c r="V15" s="1292">
        <f t="shared" si="53"/>
        <v>0.25330000000000003</v>
      </c>
      <c r="W15" s="1292">
        <f t="shared" si="35"/>
        <v>0.74670000000000003</v>
      </c>
      <c r="X15" s="1293">
        <f t="shared" si="21"/>
        <v>4453.3385245901636</v>
      </c>
      <c r="Y15" s="1290">
        <f>'Table 7 Local Revenue'!AQ19</f>
        <v>16044877</v>
      </c>
      <c r="Z15" s="1290">
        <f t="shared" si="36"/>
        <v>10611804</v>
      </c>
      <c r="AA15" s="1294">
        <f t="shared" si="37"/>
        <v>0</v>
      </c>
      <c r="AB15" s="1295">
        <f t="shared" si="38"/>
        <v>2473961.3800000004</v>
      </c>
      <c r="AC15" s="1295">
        <f t="shared" si="39"/>
        <v>2473961.3800000004</v>
      </c>
      <c r="AD15" s="1290">
        <f t="shared" si="40"/>
        <v>3177367.9754071203</v>
      </c>
      <c r="AE15" s="1296">
        <f t="shared" si="41"/>
        <v>0</v>
      </c>
      <c r="AF15" s="1297">
        <f t="shared" si="42"/>
        <v>0</v>
      </c>
      <c r="AG15" s="1296">
        <f t="shared" si="43"/>
        <v>1843284</v>
      </c>
      <c r="AH15" s="1295">
        <f t="shared" si="22"/>
        <v>1511</v>
      </c>
      <c r="AI15" s="1296">
        <f>+'Table 3A Level 3'!O17</f>
        <v>189973</v>
      </c>
      <c r="AJ15" s="1295">
        <f t="shared" si="23"/>
        <v>155.7155737704918</v>
      </c>
      <c r="AK15" s="1296">
        <f t="shared" si="44"/>
        <v>2033257</v>
      </c>
      <c r="AL15" s="1295">
        <f t="shared" si="24"/>
        <v>1666.6040983606558</v>
      </c>
      <c r="AM15" s="1298">
        <f>+'Table 3A Level 3'!P17</f>
        <v>1487211.2</v>
      </c>
      <c r="AN15" s="1299">
        <f t="shared" si="25"/>
        <v>1219.0255737704917</v>
      </c>
      <c r="AO15" s="1296">
        <f t="shared" si="45"/>
        <v>3330495.2</v>
      </c>
      <c r="AP15" s="1295">
        <f t="shared" si="26"/>
        <v>2729.9140983606558</v>
      </c>
      <c r="AQ15" s="1297">
        <f t="shared" si="46"/>
        <v>0.29637254133928609</v>
      </c>
      <c r="AR15" s="1300">
        <f t="shared" si="47"/>
        <v>69</v>
      </c>
      <c r="AS15" s="1295">
        <f t="shared" si="48"/>
        <v>7907034.3799999999</v>
      </c>
      <c r="AT15" s="1295">
        <f t="shared" si="27"/>
        <v>6481.18</v>
      </c>
      <c r="AU15" s="1300">
        <f t="shared" si="49"/>
        <v>1</v>
      </c>
      <c r="AV15" s="1297">
        <f t="shared" si="50"/>
        <v>0.70362745866071397</v>
      </c>
      <c r="AW15" s="1300">
        <f t="shared" si="51"/>
        <v>11237529.58</v>
      </c>
      <c r="AX15" s="1301">
        <f t="shared" si="28"/>
        <v>9211.0898196721319</v>
      </c>
      <c r="AY15" s="1300">
        <f t="shared" si="52"/>
        <v>29</v>
      </c>
    </row>
    <row r="16" spans="1:51" s="5" customFormat="1" ht="15.6" customHeight="1">
      <c r="A16" s="1285">
        <v>13</v>
      </c>
      <c r="B16" s="1286" t="s">
        <v>93</v>
      </c>
      <c r="C16" s="1286">
        <f>+'Table 8 Membership 2.1.14'!W15</f>
        <v>1487</v>
      </c>
      <c r="D16" s="1287">
        <f>+'[4]ALL- TABLE 3 '!AA18-'[4]ALL- TABLE 3 '!W18-'[4]ALL- TABLE 3 '!X18-'[4]ALL- TABLE 3 '!Y18-'[4]ALL- TABLE 3 '!Z18</f>
        <v>1105</v>
      </c>
      <c r="E16" s="1287">
        <f t="shared" si="14"/>
        <v>243</v>
      </c>
      <c r="F16" s="1287">
        <f>+'[5]MS6887_Total CTE T3 corrected'!M18</f>
        <v>626.5</v>
      </c>
      <c r="G16" s="1287">
        <f t="shared" si="15"/>
        <v>38</v>
      </c>
      <c r="H16" s="1287">
        <f>+'[6]MFP Funded SWD -Table 3'!W17</f>
        <v>163</v>
      </c>
      <c r="I16" s="1287">
        <f t="shared" si="29"/>
        <v>245</v>
      </c>
      <c r="J16" s="1287">
        <f>+'[6]MFP Funded GT -Table 3'!S17</f>
        <v>25</v>
      </c>
      <c r="K16" s="1287">
        <f t="shared" si="30"/>
        <v>15</v>
      </c>
      <c r="L16" s="1287">
        <f t="shared" si="16"/>
        <v>6013</v>
      </c>
      <c r="M16" s="1289">
        <f t="shared" si="17"/>
        <v>0.16034999999999999</v>
      </c>
      <c r="N16" s="1287">
        <f t="shared" si="18"/>
        <v>238</v>
      </c>
      <c r="O16" s="1287">
        <f t="shared" si="31"/>
        <v>779</v>
      </c>
      <c r="P16" s="1287">
        <f t="shared" si="19"/>
        <v>2266</v>
      </c>
      <c r="Q16" s="1290">
        <f t="shared" si="32"/>
        <v>3961</v>
      </c>
      <c r="R16" s="1290">
        <f t="shared" si="20"/>
        <v>8975626</v>
      </c>
      <c r="S16" s="1290">
        <f>'Table 6 (Local Deduct Calc.)'!J19</f>
        <v>1487441</v>
      </c>
      <c r="T16" s="1290">
        <f t="shared" si="33"/>
        <v>1487441</v>
      </c>
      <c r="U16" s="1291">
        <f t="shared" si="34"/>
        <v>7488185</v>
      </c>
      <c r="V16" s="1292">
        <f t="shared" si="53"/>
        <v>0.83430000000000004</v>
      </c>
      <c r="W16" s="1292">
        <f t="shared" si="35"/>
        <v>0.16569999999999999</v>
      </c>
      <c r="X16" s="1293">
        <f t="shared" si="21"/>
        <v>1000.296570275723</v>
      </c>
      <c r="Y16" s="1290">
        <f>'Table 7 Local Revenue'!AQ20</f>
        <v>4070775</v>
      </c>
      <c r="Z16" s="1290">
        <f t="shared" si="36"/>
        <v>2583334</v>
      </c>
      <c r="AA16" s="1294">
        <f t="shared" si="37"/>
        <v>0</v>
      </c>
      <c r="AB16" s="1295">
        <f t="shared" si="38"/>
        <v>3051712.8400000003</v>
      </c>
      <c r="AC16" s="1295">
        <f t="shared" si="39"/>
        <v>2583334</v>
      </c>
      <c r="AD16" s="1290">
        <f t="shared" si="40"/>
        <v>736260.52333599993</v>
      </c>
      <c r="AE16" s="1296">
        <f t="shared" si="41"/>
        <v>1847073.4766640002</v>
      </c>
      <c r="AF16" s="1297">
        <f t="shared" si="42"/>
        <v>0.71499999999999997</v>
      </c>
      <c r="AG16" s="1296">
        <f t="shared" si="43"/>
        <v>9335258.4766639993</v>
      </c>
      <c r="AH16" s="1295">
        <f t="shared" si="22"/>
        <v>6278</v>
      </c>
      <c r="AI16" s="1296">
        <f>+'Table 3A Level 3'!O18</f>
        <v>231549</v>
      </c>
      <c r="AJ16" s="1295">
        <f t="shared" si="23"/>
        <v>155.71553463349025</v>
      </c>
      <c r="AK16" s="1296">
        <f t="shared" si="44"/>
        <v>9566807.4766639993</v>
      </c>
      <c r="AL16" s="1295">
        <f t="shared" si="24"/>
        <v>6433.6297758332212</v>
      </c>
      <c r="AM16" s="1298">
        <f>+'Table 3A Level 3'!P18</f>
        <v>1345951.4100000001</v>
      </c>
      <c r="AN16" s="1299">
        <f t="shared" si="25"/>
        <v>905.14553463349034</v>
      </c>
      <c r="AO16" s="1296">
        <f t="shared" si="45"/>
        <v>10681209.886663999</v>
      </c>
      <c r="AP16" s="1295">
        <f t="shared" si="26"/>
        <v>7183.0597758332206</v>
      </c>
      <c r="AQ16" s="1297">
        <f t="shared" si="46"/>
        <v>0.72405238811761274</v>
      </c>
      <c r="AR16" s="1300">
        <f t="shared" si="47"/>
        <v>10</v>
      </c>
      <c r="AS16" s="1295">
        <f t="shared" si="48"/>
        <v>4070775</v>
      </c>
      <c r="AT16" s="1295">
        <f t="shared" si="27"/>
        <v>2737.58</v>
      </c>
      <c r="AU16" s="1300">
        <f t="shared" si="49"/>
        <v>56</v>
      </c>
      <c r="AV16" s="1297">
        <f t="shared" si="50"/>
        <v>0.27594761188238726</v>
      </c>
      <c r="AW16" s="1300">
        <f t="shared" si="51"/>
        <v>14751984.886663999</v>
      </c>
      <c r="AX16" s="1301">
        <f t="shared" si="28"/>
        <v>9920.6354315158023</v>
      </c>
      <c r="AY16" s="1300">
        <f t="shared" si="52"/>
        <v>10</v>
      </c>
    </row>
    <row r="17" spans="1:51" s="5" customFormat="1" ht="15.6" customHeight="1">
      <c r="A17" s="1285">
        <v>14</v>
      </c>
      <c r="B17" s="1286" t="s">
        <v>94</v>
      </c>
      <c r="C17" s="1286">
        <f>+'Table 8 Membership 2.1.14'!W16</f>
        <v>1680</v>
      </c>
      <c r="D17" s="1287">
        <f>+'[4]ALL- TABLE 3 '!AA19-'[4]ALL- TABLE 3 '!W19-'[4]ALL- TABLE 3 '!X19-'[4]ALL- TABLE 3 '!Y19-'[4]ALL- TABLE 3 '!Z19</f>
        <v>1376</v>
      </c>
      <c r="E17" s="1287">
        <f t="shared" si="14"/>
        <v>303</v>
      </c>
      <c r="F17" s="1287">
        <f>+'[5]MS6887_Total CTE T3 corrected'!M19</f>
        <v>477.5</v>
      </c>
      <c r="G17" s="1287">
        <f t="shared" si="15"/>
        <v>29</v>
      </c>
      <c r="H17" s="1287">
        <f>+'[6]MFP Funded SWD -Table 3'!W18</f>
        <v>326</v>
      </c>
      <c r="I17" s="1287">
        <f t="shared" si="29"/>
        <v>489</v>
      </c>
      <c r="J17" s="1287">
        <f>+'[6]MFP Funded GT -Table 3'!S18</f>
        <v>95</v>
      </c>
      <c r="K17" s="1287">
        <f t="shared" si="30"/>
        <v>57</v>
      </c>
      <c r="L17" s="1287">
        <f t="shared" si="16"/>
        <v>5820</v>
      </c>
      <c r="M17" s="1289">
        <f t="shared" si="17"/>
        <v>0.1552</v>
      </c>
      <c r="N17" s="1287">
        <f t="shared" si="18"/>
        <v>261</v>
      </c>
      <c r="O17" s="1287">
        <f t="shared" si="31"/>
        <v>1139</v>
      </c>
      <c r="P17" s="1287">
        <f t="shared" si="19"/>
        <v>2819</v>
      </c>
      <c r="Q17" s="1290">
        <f t="shared" si="32"/>
        <v>3961</v>
      </c>
      <c r="R17" s="1290">
        <f t="shared" si="20"/>
        <v>11166059</v>
      </c>
      <c r="S17" s="1290">
        <f>'Table 6 (Local Deduct Calc.)'!J20</f>
        <v>3936101.5</v>
      </c>
      <c r="T17" s="1290">
        <f t="shared" si="33"/>
        <v>3936101.5</v>
      </c>
      <c r="U17" s="1291">
        <f t="shared" si="34"/>
        <v>7229957.5</v>
      </c>
      <c r="V17" s="1292">
        <f t="shared" si="53"/>
        <v>0.64749999999999996</v>
      </c>
      <c r="W17" s="1292">
        <f t="shared" si="35"/>
        <v>0.35249999999999998</v>
      </c>
      <c r="X17" s="1293">
        <f t="shared" si="21"/>
        <v>2342.9175595238094</v>
      </c>
      <c r="Y17" s="1290">
        <f>'Table 7 Local Revenue'!AQ21</f>
        <v>7672850.5</v>
      </c>
      <c r="Z17" s="1290">
        <f t="shared" si="36"/>
        <v>3736749</v>
      </c>
      <c r="AA17" s="1294">
        <f t="shared" si="37"/>
        <v>0</v>
      </c>
      <c r="AB17" s="1295">
        <f t="shared" si="38"/>
        <v>3796460.06</v>
      </c>
      <c r="AC17" s="1295">
        <f t="shared" si="39"/>
        <v>3736749</v>
      </c>
      <c r="AD17" s="1290">
        <f t="shared" si="40"/>
        <v>2265590.9186999998</v>
      </c>
      <c r="AE17" s="1296">
        <f t="shared" si="41"/>
        <v>1471158.0813000002</v>
      </c>
      <c r="AF17" s="1297">
        <f t="shared" si="42"/>
        <v>0.39369999999999999</v>
      </c>
      <c r="AG17" s="1296">
        <f t="shared" si="43"/>
        <v>8701115.5812999997</v>
      </c>
      <c r="AH17" s="1295">
        <f t="shared" si="22"/>
        <v>5179</v>
      </c>
      <c r="AI17" s="1296">
        <f>+'Table 3A Level 3'!O19</f>
        <v>261602</v>
      </c>
      <c r="AJ17" s="1295">
        <f t="shared" si="23"/>
        <v>155.71547619047618</v>
      </c>
      <c r="AK17" s="1296">
        <f t="shared" si="44"/>
        <v>8962717.5812999997</v>
      </c>
      <c r="AL17" s="1295">
        <f t="shared" si="24"/>
        <v>5334.9509412500001</v>
      </c>
      <c r="AM17" s="1298">
        <f>+'Table 3A Level 3'!P19</f>
        <v>1622368.4</v>
      </c>
      <c r="AN17" s="1299">
        <f t="shared" si="25"/>
        <v>965.69547619047614</v>
      </c>
      <c r="AO17" s="1296">
        <f t="shared" si="45"/>
        <v>10323483.9813</v>
      </c>
      <c r="AP17" s="1295">
        <f t="shared" si="26"/>
        <v>6144.9309412499997</v>
      </c>
      <c r="AQ17" s="1297">
        <f t="shared" si="46"/>
        <v>0.57364370461257752</v>
      </c>
      <c r="AR17" s="1300">
        <f t="shared" si="47"/>
        <v>47</v>
      </c>
      <c r="AS17" s="1295">
        <f t="shared" si="48"/>
        <v>7672850.5</v>
      </c>
      <c r="AT17" s="1295">
        <f t="shared" si="27"/>
        <v>4567.17</v>
      </c>
      <c r="AU17" s="1300">
        <f t="shared" si="49"/>
        <v>15</v>
      </c>
      <c r="AV17" s="1297">
        <f t="shared" si="50"/>
        <v>0.42635629538742253</v>
      </c>
      <c r="AW17" s="1300">
        <f t="shared" si="51"/>
        <v>17996334.4813</v>
      </c>
      <c r="AX17" s="1301">
        <f t="shared" si="28"/>
        <v>10712.103857916667</v>
      </c>
      <c r="AY17" s="1300">
        <f t="shared" si="52"/>
        <v>4</v>
      </c>
    </row>
    <row r="18" spans="1:51" s="17" customFormat="1" ht="15.6" customHeight="1">
      <c r="A18" s="87">
        <v>15</v>
      </c>
      <c r="B18" s="67" t="s">
        <v>95</v>
      </c>
      <c r="C18" s="67">
        <f>+'Table 8 Membership 2.1.14'!W17</f>
        <v>3670</v>
      </c>
      <c r="D18" s="15">
        <f>+'[4]ALL- TABLE 3 '!AA20-'[4]ALL- TABLE 3 '!W20-'[4]ALL- TABLE 3 '!X20-'[4]ALL- TABLE 3 '!Y20-'[4]ALL- TABLE 3 '!Z20</f>
        <v>2753</v>
      </c>
      <c r="E18" s="15">
        <f t="shared" si="14"/>
        <v>606</v>
      </c>
      <c r="F18" s="15">
        <f>+'[5]MS6887_Total CTE T3 corrected'!M20</f>
        <v>1281.5</v>
      </c>
      <c r="G18" s="15">
        <f t="shared" si="15"/>
        <v>77</v>
      </c>
      <c r="H18" s="15">
        <f>+'[6]MFP Funded SWD -Table 3'!W19</f>
        <v>390</v>
      </c>
      <c r="I18" s="15">
        <f t="shared" si="29"/>
        <v>585</v>
      </c>
      <c r="J18" s="15">
        <f>+'[6]MFP Funded GT -Table 3'!S19</f>
        <v>113</v>
      </c>
      <c r="K18" s="15">
        <f t="shared" si="30"/>
        <v>68</v>
      </c>
      <c r="L18" s="15">
        <f t="shared" si="16"/>
        <v>3830</v>
      </c>
      <c r="M18" s="54">
        <f t="shared" si="17"/>
        <v>0.10213</v>
      </c>
      <c r="N18" s="15">
        <f t="shared" si="18"/>
        <v>375</v>
      </c>
      <c r="O18" s="15">
        <f t="shared" si="31"/>
        <v>1711</v>
      </c>
      <c r="P18" s="1302">
        <f t="shared" si="19"/>
        <v>5381</v>
      </c>
      <c r="Q18" s="230">
        <f t="shared" si="32"/>
        <v>3961</v>
      </c>
      <c r="R18" s="230">
        <f t="shared" si="20"/>
        <v>21314141</v>
      </c>
      <c r="S18" s="230">
        <f>'Table 6 (Local Deduct Calc.)'!J21</f>
        <v>4491562</v>
      </c>
      <c r="T18" s="230">
        <f t="shared" si="33"/>
        <v>4491562</v>
      </c>
      <c r="U18" s="231">
        <f t="shared" si="34"/>
        <v>16822579</v>
      </c>
      <c r="V18" s="232">
        <f t="shared" si="53"/>
        <v>0.7893</v>
      </c>
      <c r="W18" s="233">
        <f t="shared" si="35"/>
        <v>0.2107</v>
      </c>
      <c r="X18" s="234">
        <f t="shared" si="21"/>
        <v>1223.858855585831</v>
      </c>
      <c r="Y18" s="230">
        <f>'Table 7 Local Revenue'!AQ22</f>
        <v>10557172</v>
      </c>
      <c r="Z18" s="230">
        <f t="shared" si="36"/>
        <v>6065610</v>
      </c>
      <c r="AA18" s="199">
        <f t="shared" si="37"/>
        <v>0</v>
      </c>
      <c r="AB18" s="16">
        <f t="shared" si="38"/>
        <v>7246807.9400000004</v>
      </c>
      <c r="AC18" s="16">
        <f t="shared" si="39"/>
        <v>6065610</v>
      </c>
      <c r="AD18" s="230">
        <f t="shared" si="40"/>
        <v>2198201.32644</v>
      </c>
      <c r="AE18" s="235">
        <f t="shared" si="41"/>
        <v>3867408.67356</v>
      </c>
      <c r="AF18" s="192">
        <f t="shared" si="42"/>
        <v>0.63759999999999994</v>
      </c>
      <c r="AG18" s="235">
        <f t="shared" si="43"/>
        <v>20689987.673560001</v>
      </c>
      <c r="AH18" s="16">
        <f t="shared" si="22"/>
        <v>5638</v>
      </c>
      <c r="AI18" s="235">
        <f>+'Table 3A Level 3'!O20</f>
        <v>411883</v>
      </c>
      <c r="AJ18" s="16">
        <f t="shared" si="23"/>
        <v>112.22970027247956</v>
      </c>
      <c r="AK18" s="235">
        <f t="shared" si="44"/>
        <v>21101870.673560001</v>
      </c>
      <c r="AL18" s="16">
        <f t="shared" si="24"/>
        <v>5749.8285214059952</v>
      </c>
      <c r="AM18" s="287">
        <f>+'Table 3A Level 3'!P20</f>
        <v>2444329</v>
      </c>
      <c r="AN18" s="288">
        <f t="shared" si="25"/>
        <v>666.02970027247954</v>
      </c>
      <c r="AO18" s="235">
        <f t="shared" si="45"/>
        <v>23134316.673560001</v>
      </c>
      <c r="AP18" s="16">
        <f t="shared" si="26"/>
        <v>6303.6285214059944</v>
      </c>
      <c r="AQ18" s="192">
        <f t="shared" si="46"/>
        <v>0.68665166142436063</v>
      </c>
      <c r="AR18" s="236">
        <f t="shared" si="47"/>
        <v>19</v>
      </c>
      <c r="AS18" s="16">
        <f t="shared" si="48"/>
        <v>10557172</v>
      </c>
      <c r="AT18" s="16">
        <f t="shared" si="27"/>
        <v>2876.61</v>
      </c>
      <c r="AU18" s="236">
        <f t="shared" si="49"/>
        <v>53</v>
      </c>
      <c r="AV18" s="192">
        <f t="shared" si="50"/>
        <v>0.31334833857563943</v>
      </c>
      <c r="AW18" s="236">
        <f t="shared" si="51"/>
        <v>33691488.673560001</v>
      </c>
      <c r="AX18" s="237">
        <f t="shared" si="28"/>
        <v>9180.2421453841962</v>
      </c>
      <c r="AY18" s="236">
        <f t="shared" si="52"/>
        <v>32</v>
      </c>
    </row>
    <row r="19" spans="1:51" s="5" customFormat="1" ht="15.6" customHeight="1">
      <c r="A19" s="1285">
        <v>16</v>
      </c>
      <c r="B19" s="1286" t="s">
        <v>96</v>
      </c>
      <c r="C19" s="1287">
        <f>+'Table 8 Membership 2.1.14'!W18</f>
        <v>4871</v>
      </c>
      <c r="D19" s="1287">
        <f>+'[4]ALL- TABLE 3 '!AA21-'[4]ALL- TABLE 3 '!W21-'[4]ALL- TABLE 3 '!X21-'[4]ALL- TABLE 3 '!Y21-'[4]ALL- TABLE 3 '!Z21</f>
        <v>3146</v>
      </c>
      <c r="E19" s="1287">
        <f t="shared" si="14"/>
        <v>692</v>
      </c>
      <c r="F19" s="1287">
        <f>+'[5]MS6887_Total CTE T3 corrected'!M21</f>
        <v>1759.5</v>
      </c>
      <c r="G19" s="1287">
        <f t="shared" si="15"/>
        <v>106</v>
      </c>
      <c r="H19" s="1287">
        <f>+'[6]MFP Funded SWD -Table 3'!W20</f>
        <v>509</v>
      </c>
      <c r="I19" s="1287">
        <f t="shared" si="29"/>
        <v>764</v>
      </c>
      <c r="J19" s="1287">
        <f>+'[6]MFP Funded GT -Table 3'!S20</f>
        <v>237</v>
      </c>
      <c r="K19" s="1287">
        <f t="shared" si="30"/>
        <v>142</v>
      </c>
      <c r="L19" s="1288">
        <f t="shared" si="16"/>
        <v>2629</v>
      </c>
      <c r="M19" s="1289">
        <f t="shared" si="17"/>
        <v>7.0110000000000006E-2</v>
      </c>
      <c r="N19" s="1287">
        <f t="shared" si="18"/>
        <v>342</v>
      </c>
      <c r="O19" s="1287">
        <f t="shared" si="31"/>
        <v>2046</v>
      </c>
      <c r="P19" s="1287">
        <f t="shared" si="19"/>
        <v>6917</v>
      </c>
      <c r="Q19" s="1290">
        <f t="shared" si="32"/>
        <v>3961</v>
      </c>
      <c r="R19" s="1290">
        <f t="shared" si="20"/>
        <v>27398237</v>
      </c>
      <c r="S19" s="1290">
        <f>'Table 6 (Local Deduct Calc.)'!J22</f>
        <v>18510931</v>
      </c>
      <c r="T19" s="1290">
        <f t="shared" si="33"/>
        <v>18510931</v>
      </c>
      <c r="U19" s="1291">
        <f t="shared" si="34"/>
        <v>8887306</v>
      </c>
      <c r="V19" s="1292">
        <f t="shared" si="53"/>
        <v>0.32440000000000002</v>
      </c>
      <c r="W19" s="1292">
        <f t="shared" si="35"/>
        <v>0.67559999999999998</v>
      </c>
      <c r="X19" s="1293">
        <f t="shared" si="21"/>
        <v>3800.2321905152944</v>
      </c>
      <c r="Y19" s="1290">
        <f>'Table 7 Local Revenue'!AQ23</f>
        <v>61870879</v>
      </c>
      <c r="Z19" s="1290">
        <f t="shared" si="36"/>
        <v>43359948</v>
      </c>
      <c r="AA19" s="1294">
        <f t="shared" si="37"/>
        <v>0</v>
      </c>
      <c r="AB19" s="1295">
        <f t="shared" si="38"/>
        <v>9315400.5800000001</v>
      </c>
      <c r="AC19" s="1295">
        <f t="shared" si="39"/>
        <v>9315400.5800000001</v>
      </c>
      <c r="AD19" s="1290">
        <f t="shared" si="40"/>
        <v>10824793.566778559</v>
      </c>
      <c r="AE19" s="1296">
        <f t="shared" si="41"/>
        <v>0</v>
      </c>
      <c r="AF19" s="1297">
        <f t="shared" si="42"/>
        <v>0</v>
      </c>
      <c r="AG19" s="1296">
        <f t="shared" si="43"/>
        <v>8887306</v>
      </c>
      <c r="AH19" s="1295">
        <f t="shared" si="22"/>
        <v>1825</v>
      </c>
      <c r="AI19" s="1296">
        <f>+'Table 3A Level 3'!O21</f>
        <v>758489</v>
      </c>
      <c r="AJ19" s="1295">
        <f t="shared" si="23"/>
        <v>155.71525354136728</v>
      </c>
      <c r="AK19" s="1296">
        <f t="shared" si="44"/>
        <v>9645795</v>
      </c>
      <c r="AL19" s="1295">
        <f t="shared" si="24"/>
        <v>1980.2494354342025</v>
      </c>
      <c r="AM19" s="1298">
        <f>+'Table 3A Level 3'!P21</f>
        <v>4103550.83</v>
      </c>
      <c r="AN19" s="1299">
        <f t="shared" si="25"/>
        <v>842.44525354136726</v>
      </c>
      <c r="AO19" s="1296">
        <f t="shared" si="45"/>
        <v>12990856.83</v>
      </c>
      <c r="AP19" s="1295">
        <f t="shared" si="26"/>
        <v>2666.9794354342025</v>
      </c>
      <c r="AQ19" s="1297">
        <f t="shared" si="46"/>
        <v>0.31826927174673569</v>
      </c>
      <c r="AR19" s="1300">
        <f t="shared" si="47"/>
        <v>67</v>
      </c>
      <c r="AS19" s="1295">
        <f t="shared" si="48"/>
        <v>27826331.579999998</v>
      </c>
      <c r="AT19" s="1295">
        <f t="shared" si="27"/>
        <v>5712.65</v>
      </c>
      <c r="AU19" s="1300">
        <f t="shared" si="49"/>
        <v>5</v>
      </c>
      <c r="AV19" s="1297">
        <f t="shared" si="50"/>
        <v>0.68173072825326431</v>
      </c>
      <c r="AW19" s="1300">
        <f t="shared" si="51"/>
        <v>40817188.409999996</v>
      </c>
      <c r="AX19" s="1301">
        <f t="shared" si="28"/>
        <v>8379.6321925682605</v>
      </c>
      <c r="AY19" s="1300">
        <f t="shared" si="52"/>
        <v>60</v>
      </c>
    </row>
    <row r="20" spans="1:51" s="534" customFormat="1" ht="15.6" customHeight="1">
      <c r="A20" s="1285">
        <v>17</v>
      </c>
      <c r="B20" s="1286" t="s">
        <v>97</v>
      </c>
      <c r="C20" s="1286">
        <f>+'Table 8 Membership 2.1.14'!W19</f>
        <v>43364</v>
      </c>
      <c r="D20" s="1287">
        <f>+'[4]ALL- TABLE 3 '!AA22-'[4]ALL- TABLE 3 '!W22-'[4]ALL- TABLE 3 '!X22-'[4]ALL- TABLE 3 '!Y22-'[4]ALL- TABLE 3 '!Z22</f>
        <v>36619</v>
      </c>
      <c r="E20" s="1287">
        <f t="shared" si="14"/>
        <v>8056</v>
      </c>
      <c r="F20" s="1287">
        <f>+'[5]MS6887_Total CTE T3 corrected'!M22</f>
        <v>15647</v>
      </c>
      <c r="G20" s="1287">
        <f t="shared" si="15"/>
        <v>939</v>
      </c>
      <c r="H20" s="1287">
        <f>+'[6]MFP Funded SWD -Table 3'!W21</f>
        <v>4615</v>
      </c>
      <c r="I20" s="1287">
        <f t="shared" si="29"/>
        <v>6923</v>
      </c>
      <c r="J20" s="1287">
        <f>+'[6]MFP Funded GT -Table 3'!S21</f>
        <v>1939</v>
      </c>
      <c r="K20" s="1287">
        <f t="shared" si="30"/>
        <v>1163</v>
      </c>
      <c r="L20" s="1287">
        <f t="shared" si="16"/>
        <v>0</v>
      </c>
      <c r="M20" s="1289">
        <f t="shared" si="17"/>
        <v>0</v>
      </c>
      <c r="N20" s="1287">
        <f t="shared" si="18"/>
        <v>0</v>
      </c>
      <c r="O20" s="1287">
        <f t="shared" si="31"/>
        <v>17081</v>
      </c>
      <c r="P20" s="1287">
        <f t="shared" si="19"/>
        <v>60445</v>
      </c>
      <c r="Q20" s="1290">
        <f t="shared" si="32"/>
        <v>3961</v>
      </c>
      <c r="R20" s="1290">
        <f t="shared" si="20"/>
        <v>239422645</v>
      </c>
      <c r="S20" s="1290">
        <f>'Table 6 (Local Deduct Calc.)'!J23</f>
        <v>123221943.5</v>
      </c>
      <c r="T20" s="1290">
        <f t="shared" si="33"/>
        <v>123221943.5</v>
      </c>
      <c r="U20" s="1291">
        <f t="shared" si="34"/>
        <v>116200701.5</v>
      </c>
      <c r="V20" s="1292">
        <f t="shared" si="53"/>
        <v>0.48530000000000001</v>
      </c>
      <c r="W20" s="1292">
        <f t="shared" si="35"/>
        <v>0.51470000000000005</v>
      </c>
      <c r="X20" s="1293">
        <f t="shared" si="21"/>
        <v>2841.572352642745</v>
      </c>
      <c r="Y20" s="1290">
        <f>'Table 7 Local Revenue'!AQ24</f>
        <v>305941897.5</v>
      </c>
      <c r="Z20" s="1290">
        <f t="shared" si="36"/>
        <v>182719954</v>
      </c>
      <c r="AA20" s="1294">
        <f t="shared" si="37"/>
        <v>0</v>
      </c>
      <c r="AB20" s="1295">
        <f t="shared" si="38"/>
        <v>81403699.300000012</v>
      </c>
      <c r="AC20" s="1295">
        <f t="shared" si="39"/>
        <v>81403699.300000012</v>
      </c>
      <c r="AD20" s="1290">
        <f t="shared" si="40"/>
        <v>72065392.531101212</v>
      </c>
      <c r="AE20" s="1296">
        <f t="shared" si="41"/>
        <v>9338306.7688988</v>
      </c>
      <c r="AF20" s="1297">
        <f t="shared" si="42"/>
        <v>0.1147</v>
      </c>
      <c r="AG20" s="1296">
        <f t="shared" si="43"/>
        <v>125539008.2688988</v>
      </c>
      <c r="AH20" s="1295">
        <f t="shared" si="22"/>
        <v>2895</v>
      </c>
      <c r="AI20" s="1296">
        <f>+'Table 3A Level 3'!O22</f>
        <v>20320057</v>
      </c>
      <c r="AJ20" s="1295">
        <f t="shared" si="23"/>
        <v>468.59277280693664</v>
      </c>
      <c r="AK20" s="1296">
        <f t="shared" si="44"/>
        <v>145859065.26889879</v>
      </c>
      <c r="AL20" s="1295">
        <f t="shared" si="24"/>
        <v>3363.5980368254495</v>
      </c>
      <c r="AM20" s="1298">
        <f>+'Table 3A Level 3'!P22</f>
        <v>55075332.6944241</v>
      </c>
      <c r="AN20" s="1299">
        <f t="shared" si="25"/>
        <v>1270.0703969750045</v>
      </c>
      <c r="AO20" s="1296">
        <f t="shared" si="45"/>
        <v>180614340.96332291</v>
      </c>
      <c r="AP20" s="1295">
        <f t="shared" si="26"/>
        <v>4165.0756609935179</v>
      </c>
      <c r="AQ20" s="1297">
        <f t="shared" si="46"/>
        <v>0.46883591676788566</v>
      </c>
      <c r="AR20" s="1300">
        <f t="shared" si="47"/>
        <v>60</v>
      </c>
      <c r="AS20" s="1295">
        <f t="shared" si="48"/>
        <v>204625642.80000001</v>
      </c>
      <c r="AT20" s="1295">
        <f t="shared" si="27"/>
        <v>4718.79</v>
      </c>
      <c r="AU20" s="1300">
        <f t="shared" si="49"/>
        <v>12</v>
      </c>
      <c r="AV20" s="1297">
        <f t="shared" si="50"/>
        <v>0.53116408323211428</v>
      </c>
      <c r="AW20" s="1300">
        <f t="shared" si="51"/>
        <v>385239983.76332295</v>
      </c>
      <c r="AX20" s="1301">
        <f t="shared" si="28"/>
        <v>8883.8664275279716</v>
      </c>
      <c r="AY20" s="1300">
        <f t="shared" si="52"/>
        <v>46</v>
      </c>
    </row>
    <row r="21" spans="1:51" s="5" customFormat="1" ht="15.6" customHeight="1">
      <c r="A21" s="1285">
        <v>18</v>
      </c>
      <c r="B21" s="1286" t="s">
        <v>98</v>
      </c>
      <c r="C21" s="1286">
        <f>+'Table 8 Membership 2.1.14'!W20</f>
        <v>1051</v>
      </c>
      <c r="D21" s="1287">
        <f>+'[4]ALL- TABLE 3 '!AA23-'[4]ALL- TABLE 3 '!W23-'[4]ALL- TABLE 3 '!X23-'[4]ALL- TABLE 3 '!Y23-'[4]ALL- TABLE 3 '!Z23</f>
        <v>968</v>
      </c>
      <c r="E21" s="1287">
        <f t="shared" si="14"/>
        <v>213</v>
      </c>
      <c r="F21" s="1287">
        <f>+'[5]MS6887_Total CTE T3 corrected'!M23</f>
        <v>432</v>
      </c>
      <c r="G21" s="1287">
        <f t="shared" si="15"/>
        <v>26</v>
      </c>
      <c r="H21" s="1287">
        <f>+'[6]MFP Funded SWD -Table 3'!W22</f>
        <v>109</v>
      </c>
      <c r="I21" s="1287">
        <f t="shared" si="29"/>
        <v>164</v>
      </c>
      <c r="J21" s="1287">
        <f>+'[6]MFP Funded GT -Table 3'!S22</f>
        <v>1</v>
      </c>
      <c r="K21" s="1287">
        <f t="shared" si="30"/>
        <v>1</v>
      </c>
      <c r="L21" s="1287">
        <f t="shared" si="16"/>
        <v>6449</v>
      </c>
      <c r="M21" s="1289">
        <f t="shared" si="17"/>
        <v>0.17197000000000001</v>
      </c>
      <c r="N21" s="1287">
        <f t="shared" si="18"/>
        <v>181</v>
      </c>
      <c r="O21" s="1287">
        <f t="shared" si="31"/>
        <v>585</v>
      </c>
      <c r="P21" s="1287">
        <f t="shared" si="19"/>
        <v>1636</v>
      </c>
      <c r="Q21" s="1290">
        <f t="shared" si="32"/>
        <v>3961</v>
      </c>
      <c r="R21" s="1290">
        <f t="shared" si="20"/>
        <v>6480196</v>
      </c>
      <c r="S21" s="1290">
        <f>'Table 6 (Local Deduct Calc.)'!J24</f>
        <v>1335582.5</v>
      </c>
      <c r="T21" s="1290">
        <f t="shared" si="33"/>
        <v>1335582.5</v>
      </c>
      <c r="U21" s="1291">
        <f t="shared" si="34"/>
        <v>5144613.5</v>
      </c>
      <c r="V21" s="1292">
        <f t="shared" si="53"/>
        <v>0.79390000000000005</v>
      </c>
      <c r="W21" s="1292">
        <f t="shared" si="35"/>
        <v>0.20610000000000001</v>
      </c>
      <c r="X21" s="1293">
        <f t="shared" si="21"/>
        <v>1270.7730732635584</v>
      </c>
      <c r="Y21" s="1290">
        <f>'Table 7 Local Revenue'!AQ25</f>
        <v>3458507.5</v>
      </c>
      <c r="Z21" s="1290">
        <f t="shared" si="36"/>
        <v>2122925</v>
      </c>
      <c r="AA21" s="1294">
        <f t="shared" si="37"/>
        <v>0</v>
      </c>
      <c r="AB21" s="1295">
        <f t="shared" si="38"/>
        <v>2203266.64</v>
      </c>
      <c r="AC21" s="1295">
        <f t="shared" si="39"/>
        <v>2122925</v>
      </c>
      <c r="AD21" s="1290">
        <f t="shared" si="40"/>
        <v>752559.92910000007</v>
      </c>
      <c r="AE21" s="1296">
        <f t="shared" si="41"/>
        <v>1370365.0708999999</v>
      </c>
      <c r="AF21" s="1297">
        <f t="shared" si="42"/>
        <v>0.64549999999999996</v>
      </c>
      <c r="AG21" s="1296">
        <f t="shared" si="43"/>
        <v>6514978.5708999997</v>
      </c>
      <c r="AH21" s="1295">
        <f t="shared" si="22"/>
        <v>6199</v>
      </c>
      <c r="AI21" s="1296">
        <f>+'Table 3A Level 3'!O23</f>
        <v>163657</v>
      </c>
      <c r="AJ21" s="1295">
        <f t="shared" si="23"/>
        <v>155.71550903901047</v>
      </c>
      <c r="AK21" s="1296">
        <f t="shared" si="44"/>
        <v>6678635.5708999997</v>
      </c>
      <c r="AL21" s="1295">
        <f t="shared" si="24"/>
        <v>6354.5533500475731</v>
      </c>
      <c r="AM21" s="1298">
        <f>+'Table 3A Level 3'!P23</f>
        <v>1052750.45</v>
      </c>
      <c r="AN21" s="1299">
        <f t="shared" si="25"/>
        <v>1001.6655090390104</v>
      </c>
      <c r="AO21" s="1296">
        <f t="shared" si="45"/>
        <v>7567729.0208999999</v>
      </c>
      <c r="AP21" s="1295">
        <f t="shared" si="26"/>
        <v>7200.5033500475738</v>
      </c>
      <c r="AQ21" s="1297">
        <f t="shared" si="46"/>
        <v>0.68633835366723073</v>
      </c>
      <c r="AR21" s="1300">
        <f t="shared" si="47"/>
        <v>20</v>
      </c>
      <c r="AS21" s="1295">
        <f t="shared" si="48"/>
        <v>3458507.5</v>
      </c>
      <c r="AT21" s="1295">
        <f t="shared" si="27"/>
        <v>3290.68</v>
      </c>
      <c r="AU21" s="1300">
        <f t="shared" si="49"/>
        <v>40</v>
      </c>
      <c r="AV21" s="1297">
        <f t="shared" si="50"/>
        <v>0.31366164633276927</v>
      </c>
      <c r="AW21" s="1300">
        <f t="shared" si="51"/>
        <v>11026236.5209</v>
      </c>
      <c r="AX21" s="1301">
        <f t="shared" si="28"/>
        <v>10491.18603320647</v>
      </c>
      <c r="AY21" s="1300">
        <f t="shared" si="52"/>
        <v>5</v>
      </c>
    </row>
    <row r="22" spans="1:51" s="5" customFormat="1" ht="15.6" customHeight="1">
      <c r="A22" s="1285">
        <v>19</v>
      </c>
      <c r="B22" s="1286" t="s">
        <v>99</v>
      </c>
      <c r="C22" s="1286">
        <f>+'Table 8 Membership 2.1.14'!W21</f>
        <v>1909</v>
      </c>
      <c r="D22" s="1287">
        <f>+'[4]ALL- TABLE 3 '!AA24-'[4]ALL- TABLE 3 '!W24-'[4]ALL- TABLE 3 '!X24-'[4]ALL- TABLE 3 '!Y24-'[4]ALL- TABLE 3 '!Z24</f>
        <v>1628</v>
      </c>
      <c r="E22" s="1287">
        <f t="shared" si="14"/>
        <v>358</v>
      </c>
      <c r="F22" s="1287">
        <f>+'[5]MS6887_Total CTE T3 corrected'!M24</f>
        <v>367.5</v>
      </c>
      <c r="G22" s="1287">
        <f t="shared" si="15"/>
        <v>22</v>
      </c>
      <c r="H22" s="1287">
        <f>+'[6]MFP Funded SWD -Table 3'!W23</f>
        <v>274</v>
      </c>
      <c r="I22" s="1287">
        <f t="shared" si="29"/>
        <v>411</v>
      </c>
      <c r="J22" s="1287">
        <f>+'[6]MFP Funded GT -Table 3'!S23</f>
        <v>21</v>
      </c>
      <c r="K22" s="1287">
        <f t="shared" si="30"/>
        <v>13</v>
      </c>
      <c r="L22" s="1287">
        <f t="shared" si="16"/>
        <v>5591</v>
      </c>
      <c r="M22" s="1289">
        <f t="shared" si="17"/>
        <v>0.14909</v>
      </c>
      <c r="N22" s="1287">
        <f t="shared" si="18"/>
        <v>285</v>
      </c>
      <c r="O22" s="1287">
        <f t="shared" si="31"/>
        <v>1089</v>
      </c>
      <c r="P22" s="1287">
        <f t="shared" si="19"/>
        <v>2998</v>
      </c>
      <c r="Q22" s="1290">
        <f t="shared" si="32"/>
        <v>3961</v>
      </c>
      <c r="R22" s="1290">
        <f t="shared" si="20"/>
        <v>11875078</v>
      </c>
      <c r="S22" s="1290">
        <f>'Table 6 (Local Deduct Calc.)'!J25</f>
        <v>3075535.5</v>
      </c>
      <c r="T22" s="1290">
        <f t="shared" si="33"/>
        <v>3075535.5</v>
      </c>
      <c r="U22" s="1291">
        <f t="shared" si="34"/>
        <v>8799542.5</v>
      </c>
      <c r="V22" s="1292">
        <f t="shared" si="53"/>
        <v>0.74099999999999999</v>
      </c>
      <c r="W22" s="1292">
        <f t="shared" si="35"/>
        <v>0.25900000000000001</v>
      </c>
      <c r="X22" s="1293">
        <f t="shared" si="21"/>
        <v>1611.071503404924</v>
      </c>
      <c r="Y22" s="1290">
        <f>'Table 7 Local Revenue'!AQ26</f>
        <v>4966129.5</v>
      </c>
      <c r="Z22" s="1290">
        <f t="shared" si="36"/>
        <v>1890594</v>
      </c>
      <c r="AA22" s="1294">
        <f t="shared" si="37"/>
        <v>0</v>
      </c>
      <c r="AB22" s="1295">
        <f t="shared" si="38"/>
        <v>4037526.5200000005</v>
      </c>
      <c r="AC22" s="1295">
        <f t="shared" si="39"/>
        <v>1890594</v>
      </c>
      <c r="AD22" s="1290">
        <f t="shared" si="40"/>
        <v>842221.81511999993</v>
      </c>
      <c r="AE22" s="1296">
        <f t="shared" si="41"/>
        <v>1048372.1848800001</v>
      </c>
      <c r="AF22" s="1297">
        <f t="shared" si="42"/>
        <v>0.55449999999999999</v>
      </c>
      <c r="AG22" s="1296">
        <f t="shared" si="43"/>
        <v>9847914.6848799996</v>
      </c>
      <c r="AH22" s="1295">
        <f t="shared" si="22"/>
        <v>5159</v>
      </c>
      <c r="AI22" s="1296">
        <f>+'Table 3A Level 3'!O24</f>
        <v>297260</v>
      </c>
      <c r="AJ22" s="1295">
        <f t="shared" si="23"/>
        <v>155.71503404924044</v>
      </c>
      <c r="AK22" s="1296">
        <f t="shared" si="44"/>
        <v>10145174.68488</v>
      </c>
      <c r="AL22" s="1295">
        <f t="shared" si="24"/>
        <v>5314.3921869460446</v>
      </c>
      <c r="AM22" s="1298">
        <f>+'Table 3A Level 3'!P24</f>
        <v>2025725.8699999999</v>
      </c>
      <c r="AN22" s="1299">
        <f t="shared" si="25"/>
        <v>1061.1450340492404</v>
      </c>
      <c r="AO22" s="1296">
        <f t="shared" si="45"/>
        <v>11873640.554879999</v>
      </c>
      <c r="AP22" s="1295">
        <f t="shared" si="26"/>
        <v>6219.822186946044</v>
      </c>
      <c r="AQ22" s="1297">
        <f t="shared" si="46"/>
        <v>0.70509517150082068</v>
      </c>
      <c r="AR22" s="1300">
        <f t="shared" si="47"/>
        <v>15</v>
      </c>
      <c r="AS22" s="1295">
        <f t="shared" si="48"/>
        <v>4966129.5</v>
      </c>
      <c r="AT22" s="1295">
        <f t="shared" si="27"/>
        <v>2601.4299999999998</v>
      </c>
      <c r="AU22" s="1300">
        <f t="shared" si="49"/>
        <v>58</v>
      </c>
      <c r="AV22" s="1297">
        <f t="shared" si="50"/>
        <v>0.29490482849917921</v>
      </c>
      <c r="AW22" s="1300">
        <f t="shared" si="51"/>
        <v>16839770.054880001</v>
      </c>
      <c r="AX22" s="1301">
        <f t="shared" si="28"/>
        <v>8821.2519931272927</v>
      </c>
      <c r="AY22" s="1300">
        <f t="shared" si="52"/>
        <v>49</v>
      </c>
    </row>
    <row r="23" spans="1:51" s="17" customFormat="1" ht="15.6" customHeight="1">
      <c r="A23" s="87">
        <v>20</v>
      </c>
      <c r="B23" s="67" t="s">
        <v>100</v>
      </c>
      <c r="C23" s="67">
        <f>+'Table 8 Membership 2.1.14'!W22</f>
        <v>5854</v>
      </c>
      <c r="D23" s="15">
        <f>+'[4]ALL- TABLE 3 '!AA25-'[4]ALL- TABLE 3 '!W25-'[4]ALL- TABLE 3 '!X25-'[4]ALL- TABLE 3 '!Y25-'[4]ALL- TABLE 3 '!Z25</f>
        <v>4520</v>
      </c>
      <c r="E23" s="15">
        <f t="shared" si="14"/>
        <v>994</v>
      </c>
      <c r="F23" s="15">
        <f>+'[5]MS6887_Total CTE T3 corrected'!M25</f>
        <v>2045.5</v>
      </c>
      <c r="G23" s="15">
        <f t="shared" si="15"/>
        <v>123</v>
      </c>
      <c r="H23" s="15">
        <f>+'[6]MFP Funded SWD -Table 3'!W24</f>
        <v>761</v>
      </c>
      <c r="I23" s="15">
        <f t="shared" si="29"/>
        <v>1142</v>
      </c>
      <c r="J23" s="15">
        <f>+'[6]MFP Funded GT -Table 3'!S24</f>
        <v>75</v>
      </c>
      <c r="K23" s="15">
        <f t="shared" si="30"/>
        <v>45</v>
      </c>
      <c r="L23" s="15">
        <f t="shared" si="16"/>
        <v>1646</v>
      </c>
      <c r="M23" s="54">
        <f t="shared" si="17"/>
        <v>4.3889999999999998E-2</v>
      </c>
      <c r="N23" s="15">
        <f t="shared" si="18"/>
        <v>257</v>
      </c>
      <c r="O23" s="15">
        <f t="shared" si="31"/>
        <v>2561</v>
      </c>
      <c r="P23" s="1302">
        <f t="shared" si="19"/>
        <v>8415</v>
      </c>
      <c r="Q23" s="230">
        <f t="shared" si="32"/>
        <v>3961</v>
      </c>
      <c r="R23" s="230">
        <f t="shared" si="20"/>
        <v>33331815</v>
      </c>
      <c r="S23" s="230">
        <f>'Table 6 (Local Deduct Calc.)'!J26</f>
        <v>7825904.5</v>
      </c>
      <c r="T23" s="230">
        <f t="shared" si="33"/>
        <v>7825904.5</v>
      </c>
      <c r="U23" s="231">
        <f t="shared" si="34"/>
        <v>25505910.5</v>
      </c>
      <c r="V23" s="232">
        <f t="shared" si="53"/>
        <v>0.76519999999999999</v>
      </c>
      <c r="W23" s="233">
        <f t="shared" si="35"/>
        <v>0.23480000000000001</v>
      </c>
      <c r="X23" s="234">
        <f t="shared" si="21"/>
        <v>1336.8473693201229</v>
      </c>
      <c r="Y23" s="230">
        <f>'Table 7 Local Revenue'!AQ27</f>
        <v>15834074.5</v>
      </c>
      <c r="Z23" s="230">
        <f t="shared" si="36"/>
        <v>8008170</v>
      </c>
      <c r="AA23" s="199">
        <f t="shared" si="37"/>
        <v>0</v>
      </c>
      <c r="AB23" s="16">
        <f t="shared" si="38"/>
        <v>11332817.100000001</v>
      </c>
      <c r="AC23" s="16">
        <f t="shared" si="39"/>
        <v>8008170</v>
      </c>
      <c r="AD23" s="230">
        <f t="shared" si="40"/>
        <v>3234147.5035199998</v>
      </c>
      <c r="AE23" s="235">
        <f t="shared" si="41"/>
        <v>4774022.4964800002</v>
      </c>
      <c r="AF23" s="192">
        <f t="shared" si="42"/>
        <v>0.59609999999999996</v>
      </c>
      <c r="AG23" s="235">
        <f t="shared" si="43"/>
        <v>30279932.996479999</v>
      </c>
      <c r="AH23" s="16">
        <f t="shared" si="22"/>
        <v>5173</v>
      </c>
      <c r="AI23" s="235">
        <f>+'Table 3A Level 3'!O25</f>
        <v>620524</v>
      </c>
      <c r="AJ23" s="16">
        <f t="shared" si="23"/>
        <v>106</v>
      </c>
      <c r="AK23" s="235">
        <f t="shared" si="44"/>
        <v>30900456.996479999</v>
      </c>
      <c r="AL23" s="16">
        <f t="shared" si="24"/>
        <v>5278.5201565562011</v>
      </c>
      <c r="AM23" s="287">
        <f>+'Table 3A Level 3'!P25</f>
        <v>4051963.1799999997</v>
      </c>
      <c r="AN23" s="288">
        <f t="shared" si="25"/>
        <v>692.17</v>
      </c>
      <c r="AO23" s="235">
        <f t="shared" si="45"/>
        <v>34331896.176479995</v>
      </c>
      <c r="AP23" s="16">
        <f t="shared" si="26"/>
        <v>5864.6901565562002</v>
      </c>
      <c r="AQ23" s="192">
        <f t="shared" si="46"/>
        <v>0.68436622900982347</v>
      </c>
      <c r="AR23" s="236">
        <f t="shared" si="47"/>
        <v>22</v>
      </c>
      <c r="AS23" s="16">
        <f t="shared" si="48"/>
        <v>15834074.5</v>
      </c>
      <c r="AT23" s="16">
        <f t="shared" si="27"/>
        <v>2704.83</v>
      </c>
      <c r="AU23" s="236">
        <f t="shared" si="49"/>
        <v>57</v>
      </c>
      <c r="AV23" s="192">
        <f t="shared" si="50"/>
        <v>0.31563377099017659</v>
      </c>
      <c r="AW23" s="236">
        <f t="shared" si="51"/>
        <v>50165970.676479995</v>
      </c>
      <c r="AX23" s="237">
        <f t="shared" si="28"/>
        <v>8569.5201018927219</v>
      </c>
      <c r="AY23" s="236">
        <f t="shared" si="52"/>
        <v>56</v>
      </c>
    </row>
    <row r="24" spans="1:51" s="5" customFormat="1" ht="15.6" customHeight="1">
      <c r="A24" s="1285">
        <v>21</v>
      </c>
      <c r="B24" s="1286" t="s">
        <v>101</v>
      </c>
      <c r="C24" s="1287">
        <f>+'Table 8 Membership 2.1.14'!W23</f>
        <v>2904</v>
      </c>
      <c r="D24" s="1287">
        <f>+'[4]ALL- TABLE 3 '!AA26-'[4]ALL- TABLE 3 '!W26-'[4]ALL- TABLE 3 '!X26-'[4]ALL- TABLE 3 '!Y26-'[4]ALL- TABLE 3 '!Z26</f>
        <v>2421</v>
      </c>
      <c r="E24" s="1287">
        <f t="shared" si="14"/>
        <v>533</v>
      </c>
      <c r="F24" s="1287">
        <f>+'[5]MS6887_Total CTE T3 corrected'!M26</f>
        <v>967</v>
      </c>
      <c r="G24" s="1287">
        <f t="shared" si="15"/>
        <v>58</v>
      </c>
      <c r="H24" s="1287">
        <f>+'[6]MFP Funded SWD -Table 3'!W25</f>
        <v>444</v>
      </c>
      <c r="I24" s="1287">
        <f t="shared" si="29"/>
        <v>666</v>
      </c>
      <c r="J24" s="1287">
        <f>+'[6]MFP Funded GT -Table 3'!S25</f>
        <v>28</v>
      </c>
      <c r="K24" s="1287">
        <f t="shared" si="30"/>
        <v>17</v>
      </c>
      <c r="L24" s="1288">
        <f t="shared" si="16"/>
        <v>4596</v>
      </c>
      <c r="M24" s="1289">
        <f t="shared" si="17"/>
        <v>0.12256</v>
      </c>
      <c r="N24" s="1287">
        <f t="shared" si="18"/>
        <v>356</v>
      </c>
      <c r="O24" s="1287">
        <f t="shared" si="31"/>
        <v>1630</v>
      </c>
      <c r="P24" s="1287">
        <f t="shared" si="19"/>
        <v>4534</v>
      </c>
      <c r="Q24" s="1290">
        <f t="shared" si="32"/>
        <v>3961</v>
      </c>
      <c r="R24" s="1290">
        <f t="shared" si="20"/>
        <v>17959174</v>
      </c>
      <c r="S24" s="1290">
        <f>'Table 6 (Local Deduct Calc.)'!J27</f>
        <v>3376614</v>
      </c>
      <c r="T24" s="1290">
        <f t="shared" si="33"/>
        <v>3376614</v>
      </c>
      <c r="U24" s="1291">
        <f t="shared" si="34"/>
        <v>14582560</v>
      </c>
      <c r="V24" s="1292">
        <f t="shared" si="53"/>
        <v>0.81200000000000006</v>
      </c>
      <c r="W24" s="1292">
        <f t="shared" si="35"/>
        <v>0.188</v>
      </c>
      <c r="X24" s="1293">
        <f t="shared" si="21"/>
        <v>1162.745867768595</v>
      </c>
      <c r="Y24" s="1290">
        <f>'Table 7 Local Revenue'!AQ28</f>
        <v>7260887</v>
      </c>
      <c r="Z24" s="1290">
        <f t="shared" si="36"/>
        <v>3884273</v>
      </c>
      <c r="AA24" s="1294">
        <f t="shared" si="37"/>
        <v>0</v>
      </c>
      <c r="AB24" s="1295">
        <f t="shared" si="38"/>
        <v>6106119.1600000001</v>
      </c>
      <c r="AC24" s="1295">
        <f t="shared" si="39"/>
        <v>3884273</v>
      </c>
      <c r="AD24" s="1290">
        <f t="shared" si="40"/>
        <v>1256018.51728</v>
      </c>
      <c r="AE24" s="1296">
        <f t="shared" si="41"/>
        <v>2628254.4827199997</v>
      </c>
      <c r="AF24" s="1297">
        <f t="shared" si="42"/>
        <v>0.67659999999999998</v>
      </c>
      <c r="AG24" s="1296">
        <f t="shared" si="43"/>
        <v>17210814.482719999</v>
      </c>
      <c r="AH24" s="1295">
        <f t="shared" si="22"/>
        <v>5927</v>
      </c>
      <c r="AI24" s="1296">
        <f>+'Table 3A Level 3'!O26</f>
        <v>452197</v>
      </c>
      <c r="AJ24" s="1295">
        <f t="shared" si="23"/>
        <v>155.71522038567494</v>
      </c>
      <c r="AK24" s="1296">
        <f t="shared" si="44"/>
        <v>17663011.482719999</v>
      </c>
      <c r="AL24" s="1295">
        <f t="shared" si="24"/>
        <v>6082.3042295867763</v>
      </c>
      <c r="AM24" s="1298">
        <f>+'Table 3A Level 3'!P26</f>
        <v>2224653.4000000004</v>
      </c>
      <c r="AN24" s="1299">
        <f t="shared" si="25"/>
        <v>766.06522038567505</v>
      </c>
      <c r="AO24" s="1296">
        <f t="shared" si="45"/>
        <v>19435467.882720001</v>
      </c>
      <c r="AP24" s="1295">
        <f t="shared" si="26"/>
        <v>6692.6542295867775</v>
      </c>
      <c r="AQ24" s="1297">
        <f t="shared" si="46"/>
        <v>0.72801953555465271</v>
      </c>
      <c r="AR24" s="1300">
        <f t="shared" si="47"/>
        <v>9</v>
      </c>
      <c r="AS24" s="1295">
        <f t="shared" si="48"/>
        <v>7260887</v>
      </c>
      <c r="AT24" s="1295">
        <f t="shared" si="27"/>
        <v>2500.31</v>
      </c>
      <c r="AU24" s="1300">
        <f t="shared" si="49"/>
        <v>59</v>
      </c>
      <c r="AV24" s="1297">
        <f t="shared" si="50"/>
        <v>0.27198046444534724</v>
      </c>
      <c r="AW24" s="1300">
        <f t="shared" si="51"/>
        <v>26696354.882720001</v>
      </c>
      <c r="AX24" s="1301">
        <f t="shared" si="28"/>
        <v>9192.9596703581265</v>
      </c>
      <c r="AY24" s="1300">
        <f t="shared" si="52"/>
        <v>31</v>
      </c>
    </row>
    <row r="25" spans="1:51" s="5" customFormat="1" ht="15.6" customHeight="1">
      <c r="A25" s="1285">
        <v>22</v>
      </c>
      <c r="B25" s="1286" t="s">
        <v>102</v>
      </c>
      <c r="C25" s="1286">
        <f>+'Table 8 Membership 2.1.14'!W24</f>
        <v>3143</v>
      </c>
      <c r="D25" s="1287">
        <f>+'[4]ALL- TABLE 3 '!AA27-'[4]ALL- TABLE 3 '!W27-'[4]ALL- TABLE 3 '!X27-'[4]ALL- TABLE 3 '!Y27-'[4]ALL- TABLE 3 '!Z27</f>
        <v>2160</v>
      </c>
      <c r="E25" s="1287">
        <f t="shared" si="14"/>
        <v>475</v>
      </c>
      <c r="F25" s="1287">
        <f>+'[5]MS6887_Total CTE T3 corrected'!M27</f>
        <v>1061</v>
      </c>
      <c r="G25" s="1287">
        <f t="shared" si="15"/>
        <v>64</v>
      </c>
      <c r="H25" s="1287">
        <f>+'[6]MFP Funded SWD -Table 3'!W26</f>
        <v>498</v>
      </c>
      <c r="I25" s="1287">
        <f t="shared" si="29"/>
        <v>747</v>
      </c>
      <c r="J25" s="1287">
        <f>+'[6]MFP Funded GT -Table 3'!S26</f>
        <v>31</v>
      </c>
      <c r="K25" s="1287">
        <f t="shared" si="30"/>
        <v>19</v>
      </c>
      <c r="L25" s="1287">
        <f t="shared" si="16"/>
        <v>4357</v>
      </c>
      <c r="M25" s="1289">
        <f t="shared" si="17"/>
        <v>0.11619</v>
      </c>
      <c r="N25" s="1287">
        <f t="shared" si="18"/>
        <v>365</v>
      </c>
      <c r="O25" s="1287">
        <f t="shared" si="31"/>
        <v>1670</v>
      </c>
      <c r="P25" s="1287">
        <f t="shared" si="19"/>
        <v>4813</v>
      </c>
      <c r="Q25" s="1290">
        <f t="shared" si="32"/>
        <v>3961</v>
      </c>
      <c r="R25" s="1290">
        <f t="shared" si="20"/>
        <v>19064293</v>
      </c>
      <c r="S25" s="1290">
        <f>'Table 6 (Local Deduct Calc.)'!J28</f>
        <v>2122249</v>
      </c>
      <c r="T25" s="1290">
        <f t="shared" si="33"/>
        <v>2122249</v>
      </c>
      <c r="U25" s="1291">
        <f t="shared" si="34"/>
        <v>16942044</v>
      </c>
      <c r="V25" s="1292">
        <f t="shared" si="53"/>
        <v>0.88870000000000005</v>
      </c>
      <c r="W25" s="1292">
        <f t="shared" si="35"/>
        <v>0.1113</v>
      </c>
      <c r="X25" s="1293">
        <f t="shared" si="21"/>
        <v>675.23035316576522</v>
      </c>
      <c r="Y25" s="1290">
        <f>'Table 7 Local Revenue'!AQ29</f>
        <v>5504018</v>
      </c>
      <c r="Z25" s="1290">
        <f t="shared" si="36"/>
        <v>3381769</v>
      </c>
      <c r="AA25" s="1294">
        <f t="shared" si="37"/>
        <v>0</v>
      </c>
      <c r="AB25" s="1295">
        <f t="shared" si="38"/>
        <v>6481859.6200000001</v>
      </c>
      <c r="AC25" s="1295">
        <f t="shared" si="39"/>
        <v>3381769</v>
      </c>
      <c r="AD25" s="1290">
        <f t="shared" si="40"/>
        <v>647392.33028400003</v>
      </c>
      <c r="AE25" s="1296">
        <f t="shared" si="41"/>
        <v>2734376.6697160001</v>
      </c>
      <c r="AF25" s="1297">
        <f t="shared" si="42"/>
        <v>0.80859999999999999</v>
      </c>
      <c r="AG25" s="1296">
        <f t="shared" si="43"/>
        <v>19676420.669716001</v>
      </c>
      <c r="AH25" s="1295">
        <f t="shared" si="22"/>
        <v>6260</v>
      </c>
      <c r="AI25" s="1296">
        <f>+'Table 3A Level 3'!O27</f>
        <v>489413</v>
      </c>
      <c r="AJ25" s="1295">
        <f t="shared" si="23"/>
        <v>155.71524021635381</v>
      </c>
      <c r="AK25" s="1296">
        <f t="shared" si="44"/>
        <v>20165833.669716001</v>
      </c>
      <c r="AL25" s="1295">
        <f t="shared" si="24"/>
        <v>6416.1099808195995</v>
      </c>
      <c r="AM25" s="1298">
        <f>+'Table 3A Level 3'!P27</f>
        <v>2049472.48</v>
      </c>
      <c r="AN25" s="1299">
        <f t="shared" si="25"/>
        <v>652.07524021635379</v>
      </c>
      <c r="AO25" s="1296">
        <f t="shared" si="45"/>
        <v>21725893.149716001</v>
      </c>
      <c r="AP25" s="1295">
        <f t="shared" si="26"/>
        <v>6912.4699808195992</v>
      </c>
      <c r="AQ25" s="1297">
        <f t="shared" si="46"/>
        <v>0.79786867574639864</v>
      </c>
      <c r="AR25" s="1300">
        <f t="shared" si="47"/>
        <v>2</v>
      </c>
      <c r="AS25" s="1295">
        <f t="shared" si="48"/>
        <v>5504018</v>
      </c>
      <c r="AT25" s="1295">
        <f t="shared" si="27"/>
        <v>1751.2</v>
      </c>
      <c r="AU25" s="1300">
        <f t="shared" si="49"/>
        <v>69</v>
      </c>
      <c r="AV25" s="1297">
        <f t="shared" si="50"/>
        <v>0.20213132425360136</v>
      </c>
      <c r="AW25" s="1300">
        <f t="shared" si="51"/>
        <v>27229911.149716001</v>
      </c>
      <c r="AX25" s="1301">
        <f t="shared" si="28"/>
        <v>8663.6688354171183</v>
      </c>
      <c r="AY25" s="1300">
        <f t="shared" si="52"/>
        <v>53</v>
      </c>
    </row>
    <row r="26" spans="1:51" s="5" customFormat="1" ht="15.6" customHeight="1">
      <c r="A26" s="1285">
        <v>23</v>
      </c>
      <c r="B26" s="1286" t="s">
        <v>103</v>
      </c>
      <c r="C26" s="1286">
        <f>+'Table 8 Membership 2.1.14'!W25</f>
        <v>13537</v>
      </c>
      <c r="D26" s="1287">
        <f>+'[4]ALL- TABLE 3 '!AA28-'[4]ALL- TABLE 3 '!W28-'[4]ALL- TABLE 3 '!X28-'[4]ALL- TABLE 3 '!Y28-'[4]ALL- TABLE 3 '!Z28</f>
        <v>9615</v>
      </c>
      <c r="E26" s="1287">
        <f t="shared" si="14"/>
        <v>2115</v>
      </c>
      <c r="F26" s="1287">
        <f>+'[5]MS6887_Total CTE T3 corrected'!M28</f>
        <v>5827.5</v>
      </c>
      <c r="G26" s="1287">
        <f t="shared" si="15"/>
        <v>350</v>
      </c>
      <c r="H26" s="1287">
        <f>+'[6]MFP Funded SWD -Table 3'!W27</f>
        <v>1591</v>
      </c>
      <c r="I26" s="1287">
        <f t="shared" si="29"/>
        <v>2387</v>
      </c>
      <c r="J26" s="1287">
        <f>+'[6]MFP Funded GT -Table 3'!S27</f>
        <v>402</v>
      </c>
      <c r="K26" s="1287">
        <f t="shared" si="30"/>
        <v>241</v>
      </c>
      <c r="L26" s="1287">
        <f t="shared" si="16"/>
        <v>0</v>
      </c>
      <c r="M26" s="1289">
        <f t="shared" si="17"/>
        <v>0</v>
      </c>
      <c r="N26" s="1287">
        <f t="shared" si="18"/>
        <v>0</v>
      </c>
      <c r="O26" s="1287">
        <f t="shared" si="31"/>
        <v>5093</v>
      </c>
      <c r="P26" s="1287">
        <f t="shared" si="19"/>
        <v>18630</v>
      </c>
      <c r="Q26" s="1290">
        <f t="shared" si="32"/>
        <v>3961</v>
      </c>
      <c r="R26" s="1290">
        <f t="shared" si="20"/>
        <v>73793430</v>
      </c>
      <c r="S26" s="1290">
        <f>'Table 6 (Local Deduct Calc.)'!J29</f>
        <v>20922643</v>
      </c>
      <c r="T26" s="1290">
        <f t="shared" si="33"/>
        <v>20922643</v>
      </c>
      <c r="U26" s="1291">
        <f t="shared" si="34"/>
        <v>52870787</v>
      </c>
      <c r="V26" s="1292">
        <f t="shared" si="53"/>
        <v>0.71650000000000003</v>
      </c>
      <c r="W26" s="1292">
        <f t="shared" si="35"/>
        <v>0.28349999999999997</v>
      </c>
      <c r="X26" s="1293">
        <f t="shared" si="21"/>
        <v>1545.5893477136735</v>
      </c>
      <c r="Y26" s="1290">
        <f>'Table 7 Local Revenue'!AQ30</f>
        <v>46695120</v>
      </c>
      <c r="Z26" s="1290">
        <f t="shared" si="36"/>
        <v>25772477</v>
      </c>
      <c r="AA26" s="1294">
        <f t="shared" si="37"/>
        <v>0</v>
      </c>
      <c r="AB26" s="1295">
        <f t="shared" si="38"/>
        <v>25089766.200000003</v>
      </c>
      <c r="AC26" s="1295">
        <f t="shared" si="39"/>
        <v>25089766.200000003</v>
      </c>
      <c r="AD26" s="1290">
        <f t="shared" si="40"/>
        <v>12234271.794444</v>
      </c>
      <c r="AE26" s="1296">
        <f t="shared" si="41"/>
        <v>12855494.405556003</v>
      </c>
      <c r="AF26" s="1297">
        <f t="shared" si="42"/>
        <v>0.51239999999999997</v>
      </c>
      <c r="AG26" s="1296">
        <f t="shared" si="43"/>
        <v>65726281.405556001</v>
      </c>
      <c r="AH26" s="1295">
        <f t="shared" si="22"/>
        <v>4855</v>
      </c>
      <c r="AI26" s="1296">
        <f>+'Table 3A Level 3'!O28</f>
        <v>2107917</v>
      </c>
      <c r="AJ26" s="1295">
        <f t="shared" si="23"/>
        <v>155.71522493905593</v>
      </c>
      <c r="AK26" s="1296">
        <f t="shared" si="44"/>
        <v>67834198.405555993</v>
      </c>
      <c r="AL26" s="1295">
        <f t="shared" si="24"/>
        <v>5011.0215265979159</v>
      </c>
      <c r="AM26" s="1298">
        <f>+'Table 3A Level 3'!P28</f>
        <v>11429224.460000001</v>
      </c>
      <c r="AN26" s="1299">
        <f t="shared" si="25"/>
        <v>844.29522493905597</v>
      </c>
      <c r="AO26" s="1296">
        <f t="shared" si="45"/>
        <v>77155505.865556002</v>
      </c>
      <c r="AP26" s="1295">
        <f t="shared" si="26"/>
        <v>5699.6015265979167</v>
      </c>
      <c r="AQ26" s="1297">
        <f t="shared" si="46"/>
        <v>0.62642536268061422</v>
      </c>
      <c r="AR26" s="1300">
        <f t="shared" si="47"/>
        <v>39</v>
      </c>
      <c r="AS26" s="1295">
        <f t="shared" si="48"/>
        <v>46012409.200000003</v>
      </c>
      <c r="AT26" s="1295">
        <f t="shared" si="27"/>
        <v>3399.01</v>
      </c>
      <c r="AU26" s="1300">
        <f t="shared" si="49"/>
        <v>33</v>
      </c>
      <c r="AV26" s="1297">
        <f t="shared" si="50"/>
        <v>0.37357463731938584</v>
      </c>
      <c r="AW26" s="1300">
        <f t="shared" si="51"/>
        <v>123167915.065556</v>
      </c>
      <c r="AX26" s="1301">
        <f t="shared" si="28"/>
        <v>9098.6123266274662</v>
      </c>
      <c r="AY26" s="1300">
        <f t="shared" si="52"/>
        <v>36</v>
      </c>
    </row>
    <row r="27" spans="1:51" s="5" customFormat="1" ht="15.6" customHeight="1">
      <c r="A27" s="1285">
        <v>24</v>
      </c>
      <c r="B27" s="1286" t="s">
        <v>104</v>
      </c>
      <c r="C27" s="1286">
        <f>+'Table 8 Membership 2.1.14'!W26</f>
        <v>4591</v>
      </c>
      <c r="D27" s="1287">
        <f>+'[4]ALL- TABLE 3 '!AA29-'[4]ALL- TABLE 3 '!W29-'[4]ALL- TABLE 3 '!X29-'[4]ALL- TABLE 3 '!Y29-'[4]ALL- TABLE 3 '!Z29</f>
        <v>3871</v>
      </c>
      <c r="E27" s="1287">
        <f t="shared" si="14"/>
        <v>852</v>
      </c>
      <c r="F27" s="1287">
        <f>+'[5]MS6887_Total CTE T3 corrected'!M29</f>
        <v>868</v>
      </c>
      <c r="G27" s="1287">
        <f t="shared" si="15"/>
        <v>52</v>
      </c>
      <c r="H27" s="1287">
        <f>+'[6]MFP Funded SWD -Table 3'!W28</f>
        <v>437</v>
      </c>
      <c r="I27" s="1287">
        <f t="shared" si="29"/>
        <v>656</v>
      </c>
      <c r="J27" s="1287">
        <f>+'[6]MFP Funded GT -Table 3'!S28</f>
        <v>116</v>
      </c>
      <c r="K27" s="1287">
        <f t="shared" si="30"/>
        <v>70</v>
      </c>
      <c r="L27" s="1287">
        <f t="shared" si="16"/>
        <v>2909</v>
      </c>
      <c r="M27" s="1289">
        <f t="shared" si="17"/>
        <v>7.757E-2</v>
      </c>
      <c r="N27" s="1287">
        <f t="shared" si="18"/>
        <v>356</v>
      </c>
      <c r="O27" s="1287">
        <f t="shared" si="31"/>
        <v>1986</v>
      </c>
      <c r="P27" s="1287">
        <f t="shared" si="19"/>
        <v>6577</v>
      </c>
      <c r="Q27" s="1290">
        <f t="shared" si="32"/>
        <v>3961</v>
      </c>
      <c r="R27" s="1290">
        <f t="shared" si="20"/>
        <v>26051497</v>
      </c>
      <c r="S27" s="1290">
        <f>'Table 6 (Local Deduct Calc.)'!J30</f>
        <v>16328576.5</v>
      </c>
      <c r="T27" s="1290">
        <f t="shared" si="33"/>
        <v>16328576.5</v>
      </c>
      <c r="U27" s="1291">
        <f t="shared" si="34"/>
        <v>9722920.5</v>
      </c>
      <c r="V27" s="1292">
        <f t="shared" si="53"/>
        <v>0.37319999999999998</v>
      </c>
      <c r="W27" s="1292">
        <f t="shared" si="35"/>
        <v>0.62680000000000002</v>
      </c>
      <c r="X27" s="1293">
        <f t="shared" si="21"/>
        <v>3556.6492049662384</v>
      </c>
      <c r="Y27" s="1290">
        <f>'Table 7 Local Revenue'!AQ31</f>
        <v>49669889.5</v>
      </c>
      <c r="Z27" s="1290">
        <f t="shared" si="36"/>
        <v>33341313</v>
      </c>
      <c r="AA27" s="1294">
        <f t="shared" si="37"/>
        <v>0</v>
      </c>
      <c r="AB27" s="1295">
        <f t="shared" si="38"/>
        <v>8857508.9800000004</v>
      </c>
      <c r="AC27" s="1295">
        <f t="shared" si="39"/>
        <v>8857508.9800000004</v>
      </c>
      <c r="AD27" s="1290">
        <f t="shared" si="40"/>
        <v>9549245.0013020802</v>
      </c>
      <c r="AE27" s="1296">
        <f t="shared" si="41"/>
        <v>0</v>
      </c>
      <c r="AF27" s="1297">
        <f t="shared" si="42"/>
        <v>0</v>
      </c>
      <c r="AG27" s="1296">
        <f t="shared" si="43"/>
        <v>9722920.5</v>
      </c>
      <c r="AH27" s="1295">
        <f t="shared" si="22"/>
        <v>2118</v>
      </c>
      <c r="AI27" s="1296">
        <f>+'Table 3A Level 3'!O29</f>
        <v>2267275</v>
      </c>
      <c r="AJ27" s="1295">
        <f t="shared" si="23"/>
        <v>493.85210193857546</v>
      </c>
      <c r="AK27" s="1296">
        <f t="shared" si="44"/>
        <v>11990195.5</v>
      </c>
      <c r="AL27" s="1295">
        <f t="shared" si="24"/>
        <v>2611.6740361576999</v>
      </c>
      <c r="AM27" s="1298">
        <f>+'Table 3A Level 3'!P29</f>
        <v>6189136.75</v>
      </c>
      <c r="AN27" s="1299">
        <f t="shared" si="25"/>
        <v>1348.1021019385755</v>
      </c>
      <c r="AO27" s="1296">
        <f t="shared" si="45"/>
        <v>15912057.25</v>
      </c>
      <c r="AP27" s="1295">
        <f t="shared" si="26"/>
        <v>3465.9240361576999</v>
      </c>
      <c r="AQ27" s="1297">
        <f t="shared" si="46"/>
        <v>0.3871721735587052</v>
      </c>
      <c r="AR27" s="1300">
        <f t="shared" si="47"/>
        <v>63</v>
      </c>
      <c r="AS27" s="1295">
        <f t="shared" si="48"/>
        <v>25186085.48</v>
      </c>
      <c r="AT27" s="1295">
        <f t="shared" si="27"/>
        <v>5485.97</v>
      </c>
      <c r="AU27" s="1300">
        <f t="shared" si="49"/>
        <v>6</v>
      </c>
      <c r="AV27" s="1297">
        <f t="shared" si="50"/>
        <v>0.61282782644129474</v>
      </c>
      <c r="AW27" s="1300">
        <f t="shared" si="51"/>
        <v>41098142.730000004</v>
      </c>
      <c r="AX27" s="1301">
        <f t="shared" si="28"/>
        <v>8951.8934284469615</v>
      </c>
      <c r="AY27" s="1300">
        <f t="shared" si="52"/>
        <v>43</v>
      </c>
    </row>
    <row r="28" spans="1:51" s="17" customFormat="1" ht="15.6" customHeight="1">
      <c r="A28" s="87">
        <v>25</v>
      </c>
      <c r="B28" s="67" t="s">
        <v>105</v>
      </c>
      <c r="C28" s="67">
        <f>+'Table 8 Membership 2.1.14'!W27</f>
        <v>2287</v>
      </c>
      <c r="D28" s="15">
        <f>+'[4]ALL- TABLE 3 '!AA30-'[4]ALL- TABLE 3 '!W30-'[4]ALL- TABLE 3 '!X30-'[4]ALL- TABLE 3 '!Y30-'[4]ALL- TABLE 3 '!Z30</f>
        <v>1484</v>
      </c>
      <c r="E28" s="15">
        <f t="shared" si="14"/>
        <v>326</v>
      </c>
      <c r="F28" s="15">
        <f>+'[5]MS6887_Total CTE T3 corrected'!M30</f>
        <v>967</v>
      </c>
      <c r="G28" s="15">
        <f t="shared" si="15"/>
        <v>58</v>
      </c>
      <c r="H28" s="15">
        <f>+'[6]MFP Funded SWD -Table 3'!W29</f>
        <v>216</v>
      </c>
      <c r="I28" s="15">
        <f t="shared" si="29"/>
        <v>324</v>
      </c>
      <c r="J28" s="15">
        <f>+'[6]MFP Funded GT -Table 3'!S29</f>
        <v>83</v>
      </c>
      <c r="K28" s="15">
        <f t="shared" si="30"/>
        <v>50</v>
      </c>
      <c r="L28" s="15">
        <f t="shared" si="16"/>
        <v>5213</v>
      </c>
      <c r="M28" s="54">
        <f t="shared" si="17"/>
        <v>0.13900999999999999</v>
      </c>
      <c r="N28" s="15">
        <f t="shared" si="18"/>
        <v>318</v>
      </c>
      <c r="O28" s="15">
        <f t="shared" si="31"/>
        <v>1076</v>
      </c>
      <c r="P28" s="1302">
        <f t="shared" si="19"/>
        <v>3363</v>
      </c>
      <c r="Q28" s="230">
        <f t="shared" si="32"/>
        <v>3961</v>
      </c>
      <c r="R28" s="230">
        <f t="shared" si="20"/>
        <v>13320843</v>
      </c>
      <c r="S28" s="230">
        <f>'Table 6 (Local Deduct Calc.)'!J31</f>
        <v>5465986</v>
      </c>
      <c r="T28" s="230">
        <f t="shared" si="33"/>
        <v>5465986</v>
      </c>
      <c r="U28" s="231">
        <f t="shared" si="34"/>
        <v>7854857</v>
      </c>
      <c r="V28" s="232">
        <f t="shared" si="53"/>
        <v>0.5897</v>
      </c>
      <c r="W28" s="233">
        <f t="shared" si="35"/>
        <v>0.4103</v>
      </c>
      <c r="X28" s="234">
        <f t="shared" si="21"/>
        <v>2390.0244862264976</v>
      </c>
      <c r="Y28" s="230">
        <f>'Table 7 Local Revenue'!AQ32</f>
        <v>11848929</v>
      </c>
      <c r="Z28" s="230">
        <f t="shared" si="36"/>
        <v>6382943</v>
      </c>
      <c r="AA28" s="199">
        <f t="shared" si="37"/>
        <v>0</v>
      </c>
      <c r="AB28" s="16">
        <f t="shared" si="38"/>
        <v>4529086.62</v>
      </c>
      <c r="AC28" s="16">
        <f t="shared" si="39"/>
        <v>4529086.62</v>
      </c>
      <c r="AD28" s="230">
        <f t="shared" si="40"/>
        <v>3196248.89311992</v>
      </c>
      <c r="AE28" s="235">
        <f t="shared" si="41"/>
        <v>1332837.7268800801</v>
      </c>
      <c r="AF28" s="192">
        <f t="shared" si="42"/>
        <v>0.29430000000000001</v>
      </c>
      <c r="AG28" s="235">
        <f t="shared" si="43"/>
        <v>9187694.726880081</v>
      </c>
      <c r="AH28" s="16">
        <f t="shared" si="22"/>
        <v>4017</v>
      </c>
      <c r="AI28" s="235">
        <f>+'Table 3A Level 3'!O30</f>
        <v>356121</v>
      </c>
      <c r="AJ28" s="16">
        <f t="shared" si="23"/>
        <v>155.71534761696546</v>
      </c>
      <c r="AK28" s="235">
        <f t="shared" si="44"/>
        <v>9543815.726880081</v>
      </c>
      <c r="AL28" s="16">
        <f t="shared" si="24"/>
        <v>4173.0720274945697</v>
      </c>
      <c r="AM28" s="287">
        <f>+'Table 3A Level 3'!P30</f>
        <v>1851201.51</v>
      </c>
      <c r="AN28" s="288">
        <f t="shared" si="25"/>
        <v>809.44534761696548</v>
      </c>
      <c r="AO28" s="235">
        <f t="shared" si="45"/>
        <v>11038896.236880081</v>
      </c>
      <c r="AP28" s="16">
        <f t="shared" si="26"/>
        <v>4826.8020274945693</v>
      </c>
      <c r="AQ28" s="192">
        <f t="shared" si="46"/>
        <v>0.52481280694058485</v>
      </c>
      <c r="AR28" s="236">
        <f t="shared" si="47"/>
        <v>53</v>
      </c>
      <c r="AS28" s="16">
        <f t="shared" si="48"/>
        <v>9995072.6199999992</v>
      </c>
      <c r="AT28" s="16">
        <f t="shared" si="27"/>
        <v>4370.3900000000003</v>
      </c>
      <c r="AU28" s="236">
        <f t="shared" si="49"/>
        <v>17</v>
      </c>
      <c r="AV28" s="192">
        <f t="shared" si="50"/>
        <v>0.47518719305941509</v>
      </c>
      <c r="AW28" s="236">
        <f t="shared" si="51"/>
        <v>21033968.85688008</v>
      </c>
      <c r="AX28" s="237">
        <f t="shared" si="28"/>
        <v>9197.1879566594143</v>
      </c>
      <c r="AY28" s="236">
        <f t="shared" si="52"/>
        <v>30</v>
      </c>
    </row>
    <row r="29" spans="1:51" s="5" customFormat="1" ht="15.6" customHeight="1">
      <c r="A29" s="1285">
        <v>26</v>
      </c>
      <c r="B29" s="1286" t="s">
        <v>106</v>
      </c>
      <c r="C29" s="1287">
        <f>+'Table 8 Membership 2.1.14'!W28</f>
        <v>45429</v>
      </c>
      <c r="D29" s="1287">
        <f>+'[4]ALL- TABLE 3 '!AA31-'[4]ALL- TABLE 3 '!W31-'[4]ALL- TABLE 3 '!X31-'[4]ALL- TABLE 3 '!Y31-'[4]ALL- TABLE 3 '!Z31</f>
        <v>35596</v>
      </c>
      <c r="E29" s="1287">
        <f t="shared" si="14"/>
        <v>7831</v>
      </c>
      <c r="F29" s="1287">
        <f>+'[5]MS6887_Total CTE T3 corrected'!M31</f>
        <v>10993.5</v>
      </c>
      <c r="G29" s="1287">
        <f t="shared" si="15"/>
        <v>660</v>
      </c>
      <c r="H29" s="1287">
        <f>+'[6]MFP Funded SWD -Table 3'!W30</f>
        <v>5569</v>
      </c>
      <c r="I29" s="1287">
        <f t="shared" si="29"/>
        <v>8354</v>
      </c>
      <c r="J29" s="1287">
        <f>+'[6]MFP Funded GT -Table 3'!S30</f>
        <v>3484</v>
      </c>
      <c r="K29" s="1287">
        <f t="shared" si="30"/>
        <v>2090</v>
      </c>
      <c r="L29" s="1288">
        <f t="shared" si="16"/>
        <v>0</v>
      </c>
      <c r="M29" s="1289">
        <f t="shared" si="17"/>
        <v>0</v>
      </c>
      <c r="N29" s="1287">
        <f t="shared" si="18"/>
        <v>0</v>
      </c>
      <c r="O29" s="1287">
        <f t="shared" si="31"/>
        <v>18935</v>
      </c>
      <c r="P29" s="1287">
        <f t="shared" si="19"/>
        <v>64364</v>
      </c>
      <c r="Q29" s="1290">
        <f t="shared" si="32"/>
        <v>3961</v>
      </c>
      <c r="R29" s="1290">
        <f t="shared" si="20"/>
        <v>254945804</v>
      </c>
      <c r="S29" s="1290">
        <f>'Table 6 (Local Deduct Calc.)'!J32</f>
        <v>130736775.5</v>
      </c>
      <c r="T29" s="1290">
        <f t="shared" si="33"/>
        <v>130736775.5</v>
      </c>
      <c r="U29" s="1291">
        <f t="shared" si="34"/>
        <v>124209028.5</v>
      </c>
      <c r="V29" s="1292">
        <f t="shared" si="53"/>
        <v>0.48720000000000002</v>
      </c>
      <c r="W29" s="1292">
        <f t="shared" si="35"/>
        <v>0.51280000000000003</v>
      </c>
      <c r="X29" s="1293">
        <f t="shared" si="21"/>
        <v>2877.8263994364834</v>
      </c>
      <c r="Y29" s="1290">
        <f>'Table 7 Local Revenue'!AQ33</f>
        <v>259626060.5</v>
      </c>
      <c r="Z29" s="1290">
        <f t="shared" si="36"/>
        <v>128889285</v>
      </c>
      <c r="AA29" s="1294">
        <f t="shared" si="37"/>
        <v>0</v>
      </c>
      <c r="AB29" s="1295">
        <f t="shared" si="38"/>
        <v>86681573.359999999</v>
      </c>
      <c r="AC29" s="1295">
        <f t="shared" si="39"/>
        <v>86681573.359999999</v>
      </c>
      <c r="AD29" s="1290">
        <f t="shared" si="40"/>
        <v>76454534.608693764</v>
      </c>
      <c r="AE29" s="1296">
        <f t="shared" si="41"/>
        <v>10227038.751306236</v>
      </c>
      <c r="AF29" s="1297">
        <f t="shared" si="42"/>
        <v>0.11799999999999999</v>
      </c>
      <c r="AG29" s="1296">
        <f t="shared" si="43"/>
        <v>134436067.25130624</v>
      </c>
      <c r="AH29" s="1295">
        <f t="shared" si="22"/>
        <v>2959</v>
      </c>
      <c r="AI29" s="1296">
        <f>+'Table 3A Level 3'!O31</f>
        <v>21138496</v>
      </c>
      <c r="AJ29" s="1295">
        <f t="shared" si="23"/>
        <v>465.30841532941514</v>
      </c>
      <c r="AK29" s="1296">
        <f t="shared" si="44"/>
        <v>155574563.25130624</v>
      </c>
      <c r="AL29" s="1295">
        <f t="shared" si="24"/>
        <v>3424.5649970570835</v>
      </c>
      <c r="AM29" s="1298">
        <f>+'Table 3A Level 3'!P31</f>
        <v>59154846.07</v>
      </c>
      <c r="AN29" s="1299">
        <f t="shared" si="25"/>
        <v>1302.1384153294152</v>
      </c>
      <c r="AO29" s="1296">
        <f t="shared" si="45"/>
        <v>193590913.32130623</v>
      </c>
      <c r="AP29" s="1295">
        <f t="shared" si="26"/>
        <v>4261.3949970570829</v>
      </c>
      <c r="AQ29" s="1297">
        <f t="shared" si="46"/>
        <v>0.47101350537426218</v>
      </c>
      <c r="AR29" s="1300">
        <f t="shared" si="47"/>
        <v>58</v>
      </c>
      <c r="AS29" s="1295">
        <f t="shared" si="48"/>
        <v>217418348.86000001</v>
      </c>
      <c r="AT29" s="1295">
        <f t="shared" si="27"/>
        <v>4785.8900000000003</v>
      </c>
      <c r="AU29" s="1300">
        <f t="shared" si="49"/>
        <v>11</v>
      </c>
      <c r="AV29" s="1297">
        <f t="shared" si="50"/>
        <v>0.52898649462573777</v>
      </c>
      <c r="AW29" s="1300">
        <f t="shared" si="51"/>
        <v>411009262.18130624</v>
      </c>
      <c r="AX29" s="1301">
        <f t="shared" si="28"/>
        <v>9047.2883440380865</v>
      </c>
      <c r="AY29" s="1300">
        <f t="shared" si="52"/>
        <v>37</v>
      </c>
    </row>
    <row r="30" spans="1:51" s="5" customFormat="1" ht="15.6" customHeight="1">
      <c r="A30" s="1285">
        <v>27</v>
      </c>
      <c r="B30" s="1286" t="s">
        <v>107</v>
      </c>
      <c r="C30" s="1286">
        <f>+'Table 8 Membership 2.1.14'!W29</f>
        <v>5637</v>
      </c>
      <c r="D30" s="1287">
        <f>+'[4]ALL- TABLE 3 '!AA32-'[4]ALL- TABLE 3 '!W32-'[4]ALL- TABLE 3 '!X32-'[4]ALL- TABLE 3 '!Y32-'[4]ALL- TABLE 3 '!Z32</f>
        <v>3334</v>
      </c>
      <c r="E30" s="1287">
        <f t="shared" si="14"/>
        <v>733</v>
      </c>
      <c r="F30" s="1287">
        <f>+'[5]MS6887_Total CTE T3 corrected'!M32</f>
        <v>2366</v>
      </c>
      <c r="G30" s="1287">
        <f t="shared" si="15"/>
        <v>142</v>
      </c>
      <c r="H30" s="1287">
        <f>+'[6]MFP Funded SWD -Table 3'!W31</f>
        <v>787</v>
      </c>
      <c r="I30" s="1287">
        <f t="shared" si="29"/>
        <v>1181</v>
      </c>
      <c r="J30" s="1287">
        <f>+'[6]MFP Funded GT -Table 3'!S31</f>
        <v>146</v>
      </c>
      <c r="K30" s="1287">
        <f t="shared" si="30"/>
        <v>88</v>
      </c>
      <c r="L30" s="1287">
        <f t="shared" si="16"/>
        <v>1863</v>
      </c>
      <c r="M30" s="1289">
        <f t="shared" si="17"/>
        <v>4.9680000000000002E-2</v>
      </c>
      <c r="N30" s="1287">
        <f t="shared" si="18"/>
        <v>280</v>
      </c>
      <c r="O30" s="1287">
        <f t="shared" si="31"/>
        <v>2424</v>
      </c>
      <c r="P30" s="1287">
        <f t="shared" si="19"/>
        <v>8061</v>
      </c>
      <c r="Q30" s="1290">
        <f t="shared" si="32"/>
        <v>3961</v>
      </c>
      <c r="R30" s="1290">
        <f t="shared" si="20"/>
        <v>31929621</v>
      </c>
      <c r="S30" s="1290">
        <f>'Table 6 (Local Deduct Calc.)'!J33</f>
        <v>6904248</v>
      </c>
      <c r="T30" s="1290">
        <f t="shared" si="33"/>
        <v>6904248</v>
      </c>
      <c r="U30" s="1291">
        <f t="shared" si="34"/>
        <v>25025373</v>
      </c>
      <c r="V30" s="1292">
        <f t="shared" si="53"/>
        <v>0.78380000000000005</v>
      </c>
      <c r="W30" s="1292">
        <f t="shared" si="35"/>
        <v>0.2162</v>
      </c>
      <c r="X30" s="1293">
        <f t="shared" si="21"/>
        <v>1224.8089409260244</v>
      </c>
      <c r="Y30" s="1290">
        <f>'Table 7 Local Revenue'!AQ34</f>
        <v>18981923</v>
      </c>
      <c r="Z30" s="1290">
        <f t="shared" si="36"/>
        <v>12077675</v>
      </c>
      <c r="AA30" s="1294">
        <f t="shared" si="37"/>
        <v>0</v>
      </c>
      <c r="AB30" s="1295">
        <f t="shared" si="38"/>
        <v>10856071.140000001</v>
      </c>
      <c r="AC30" s="1295">
        <f t="shared" si="39"/>
        <v>10856071.140000001</v>
      </c>
      <c r="AD30" s="1290">
        <f t="shared" si="40"/>
        <v>4036982.0384049597</v>
      </c>
      <c r="AE30" s="1296">
        <f t="shared" si="41"/>
        <v>6819089.1015950404</v>
      </c>
      <c r="AF30" s="1297">
        <f t="shared" si="42"/>
        <v>0.62809999999999999</v>
      </c>
      <c r="AG30" s="1296">
        <f t="shared" si="43"/>
        <v>31844462.10159504</v>
      </c>
      <c r="AH30" s="1295">
        <f t="shared" si="22"/>
        <v>5649</v>
      </c>
      <c r="AI30" s="1296">
        <f>+'Table 3A Level 3'!O32</f>
        <v>877767</v>
      </c>
      <c r="AJ30" s="1295">
        <f t="shared" si="23"/>
        <v>155.71527408195848</v>
      </c>
      <c r="AK30" s="1296">
        <f t="shared" si="44"/>
        <v>32722229.10159504</v>
      </c>
      <c r="AL30" s="1295">
        <f t="shared" si="24"/>
        <v>5804.9013839977006</v>
      </c>
      <c r="AM30" s="1298">
        <f>+'Table 3A Level 3'!P32</f>
        <v>4784546.22</v>
      </c>
      <c r="AN30" s="1299">
        <f t="shared" si="25"/>
        <v>848.7752740819584</v>
      </c>
      <c r="AO30" s="1296">
        <f t="shared" si="45"/>
        <v>36629008.321595043</v>
      </c>
      <c r="AP30" s="1295">
        <f t="shared" si="26"/>
        <v>6497.961383997701</v>
      </c>
      <c r="AQ30" s="1297">
        <f t="shared" si="46"/>
        <v>0.6734594824225254</v>
      </c>
      <c r="AR30" s="1300">
        <f t="shared" si="47"/>
        <v>26</v>
      </c>
      <c r="AS30" s="1295">
        <f t="shared" si="48"/>
        <v>17760319.140000001</v>
      </c>
      <c r="AT30" s="1295">
        <f t="shared" si="27"/>
        <v>3150.67</v>
      </c>
      <c r="AU30" s="1300">
        <f t="shared" si="49"/>
        <v>45</v>
      </c>
      <c r="AV30" s="1297">
        <f t="shared" si="50"/>
        <v>0.32654051757747465</v>
      </c>
      <c r="AW30" s="1300">
        <f t="shared" si="51"/>
        <v>54389327.461595044</v>
      </c>
      <c r="AX30" s="1301">
        <f t="shared" si="28"/>
        <v>9648.630026892859</v>
      </c>
      <c r="AY30" s="1300">
        <f t="shared" si="52"/>
        <v>15</v>
      </c>
    </row>
    <row r="31" spans="1:51" s="5" customFormat="1" ht="15.6" customHeight="1">
      <c r="A31" s="1285">
        <v>28</v>
      </c>
      <c r="B31" s="1286" t="s">
        <v>108</v>
      </c>
      <c r="C31" s="1286">
        <f>+'Table 8 Membership 2.1.14'!W30</f>
        <v>30205</v>
      </c>
      <c r="D31" s="1287">
        <f>+'[4]ALL- TABLE 3 '!AA33-'[4]ALL- TABLE 3 '!W33-'[4]ALL- TABLE 3 '!X33-'[4]ALL- TABLE 3 '!Y33-'[4]ALL- TABLE 3 '!Z33</f>
        <v>18524</v>
      </c>
      <c r="E31" s="1287">
        <f t="shared" si="14"/>
        <v>4075</v>
      </c>
      <c r="F31" s="1287">
        <f>+'[5]MS6887_Total CTE T3 corrected'!M33</f>
        <v>7590</v>
      </c>
      <c r="G31" s="1287">
        <f t="shared" si="15"/>
        <v>455</v>
      </c>
      <c r="H31" s="1287">
        <f>+'[6]MFP Funded SWD -Table 3'!W32</f>
        <v>2704</v>
      </c>
      <c r="I31" s="1287">
        <f t="shared" si="29"/>
        <v>4056</v>
      </c>
      <c r="J31" s="1287">
        <f>+'[6]MFP Funded GT -Table 3'!S32</f>
        <v>1371</v>
      </c>
      <c r="K31" s="1287">
        <f t="shared" si="30"/>
        <v>823</v>
      </c>
      <c r="L31" s="1287">
        <f t="shared" si="16"/>
        <v>0</v>
      </c>
      <c r="M31" s="1289">
        <f t="shared" si="17"/>
        <v>0</v>
      </c>
      <c r="N31" s="1287">
        <f t="shared" si="18"/>
        <v>0</v>
      </c>
      <c r="O31" s="1287">
        <f t="shared" si="31"/>
        <v>9409</v>
      </c>
      <c r="P31" s="1287">
        <f t="shared" si="19"/>
        <v>39614</v>
      </c>
      <c r="Q31" s="1290">
        <f t="shared" si="32"/>
        <v>3961</v>
      </c>
      <c r="R31" s="1290">
        <f t="shared" si="20"/>
        <v>156911054</v>
      </c>
      <c r="S31" s="1290">
        <f>'Table 6 (Local Deduct Calc.)'!J34</f>
        <v>77103278</v>
      </c>
      <c r="T31" s="1290">
        <f t="shared" si="33"/>
        <v>77103278</v>
      </c>
      <c r="U31" s="1291">
        <f t="shared" si="34"/>
        <v>79807776</v>
      </c>
      <c r="V31" s="1292">
        <f t="shared" si="53"/>
        <v>0.50860000000000005</v>
      </c>
      <c r="W31" s="1292">
        <f t="shared" si="35"/>
        <v>0.4914</v>
      </c>
      <c r="X31" s="1293">
        <f t="shared" si="21"/>
        <v>2552.6660486674391</v>
      </c>
      <c r="Y31" s="1290">
        <f>'Table 7 Local Revenue'!AQ35</f>
        <v>173311976</v>
      </c>
      <c r="Z31" s="1290">
        <f t="shared" si="36"/>
        <v>96208698</v>
      </c>
      <c r="AA31" s="1294">
        <f t="shared" si="37"/>
        <v>0</v>
      </c>
      <c r="AB31" s="1295">
        <f t="shared" si="38"/>
        <v>53349758.360000007</v>
      </c>
      <c r="AC31" s="1295">
        <f t="shared" si="39"/>
        <v>53349758.360000007</v>
      </c>
      <c r="AD31" s="1290">
        <f t="shared" si="40"/>
        <v>45091642.563938886</v>
      </c>
      <c r="AE31" s="1296">
        <f t="shared" si="41"/>
        <v>8258115.7960611209</v>
      </c>
      <c r="AF31" s="1297">
        <f t="shared" si="42"/>
        <v>0.15479999999999999</v>
      </c>
      <c r="AG31" s="1296">
        <f t="shared" si="43"/>
        <v>88065891.796061128</v>
      </c>
      <c r="AH31" s="1295">
        <f t="shared" si="22"/>
        <v>2916</v>
      </c>
      <c r="AI31" s="1296">
        <f>+'Table 3A Level 3'!O33</f>
        <v>6699755</v>
      </c>
      <c r="AJ31" s="1295">
        <f t="shared" si="23"/>
        <v>221.80946863102136</v>
      </c>
      <c r="AK31" s="1296">
        <f t="shared" si="44"/>
        <v>94765646.796061128</v>
      </c>
      <c r="AL31" s="1295">
        <f t="shared" si="24"/>
        <v>3137.4158846568821</v>
      </c>
      <c r="AM31" s="1298">
        <f>+'Table 3A Level 3'!P33</f>
        <v>27674107</v>
      </c>
      <c r="AN31" s="1299">
        <f t="shared" si="25"/>
        <v>916.20946863102131</v>
      </c>
      <c r="AO31" s="1296">
        <f t="shared" si="45"/>
        <v>115739998.79606113</v>
      </c>
      <c r="AP31" s="1295">
        <f t="shared" si="26"/>
        <v>3831.8158846568822</v>
      </c>
      <c r="AQ31" s="1297">
        <f t="shared" si="46"/>
        <v>0.47011889967843262</v>
      </c>
      <c r="AR31" s="1300">
        <f t="shared" si="47"/>
        <v>59</v>
      </c>
      <c r="AS31" s="1295">
        <f t="shared" si="48"/>
        <v>130453036.36</v>
      </c>
      <c r="AT31" s="1295">
        <f t="shared" si="27"/>
        <v>4318.92</v>
      </c>
      <c r="AU31" s="1300">
        <f t="shared" si="49"/>
        <v>18</v>
      </c>
      <c r="AV31" s="1297">
        <f t="shared" si="50"/>
        <v>0.52988110032156743</v>
      </c>
      <c r="AW31" s="1300">
        <f t="shared" si="51"/>
        <v>246193035.15606111</v>
      </c>
      <c r="AX31" s="1301">
        <f t="shared" si="28"/>
        <v>8150.7377969230629</v>
      </c>
      <c r="AY31" s="1300">
        <f t="shared" si="52"/>
        <v>65</v>
      </c>
    </row>
    <row r="32" spans="1:51" s="5" customFormat="1" ht="15.6" customHeight="1">
      <c r="A32" s="1285">
        <v>29</v>
      </c>
      <c r="B32" s="1286" t="s">
        <v>109</v>
      </c>
      <c r="C32" s="1286">
        <f>+'Table 8 Membership 2.1.14'!W31</f>
        <v>13838</v>
      </c>
      <c r="D32" s="1287">
        <f>+'[4]ALL- TABLE 3 '!AA34-'[4]ALL- TABLE 3 '!W34-'[4]ALL- TABLE 3 '!X34-'[4]ALL- TABLE 3 '!Y34-'[4]ALL- TABLE 3 '!Z34</f>
        <v>8406</v>
      </c>
      <c r="E32" s="1287">
        <f t="shared" si="14"/>
        <v>1849</v>
      </c>
      <c r="F32" s="1287">
        <f>+'[5]MS6887_Total CTE T3 corrected'!M34</f>
        <v>5273.5</v>
      </c>
      <c r="G32" s="1287">
        <f t="shared" si="15"/>
        <v>316</v>
      </c>
      <c r="H32" s="1287">
        <f>+'[6]MFP Funded SWD -Table 3'!W33</f>
        <v>1092</v>
      </c>
      <c r="I32" s="1287">
        <f t="shared" si="29"/>
        <v>1638</v>
      </c>
      <c r="J32" s="1287">
        <f>+'[6]MFP Funded GT -Table 3'!S33</f>
        <v>215</v>
      </c>
      <c r="K32" s="1287">
        <f t="shared" si="30"/>
        <v>129</v>
      </c>
      <c r="L32" s="1287">
        <f t="shared" si="16"/>
        <v>0</v>
      </c>
      <c r="M32" s="1289">
        <f t="shared" si="17"/>
        <v>0</v>
      </c>
      <c r="N32" s="1287">
        <f t="shared" si="18"/>
        <v>0</v>
      </c>
      <c r="O32" s="1287">
        <f t="shared" si="31"/>
        <v>3932</v>
      </c>
      <c r="P32" s="1287">
        <f t="shared" si="19"/>
        <v>17770</v>
      </c>
      <c r="Q32" s="1290">
        <f t="shared" si="32"/>
        <v>3961</v>
      </c>
      <c r="R32" s="1290">
        <f t="shared" si="20"/>
        <v>70386970</v>
      </c>
      <c r="S32" s="1290">
        <f>'Table 6 (Local Deduct Calc.)'!J35</f>
        <v>27353404.5</v>
      </c>
      <c r="T32" s="1290">
        <f t="shared" si="33"/>
        <v>27353404.5</v>
      </c>
      <c r="U32" s="1291">
        <f t="shared" si="34"/>
        <v>43033565.5</v>
      </c>
      <c r="V32" s="1292">
        <f t="shared" si="53"/>
        <v>0.61140000000000005</v>
      </c>
      <c r="W32" s="1292">
        <f t="shared" si="35"/>
        <v>0.3886</v>
      </c>
      <c r="X32" s="1293">
        <f t="shared" si="21"/>
        <v>1976.6877077612371</v>
      </c>
      <c r="Y32" s="1290">
        <f>'Table 7 Local Revenue'!AQ36</f>
        <v>67402531.5</v>
      </c>
      <c r="Z32" s="1290">
        <f t="shared" si="36"/>
        <v>40049127</v>
      </c>
      <c r="AA32" s="1294">
        <f t="shared" si="37"/>
        <v>0</v>
      </c>
      <c r="AB32" s="1295">
        <f t="shared" si="38"/>
        <v>23931569.800000001</v>
      </c>
      <c r="AC32" s="1295">
        <f t="shared" si="39"/>
        <v>23931569.800000001</v>
      </c>
      <c r="AD32" s="1290">
        <f t="shared" si="40"/>
        <v>15995669.801761599</v>
      </c>
      <c r="AE32" s="1296">
        <f t="shared" si="41"/>
        <v>7935899.9982384015</v>
      </c>
      <c r="AF32" s="1297">
        <f t="shared" si="42"/>
        <v>0.33160000000000001</v>
      </c>
      <c r="AG32" s="1296">
        <f t="shared" si="43"/>
        <v>50969465.4982384</v>
      </c>
      <c r="AH32" s="1295">
        <f t="shared" si="22"/>
        <v>3683</v>
      </c>
      <c r="AI32" s="1296">
        <f>+'Table 3A Level 3'!O34</f>
        <v>2154787</v>
      </c>
      <c r="AJ32" s="1295">
        <f t="shared" si="23"/>
        <v>155.71520450932215</v>
      </c>
      <c r="AK32" s="1296">
        <f t="shared" si="44"/>
        <v>53124252.4982384</v>
      </c>
      <c r="AL32" s="1295">
        <f t="shared" si="24"/>
        <v>3839.0123210173724</v>
      </c>
      <c r="AM32" s="1298">
        <f>+'Table 3A Level 3'!P34</f>
        <v>12601785.1</v>
      </c>
      <c r="AN32" s="1299">
        <f t="shared" si="25"/>
        <v>910.66520450932217</v>
      </c>
      <c r="AO32" s="1296">
        <f t="shared" si="45"/>
        <v>63571250.598238401</v>
      </c>
      <c r="AP32" s="1295">
        <f t="shared" si="26"/>
        <v>4593.9623210173722</v>
      </c>
      <c r="AQ32" s="1297">
        <f t="shared" si="46"/>
        <v>0.55348546110201668</v>
      </c>
      <c r="AR32" s="1300">
        <f t="shared" si="47"/>
        <v>51</v>
      </c>
      <c r="AS32" s="1295">
        <f t="shared" si="48"/>
        <v>51284974.299999997</v>
      </c>
      <c r="AT32" s="1295">
        <f t="shared" si="27"/>
        <v>3706.1</v>
      </c>
      <c r="AU32" s="1300">
        <f t="shared" si="49"/>
        <v>24</v>
      </c>
      <c r="AV32" s="1297">
        <f t="shared" si="50"/>
        <v>0.44651453889798343</v>
      </c>
      <c r="AW32" s="1300">
        <f t="shared" si="51"/>
        <v>114856224.89823839</v>
      </c>
      <c r="AX32" s="1301">
        <f t="shared" si="28"/>
        <v>8300.0596110881906</v>
      </c>
      <c r="AY32" s="1300">
        <f t="shared" si="52"/>
        <v>62</v>
      </c>
    </row>
    <row r="33" spans="1:51" s="17" customFormat="1" ht="15.6" customHeight="1">
      <c r="A33" s="87">
        <v>30</v>
      </c>
      <c r="B33" s="67" t="s">
        <v>110</v>
      </c>
      <c r="C33" s="67">
        <f>+'Table 8 Membership 2.1.14'!W32</f>
        <v>2468</v>
      </c>
      <c r="D33" s="15">
        <f>+'[4]ALL- TABLE 3 '!AA35-'[4]ALL- TABLE 3 '!W35-'[4]ALL- TABLE 3 '!X35-'[4]ALL- TABLE 3 '!Y35-'[4]ALL- TABLE 3 '!Z35</f>
        <v>1405</v>
      </c>
      <c r="E33" s="15">
        <f t="shared" si="14"/>
        <v>309</v>
      </c>
      <c r="F33" s="15">
        <f>+'[5]MS6887_Total CTE T3 corrected'!M35</f>
        <v>963</v>
      </c>
      <c r="G33" s="15">
        <f t="shared" si="15"/>
        <v>58</v>
      </c>
      <c r="H33" s="15">
        <f>+'[6]MFP Funded SWD -Table 3'!W34</f>
        <v>228</v>
      </c>
      <c r="I33" s="15">
        <f t="shared" si="29"/>
        <v>342</v>
      </c>
      <c r="J33" s="15">
        <f>+'[6]MFP Funded GT -Table 3'!S34</f>
        <v>37</v>
      </c>
      <c r="K33" s="15">
        <f t="shared" si="30"/>
        <v>22</v>
      </c>
      <c r="L33" s="15">
        <f t="shared" si="16"/>
        <v>5032</v>
      </c>
      <c r="M33" s="54">
        <f t="shared" si="17"/>
        <v>0.13419</v>
      </c>
      <c r="N33" s="15">
        <f t="shared" si="18"/>
        <v>331</v>
      </c>
      <c r="O33" s="15">
        <f t="shared" si="31"/>
        <v>1062</v>
      </c>
      <c r="P33" s="1302">
        <f t="shared" si="19"/>
        <v>3530</v>
      </c>
      <c r="Q33" s="230">
        <f t="shared" si="32"/>
        <v>3961</v>
      </c>
      <c r="R33" s="230">
        <f t="shared" si="20"/>
        <v>13982330</v>
      </c>
      <c r="S33" s="230">
        <f>'Table 6 (Local Deduct Calc.)'!J36</f>
        <v>3025566.5</v>
      </c>
      <c r="T33" s="230">
        <f t="shared" si="33"/>
        <v>3025566.5</v>
      </c>
      <c r="U33" s="231">
        <f t="shared" si="34"/>
        <v>10956763.5</v>
      </c>
      <c r="V33" s="232">
        <f t="shared" si="53"/>
        <v>0.78359999999999996</v>
      </c>
      <c r="W33" s="233">
        <f t="shared" si="35"/>
        <v>0.21640000000000001</v>
      </c>
      <c r="X33" s="234">
        <f t="shared" si="21"/>
        <v>1225.9183549432739</v>
      </c>
      <c r="Y33" s="230">
        <f>'Table 7 Local Revenue'!AQ37</f>
        <v>10727207.5</v>
      </c>
      <c r="Z33" s="230">
        <f t="shared" si="36"/>
        <v>7701641</v>
      </c>
      <c r="AA33" s="199">
        <f t="shared" si="37"/>
        <v>0</v>
      </c>
      <c r="AB33" s="16">
        <f t="shared" si="38"/>
        <v>4753992.2</v>
      </c>
      <c r="AC33" s="16">
        <f t="shared" si="39"/>
        <v>4753992.2</v>
      </c>
      <c r="AD33" s="230">
        <f t="shared" si="40"/>
        <v>1769473.9287775999</v>
      </c>
      <c r="AE33" s="235">
        <f t="shared" si="41"/>
        <v>2984518.2712224005</v>
      </c>
      <c r="AF33" s="192">
        <f t="shared" si="42"/>
        <v>0.62780000000000002</v>
      </c>
      <c r="AG33" s="235">
        <f t="shared" si="43"/>
        <v>13941281.771222401</v>
      </c>
      <c r="AH33" s="16">
        <f t="shared" si="22"/>
        <v>5649</v>
      </c>
      <c r="AI33" s="235">
        <f>+'Table 3A Level 3'!O35</f>
        <v>384305</v>
      </c>
      <c r="AJ33" s="16">
        <f t="shared" si="23"/>
        <v>155.71515397082658</v>
      </c>
      <c r="AK33" s="235">
        <f t="shared" si="44"/>
        <v>14325586.771222401</v>
      </c>
      <c r="AL33" s="16">
        <f t="shared" si="24"/>
        <v>5804.5327273996763</v>
      </c>
      <c r="AM33" s="287">
        <f>+'Table 3A Level 3'!P35</f>
        <v>2178960.5599999996</v>
      </c>
      <c r="AN33" s="288">
        <f t="shared" si="25"/>
        <v>882.88515397082642</v>
      </c>
      <c r="AO33" s="235">
        <f t="shared" si="45"/>
        <v>16120242.3312224</v>
      </c>
      <c r="AP33" s="16">
        <f t="shared" si="26"/>
        <v>6531.7027273996755</v>
      </c>
      <c r="AQ33" s="192">
        <f t="shared" si="46"/>
        <v>0.67449274201752218</v>
      </c>
      <c r="AR33" s="236">
        <f t="shared" si="47"/>
        <v>25</v>
      </c>
      <c r="AS33" s="16">
        <f t="shared" si="48"/>
        <v>7779558.7000000002</v>
      </c>
      <c r="AT33" s="16">
        <f t="shared" si="27"/>
        <v>3152.17</v>
      </c>
      <c r="AU33" s="236">
        <f t="shared" si="49"/>
        <v>44</v>
      </c>
      <c r="AV33" s="192">
        <f t="shared" si="50"/>
        <v>0.32550725798247787</v>
      </c>
      <c r="AW33" s="236">
        <f t="shared" si="51"/>
        <v>23899801.031222399</v>
      </c>
      <c r="AX33" s="237">
        <f t="shared" si="28"/>
        <v>9683.8739996849272</v>
      </c>
      <c r="AY33" s="236">
        <f t="shared" si="52"/>
        <v>14</v>
      </c>
    </row>
    <row r="34" spans="1:51" s="5" customFormat="1" ht="15.6" customHeight="1">
      <c r="A34" s="1285">
        <v>31</v>
      </c>
      <c r="B34" s="1286" t="s">
        <v>111</v>
      </c>
      <c r="C34" s="1287">
        <f>+'Table 8 Membership 2.1.14'!W33</f>
        <v>6374</v>
      </c>
      <c r="D34" s="1287">
        <f>+'[4]ALL- TABLE 3 '!AA36-'[4]ALL- TABLE 3 '!W36-'[4]ALL- TABLE 3 '!X36-'[4]ALL- TABLE 3 '!Y36-'[4]ALL- TABLE 3 '!Z36</f>
        <v>3954</v>
      </c>
      <c r="E34" s="1287">
        <f t="shared" si="14"/>
        <v>870</v>
      </c>
      <c r="F34" s="1287">
        <f>+'[5]MS6887_Total CTE T3 corrected'!M36</f>
        <v>2540.5</v>
      </c>
      <c r="G34" s="1287">
        <f t="shared" si="15"/>
        <v>152</v>
      </c>
      <c r="H34" s="1287">
        <f>+'[6]MFP Funded SWD -Table 3'!W35</f>
        <v>772</v>
      </c>
      <c r="I34" s="1287">
        <f t="shared" si="29"/>
        <v>1158</v>
      </c>
      <c r="J34" s="1287">
        <f>+'[6]MFP Funded GT -Table 3'!S35</f>
        <v>342</v>
      </c>
      <c r="K34" s="1287">
        <f t="shared" si="30"/>
        <v>205</v>
      </c>
      <c r="L34" s="1288">
        <f t="shared" si="16"/>
        <v>1126</v>
      </c>
      <c r="M34" s="1289">
        <f t="shared" si="17"/>
        <v>3.0030000000000001E-2</v>
      </c>
      <c r="N34" s="1287">
        <f t="shared" si="18"/>
        <v>191</v>
      </c>
      <c r="O34" s="1287">
        <f t="shared" si="31"/>
        <v>2576</v>
      </c>
      <c r="P34" s="1287">
        <f t="shared" si="19"/>
        <v>8950</v>
      </c>
      <c r="Q34" s="1290">
        <f t="shared" si="32"/>
        <v>3961</v>
      </c>
      <c r="R34" s="1290">
        <f t="shared" si="20"/>
        <v>35450950</v>
      </c>
      <c r="S34" s="1290">
        <f>'Table 6 (Local Deduct Calc.)'!J37</f>
        <v>12420065</v>
      </c>
      <c r="T34" s="1290">
        <f t="shared" si="33"/>
        <v>12420065</v>
      </c>
      <c r="U34" s="1291">
        <f t="shared" si="34"/>
        <v>23030885</v>
      </c>
      <c r="V34" s="1292">
        <f t="shared" si="53"/>
        <v>0.64970000000000006</v>
      </c>
      <c r="W34" s="1292">
        <f t="shared" si="35"/>
        <v>0.3503</v>
      </c>
      <c r="X34" s="1293">
        <f t="shared" si="21"/>
        <v>1948.5511452776907</v>
      </c>
      <c r="Y34" s="1290">
        <f>'Table 7 Local Revenue'!AQ38</f>
        <v>32088966</v>
      </c>
      <c r="Z34" s="1290">
        <f t="shared" si="36"/>
        <v>19668901</v>
      </c>
      <c r="AA34" s="1294">
        <f t="shared" si="37"/>
        <v>0</v>
      </c>
      <c r="AB34" s="1295">
        <f t="shared" si="38"/>
        <v>12053323</v>
      </c>
      <c r="AC34" s="1295">
        <f t="shared" si="39"/>
        <v>12053323</v>
      </c>
      <c r="AD34" s="1290">
        <f t="shared" si="40"/>
        <v>7262319.9606679995</v>
      </c>
      <c r="AE34" s="1296">
        <f t="shared" si="41"/>
        <v>4791003.0393320005</v>
      </c>
      <c r="AF34" s="1297">
        <f t="shared" si="42"/>
        <v>0.39750000000000002</v>
      </c>
      <c r="AG34" s="1296">
        <f t="shared" si="43"/>
        <v>27821888.039332002</v>
      </c>
      <c r="AH34" s="1295">
        <f t="shared" si="22"/>
        <v>4365</v>
      </c>
      <c r="AI34" s="1296">
        <f>+'Table 3A Level 3'!O36</f>
        <v>992529</v>
      </c>
      <c r="AJ34" s="1295">
        <f t="shared" si="23"/>
        <v>155.71524945089425</v>
      </c>
      <c r="AK34" s="1296">
        <f t="shared" si="44"/>
        <v>28814417.039332002</v>
      </c>
      <c r="AL34" s="1295">
        <f t="shared" si="24"/>
        <v>4520.6176716868531</v>
      </c>
      <c r="AM34" s="1298">
        <f>+'Table 3A Level 3'!P36</f>
        <v>4949699.42</v>
      </c>
      <c r="AN34" s="1299">
        <f t="shared" si="25"/>
        <v>776.54524945089429</v>
      </c>
      <c r="AO34" s="1296">
        <f t="shared" si="45"/>
        <v>32771587.459332004</v>
      </c>
      <c r="AP34" s="1295">
        <f t="shared" si="26"/>
        <v>5141.4476716868539</v>
      </c>
      <c r="AQ34" s="1297">
        <f t="shared" si="46"/>
        <v>0.57247971889888583</v>
      </c>
      <c r="AR34" s="1300">
        <f t="shared" si="47"/>
        <v>48</v>
      </c>
      <c r="AS34" s="1295">
        <f t="shared" si="48"/>
        <v>24473388</v>
      </c>
      <c r="AT34" s="1295">
        <f t="shared" si="27"/>
        <v>3839.57</v>
      </c>
      <c r="AU34" s="1300">
        <f t="shared" si="49"/>
        <v>23</v>
      </c>
      <c r="AV34" s="1297">
        <f t="shared" si="50"/>
        <v>0.42752028110111417</v>
      </c>
      <c r="AW34" s="1300">
        <f t="shared" si="51"/>
        <v>57244975.459332004</v>
      </c>
      <c r="AX34" s="1301">
        <f t="shared" si="28"/>
        <v>8981.0127799391284</v>
      </c>
      <c r="AY34" s="1300">
        <f t="shared" si="52"/>
        <v>42</v>
      </c>
    </row>
    <row r="35" spans="1:51" s="5" customFormat="1" ht="15.6" customHeight="1">
      <c r="A35" s="1285">
        <v>32</v>
      </c>
      <c r="B35" s="1286" t="s">
        <v>112</v>
      </c>
      <c r="C35" s="1286">
        <f>+'Table 8 Membership 2.1.14'!W34</f>
        <v>25177</v>
      </c>
      <c r="D35" s="1287">
        <f>+'[4]ALL- TABLE 3 '!AA37-'[4]ALL- TABLE 3 '!W37-'[4]ALL- TABLE 3 '!X37-'[4]ALL- TABLE 3 '!Y37-'[4]ALL- TABLE 3 '!Z37</f>
        <v>12601</v>
      </c>
      <c r="E35" s="1287">
        <f t="shared" si="14"/>
        <v>2772</v>
      </c>
      <c r="F35" s="1287">
        <f>+'[5]MS6887_Total CTE T3 corrected'!M37</f>
        <v>10978.5</v>
      </c>
      <c r="G35" s="1287">
        <f t="shared" si="15"/>
        <v>659</v>
      </c>
      <c r="H35" s="1287">
        <f>+'[6]MFP Funded SWD -Table 3'!W36</f>
        <v>3189</v>
      </c>
      <c r="I35" s="1287">
        <f t="shared" si="29"/>
        <v>4784</v>
      </c>
      <c r="J35" s="1287">
        <f>+'[6]MFP Funded GT -Table 3'!S36</f>
        <v>1177</v>
      </c>
      <c r="K35" s="1287">
        <f t="shared" si="30"/>
        <v>706</v>
      </c>
      <c r="L35" s="1287">
        <f t="shared" si="16"/>
        <v>0</v>
      </c>
      <c r="M35" s="1289">
        <f t="shared" si="17"/>
        <v>0</v>
      </c>
      <c r="N35" s="1287">
        <f t="shared" si="18"/>
        <v>0</v>
      </c>
      <c r="O35" s="1287">
        <f t="shared" si="31"/>
        <v>8921</v>
      </c>
      <c r="P35" s="1287">
        <f t="shared" si="19"/>
        <v>34098</v>
      </c>
      <c r="Q35" s="1290">
        <f t="shared" si="32"/>
        <v>3961</v>
      </c>
      <c r="R35" s="1290">
        <f t="shared" si="20"/>
        <v>135062178</v>
      </c>
      <c r="S35" s="1290">
        <f>'Table 6 (Local Deduct Calc.)'!J38</f>
        <v>20304689.5</v>
      </c>
      <c r="T35" s="1290">
        <f t="shared" si="33"/>
        <v>20304689.5</v>
      </c>
      <c r="U35" s="1291">
        <f t="shared" si="34"/>
        <v>114757488.5</v>
      </c>
      <c r="V35" s="1292">
        <f t="shared" si="53"/>
        <v>0.84970000000000001</v>
      </c>
      <c r="W35" s="1292">
        <f t="shared" si="35"/>
        <v>0.15029999999999999</v>
      </c>
      <c r="X35" s="1293">
        <f t="shared" si="21"/>
        <v>806.47771775827141</v>
      </c>
      <c r="Y35" s="1290">
        <f>'Table 7 Local Revenue'!AQ39</f>
        <v>53603593.5</v>
      </c>
      <c r="Z35" s="1307">
        <f>IF(Y35-T35&gt;0,Y35-T35,0)-1412716</f>
        <v>31886188</v>
      </c>
      <c r="AA35" s="1294">
        <f t="shared" si="37"/>
        <v>0</v>
      </c>
      <c r="AB35" s="1295">
        <f t="shared" si="38"/>
        <v>45921140.520000003</v>
      </c>
      <c r="AC35" s="1295">
        <f t="shared" si="39"/>
        <v>31886188</v>
      </c>
      <c r="AD35" s="1290">
        <f t="shared" si="40"/>
        <v>8243089.7770079989</v>
      </c>
      <c r="AE35" s="1296">
        <f t="shared" si="41"/>
        <v>23643098.222992003</v>
      </c>
      <c r="AF35" s="1297">
        <f t="shared" si="42"/>
        <v>0.74150000000000005</v>
      </c>
      <c r="AG35" s="1296">
        <f t="shared" si="43"/>
        <v>138400586.722992</v>
      </c>
      <c r="AH35" s="1295">
        <f t="shared" si="22"/>
        <v>5497</v>
      </c>
      <c r="AI35" s="1296">
        <f>+'Table 3A Level 3'!O37</f>
        <v>3920442</v>
      </c>
      <c r="AJ35" s="1295">
        <f t="shared" si="23"/>
        <v>155.71521626881679</v>
      </c>
      <c r="AK35" s="1296">
        <f t="shared" si="44"/>
        <v>142321028.722992</v>
      </c>
      <c r="AL35" s="1295">
        <f t="shared" si="24"/>
        <v>5652.819189061127</v>
      </c>
      <c r="AM35" s="1298">
        <f>+'Table 3A Level 3'!P37</f>
        <v>18013771.289999999</v>
      </c>
      <c r="AN35" s="1299">
        <f t="shared" si="25"/>
        <v>715.48521626881677</v>
      </c>
      <c r="AO35" s="1296">
        <f t="shared" si="45"/>
        <v>156414358.01299199</v>
      </c>
      <c r="AP35" s="1295">
        <f t="shared" si="26"/>
        <v>6212.5891890611274</v>
      </c>
      <c r="AQ35" s="1297">
        <f t="shared" si="46"/>
        <v>0.74981031817511823</v>
      </c>
      <c r="AR35" s="1300">
        <f t="shared" si="47"/>
        <v>4</v>
      </c>
      <c r="AS35" s="1295">
        <f t="shared" si="48"/>
        <v>52190877.5</v>
      </c>
      <c r="AT35" s="1295">
        <f t="shared" si="27"/>
        <v>2072.96</v>
      </c>
      <c r="AU35" s="1300">
        <f t="shared" si="49"/>
        <v>65</v>
      </c>
      <c r="AV35" s="1297">
        <f t="shared" si="50"/>
        <v>0.25018968182488177</v>
      </c>
      <c r="AW35" s="1300">
        <f t="shared" si="51"/>
        <v>208605235.51299199</v>
      </c>
      <c r="AX35" s="1301">
        <f t="shared" si="28"/>
        <v>8285.5477425027602</v>
      </c>
      <c r="AY35" s="1300">
        <f t="shared" si="52"/>
        <v>64</v>
      </c>
    </row>
    <row r="36" spans="1:51" s="5" customFormat="1" ht="15.6" customHeight="1">
      <c r="A36" s="1285">
        <v>33</v>
      </c>
      <c r="B36" s="1286" t="s">
        <v>113</v>
      </c>
      <c r="C36" s="1286">
        <f>+'Table 8 Membership 2.1.14'!W35</f>
        <v>1713</v>
      </c>
      <c r="D36" s="1287">
        <f>+'[4]ALL- TABLE 3 '!AA38-'[4]ALL- TABLE 3 '!W38-'[4]ALL- TABLE 3 '!X38-'[4]ALL- TABLE 3 '!Y38-'[4]ALL- TABLE 3 '!Z38</f>
        <v>1558</v>
      </c>
      <c r="E36" s="1287">
        <f t="shared" ref="E36:E67" si="54">ROUND($D$1*D36,0)</f>
        <v>343</v>
      </c>
      <c r="F36" s="1287">
        <f>+'[5]MS6887_Total CTE T3 corrected'!M38</f>
        <v>548.5</v>
      </c>
      <c r="G36" s="1287">
        <f t="shared" ref="G36:G67" si="55">ROUND($F$1*F36,0)</f>
        <v>33</v>
      </c>
      <c r="H36" s="1287">
        <f>+'[6]MFP Funded SWD -Table 3'!W37</f>
        <v>172</v>
      </c>
      <c r="I36" s="1287">
        <f t="shared" si="29"/>
        <v>258</v>
      </c>
      <c r="J36" s="1287">
        <f>+'[6]MFP Funded GT -Table 3'!S37</f>
        <v>10</v>
      </c>
      <c r="K36" s="1287">
        <f t="shared" si="30"/>
        <v>6</v>
      </c>
      <c r="L36" s="1287">
        <f t="shared" ref="L36:L72" si="56">IF(C36&lt;$L$1,$L$1-C36,0)</f>
        <v>5787</v>
      </c>
      <c r="M36" s="1289">
        <f t="shared" ref="M36:M67" si="57">ROUND(L36/$M$1,5)</f>
        <v>0.15432000000000001</v>
      </c>
      <c r="N36" s="1287">
        <f t="shared" ref="N36:N67" si="58" xml:space="preserve"> ROUND(C36*M36,0)</f>
        <v>264</v>
      </c>
      <c r="O36" s="1287">
        <f t="shared" si="31"/>
        <v>904</v>
      </c>
      <c r="P36" s="1287">
        <f t="shared" ref="P36:P67" si="59">O36+C36</f>
        <v>2617</v>
      </c>
      <c r="Q36" s="1290">
        <f t="shared" si="32"/>
        <v>3961</v>
      </c>
      <c r="R36" s="1290">
        <f t="shared" ref="R36:R67" si="60">ROUND(P36*Q36,0)</f>
        <v>10365937</v>
      </c>
      <c r="S36" s="1290">
        <f>'Table 6 (Local Deduct Calc.)'!J39</f>
        <v>2891625</v>
      </c>
      <c r="T36" s="1290">
        <f t="shared" si="33"/>
        <v>2891625</v>
      </c>
      <c r="U36" s="1291">
        <f t="shared" si="34"/>
        <v>7474312</v>
      </c>
      <c r="V36" s="1292">
        <f t="shared" si="53"/>
        <v>0.72099999999999997</v>
      </c>
      <c r="W36" s="1292">
        <f t="shared" si="35"/>
        <v>0.27900000000000003</v>
      </c>
      <c r="X36" s="1293">
        <f t="shared" ref="X36:X67" si="61">T36/C36</f>
        <v>1688.047285464098</v>
      </c>
      <c r="Y36" s="1290">
        <f>'Table 7 Local Revenue'!AQ40</f>
        <v>5978340</v>
      </c>
      <c r="Z36" s="1290">
        <f t="shared" si="36"/>
        <v>3086715</v>
      </c>
      <c r="AA36" s="1294">
        <f t="shared" si="37"/>
        <v>0</v>
      </c>
      <c r="AB36" s="1295">
        <f t="shared" si="38"/>
        <v>3524418.58</v>
      </c>
      <c r="AC36" s="1295">
        <f t="shared" si="39"/>
        <v>3086715</v>
      </c>
      <c r="AD36" s="1290">
        <f t="shared" si="40"/>
        <v>1481252.7942000001</v>
      </c>
      <c r="AE36" s="1296">
        <f t="shared" si="41"/>
        <v>1605462.2057999999</v>
      </c>
      <c r="AF36" s="1297">
        <f t="shared" si="42"/>
        <v>0.52010000000000001</v>
      </c>
      <c r="AG36" s="1296">
        <f t="shared" si="43"/>
        <v>9079774.2058000006</v>
      </c>
      <c r="AH36" s="1295">
        <f t="shared" ref="AH36:AH67" si="62">ROUND(AG36/C36,0)</f>
        <v>5301</v>
      </c>
      <c r="AI36" s="1296">
        <f>+'Table 3A Level 3'!O38</f>
        <v>266740</v>
      </c>
      <c r="AJ36" s="1295">
        <f t="shared" ref="AJ36:AJ67" si="63">AI36/C36</f>
        <v>155.71511967308814</v>
      </c>
      <c r="AK36" s="1296">
        <f t="shared" si="44"/>
        <v>9346514.2058000006</v>
      </c>
      <c r="AL36" s="1295">
        <f t="shared" ref="AL36:AL67" si="64">AK36/C36</f>
        <v>5456.2254558085233</v>
      </c>
      <c r="AM36" s="1298">
        <f>+'Table 3A Level 3'!P38</f>
        <v>1389286.03</v>
      </c>
      <c r="AN36" s="1299">
        <f t="shared" ref="AN36:AN67" si="65">AM36/C36</f>
        <v>811.02511967308817</v>
      </c>
      <c r="AO36" s="1296">
        <f t="shared" si="45"/>
        <v>10469060.2358</v>
      </c>
      <c r="AP36" s="1295">
        <f t="shared" ref="AP36:AP67" si="66">AO36/C36</f>
        <v>6111.5354558085228</v>
      </c>
      <c r="AQ36" s="1297">
        <f t="shared" si="46"/>
        <v>0.63651763109726411</v>
      </c>
      <c r="AR36" s="1300">
        <f t="shared" si="47"/>
        <v>35</v>
      </c>
      <c r="AS36" s="1295">
        <f t="shared" si="48"/>
        <v>5978340</v>
      </c>
      <c r="AT36" s="1295">
        <f t="shared" ref="AT36:AT67" si="67">ROUND(AS36/C36,2)</f>
        <v>3489.98</v>
      </c>
      <c r="AU36" s="1300">
        <f t="shared" si="49"/>
        <v>30</v>
      </c>
      <c r="AV36" s="1297">
        <f t="shared" si="50"/>
        <v>0.36348236890273583</v>
      </c>
      <c r="AW36" s="1300">
        <f t="shared" si="51"/>
        <v>16447400.2358</v>
      </c>
      <c r="AX36" s="1301">
        <f t="shared" ref="AX36:AX67" si="68">AW36/C36</f>
        <v>9601.5179426736722</v>
      </c>
      <c r="AY36" s="1300">
        <f t="shared" si="52"/>
        <v>17</v>
      </c>
    </row>
    <row r="37" spans="1:51" s="5" customFormat="1" ht="15.6" customHeight="1">
      <c r="A37" s="1285">
        <v>34</v>
      </c>
      <c r="B37" s="1286" t="s">
        <v>114</v>
      </c>
      <c r="C37" s="1286">
        <f>+'Table 8 Membership 2.1.14'!W36</f>
        <v>4403</v>
      </c>
      <c r="D37" s="1287">
        <f>+'[4]ALL- TABLE 3 '!AA39-'[4]ALL- TABLE 3 '!W39-'[4]ALL- TABLE 3 '!X39-'[4]ALL- TABLE 3 '!Y39-'[4]ALL- TABLE 3 '!Z39</f>
        <v>3704</v>
      </c>
      <c r="E37" s="1287">
        <f t="shared" si="54"/>
        <v>815</v>
      </c>
      <c r="F37" s="1287">
        <f>+'[5]MS6887_Total CTE T3 corrected'!M39</f>
        <v>1690.5</v>
      </c>
      <c r="G37" s="1287">
        <f t="shared" si="55"/>
        <v>101</v>
      </c>
      <c r="H37" s="1287">
        <f>+'[6]MFP Funded SWD -Table 3'!W38</f>
        <v>688</v>
      </c>
      <c r="I37" s="1287">
        <f t="shared" si="29"/>
        <v>1032</v>
      </c>
      <c r="J37" s="1287">
        <f>+'[6]MFP Funded GT -Table 3'!S38</f>
        <v>39</v>
      </c>
      <c r="K37" s="1287">
        <f t="shared" si="30"/>
        <v>23</v>
      </c>
      <c r="L37" s="1287">
        <f t="shared" si="56"/>
        <v>3097</v>
      </c>
      <c r="M37" s="1289">
        <f t="shared" si="57"/>
        <v>8.2589999999999997E-2</v>
      </c>
      <c r="N37" s="1287">
        <f t="shared" si="58"/>
        <v>364</v>
      </c>
      <c r="O37" s="1287">
        <f t="shared" si="31"/>
        <v>2335</v>
      </c>
      <c r="P37" s="1287">
        <f t="shared" si="59"/>
        <v>6738</v>
      </c>
      <c r="Q37" s="1290">
        <f t="shared" si="32"/>
        <v>3961</v>
      </c>
      <c r="R37" s="1290">
        <f t="shared" si="60"/>
        <v>26689218</v>
      </c>
      <c r="S37" s="1290">
        <f>'Table 6 (Local Deduct Calc.)'!J40</f>
        <v>4948060</v>
      </c>
      <c r="T37" s="1290">
        <f t="shared" si="33"/>
        <v>4948060</v>
      </c>
      <c r="U37" s="1291">
        <f t="shared" si="34"/>
        <v>21741158</v>
      </c>
      <c r="V37" s="1292">
        <f t="shared" si="53"/>
        <v>0.81459999999999999</v>
      </c>
      <c r="W37" s="1292">
        <f t="shared" si="35"/>
        <v>0.18540000000000001</v>
      </c>
      <c r="X37" s="1293">
        <f t="shared" si="61"/>
        <v>1123.7928684987507</v>
      </c>
      <c r="Y37" s="1290">
        <f>'Table 7 Local Revenue'!AQ41</f>
        <v>12696175</v>
      </c>
      <c r="Z37" s="1290">
        <f t="shared" si="36"/>
        <v>7748115</v>
      </c>
      <c r="AA37" s="1294">
        <f t="shared" si="37"/>
        <v>0</v>
      </c>
      <c r="AB37" s="1295">
        <f t="shared" si="38"/>
        <v>9074334.120000001</v>
      </c>
      <c r="AC37" s="1295">
        <f t="shared" si="39"/>
        <v>7748115</v>
      </c>
      <c r="AD37" s="1290">
        <f t="shared" si="40"/>
        <v>2470780.8961200002</v>
      </c>
      <c r="AE37" s="1296">
        <f t="shared" si="41"/>
        <v>5277334.1038799994</v>
      </c>
      <c r="AF37" s="1297">
        <f t="shared" si="42"/>
        <v>0.68110000000000004</v>
      </c>
      <c r="AG37" s="1296">
        <f t="shared" si="43"/>
        <v>27018492.103879999</v>
      </c>
      <c r="AH37" s="1295">
        <f t="shared" si="62"/>
        <v>6136</v>
      </c>
      <c r="AI37" s="1296">
        <f>+'Table 3A Level 3'!O39</f>
        <v>685614</v>
      </c>
      <c r="AJ37" s="1295">
        <f t="shared" si="63"/>
        <v>155.71519418578242</v>
      </c>
      <c r="AK37" s="1296">
        <f t="shared" si="44"/>
        <v>27704106.103879999</v>
      </c>
      <c r="AL37" s="1295">
        <f t="shared" si="64"/>
        <v>6292.0976842789005</v>
      </c>
      <c r="AM37" s="1298">
        <f>+'Table 3A Level 3'!P39</f>
        <v>3521630.3300000005</v>
      </c>
      <c r="AN37" s="1299">
        <f t="shared" si="65"/>
        <v>799.82519418578249</v>
      </c>
      <c r="AO37" s="1296">
        <f>AG37+AM37</f>
        <v>30540122.433880001</v>
      </c>
      <c r="AP37" s="1295">
        <f t="shared" si="66"/>
        <v>6936.2076842789011</v>
      </c>
      <c r="AQ37" s="1297">
        <f t="shared" si="46"/>
        <v>0.7063537871295319</v>
      </c>
      <c r="AR37" s="1300">
        <f t="shared" si="47"/>
        <v>13</v>
      </c>
      <c r="AS37" s="1295">
        <f t="shared" si="48"/>
        <v>12696175</v>
      </c>
      <c r="AT37" s="1295">
        <f t="shared" si="67"/>
        <v>2883.53</v>
      </c>
      <c r="AU37" s="1300">
        <f t="shared" si="49"/>
        <v>52</v>
      </c>
      <c r="AV37" s="1297">
        <f t="shared" si="50"/>
        <v>0.2936462128704681</v>
      </c>
      <c r="AW37" s="1300">
        <f t="shared" si="51"/>
        <v>43236297.433880001</v>
      </c>
      <c r="AX37" s="1301">
        <f t="shared" si="68"/>
        <v>9819.7359604542362</v>
      </c>
      <c r="AY37" s="1300">
        <f t="shared" si="52"/>
        <v>12</v>
      </c>
    </row>
    <row r="38" spans="1:51" s="17" customFormat="1" ht="15.6" customHeight="1">
      <c r="A38" s="87">
        <v>35</v>
      </c>
      <c r="B38" s="67" t="s">
        <v>115</v>
      </c>
      <c r="C38" s="67">
        <f>+'Table 8 Membership 2.1.14'!W37</f>
        <v>6407</v>
      </c>
      <c r="D38" s="15">
        <f>+'[4]ALL- TABLE 3 '!AA40-'[4]ALL- TABLE 3 '!W40-'[4]ALL- TABLE 3 '!X40-'[4]ALL- TABLE 3 '!Y40-'[4]ALL- TABLE 3 '!Z40</f>
        <v>4737</v>
      </c>
      <c r="E38" s="15">
        <f t="shared" si="54"/>
        <v>1042</v>
      </c>
      <c r="F38" s="15">
        <f>+'[5]MS6887_Total CTE T3 corrected'!M40</f>
        <v>2199</v>
      </c>
      <c r="G38" s="15">
        <f t="shared" si="55"/>
        <v>132</v>
      </c>
      <c r="H38" s="15">
        <f>+'[6]MFP Funded SWD -Table 3'!W39</f>
        <v>759</v>
      </c>
      <c r="I38" s="15">
        <f t="shared" si="29"/>
        <v>1139</v>
      </c>
      <c r="J38" s="15">
        <f>+'[6]MFP Funded GT -Table 3'!S39</f>
        <v>224</v>
      </c>
      <c r="K38" s="15">
        <f t="shared" si="30"/>
        <v>134</v>
      </c>
      <c r="L38" s="15">
        <f t="shared" si="56"/>
        <v>1093</v>
      </c>
      <c r="M38" s="54">
        <f t="shared" si="57"/>
        <v>2.9149999999999999E-2</v>
      </c>
      <c r="N38" s="15">
        <f t="shared" si="58"/>
        <v>187</v>
      </c>
      <c r="O38" s="15">
        <f t="shared" si="31"/>
        <v>2634</v>
      </c>
      <c r="P38" s="1302">
        <f t="shared" si="59"/>
        <v>9041</v>
      </c>
      <c r="Q38" s="230">
        <f t="shared" si="32"/>
        <v>3961</v>
      </c>
      <c r="R38" s="230">
        <f t="shared" si="60"/>
        <v>35811401</v>
      </c>
      <c r="S38" s="230">
        <f>'Table 6 (Local Deduct Calc.)'!J41</f>
        <v>9753212</v>
      </c>
      <c r="T38" s="230">
        <f t="shared" si="33"/>
        <v>9753212</v>
      </c>
      <c r="U38" s="231">
        <f t="shared" si="34"/>
        <v>26058189</v>
      </c>
      <c r="V38" s="232">
        <f t="shared" si="53"/>
        <v>0.72770000000000001</v>
      </c>
      <c r="W38" s="233">
        <f t="shared" si="35"/>
        <v>0.27229999999999999</v>
      </c>
      <c r="X38" s="234">
        <f t="shared" si="61"/>
        <v>1522.2743873887935</v>
      </c>
      <c r="Y38" s="230">
        <f>'Table 7 Local Revenue'!AQ42</f>
        <v>21122279</v>
      </c>
      <c r="Z38" s="230">
        <f t="shared" si="36"/>
        <v>11369067</v>
      </c>
      <c r="AA38" s="199">
        <f t="shared" si="37"/>
        <v>0</v>
      </c>
      <c r="AB38" s="16">
        <f t="shared" si="38"/>
        <v>12175876.340000002</v>
      </c>
      <c r="AC38" s="16">
        <f t="shared" si="39"/>
        <v>11369067</v>
      </c>
      <c r="AD38" s="230">
        <f t="shared" si="40"/>
        <v>5324770.7438519998</v>
      </c>
      <c r="AE38" s="235">
        <f t="shared" si="41"/>
        <v>6044296.2561480002</v>
      </c>
      <c r="AF38" s="192">
        <f t="shared" si="42"/>
        <v>0.53159999999999996</v>
      </c>
      <c r="AG38" s="235">
        <f t="shared" si="43"/>
        <v>32102485.256147999</v>
      </c>
      <c r="AH38" s="16">
        <f t="shared" si="62"/>
        <v>5011</v>
      </c>
      <c r="AI38" s="235">
        <f>+'Table 3A Level 3'!O40</f>
        <v>997667</v>
      </c>
      <c r="AJ38" s="16">
        <f t="shared" si="63"/>
        <v>155.71515529889183</v>
      </c>
      <c r="AK38" s="235">
        <f t="shared" si="44"/>
        <v>33100152.256147999</v>
      </c>
      <c r="AL38" s="16">
        <f t="shared" si="64"/>
        <v>5166.2482060477605</v>
      </c>
      <c r="AM38" s="287">
        <f>+'Table 3A Level 3'!P40</f>
        <v>4444376.7200000007</v>
      </c>
      <c r="AN38" s="288">
        <f t="shared" si="65"/>
        <v>693.67515529889192</v>
      </c>
      <c r="AO38" s="235">
        <f t="shared" si="45"/>
        <v>36546861.976148002</v>
      </c>
      <c r="AP38" s="16">
        <f t="shared" si="66"/>
        <v>5704.2082060477605</v>
      </c>
      <c r="AQ38" s="192">
        <f t="shared" si="46"/>
        <v>0.63373342063936433</v>
      </c>
      <c r="AR38" s="236">
        <f t="shared" si="47"/>
        <v>37</v>
      </c>
      <c r="AS38" s="16">
        <f t="shared" si="48"/>
        <v>21122279</v>
      </c>
      <c r="AT38" s="16">
        <f t="shared" si="67"/>
        <v>3296.75</v>
      </c>
      <c r="AU38" s="236">
        <f t="shared" si="49"/>
        <v>39</v>
      </c>
      <c r="AV38" s="192">
        <f t="shared" si="50"/>
        <v>0.36626657936063567</v>
      </c>
      <c r="AW38" s="236">
        <f t="shared" si="51"/>
        <v>57669140.976148002</v>
      </c>
      <c r="AX38" s="237">
        <f t="shared" si="68"/>
        <v>9000.9584791865145</v>
      </c>
      <c r="AY38" s="236">
        <f t="shared" si="52"/>
        <v>41</v>
      </c>
    </row>
    <row r="39" spans="1:51" s="5" customFormat="1" ht="15.6" customHeight="1">
      <c r="A39" s="1285">
        <v>36</v>
      </c>
      <c r="B39" s="1286" t="s">
        <v>116</v>
      </c>
      <c r="C39" s="1287">
        <f>+'Table 8 Membership 2.1.14'!W38</f>
        <v>42117</v>
      </c>
      <c r="D39" s="1287">
        <f>+'[4]ALL- TABLE 3 '!AA41-'[4]ALL- TABLE 3 '!W41-'[4]ALL- TABLE 3 '!X41-'[4]ALL- TABLE 3 '!Y41-'[4]ALL- TABLE 3 '!Z41</f>
        <v>36305</v>
      </c>
      <c r="E39" s="1287">
        <f t="shared" si="54"/>
        <v>7987</v>
      </c>
      <c r="F39" s="1287">
        <f>+'[5]MS6887_Total CTE T3 corrected'!M41</f>
        <v>5081</v>
      </c>
      <c r="G39" s="1287">
        <f t="shared" si="55"/>
        <v>305</v>
      </c>
      <c r="H39" s="1287">
        <f>+'[6]MFP Funded SWD -Table 3'!W40</f>
        <v>5256</v>
      </c>
      <c r="I39" s="1287">
        <f t="shared" si="29"/>
        <v>7884</v>
      </c>
      <c r="J39" s="1287">
        <f>+'[6]MFP Funded GT -Table 3'!S40</f>
        <v>2974</v>
      </c>
      <c r="K39" s="1287">
        <f t="shared" si="30"/>
        <v>1784</v>
      </c>
      <c r="L39" s="1288">
        <f t="shared" si="56"/>
        <v>0</v>
      </c>
      <c r="M39" s="1289">
        <f t="shared" si="57"/>
        <v>0</v>
      </c>
      <c r="N39" s="1287">
        <f t="shared" si="58"/>
        <v>0</v>
      </c>
      <c r="O39" s="1287">
        <f t="shared" si="31"/>
        <v>17960</v>
      </c>
      <c r="P39" s="1287">
        <f t="shared" si="59"/>
        <v>60077</v>
      </c>
      <c r="Q39" s="1290">
        <f t="shared" si="32"/>
        <v>3961</v>
      </c>
      <c r="R39" s="1290">
        <f t="shared" si="60"/>
        <v>237964997</v>
      </c>
      <c r="S39" s="1290">
        <f>'Table 6 (Local Deduct Calc.)'!J42</f>
        <v>109598410</v>
      </c>
      <c r="T39" s="1290">
        <f t="shared" si="33"/>
        <v>109598410</v>
      </c>
      <c r="U39" s="1291">
        <f t="shared" si="34"/>
        <v>128366587</v>
      </c>
      <c r="V39" s="1292">
        <f t="shared" si="53"/>
        <v>0.53939999999999999</v>
      </c>
      <c r="W39" s="1292">
        <f t="shared" si="35"/>
        <v>0.46060000000000001</v>
      </c>
      <c r="X39" s="1293">
        <f t="shared" si="61"/>
        <v>2602.2368639741671</v>
      </c>
      <c r="Y39" s="1290">
        <f>'Table 7 Local Revenue'!AQ43</f>
        <v>244265154</v>
      </c>
      <c r="Z39" s="1290">
        <f t="shared" si="36"/>
        <v>134666744</v>
      </c>
      <c r="AA39" s="1294">
        <f t="shared" si="37"/>
        <v>0</v>
      </c>
      <c r="AB39" s="1295">
        <f t="shared" si="38"/>
        <v>80908098.980000004</v>
      </c>
      <c r="AC39" s="1295">
        <f t="shared" si="39"/>
        <v>80908098.980000004</v>
      </c>
      <c r="AD39" s="1290">
        <f t="shared" si="40"/>
        <v>64097985.071123369</v>
      </c>
      <c r="AE39" s="1296">
        <f t="shared" si="41"/>
        <v>16810113.908876635</v>
      </c>
      <c r="AF39" s="1297">
        <f t="shared" si="42"/>
        <v>0.20780000000000001</v>
      </c>
      <c r="AG39" s="1296">
        <f t="shared" si="43"/>
        <v>145176700.90887663</v>
      </c>
      <c r="AH39" s="1295">
        <f t="shared" si="62"/>
        <v>3447</v>
      </c>
      <c r="AI39" s="1296">
        <f>+'Table 3A Level 3'!O41</f>
        <v>6558257</v>
      </c>
      <c r="AJ39" s="1295">
        <f t="shared" si="63"/>
        <v>155.7151981385189</v>
      </c>
      <c r="AK39" s="1296">
        <f t="shared" si="44"/>
        <v>151734957.90887663</v>
      </c>
      <c r="AL39" s="1295">
        <f t="shared" si="64"/>
        <v>3602.7009974327857</v>
      </c>
      <c r="AM39" s="1298">
        <f>+'Table 3A Level 3'!P41</f>
        <v>37416022.097875699</v>
      </c>
      <c r="AN39" s="1299">
        <f t="shared" si="65"/>
        <v>888.38288809449148</v>
      </c>
      <c r="AO39" s="1296">
        <f>AG39+AM39</f>
        <v>182592723.00675231</v>
      </c>
      <c r="AP39" s="1295">
        <f t="shared" si="66"/>
        <v>4335.3686873887582</v>
      </c>
      <c r="AQ39" s="1297">
        <f t="shared" si="46"/>
        <v>0.48939452926355975</v>
      </c>
      <c r="AR39" s="1300">
        <f t="shared" si="47"/>
        <v>57</v>
      </c>
      <c r="AS39" s="1295">
        <f t="shared" si="48"/>
        <v>190506508.97999999</v>
      </c>
      <c r="AT39" s="1295">
        <f t="shared" si="67"/>
        <v>4523.2700000000004</v>
      </c>
      <c r="AU39" s="1300">
        <f t="shared" si="49"/>
        <v>16</v>
      </c>
      <c r="AV39" s="1297">
        <f t="shared" si="50"/>
        <v>0.51060547073644036</v>
      </c>
      <c r="AW39" s="1300">
        <f t="shared" si="51"/>
        <v>373099231.98675227</v>
      </c>
      <c r="AX39" s="1301">
        <f t="shared" si="68"/>
        <v>8858.6374145060727</v>
      </c>
      <c r="AY39" s="1300">
        <f t="shared" si="52"/>
        <v>47</v>
      </c>
    </row>
    <row r="40" spans="1:51" s="5" customFormat="1" ht="15.6" customHeight="1">
      <c r="A40" s="1285">
        <v>37</v>
      </c>
      <c r="B40" s="1286" t="s">
        <v>117</v>
      </c>
      <c r="C40" s="1286">
        <f>+'Table 8 Membership 2.1.14'!W39</f>
        <v>19478</v>
      </c>
      <c r="D40" s="1287">
        <f>+'[4]ALL- TABLE 3 '!AA42-'[4]ALL- TABLE 3 '!W42-'[4]ALL- TABLE 3 '!X42-'[4]ALL- TABLE 3 '!Y42-'[4]ALL- TABLE 3 '!Z42</f>
        <v>11646</v>
      </c>
      <c r="E40" s="1287">
        <f t="shared" si="54"/>
        <v>2562</v>
      </c>
      <c r="F40" s="1287">
        <f>+'[5]MS6887_Total CTE T3 corrected'!M42</f>
        <v>5431.5</v>
      </c>
      <c r="G40" s="1287">
        <f t="shared" si="55"/>
        <v>326</v>
      </c>
      <c r="H40" s="1287">
        <f>+'[6]MFP Funded SWD -Table 3'!W41</f>
        <v>2486</v>
      </c>
      <c r="I40" s="1287">
        <f t="shared" si="29"/>
        <v>3729</v>
      </c>
      <c r="J40" s="1287">
        <f>+'[6]MFP Funded GT -Table 3'!S41</f>
        <v>983</v>
      </c>
      <c r="K40" s="1287">
        <f t="shared" si="30"/>
        <v>590</v>
      </c>
      <c r="L40" s="1287">
        <f t="shared" si="56"/>
        <v>0</v>
      </c>
      <c r="M40" s="1289">
        <f t="shared" si="57"/>
        <v>0</v>
      </c>
      <c r="N40" s="1287">
        <f t="shared" si="58"/>
        <v>0</v>
      </c>
      <c r="O40" s="1287">
        <f t="shared" si="31"/>
        <v>7207</v>
      </c>
      <c r="P40" s="1287">
        <f t="shared" si="59"/>
        <v>26685</v>
      </c>
      <c r="Q40" s="1290">
        <f t="shared" si="32"/>
        <v>3961</v>
      </c>
      <c r="R40" s="1290">
        <f t="shared" si="60"/>
        <v>105699285</v>
      </c>
      <c r="S40" s="1290">
        <f>'Table 6 (Local Deduct Calc.)'!J43</f>
        <v>21654243</v>
      </c>
      <c r="T40" s="1290">
        <f t="shared" si="33"/>
        <v>21654243</v>
      </c>
      <c r="U40" s="1291">
        <f t="shared" si="34"/>
        <v>84045042</v>
      </c>
      <c r="V40" s="1292">
        <f t="shared" si="53"/>
        <v>0.79510000000000003</v>
      </c>
      <c r="W40" s="1292">
        <f t="shared" si="35"/>
        <v>0.2049</v>
      </c>
      <c r="X40" s="1293">
        <f t="shared" si="61"/>
        <v>1111.728257521306</v>
      </c>
      <c r="Y40" s="1290">
        <f>'Table 7 Local Revenue'!AQ44</f>
        <v>66166163</v>
      </c>
      <c r="Z40" s="1290">
        <f t="shared" si="36"/>
        <v>44511920</v>
      </c>
      <c r="AA40" s="1294">
        <f t="shared" si="37"/>
        <v>0</v>
      </c>
      <c r="AB40" s="1295">
        <f t="shared" si="38"/>
        <v>35937756.900000006</v>
      </c>
      <c r="AC40" s="1295">
        <f t="shared" si="39"/>
        <v>35937756.900000006</v>
      </c>
      <c r="AD40" s="1290">
        <f t="shared" si="40"/>
        <v>12665471.788753202</v>
      </c>
      <c r="AE40" s="1296">
        <f t="shared" si="41"/>
        <v>23272285.111246802</v>
      </c>
      <c r="AF40" s="1297">
        <f t="shared" si="42"/>
        <v>0.64759999999999995</v>
      </c>
      <c r="AG40" s="1296">
        <f t="shared" si="43"/>
        <v>107317327.11124679</v>
      </c>
      <c r="AH40" s="1295">
        <f t="shared" si="62"/>
        <v>5510</v>
      </c>
      <c r="AI40" s="1296">
        <f>+'Table 3A Level 3'!O42</f>
        <v>3033021</v>
      </c>
      <c r="AJ40" s="1295">
        <f t="shared" si="63"/>
        <v>155.71521716808707</v>
      </c>
      <c r="AK40" s="1296">
        <f t="shared" si="44"/>
        <v>110350348.11124679</v>
      </c>
      <c r="AL40" s="1295">
        <f t="shared" si="64"/>
        <v>5665.3839260317691</v>
      </c>
      <c r="AM40" s="1298">
        <f>+'Table 3A Level 3'!P42</f>
        <v>15764036.58</v>
      </c>
      <c r="AN40" s="1299">
        <f t="shared" si="65"/>
        <v>809.32521716808708</v>
      </c>
      <c r="AO40" s="1296">
        <f t="shared" si="45"/>
        <v>123081363.69124679</v>
      </c>
      <c r="AP40" s="1295">
        <f t="shared" si="66"/>
        <v>6318.9939260317688</v>
      </c>
      <c r="AQ40" s="1297">
        <f t="shared" si="46"/>
        <v>0.68123690866631881</v>
      </c>
      <c r="AR40" s="1300">
        <f t="shared" si="47"/>
        <v>23</v>
      </c>
      <c r="AS40" s="1295">
        <f t="shared" si="48"/>
        <v>57591999.899999999</v>
      </c>
      <c r="AT40" s="1295">
        <f t="shared" si="67"/>
        <v>2956.77</v>
      </c>
      <c r="AU40" s="1300">
        <f t="shared" si="49"/>
        <v>51</v>
      </c>
      <c r="AV40" s="1297">
        <f t="shared" si="50"/>
        <v>0.31876309133368125</v>
      </c>
      <c r="AW40" s="1300">
        <f t="shared" si="51"/>
        <v>180673363.59124678</v>
      </c>
      <c r="AX40" s="1301">
        <f t="shared" si="68"/>
        <v>9275.7656633764655</v>
      </c>
      <c r="AY40" s="1300">
        <f t="shared" si="52"/>
        <v>24</v>
      </c>
    </row>
    <row r="41" spans="1:51" s="5" customFormat="1" ht="15.6" customHeight="1">
      <c r="A41" s="1285">
        <v>38</v>
      </c>
      <c r="B41" s="1286" t="s">
        <v>118</v>
      </c>
      <c r="C41" s="1286">
        <f>+'Table 8 Membership 2.1.14'!W40</f>
        <v>3874</v>
      </c>
      <c r="D41" s="1287">
        <f>+'[4]ALL- TABLE 3 '!AA43-'[4]ALL- TABLE 3 '!W43-'[4]ALL- TABLE 3 '!X43-'[4]ALL- TABLE 3 '!Y43-'[4]ALL- TABLE 3 '!Z43</f>
        <v>2431</v>
      </c>
      <c r="E41" s="1287">
        <f t="shared" si="54"/>
        <v>535</v>
      </c>
      <c r="F41" s="1287">
        <f>+'[5]MS6887_Total CTE T3 corrected'!M43</f>
        <v>1504.5</v>
      </c>
      <c r="G41" s="1287">
        <f t="shared" si="55"/>
        <v>90</v>
      </c>
      <c r="H41" s="1287">
        <f>+'[6]MFP Funded SWD -Table 3'!W42</f>
        <v>454</v>
      </c>
      <c r="I41" s="1287">
        <f t="shared" si="29"/>
        <v>681</v>
      </c>
      <c r="J41" s="1287">
        <f>+'[6]MFP Funded GT -Table 3'!S42</f>
        <v>202</v>
      </c>
      <c r="K41" s="1287">
        <f t="shared" si="30"/>
        <v>121</v>
      </c>
      <c r="L41" s="1287">
        <f t="shared" si="56"/>
        <v>3626</v>
      </c>
      <c r="M41" s="1289">
        <f t="shared" si="57"/>
        <v>9.6689999999999998E-2</v>
      </c>
      <c r="N41" s="1287">
        <f t="shared" si="58"/>
        <v>375</v>
      </c>
      <c r="O41" s="1287">
        <f t="shared" si="31"/>
        <v>1802</v>
      </c>
      <c r="P41" s="1287">
        <f t="shared" si="59"/>
        <v>5676</v>
      </c>
      <c r="Q41" s="1290">
        <f t="shared" si="32"/>
        <v>3961</v>
      </c>
      <c r="R41" s="1290">
        <f t="shared" si="60"/>
        <v>22482636</v>
      </c>
      <c r="S41" s="1290">
        <f>'Table 6 (Local Deduct Calc.)'!J44</f>
        <v>25743356.5</v>
      </c>
      <c r="T41" s="1290">
        <f t="shared" si="33"/>
        <v>16861977</v>
      </c>
      <c r="U41" s="1291">
        <f t="shared" si="34"/>
        <v>5620659</v>
      </c>
      <c r="V41" s="1292">
        <f t="shared" si="53"/>
        <v>0.25</v>
      </c>
      <c r="W41" s="1292">
        <f t="shared" si="35"/>
        <v>0.75</v>
      </c>
      <c r="X41" s="1293">
        <f t="shared" si="61"/>
        <v>4352.601187403201</v>
      </c>
      <c r="Y41" s="1290">
        <f>'Table 7 Local Revenue'!AQ45</f>
        <v>48937434.5</v>
      </c>
      <c r="Z41" s="1290">
        <f t="shared" si="36"/>
        <v>32075457.5</v>
      </c>
      <c r="AA41" s="1294">
        <f t="shared" si="37"/>
        <v>0</v>
      </c>
      <c r="AB41" s="1295">
        <f t="shared" si="38"/>
        <v>7644096.2400000002</v>
      </c>
      <c r="AC41" s="1295">
        <f t="shared" si="39"/>
        <v>7644096.2400000002</v>
      </c>
      <c r="AD41" s="1290">
        <f t="shared" si="40"/>
        <v>9860884.1496000011</v>
      </c>
      <c r="AE41" s="1296">
        <f t="shared" si="41"/>
        <v>0</v>
      </c>
      <c r="AF41" s="1297">
        <f t="shared" si="42"/>
        <v>0</v>
      </c>
      <c r="AG41" s="1296">
        <f t="shared" si="43"/>
        <v>5620659</v>
      </c>
      <c r="AH41" s="1295">
        <f t="shared" si="62"/>
        <v>1451</v>
      </c>
      <c r="AI41" s="1296">
        <f>+'Table 3A Level 3'!O43</f>
        <v>2471359</v>
      </c>
      <c r="AJ41" s="1295">
        <f t="shared" si="63"/>
        <v>637.93469282395461</v>
      </c>
      <c r="AK41" s="1296">
        <f t="shared" si="44"/>
        <v>8092018</v>
      </c>
      <c r="AL41" s="1295">
        <f t="shared" si="64"/>
        <v>2088.8017552916881</v>
      </c>
      <c r="AM41" s="1298">
        <f>+'Table 3A Level 3'!P43</f>
        <v>5686469.0800000001</v>
      </c>
      <c r="AN41" s="1299">
        <f t="shared" si="65"/>
        <v>1467.8546928239546</v>
      </c>
      <c r="AO41" s="1296">
        <f t="shared" si="45"/>
        <v>11307128.08</v>
      </c>
      <c r="AP41" s="1295">
        <f t="shared" si="66"/>
        <v>2918.7217552916882</v>
      </c>
      <c r="AQ41" s="1297">
        <f t="shared" si="46"/>
        <v>0.31572514221691478</v>
      </c>
      <c r="AR41" s="1300">
        <f t="shared" si="47"/>
        <v>68</v>
      </c>
      <c r="AS41" s="1295">
        <f t="shared" si="48"/>
        <v>24506073.239999998</v>
      </c>
      <c r="AT41" s="1295">
        <f t="shared" si="67"/>
        <v>6325.78</v>
      </c>
      <c r="AU41" s="1300">
        <f t="shared" si="49"/>
        <v>2</v>
      </c>
      <c r="AV41" s="1297">
        <f t="shared" si="50"/>
        <v>0.68427485778308517</v>
      </c>
      <c r="AW41" s="1300">
        <f t="shared" si="51"/>
        <v>35813201.32</v>
      </c>
      <c r="AX41" s="1301">
        <f t="shared" si="68"/>
        <v>9244.5021476510065</v>
      </c>
      <c r="AY41" s="1300">
        <f t="shared" si="52"/>
        <v>27</v>
      </c>
    </row>
    <row r="42" spans="1:51" s="5" customFormat="1" ht="15.6" customHeight="1">
      <c r="A42" s="1285">
        <v>39</v>
      </c>
      <c r="B42" s="1286" t="s">
        <v>119</v>
      </c>
      <c r="C42" s="1286">
        <f>+'Table 8 Membership 2.1.14'!W41</f>
        <v>2797</v>
      </c>
      <c r="D42" s="1287">
        <f>+'[4]ALL- TABLE 3 '!AA44-'[4]ALL- TABLE 3 '!W44-'[4]ALL- TABLE 3 '!X44-'[4]ALL- TABLE 3 '!Y44-'[4]ALL- TABLE 3 '!Z44</f>
        <v>2369</v>
      </c>
      <c r="E42" s="1287">
        <f t="shared" si="54"/>
        <v>521</v>
      </c>
      <c r="F42" s="1287">
        <f>+'[5]MS6887_Total CTE T3 corrected'!M44</f>
        <v>986</v>
      </c>
      <c r="G42" s="1287">
        <f t="shared" si="55"/>
        <v>59</v>
      </c>
      <c r="H42" s="1287">
        <f>+'[6]MFP Funded SWD -Table 3'!W43</f>
        <v>468</v>
      </c>
      <c r="I42" s="1287">
        <f t="shared" si="29"/>
        <v>702</v>
      </c>
      <c r="J42" s="1287">
        <f>+'[6]MFP Funded GT -Table 3'!S43</f>
        <v>34</v>
      </c>
      <c r="K42" s="1287">
        <f t="shared" si="30"/>
        <v>20</v>
      </c>
      <c r="L42" s="1287">
        <f t="shared" si="56"/>
        <v>4703</v>
      </c>
      <c r="M42" s="1289">
        <f t="shared" si="57"/>
        <v>0.12540999999999999</v>
      </c>
      <c r="N42" s="1287">
        <f t="shared" si="58"/>
        <v>351</v>
      </c>
      <c r="O42" s="1287">
        <f t="shared" si="31"/>
        <v>1653</v>
      </c>
      <c r="P42" s="1287">
        <f t="shared" si="59"/>
        <v>4450</v>
      </c>
      <c r="Q42" s="1290">
        <f t="shared" si="32"/>
        <v>3961</v>
      </c>
      <c r="R42" s="1290">
        <f t="shared" si="60"/>
        <v>17626450</v>
      </c>
      <c r="S42" s="1290">
        <f>'Table 6 (Local Deduct Calc.)'!J45</f>
        <v>8751890.5</v>
      </c>
      <c r="T42" s="1290">
        <f t="shared" si="33"/>
        <v>8751890.5</v>
      </c>
      <c r="U42" s="1291">
        <f t="shared" si="34"/>
        <v>8874559.5</v>
      </c>
      <c r="V42" s="1292">
        <f t="shared" si="53"/>
        <v>0.50349999999999995</v>
      </c>
      <c r="W42" s="1292">
        <f t="shared" si="35"/>
        <v>0.4965</v>
      </c>
      <c r="X42" s="1293">
        <f t="shared" si="61"/>
        <v>3129.0277082588486</v>
      </c>
      <c r="Y42" s="1290">
        <f>'Table 7 Local Revenue'!AQ46</f>
        <v>12816968.5</v>
      </c>
      <c r="Z42" s="1290">
        <f t="shared" si="36"/>
        <v>4065078</v>
      </c>
      <c r="AA42" s="1294">
        <f t="shared" si="37"/>
        <v>0</v>
      </c>
      <c r="AB42" s="1295">
        <f t="shared" si="38"/>
        <v>5992993</v>
      </c>
      <c r="AC42" s="1295">
        <f t="shared" si="39"/>
        <v>4065078</v>
      </c>
      <c r="AD42" s="1290">
        <f t="shared" si="40"/>
        <v>3471495.3104399997</v>
      </c>
      <c r="AE42" s="1296">
        <f t="shared" si="41"/>
        <v>593582.68956000032</v>
      </c>
      <c r="AF42" s="1297">
        <f t="shared" si="42"/>
        <v>0.14599999999999999</v>
      </c>
      <c r="AG42" s="1296">
        <f t="shared" si="43"/>
        <v>9468142.1895599999</v>
      </c>
      <c r="AH42" s="1295">
        <f t="shared" si="62"/>
        <v>3385</v>
      </c>
      <c r="AI42" s="1296">
        <f>+'Table 3A Level 3'!O44</f>
        <v>760223</v>
      </c>
      <c r="AJ42" s="1295">
        <f t="shared" si="63"/>
        <v>271.79942795852702</v>
      </c>
      <c r="AK42" s="1296">
        <f t="shared" si="44"/>
        <v>10228365.18956</v>
      </c>
      <c r="AL42" s="1295">
        <f t="shared" si="64"/>
        <v>3656.9056809295676</v>
      </c>
      <c r="AM42" s="1298">
        <f>+'Table 3A Level 3'!P44</f>
        <v>2940920.0780064557</v>
      </c>
      <c r="AN42" s="1299">
        <f t="shared" si="65"/>
        <v>1051.4551583862908</v>
      </c>
      <c r="AO42" s="1296">
        <f t="shared" si="45"/>
        <v>12409062.267566456</v>
      </c>
      <c r="AP42" s="1295">
        <f t="shared" si="66"/>
        <v>4436.5614113573311</v>
      </c>
      <c r="AQ42" s="1297">
        <f t="shared" si="46"/>
        <v>0.49191497393719985</v>
      </c>
      <c r="AR42" s="1300">
        <f t="shared" si="47"/>
        <v>55</v>
      </c>
      <c r="AS42" s="1295">
        <f t="shared" si="48"/>
        <v>12816968.5</v>
      </c>
      <c r="AT42" s="1295">
        <f t="shared" si="67"/>
        <v>4582.3999999999996</v>
      </c>
      <c r="AU42" s="1300">
        <f t="shared" si="49"/>
        <v>14</v>
      </c>
      <c r="AV42" s="1297">
        <f t="shared" si="50"/>
        <v>0.50808502606280004</v>
      </c>
      <c r="AW42" s="1300">
        <f t="shared" si="51"/>
        <v>25226030.767566457</v>
      </c>
      <c r="AX42" s="1301">
        <f t="shared" si="68"/>
        <v>9018.9598739958728</v>
      </c>
      <c r="AY42" s="1300">
        <f t="shared" si="52"/>
        <v>40</v>
      </c>
    </row>
    <row r="43" spans="1:51" s="17" customFormat="1" ht="15.6" customHeight="1">
      <c r="A43" s="87">
        <v>40</v>
      </c>
      <c r="B43" s="67" t="s">
        <v>120</v>
      </c>
      <c r="C43" s="67">
        <f>+'Table 8 Membership 2.1.14'!W42</f>
        <v>23024</v>
      </c>
      <c r="D43" s="15">
        <f>+'[4]ALL- TABLE 3 '!AA45-'[4]ALL- TABLE 3 '!W45-'[4]ALL- TABLE 3 '!X45-'[4]ALL- TABLE 3 '!Y45-'[4]ALL- TABLE 3 '!Z45</f>
        <v>16041</v>
      </c>
      <c r="E43" s="15">
        <f t="shared" si="54"/>
        <v>3529</v>
      </c>
      <c r="F43" s="15">
        <f>+'[5]MS6887_Total CTE T3 corrected'!M45</f>
        <v>6007</v>
      </c>
      <c r="G43" s="15">
        <f t="shared" si="55"/>
        <v>360</v>
      </c>
      <c r="H43" s="15">
        <f>+'[6]MFP Funded SWD -Table 3'!W44</f>
        <v>2587</v>
      </c>
      <c r="I43" s="15">
        <f t="shared" si="29"/>
        <v>3881</v>
      </c>
      <c r="J43" s="15">
        <f>+'[6]MFP Funded GT -Table 3'!S44</f>
        <v>595</v>
      </c>
      <c r="K43" s="15">
        <f t="shared" si="30"/>
        <v>357</v>
      </c>
      <c r="L43" s="15">
        <f t="shared" si="56"/>
        <v>0</v>
      </c>
      <c r="M43" s="54">
        <f t="shared" si="57"/>
        <v>0</v>
      </c>
      <c r="N43" s="15">
        <f t="shared" si="58"/>
        <v>0</v>
      </c>
      <c r="O43" s="15">
        <f t="shared" si="31"/>
        <v>8127</v>
      </c>
      <c r="P43" s="1302">
        <f t="shared" si="59"/>
        <v>31151</v>
      </c>
      <c r="Q43" s="230">
        <f t="shared" si="32"/>
        <v>3961</v>
      </c>
      <c r="R43" s="230">
        <f t="shared" si="60"/>
        <v>123389111</v>
      </c>
      <c r="S43" s="230">
        <f>'Table 6 (Local Deduct Calc.)'!J46</f>
        <v>31435426</v>
      </c>
      <c r="T43" s="230">
        <f t="shared" si="33"/>
        <v>31435426</v>
      </c>
      <c r="U43" s="231">
        <f t="shared" si="34"/>
        <v>91953685</v>
      </c>
      <c r="V43" s="232">
        <f t="shared" si="53"/>
        <v>0.74519999999999997</v>
      </c>
      <c r="W43" s="233">
        <f t="shared" si="35"/>
        <v>0.25480000000000003</v>
      </c>
      <c r="X43" s="234">
        <f t="shared" si="61"/>
        <v>1365.3329569145239</v>
      </c>
      <c r="Y43" s="230">
        <f>'Table 7 Local Revenue'!AQ47</f>
        <v>71285794</v>
      </c>
      <c r="Z43" s="230">
        <f t="shared" si="36"/>
        <v>39850368</v>
      </c>
      <c r="AA43" s="199">
        <f t="shared" si="37"/>
        <v>0</v>
      </c>
      <c r="AB43" s="16">
        <f t="shared" si="38"/>
        <v>41952297.740000002</v>
      </c>
      <c r="AC43" s="16">
        <f t="shared" si="39"/>
        <v>39850368</v>
      </c>
      <c r="AD43" s="230">
        <f t="shared" si="40"/>
        <v>17464662.878208</v>
      </c>
      <c r="AE43" s="235">
        <f t="shared" si="41"/>
        <v>22385705.121792</v>
      </c>
      <c r="AF43" s="192">
        <f t="shared" si="42"/>
        <v>0.56169999999999998</v>
      </c>
      <c r="AG43" s="235">
        <f t="shared" si="43"/>
        <v>114339390.121792</v>
      </c>
      <c r="AH43" s="16">
        <f t="shared" si="62"/>
        <v>4966</v>
      </c>
      <c r="AI43" s="235">
        <f>+'Table 3A Level 3'!O45</f>
        <v>3585187</v>
      </c>
      <c r="AJ43" s="16">
        <f t="shared" si="63"/>
        <v>155.71521021542739</v>
      </c>
      <c r="AK43" s="235">
        <f t="shared" si="44"/>
        <v>117924577.121792</v>
      </c>
      <c r="AL43" s="16">
        <f t="shared" si="64"/>
        <v>5121.8110285698403</v>
      </c>
      <c r="AM43" s="287">
        <f>+'Table 3A Level 3'!P45</f>
        <v>19708203.480000004</v>
      </c>
      <c r="AN43" s="288">
        <f t="shared" si="65"/>
        <v>855.98521021542751</v>
      </c>
      <c r="AO43" s="235">
        <f t="shared" si="45"/>
        <v>134047593.60179201</v>
      </c>
      <c r="AP43" s="16">
        <f t="shared" si="66"/>
        <v>5822.0810285698408</v>
      </c>
      <c r="AQ43" s="192">
        <f t="shared" si="46"/>
        <v>0.65282901708003638</v>
      </c>
      <c r="AR43" s="236">
        <f t="shared" si="47"/>
        <v>30</v>
      </c>
      <c r="AS43" s="16">
        <f t="shared" si="48"/>
        <v>71285794</v>
      </c>
      <c r="AT43" s="16">
        <f t="shared" si="67"/>
        <v>3096.15</v>
      </c>
      <c r="AU43" s="236">
        <f t="shared" si="49"/>
        <v>47</v>
      </c>
      <c r="AV43" s="192">
        <f t="shared" si="50"/>
        <v>0.34717098291996362</v>
      </c>
      <c r="AW43" s="236">
        <f t="shared" si="51"/>
        <v>205333387.60179201</v>
      </c>
      <c r="AX43" s="237">
        <f t="shared" si="68"/>
        <v>8918.232609528839</v>
      </c>
      <c r="AY43" s="236">
        <f t="shared" si="52"/>
        <v>45</v>
      </c>
    </row>
    <row r="44" spans="1:51" s="5" customFormat="1" ht="15.6" customHeight="1">
      <c r="A44" s="1285">
        <v>41</v>
      </c>
      <c r="B44" s="1286" t="s">
        <v>121</v>
      </c>
      <c r="C44" s="1287">
        <f>+'Table 8 Membership 2.1.14'!W43</f>
        <v>1451</v>
      </c>
      <c r="D44" s="1287">
        <f>+'[4]ALL- TABLE 3 '!AA46-'[4]ALL- TABLE 3 '!W46-'[4]ALL- TABLE 3 '!X46-'[4]ALL- TABLE 3 '!Y46-'[4]ALL- TABLE 3 '!Z46</f>
        <v>1271</v>
      </c>
      <c r="E44" s="1287">
        <f t="shared" si="54"/>
        <v>280</v>
      </c>
      <c r="F44" s="1287">
        <f>+'[5]MS6887_Total CTE T3 corrected'!M46</f>
        <v>554</v>
      </c>
      <c r="G44" s="1287">
        <f t="shared" si="55"/>
        <v>33</v>
      </c>
      <c r="H44" s="1287">
        <f>+'[6]MFP Funded SWD -Table 3'!W45</f>
        <v>130</v>
      </c>
      <c r="I44" s="1287">
        <f t="shared" si="29"/>
        <v>195</v>
      </c>
      <c r="J44" s="1287">
        <f>+'[6]MFP Funded GT -Table 3'!S45</f>
        <v>2</v>
      </c>
      <c r="K44" s="1287">
        <f t="shared" si="30"/>
        <v>1</v>
      </c>
      <c r="L44" s="1288">
        <f t="shared" si="56"/>
        <v>6049</v>
      </c>
      <c r="M44" s="1289">
        <f t="shared" si="57"/>
        <v>0.16131000000000001</v>
      </c>
      <c r="N44" s="1287">
        <f t="shared" si="58"/>
        <v>234</v>
      </c>
      <c r="O44" s="1287">
        <f t="shared" si="31"/>
        <v>743</v>
      </c>
      <c r="P44" s="1287">
        <f t="shared" si="59"/>
        <v>2194</v>
      </c>
      <c r="Q44" s="1290">
        <f t="shared" si="32"/>
        <v>3961</v>
      </c>
      <c r="R44" s="1290">
        <f t="shared" si="60"/>
        <v>8690434</v>
      </c>
      <c r="S44" s="1290">
        <f>'Table 6 (Local Deduct Calc.)'!J47</f>
        <v>4477269</v>
      </c>
      <c r="T44" s="1290">
        <f t="shared" si="33"/>
        <v>4477269</v>
      </c>
      <c r="U44" s="1291">
        <f t="shared" si="34"/>
        <v>4213165</v>
      </c>
      <c r="V44" s="1292">
        <f t="shared" si="53"/>
        <v>0.48480000000000001</v>
      </c>
      <c r="W44" s="1292">
        <f t="shared" si="35"/>
        <v>0.51519999999999999</v>
      </c>
      <c r="X44" s="1293">
        <f t="shared" si="61"/>
        <v>3085.6436940041349</v>
      </c>
      <c r="Y44" s="1290">
        <f>'Table 7 Local Revenue'!AQ48</f>
        <v>13221055</v>
      </c>
      <c r="Z44" s="1290">
        <f t="shared" si="36"/>
        <v>8743786</v>
      </c>
      <c r="AA44" s="1294">
        <f t="shared" si="37"/>
        <v>0</v>
      </c>
      <c r="AB44" s="1295">
        <f t="shared" si="38"/>
        <v>2954747.56</v>
      </c>
      <c r="AC44" s="1295">
        <f t="shared" si="39"/>
        <v>2954747.56</v>
      </c>
      <c r="AD44" s="1290">
        <f t="shared" si="40"/>
        <v>2618331.8218086399</v>
      </c>
      <c r="AE44" s="1296">
        <f t="shared" si="41"/>
        <v>336415.73819136014</v>
      </c>
      <c r="AF44" s="1297">
        <f t="shared" si="42"/>
        <v>0.1139</v>
      </c>
      <c r="AG44" s="1296">
        <f t="shared" si="43"/>
        <v>4549580.7381913606</v>
      </c>
      <c r="AH44" s="1295">
        <f t="shared" si="62"/>
        <v>3135</v>
      </c>
      <c r="AI44" s="1296">
        <f>+'Table 3A Level 3'!O46</f>
        <v>225943</v>
      </c>
      <c r="AJ44" s="1295">
        <f t="shared" si="63"/>
        <v>155.71536871123362</v>
      </c>
      <c r="AK44" s="1296">
        <f t="shared" si="44"/>
        <v>4775523.7381913606</v>
      </c>
      <c r="AL44" s="1295">
        <f t="shared" si="64"/>
        <v>3291.1948574716475</v>
      </c>
      <c r="AM44" s="1298">
        <f>+'Table 3A Level 3'!P46</f>
        <v>1511848.22</v>
      </c>
      <c r="AN44" s="1299">
        <f t="shared" si="65"/>
        <v>1041.9353687112337</v>
      </c>
      <c r="AO44" s="1296">
        <f t="shared" si="45"/>
        <v>6061428.9581913603</v>
      </c>
      <c r="AP44" s="1295">
        <f t="shared" si="66"/>
        <v>4177.4148574716473</v>
      </c>
      <c r="AQ44" s="1297">
        <f t="shared" si="46"/>
        <v>0.44921283819018409</v>
      </c>
      <c r="AR44" s="1300">
        <f t="shared" si="47"/>
        <v>61</v>
      </c>
      <c r="AS44" s="1295">
        <f t="shared" si="48"/>
        <v>7432016.5599999996</v>
      </c>
      <c r="AT44" s="1295">
        <f t="shared" si="67"/>
        <v>5122</v>
      </c>
      <c r="AU44" s="1300">
        <f t="shared" si="49"/>
        <v>9</v>
      </c>
      <c r="AV44" s="1297">
        <f t="shared" si="50"/>
        <v>0.55078716180981591</v>
      </c>
      <c r="AW44" s="1300">
        <f t="shared" si="51"/>
        <v>13493445.51819136</v>
      </c>
      <c r="AX44" s="1301">
        <f t="shared" si="68"/>
        <v>9299.4111083331227</v>
      </c>
      <c r="AY44" s="1300">
        <f t="shared" si="52"/>
        <v>23</v>
      </c>
    </row>
    <row r="45" spans="1:51" s="5" customFormat="1" ht="15.6" customHeight="1">
      <c r="A45" s="1285">
        <v>42</v>
      </c>
      <c r="B45" s="1286" t="s">
        <v>122</v>
      </c>
      <c r="C45" s="1286">
        <f>+'Table 8 Membership 2.1.14'!W44</f>
        <v>3244</v>
      </c>
      <c r="D45" s="1287">
        <f>+'[4]ALL- TABLE 3 '!AA47-'[4]ALL- TABLE 3 '!W47-'[4]ALL- TABLE 3 '!X47-'[4]ALL- TABLE 3 '!Y47-'[4]ALL- TABLE 3 '!Z47</f>
        <v>2751</v>
      </c>
      <c r="E45" s="1287">
        <f t="shared" si="54"/>
        <v>605</v>
      </c>
      <c r="F45" s="1287">
        <f>+'[5]MS6887_Total CTE T3 corrected'!M47</f>
        <v>1156</v>
      </c>
      <c r="G45" s="1287">
        <f t="shared" si="55"/>
        <v>69</v>
      </c>
      <c r="H45" s="1287">
        <f>+'[6]MFP Funded SWD -Table 3'!W46</f>
        <v>361</v>
      </c>
      <c r="I45" s="1287">
        <f t="shared" si="29"/>
        <v>542</v>
      </c>
      <c r="J45" s="1287">
        <f>+'[6]MFP Funded GT -Table 3'!S46</f>
        <v>50</v>
      </c>
      <c r="K45" s="1287">
        <f t="shared" si="30"/>
        <v>30</v>
      </c>
      <c r="L45" s="1287">
        <f t="shared" si="56"/>
        <v>4256</v>
      </c>
      <c r="M45" s="1289">
        <f t="shared" si="57"/>
        <v>0.11348999999999999</v>
      </c>
      <c r="N45" s="1287">
        <f t="shared" si="58"/>
        <v>368</v>
      </c>
      <c r="O45" s="1287">
        <f t="shared" si="31"/>
        <v>1614</v>
      </c>
      <c r="P45" s="1287">
        <f t="shared" si="59"/>
        <v>4858</v>
      </c>
      <c r="Q45" s="1290">
        <f t="shared" si="32"/>
        <v>3961</v>
      </c>
      <c r="R45" s="1290">
        <f t="shared" si="60"/>
        <v>19242538</v>
      </c>
      <c r="S45" s="1290">
        <f>'Table 6 (Local Deduct Calc.)'!J48</f>
        <v>5949917</v>
      </c>
      <c r="T45" s="1290">
        <f t="shared" si="33"/>
        <v>5949917</v>
      </c>
      <c r="U45" s="1291">
        <f t="shared" si="34"/>
        <v>13292621</v>
      </c>
      <c r="V45" s="1292">
        <f t="shared" si="53"/>
        <v>0.69079999999999997</v>
      </c>
      <c r="W45" s="1292">
        <f t="shared" si="35"/>
        <v>0.30919999999999997</v>
      </c>
      <c r="X45" s="1293">
        <f t="shared" si="61"/>
        <v>1834.129778051788</v>
      </c>
      <c r="Y45" s="1290">
        <f>'Table 7 Local Revenue'!AQ49</f>
        <v>11910886</v>
      </c>
      <c r="Z45" s="1290">
        <f t="shared" si="36"/>
        <v>5960969</v>
      </c>
      <c r="AA45" s="1294">
        <f t="shared" si="37"/>
        <v>0</v>
      </c>
      <c r="AB45" s="1295">
        <f t="shared" si="38"/>
        <v>6542462.9200000009</v>
      </c>
      <c r="AC45" s="1295">
        <f t="shared" si="39"/>
        <v>5960969</v>
      </c>
      <c r="AD45" s="1290">
        <f t="shared" si="40"/>
        <v>3170186.3774559996</v>
      </c>
      <c r="AE45" s="1296">
        <f t="shared" si="41"/>
        <v>2790782.6225440004</v>
      </c>
      <c r="AF45" s="1297">
        <f t="shared" si="42"/>
        <v>0.46820000000000001</v>
      </c>
      <c r="AG45" s="1296">
        <f t="shared" si="43"/>
        <v>16083403.622544</v>
      </c>
      <c r="AH45" s="1295">
        <f t="shared" si="62"/>
        <v>4958</v>
      </c>
      <c r="AI45" s="1296">
        <f>+'Table 3A Level 3'!O47</f>
        <v>505140</v>
      </c>
      <c r="AJ45" s="1295">
        <f t="shared" si="63"/>
        <v>155.71516646115907</v>
      </c>
      <c r="AK45" s="1296">
        <f t="shared" si="44"/>
        <v>16588543.622544</v>
      </c>
      <c r="AL45" s="1295">
        <f t="shared" si="64"/>
        <v>5113.6077751368684</v>
      </c>
      <c r="AM45" s="1298">
        <f>+'Table 3A Level 3'!P47</f>
        <v>2238344.3199999998</v>
      </c>
      <c r="AN45" s="1299">
        <f t="shared" si="65"/>
        <v>689.99516646115899</v>
      </c>
      <c r="AO45" s="1296">
        <f t="shared" si="45"/>
        <v>18321747.942543998</v>
      </c>
      <c r="AP45" s="1295">
        <f t="shared" si="66"/>
        <v>5647.8877751368673</v>
      </c>
      <c r="AQ45" s="1297">
        <f t="shared" si="46"/>
        <v>0.6060255278241321</v>
      </c>
      <c r="AR45" s="1300">
        <f t="shared" si="47"/>
        <v>44</v>
      </c>
      <c r="AS45" s="1295">
        <f t="shared" si="48"/>
        <v>11910886</v>
      </c>
      <c r="AT45" s="1295">
        <f t="shared" si="67"/>
        <v>3671.67</v>
      </c>
      <c r="AU45" s="1300">
        <f t="shared" si="49"/>
        <v>25</v>
      </c>
      <c r="AV45" s="1297">
        <f t="shared" si="50"/>
        <v>0.3939744721758679</v>
      </c>
      <c r="AW45" s="1300">
        <f t="shared" si="51"/>
        <v>30232633.942543998</v>
      </c>
      <c r="AX45" s="1301">
        <f t="shared" si="68"/>
        <v>9319.5542362959313</v>
      </c>
      <c r="AY45" s="1300">
        <f t="shared" si="52"/>
        <v>21</v>
      </c>
    </row>
    <row r="46" spans="1:51" s="5" customFormat="1" ht="15.6" customHeight="1">
      <c r="A46" s="1285">
        <v>43</v>
      </c>
      <c r="B46" s="1286" t="s">
        <v>123</v>
      </c>
      <c r="C46" s="1286">
        <f>+'Table 8 Membership 2.1.14'!W45</f>
        <v>4111</v>
      </c>
      <c r="D46" s="1287">
        <f>+'[4]ALL- TABLE 3 '!AA48-'[4]ALL- TABLE 3 '!W48-'[4]ALL- TABLE 3 '!X48-'[4]ALL- TABLE 3 '!Y48-'[4]ALL- TABLE 3 '!Z48</f>
        <v>2839</v>
      </c>
      <c r="E46" s="1287">
        <f t="shared" si="54"/>
        <v>625</v>
      </c>
      <c r="F46" s="1287">
        <f>+'[5]MS6887_Total CTE T3 corrected'!M48</f>
        <v>1649.5</v>
      </c>
      <c r="G46" s="1287">
        <f t="shared" si="55"/>
        <v>99</v>
      </c>
      <c r="H46" s="1287">
        <f>+'[6]MFP Funded SWD -Table 3'!W47</f>
        <v>525</v>
      </c>
      <c r="I46" s="1287">
        <f t="shared" si="29"/>
        <v>788</v>
      </c>
      <c r="J46" s="1287">
        <f>+'[6]MFP Funded GT -Table 3'!S47</f>
        <v>102</v>
      </c>
      <c r="K46" s="1287">
        <f t="shared" si="30"/>
        <v>61</v>
      </c>
      <c r="L46" s="1287">
        <f t="shared" si="56"/>
        <v>3389</v>
      </c>
      <c r="M46" s="1289">
        <f t="shared" si="57"/>
        <v>9.0370000000000006E-2</v>
      </c>
      <c r="N46" s="1287">
        <f t="shared" si="58"/>
        <v>372</v>
      </c>
      <c r="O46" s="1287">
        <f t="shared" si="31"/>
        <v>1945</v>
      </c>
      <c r="P46" s="1287">
        <f t="shared" si="59"/>
        <v>6056</v>
      </c>
      <c r="Q46" s="1290">
        <f t="shared" si="32"/>
        <v>3961</v>
      </c>
      <c r="R46" s="1290">
        <f t="shared" si="60"/>
        <v>23987816</v>
      </c>
      <c r="S46" s="1290">
        <f>'Table 6 (Local Deduct Calc.)'!J49</f>
        <v>5670055.5</v>
      </c>
      <c r="T46" s="1290">
        <f t="shared" si="33"/>
        <v>5670055.5</v>
      </c>
      <c r="U46" s="1291">
        <f t="shared" si="34"/>
        <v>18317760.5</v>
      </c>
      <c r="V46" s="1292">
        <f t="shared" si="53"/>
        <v>0.76359999999999995</v>
      </c>
      <c r="W46" s="1292">
        <f t="shared" si="35"/>
        <v>0.2364</v>
      </c>
      <c r="X46" s="1293">
        <f t="shared" si="61"/>
        <v>1379.2399659450255</v>
      </c>
      <c r="Y46" s="1290">
        <f>'Table 7 Local Revenue'!AQ50</f>
        <v>15024959.5</v>
      </c>
      <c r="Z46" s="1290">
        <f t="shared" si="36"/>
        <v>9354904</v>
      </c>
      <c r="AA46" s="1294">
        <f t="shared" si="37"/>
        <v>0</v>
      </c>
      <c r="AB46" s="1295">
        <f t="shared" si="38"/>
        <v>8155857.4400000004</v>
      </c>
      <c r="AC46" s="1295">
        <f t="shared" si="39"/>
        <v>8155857.4400000004</v>
      </c>
      <c r="AD46" s="1290">
        <f t="shared" si="40"/>
        <v>3316236.8819635198</v>
      </c>
      <c r="AE46" s="1296">
        <f t="shared" si="41"/>
        <v>4839620.5580364801</v>
      </c>
      <c r="AF46" s="1297">
        <f t="shared" si="42"/>
        <v>0.59340000000000004</v>
      </c>
      <c r="AG46" s="1296">
        <f t="shared" si="43"/>
        <v>23157381.05803648</v>
      </c>
      <c r="AH46" s="1295">
        <f t="shared" si="62"/>
        <v>5633</v>
      </c>
      <c r="AI46" s="1296">
        <f>+'Table 3A Level 3'!O48</f>
        <v>640145</v>
      </c>
      <c r="AJ46" s="1295">
        <f t="shared" si="63"/>
        <v>155.71515446363415</v>
      </c>
      <c r="AK46" s="1296">
        <f t="shared" si="44"/>
        <v>23797526.05803648</v>
      </c>
      <c r="AL46" s="1295">
        <f t="shared" si="64"/>
        <v>5788.74387205947</v>
      </c>
      <c r="AM46" s="1298">
        <f>+'Table 3A Level 3'!P48</f>
        <v>3002366.7099999995</v>
      </c>
      <c r="AN46" s="1299">
        <f t="shared" si="65"/>
        <v>730.32515446363402</v>
      </c>
      <c r="AO46" s="1296">
        <f t="shared" si="45"/>
        <v>26159747.768036481</v>
      </c>
      <c r="AP46" s="1295">
        <f t="shared" si="66"/>
        <v>6363.3538720594697</v>
      </c>
      <c r="AQ46" s="1297">
        <f t="shared" si="46"/>
        <v>0.65422822343857856</v>
      </c>
      <c r="AR46" s="1300">
        <f t="shared" si="47"/>
        <v>29</v>
      </c>
      <c r="AS46" s="1295">
        <f t="shared" si="48"/>
        <v>13825912.939999999</v>
      </c>
      <c r="AT46" s="1295">
        <f t="shared" si="67"/>
        <v>3363.15</v>
      </c>
      <c r="AU46" s="1300">
        <f t="shared" si="49"/>
        <v>36</v>
      </c>
      <c r="AV46" s="1297">
        <f t="shared" si="50"/>
        <v>0.34577177656142144</v>
      </c>
      <c r="AW46" s="1300">
        <f t="shared" si="51"/>
        <v>39985660.708036482</v>
      </c>
      <c r="AX46" s="1301">
        <f t="shared" si="68"/>
        <v>9726.5046723513697</v>
      </c>
      <c r="AY46" s="1300">
        <f t="shared" si="52"/>
        <v>13</v>
      </c>
    </row>
    <row r="47" spans="1:51" s="5" customFormat="1" ht="15.6" customHeight="1">
      <c r="A47" s="1285">
        <v>44</v>
      </c>
      <c r="B47" s="1286" t="s">
        <v>124</v>
      </c>
      <c r="C47" s="1286">
        <f>+'Table 8 Membership 2.1.14'!W46</f>
        <v>6680</v>
      </c>
      <c r="D47" s="1287">
        <f>+'[4]ALL- TABLE 3 '!AA49-'[4]ALL- TABLE 3 '!W49-'[4]ALL- TABLE 3 '!X49-'[4]ALL- TABLE 3 '!Y49-'[4]ALL- TABLE 3 '!Z49</f>
        <v>5339</v>
      </c>
      <c r="E47" s="1287">
        <f t="shared" si="54"/>
        <v>1175</v>
      </c>
      <c r="F47" s="1287">
        <f>+'[5]MS6887_Total CTE T3 corrected'!M49</f>
        <v>1870</v>
      </c>
      <c r="G47" s="1287">
        <f t="shared" si="55"/>
        <v>112</v>
      </c>
      <c r="H47" s="1287">
        <f>+'[6]MFP Funded SWD -Table 3'!W48</f>
        <v>750</v>
      </c>
      <c r="I47" s="1287">
        <f t="shared" si="29"/>
        <v>1125</v>
      </c>
      <c r="J47" s="1287">
        <f>+'[6]MFP Funded GT -Table 3'!S48</f>
        <v>145</v>
      </c>
      <c r="K47" s="1287">
        <f t="shared" si="30"/>
        <v>87</v>
      </c>
      <c r="L47" s="1287">
        <f t="shared" si="56"/>
        <v>820</v>
      </c>
      <c r="M47" s="1289">
        <f t="shared" si="57"/>
        <v>2.1870000000000001E-2</v>
      </c>
      <c r="N47" s="1287">
        <f t="shared" si="58"/>
        <v>146</v>
      </c>
      <c r="O47" s="1287">
        <f t="shared" si="31"/>
        <v>2645</v>
      </c>
      <c r="P47" s="1287">
        <f t="shared" si="59"/>
        <v>9325</v>
      </c>
      <c r="Q47" s="1290">
        <f t="shared" si="32"/>
        <v>3961</v>
      </c>
      <c r="R47" s="1290">
        <f t="shared" si="60"/>
        <v>36936325</v>
      </c>
      <c r="S47" s="1290">
        <f>'Table 6 (Local Deduct Calc.)'!J50</f>
        <v>11243763</v>
      </c>
      <c r="T47" s="1290">
        <f t="shared" si="33"/>
        <v>11243763</v>
      </c>
      <c r="U47" s="1291">
        <f t="shared" si="34"/>
        <v>25692562</v>
      </c>
      <c r="V47" s="1292">
        <f t="shared" si="53"/>
        <v>0.6956</v>
      </c>
      <c r="W47" s="1292">
        <f t="shared" si="35"/>
        <v>0.3044</v>
      </c>
      <c r="X47" s="1293">
        <f t="shared" si="61"/>
        <v>1683.1980538922155</v>
      </c>
      <c r="Y47" s="1290">
        <f>'Table 7 Local Revenue'!AQ51</f>
        <v>30159033</v>
      </c>
      <c r="Z47" s="1290">
        <f t="shared" si="36"/>
        <v>18915270</v>
      </c>
      <c r="AA47" s="1294">
        <f t="shared" si="37"/>
        <v>0</v>
      </c>
      <c r="AB47" s="1295">
        <f t="shared" si="38"/>
        <v>12558350.5</v>
      </c>
      <c r="AC47" s="1295">
        <f t="shared" si="39"/>
        <v>12558350.5</v>
      </c>
      <c r="AD47" s="1290">
        <f t="shared" si="40"/>
        <v>6575150.4545840006</v>
      </c>
      <c r="AE47" s="1296">
        <f t="shared" si="41"/>
        <v>5983200.0454159994</v>
      </c>
      <c r="AF47" s="1297">
        <f t="shared" si="42"/>
        <v>0.47639999999999999</v>
      </c>
      <c r="AG47" s="1296">
        <f t="shared" si="43"/>
        <v>31675762.045415998</v>
      </c>
      <c r="AH47" s="1295">
        <f t="shared" si="62"/>
        <v>4742</v>
      </c>
      <c r="AI47" s="1296">
        <f>+'Table 3A Level 3'!O49</f>
        <v>1040178</v>
      </c>
      <c r="AJ47" s="1295">
        <f t="shared" si="63"/>
        <v>155.71526946107784</v>
      </c>
      <c r="AK47" s="1296">
        <f t="shared" si="44"/>
        <v>32715940.045415998</v>
      </c>
      <c r="AL47" s="1295">
        <f t="shared" si="64"/>
        <v>4897.5958151820359</v>
      </c>
      <c r="AM47" s="1298">
        <f>+'Table 3A Level 3'!P49</f>
        <v>5470086.8000000007</v>
      </c>
      <c r="AN47" s="1299">
        <f t="shared" si="65"/>
        <v>818.87526946107801</v>
      </c>
      <c r="AO47" s="1296">
        <f t="shared" si="45"/>
        <v>37145848.845415995</v>
      </c>
      <c r="AP47" s="1295">
        <f t="shared" si="66"/>
        <v>5560.7558151820349</v>
      </c>
      <c r="AQ47" s="1297">
        <f t="shared" si="46"/>
        <v>0.60946826466315496</v>
      </c>
      <c r="AR47" s="1300">
        <f t="shared" si="47"/>
        <v>42</v>
      </c>
      <c r="AS47" s="1295">
        <f t="shared" si="48"/>
        <v>23802113.5</v>
      </c>
      <c r="AT47" s="1295">
        <f t="shared" si="67"/>
        <v>3563.19</v>
      </c>
      <c r="AU47" s="1300">
        <f t="shared" si="49"/>
        <v>29</v>
      </c>
      <c r="AV47" s="1297">
        <f t="shared" si="50"/>
        <v>0.3905317353368451</v>
      </c>
      <c r="AW47" s="1300">
        <f t="shared" si="51"/>
        <v>60947962.345415995</v>
      </c>
      <c r="AX47" s="1301">
        <f t="shared" si="68"/>
        <v>9123.9464588946103</v>
      </c>
      <c r="AY47" s="1300">
        <f t="shared" si="52"/>
        <v>33</v>
      </c>
    </row>
    <row r="48" spans="1:51" s="17" customFormat="1" ht="15.6" customHeight="1">
      <c r="A48" s="87">
        <v>45</v>
      </c>
      <c r="B48" s="67" t="s">
        <v>125</v>
      </c>
      <c r="C48" s="67">
        <f>+'Table 8 Membership 2.1.14'!W47</f>
        <v>9418</v>
      </c>
      <c r="D48" s="15">
        <f>+'[4]ALL- TABLE 3 '!AA50-'[4]ALL- TABLE 3 '!W50-'[4]ALL- TABLE 3 '!X50-'[4]ALL- TABLE 3 '!Y50-'[4]ALL- TABLE 3 '!Z50</f>
        <v>5001</v>
      </c>
      <c r="E48" s="15">
        <f t="shared" si="54"/>
        <v>1100</v>
      </c>
      <c r="F48" s="15">
        <f>+'[5]MS6887_Total CTE T3 corrected'!M50</f>
        <v>4226.5</v>
      </c>
      <c r="G48" s="15">
        <f t="shared" si="55"/>
        <v>254</v>
      </c>
      <c r="H48" s="15">
        <f>+'[6]MFP Funded SWD -Table 3'!W49</f>
        <v>923</v>
      </c>
      <c r="I48" s="15">
        <f t="shared" si="29"/>
        <v>1385</v>
      </c>
      <c r="J48" s="15">
        <f>+'[6]MFP Funded GT -Table 3'!S49</f>
        <v>488</v>
      </c>
      <c r="K48" s="15">
        <f t="shared" si="30"/>
        <v>293</v>
      </c>
      <c r="L48" s="15">
        <f t="shared" si="56"/>
        <v>0</v>
      </c>
      <c r="M48" s="54">
        <f t="shared" si="57"/>
        <v>0</v>
      </c>
      <c r="N48" s="15">
        <f t="shared" si="58"/>
        <v>0</v>
      </c>
      <c r="O48" s="15">
        <f t="shared" si="31"/>
        <v>3032</v>
      </c>
      <c r="P48" s="1302">
        <f t="shared" si="59"/>
        <v>12450</v>
      </c>
      <c r="Q48" s="230">
        <f t="shared" si="32"/>
        <v>3961</v>
      </c>
      <c r="R48" s="230">
        <f t="shared" si="60"/>
        <v>49314450</v>
      </c>
      <c r="S48" s="230">
        <f>'Table 6 (Local Deduct Calc.)'!J51</f>
        <v>34870382</v>
      </c>
      <c r="T48" s="230">
        <f t="shared" si="33"/>
        <v>34870382</v>
      </c>
      <c r="U48" s="231">
        <f t="shared" si="34"/>
        <v>14444068</v>
      </c>
      <c r="V48" s="232">
        <f t="shared" si="53"/>
        <v>0.29289999999999999</v>
      </c>
      <c r="W48" s="233">
        <f t="shared" si="35"/>
        <v>0.70709999999999995</v>
      </c>
      <c r="X48" s="234">
        <f t="shared" si="61"/>
        <v>3702.525164578467</v>
      </c>
      <c r="Y48" s="230">
        <f>'Table 7 Local Revenue'!AQ52</f>
        <v>120404647</v>
      </c>
      <c r="Z48" s="230">
        <f t="shared" si="36"/>
        <v>85534265</v>
      </c>
      <c r="AA48" s="199">
        <f t="shared" si="37"/>
        <v>0</v>
      </c>
      <c r="AB48" s="16">
        <f t="shared" si="38"/>
        <v>16766913.000000002</v>
      </c>
      <c r="AC48" s="16">
        <f t="shared" si="39"/>
        <v>16766913.000000002</v>
      </c>
      <c r="AD48" s="230">
        <f t="shared" si="40"/>
        <v>20392120.793556001</v>
      </c>
      <c r="AE48" s="235">
        <f t="shared" si="41"/>
        <v>0</v>
      </c>
      <c r="AF48" s="192">
        <f t="shared" si="42"/>
        <v>0</v>
      </c>
      <c r="AG48" s="235">
        <f t="shared" si="43"/>
        <v>14444068</v>
      </c>
      <c r="AH48" s="16">
        <f t="shared" si="62"/>
        <v>1534</v>
      </c>
      <c r="AI48" s="235">
        <f>+'Table 3A Level 3'!O50</f>
        <v>4900949</v>
      </c>
      <c r="AJ48" s="16">
        <f t="shared" si="63"/>
        <v>520.38107878530468</v>
      </c>
      <c r="AK48" s="235">
        <f t="shared" si="44"/>
        <v>19345017</v>
      </c>
      <c r="AL48" s="16">
        <f t="shared" si="64"/>
        <v>2054.0472499469101</v>
      </c>
      <c r="AM48" s="287">
        <f>+'Table 3A Level 3'!P50</f>
        <v>12001744.280000001</v>
      </c>
      <c r="AN48" s="288">
        <f t="shared" si="65"/>
        <v>1274.3410787853049</v>
      </c>
      <c r="AO48" s="235">
        <f t="shared" si="45"/>
        <v>26445812.280000001</v>
      </c>
      <c r="AP48" s="16">
        <f t="shared" si="66"/>
        <v>2808.0072499469102</v>
      </c>
      <c r="AQ48" s="192">
        <f t="shared" si="46"/>
        <v>0.33868801077763666</v>
      </c>
      <c r="AR48" s="236">
        <f t="shared" si="47"/>
        <v>66</v>
      </c>
      <c r="AS48" s="16">
        <f t="shared" si="48"/>
        <v>51637295</v>
      </c>
      <c r="AT48" s="16">
        <f t="shared" si="67"/>
        <v>5482.83</v>
      </c>
      <c r="AU48" s="236">
        <f t="shared" si="49"/>
        <v>7</v>
      </c>
      <c r="AV48" s="192">
        <f t="shared" si="50"/>
        <v>0.66131198922236334</v>
      </c>
      <c r="AW48" s="236">
        <f t="shared" si="51"/>
        <v>78083107.280000001</v>
      </c>
      <c r="AX48" s="237">
        <f t="shared" si="68"/>
        <v>8290.8374686770021</v>
      </c>
      <c r="AY48" s="236">
        <f t="shared" si="52"/>
        <v>63</v>
      </c>
    </row>
    <row r="49" spans="1:51" s="5" customFormat="1" ht="15.6" customHeight="1">
      <c r="A49" s="1285">
        <v>46</v>
      </c>
      <c r="B49" s="1286" t="s">
        <v>126</v>
      </c>
      <c r="C49" s="1287">
        <f>+'Table 8 Membership 2.1.14'!W48</f>
        <v>1041</v>
      </c>
      <c r="D49" s="1287">
        <f>+'[4]ALL- TABLE 3 '!AA51-'[4]ALL- TABLE 3 '!W51-'[4]ALL- TABLE 3 '!X51-'[4]ALL- TABLE 3 '!Y51-'[4]ALL- TABLE 3 '!Z51</f>
        <v>984</v>
      </c>
      <c r="E49" s="1287">
        <f t="shared" si="54"/>
        <v>216</v>
      </c>
      <c r="F49" s="1287">
        <f>+'[5]MS6887_Total CTE T3 corrected'!M51</f>
        <v>347</v>
      </c>
      <c r="G49" s="1287">
        <f t="shared" si="55"/>
        <v>21</v>
      </c>
      <c r="H49" s="1287">
        <f>+'[6]MFP Funded SWD -Table 3'!W50</f>
        <v>163</v>
      </c>
      <c r="I49" s="1287">
        <f t="shared" si="29"/>
        <v>245</v>
      </c>
      <c r="J49" s="1287">
        <f>+'[6]MFP Funded GT -Table 3'!S50</f>
        <v>18</v>
      </c>
      <c r="K49" s="1287">
        <f t="shared" si="30"/>
        <v>11</v>
      </c>
      <c r="L49" s="1288">
        <f t="shared" si="56"/>
        <v>6459</v>
      </c>
      <c r="M49" s="1289">
        <f t="shared" si="57"/>
        <v>0.17224</v>
      </c>
      <c r="N49" s="1287">
        <f t="shared" si="58"/>
        <v>179</v>
      </c>
      <c r="O49" s="1287">
        <f t="shared" si="31"/>
        <v>672</v>
      </c>
      <c r="P49" s="1287">
        <f t="shared" si="59"/>
        <v>1713</v>
      </c>
      <c r="Q49" s="1290">
        <f t="shared" si="32"/>
        <v>3961</v>
      </c>
      <c r="R49" s="1290">
        <f t="shared" si="60"/>
        <v>6785193</v>
      </c>
      <c r="S49" s="1290">
        <f>'Table 6 (Local Deduct Calc.)'!J52</f>
        <v>1409644.5</v>
      </c>
      <c r="T49" s="1290">
        <f t="shared" si="33"/>
        <v>1409644.5</v>
      </c>
      <c r="U49" s="1291">
        <f t="shared" si="34"/>
        <v>5375548.5</v>
      </c>
      <c r="V49" s="1292">
        <f t="shared" si="53"/>
        <v>0.79220000000000002</v>
      </c>
      <c r="W49" s="1292">
        <f t="shared" si="35"/>
        <v>0.20780000000000001</v>
      </c>
      <c r="X49" s="1293">
        <f t="shared" si="61"/>
        <v>1354.1253602305476</v>
      </c>
      <c r="Y49" s="1290">
        <f>'Table 7 Local Revenue'!AQ53</f>
        <v>2594961.5</v>
      </c>
      <c r="Z49" s="1290">
        <f t="shared" si="36"/>
        <v>1185317</v>
      </c>
      <c r="AA49" s="1294">
        <f t="shared" si="37"/>
        <v>0</v>
      </c>
      <c r="AB49" s="1295">
        <f t="shared" si="38"/>
        <v>2306965.62</v>
      </c>
      <c r="AC49" s="1295">
        <f t="shared" si="39"/>
        <v>1185317</v>
      </c>
      <c r="AD49" s="1290">
        <f t="shared" si="40"/>
        <v>423651.26087200001</v>
      </c>
      <c r="AE49" s="1296">
        <f t="shared" si="41"/>
        <v>761665.73912799999</v>
      </c>
      <c r="AF49" s="1297">
        <f t="shared" si="42"/>
        <v>0.64259999999999995</v>
      </c>
      <c r="AG49" s="1296">
        <f t="shared" si="43"/>
        <v>6137214.2391280001</v>
      </c>
      <c r="AH49" s="1295">
        <f t="shared" si="62"/>
        <v>5895</v>
      </c>
      <c r="AI49" s="1296">
        <f>+'Table 3A Level 3'!O51</f>
        <v>162100</v>
      </c>
      <c r="AJ49" s="1295">
        <f t="shared" si="63"/>
        <v>155.71565802113352</v>
      </c>
      <c r="AK49" s="1296">
        <f t="shared" si="44"/>
        <v>6299314.2391280001</v>
      </c>
      <c r="AL49" s="1295">
        <f t="shared" si="64"/>
        <v>6051.2144468088381</v>
      </c>
      <c r="AM49" s="1298">
        <f>+'Table 3A Level 3'!P51</f>
        <v>920010.46</v>
      </c>
      <c r="AN49" s="1299">
        <f t="shared" si="65"/>
        <v>883.77565802113349</v>
      </c>
      <c r="AO49" s="1296">
        <f t="shared" si="45"/>
        <v>7057224.6991280001</v>
      </c>
      <c r="AP49" s="1295">
        <f t="shared" si="66"/>
        <v>6779.2744468088376</v>
      </c>
      <c r="AQ49" s="1297">
        <f t="shared" si="46"/>
        <v>0.73115297959809</v>
      </c>
      <c r="AR49" s="1300">
        <f t="shared" si="47"/>
        <v>7</v>
      </c>
      <c r="AS49" s="1295">
        <f t="shared" si="48"/>
        <v>2594961.5</v>
      </c>
      <c r="AT49" s="1295">
        <f t="shared" si="67"/>
        <v>2492.7600000000002</v>
      </c>
      <c r="AU49" s="1300">
        <f t="shared" si="49"/>
        <v>60</v>
      </c>
      <c r="AV49" s="1297">
        <f t="shared" si="50"/>
        <v>0.26884702040191005</v>
      </c>
      <c r="AW49" s="1300">
        <f t="shared" si="51"/>
        <v>9652186.1991280001</v>
      </c>
      <c r="AX49" s="1301">
        <f t="shared" si="68"/>
        <v>9272.0328521882802</v>
      </c>
      <c r="AY49" s="1300">
        <f t="shared" si="52"/>
        <v>25</v>
      </c>
    </row>
    <row r="50" spans="1:51" s="5" customFormat="1" ht="15.6" customHeight="1">
      <c r="A50" s="1285">
        <v>47</v>
      </c>
      <c r="B50" s="1286" t="s">
        <v>127</v>
      </c>
      <c r="C50" s="1286">
        <f>+'Table 8 Membership 2.1.14'!W49</f>
        <v>3629</v>
      </c>
      <c r="D50" s="1287">
        <f>+'[4]ALL- TABLE 3 '!AA52-'[4]ALL- TABLE 3 '!W52-'[4]ALL- TABLE 3 '!X52-'[4]ALL- TABLE 3 '!Y52-'[4]ALL- TABLE 3 '!Z52</f>
        <v>2613</v>
      </c>
      <c r="E50" s="1287">
        <f t="shared" si="54"/>
        <v>575</v>
      </c>
      <c r="F50" s="1287">
        <f>+'[5]MS6887_Total CTE T3 corrected'!M52</f>
        <v>1665</v>
      </c>
      <c r="G50" s="1287">
        <f t="shared" si="55"/>
        <v>100</v>
      </c>
      <c r="H50" s="1287">
        <f>+'[6]MFP Funded SWD -Table 3'!W51</f>
        <v>522</v>
      </c>
      <c r="I50" s="1287">
        <f t="shared" si="29"/>
        <v>783</v>
      </c>
      <c r="J50" s="1287">
        <f>+'[6]MFP Funded GT -Table 3'!S51</f>
        <v>82</v>
      </c>
      <c r="K50" s="1287">
        <f t="shared" si="30"/>
        <v>49</v>
      </c>
      <c r="L50" s="1287">
        <f t="shared" si="56"/>
        <v>3871</v>
      </c>
      <c r="M50" s="1289">
        <f t="shared" si="57"/>
        <v>0.10323</v>
      </c>
      <c r="N50" s="1287">
        <f t="shared" si="58"/>
        <v>375</v>
      </c>
      <c r="O50" s="1287">
        <f t="shared" si="31"/>
        <v>1882</v>
      </c>
      <c r="P50" s="1287">
        <f t="shared" si="59"/>
        <v>5511</v>
      </c>
      <c r="Q50" s="1290">
        <f t="shared" si="32"/>
        <v>3961</v>
      </c>
      <c r="R50" s="1290">
        <f t="shared" si="60"/>
        <v>21829071</v>
      </c>
      <c r="S50" s="1290">
        <f>'Table 6 (Local Deduct Calc.)'!J53</f>
        <v>14250541</v>
      </c>
      <c r="T50" s="1290">
        <f t="shared" si="33"/>
        <v>14250541</v>
      </c>
      <c r="U50" s="1291">
        <f t="shared" si="34"/>
        <v>7578530</v>
      </c>
      <c r="V50" s="1292">
        <f t="shared" si="53"/>
        <v>0.34720000000000001</v>
      </c>
      <c r="W50" s="1292">
        <f t="shared" si="35"/>
        <v>0.65280000000000005</v>
      </c>
      <c r="X50" s="1293">
        <f t="shared" si="61"/>
        <v>3926.8506475613117</v>
      </c>
      <c r="Y50" s="1290">
        <f>'Table 7 Local Revenue'!AQ54</f>
        <v>47263036</v>
      </c>
      <c r="Z50" s="1290">
        <f t="shared" si="36"/>
        <v>33012495</v>
      </c>
      <c r="AA50" s="1294">
        <f t="shared" si="37"/>
        <v>0</v>
      </c>
      <c r="AB50" s="1295">
        <f t="shared" si="38"/>
        <v>7421884.1400000006</v>
      </c>
      <c r="AC50" s="1295">
        <f t="shared" si="39"/>
        <v>7421884.1400000006</v>
      </c>
      <c r="AD50" s="1290">
        <f t="shared" si="40"/>
        <v>8333410.2625382412</v>
      </c>
      <c r="AE50" s="1296">
        <f t="shared" si="41"/>
        <v>0</v>
      </c>
      <c r="AF50" s="1297">
        <f t="shared" si="42"/>
        <v>0</v>
      </c>
      <c r="AG50" s="1296">
        <f t="shared" si="43"/>
        <v>7578530</v>
      </c>
      <c r="AH50" s="1295">
        <f t="shared" si="62"/>
        <v>2088</v>
      </c>
      <c r="AI50" s="1296">
        <f>+'Table 3A Level 3'!O52</f>
        <v>1581605</v>
      </c>
      <c r="AJ50" s="1295">
        <f t="shared" si="63"/>
        <v>435.82391843483055</v>
      </c>
      <c r="AK50" s="1296">
        <f t="shared" si="44"/>
        <v>9160135</v>
      </c>
      <c r="AL50" s="1295">
        <f t="shared" si="64"/>
        <v>2524.1485257646736</v>
      </c>
      <c r="AM50" s="1298">
        <f>+'Table 3A Level 3'!P52</f>
        <v>4886753.04</v>
      </c>
      <c r="AN50" s="1299">
        <f t="shared" si="65"/>
        <v>1346.5839184348306</v>
      </c>
      <c r="AO50" s="1296">
        <f t="shared" si="45"/>
        <v>12465283.039999999</v>
      </c>
      <c r="AP50" s="1295">
        <f t="shared" si="66"/>
        <v>3434.9085257646734</v>
      </c>
      <c r="AQ50" s="1297">
        <f t="shared" si="46"/>
        <v>0.36514703840906754</v>
      </c>
      <c r="AR50" s="1300">
        <f t="shared" si="47"/>
        <v>64</v>
      </c>
      <c r="AS50" s="1295">
        <f t="shared" si="48"/>
        <v>21672425.140000001</v>
      </c>
      <c r="AT50" s="1295">
        <f t="shared" si="67"/>
        <v>5972.01</v>
      </c>
      <c r="AU50" s="1300">
        <f t="shared" si="49"/>
        <v>3</v>
      </c>
      <c r="AV50" s="1297">
        <f t="shared" si="50"/>
        <v>0.63485296159093241</v>
      </c>
      <c r="AW50" s="1300">
        <f t="shared" si="51"/>
        <v>34137708.18</v>
      </c>
      <c r="AX50" s="1301">
        <f t="shared" si="68"/>
        <v>9406.9187599889774</v>
      </c>
      <c r="AY50" s="1300">
        <f t="shared" si="52"/>
        <v>19</v>
      </c>
    </row>
    <row r="51" spans="1:51" s="5" customFormat="1" ht="15.6" customHeight="1">
      <c r="A51" s="1285">
        <v>48</v>
      </c>
      <c r="B51" s="1286" t="s">
        <v>178</v>
      </c>
      <c r="C51" s="1286">
        <f>+'Table 8 Membership 2.1.14'!W50</f>
        <v>5795</v>
      </c>
      <c r="D51" s="1287">
        <f>+'[4]ALL- TABLE 3 '!AA53-'[4]ALL- TABLE 3 '!W53-'[4]ALL- TABLE 3 '!X53-'[4]ALL- TABLE 3 '!Y53-'[4]ALL- TABLE 3 '!Z53</f>
        <v>5111</v>
      </c>
      <c r="E51" s="1287">
        <f t="shared" si="54"/>
        <v>1124</v>
      </c>
      <c r="F51" s="1287">
        <f>+'[5]MS6887_Total CTE T3 corrected'!M53</f>
        <v>2280</v>
      </c>
      <c r="G51" s="1287">
        <f t="shared" si="55"/>
        <v>137</v>
      </c>
      <c r="H51" s="1287">
        <f>+'[6]MFP Funded SWD -Table 3'!W52</f>
        <v>842</v>
      </c>
      <c r="I51" s="1287">
        <f t="shared" si="29"/>
        <v>1263</v>
      </c>
      <c r="J51" s="1287">
        <f>+'[6]MFP Funded GT -Table 3'!S52</f>
        <v>118</v>
      </c>
      <c r="K51" s="1287">
        <f t="shared" si="30"/>
        <v>71</v>
      </c>
      <c r="L51" s="1287">
        <f t="shared" si="56"/>
        <v>1705</v>
      </c>
      <c r="M51" s="1289">
        <f t="shared" si="57"/>
        <v>4.5469999999999997E-2</v>
      </c>
      <c r="N51" s="1287">
        <f t="shared" si="58"/>
        <v>263</v>
      </c>
      <c r="O51" s="1287">
        <f t="shared" si="31"/>
        <v>2858</v>
      </c>
      <c r="P51" s="1287">
        <f t="shared" si="59"/>
        <v>8653</v>
      </c>
      <c r="Q51" s="1290">
        <f t="shared" si="32"/>
        <v>3961</v>
      </c>
      <c r="R51" s="1290">
        <f t="shared" si="60"/>
        <v>34274533</v>
      </c>
      <c r="S51" s="1290">
        <f>'Table 6 (Local Deduct Calc.)'!J54</f>
        <v>14983557</v>
      </c>
      <c r="T51" s="1290">
        <f t="shared" si="33"/>
        <v>14983557</v>
      </c>
      <c r="U51" s="1291">
        <f t="shared" si="34"/>
        <v>19290976</v>
      </c>
      <c r="V51" s="1292">
        <f t="shared" si="53"/>
        <v>0.56279999999999997</v>
      </c>
      <c r="W51" s="1292">
        <f t="shared" si="35"/>
        <v>0.43719999999999998</v>
      </c>
      <c r="X51" s="1293">
        <f t="shared" si="61"/>
        <v>2585.6008628127697</v>
      </c>
      <c r="Y51" s="1290">
        <f>'Table 7 Local Revenue'!AQ55</f>
        <v>38118036</v>
      </c>
      <c r="Z51" s="1290">
        <f t="shared" si="36"/>
        <v>23134479</v>
      </c>
      <c r="AA51" s="1294">
        <f t="shared" si="37"/>
        <v>0</v>
      </c>
      <c r="AB51" s="1295">
        <f t="shared" si="38"/>
        <v>11653341.220000001</v>
      </c>
      <c r="AC51" s="1295">
        <f t="shared" si="39"/>
        <v>11653341.220000001</v>
      </c>
      <c r="AD51" s="1290">
        <f t="shared" si="40"/>
        <v>8763126.1439804807</v>
      </c>
      <c r="AE51" s="1296">
        <f t="shared" si="41"/>
        <v>2890215.0760195199</v>
      </c>
      <c r="AF51" s="1297">
        <f t="shared" si="42"/>
        <v>0.248</v>
      </c>
      <c r="AG51" s="1296">
        <f t="shared" si="43"/>
        <v>22181191.076019518</v>
      </c>
      <c r="AH51" s="1295">
        <f t="shared" si="62"/>
        <v>3828</v>
      </c>
      <c r="AI51" s="1296">
        <f>+'Table 3A Level 3'!O53</f>
        <v>902370</v>
      </c>
      <c r="AJ51" s="1295">
        <f t="shared" si="63"/>
        <v>155.71527178602244</v>
      </c>
      <c r="AK51" s="1296">
        <f t="shared" si="44"/>
        <v>23083561.076019518</v>
      </c>
      <c r="AL51" s="1295">
        <f t="shared" si="64"/>
        <v>3983.3582529800719</v>
      </c>
      <c r="AM51" s="1298">
        <f>+'Table 3A Level 3'!P53</f>
        <v>5950220.6500000004</v>
      </c>
      <c r="AN51" s="1299">
        <f t="shared" si="65"/>
        <v>1026.7852717860226</v>
      </c>
      <c r="AO51" s="1296">
        <f t="shared" si="45"/>
        <v>28131411.726019517</v>
      </c>
      <c r="AP51" s="1295">
        <f t="shared" si="66"/>
        <v>4854.4282529800721</v>
      </c>
      <c r="AQ51" s="1297">
        <f t="shared" si="46"/>
        <v>0.51364396224287856</v>
      </c>
      <c r="AR51" s="1300">
        <f t="shared" si="47"/>
        <v>54</v>
      </c>
      <c r="AS51" s="1295">
        <f t="shared" si="48"/>
        <v>26636898.219999999</v>
      </c>
      <c r="AT51" s="1295">
        <f t="shared" si="67"/>
        <v>4596.53</v>
      </c>
      <c r="AU51" s="1300">
        <f t="shared" si="49"/>
        <v>13</v>
      </c>
      <c r="AV51" s="1297">
        <f t="shared" si="50"/>
        <v>0.4863560377571215</v>
      </c>
      <c r="AW51" s="1300">
        <f t="shared" si="51"/>
        <v>54768309.946019515</v>
      </c>
      <c r="AX51" s="1301">
        <f t="shared" si="68"/>
        <v>9450.9594384848169</v>
      </c>
      <c r="AY51" s="1300">
        <f t="shared" si="52"/>
        <v>18</v>
      </c>
    </row>
    <row r="52" spans="1:51" s="5" customFormat="1" ht="15.6" customHeight="1">
      <c r="A52" s="1285">
        <v>49</v>
      </c>
      <c r="B52" s="1286" t="s">
        <v>128</v>
      </c>
      <c r="C52" s="1286">
        <f>+'Table 8 Membership 2.1.14'!W51</f>
        <v>14495</v>
      </c>
      <c r="D52" s="1287">
        <f>+'[4]ALL- TABLE 3 '!AA54-'[4]ALL- TABLE 3 '!W54-'[4]ALL- TABLE 3 '!X54-'[4]ALL- TABLE 3 '!Y54-'[4]ALL- TABLE 3 '!Z54</f>
        <v>11499</v>
      </c>
      <c r="E52" s="1287">
        <f t="shared" si="54"/>
        <v>2530</v>
      </c>
      <c r="F52" s="1287">
        <f>+'[5]MS6887_Total CTE T3 corrected'!M54</f>
        <v>4485</v>
      </c>
      <c r="G52" s="1287">
        <f t="shared" si="55"/>
        <v>269</v>
      </c>
      <c r="H52" s="1287">
        <f>+'[6]MFP Funded SWD -Table 3'!W53</f>
        <v>1823</v>
      </c>
      <c r="I52" s="1287">
        <f t="shared" si="29"/>
        <v>2735</v>
      </c>
      <c r="J52" s="1287">
        <f>+'[6]MFP Funded GT -Table 3'!S53</f>
        <v>332</v>
      </c>
      <c r="K52" s="1287">
        <f t="shared" si="30"/>
        <v>199</v>
      </c>
      <c r="L52" s="1287">
        <f t="shared" si="56"/>
        <v>0</v>
      </c>
      <c r="M52" s="1289">
        <f t="shared" si="57"/>
        <v>0</v>
      </c>
      <c r="N52" s="1287">
        <f t="shared" si="58"/>
        <v>0</v>
      </c>
      <c r="O52" s="1287">
        <f t="shared" si="31"/>
        <v>5733</v>
      </c>
      <c r="P52" s="1287">
        <f t="shared" si="59"/>
        <v>20228</v>
      </c>
      <c r="Q52" s="1290">
        <f t="shared" si="32"/>
        <v>3961</v>
      </c>
      <c r="R52" s="1290">
        <f t="shared" si="60"/>
        <v>80123108</v>
      </c>
      <c r="S52" s="1290">
        <f>'Table 6 (Local Deduct Calc.)'!J55</f>
        <v>19425595</v>
      </c>
      <c r="T52" s="1290">
        <f t="shared" si="33"/>
        <v>19425595</v>
      </c>
      <c r="U52" s="1291">
        <f t="shared" si="34"/>
        <v>60697513</v>
      </c>
      <c r="V52" s="1292">
        <f t="shared" si="53"/>
        <v>0.75760000000000005</v>
      </c>
      <c r="W52" s="1292">
        <f t="shared" si="35"/>
        <v>0.2424</v>
      </c>
      <c r="X52" s="1293">
        <f t="shared" si="61"/>
        <v>1340.1583304587789</v>
      </c>
      <c r="Y52" s="1290">
        <f>'Table 7 Local Revenue'!AQ56</f>
        <v>35651054</v>
      </c>
      <c r="Z52" s="1290">
        <f t="shared" si="36"/>
        <v>16225459</v>
      </c>
      <c r="AA52" s="1294">
        <f t="shared" si="37"/>
        <v>0</v>
      </c>
      <c r="AB52" s="1295">
        <f t="shared" si="38"/>
        <v>27241856.720000003</v>
      </c>
      <c r="AC52" s="1295">
        <f t="shared" si="39"/>
        <v>16225459</v>
      </c>
      <c r="AD52" s="1290">
        <f t="shared" si="40"/>
        <v>6764848.1699520005</v>
      </c>
      <c r="AE52" s="1296">
        <f t="shared" si="41"/>
        <v>9460610.8300479986</v>
      </c>
      <c r="AF52" s="1297">
        <f t="shared" si="42"/>
        <v>0.58309999999999995</v>
      </c>
      <c r="AG52" s="1296">
        <f t="shared" si="43"/>
        <v>70158123.830047995</v>
      </c>
      <c r="AH52" s="1295">
        <f t="shared" si="62"/>
        <v>4840</v>
      </c>
      <c r="AI52" s="1296">
        <f>+'Table 3A Level 3'!O54</f>
        <v>2257092</v>
      </c>
      <c r="AJ52" s="1295">
        <f t="shared" si="63"/>
        <v>155.71521214211796</v>
      </c>
      <c r="AK52" s="1296">
        <f t="shared" si="44"/>
        <v>72415215.830047995</v>
      </c>
      <c r="AL52" s="1295">
        <f t="shared" si="64"/>
        <v>4995.8755315659191</v>
      </c>
      <c r="AM52" s="1298">
        <f>+'Table 3A Level 3'!P54</f>
        <v>10583599.799999999</v>
      </c>
      <c r="AN52" s="1299">
        <f t="shared" si="65"/>
        <v>730.15521214211788</v>
      </c>
      <c r="AO52" s="1296">
        <f t="shared" si="45"/>
        <v>80741723.630047992</v>
      </c>
      <c r="AP52" s="1295">
        <f t="shared" si="66"/>
        <v>5570.3155315659187</v>
      </c>
      <c r="AQ52" s="1297">
        <f t="shared" si="46"/>
        <v>0.69370046212561287</v>
      </c>
      <c r="AR52" s="1300">
        <f t="shared" si="47"/>
        <v>17</v>
      </c>
      <c r="AS52" s="1295">
        <f t="shared" si="48"/>
        <v>35651054</v>
      </c>
      <c r="AT52" s="1295">
        <f t="shared" si="67"/>
        <v>2459.54</v>
      </c>
      <c r="AU52" s="1300">
        <f t="shared" si="49"/>
        <v>61</v>
      </c>
      <c r="AV52" s="1297">
        <f t="shared" si="50"/>
        <v>0.30629953787438707</v>
      </c>
      <c r="AW52" s="1300">
        <f t="shared" si="51"/>
        <v>116392777.63004799</v>
      </c>
      <c r="AX52" s="1301">
        <f t="shared" si="68"/>
        <v>8029.8570286338736</v>
      </c>
      <c r="AY52" s="1300">
        <f t="shared" si="52"/>
        <v>66</v>
      </c>
    </row>
    <row r="53" spans="1:51" s="17" customFormat="1" ht="15.6" customHeight="1">
      <c r="A53" s="87">
        <v>50</v>
      </c>
      <c r="B53" s="67" t="s">
        <v>129</v>
      </c>
      <c r="C53" s="67">
        <f>+'Table 8 Membership 2.1.14'!W52</f>
        <v>7921</v>
      </c>
      <c r="D53" s="15">
        <f>+'[4]ALL- TABLE 3 '!AA55-'[4]ALL- TABLE 3 '!W55-'[4]ALL- TABLE 3 '!X55-'[4]ALL- TABLE 3 '!Y55-'[4]ALL- TABLE 3 '!Z55</f>
        <v>5973</v>
      </c>
      <c r="E53" s="15">
        <f t="shared" si="54"/>
        <v>1314</v>
      </c>
      <c r="F53" s="15">
        <f>+'[5]MS6887_Total CTE T3 corrected'!M55</f>
        <v>3391.5</v>
      </c>
      <c r="G53" s="15">
        <f t="shared" si="55"/>
        <v>203</v>
      </c>
      <c r="H53" s="15">
        <f>+'[6]MFP Funded SWD -Table 3'!W54</f>
        <v>895</v>
      </c>
      <c r="I53" s="15">
        <f t="shared" si="29"/>
        <v>1343</v>
      </c>
      <c r="J53" s="15">
        <f>+'[6]MFP Funded GT -Table 3'!S54</f>
        <v>159</v>
      </c>
      <c r="K53" s="15">
        <f t="shared" si="30"/>
        <v>95</v>
      </c>
      <c r="L53" s="15">
        <f t="shared" si="56"/>
        <v>0</v>
      </c>
      <c r="M53" s="54">
        <f t="shared" si="57"/>
        <v>0</v>
      </c>
      <c r="N53" s="15">
        <f t="shared" si="58"/>
        <v>0</v>
      </c>
      <c r="O53" s="15">
        <f t="shared" si="31"/>
        <v>2955</v>
      </c>
      <c r="P53" s="1302">
        <f t="shared" si="59"/>
        <v>10876</v>
      </c>
      <c r="Q53" s="230">
        <f t="shared" si="32"/>
        <v>3961</v>
      </c>
      <c r="R53" s="230">
        <f t="shared" si="60"/>
        <v>43079836</v>
      </c>
      <c r="S53" s="230">
        <f>'Table 6 (Local Deduct Calc.)'!J56</f>
        <v>11189182.5</v>
      </c>
      <c r="T53" s="230">
        <f t="shared" si="33"/>
        <v>11189182.5</v>
      </c>
      <c r="U53" s="231">
        <f t="shared" si="34"/>
        <v>31890653.5</v>
      </c>
      <c r="V53" s="232">
        <f t="shared" si="53"/>
        <v>0.74029999999999996</v>
      </c>
      <c r="W53" s="233">
        <f t="shared" si="35"/>
        <v>0.25969999999999999</v>
      </c>
      <c r="X53" s="234">
        <f t="shared" si="61"/>
        <v>1412.597209948239</v>
      </c>
      <c r="Y53" s="230">
        <f>'Table 7 Local Revenue'!AQ57</f>
        <v>25445779.5</v>
      </c>
      <c r="Z53" s="230">
        <f t="shared" si="36"/>
        <v>14256597</v>
      </c>
      <c r="AA53" s="199">
        <f t="shared" si="37"/>
        <v>0</v>
      </c>
      <c r="AB53" s="16">
        <f t="shared" si="38"/>
        <v>14647144.24</v>
      </c>
      <c r="AC53" s="16">
        <f t="shared" si="39"/>
        <v>14256597</v>
      </c>
      <c r="AD53" s="230">
        <f t="shared" si="40"/>
        <v>6368193.7743479991</v>
      </c>
      <c r="AE53" s="235">
        <f t="shared" si="41"/>
        <v>7888403.2256520009</v>
      </c>
      <c r="AF53" s="192">
        <f t="shared" si="42"/>
        <v>0.55330000000000001</v>
      </c>
      <c r="AG53" s="235">
        <f t="shared" si="43"/>
        <v>39779056.725652002</v>
      </c>
      <c r="AH53" s="16">
        <f t="shared" si="62"/>
        <v>5022</v>
      </c>
      <c r="AI53" s="235">
        <f>+'Table 3A Level 3'!O55</f>
        <v>1233420</v>
      </c>
      <c r="AJ53" s="16">
        <f t="shared" si="63"/>
        <v>155.71518747632874</v>
      </c>
      <c r="AK53" s="235">
        <f t="shared" si="44"/>
        <v>41012476.725652002</v>
      </c>
      <c r="AL53" s="16">
        <f t="shared" si="64"/>
        <v>5177.6892722701677</v>
      </c>
      <c r="AM53" s="287">
        <f>+'Table 3A Level 3'!P55</f>
        <v>6258977.6600000001</v>
      </c>
      <c r="AN53" s="288">
        <f t="shared" si="65"/>
        <v>790.1751874763288</v>
      </c>
      <c r="AO53" s="235">
        <f t="shared" si="45"/>
        <v>46038034.385652006</v>
      </c>
      <c r="AP53" s="16">
        <f t="shared" si="66"/>
        <v>5812.1492722701687</v>
      </c>
      <c r="AQ53" s="192">
        <f t="shared" si="46"/>
        <v>0.64403438880997654</v>
      </c>
      <c r="AR53" s="236">
        <f t="shared" si="47"/>
        <v>31</v>
      </c>
      <c r="AS53" s="16">
        <f t="shared" si="48"/>
        <v>25445779.5</v>
      </c>
      <c r="AT53" s="16">
        <f t="shared" si="67"/>
        <v>3212.45</v>
      </c>
      <c r="AU53" s="236">
        <f t="shared" si="49"/>
        <v>43</v>
      </c>
      <c r="AV53" s="192">
        <f t="shared" si="50"/>
        <v>0.35596561119002346</v>
      </c>
      <c r="AW53" s="236">
        <f t="shared" si="51"/>
        <v>71483813.885652006</v>
      </c>
      <c r="AX53" s="237">
        <f t="shared" si="68"/>
        <v>9024.5946074551193</v>
      </c>
      <c r="AY53" s="236">
        <f t="shared" si="52"/>
        <v>39</v>
      </c>
    </row>
    <row r="54" spans="1:51" s="5" customFormat="1" ht="15.6" customHeight="1">
      <c r="A54" s="1285">
        <v>51</v>
      </c>
      <c r="B54" s="1286" t="s">
        <v>130</v>
      </c>
      <c r="C54" s="1287">
        <f>+'Table 8 Membership 2.1.14'!W53</f>
        <v>8894</v>
      </c>
      <c r="D54" s="1287">
        <f>+'[4]ALL- TABLE 3 '!AA56-'[4]ALL- TABLE 3 '!W56-'[4]ALL- TABLE 3 '!X56-'[4]ALL- TABLE 3 '!Y56-'[4]ALL- TABLE 3 '!Z56</f>
        <v>6566</v>
      </c>
      <c r="E54" s="1287">
        <f t="shared" si="54"/>
        <v>1445</v>
      </c>
      <c r="F54" s="1287">
        <f>+'[5]MS6887_Total CTE T3 corrected'!M56</f>
        <v>3471</v>
      </c>
      <c r="G54" s="1287">
        <f t="shared" si="55"/>
        <v>208</v>
      </c>
      <c r="H54" s="1287">
        <f>+'[6]MFP Funded SWD -Table 3'!W55</f>
        <v>1309</v>
      </c>
      <c r="I54" s="1287">
        <f t="shared" si="29"/>
        <v>1964</v>
      </c>
      <c r="J54" s="1287">
        <f>+'[6]MFP Funded GT -Table 3'!S55</f>
        <v>557</v>
      </c>
      <c r="K54" s="1287">
        <f t="shared" si="30"/>
        <v>334</v>
      </c>
      <c r="L54" s="1288">
        <f t="shared" si="56"/>
        <v>0</v>
      </c>
      <c r="M54" s="1289">
        <f t="shared" si="57"/>
        <v>0</v>
      </c>
      <c r="N54" s="1287">
        <f t="shared" si="58"/>
        <v>0</v>
      </c>
      <c r="O54" s="1287">
        <f t="shared" si="31"/>
        <v>3951</v>
      </c>
      <c r="P54" s="1287">
        <f t="shared" si="59"/>
        <v>12845</v>
      </c>
      <c r="Q54" s="1290">
        <f t="shared" si="32"/>
        <v>3961</v>
      </c>
      <c r="R54" s="1290">
        <f t="shared" si="60"/>
        <v>50879045</v>
      </c>
      <c r="S54" s="1290">
        <f>'Table 6 (Local Deduct Calc.)'!J57</f>
        <v>20579940.5</v>
      </c>
      <c r="T54" s="1290">
        <f t="shared" si="33"/>
        <v>20579940.5</v>
      </c>
      <c r="U54" s="1291">
        <f t="shared" si="34"/>
        <v>30299104.5</v>
      </c>
      <c r="V54" s="1292">
        <f t="shared" si="53"/>
        <v>0.59550000000000003</v>
      </c>
      <c r="W54" s="1292">
        <f t="shared" si="35"/>
        <v>0.40450000000000003</v>
      </c>
      <c r="X54" s="1293">
        <f t="shared" si="61"/>
        <v>2313.9128063863277</v>
      </c>
      <c r="Y54" s="1290">
        <f>'Table 7 Local Revenue'!AQ58</f>
        <v>40023883.5</v>
      </c>
      <c r="Z54" s="1290">
        <f t="shared" si="36"/>
        <v>19443943</v>
      </c>
      <c r="AA54" s="1294">
        <f t="shared" si="37"/>
        <v>0</v>
      </c>
      <c r="AB54" s="1295">
        <f t="shared" si="38"/>
        <v>17298875.300000001</v>
      </c>
      <c r="AC54" s="1295">
        <f t="shared" si="39"/>
        <v>17298875.300000001</v>
      </c>
      <c r="AD54" s="1290">
        <f t="shared" si="40"/>
        <v>12035519.501222001</v>
      </c>
      <c r="AE54" s="1296">
        <f t="shared" si="41"/>
        <v>5263355.7987779994</v>
      </c>
      <c r="AF54" s="1297">
        <f t="shared" si="42"/>
        <v>0.30430000000000001</v>
      </c>
      <c r="AG54" s="1296">
        <f t="shared" si="43"/>
        <v>35562460.298777997</v>
      </c>
      <c r="AH54" s="1295">
        <f t="shared" si="62"/>
        <v>3998</v>
      </c>
      <c r="AI54" s="1296">
        <f>+'Table 3A Level 3'!O56</f>
        <v>1384931</v>
      </c>
      <c r="AJ54" s="1295">
        <f t="shared" si="63"/>
        <v>155.71520125927591</v>
      </c>
      <c r="AK54" s="1296">
        <f t="shared" si="44"/>
        <v>36947391.298777997</v>
      </c>
      <c r="AL54" s="1295">
        <f t="shared" si="64"/>
        <v>4154.1928602178996</v>
      </c>
      <c r="AM54" s="1298">
        <f>+'Table 3A Level 3'!P56</f>
        <v>7669965.04</v>
      </c>
      <c r="AN54" s="1299">
        <f t="shared" si="65"/>
        <v>862.37520125927597</v>
      </c>
      <c r="AO54" s="1296">
        <f t="shared" si="45"/>
        <v>43232425.338777997</v>
      </c>
      <c r="AP54" s="1295">
        <f t="shared" si="66"/>
        <v>4860.8528602178994</v>
      </c>
      <c r="AQ54" s="1297">
        <f t="shared" si="46"/>
        <v>0.53300164973199082</v>
      </c>
      <c r="AR54" s="1300">
        <f t="shared" si="47"/>
        <v>52</v>
      </c>
      <c r="AS54" s="1295">
        <f t="shared" si="48"/>
        <v>37878815.799999997</v>
      </c>
      <c r="AT54" s="1295">
        <f t="shared" si="67"/>
        <v>4258.92</v>
      </c>
      <c r="AU54" s="1300">
        <f t="shared" si="49"/>
        <v>19</v>
      </c>
      <c r="AV54" s="1297">
        <f t="shared" si="50"/>
        <v>0.46699835026800907</v>
      </c>
      <c r="AW54" s="1300">
        <f t="shared" si="51"/>
        <v>81111241.138778001</v>
      </c>
      <c r="AX54" s="1301">
        <f t="shared" si="68"/>
        <v>9119.7707599255682</v>
      </c>
      <c r="AY54" s="1300">
        <f t="shared" si="52"/>
        <v>34</v>
      </c>
    </row>
    <row r="55" spans="1:51" s="5" customFormat="1" ht="15.6" customHeight="1">
      <c r="A55" s="1285">
        <v>52</v>
      </c>
      <c r="B55" s="1286" t="s">
        <v>131</v>
      </c>
      <c r="C55" s="1286">
        <f>+'Table 8 Membership 2.1.14'!W54</f>
        <v>37226</v>
      </c>
      <c r="D55" s="1287">
        <f>+'[4]ALL- TABLE 3 '!AA57-'[4]ALL- TABLE 3 '!W57-'[4]ALL- TABLE 3 '!X57-'[4]ALL- TABLE 3 '!Y57-'[4]ALL- TABLE 3 '!Z57</f>
        <v>17227</v>
      </c>
      <c r="E55" s="1287">
        <f t="shared" si="54"/>
        <v>3790</v>
      </c>
      <c r="F55" s="1287">
        <f>+'[5]MS6887_Total CTE T3 corrected'!M57</f>
        <v>16993</v>
      </c>
      <c r="G55" s="1287">
        <f t="shared" si="55"/>
        <v>1020</v>
      </c>
      <c r="H55" s="1287">
        <f>+'[6]MFP Funded SWD -Table 3'!W56</f>
        <v>6138</v>
      </c>
      <c r="I55" s="1287">
        <f t="shared" si="29"/>
        <v>9207</v>
      </c>
      <c r="J55" s="1287">
        <f>+'[6]MFP Funded GT -Table 3'!S56</f>
        <v>3248</v>
      </c>
      <c r="K55" s="1287">
        <f t="shared" si="30"/>
        <v>1949</v>
      </c>
      <c r="L55" s="1287">
        <f t="shared" si="56"/>
        <v>0</v>
      </c>
      <c r="M55" s="1289">
        <f t="shared" si="57"/>
        <v>0</v>
      </c>
      <c r="N55" s="1287">
        <f t="shared" si="58"/>
        <v>0</v>
      </c>
      <c r="O55" s="1287">
        <f t="shared" si="31"/>
        <v>15966</v>
      </c>
      <c r="P55" s="1287">
        <f t="shared" si="59"/>
        <v>53192</v>
      </c>
      <c r="Q55" s="1290">
        <f t="shared" si="32"/>
        <v>3961</v>
      </c>
      <c r="R55" s="1290">
        <f t="shared" si="60"/>
        <v>210693512</v>
      </c>
      <c r="S55" s="1290">
        <f>'Table 6 (Local Deduct Calc.)'!J58</f>
        <v>62898477</v>
      </c>
      <c r="T55" s="1290">
        <f t="shared" si="33"/>
        <v>62898477</v>
      </c>
      <c r="U55" s="1291">
        <f t="shared" si="34"/>
        <v>147795035</v>
      </c>
      <c r="V55" s="1292">
        <f t="shared" si="53"/>
        <v>0.70150000000000001</v>
      </c>
      <c r="W55" s="1292">
        <f t="shared" si="35"/>
        <v>0.29849999999999999</v>
      </c>
      <c r="X55" s="1293">
        <f t="shared" si="61"/>
        <v>1689.6383441680546</v>
      </c>
      <c r="Y55" s="1290">
        <f>'Table 7 Local Revenue'!AQ59</f>
        <v>196167866</v>
      </c>
      <c r="Z55" s="1290">
        <f t="shared" si="36"/>
        <v>133269389</v>
      </c>
      <c r="AA55" s="1294">
        <f t="shared" si="37"/>
        <v>0</v>
      </c>
      <c r="AB55" s="1295">
        <f t="shared" si="38"/>
        <v>71635794.079999998</v>
      </c>
      <c r="AC55" s="1295">
        <f t="shared" si="39"/>
        <v>71635794.079999998</v>
      </c>
      <c r="AD55" s="1290">
        <f t="shared" si="40"/>
        <v>36779249.396553598</v>
      </c>
      <c r="AE55" s="1296">
        <f t="shared" si="41"/>
        <v>34856544.6834464</v>
      </c>
      <c r="AF55" s="1297">
        <f t="shared" si="42"/>
        <v>0.48659999999999998</v>
      </c>
      <c r="AG55" s="1296">
        <f t="shared" si="43"/>
        <v>182651579.68344641</v>
      </c>
      <c r="AH55" s="1295">
        <f t="shared" si="62"/>
        <v>4907</v>
      </c>
      <c r="AI55" s="1296">
        <f>+'Table 3A Level 3'!O57</f>
        <v>5796654</v>
      </c>
      <c r="AJ55" s="1295">
        <f t="shared" si="63"/>
        <v>155.71519905442432</v>
      </c>
      <c r="AK55" s="1296">
        <f t="shared" si="44"/>
        <v>188448233.68344641</v>
      </c>
      <c r="AL55" s="1295">
        <f t="shared" si="64"/>
        <v>5062.2745845228173</v>
      </c>
      <c r="AM55" s="1298">
        <f>+'Table 3A Level 3'!P57</f>
        <v>30305135.620000001</v>
      </c>
      <c r="AN55" s="1299">
        <f t="shared" si="65"/>
        <v>814.08519905442438</v>
      </c>
      <c r="AO55" s="1296">
        <f t="shared" si="45"/>
        <v>212956715.30344641</v>
      </c>
      <c r="AP55" s="1295">
        <f t="shared" si="66"/>
        <v>5720.6445845228181</v>
      </c>
      <c r="AQ55" s="1297">
        <f t="shared" si="46"/>
        <v>0.61284097616406863</v>
      </c>
      <c r="AR55" s="1300">
        <f t="shared" si="47"/>
        <v>41</v>
      </c>
      <c r="AS55" s="1295">
        <f t="shared" si="48"/>
        <v>134534271.08000001</v>
      </c>
      <c r="AT55" s="1295">
        <f t="shared" si="67"/>
        <v>3613.99</v>
      </c>
      <c r="AU55" s="1300">
        <f t="shared" si="49"/>
        <v>28</v>
      </c>
      <c r="AV55" s="1297">
        <f t="shared" si="50"/>
        <v>0.38715902383593126</v>
      </c>
      <c r="AW55" s="1300">
        <f t="shared" si="51"/>
        <v>347490986.38344646</v>
      </c>
      <c r="AX55" s="1301">
        <f t="shared" si="68"/>
        <v>9334.6313432398438</v>
      </c>
      <c r="AY55" s="1300">
        <f t="shared" si="52"/>
        <v>20</v>
      </c>
    </row>
    <row r="56" spans="1:51" s="5" customFormat="1" ht="15.6" customHeight="1">
      <c r="A56" s="1285">
        <v>53</v>
      </c>
      <c r="B56" s="1286" t="s">
        <v>132</v>
      </c>
      <c r="C56" s="1286">
        <f>+'Table 8 Membership 2.1.14'!W55</f>
        <v>19434</v>
      </c>
      <c r="D56" s="1287">
        <f>+'[4]ALL- TABLE 3 '!AA58-'[4]ALL- TABLE 3 '!W58-'[4]ALL- TABLE 3 '!X58-'[4]ALL- TABLE 3 '!Y58-'[4]ALL- TABLE 3 '!Z58</f>
        <v>15057</v>
      </c>
      <c r="E56" s="1287">
        <f t="shared" si="54"/>
        <v>3313</v>
      </c>
      <c r="F56" s="1287">
        <f>+'[5]MS6887_Total CTE T3 corrected'!M58</f>
        <v>6756.5</v>
      </c>
      <c r="G56" s="1287">
        <f t="shared" si="55"/>
        <v>405</v>
      </c>
      <c r="H56" s="1287">
        <f>+'[6]MFP Funded SWD -Table 3'!W57</f>
        <v>2235</v>
      </c>
      <c r="I56" s="1287">
        <f t="shared" si="29"/>
        <v>3353</v>
      </c>
      <c r="J56" s="1287">
        <f>+'[6]MFP Funded GT -Table 3'!S57</f>
        <v>439</v>
      </c>
      <c r="K56" s="1287">
        <f t="shared" si="30"/>
        <v>263</v>
      </c>
      <c r="L56" s="1287">
        <f t="shared" si="56"/>
        <v>0</v>
      </c>
      <c r="M56" s="1289">
        <f t="shared" si="57"/>
        <v>0</v>
      </c>
      <c r="N56" s="1287">
        <f t="shared" si="58"/>
        <v>0</v>
      </c>
      <c r="O56" s="1287">
        <f t="shared" si="31"/>
        <v>7334</v>
      </c>
      <c r="P56" s="1287">
        <f t="shared" si="59"/>
        <v>26768</v>
      </c>
      <c r="Q56" s="1290">
        <f t="shared" si="32"/>
        <v>3961</v>
      </c>
      <c r="R56" s="1290">
        <f t="shared" si="60"/>
        <v>106028048</v>
      </c>
      <c r="S56" s="1290">
        <f>'Table 6 (Local Deduct Calc.)'!J59</f>
        <v>22618811</v>
      </c>
      <c r="T56" s="1290">
        <f t="shared" si="33"/>
        <v>22618811</v>
      </c>
      <c r="U56" s="1291">
        <f t="shared" si="34"/>
        <v>83409237</v>
      </c>
      <c r="V56" s="1292">
        <f t="shared" si="53"/>
        <v>0.78669999999999995</v>
      </c>
      <c r="W56" s="1292">
        <f t="shared" si="35"/>
        <v>0.21329999999999999</v>
      </c>
      <c r="X56" s="1293">
        <f t="shared" si="61"/>
        <v>1163.8783060615417</v>
      </c>
      <c r="Y56" s="1290">
        <f>'Table 7 Local Revenue'!AQ60</f>
        <v>41420128</v>
      </c>
      <c r="Z56" s="1290">
        <f t="shared" si="36"/>
        <v>18801317</v>
      </c>
      <c r="AA56" s="1294">
        <f t="shared" si="37"/>
        <v>0</v>
      </c>
      <c r="AB56" s="1295">
        <f t="shared" si="38"/>
        <v>36049536.32</v>
      </c>
      <c r="AC56" s="1295">
        <f t="shared" si="39"/>
        <v>18801317</v>
      </c>
      <c r="AD56" s="1290">
        <f t="shared" si="40"/>
        <v>6897751.9756919993</v>
      </c>
      <c r="AE56" s="1296">
        <f t="shared" si="41"/>
        <v>11903565.024308</v>
      </c>
      <c r="AF56" s="1297">
        <f t="shared" si="42"/>
        <v>0.6331</v>
      </c>
      <c r="AG56" s="1296">
        <f t="shared" si="43"/>
        <v>95312802.024307996</v>
      </c>
      <c r="AH56" s="1295">
        <f t="shared" si="62"/>
        <v>4904</v>
      </c>
      <c r="AI56" s="1296">
        <f>+'Table 3A Level 3'!O58</f>
        <v>3026169</v>
      </c>
      <c r="AJ56" s="1295">
        <f t="shared" si="63"/>
        <v>155.71518987341773</v>
      </c>
      <c r="AK56" s="1296">
        <f t="shared" si="44"/>
        <v>98338971.024307996</v>
      </c>
      <c r="AL56" s="1295">
        <f t="shared" si="64"/>
        <v>5060.1508194045482</v>
      </c>
      <c r="AM56" s="1298">
        <f>+'Table 3A Level 3'!P58</f>
        <v>16430576.16</v>
      </c>
      <c r="AN56" s="1299">
        <f t="shared" si="65"/>
        <v>845.45518987341768</v>
      </c>
      <c r="AO56" s="1296">
        <f t="shared" si="45"/>
        <v>111743378.18430799</v>
      </c>
      <c r="AP56" s="1295">
        <f t="shared" si="66"/>
        <v>5749.890819404548</v>
      </c>
      <c r="AQ56" s="1297">
        <f t="shared" si="46"/>
        <v>0.72956920984717177</v>
      </c>
      <c r="AR56" s="1300">
        <f t="shared" si="47"/>
        <v>8</v>
      </c>
      <c r="AS56" s="1295">
        <f t="shared" si="48"/>
        <v>41420128</v>
      </c>
      <c r="AT56" s="1295">
        <f t="shared" si="67"/>
        <v>2131.3200000000002</v>
      </c>
      <c r="AU56" s="1300">
        <f t="shared" si="49"/>
        <v>64</v>
      </c>
      <c r="AV56" s="1297">
        <f t="shared" si="50"/>
        <v>0.27043079015282823</v>
      </c>
      <c r="AW56" s="1300">
        <f t="shared" si="51"/>
        <v>153163506.18430799</v>
      </c>
      <c r="AX56" s="1301">
        <f t="shared" si="68"/>
        <v>7881.2136556708856</v>
      </c>
      <c r="AY56" s="1300">
        <f t="shared" si="52"/>
        <v>68</v>
      </c>
    </row>
    <row r="57" spans="1:51" s="5" customFormat="1" ht="15.6" customHeight="1">
      <c r="A57" s="1285">
        <v>54</v>
      </c>
      <c r="B57" s="1286" t="s">
        <v>133</v>
      </c>
      <c r="C57" s="1286">
        <f>+'Table 8 Membership 2.1.14'!W56</f>
        <v>658</v>
      </c>
      <c r="D57" s="1287">
        <f>+'[4]ALL- TABLE 3 '!AA59-'[4]ALL- TABLE 3 '!W59-'[4]ALL- TABLE 3 '!X59-'[4]ALL- TABLE 3 '!Y59-'[4]ALL- TABLE 3 '!Z59</f>
        <v>617</v>
      </c>
      <c r="E57" s="1287">
        <f t="shared" si="54"/>
        <v>136</v>
      </c>
      <c r="F57" s="1287">
        <f>+'[5]MS6887_Total CTE T3 corrected'!M59</f>
        <v>263.5</v>
      </c>
      <c r="G57" s="1287">
        <f t="shared" si="55"/>
        <v>16</v>
      </c>
      <c r="H57" s="1287">
        <f>+'[6]MFP Funded SWD -Table 3'!W58</f>
        <v>112</v>
      </c>
      <c r="I57" s="1287">
        <f t="shared" si="29"/>
        <v>168</v>
      </c>
      <c r="J57" s="1287">
        <f>+'[6]MFP Funded GT -Table 3'!S58</f>
        <v>30</v>
      </c>
      <c r="K57" s="1287">
        <f t="shared" si="30"/>
        <v>18</v>
      </c>
      <c r="L57" s="1287">
        <f t="shared" si="56"/>
        <v>6842</v>
      </c>
      <c r="M57" s="1289">
        <f t="shared" si="57"/>
        <v>0.18245</v>
      </c>
      <c r="N57" s="1287">
        <f t="shared" si="58"/>
        <v>120</v>
      </c>
      <c r="O57" s="1287">
        <f t="shared" si="31"/>
        <v>458</v>
      </c>
      <c r="P57" s="1287">
        <f t="shared" si="59"/>
        <v>1116</v>
      </c>
      <c r="Q57" s="1290">
        <f t="shared" si="32"/>
        <v>3961</v>
      </c>
      <c r="R57" s="1290">
        <f t="shared" si="60"/>
        <v>4420476</v>
      </c>
      <c r="S57" s="1290">
        <f>'Table 6 (Local Deduct Calc.)'!J60</f>
        <v>1301894.5</v>
      </c>
      <c r="T57" s="1290">
        <f t="shared" si="33"/>
        <v>1301894.5</v>
      </c>
      <c r="U57" s="1291">
        <f t="shared" si="34"/>
        <v>3118581.5</v>
      </c>
      <c r="V57" s="1292">
        <f t="shared" si="53"/>
        <v>0.70550000000000002</v>
      </c>
      <c r="W57" s="1292">
        <f t="shared" si="35"/>
        <v>0.29449999999999998</v>
      </c>
      <c r="X57" s="1293">
        <f t="shared" si="61"/>
        <v>1978.5630699088147</v>
      </c>
      <c r="Y57" s="1290">
        <f>'Table 7 Local Revenue'!AQ61</f>
        <v>2597837.5</v>
      </c>
      <c r="Z57" s="1290">
        <f t="shared" si="36"/>
        <v>1295943</v>
      </c>
      <c r="AA57" s="1294">
        <f t="shared" si="37"/>
        <v>0</v>
      </c>
      <c r="AB57" s="1295">
        <f t="shared" si="38"/>
        <v>1502961.84</v>
      </c>
      <c r="AC57" s="1295">
        <f t="shared" si="39"/>
        <v>1295943</v>
      </c>
      <c r="AD57" s="1290">
        <f t="shared" si="40"/>
        <v>656446.96721999999</v>
      </c>
      <c r="AE57" s="1296">
        <f t="shared" si="41"/>
        <v>639496.03278000001</v>
      </c>
      <c r="AF57" s="1297">
        <f t="shared" si="42"/>
        <v>0.49349999999999999</v>
      </c>
      <c r="AG57" s="1296">
        <f t="shared" si="43"/>
        <v>3758077.53278</v>
      </c>
      <c r="AH57" s="1295">
        <f t="shared" si="62"/>
        <v>5711</v>
      </c>
      <c r="AI57" s="1296">
        <f>+'Table 3A Level 3'!O59</f>
        <v>102461</v>
      </c>
      <c r="AJ57" s="1295">
        <f t="shared" si="63"/>
        <v>155.71580547112461</v>
      </c>
      <c r="AK57" s="1296">
        <f t="shared" si="44"/>
        <v>3860538.53278</v>
      </c>
      <c r="AL57" s="1295">
        <f t="shared" si="64"/>
        <v>5867.0798370516713</v>
      </c>
      <c r="AM57" s="1298">
        <f>+'Table 3A Level 3'!P59</f>
        <v>728515.1</v>
      </c>
      <c r="AN57" s="1299">
        <f t="shared" si="65"/>
        <v>1107.1658054711245</v>
      </c>
      <c r="AO57" s="1296">
        <f t="shared" si="45"/>
        <v>4486592.6327799996</v>
      </c>
      <c r="AP57" s="1295">
        <f t="shared" si="66"/>
        <v>6818.5298370516712</v>
      </c>
      <c r="AQ57" s="1297">
        <f t="shared" si="46"/>
        <v>0.63330325074705995</v>
      </c>
      <c r="AR57" s="1300">
        <f t="shared" si="47"/>
        <v>38</v>
      </c>
      <c r="AS57" s="1295">
        <f t="shared" si="48"/>
        <v>2597837.5</v>
      </c>
      <c r="AT57" s="1295">
        <f t="shared" si="67"/>
        <v>3948.08</v>
      </c>
      <c r="AU57" s="1300">
        <f t="shared" si="49"/>
        <v>21</v>
      </c>
      <c r="AV57" s="1297">
        <f t="shared" si="50"/>
        <v>0.36669674925293999</v>
      </c>
      <c r="AW57" s="1300">
        <f t="shared" si="51"/>
        <v>7084430.1327799996</v>
      </c>
      <c r="AX57" s="1301">
        <f t="shared" si="68"/>
        <v>10766.611144042552</v>
      </c>
      <c r="AY57" s="1300">
        <f t="shared" si="52"/>
        <v>3</v>
      </c>
    </row>
    <row r="58" spans="1:51" s="17" customFormat="1" ht="15.6" customHeight="1">
      <c r="A58" s="87">
        <v>55</v>
      </c>
      <c r="B58" s="67" t="s">
        <v>134</v>
      </c>
      <c r="C58" s="67">
        <f>+'Table 8 Membership 2.1.14'!W57</f>
        <v>17790</v>
      </c>
      <c r="D58" s="15">
        <f>+'[4]ALL- TABLE 3 '!AA60-'[4]ALL- TABLE 3 '!W60-'[4]ALL- TABLE 3 '!X60-'[4]ALL- TABLE 3 '!Y60-'[4]ALL- TABLE 3 '!Z60</f>
        <v>12024</v>
      </c>
      <c r="E58" s="15">
        <f t="shared" si="54"/>
        <v>2645</v>
      </c>
      <c r="F58" s="15">
        <f>+'[5]MS6887_Total CTE T3 corrected'!M60</f>
        <v>5894</v>
      </c>
      <c r="G58" s="15">
        <f t="shared" si="55"/>
        <v>354</v>
      </c>
      <c r="H58" s="15">
        <f>+'[6]MFP Funded SWD -Table 3'!W59</f>
        <v>2130</v>
      </c>
      <c r="I58" s="15">
        <f t="shared" si="29"/>
        <v>3195</v>
      </c>
      <c r="J58" s="15">
        <f>+'[6]MFP Funded GT -Table 3'!S59</f>
        <v>653</v>
      </c>
      <c r="K58" s="15">
        <f t="shared" si="30"/>
        <v>392</v>
      </c>
      <c r="L58" s="15">
        <f t="shared" si="56"/>
        <v>0</v>
      </c>
      <c r="M58" s="54">
        <f t="shared" si="57"/>
        <v>0</v>
      </c>
      <c r="N58" s="15">
        <f t="shared" si="58"/>
        <v>0</v>
      </c>
      <c r="O58" s="15">
        <f t="shared" si="31"/>
        <v>6586</v>
      </c>
      <c r="P58" s="1302">
        <f t="shared" si="59"/>
        <v>24376</v>
      </c>
      <c r="Q58" s="230">
        <f t="shared" si="32"/>
        <v>3961</v>
      </c>
      <c r="R58" s="230">
        <f t="shared" si="60"/>
        <v>96553336</v>
      </c>
      <c r="S58" s="230">
        <f>'Table 6 (Local Deduct Calc.)'!J61</f>
        <v>33859116</v>
      </c>
      <c r="T58" s="230">
        <f t="shared" si="33"/>
        <v>33859116</v>
      </c>
      <c r="U58" s="231">
        <f t="shared" si="34"/>
        <v>62694220</v>
      </c>
      <c r="V58" s="232">
        <f t="shared" si="53"/>
        <v>0.64929999999999999</v>
      </c>
      <c r="W58" s="233">
        <f t="shared" si="35"/>
        <v>0.35070000000000001</v>
      </c>
      <c r="X58" s="234">
        <f t="shared" si="61"/>
        <v>1903.2667790893761</v>
      </c>
      <c r="Y58" s="230">
        <f>'Table 7 Local Revenue'!AQ62</f>
        <v>60175861</v>
      </c>
      <c r="Z58" s="230">
        <f t="shared" si="36"/>
        <v>26316745</v>
      </c>
      <c r="AA58" s="199">
        <f t="shared" si="37"/>
        <v>0</v>
      </c>
      <c r="AB58" s="16">
        <f t="shared" si="38"/>
        <v>32828134.240000002</v>
      </c>
      <c r="AC58" s="16">
        <f t="shared" si="39"/>
        <v>26316745</v>
      </c>
      <c r="AD58" s="230">
        <f t="shared" si="40"/>
        <v>15874365.850979999</v>
      </c>
      <c r="AE58" s="235">
        <f t="shared" si="41"/>
        <v>10442379.149020001</v>
      </c>
      <c r="AF58" s="192">
        <f t="shared" si="42"/>
        <v>0.39679999999999999</v>
      </c>
      <c r="AG58" s="235">
        <f t="shared" si="43"/>
        <v>73136599.149020001</v>
      </c>
      <c r="AH58" s="16">
        <f t="shared" si="62"/>
        <v>4111</v>
      </c>
      <c r="AI58" s="235">
        <f>+'Table 3A Level 3'!O60</f>
        <v>2770174</v>
      </c>
      <c r="AJ58" s="16">
        <f t="shared" si="63"/>
        <v>155.71523327712197</v>
      </c>
      <c r="AK58" s="235">
        <f t="shared" si="44"/>
        <v>75906773.149020001</v>
      </c>
      <c r="AL58" s="16">
        <f t="shared" si="64"/>
        <v>4266.8225491298481</v>
      </c>
      <c r="AM58" s="287">
        <f>+'Table 3A Level 3'!P60</f>
        <v>16915714.600000001</v>
      </c>
      <c r="AN58" s="288">
        <f t="shared" si="65"/>
        <v>950.85523327712201</v>
      </c>
      <c r="AO58" s="235">
        <f t="shared" si="45"/>
        <v>90052313.74902001</v>
      </c>
      <c r="AP58" s="16">
        <f t="shared" si="66"/>
        <v>5061.9625491298484</v>
      </c>
      <c r="AQ58" s="192">
        <f t="shared" si="46"/>
        <v>0.59943691587458003</v>
      </c>
      <c r="AR58" s="236">
        <f t="shared" si="47"/>
        <v>45</v>
      </c>
      <c r="AS58" s="16">
        <f t="shared" si="48"/>
        <v>60175861</v>
      </c>
      <c r="AT58" s="16">
        <f t="shared" si="67"/>
        <v>3382.57</v>
      </c>
      <c r="AU58" s="236">
        <f t="shared" si="49"/>
        <v>35</v>
      </c>
      <c r="AV58" s="192">
        <f t="shared" si="50"/>
        <v>0.40056308412542002</v>
      </c>
      <c r="AW58" s="236">
        <f t="shared" si="51"/>
        <v>150228174.74902001</v>
      </c>
      <c r="AX58" s="237">
        <f t="shared" si="68"/>
        <v>8444.5292157965159</v>
      </c>
      <c r="AY58" s="236">
        <f t="shared" si="52"/>
        <v>58</v>
      </c>
    </row>
    <row r="59" spans="1:51" s="5" customFormat="1" ht="15.6" customHeight="1">
      <c r="A59" s="1285">
        <v>56</v>
      </c>
      <c r="B59" s="1286" t="s">
        <v>135</v>
      </c>
      <c r="C59" s="1287">
        <f>+'Table 8 Membership 2.1.14'!W58+1</f>
        <v>2886</v>
      </c>
      <c r="D59" s="1287">
        <f>+'[4]ALL- TABLE 3 '!AA61-'[4]ALL- TABLE 3 '!W61-'[4]ALL- TABLE 3 '!X61-'[4]ALL- TABLE 3 '!Y61-'[4]ALL- TABLE 3 '!Z61</f>
        <v>2113</v>
      </c>
      <c r="E59" s="1287">
        <f t="shared" si="54"/>
        <v>465</v>
      </c>
      <c r="F59" s="1287">
        <f>+'[5]MS6887_Total CTE T3 corrected'!M61</f>
        <v>823.5</v>
      </c>
      <c r="G59" s="1287">
        <f t="shared" si="55"/>
        <v>49</v>
      </c>
      <c r="H59" s="1287">
        <f>+'[6]MFP Funded SWD -Table 3'!W60</f>
        <v>347</v>
      </c>
      <c r="I59" s="1287">
        <f t="shared" si="29"/>
        <v>521</v>
      </c>
      <c r="J59" s="1287">
        <f>+'[6]MFP Funded GT -Table 3'!S60</f>
        <v>14</v>
      </c>
      <c r="K59" s="1287">
        <f t="shared" si="30"/>
        <v>8</v>
      </c>
      <c r="L59" s="1288">
        <f t="shared" si="56"/>
        <v>4614</v>
      </c>
      <c r="M59" s="1289">
        <f t="shared" si="57"/>
        <v>0.12304</v>
      </c>
      <c r="N59" s="1287">
        <f t="shared" si="58"/>
        <v>355</v>
      </c>
      <c r="O59" s="1287">
        <f t="shared" si="31"/>
        <v>1398</v>
      </c>
      <c r="P59" s="1287">
        <f t="shared" si="59"/>
        <v>4284</v>
      </c>
      <c r="Q59" s="1290">
        <f t="shared" si="32"/>
        <v>3961</v>
      </c>
      <c r="R59" s="1290">
        <f t="shared" si="60"/>
        <v>16968924</v>
      </c>
      <c r="S59" s="1290">
        <f>'Table 6 (Local Deduct Calc.)'!J62</f>
        <v>4825455.5</v>
      </c>
      <c r="T59" s="1290">
        <f t="shared" si="33"/>
        <v>4825455.5</v>
      </c>
      <c r="U59" s="1291">
        <f t="shared" si="34"/>
        <v>12143468.5</v>
      </c>
      <c r="V59" s="1292">
        <f t="shared" si="53"/>
        <v>0.71560000000000001</v>
      </c>
      <c r="W59" s="1292">
        <f t="shared" si="35"/>
        <v>0.28439999999999999</v>
      </c>
      <c r="X59" s="1293">
        <f t="shared" si="61"/>
        <v>1672.0220027720027</v>
      </c>
      <c r="Y59" s="1290">
        <f>'Table 7 Local Revenue'!AQ63</f>
        <v>8582781.5</v>
      </c>
      <c r="Z59" s="1290">
        <f t="shared" si="36"/>
        <v>3757326</v>
      </c>
      <c r="AA59" s="1294">
        <f t="shared" si="37"/>
        <v>0</v>
      </c>
      <c r="AB59" s="1295">
        <f t="shared" si="38"/>
        <v>5769434.1600000001</v>
      </c>
      <c r="AC59" s="1295">
        <f t="shared" si="39"/>
        <v>3757326</v>
      </c>
      <c r="AD59" s="1290">
        <f t="shared" si="40"/>
        <v>1837963.6447679999</v>
      </c>
      <c r="AE59" s="1296">
        <f t="shared" si="41"/>
        <v>1919362.3552320001</v>
      </c>
      <c r="AF59" s="1297">
        <f t="shared" si="42"/>
        <v>0.51080000000000003</v>
      </c>
      <c r="AG59" s="1296">
        <f t="shared" si="43"/>
        <v>14062830.855232</v>
      </c>
      <c r="AH59" s="1295">
        <f t="shared" si="62"/>
        <v>4873</v>
      </c>
      <c r="AI59" s="1296">
        <f>+'Table 3A Level 3'!O61</f>
        <v>449394</v>
      </c>
      <c r="AJ59" s="1295">
        <f t="shared" si="63"/>
        <v>155.71517671517671</v>
      </c>
      <c r="AK59" s="1296">
        <f t="shared" si="44"/>
        <v>14512224.855232</v>
      </c>
      <c r="AL59" s="1295">
        <f t="shared" si="64"/>
        <v>5028.4909408288286</v>
      </c>
      <c r="AM59" s="1298">
        <f>+'Table 3A Level 3'!P61</f>
        <v>2223302.7600000002</v>
      </c>
      <c r="AN59" s="1299">
        <f t="shared" si="65"/>
        <v>770.37517671517685</v>
      </c>
      <c r="AO59" s="1296">
        <f>AG59+AM59</f>
        <v>16286133.615232</v>
      </c>
      <c r="AP59" s="1295">
        <f t="shared" si="66"/>
        <v>5643.1509408288284</v>
      </c>
      <c r="AQ59" s="1297">
        <f t="shared" si="46"/>
        <v>0.65487913484641247</v>
      </c>
      <c r="AR59" s="1300">
        <f t="shared" si="47"/>
        <v>28</v>
      </c>
      <c r="AS59" s="1295">
        <f t="shared" si="48"/>
        <v>8582781.5</v>
      </c>
      <c r="AT59" s="1295">
        <f t="shared" si="67"/>
        <v>2973.94</v>
      </c>
      <c r="AU59" s="1300">
        <f t="shared" si="49"/>
        <v>50</v>
      </c>
      <c r="AV59" s="1297">
        <f t="shared" si="50"/>
        <v>0.34512086515358764</v>
      </c>
      <c r="AW59" s="1300">
        <f t="shared" si="51"/>
        <v>24868915.115231998</v>
      </c>
      <c r="AX59" s="1301">
        <f t="shared" si="68"/>
        <v>8617.0877045155921</v>
      </c>
      <c r="AY59" s="1300">
        <f t="shared" si="52"/>
        <v>54</v>
      </c>
    </row>
    <row r="60" spans="1:51" s="5" customFormat="1" ht="15.6" customHeight="1">
      <c r="A60" s="1285">
        <v>57</v>
      </c>
      <c r="B60" s="1286" t="s">
        <v>136</v>
      </c>
      <c r="C60" s="1286">
        <f>+'Table 8 Membership 2.1.14'!W59</f>
        <v>9125</v>
      </c>
      <c r="D60" s="1287">
        <f>+'[4]ALL- TABLE 3 '!AA62-'[4]ALL- TABLE 3 '!W62-'[4]ALL- TABLE 3 '!X62-'[4]ALL- TABLE 3 '!Y62-'[4]ALL- TABLE 3 '!Z62</f>
        <v>5352</v>
      </c>
      <c r="E60" s="1287">
        <f t="shared" si="54"/>
        <v>1177</v>
      </c>
      <c r="F60" s="1287">
        <f>+'[5]MS6887_Total CTE T3 corrected'!M62</f>
        <v>3280</v>
      </c>
      <c r="G60" s="1287">
        <f t="shared" si="55"/>
        <v>197</v>
      </c>
      <c r="H60" s="1287">
        <f>+'[6]MFP Funded SWD -Table 3'!W61</f>
        <v>1070</v>
      </c>
      <c r="I60" s="1287">
        <f t="shared" si="29"/>
        <v>1605</v>
      </c>
      <c r="J60" s="1287">
        <f>+'[6]MFP Funded GT -Table 3'!S61</f>
        <v>180</v>
      </c>
      <c r="K60" s="1287">
        <f t="shared" si="30"/>
        <v>108</v>
      </c>
      <c r="L60" s="1287">
        <f t="shared" si="56"/>
        <v>0</v>
      </c>
      <c r="M60" s="1289">
        <f t="shared" si="57"/>
        <v>0</v>
      </c>
      <c r="N60" s="1287">
        <f t="shared" si="58"/>
        <v>0</v>
      </c>
      <c r="O60" s="1287">
        <f t="shared" si="31"/>
        <v>3087</v>
      </c>
      <c r="P60" s="1287">
        <f t="shared" si="59"/>
        <v>12212</v>
      </c>
      <c r="Q60" s="1290">
        <f t="shared" si="32"/>
        <v>3961</v>
      </c>
      <c r="R60" s="1290">
        <f t="shared" si="60"/>
        <v>48371732</v>
      </c>
      <c r="S60" s="1290">
        <f>'Table 6 (Local Deduct Calc.)'!J63</f>
        <v>14265550.5</v>
      </c>
      <c r="T60" s="1290">
        <f t="shared" si="33"/>
        <v>14265550.5</v>
      </c>
      <c r="U60" s="1291">
        <f t="shared" si="34"/>
        <v>34106181.5</v>
      </c>
      <c r="V60" s="1292">
        <f t="shared" si="53"/>
        <v>0.70509999999999995</v>
      </c>
      <c r="W60" s="1292">
        <f t="shared" si="35"/>
        <v>0.2949</v>
      </c>
      <c r="X60" s="1293">
        <f t="shared" si="61"/>
        <v>1563.348</v>
      </c>
      <c r="Y60" s="1290">
        <f>'Table 7 Local Revenue'!AQ64</f>
        <v>27831859.5</v>
      </c>
      <c r="Z60" s="1290">
        <f t="shared" si="36"/>
        <v>13566309</v>
      </c>
      <c r="AA60" s="1294">
        <f t="shared" si="37"/>
        <v>0</v>
      </c>
      <c r="AB60" s="1295">
        <f t="shared" si="38"/>
        <v>16446388.880000001</v>
      </c>
      <c r="AC60" s="1295">
        <f t="shared" si="39"/>
        <v>13566309</v>
      </c>
      <c r="AD60" s="1290">
        <f t="shared" si="40"/>
        <v>6881211.7814520001</v>
      </c>
      <c r="AE60" s="1296">
        <f t="shared" si="41"/>
        <v>6685097.2185479999</v>
      </c>
      <c r="AF60" s="1297">
        <f t="shared" si="42"/>
        <v>0.49280000000000002</v>
      </c>
      <c r="AG60" s="1296">
        <f t="shared" si="43"/>
        <v>40791278.718548</v>
      </c>
      <c r="AH60" s="1295">
        <f t="shared" si="62"/>
        <v>4470</v>
      </c>
      <c r="AI60" s="1296">
        <f>+'Table 3A Level 3'!O62</f>
        <v>1420901</v>
      </c>
      <c r="AJ60" s="1295">
        <f t="shared" si="63"/>
        <v>155.71517808219178</v>
      </c>
      <c r="AK60" s="1296">
        <f t="shared" si="44"/>
        <v>42212179.718548</v>
      </c>
      <c r="AL60" s="1295">
        <f t="shared" si="64"/>
        <v>4625.9922979230687</v>
      </c>
      <c r="AM60" s="1298">
        <f>+'Table 3A Level 3'!P62</f>
        <v>8397054.75</v>
      </c>
      <c r="AN60" s="1299">
        <f t="shared" si="65"/>
        <v>920.22517808219175</v>
      </c>
      <c r="AO60" s="1296">
        <f t="shared" si="45"/>
        <v>49188333.468548</v>
      </c>
      <c r="AP60" s="1295">
        <f t="shared" si="66"/>
        <v>5390.5022979230689</v>
      </c>
      <c r="AQ60" s="1297">
        <f t="shared" si="46"/>
        <v>0.6386420440238908</v>
      </c>
      <c r="AR60" s="1300">
        <f t="shared" si="47"/>
        <v>33</v>
      </c>
      <c r="AS60" s="1295">
        <f t="shared" si="48"/>
        <v>27831859.5</v>
      </c>
      <c r="AT60" s="1295">
        <f t="shared" si="67"/>
        <v>3050.07</v>
      </c>
      <c r="AU60" s="1300">
        <f t="shared" si="49"/>
        <v>48</v>
      </c>
      <c r="AV60" s="1297">
        <f t="shared" si="50"/>
        <v>0.36135795597610915</v>
      </c>
      <c r="AW60" s="1300">
        <f t="shared" si="51"/>
        <v>77020192.968548</v>
      </c>
      <c r="AX60" s="1301">
        <f t="shared" si="68"/>
        <v>8440.5690924436167</v>
      </c>
      <c r="AY60" s="1300">
        <f t="shared" si="52"/>
        <v>59</v>
      </c>
    </row>
    <row r="61" spans="1:51" s="5" customFormat="1" ht="15.6" customHeight="1">
      <c r="A61" s="1285">
        <v>58</v>
      </c>
      <c r="B61" s="1286" t="s">
        <v>137</v>
      </c>
      <c r="C61" s="1286">
        <f>+'Table 8 Membership 2.1.14'!W60</f>
        <v>9009</v>
      </c>
      <c r="D61" s="1287">
        <f>+'[4]ALL- TABLE 3 '!AA63-'[4]ALL- TABLE 3 '!W63-'[4]ALL- TABLE 3 '!X63-'[4]ALL- TABLE 3 '!Y63-'[4]ALL- TABLE 3 '!Z63</f>
        <v>5191</v>
      </c>
      <c r="E61" s="1287">
        <f t="shared" si="54"/>
        <v>1142</v>
      </c>
      <c r="F61" s="1287">
        <f>+'[5]MS6887_Total CTE T3 corrected'!M63</f>
        <v>3124</v>
      </c>
      <c r="G61" s="1287">
        <f t="shared" si="55"/>
        <v>187</v>
      </c>
      <c r="H61" s="1287">
        <f>+'[6]MFP Funded SWD -Table 3'!W62</f>
        <v>1052</v>
      </c>
      <c r="I61" s="1287">
        <f t="shared" si="29"/>
        <v>1578</v>
      </c>
      <c r="J61" s="1287">
        <f>+'[6]MFP Funded GT -Table 3'!S62</f>
        <v>242</v>
      </c>
      <c r="K61" s="1287">
        <f t="shared" si="30"/>
        <v>145</v>
      </c>
      <c r="L61" s="1287">
        <f t="shared" si="56"/>
        <v>0</v>
      </c>
      <c r="M61" s="1289">
        <f t="shared" si="57"/>
        <v>0</v>
      </c>
      <c r="N61" s="1287">
        <f t="shared" si="58"/>
        <v>0</v>
      </c>
      <c r="O61" s="1287">
        <f t="shared" si="31"/>
        <v>3052</v>
      </c>
      <c r="P61" s="1287">
        <f t="shared" si="59"/>
        <v>12061</v>
      </c>
      <c r="Q61" s="1290">
        <f t="shared" si="32"/>
        <v>3961</v>
      </c>
      <c r="R61" s="1290">
        <f t="shared" si="60"/>
        <v>47773621</v>
      </c>
      <c r="S61" s="1290">
        <f>'Table 6 (Local Deduct Calc.)'!J64</f>
        <v>7431662</v>
      </c>
      <c r="T61" s="1290">
        <f t="shared" si="33"/>
        <v>7431662</v>
      </c>
      <c r="U61" s="1291">
        <f t="shared" si="34"/>
        <v>40341959</v>
      </c>
      <c r="V61" s="1292">
        <f t="shared" si="53"/>
        <v>0.84440000000000004</v>
      </c>
      <c r="W61" s="1292">
        <f t="shared" si="35"/>
        <v>0.15559999999999999</v>
      </c>
      <c r="X61" s="1293">
        <f t="shared" si="61"/>
        <v>824.91530691530693</v>
      </c>
      <c r="Y61" s="1290">
        <f>'Table 7 Local Revenue'!AQ65</f>
        <v>20217963</v>
      </c>
      <c r="Z61" s="1290">
        <f t="shared" si="36"/>
        <v>12786301</v>
      </c>
      <c r="AA61" s="1294">
        <f t="shared" si="37"/>
        <v>0</v>
      </c>
      <c r="AB61" s="1295">
        <f t="shared" si="38"/>
        <v>16243031.140000001</v>
      </c>
      <c r="AC61" s="1295">
        <f t="shared" si="39"/>
        <v>12786301</v>
      </c>
      <c r="AD61" s="1290">
        <f t="shared" si="40"/>
        <v>3422023.3092319998</v>
      </c>
      <c r="AE61" s="1296">
        <f t="shared" si="41"/>
        <v>9364277.6907679997</v>
      </c>
      <c r="AF61" s="1297">
        <f t="shared" si="42"/>
        <v>0.73240000000000005</v>
      </c>
      <c r="AG61" s="1296">
        <f t="shared" si="43"/>
        <v>49706236.690768003</v>
      </c>
      <c r="AH61" s="1295">
        <f t="shared" si="62"/>
        <v>5517</v>
      </c>
      <c r="AI61" s="1296">
        <f>+'Table 3A Level 3'!O63</f>
        <v>1402838</v>
      </c>
      <c r="AJ61" s="1295">
        <f t="shared" si="63"/>
        <v>155.71517371517371</v>
      </c>
      <c r="AK61" s="1296">
        <f t="shared" si="44"/>
        <v>51109074.690768003</v>
      </c>
      <c r="AL61" s="1295">
        <f t="shared" si="64"/>
        <v>5673.1129637882123</v>
      </c>
      <c r="AM61" s="1298">
        <f>+'Table 3A Level 3'!P63</f>
        <v>7682471.3599999994</v>
      </c>
      <c r="AN61" s="1299">
        <f t="shared" si="65"/>
        <v>852.75517371517367</v>
      </c>
      <c r="AO61" s="1296">
        <f t="shared" si="45"/>
        <v>57388708.050768003</v>
      </c>
      <c r="AP61" s="1295">
        <f t="shared" si="66"/>
        <v>6370.1529637882122</v>
      </c>
      <c r="AQ61" s="1297">
        <f t="shared" si="46"/>
        <v>0.73948163571178049</v>
      </c>
      <c r="AR61" s="1300">
        <f t="shared" si="47"/>
        <v>5</v>
      </c>
      <c r="AS61" s="1295">
        <f t="shared" si="48"/>
        <v>20217963</v>
      </c>
      <c r="AT61" s="1295">
        <f t="shared" si="67"/>
        <v>2244.1999999999998</v>
      </c>
      <c r="AU61" s="1300">
        <f t="shared" si="49"/>
        <v>62</v>
      </c>
      <c r="AV61" s="1297">
        <f t="shared" si="50"/>
        <v>0.26051836428821956</v>
      </c>
      <c r="AW61" s="1300">
        <f t="shared" si="51"/>
        <v>77606671.050768003</v>
      </c>
      <c r="AX61" s="1301">
        <f t="shared" si="68"/>
        <v>8614.3491009843492</v>
      </c>
      <c r="AY61" s="1300">
        <f t="shared" si="52"/>
        <v>55</v>
      </c>
    </row>
    <row r="62" spans="1:51" s="5" customFormat="1" ht="15.6" customHeight="1">
      <c r="A62" s="1285">
        <v>59</v>
      </c>
      <c r="B62" s="1286" t="s">
        <v>138</v>
      </c>
      <c r="C62" s="1286">
        <f>+'Table 8 Membership 2.1.14'!W61</f>
        <v>5149</v>
      </c>
      <c r="D62" s="1287">
        <f>+'[4]ALL- TABLE 3 '!AA64-'[4]ALL- TABLE 3 '!W64-'[4]ALL- TABLE 3 '!X64-'[4]ALL- TABLE 3 '!Y64-'[4]ALL- TABLE 3 '!Z64</f>
        <v>4339</v>
      </c>
      <c r="E62" s="1287">
        <f t="shared" si="54"/>
        <v>955</v>
      </c>
      <c r="F62" s="1287">
        <f>+'[5]MS6887_Total CTE T3 corrected'!M64</f>
        <v>2255.5</v>
      </c>
      <c r="G62" s="1287">
        <f t="shared" si="55"/>
        <v>135</v>
      </c>
      <c r="H62" s="1287">
        <f>+'[6]MFP Funded SWD -Table 3'!W63</f>
        <v>830</v>
      </c>
      <c r="I62" s="1287">
        <f t="shared" si="29"/>
        <v>1245</v>
      </c>
      <c r="J62" s="1287">
        <f>+'[6]MFP Funded GT -Table 3'!S63</f>
        <v>341</v>
      </c>
      <c r="K62" s="1287">
        <f t="shared" si="30"/>
        <v>205</v>
      </c>
      <c r="L62" s="1287">
        <f t="shared" si="56"/>
        <v>2351</v>
      </c>
      <c r="M62" s="1289">
        <f t="shared" si="57"/>
        <v>6.2689999999999996E-2</v>
      </c>
      <c r="N62" s="1287">
        <f t="shared" si="58"/>
        <v>323</v>
      </c>
      <c r="O62" s="1287">
        <f t="shared" si="31"/>
        <v>2863</v>
      </c>
      <c r="P62" s="1287">
        <f t="shared" si="59"/>
        <v>8012</v>
      </c>
      <c r="Q62" s="1290">
        <f t="shared" si="32"/>
        <v>3961</v>
      </c>
      <c r="R62" s="1290">
        <f t="shared" si="60"/>
        <v>31735532</v>
      </c>
      <c r="S62" s="1290">
        <f>'Table 6 (Local Deduct Calc.)'!J65</f>
        <v>3294361</v>
      </c>
      <c r="T62" s="1290">
        <f t="shared" si="33"/>
        <v>3294361</v>
      </c>
      <c r="U62" s="1291">
        <f t="shared" si="34"/>
        <v>28441171</v>
      </c>
      <c r="V62" s="1292">
        <f t="shared" si="53"/>
        <v>0.8962</v>
      </c>
      <c r="W62" s="1292">
        <f t="shared" si="35"/>
        <v>0.1038</v>
      </c>
      <c r="X62" s="1293">
        <f t="shared" si="61"/>
        <v>639.80598174402792</v>
      </c>
      <c r="Y62" s="1290">
        <f>'Table 7 Local Revenue'!AQ66</f>
        <v>9202657</v>
      </c>
      <c r="Z62" s="1290">
        <f t="shared" si="36"/>
        <v>5908296</v>
      </c>
      <c r="AA62" s="1294">
        <f t="shared" si="37"/>
        <v>0</v>
      </c>
      <c r="AB62" s="1295">
        <f t="shared" si="38"/>
        <v>10790080.880000001</v>
      </c>
      <c r="AC62" s="1295">
        <f t="shared" si="39"/>
        <v>5908296</v>
      </c>
      <c r="AD62" s="1290">
        <f t="shared" si="40"/>
        <v>1054843.5346560001</v>
      </c>
      <c r="AE62" s="1296">
        <f t="shared" si="41"/>
        <v>4853452.4653439997</v>
      </c>
      <c r="AF62" s="1297">
        <f t="shared" si="42"/>
        <v>0.82150000000000001</v>
      </c>
      <c r="AG62" s="1296">
        <f t="shared" si="43"/>
        <v>33294623.465344001</v>
      </c>
      <c r="AH62" s="1295">
        <f t="shared" si="62"/>
        <v>6466</v>
      </c>
      <c r="AI62" s="1296">
        <f>+'Table 3A Level 3'!O64</f>
        <v>801778</v>
      </c>
      <c r="AJ62" s="1295">
        <f t="shared" si="63"/>
        <v>155.71528452126626</v>
      </c>
      <c r="AK62" s="1296">
        <f t="shared" si="44"/>
        <v>34096401.465343997</v>
      </c>
      <c r="AL62" s="1295">
        <f t="shared" si="64"/>
        <v>6621.946293521848</v>
      </c>
      <c r="AM62" s="1298">
        <f>+'Table 3A Level 3'!P64</f>
        <v>4352116.4800000004</v>
      </c>
      <c r="AN62" s="1299">
        <f t="shared" si="65"/>
        <v>845.23528452126641</v>
      </c>
      <c r="AO62" s="1296">
        <f t="shared" si="45"/>
        <v>37646739.945344001</v>
      </c>
      <c r="AP62" s="1295">
        <f t="shared" si="66"/>
        <v>7311.4662935218494</v>
      </c>
      <c r="AQ62" s="1297">
        <f t="shared" si="46"/>
        <v>0.803569360546175</v>
      </c>
      <c r="AR62" s="1300">
        <f t="shared" si="47"/>
        <v>1</v>
      </c>
      <c r="AS62" s="1295">
        <f t="shared" si="48"/>
        <v>9202657</v>
      </c>
      <c r="AT62" s="1295">
        <f t="shared" si="67"/>
        <v>1787.27</v>
      </c>
      <c r="AU62" s="1300">
        <f t="shared" si="49"/>
        <v>68</v>
      </c>
      <c r="AV62" s="1297">
        <f t="shared" si="50"/>
        <v>0.19643063945382505</v>
      </c>
      <c r="AW62" s="1300">
        <f t="shared" si="51"/>
        <v>46849396.945344001</v>
      </c>
      <c r="AX62" s="1301">
        <f t="shared" si="68"/>
        <v>9098.7370257028542</v>
      </c>
      <c r="AY62" s="1300">
        <f t="shared" si="52"/>
        <v>35</v>
      </c>
    </row>
    <row r="63" spans="1:51" s="17" customFormat="1" ht="15.6" customHeight="1">
      <c r="A63" s="87">
        <v>60</v>
      </c>
      <c r="B63" s="67" t="s">
        <v>139</v>
      </c>
      <c r="C63" s="67">
        <f>+'Table 8 Membership 2.1.14'!W62</f>
        <v>6441</v>
      </c>
      <c r="D63" s="15">
        <f>+'[4]ALL- TABLE 3 '!AA65-'[4]ALL- TABLE 3 '!W65-'[4]ALL- TABLE 3 '!X65-'[4]ALL- TABLE 3 '!Y65-'[4]ALL- TABLE 3 '!Z65</f>
        <v>4464</v>
      </c>
      <c r="E63" s="15">
        <f t="shared" si="54"/>
        <v>982</v>
      </c>
      <c r="F63" s="15">
        <f>+'[5]MS6887_Total CTE T3 corrected'!M65</f>
        <v>2642.5</v>
      </c>
      <c r="G63" s="15">
        <f t="shared" si="55"/>
        <v>159</v>
      </c>
      <c r="H63" s="15">
        <f>+'[6]MFP Funded SWD -Table 3'!W64</f>
        <v>738</v>
      </c>
      <c r="I63" s="15">
        <f t="shared" si="29"/>
        <v>1107</v>
      </c>
      <c r="J63" s="15">
        <f>+'[6]MFP Funded GT -Table 3'!S64</f>
        <v>305</v>
      </c>
      <c r="K63" s="15">
        <f t="shared" si="30"/>
        <v>183</v>
      </c>
      <c r="L63" s="15">
        <f t="shared" si="56"/>
        <v>1059</v>
      </c>
      <c r="M63" s="54">
        <f t="shared" si="57"/>
        <v>2.8240000000000001E-2</v>
      </c>
      <c r="N63" s="15">
        <f t="shared" si="58"/>
        <v>182</v>
      </c>
      <c r="O63" s="15">
        <f t="shared" si="31"/>
        <v>2613</v>
      </c>
      <c r="P63" s="1302">
        <f t="shared" si="59"/>
        <v>9054</v>
      </c>
      <c r="Q63" s="230">
        <f t="shared" si="32"/>
        <v>3961</v>
      </c>
      <c r="R63" s="230">
        <f t="shared" si="60"/>
        <v>35862894</v>
      </c>
      <c r="S63" s="230">
        <f>'Table 6 (Local Deduct Calc.)'!J66</f>
        <v>9410840</v>
      </c>
      <c r="T63" s="230">
        <f t="shared" si="33"/>
        <v>9410840</v>
      </c>
      <c r="U63" s="231">
        <f t="shared" si="34"/>
        <v>26452054</v>
      </c>
      <c r="V63" s="232">
        <f t="shared" si="53"/>
        <v>0.73760000000000003</v>
      </c>
      <c r="W63" s="233">
        <f t="shared" si="35"/>
        <v>0.26240000000000002</v>
      </c>
      <c r="X63" s="234">
        <f t="shared" si="61"/>
        <v>1461.0836826579723</v>
      </c>
      <c r="Y63" s="230">
        <f>'Table 7 Local Revenue'!AQ67</f>
        <v>25478629</v>
      </c>
      <c r="Z63" s="230">
        <f t="shared" si="36"/>
        <v>16067789</v>
      </c>
      <c r="AA63" s="199">
        <f t="shared" si="37"/>
        <v>0</v>
      </c>
      <c r="AB63" s="16">
        <f t="shared" si="38"/>
        <v>12193383.960000001</v>
      </c>
      <c r="AC63" s="16">
        <f t="shared" si="39"/>
        <v>12193383.960000001</v>
      </c>
      <c r="AD63" s="230">
        <f t="shared" si="40"/>
        <v>5503215.5958988806</v>
      </c>
      <c r="AE63" s="235">
        <f t="shared" si="41"/>
        <v>6690168.3641011203</v>
      </c>
      <c r="AF63" s="192">
        <f t="shared" si="42"/>
        <v>0.54869999999999997</v>
      </c>
      <c r="AG63" s="235">
        <f t="shared" si="43"/>
        <v>33142222.364101119</v>
      </c>
      <c r="AH63" s="16">
        <f t="shared" si="62"/>
        <v>5146</v>
      </c>
      <c r="AI63" s="235">
        <f>+'Table 3A Level 3'!O65</f>
        <v>1002962</v>
      </c>
      <c r="AJ63" s="16">
        <f t="shared" si="63"/>
        <v>155.7152616053408</v>
      </c>
      <c r="AK63" s="235">
        <f t="shared" si="44"/>
        <v>34145184.364101119</v>
      </c>
      <c r="AL63" s="16">
        <f t="shared" si="64"/>
        <v>5301.224090063828</v>
      </c>
      <c r="AM63" s="287">
        <f>+'Table 3A Level 3'!P65</f>
        <v>4829173.6399999997</v>
      </c>
      <c r="AN63" s="288">
        <f t="shared" si="65"/>
        <v>749.75526160534071</v>
      </c>
      <c r="AO63" s="235">
        <f t="shared" si="45"/>
        <v>37971396.00410112</v>
      </c>
      <c r="AP63" s="16">
        <f t="shared" si="66"/>
        <v>5895.2640900638289</v>
      </c>
      <c r="AQ63" s="192">
        <f t="shared" si="46"/>
        <v>0.6373646808372585</v>
      </c>
      <c r="AR63" s="236">
        <f t="shared" si="47"/>
        <v>34</v>
      </c>
      <c r="AS63" s="16">
        <f t="shared" si="48"/>
        <v>21604223.960000001</v>
      </c>
      <c r="AT63" s="16">
        <f t="shared" si="67"/>
        <v>3354.17</v>
      </c>
      <c r="AU63" s="236">
        <f t="shared" si="49"/>
        <v>37</v>
      </c>
      <c r="AV63" s="192">
        <f t="shared" si="50"/>
        <v>0.36263531916274144</v>
      </c>
      <c r="AW63" s="236">
        <f t="shared" si="51"/>
        <v>59575619.964101121</v>
      </c>
      <c r="AX63" s="237">
        <f t="shared" si="68"/>
        <v>9249.4364173422018</v>
      </c>
      <c r="AY63" s="236">
        <f t="shared" si="52"/>
        <v>26</v>
      </c>
    </row>
    <row r="64" spans="1:51" s="5" customFormat="1" ht="15.6" customHeight="1">
      <c r="A64" s="1285">
        <v>61</v>
      </c>
      <c r="B64" s="1286" t="s">
        <v>140</v>
      </c>
      <c r="C64" s="1287">
        <f>+'Table 8 Membership 2.1.14'!W63</f>
        <v>3621</v>
      </c>
      <c r="D64" s="1287">
        <f>+'[4]ALL- TABLE 3 '!AA66-'[4]ALL- TABLE 3 '!W66-'[4]ALL- TABLE 3 '!X66-'[4]ALL- TABLE 3 '!Y66-'[4]ALL- TABLE 3 '!Z66</f>
        <v>2520</v>
      </c>
      <c r="E64" s="1287">
        <f t="shared" si="54"/>
        <v>554</v>
      </c>
      <c r="F64" s="1287">
        <f>+'[5]MS6887_Total CTE T3 corrected'!M66</f>
        <v>1173</v>
      </c>
      <c r="G64" s="1287">
        <f t="shared" si="55"/>
        <v>70</v>
      </c>
      <c r="H64" s="1287">
        <f>+'[6]MFP Funded SWD -Table 3'!W65</f>
        <v>367</v>
      </c>
      <c r="I64" s="1287">
        <f t="shared" si="29"/>
        <v>551</v>
      </c>
      <c r="J64" s="1287">
        <f>+'[6]MFP Funded GT -Table 3'!S65</f>
        <v>153</v>
      </c>
      <c r="K64" s="1287">
        <f t="shared" si="30"/>
        <v>92</v>
      </c>
      <c r="L64" s="1288">
        <f t="shared" si="56"/>
        <v>3879</v>
      </c>
      <c r="M64" s="1289">
        <f t="shared" si="57"/>
        <v>0.10344</v>
      </c>
      <c r="N64" s="1287">
        <f t="shared" si="58"/>
        <v>375</v>
      </c>
      <c r="O64" s="1287">
        <f t="shared" si="31"/>
        <v>1642</v>
      </c>
      <c r="P64" s="1287">
        <f t="shared" si="59"/>
        <v>5263</v>
      </c>
      <c r="Q64" s="1290">
        <f t="shared" si="32"/>
        <v>3961</v>
      </c>
      <c r="R64" s="1290">
        <f t="shared" si="60"/>
        <v>20846743</v>
      </c>
      <c r="S64" s="1290">
        <f>'Table 6 (Local Deduct Calc.)'!J67</f>
        <v>11460868</v>
      </c>
      <c r="T64" s="1290">
        <f t="shared" si="33"/>
        <v>11460868</v>
      </c>
      <c r="U64" s="1291">
        <f t="shared" si="34"/>
        <v>9385875</v>
      </c>
      <c r="V64" s="1292">
        <f t="shared" si="53"/>
        <v>0.45019999999999999</v>
      </c>
      <c r="W64" s="1292">
        <f t="shared" si="35"/>
        <v>0.54979999999999996</v>
      </c>
      <c r="X64" s="1293">
        <f t="shared" si="61"/>
        <v>3165.1112952223143</v>
      </c>
      <c r="Y64" s="1290">
        <f>'Table 7 Local Revenue'!AQ68</f>
        <v>24348453</v>
      </c>
      <c r="Z64" s="1290">
        <f t="shared" si="36"/>
        <v>12887585</v>
      </c>
      <c r="AA64" s="1294">
        <f t="shared" si="37"/>
        <v>0</v>
      </c>
      <c r="AB64" s="1295">
        <f t="shared" si="38"/>
        <v>7087892.6200000001</v>
      </c>
      <c r="AC64" s="1295">
        <f t="shared" si="39"/>
        <v>7087892.6200000001</v>
      </c>
      <c r="AD64" s="1290">
        <f t="shared" si="40"/>
        <v>6702708.1834587194</v>
      </c>
      <c r="AE64" s="1296">
        <f t="shared" si="41"/>
        <v>385184.43654128071</v>
      </c>
      <c r="AF64" s="1297">
        <f t="shared" si="42"/>
        <v>5.4300000000000001E-2</v>
      </c>
      <c r="AG64" s="1296">
        <f t="shared" si="43"/>
        <v>9771059.4365412816</v>
      </c>
      <c r="AH64" s="1295">
        <f t="shared" si="62"/>
        <v>2698</v>
      </c>
      <c r="AI64" s="1296">
        <f>+'Table 3A Level 3'!O66</f>
        <v>563845</v>
      </c>
      <c r="AJ64" s="1295">
        <f t="shared" si="63"/>
        <v>155.71527202430269</v>
      </c>
      <c r="AK64" s="1296">
        <f t="shared" si="44"/>
        <v>10334904.436541282</v>
      </c>
      <c r="AL64" s="1295">
        <f t="shared" si="64"/>
        <v>2854.1575356369185</v>
      </c>
      <c r="AM64" s="1298">
        <f>+'Table 3A Level 3'!P66</f>
        <v>3582708.9099999997</v>
      </c>
      <c r="AN64" s="1299">
        <f t="shared" si="65"/>
        <v>989.42527202430256</v>
      </c>
      <c r="AO64" s="1296">
        <f t="shared" si="45"/>
        <v>13353768.346541282</v>
      </c>
      <c r="AP64" s="1295">
        <f t="shared" si="66"/>
        <v>3687.8675356369185</v>
      </c>
      <c r="AQ64" s="1297">
        <f t="shared" si="46"/>
        <v>0.41858024360847507</v>
      </c>
      <c r="AR64" s="1300">
        <f t="shared" si="47"/>
        <v>62</v>
      </c>
      <c r="AS64" s="1295">
        <f t="shared" si="48"/>
        <v>18548760.620000001</v>
      </c>
      <c r="AT64" s="1295">
        <f t="shared" si="67"/>
        <v>5122.55</v>
      </c>
      <c r="AU64" s="1300">
        <f t="shared" si="49"/>
        <v>8</v>
      </c>
      <c r="AV64" s="1297">
        <f t="shared" si="50"/>
        <v>0.58141975639152499</v>
      </c>
      <c r="AW64" s="1300">
        <f t="shared" si="51"/>
        <v>31902528.966541283</v>
      </c>
      <c r="AX64" s="1301">
        <f t="shared" si="68"/>
        <v>8810.4194881362291</v>
      </c>
      <c r="AY64" s="1300">
        <f t="shared" si="52"/>
        <v>50</v>
      </c>
    </row>
    <row r="65" spans="1:51" s="5" customFormat="1" ht="15.6" customHeight="1">
      <c r="A65" s="1285">
        <v>62</v>
      </c>
      <c r="B65" s="1286" t="s">
        <v>141</v>
      </c>
      <c r="C65" s="1286">
        <f>+'Table 8 Membership 2.1.14'!W64</f>
        <v>2124</v>
      </c>
      <c r="D65" s="1287">
        <f>+'[4]ALL- TABLE 3 '!AA67-'[4]ALL- TABLE 3 '!W67-'[4]ALL- TABLE 3 '!X67-'[4]ALL- TABLE 3 '!Y67-'[4]ALL- TABLE 3 '!Z67</f>
        <v>1624</v>
      </c>
      <c r="E65" s="1287">
        <f t="shared" si="54"/>
        <v>357</v>
      </c>
      <c r="F65" s="1287">
        <f>+'[5]MS6887_Total CTE T3 corrected'!M67</f>
        <v>643</v>
      </c>
      <c r="G65" s="1287">
        <f t="shared" si="55"/>
        <v>39</v>
      </c>
      <c r="H65" s="1287">
        <f>+'[6]MFP Funded SWD -Table 3'!W66</f>
        <v>235</v>
      </c>
      <c r="I65" s="1287">
        <f t="shared" si="29"/>
        <v>353</v>
      </c>
      <c r="J65" s="1287">
        <f>+'[6]MFP Funded GT -Table 3'!S66</f>
        <v>16</v>
      </c>
      <c r="K65" s="1287">
        <f t="shared" si="30"/>
        <v>10</v>
      </c>
      <c r="L65" s="1287">
        <f t="shared" si="56"/>
        <v>5376</v>
      </c>
      <c r="M65" s="1289">
        <f t="shared" si="57"/>
        <v>0.14335999999999999</v>
      </c>
      <c r="N65" s="1287">
        <f t="shared" si="58"/>
        <v>304</v>
      </c>
      <c r="O65" s="1287">
        <f t="shared" si="31"/>
        <v>1063</v>
      </c>
      <c r="P65" s="1287">
        <f t="shared" si="59"/>
        <v>3187</v>
      </c>
      <c r="Q65" s="1290">
        <f t="shared" si="32"/>
        <v>3961</v>
      </c>
      <c r="R65" s="1290">
        <f t="shared" si="60"/>
        <v>12623707</v>
      </c>
      <c r="S65" s="1290">
        <f>'Table 6 (Local Deduct Calc.)'!J68</f>
        <v>2054936</v>
      </c>
      <c r="T65" s="1290">
        <f t="shared" si="33"/>
        <v>2054936</v>
      </c>
      <c r="U65" s="1291">
        <f t="shared" si="34"/>
        <v>10568771</v>
      </c>
      <c r="V65" s="1292">
        <f t="shared" si="53"/>
        <v>0.83720000000000006</v>
      </c>
      <c r="W65" s="1292">
        <f t="shared" si="35"/>
        <v>0.1628</v>
      </c>
      <c r="X65" s="1293">
        <f t="shared" si="61"/>
        <v>967.48399246704332</v>
      </c>
      <c r="Y65" s="1290">
        <f>'Table 7 Local Revenue'!AQ69</f>
        <v>4324948</v>
      </c>
      <c r="Z65" s="1290">
        <f t="shared" si="36"/>
        <v>2270012</v>
      </c>
      <c r="AA65" s="1294">
        <f t="shared" si="37"/>
        <v>0</v>
      </c>
      <c r="AB65" s="1295">
        <f t="shared" si="38"/>
        <v>4292060.38</v>
      </c>
      <c r="AC65" s="1295">
        <f t="shared" si="39"/>
        <v>2270012</v>
      </c>
      <c r="AD65" s="1290">
        <f t="shared" si="40"/>
        <v>635639.680192</v>
      </c>
      <c r="AE65" s="1296">
        <f t="shared" si="41"/>
        <v>1634372.319808</v>
      </c>
      <c r="AF65" s="1297">
        <f t="shared" si="42"/>
        <v>0.72</v>
      </c>
      <c r="AG65" s="1296">
        <f t="shared" si="43"/>
        <v>12203143.319808001</v>
      </c>
      <c r="AH65" s="1295">
        <f t="shared" si="62"/>
        <v>5745</v>
      </c>
      <c r="AI65" s="1296">
        <f>+'Table 3A Level 3'!O67</f>
        <v>330739</v>
      </c>
      <c r="AJ65" s="1295">
        <f t="shared" si="63"/>
        <v>155.71516007532958</v>
      </c>
      <c r="AK65" s="1296">
        <f t="shared" si="44"/>
        <v>12533882.319808001</v>
      </c>
      <c r="AL65" s="1295">
        <f t="shared" si="64"/>
        <v>5901.074538516008</v>
      </c>
      <c r="AM65" s="1298">
        <f>+'Table 3A Level 3'!P67</f>
        <v>1426892.9200000002</v>
      </c>
      <c r="AN65" s="1299">
        <f t="shared" si="65"/>
        <v>671.79516007532959</v>
      </c>
      <c r="AO65" s="1296">
        <f t="shared" si="45"/>
        <v>13630036.239808001</v>
      </c>
      <c r="AP65" s="1295">
        <f t="shared" si="66"/>
        <v>6417.154538516008</v>
      </c>
      <c r="AQ65" s="1297">
        <f t="shared" si="46"/>
        <v>0.759122706974526</v>
      </c>
      <c r="AR65" s="1300">
        <f t="shared" si="47"/>
        <v>3</v>
      </c>
      <c r="AS65" s="1295">
        <f t="shared" si="48"/>
        <v>4324948</v>
      </c>
      <c r="AT65" s="1295">
        <f t="shared" si="67"/>
        <v>2036.23</v>
      </c>
      <c r="AU65" s="1300">
        <f t="shared" si="49"/>
        <v>67</v>
      </c>
      <c r="AV65" s="1297">
        <f t="shared" si="50"/>
        <v>0.24087729302547403</v>
      </c>
      <c r="AW65" s="1300">
        <f t="shared" si="51"/>
        <v>17954984.239808001</v>
      </c>
      <c r="AX65" s="1301">
        <f t="shared" si="68"/>
        <v>8453.3824104557443</v>
      </c>
      <c r="AY65" s="1300">
        <f t="shared" si="52"/>
        <v>57</v>
      </c>
    </row>
    <row r="66" spans="1:51" s="5" customFormat="1" ht="15.6" customHeight="1">
      <c r="A66" s="1285">
        <v>63</v>
      </c>
      <c r="B66" s="1286" t="s">
        <v>142</v>
      </c>
      <c r="C66" s="1286">
        <f>+'Table 8 Membership 2.1.14'!W65</f>
        <v>2038</v>
      </c>
      <c r="D66" s="1287">
        <f>+'[4]ALL- TABLE 3 '!AA68-'[4]ALL- TABLE 3 '!W68-'[4]ALL- TABLE 3 '!X68-'[4]ALL- TABLE 3 '!Y68-'[4]ALL- TABLE 3 '!Z68</f>
        <v>1067</v>
      </c>
      <c r="E66" s="1287">
        <f t="shared" si="54"/>
        <v>235</v>
      </c>
      <c r="F66" s="1287">
        <f>+'[5]MS6887_Total CTE T3 corrected'!M68</f>
        <v>431</v>
      </c>
      <c r="G66" s="1287">
        <f t="shared" si="55"/>
        <v>26</v>
      </c>
      <c r="H66" s="1287">
        <f>+'[6]MFP Funded SWD -Table 3'!W67</f>
        <v>264</v>
      </c>
      <c r="I66" s="1287">
        <f t="shared" si="29"/>
        <v>396</v>
      </c>
      <c r="J66" s="1287">
        <f>+'[6]MFP Funded GT -Table 3'!S67</f>
        <v>143</v>
      </c>
      <c r="K66" s="1287">
        <f t="shared" si="30"/>
        <v>86</v>
      </c>
      <c r="L66" s="1287">
        <f t="shared" si="56"/>
        <v>5462</v>
      </c>
      <c r="M66" s="1289">
        <f t="shared" si="57"/>
        <v>0.14565</v>
      </c>
      <c r="N66" s="1287">
        <f t="shared" si="58"/>
        <v>297</v>
      </c>
      <c r="O66" s="1287">
        <f t="shared" si="31"/>
        <v>1040</v>
      </c>
      <c r="P66" s="1287">
        <f t="shared" si="59"/>
        <v>3078</v>
      </c>
      <c r="Q66" s="1290">
        <f t="shared" si="32"/>
        <v>3961</v>
      </c>
      <c r="R66" s="1290">
        <f t="shared" si="60"/>
        <v>12191958</v>
      </c>
      <c r="S66" s="1290">
        <f>'Table 6 (Local Deduct Calc.)'!J69</f>
        <v>6222252.5</v>
      </c>
      <c r="T66" s="1290">
        <f t="shared" si="33"/>
        <v>6222252.5</v>
      </c>
      <c r="U66" s="1291">
        <f t="shared" si="34"/>
        <v>5969705.5</v>
      </c>
      <c r="V66" s="1292">
        <f t="shared" si="53"/>
        <v>0.48959999999999998</v>
      </c>
      <c r="W66" s="1292">
        <f t="shared" si="35"/>
        <v>0.51039999999999996</v>
      </c>
      <c r="X66" s="1293">
        <f t="shared" si="61"/>
        <v>3053.1170264965654</v>
      </c>
      <c r="Y66" s="1290">
        <f>'Table 7 Local Revenue'!AQ70</f>
        <v>15057097.5</v>
      </c>
      <c r="Z66" s="1290">
        <f t="shared" si="36"/>
        <v>8834845</v>
      </c>
      <c r="AA66" s="1294">
        <f t="shared" si="37"/>
        <v>0</v>
      </c>
      <c r="AB66" s="1295">
        <f t="shared" si="38"/>
        <v>4145265.72</v>
      </c>
      <c r="AC66" s="1295">
        <f t="shared" si="39"/>
        <v>4145265.72</v>
      </c>
      <c r="AD66" s="1290">
        <f t="shared" si="40"/>
        <v>3639079.0323993596</v>
      </c>
      <c r="AE66" s="1296">
        <f t="shared" si="41"/>
        <v>506186.68760064058</v>
      </c>
      <c r="AF66" s="1297">
        <f t="shared" si="42"/>
        <v>0.1221</v>
      </c>
      <c r="AG66" s="1296">
        <f t="shared" si="43"/>
        <v>6475892.1876006406</v>
      </c>
      <c r="AH66" s="1295">
        <f t="shared" si="62"/>
        <v>3178</v>
      </c>
      <c r="AI66" s="1296">
        <f>+'Table 3A Level 3'!O68</f>
        <v>1929597</v>
      </c>
      <c r="AJ66" s="1295">
        <f t="shared" si="63"/>
        <v>946.80912659470073</v>
      </c>
      <c r="AK66" s="1296">
        <f t="shared" si="44"/>
        <v>8405489.1876006406</v>
      </c>
      <c r="AL66" s="1295">
        <f t="shared" si="64"/>
        <v>4124.3813481848092</v>
      </c>
      <c r="AM66" s="1298">
        <f>+'Table 3A Level 3'!P68</f>
        <v>3471935.0199999996</v>
      </c>
      <c r="AN66" s="1299">
        <f t="shared" si="65"/>
        <v>1703.5991265947005</v>
      </c>
      <c r="AO66" s="1296">
        <f t="shared" si="45"/>
        <v>9947827.2076006401</v>
      </c>
      <c r="AP66" s="1295">
        <f t="shared" si="66"/>
        <v>4881.1713481848083</v>
      </c>
      <c r="AQ66" s="1297">
        <f t="shared" si="46"/>
        <v>0.48967059128049173</v>
      </c>
      <c r="AR66" s="1300">
        <f t="shared" si="47"/>
        <v>56</v>
      </c>
      <c r="AS66" s="1295">
        <f t="shared" si="48"/>
        <v>10367518.220000001</v>
      </c>
      <c r="AT66" s="1295">
        <f t="shared" si="67"/>
        <v>5087.1000000000004</v>
      </c>
      <c r="AU66" s="1300">
        <f t="shared" si="49"/>
        <v>10</v>
      </c>
      <c r="AV66" s="1297">
        <f t="shared" si="50"/>
        <v>0.51032940871950827</v>
      </c>
      <c r="AW66" s="1300">
        <f t="shared" si="51"/>
        <v>20315345.427600641</v>
      </c>
      <c r="AX66" s="1301">
        <f t="shared" si="68"/>
        <v>9968.275479686281</v>
      </c>
      <c r="AY66" s="1300">
        <f t="shared" si="52"/>
        <v>8</v>
      </c>
    </row>
    <row r="67" spans="1:51" s="5" customFormat="1" ht="15.6" customHeight="1">
      <c r="A67" s="1285">
        <v>64</v>
      </c>
      <c r="B67" s="1286" t="s">
        <v>143</v>
      </c>
      <c r="C67" s="1286">
        <f>+'Table 8 Membership 2.1.14'!W66</f>
        <v>2354</v>
      </c>
      <c r="D67" s="1287">
        <f>+'[4]ALL- TABLE 3 '!AA69-'[4]ALL- TABLE 3 '!W69-'[4]ALL- TABLE 3 '!X69-'[4]ALL- TABLE 3 '!Y69-'[4]ALL- TABLE 3 '!Z69</f>
        <v>1679</v>
      </c>
      <c r="E67" s="1287">
        <f t="shared" si="54"/>
        <v>369</v>
      </c>
      <c r="F67" s="1287">
        <f>+'[5]MS6887_Total CTE T3 corrected'!M69</f>
        <v>1210</v>
      </c>
      <c r="G67" s="1287">
        <f t="shared" si="55"/>
        <v>73</v>
      </c>
      <c r="H67" s="1287">
        <f>+'[6]MFP Funded SWD -Table 3'!W68</f>
        <v>338</v>
      </c>
      <c r="I67" s="1287">
        <f t="shared" si="29"/>
        <v>507</v>
      </c>
      <c r="J67" s="1287">
        <f>+'[6]MFP Funded GT -Table 3'!S68</f>
        <v>65</v>
      </c>
      <c r="K67" s="1287">
        <f t="shared" si="30"/>
        <v>39</v>
      </c>
      <c r="L67" s="1287">
        <f t="shared" si="56"/>
        <v>5146</v>
      </c>
      <c r="M67" s="1289">
        <f t="shared" si="57"/>
        <v>0.13722999999999999</v>
      </c>
      <c r="N67" s="1287">
        <f t="shared" si="58"/>
        <v>323</v>
      </c>
      <c r="O67" s="1287">
        <f t="shared" si="31"/>
        <v>1311</v>
      </c>
      <c r="P67" s="1287">
        <f t="shared" si="59"/>
        <v>3665</v>
      </c>
      <c r="Q67" s="1290">
        <f t="shared" si="32"/>
        <v>3961</v>
      </c>
      <c r="R67" s="1290">
        <f t="shared" si="60"/>
        <v>14517065</v>
      </c>
      <c r="S67" s="1290">
        <f>'Table 6 (Local Deduct Calc.)'!J70</f>
        <v>2972578</v>
      </c>
      <c r="T67" s="1290">
        <f t="shared" si="33"/>
        <v>2972578</v>
      </c>
      <c r="U67" s="1291">
        <f t="shared" si="34"/>
        <v>11544487</v>
      </c>
      <c r="V67" s="1292">
        <f t="shared" si="53"/>
        <v>0.79520000000000002</v>
      </c>
      <c r="W67" s="1292">
        <f t="shared" si="35"/>
        <v>0.20480000000000001</v>
      </c>
      <c r="X67" s="1293">
        <f t="shared" si="61"/>
        <v>1262.7774001699236</v>
      </c>
      <c r="Y67" s="1290">
        <f>'Table 7 Local Revenue'!AQ71</f>
        <v>7398667</v>
      </c>
      <c r="Z67" s="1290">
        <f t="shared" si="36"/>
        <v>4426089</v>
      </c>
      <c r="AA67" s="1294">
        <f t="shared" si="37"/>
        <v>0</v>
      </c>
      <c r="AB67" s="1295">
        <f t="shared" si="38"/>
        <v>4935802.1000000006</v>
      </c>
      <c r="AC67" s="1295">
        <f t="shared" si="39"/>
        <v>4426089</v>
      </c>
      <c r="AD67" s="1290">
        <f t="shared" si="40"/>
        <v>1559116.4067840001</v>
      </c>
      <c r="AE67" s="1296">
        <f t="shared" si="41"/>
        <v>2866972.5932160001</v>
      </c>
      <c r="AF67" s="1297">
        <f t="shared" si="42"/>
        <v>0.64770000000000005</v>
      </c>
      <c r="AG67" s="1296">
        <f t="shared" si="43"/>
        <v>14411459.593216</v>
      </c>
      <c r="AH67" s="1295">
        <f t="shared" si="62"/>
        <v>6122</v>
      </c>
      <c r="AI67" s="1296">
        <f>+'Table 3A Level 3'!O69</f>
        <v>366554</v>
      </c>
      <c r="AJ67" s="1295">
        <f t="shared" si="63"/>
        <v>155.71537807986405</v>
      </c>
      <c r="AK67" s="1296">
        <f t="shared" si="44"/>
        <v>14778013.593216</v>
      </c>
      <c r="AL67" s="1295">
        <f t="shared" si="64"/>
        <v>6277.8307532778254</v>
      </c>
      <c r="AM67" s="1298">
        <f>+'Table 3A Level 3'!P69</f>
        <v>1761675.64</v>
      </c>
      <c r="AN67" s="1299">
        <f t="shared" si="65"/>
        <v>748.37537807986405</v>
      </c>
      <c r="AO67" s="1296">
        <f t="shared" si="45"/>
        <v>16173135.233216001</v>
      </c>
      <c r="AP67" s="1295">
        <f t="shared" si="66"/>
        <v>6870.4907532778252</v>
      </c>
      <c r="AQ67" s="1297">
        <f t="shared" si="46"/>
        <v>0.68612213326759408</v>
      </c>
      <c r="AR67" s="1300">
        <f t="shared" si="47"/>
        <v>21</v>
      </c>
      <c r="AS67" s="1295">
        <f t="shared" si="48"/>
        <v>7398667</v>
      </c>
      <c r="AT67" s="1295">
        <f t="shared" si="67"/>
        <v>3143.02</v>
      </c>
      <c r="AU67" s="1300">
        <f t="shared" si="49"/>
        <v>46</v>
      </c>
      <c r="AV67" s="1297">
        <f t="shared" si="50"/>
        <v>0.31387786673240586</v>
      </c>
      <c r="AW67" s="1300">
        <f t="shared" si="51"/>
        <v>23571802.233216003</v>
      </c>
      <c r="AX67" s="1301">
        <f t="shared" si="68"/>
        <v>10013.509869675447</v>
      </c>
      <c r="AY67" s="1300">
        <f t="shared" si="52"/>
        <v>7</v>
      </c>
    </row>
    <row r="68" spans="1:51" s="5" customFormat="1" ht="15.6" customHeight="1">
      <c r="A68" s="87">
        <v>65</v>
      </c>
      <c r="B68" s="67" t="s">
        <v>144</v>
      </c>
      <c r="C68" s="67">
        <f>+'Table 8 Membership 2.1.14'!W67</f>
        <v>8176</v>
      </c>
      <c r="D68" s="15">
        <f>+'[4]ALL- TABLE 3 '!AA70-'[4]ALL- TABLE 3 '!W70-'[4]ALL- TABLE 3 '!X70-'[4]ALL- TABLE 3 '!Y70-'[4]ALL- TABLE 3 '!Z70</f>
        <v>6623</v>
      </c>
      <c r="E68" s="15">
        <f t="shared" ref="E68:E72" si="69">ROUND($D$1*D68,0)</f>
        <v>1457</v>
      </c>
      <c r="F68" s="15">
        <f>+'[5]MS6887_Total CTE T3 corrected'!M70</f>
        <v>2298</v>
      </c>
      <c r="G68" s="15">
        <f t="shared" ref="G68:G72" si="70">ROUND($F$1*F68,0)</f>
        <v>138</v>
      </c>
      <c r="H68" s="15">
        <f>+'[6]MFP Funded SWD -Table 3'!W69</f>
        <v>1303</v>
      </c>
      <c r="I68" s="15">
        <f t="shared" si="29"/>
        <v>1955</v>
      </c>
      <c r="J68" s="15">
        <f>+'[6]MFP Funded GT -Table 3'!S69</f>
        <v>579</v>
      </c>
      <c r="K68" s="15">
        <f t="shared" si="30"/>
        <v>347</v>
      </c>
      <c r="L68" s="15">
        <f t="shared" si="56"/>
        <v>0</v>
      </c>
      <c r="M68" s="54">
        <f>ROUND(L68/$M$1,5)</f>
        <v>0</v>
      </c>
      <c r="N68" s="15">
        <f t="shared" ref="N68:N72" si="71" xml:space="preserve"> ROUND(C68*M68,0)</f>
        <v>0</v>
      </c>
      <c r="O68" s="15">
        <f t="shared" si="31"/>
        <v>3897</v>
      </c>
      <c r="P68" s="1302">
        <f t="shared" ref="P68:P72" si="72">O68+C68</f>
        <v>12073</v>
      </c>
      <c r="Q68" s="230">
        <f t="shared" si="32"/>
        <v>3961</v>
      </c>
      <c r="R68" s="230">
        <f>ROUND(P68*Q68,0)</f>
        <v>47821153</v>
      </c>
      <c r="S68" s="230">
        <f>'Table 6 (Local Deduct Calc.)'!J71</f>
        <v>16602031</v>
      </c>
      <c r="T68" s="230">
        <f t="shared" si="33"/>
        <v>16602031</v>
      </c>
      <c r="U68" s="231">
        <f t="shared" si="34"/>
        <v>31219122</v>
      </c>
      <c r="V68" s="232">
        <f t="shared" si="53"/>
        <v>0.65280000000000005</v>
      </c>
      <c r="W68" s="233">
        <f t="shared" si="35"/>
        <v>0.34720000000000001</v>
      </c>
      <c r="X68" s="234">
        <f t="shared" ref="X68:X73" si="73">T68/C68</f>
        <v>2030.581090998043</v>
      </c>
      <c r="Y68" s="230">
        <f>'Table 7 Local Revenue'!AQ72</f>
        <v>39703600</v>
      </c>
      <c r="Z68" s="230">
        <f t="shared" si="36"/>
        <v>23101569</v>
      </c>
      <c r="AA68" s="199">
        <f t="shared" si="37"/>
        <v>0</v>
      </c>
      <c r="AB68" s="16">
        <f t="shared" si="38"/>
        <v>16259192.020000001</v>
      </c>
      <c r="AC68" s="16">
        <f t="shared" si="39"/>
        <v>16259192.020000001</v>
      </c>
      <c r="AD68" s="230">
        <f t="shared" si="40"/>
        <v>9709729.3272716813</v>
      </c>
      <c r="AE68" s="235">
        <f t="shared" si="41"/>
        <v>6549462.6927283201</v>
      </c>
      <c r="AF68" s="192">
        <f t="shared" si="42"/>
        <v>0.40279999999999999</v>
      </c>
      <c r="AG68" s="235">
        <f t="shared" si="43"/>
        <v>37768584.692728318</v>
      </c>
      <c r="AH68" s="16">
        <f t="shared" ref="AH68:AH73" si="74">ROUND(AG68/C68,0)</f>
        <v>4619</v>
      </c>
      <c r="AI68" s="235">
        <f>+'Table 3A Level 3'!O70</f>
        <v>1273128</v>
      </c>
      <c r="AJ68" s="16">
        <f t="shared" ref="AJ68:AJ73" si="75">AI68/C68</f>
        <v>155.71526418786692</v>
      </c>
      <c r="AK68" s="235">
        <f t="shared" si="44"/>
        <v>39041712.692728318</v>
      </c>
      <c r="AL68" s="16">
        <f t="shared" ref="AL68:AL73" si="76">AK68/C68</f>
        <v>4775.1605543943642</v>
      </c>
      <c r="AM68" s="287">
        <f>+'Table 3A Level 3'!P70</f>
        <v>8052013.1200000001</v>
      </c>
      <c r="AN68" s="288">
        <f t="shared" ref="AN68:AN73" si="77">AM68/C68</f>
        <v>984.83526418786698</v>
      </c>
      <c r="AO68" s="235">
        <f t="shared" si="45"/>
        <v>45820597.812728316</v>
      </c>
      <c r="AP68" s="16">
        <f t="shared" ref="AP68:AP73" si="78">AO68/C68</f>
        <v>5604.2805543943632</v>
      </c>
      <c r="AQ68" s="192">
        <f t="shared" si="46"/>
        <v>0.58235304327971127</v>
      </c>
      <c r="AR68" s="236">
        <f t="shared" si="47"/>
        <v>46</v>
      </c>
      <c r="AS68" s="16">
        <f t="shared" si="48"/>
        <v>32861223.02</v>
      </c>
      <c r="AT68" s="16">
        <f t="shared" ref="AT68:AT73" si="79">ROUND(AS68/C68,2)</f>
        <v>4019.23</v>
      </c>
      <c r="AU68" s="236">
        <f t="shared" si="49"/>
        <v>20</v>
      </c>
      <c r="AV68" s="192">
        <f t="shared" si="50"/>
        <v>0.41764695672028879</v>
      </c>
      <c r="AW68" s="236">
        <f t="shared" si="51"/>
        <v>78681820.832728311</v>
      </c>
      <c r="AX68" s="237">
        <f t="shared" ref="AX68:AX73" si="80">AW68/C68</f>
        <v>9623.5103758229343</v>
      </c>
      <c r="AY68" s="236">
        <f t="shared" si="52"/>
        <v>16</v>
      </c>
    </row>
    <row r="69" spans="1:51" s="5" customFormat="1" ht="15.6" customHeight="1">
      <c r="A69" s="1285">
        <v>66</v>
      </c>
      <c r="B69" s="1286" t="s">
        <v>145</v>
      </c>
      <c r="C69" s="1287">
        <f>+'Table 8 Membership 2.1.14'!W68</f>
        <v>2023</v>
      </c>
      <c r="D69" s="1287">
        <f>+'[4]ALL- TABLE 3 '!AA71-'[4]ALL- TABLE 3 '!W71-'[4]ALL- TABLE 3 '!X71-'[4]ALL- TABLE 3 '!Y71-'[4]ALL- TABLE 3 '!Z71</f>
        <v>1905</v>
      </c>
      <c r="E69" s="1287">
        <f t="shared" si="69"/>
        <v>419</v>
      </c>
      <c r="F69" s="1287">
        <f>+'[5]MS6887_Total CTE T3 corrected'!M71</f>
        <v>636</v>
      </c>
      <c r="G69" s="1287">
        <f t="shared" si="70"/>
        <v>38</v>
      </c>
      <c r="H69" s="1287">
        <f>+'[6]MFP Funded SWD -Table 3'!W70</f>
        <v>481</v>
      </c>
      <c r="I69" s="1287">
        <f t="shared" ref="I69:I72" si="81">ROUND($H$1*H69,0)</f>
        <v>722</v>
      </c>
      <c r="J69" s="1287">
        <f>+'[6]MFP Funded GT -Table 3'!S70</f>
        <v>123</v>
      </c>
      <c r="K69" s="1287">
        <f t="shared" ref="K69:K72" si="82">ROUND($J$1*J69,0)</f>
        <v>74</v>
      </c>
      <c r="L69" s="1288">
        <f t="shared" si="56"/>
        <v>5477</v>
      </c>
      <c r="M69" s="1289">
        <f>ROUND(L69/$M$1,5)</f>
        <v>0.14605000000000001</v>
      </c>
      <c r="N69" s="1287">
        <f t="shared" si="71"/>
        <v>295</v>
      </c>
      <c r="O69" s="1287">
        <f t="shared" ref="O69:O72" si="83">E69+G69+I69+K69+N69</f>
        <v>1548</v>
      </c>
      <c r="P69" s="1287">
        <f t="shared" si="72"/>
        <v>3571</v>
      </c>
      <c r="Q69" s="1290">
        <f>$Q$1</f>
        <v>3961</v>
      </c>
      <c r="R69" s="1290">
        <f>ROUND(P69*Q69,0)</f>
        <v>14144731</v>
      </c>
      <c r="S69" s="1290">
        <f>'Table 6 (Local Deduct Calc.)'!J72</f>
        <v>3459273</v>
      </c>
      <c r="T69" s="1290">
        <f>IF((S69&gt;R69*$T$1),R69*$T$1,S69)</f>
        <v>3459273</v>
      </c>
      <c r="U69" s="1291">
        <f>R69-T69</f>
        <v>10685458</v>
      </c>
      <c r="V69" s="1292">
        <f>ROUND(U69/R69,4)</f>
        <v>0.75539999999999996</v>
      </c>
      <c r="W69" s="1292">
        <f>ROUND(T69/R69,4)</f>
        <v>0.24460000000000001</v>
      </c>
      <c r="X69" s="1293">
        <f t="shared" si="73"/>
        <v>1709.9718240237271</v>
      </c>
      <c r="Y69" s="1290">
        <f>'Table 7 Local Revenue'!AQ73</f>
        <v>7392583</v>
      </c>
      <c r="Z69" s="1290">
        <f>IF(Y69-T69&gt;0,Y69-T69,0)</f>
        <v>3933310</v>
      </c>
      <c r="AA69" s="1294">
        <f>IF(Y69-T69&lt;0,Y69-T69,0)</f>
        <v>0</v>
      </c>
      <c r="AB69" s="1295">
        <f>R69*$AB$1</f>
        <v>4809208.54</v>
      </c>
      <c r="AC69" s="1295">
        <f>IF(Z69&lt;AB69,Z69,AB69)</f>
        <v>3933310</v>
      </c>
      <c r="AD69" s="1290">
        <f>IF(AC69&gt;0,AC69*(W69*$AD$1),0)</f>
        <v>1654790.7167200001</v>
      </c>
      <c r="AE69" s="1296">
        <f>IF(AC69-AD69&gt;AC69*$AE$1,AC69-AD69,AC69*$AE$1)</f>
        <v>2278519.2832800001</v>
      </c>
      <c r="AF69" s="1297">
        <f>IF(AC69=0,0,ROUND(AE69/AC69,4))</f>
        <v>0.57930000000000004</v>
      </c>
      <c r="AG69" s="1296">
        <f>U69+AE69</f>
        <v>12963977.28328</v>
      </c>
      <c r="AH69" s="1295">
        <f t="shared" si="74"/>
        <v>6408</v>
      </c>
      <c r="AI69" s="1296">
        <f>+'Table 3A Level 3'!O71</f>
        <v>315012</v>
      </c>
      <c r="AJ69" s="1295">
        <f t="shared" si="75"/>
        <v>155.71527434503213</v>
      </c>
      <c r="AK69" s="1296">
        <f>AI69+AG69</f>
        <v>13278989.28328</v>
      </c>
      <c r="AL69" s="1295">
        <f t="shared" si="76"/>
        <v>6564.0085433910035</v>
      </c>
      <c r="AM69" s="1298">
        <f>+'Table 3A Level 3'!P71</f>
        <v>1791923.38</v>
      </c>
      <c r="AN69" s="1299">
        <f t="shared" si="77"/>
        <v>885.77527434503213</v>
      </c>
      <c r="AO69" s="1296">
        <f>AG69+AM69</f>
        <v>14755900.663279999</v>
      </c>
      <c r="AP69" s="1295">
        <f t="shared" si="78"/>
        <v>7294.068543391003</v>
      </c>
      <c r="AQ69" s="1297">
        <f t="shared" ref="AQ69:AQ73" si="84">AO69/AW69</f>
        <v>0.66622622512726803</v>
      </c>
      <c r="AR69" s="1300">
        <f>RANK(AQ69,$AQ$4:$AQ$72)</f>
        <v>27</v>
      </c>
      <c r="AS69" s="1295">
        <f>ROUND(AC69+T69,2)</f>
        <v>7392583</v>
      </c>
      <c r="AT69" s="1295">
        <f t="shared" si="79"/>
        <v>3654.27</v>
      </c>
      <c r="AU69" s="1300">
        <f>RANK(AT69,$AT$4:$AT$72)</f>
        <v>26</v>
      </c>
      <c r="AV69" s="1297">
        <f>AS69/AW69</f>
        <v>0.33377377487273197</v>
      </c>
      <c r="AW69" s="1300">
        <f t="shared" ref="AW69:AW72" si="85">AO69+AS69</f>
        <v>22148483.663279999</v>
      </c>
      <c r="AX69" s="1301">
        <f t="shared" si="80"/>
        <v>10948.335968007908</v>
      </c>
      <c r="AY69" s="1300">
        <f>RANK(AX69,$AX$4:$AX$72)</f>
        <v>2</v>
      </c>
    </row>
    <row r="70" spans="1:51" s="5" customFormat="1" ht="15.6" customHeight="1">
      <c r="A70" s="1285">
        <v>67</v>
      </c>
      <c r="B70" s="1286" t="s">
        <v>30</v>
      </c>
      <c r="C70" s="1286">
        <f>+'Table 8 Membership 2.1.14'!W69</f>
        <v>5261</v>
      </c>
      <c r="D70" s="1287">
        <f>+'[4]ALL- TABLE 3 '!AA72-'[4]ALL- TABLE 3 '!W72-'[4]ALL- TABLE 3 '!X72-'[4]ALL- TABLE 3 '!Y72-'[4]ALL- TABLE 3 '!Z72</f>
        <v>2361</v>
      </c>
      <c r="E70" s="1287">
        <f t="shared" si="69"/>
        <v>519</v>
      </c>
      <c r="F70" s="1287">
        <f>+'[5]MS6887_Total CTE T3 corrected'!M72</f>
        <v>1513.5</v>
      </c>
      <c r="G70" s="1287">
        <f t="shared" si="70"/>
        <v>91</v>
      </c>
      <c r="H70" s="1287">
        <f>+'[6]MFP Funded SWD -Table 3'!W71</f>
        <v>439</v>
      </c>
      <c r="I70" s="1287">
        <f t="shared" si="81"/>
        <v>659</v>
      </c>
      <c r="J70" s="1287">
        <f>+'[6]MFP Funded GT -Table 3'!S71</f>
        <v>467</v>
      </c>
      <c r="K70" s="1287">
        <f t="shared" si="82"/>
        <v>280</v>
      </c>
      <c r="L70" s="1287">
        <f t="shared" si="56"/>
        <v>2239</v>
      </c>
      <c r="M70" s="1289">
        <f>ROUND(L70/$M$1,5)</f>
        <v>5.9709999999999999E-2</v>
      </c>
      <c r="N70" s="1287">
        <f t="shared" si="71"/>
        <v>314</v>
      </c>
      <c r="O70" s="1287">
        <f t="shared" si="83"/>
        <v>1863</v>
      </c>
      <c r="P70" s="1287">
        <f t="shared" si="72"/>
        <v>7124</v>
      </c>
      <c r="Q70" s="1290">
        <f>$Q$1</f>
        <v>3961</v>
      </c>
      <c r="R70" s="1290">
        <f>ROUND(P70*Q70,0)</f>
        <v>28218164</v>
      </c>
      <c r="S70" s="1290">
        <f>'Table 6 (Local Deduct Calc.)'!J73</f>
        <v>7681377</v>
      </c>
      <c r="T70" s="1290">
        <f>IF((S70&gt;R70*$T$1),R70*$T$1,S70)</f>
        <v>7681377</v>
      </c>
      <c r="U70" s="1291">
        <f>R70-T70</f>
        <v>20536787</v>
      </c>
      <c r="V70" s="1292">
        <f>ROUND(U70/R70,4)</f>
        <v>0.7278</v>
      </c>
      <c r="W70" s="1292">
        <f>ROUND(T70/R70,4)</f>
        <v>0.2722</v>
      </c>
      <c r="X70" s="1293">
        <f t="shared" si="73"/>
        <v>1460.0602547044289</v>
      </c>
      <c r="Y70" s="1290">
        <f>'Table 7 Local Revenue'!AQ74</f>
        <v>26843348</v>
      </c>
      <c r="Z70" s="1290">
        <f>IF(Y70-T70&gt;0,Y70-T70,0)</f>
        <v>19161971</v>
      </c>
      <c r="AA70" s="1294">
        <f>IF(Y70-T70&lt;0,Y70-T70,0)</f>
        <v>0</v>
      </c>
      <c r="AB70" s="1295">
        <f>R70*$AB$1</f>
        <v>9594175.7599999998</v>
      </c>
      <c r="AC70" s="1295">
        <f>IF(Z70&lt;AB70,Z70,AB70)</f>
        <v>9594175.7599999998</v>
      </c>
      <c r="AD70" s="1290">
        <f>IF(AC70&gt;0,AC70*(W70*$AD$1),0)</f>
        <v>4491839.5840198398</v>
      </c>
      <c r="AE70" s="1296">
        <f>IF(AC70-AD70&gt;AC70*$AE$1,AC70-AD70,AC70*$AE$1)</f>
        <v>5102336.17598016</v>
      </c>
      <c r="AF70" s="1297">
        <f>IF(AC70=0,0,ROUND(AE70/AC70,4))</f>
        <v>0.53180000000000005</v>
      </c>
      <c r="AG70" s="1296">
        <f>U70+AE70</f>
        <v>25639123.175980158</v>
      </c>
      <c r="AH70" s="1295">
        <f t="shared" si="74"/>
        <v>4873</v>
      </c>
      <c r="AI70" s="1296">
        <f>+'Table 3A Level 3'!O72</f>
        <v>819218</v>
      </c>
      <c r="AJ70" s="1295">
        <f t="shared" si="75"/>
        <v>155.71526325793576</v>
      </c>
      <c r="AK70" s="1296">
        <f>AI70+AG70</f>
        <v>26458341.175980158</v>
      </c>
      <c r="AL70" s="1295">
        <f t="shared" si="76"/>
        <v>5029.1467736134118</v>
      </c>
      <c r="AM70" s="1298">
        <f>+'Table 3A Level 3'!P72</f>
        <v>4584042.21</v>
      </c>
      <c r="AN70" s="1299">
        <f t="shared" si="77"/>
        <v>871.32526325793572</v>
      </c>
      <c r="AO70" s="1296">
        <f>AG70+AM70</f>
        <v>30223165.385980159</v>
      </c>
      <c r="AP70" s="1295">
        <f t="shared" si="78"/>
        <v>5744.7567736134115</v>
      </c>
      <c r="AQ70" s="1297">
        <f t="shared" si="84"/>
        <v>0.6362943373144051</v>
      </c>
      <c r="AR70" s="1300">
        <f>RANK(AQ70,$AQ$4:$AQ$72)</f>
        <v>36</v>
      </c>
      <c r="AS70" s="1295">
        <f>ROUND(AC70+T70,2)</f>
        <v>17275552.760000002</v>
      </c>
      <c r="AT70" s="1295">
        <f t="shared" si="79"/>
        <v>3283.7</v>
      </c>
      <c r="AU70" s="1300">
        <f>RANK(AT70,$AT$4:$AT$72)</f>
        <v>41</v>
      </c>
      <c r="AV70" s="1297">
        <f>AS70/AW70</f>
        <v>0.36370566268559479</v>
      </c>
      <c r="AW70" s="1300">
        <f t="shared" si="85"/>
        <v>47498718.145980164</v>
      </c>
      <c r="AX70" s="1301">
        <f t="shared" si="80"/>
        <v>9028.4581155636115</v>
      </c>
      <c r="AY70" s="1300">
        <f>RANK(AX70,$AX$4:$AX$72)</f>
        <v>38</v>
      </c>
    </row>
    <row r="71" spans="1:51" ht="15.6" customHeight="1">
      <c r="A71" s="1285">
        <v>68</v>
      </c>
      <c r="B71" s="1286" t="s">
        <v>28</v>
      </c>
      <c r="C71" s="1286">
        <f>+'Table 8 Membership 2.1.14'!W70</f>
        <v>1609</v>
      </c>
      <c r="D71" s="1287">
        <f>+'[4]ALL- TABLE 3 '!AA73-'[4]ALL- TABLE 3 '!W73-'[4]ALL- TABLE 3 '!X73-'[4]ALL- TABLE 3 '!Y73-'[4]ALL- TABLE 3 '!Z73</f>
        <v>1334</v>
      </c>
      <c r="E71" s="1287">
        <f t="shared" si="69"/>
        <v>293</v>
      </c>
      <c r="F71" s="1287">
        <f>+'[5]MS6887_Total CTE T3 corrected'!M73</f>
        <v>578</v>
      </c>
      <c r="G71" s="1287">
        <f t="shared" si="70"/>
        <v>35</v>
      </c>
      <c r="H71" s="1287">
        <f>+'[6]MFP Funded SWD -Table 3'!W72</f>
        <v>230</v>
      </c>
      <c r="I71" s="1287">
        <f t="shared" si="81"/>
        <v>345</v>
      </c>
      <c r="J71" s="1287">
        <f>+'[6]MFP Funded GT -Table 3'!S72</f>
        <v>11</v>
      </c>
      <c r="K71" s="1287">
        <f t="shared" si="82"/>
        <v>7</v>
      </c>
      <c r="L71" s="1287">
        <f t="shared" si="56"/>
        <v>5891</v>
      </c>
      <c r="M71" s="1289">
        <f>ROUND(L71/$M$1,5)</f>
        <v>0.15709000000000001</v>
      </c>
      <c r="N71" s="1287">
        <f t="shared" si="71"/>
        <v>253</v>
      </c>
      <c r="O71" s="1287">
        <f t="shared" si="83"/>
        <v>933</v>
      </c>
      <c r="P71" s="1287">
        <f t="shared" si="72"/>
        <v>2542</v>
      </c>
      <c r="Q71" s="1290">
        <f>$Q$1</f>
        <v>3961</v>
      </c>
      <c r="R71" s="1290">
        <f>ROUND(P71*Q71,0)</f>
        <v>10068862</v>
      </c>
      <c r="S71" s="1290">
        <f>'Table 6 (Local Deduct Calc.)'!J74</f>
        <v>1955639</v>
      </c>
      <c r="T71" s="1290">
        <f>IF((S71&gt;R71*$T$1),R71*$T$1,S71)</f>
        <v>1955639</v>
      </c>
      <c r="U71" s="1291">
        <f>R71-T71</f>
        <v>8113223</v>
      </c>
      <c r="V71" s="1292">
        <f>ROUND(U71/R71,4)</f>
        <v>0.80579999999999996</v>
      </c>
      <c r="W71" s="1292">
        <f>ROUND(T71/R71,4)</f>
        <v>0.19420000000000001</v>
      </c>
      <c r="X71" s="1293">
        <f t="shared" si="73"/>
        <v>1215.4375388440026</v>
      </c>
      <c r="Y71" s="1290">
        <f>'Table 7 Local Revenue'!AQ75</f>
        <v>4835631</v>
      </c>
      <c r="Z71" s="1290">
        <f>IF(Y71-T71&gt;0,Y71-T71,0)</f>
        <v>2879992</v>
      </c>
      <c r="AA71" s="1294">
        <f>IF(Y71-T71&lt;0,Y71-T71,0)</f>
        <v>0</v>
      </c>
      <c r="AB71" s="1295">
        <f>R71*$AB$1</f>
        <v>3423413.08</v>
      </c>
      <c r="AC71" s="1295">
        <f>IF(Z71&lt;AB71,Z71,AB71)</f>
        <v>2879992</v>
      </c>
      <c r="AD71" s="1290">
        <f>IF(AC71&gt;0,AC71*(W71*$AD$1),0)</f>
        <v>961986.44780799991</v>
      </c>
      <c r="AE71" s="1296">
        <f>IF(AC71-AD71&gt;AC71*$AE$1,AC71-AD71,AC71*$AE$1)</f>
        <v>1918005.5521920002</v>
      </c>
      <c r="AF71" s="1297">
        <f>IF(AC71=0,0,ROUND(AE71/AC71,4))</f>
        <v>0.66600000000000004</v>
      </c>
      <c r="AG71" s="1296">
        <f>U71+AE71</f>
        <v>10031228.552192001</v>
      </c>
      <c r="AH71" s="1295">
        <f t="shared" si="74"/>
        <v>6234</v>
      </c>
      <c r="AI71" s="1296">
        <f>+'Table 3A Level 3'!O73</f>
        <v>250546</v>
      </c>
      <c r="AJ71" s="1295">
        <f t="shared" si="75"/>
        <v>155.71535114978246</v>
      </c>
      <c r="AK71" s="1296">
        <f>AI71+AG71</f>
        <v>10281774.552192001</v>
      </c>
      <c r="AL71" s="1295">
        <f t="shared" si="76"/>
        <v>6390.1644202560601</v>
      </c>
      <c r="AM71" s="1298">
        <f>+'Table 3A Level 3'!P73</f>
        <v>1535654.3</v>
      </c>
      <c r="AN71" s="1299">
        <f t="shared" si="77"/>
        <v>954.41535114978251</v>
      </c>
      <c r="AO71" s="1296">
        <f>AG71+AM71</f>
        <v>11566882.852192001</v>
      </c>
      <c r="AP71" s="1295">
        <f t="shared" si="78"/>
        <v>7188.8644202560608</v>
      </c>
      <c r="AQ71" s="1297">
        <f t="shared" si="84"/>
        <v>0.7051896408333912</v>
      </c>
      <c r="AR71" s="1300">
        <f>RANK(AQ71,$AQ$4:$AQ$72)</f>
        <v>14</v>
      </c>
      <c r="AS71" s="1295">
        <f>ROUND(AC71+T71,2)</f>
        <v>4835631</v>
      </c>
      <c r="AT71" s="1295">
        <f t="shared" si="79"/>
        <v>3005.36</v>
      </c>
      <c r="AU71" s="1300">
        <f>RANK(AT71,$AT$4:$AT$72)</f>
        <v>49</v>
      </c>
      <c r="AV71" s="1297">
        <f>AS71/AW71</f>
        <v>0.2948103591666088</v>
      </c>
      <c r="AW71" s="1300">
        <f t="shared" si="85"/>
        <v>16402513.852192001</v>
      </c>
      <c r="AX71" s="1301">
        <f t="shared" si="80"/>
        <v>10194.22862162337</v>
      </c>
      <c r="AY71" s="1300">
        <f>RANK(AX71,$AX$4:$AX$72)</f>
        <v>6</v>
      </c>
    </row>
    <row r="72" spans="1:51" ht="15.6" customHeight="1">
      <c r="A72" s="1285">
        <v>69</v>
      </c>
      <c r="B72" s="1286" t="s">
        <v>183</v>
      </c>
      <c r="C72" s="1286">
        <f>+'Table 8 Membership 2.1.14'!W71</f>
        <v>4313</v>
      </c>
      <c r="D72" s="1287">
        <f>+'[4]ALL- TABLE 3 '!AA74-'[4]ALL- TABLE 3 '!W74-'[4]ALL- TABLE 3 '!X74-'[4]ALL- TABLE 3 '!Y74-'[4]ALL- TABLE 3 '!Z74</f>
        <v>2162</v>
      </c>
      <c r="E72" s="1287">
        <f t="shared" si="69"/>
        <v>476</v>
      </c>
      <c r="F72" s="1287">
        <f>+'[5]MS6887_Total CTE T3 corrected'!M74</f>
        <v>1288.5</v>
      </c>
      <c r="G72" s="1287">
        <f t="shared" si="70"/>
        <v>77</v>
      </c>
      <c r="H72" s="1287">
        <f>+'[6]MFP Funded SWD -Table 3'!W73</f>
        <v>299</v>
      </c>
      <c r="I72" s="1287">
        <f t="shared" si="81"/>
        <v>449</v>
      </c>
      <c r="J72" s="1287">
        <f>+'[6]MFP Funded GT -Table 3'!S73</f>
        <v>308</v>
      </c>
      <c r="K72" s="1287">
        <f t="shared" si="82"/>
        <v>185</v>
      </c>
      <c r="L72" s="1287">
        <f t="shared" si="56"/>
        <v>3187</v>
      </c>
      <c r="M72" s="1289">
        <f>ROUND(L72/$M$1,5)</f>
        <v>8.4989999999999996E-2</v>
      </c>
      <c r="N72" s="1287">
        <f t="shared" si="71"/>
        <v>367</v>
      </c>
      <c r="O72" s="1287">
        <f t="shared" si="83"/>
        <v>1554</v>
      </c>
      <c r="P72" s="1287">
        <f t="shared" si="72"/>
        <v>5867</v>
      </c>
      <c r="Q72" s="1290">
        <f>$Q$1</f>
        <v>3961</v>
      </c>
      <c r="R72" s="1290">
        <f>ROUND(P72*Q72,0)</f>
        <v>23239187</v>
      </c>
      <c r="S72" s="1290">
        <f>'Table 6 (Local Deduct Calc.)'!J75</f>
        <v>4499913</v>
      </c>
      <c r="T72" s="1290">
        <f>IF((S72&gt;R72*$T$1),R72*$T$1,S72)</f>
        <v>4499913</v>
      </c>
      <c r="U72" s="1291">
        <f>R72-T72</f>
        <v>18739274</v>
      </c>
      <c r="V72" s="1292">
        <f>ROUND(U72/R72,4)</f>
        <v>0.80640000000000001</v>
      </c>
      <c r="W72" s="1292">
        <f>ROUND(T72/R72,4)</f>
        <v>0.19359999999999999</v>
      </c>
      <c r="X72" s="1293">
        <f t="shared" si="73"/>
        <v>1043.3371203338743</v>
      </c>
      <c r="Y72" s="1290">
        <f>'Table 7 Local Revenue'!AQ76</f>
        <v>14533117</v>
      </c>
      <c r="Z72" s="1290">
        <f>IF(Y72-T72&gt;0,Y72-T72,0)</f>
        <v>10033204</v>
      </c>
      <c r="AA72" s="1294">
        <f>IF(Y72-T72&lt;0,Y72-T72,0)</f>
        <v>0</v>
      </c>
      <c r="AB72" s="1295">
        <f>R72*$AB$1</f>
        <v>7901323.580000001</v>
      </c>
      <c r="AC72" s="1295">
        <f>IF(Z72&lt;AB72,Z72,AB72)</f>
        <v>7901323.580000001</v>
      </c>
      <c r="AD72" s="1290">
        <f>IF(AC72&gt;0,AC72*(W72*$AD$1),0)</f>
        <v>2631077.5415513604</v>
      </c>
      <c r="AE72" s="1296">
        <f>IF(AC72-AD72&gt;AC72*$AE$1,AC72-AD72,AC72*$AE$1)</f>
        <v>5270246.0384486411</v>
      </c>
      <c r="AF72" s="1297">
        <f>IF(AC72=0,0,ROUND(AE72/AC72,4))</f>
        <v>0.66700000000000004</v>
      </c>
      <c r="AG72" s="1296">
        <f>U72+AE72</f>
        <v>24009520.038448639</v>
      </c>
      <c r="AH72" s="1295">
        <f t="shared" si="74"/>
        <v>5567</v>
      </c>
      <c r="AI72" s="1296">
        <f>+'Table 3A Level 3'!O74</f>
        <v>671600</v>
      </c>
      <c r="AJ72" s="1295">
        <f t="shared" si="75"/>
        <v>155.71527938789706</v>
      </c>
      <c r="AK72" s="1296">
        <f>AI72+AG72</f>
        <v>24681120.038448639</v>
      </c>
      <c r="AL72" s="1295">
        <f t="shared" si="76"/>
        <v>5722.4947921281337</v>
      </c>
      <c r="AM72" s="1298">
        <f>+'Table 3A Level 3'!P74</f>
        <v>3715154.71</v>
      </c>
      <c r="AN72" s="1299">
        <f t="shared" si="77"/>
        <v>861.38527938789707</v>
      </c>
      <c r="AO72" s="1296">
        <f>AG72+AM72</f>
        <v>27724674.74844864</v>
      </c>
      <c r="AP72" s="1295">
        <f t="shared" si="78"/>
        <v>6428.1647921281337</v>
      </c>
      <c r="AQ72" s="1297">
        <f t="shared" si="84"/>
        <v>0.69094193329366904</v>
      </c>
      <c r="AR72" s="1300">
        <f>RANK(AQ72,$AQ$4:$AQ$72)</f>
        <v>18</v>
      </c>
      <c r="AS72" s="1295">
        <f>ROUND(AC72+T72,2)</f>
        <v>12401236.58</v>
      </c>
      <c r="AT72" s="1295">
        <f t="shared" si="79"/>
        <v>2875.32</v>
      </c>
      <c r="AU72" s="1300">
        <f>RANK(AT72,$AT$4:$AT$72)</f>
        <v>54</v>
      </c>
      <c r="AV72" s="1297">
        <f>AS72/AW72</f>
        <v>0.30905806670633096</v>
      </c>
      <c r="AW72" s="1300">
        <f t="shared" si="85"/>
        <v>40125911.328448638</v>
      </c>
      <c r="AX72" s="1301">
        <f t="shared" si="80"/>
        <v>9303.4804842218036</v>
      </c>
      <c r="AY72" s="1300">
        <f>RANK(AX72,$AX$4:$AX$72)</f>
        <v>22</v>
      </c>
    </row>
    <row r="73" spans="1:51" ht="15.6" customHeight="1" thickBot="1">
      <c r="A73" s="88"/>
      <c r="B73" s="89" t="s">
        <v>78</v>
      </c>
      <c r="C73" s="90">
        <f>SUM(C4:C72)</f>
        <v>678570</v>
      </c>
      <c r="D73" s="90">
        <f>SUM(D4:D72)</f>
        <v>461557</v>
      </c>
      <c r="E73" s="90">
        <f t="shared" ref="E73:L73" si="86">SUM(E4:E72)</f>
        <v>101540</v>
      </c>
      <c r="F73" s="90">
        <f t="shared" si="86"/>
        <v>220622</v>
      </c>
      <c r="G73" s="90">
        <f t="shared" si="86"/>
        <v>13240</v>
      </c>
      <c r="H73" s="90">
        <f t="shared" si="86"/>
        <v>82279</v>
      </c>
      <c r="I73" s="90">
        <f t="shared" si="86"/>
        <v>123435</v>
      </c>
      <c r="J73" s="90">
        <f t="shared" si="86"/>
        <v>29521</v>
      </c>
      <c r="K73" s="90">
        <f t="shared" si="86"/>
        <v>17713</v>
      </c>
      <c r="L73" s="90">
        <f t="shared" si="86"/>
        <v>181775</v>
      </c>
      <c r="M73" s="90"/>
      <c r="N73" s="90">
        <f>SUM(N4:N72)</f>
        <v>13162</v>
      </c>
      <c r="O73" s="90">
        <f>SUM(O4:O72)</f>
        <v>269090</v>
      </c>
      <c r="P73" s="90">
        <f>SUM(P4:P72)</f>
        <v>947660</v>
      </c>
      <c r="Q73" s="238">
        <f>$Q$1</f>
        <v>3961</v>
      </c>
      <c r="R73" s="238">
        <f>SUM(R4:R72)</f>
        <v>3753681260</v>
      </c>
      <c r="S73" s="238">
        <f>SUM(S4:S72)</f>
        <v>1322620352.5</v>
      </c>
      <c r="T73" s="238">
        <f>SUM(T4:T72)</f>
        <v>1313738973</v>
      </c>
      <c r="U73" s="239">
        <f>SUM(U4:U72)</f>
        <v>2439942287</v>
      </c>
      <c r="V73" s="240">
        <f>ROUND(U73/R73,4)</f>
        <v>0.65</v>
      </c>
      <c r="W73" s="1303">
        <f>ROUND(T73/R73,4)</f>
        <v>0.35</v>
      </c>
      <c r="X73" s="241">
        <f t="shared" si="73"/>
        <v>1936.0404571378044</v>
      </c>
      <c r="Y73" s="238">
        <f t="shared" ref="Y73:AE73" si="87">SUM(Y4:Y72)</f>
        <v>3227058931.5</v>
      </c>
      <c r="Z73" s="238">
        <f t="shared" si="87"/>
        <v>1911907242.5</v>
      </c>
      <c r="AA73" s="238">
        <f t="shared" si="87"/>
        <v>0</v>
      </c>
      <c r="AB73" s="242">
        <f t="shared" si="87"/>
        <v>1276251628.4000001</v>
      </c>
      <c r="AC73" s="242">
        <f t="shared" si="87"/>
        <v>1175854531.9599998</v>
      </c>
      <c r="AD73" s="1304">
        <f t="shared" si="87"/>
        <v>730617926.78662801</v>
      </c>
      <c r="AE73" s="243">
        <f t="shared" si="87"/>
        <v>455353340.86032325</v>
      </c>
      <c r="AF73" s="166">
        <f>IF(AC73=0,0,ROUND(AE73/AC73,4))</f>
        <v>0.38729999999999998</v>
      </c>
      <c r="AG73" s="245">
        <f>SUM(AG4:AG72)</f>
        <v>2895295627.8603234</v>
      </c>
      <c r="AH73" s="1305">
        <f t="shared" si="74"/>
        <v>4267</v>
      </c>
      <c r="AI73" s="245">
        <f>SUM(AI4:AI72)</f>
        <v>144649938</v>
      </c>
      <c r="AJ73" s="244">
        <f t="shared" si="75"/>
        <v>213.16877846058622</v>
      </c>
      <c r="AK73" s="245">
        <f>SUM(AK4:AK72)</f>
        <v>3039945565.8603234</v>
      </c>
      <c r="AL73" s="244">
        <f t="shared" si="76"/>
        <v>4479.9292126977662</v>
      </c>
      <c r="AM73" s="245">
        <f>SUM(AM4:AM72)</f>
        <v>622802802.64030635</v>
      </c>
      <c r="AN73" s="244">
        <f t="shared" si="77"/>
        <v>917.8165887680068</v>
      </c>
      <c r="AO73" s="245">
        <f>SUM(AO4:AO72)</f>
        <v>3518098430.5006294</v>
      </c>
      <c r="AP73" s="244">
        <f t="shared" si="78"/>
        <v>5184.5770230051867</v>
      </c>
      <c r="AQ73" s="1306">
        <f t="shared" si="84"/>
        <v>0.58559900678910004</v>
      </c>
      <c r="AR73" s="1305"/>
      <c r="AS73" s="1305">
        <f>SUM(AS4:AS72)</f>
        <v>2489593504.9600005</v>
      </c>
      <c r="AT73" s="244">
        <f t="shared" si="79"/>
        <v>3668.88</v>
      </c>
      <c r="AU73" s="244"/>
      <c r="AV73" s="166">
        <f>AS73/AW73</f>
        <v>0.4144009932109004</v>
      </c>
      <c r="AW73" s="244">
        <f>SUM(AW4:AW72)</f>
        <v>6007691935.4606276</v>
      </c>
      <c r="AX73" s="238">
        <f t="shared" si="80"/>
        <v>8853.4593858564731</v>
      </c>
      <c r="AY73" s="244"/>
    </row>
    <row r="74" spans="1:51" ht="12.75" customHeight="1" thickTop="1">
      <c r="A74" s="91"/>
      <c r="B74" s="159"/>
      <c r="C74" s="133"/>
      <c r="D74" s="92"/>
      <c r="E74" s="93"/>
      <c r="F74" s="133"/>
      <c r="G74" s="92"/>
      <c r="H74" s="92"/>
      <c r="I74" s="92"/>
      <c r="J74" s="92"/>
      <c r="K74" s="92"/>
      <c r="O74" s="5"/>
      <c r="P74" s="5"/>
      <c r="S74" s="2"/>
      <c r="T74" s="2"/>
      <c r="U74" s="6"/>
      <c r="V74" s="2"/>
      <c r="W74" s="2"/>
      <c r="X74" s="2"/>
      <c r="Y74" s="2"/>
      <c r="AA74" s="2"/>
      <c r="AB74" s="2"/>
      <c r="AC74" s="2"/>
      <c r="AD74" s="2"/>
      <c r="AE74" s="2"/>
      <c r="AF74" s="2"/>
      <c r="AH74" s="2"/>
      <c r="AX74" s="246"/>
      <c r="AY74" s="246"/>
    </row>
  </sheetData>
  <mergeCells count="6">
    <mergeCell ref="AM1:AP1"/>
    <mergeCell ref="AI1:AL1"/>
    <mergeCell ref="D1:E1"/>
    <mergeCell ref="F1:G1"/>
    <mergeCell ref="H1:I1"/>
    <mergeCell ref="J1:K1"/>
  </mergeCells>
  <phoneticPr fontId="0" type="noConversion"/>
  <printOptions horizontalCentered="1"/>
  <pageMargins left="0.25" right="0.25" top="0.98" bottom="0.42" header="0.27" footer="0.16"/>
  <pageSetup paperSize="5" scale="72" firstPageNumber="18" fitToWidth="14" orientation="portrait" r:id="rId1"/>
  <headerFooter alignWithMargins="0">
    <oddHeader xml:space="preserve">&amp;L&amp;"Arial,Bold"&amp;16&amp;K000000TABLE 3: FY2014-15 Budget Letter 
LEVEL 1 BASE PER PUPIL AND LEVEL 2 LOCAL INCENTIVE </oddHeader>
    <oddFooter>&amp;R&amp;12&amp;P</oddFooter>
  </headerFooter>
  <colBreaks count="4" manualBreakCount="4">
    <brk id="11" max="72" man="1"/>
    <brk id="18" max="72" man="1"/>
    <brk id="25" max="72" man="1"/>
    <brk id="34" max="7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8"/>
  <dimension ref="A1:P77"/>
  <sheetViews>
    <sheetView view="pageBreakPreview" zoomScale="90" zoomScaleNormal="100" zoomScaleSheetLayoutView="90" workbookViewId="0">
      <pane xSplit="2" ySplit="5" topLeftCell="C6" activePane="bottomRight" state="frozen"/>
      <selection sqref="A1:H1"/>
      <selection pane="topRight" sqref="A1:H1"/>
      <selection pane="bottomLeft" sqref="A1:H1"/>
      <selection pane="bottomRight" sqref="A1:H1"/>
    </sheetView>
  </sheetViews>
  <sheetFormatPr defaultColWidth="12.5546875" defaultRowHeight="13.2"/>
  <cols>
    <col min="1" max="1" width="4.33203125" style="2" customWidth="1"/>
    <col min="2" max="2" width="17.109375" style="2" customWidth="1"/>
    <col min="3" max="3" width="12" style="2" customWidth="1"/>
    <col min="4" max="4" width="12.6640625" style="2" customWidth="1"/>
    <col min="5" max="5" width="12.109375" style="2" customWidth="1"/>
    <col min="6" max="6" width="12.33203125" style="2" customWidth="1"/>
    <col min="7" max="7" width="13.109375" style="2" customWidth="1"/>
    <col min="8" max="8" width="12.6640625" style="2" customWidth="1"/>
    <col min="9" max="9" width="11.109375" style="2" bestFit="1" customWidth="1"/>
    <col min="10" max="10" width="11.44140625" style="2" bestFit="1" customWidth="1"/>
    <col min="11" max="11" width="8.5546875" style="2" bestFit="1" customWidth="1"/>
    <col min="12" max="12" width="13.44140625" style="2" bestFit="1" customWidth="1"/>
    <col min="13" max="14" width="13.5546875" style="2" bestFit="1" customWidth="1"/>
    <col min="15" max="15" width="13.5546875" style="2" customWidth="1"/>
    <col min="16" max="16" width="14.44140625" style="2" bestFit="1" customWidth="1"/>
    <col min="17" max="17" width="2" style="2" customWidth="1"/>
    <col min="18" max="16384" width="12.5546875" style="2"/>
  </cols>
  <sheetData>
    <row r="1" spans="1:16" ht="39.6" hidden="1">
      <c r="A1" s="65" t="s">
        <v>179</v>
      </c>
      <c r="B1" s="103"/>
      <c r="E1" s="102" t="s">
        <v>66</v>
      </c>
      <c r="F1" s="102" t="s">
        <v>61</v>
      </c>
      <c r="G1" s="102" t="s">
        <v>66</v>
      </c>
      <c r="H1" s="102" t="s">
        <v>62</v>
      </c>
      <c r="I1" s="102"/>
      <c r="J1" s="102"/>
      <c r="K1" s="102"/>
      <c r="L1" s="102"/>
      <c r="M1" s="102"/>
      <c r="N1" s="102"/>
      <c r="O1" s="270"/>
      <c r="P1" s="270"/>
    </row>
    <row r="2" spans="1:16" ht="36.6" customHeight="1">
      <c r="A2" s="2141" t="s">
        <v>173</v>
      </c>
      <c r="B2" s="2143" t="s">
        <v>203</v>
      </c>
      <c r="C2" s="2149" t="s">
        <v>921</v>
      </c>
      <c r="D2" s="2150"/>
      <c r="E2" s="2134" t="s">
        <v>831</v>
      </c>
      <c r="F2" s="2135"/>
      <c r="G2" s="2135"/>
      <c r="H2" s="2135"/>
      <c r="I2" s="2135"/>
      <c r="J2" s="2135"/>
      <c r="K2" s="2135"/>
      <c r="L2" s="2136"/>
      <c r="M2" s="2139" t="s">
        <v>295</v>
      </c>
      <c r="N2" s="2140"/>
      <c r="O2" s="2129" t="s">
        <v>917</v>
      </c>
      <c r="P2" s="2129" t="s">
        <v>923</v>
      </c>
    </row>
    <row r="3" spans="1:16" ht="104.4" customHeight="1">
      <c r="A3" s="2142"/>
      <c r="B3" s="2144"/>
      <c r="C3" s="2145" t="s">
        <v>364</v>
      </c>
      <c r="D3" s="2147" t="s">
        <v>979</v>
      </c>
      <c r="E3" s="2137" t="s">
        <v>0</v>
      </c>
      <c r="F3" s="2137" t="s">
        <v>919</v>
      </c>
      <c r="G3" s="2137" t="s">
        <v>194</v>
      </c>
      <c r="H3" s="2137" t="s">
        <v>920</v>
      </c>
      <c r="I3" s="2137" t="s">
        <v>756</v>
      </c>
      <c r="J3" s="2132" t="s">
        <v>757</v>
      </c>
      <c r="K3" s="2132" t="s">
        <v>947</v>
      </c>
      <c r="L3" s="55" t="s">
        <v>918</v>
      </c>
      <c r="M3" s="2137" t="s">
        <v>946</v>
      </c>
      <c r="N3" s="55" t="s">
        <v>293</v>
      </c>
      <c r="O3" s="2130"/>
      <c r="P3" s="2130"/>
    </row>
    <row r="4" spans="1:16" ht="25.5" customHeight="1">
      <c r="A4" s="2142"/>
      <c r="B4" s="2144"/>
      <c r="C4" s="2146"/>
      <c r="D4" s="2148"/>
      <c r="E4" s="2138"/>
      <c r="F4" s="2138"/>
      <c r="G4" s="2138"/>
      <c r="H4" s="2138"/>
      <c r="I4" s="2138"/>
      <c r="J4" s="2133"/>
      <c r="K4" s="2133"/>
      <c r="L4" s="955">
        <f>-(H75+J75)/K75</f>
        <v>55.715207211026346</v>
      </c>
      <c r="M4" s="2138"/>
      <c r="N4" s="954">
        <v>100</v>
      </c>
      <c r="O4" s="2131"/>
      <c r="P4" s="2131"/>
    </row>
    <row r="5" spans="1:16" s="170" customFormat="1" ht="14.25" customHeight="1">
      <c r="A5" s="951"/>
      <c r="B5" s="952"/>
      <c r="C5" s="208">
        <v>1</v>
      </c>
      <c r="D5" s="208">
        <f t="shared" ref="D5:E5" si="0">C5+1</f>
        <v>2</v>
      </c>
      <c r="E5" s="208">
        <f t="shared" si="0"/>
        <v>3</v>
      </c>
      <c r="F5" s="208">
        <f t="shared" ref="F5" si="1">E5+1</f>
        <v>4</v>
      </c>
      <c r="G5" s="208">
        <f t="shared" ref="G5" si="2">F5+1</f>
        <v>5</v>
      </c>
      <c r="H5" s="208">
        <f t="shared" ref="H5" si="3">G5+1</f>
        <v>6</v>
      </c>
      <c r="I5" s="208">
        <f t="shared" ref="I5" si="4">H5+1</f>
        <v>7</v>
      </c>
      <c r="J5" s="208">
        <f t="shared" ref="J5" si="5">I5+1</f>
        <v>8</v>
      </c>
      <c r="K5" s="208">
        <f t="shared" ref="K5" si="6">J5+1</f>
        <v>9</v>
      </c>
      <c r="L5" s="208">
        <f t="shared" ref="L5" si="7">K5+1</f>
        <v>10</v>
      </c>
      <c r="M5" s="208">
        <f t="shared" ref="M5" si="8">L5+1</f>
        <v>11</v>
      </c>
      <c r="N5" s="208">
        <f t="shared" ref="N5" si="9">M5+1</f>
        <v>12</v>
      </c>
      <c r="O5" s="208">
        <f t="shared" ref="O5" si="10">N5+1</f>
        <v>13</v>
      </c>
      <c r="P5" s="208">
        <f t="shared" ref="P5" si="11">O5+1</f>
        <v>14</v>
      </c>
    </row>
    <row r="6" spans="1:16" ht="15.6" customHeight="1">
      <c r="A6" s="1250">
        <v>1</v>
      </c>
      <c r="B6" s="1251" t="s">
        <v>81</v>
      </c>
      <c r="C6" s="1308">
        <v>777.48</v>
      </c>
      <c r="D6" s="1309">
        <f>'Table 8 Membership 2.1.14'!W3*'Table 3A Level 3'!C6</f>
        <v>7538446.0800000001</v>
      </c>
      <c r="E6" s="1310">
        <v>0</v>
      </c>
      <c r="F6" s="1310">
        <v>0</v>
      </c>
      <c r="G6" s="1310">
        <f>E6-F6</f>
        <v>0</v>
      </c>
      <c r="H6" s="1311">
        <f>'[7]Table 4 Level 3'!F6+'[7]Table 4 Level 3'!H6</f>
        <v>0</v>
      </c>
      <c r="I6" s="1311">
        <f t="shared" ref="I6:I37" si="12">SUM(G6:H6)</f>
        <v>0</v>
      </c>
      <c r="J6" s="1311">
        <f>ROUND(-I6/3,0)</f>
        <v>0</v>
      </c>
      <c r="K6" s="1312">
        <f>IF(H6&lt;0,0,'Table 3 Levels 1&amp;2'!C4)</f>
        <v>9696</v>
      </c>
      <c r="L6" s="1308">
        <f t="shared" ref="L6:L37" si="13">ROUND($L$4*K6,0)</f>
        <v>540215</v>
      </c>
      <c r="M6" s="1312">
        <f>'Table 3 Levels 1&amp;2'!C4</f>
        <v>9696</v>
      </c>
      <c r="N6" s="1308">
        <f t="shared" ref="N6:N37" si="14">ROUND(M6*$N$4,0)</f>
        <v>969600</v>
      </c>
      <c r="O6" s="1308">
        <f>F6+G6+H6+J6+L6+N6</f>
        <v>1509815</v>
      </c>
      <c r="P6" s="1308">
        <f>D6+F6+G6+H6+J6+L6+N6</f>
        <v>9048261.0800000001</v>
      </c>
    </row>
    <row r="7" spans="1:16" ht="15.6" customHeight="1">
      <c r="A7" s="1250">
        <v>2</v>
      </c>
      <c r="B7" s="1251" t="s">
        <v>82</v>
      </c>
      <c r="C7" s="1308">
        <v>842.32</v>
      </c>
      <c r="D7" s="1308">
        <f>'Table 8 Membership 2.1.14'!W4*'Table 3A Level 3'!C7</f>
        <v>3442561.8400000003</v>
      </c>
      <c r="E7" s="1310">
        <v>0</v>
      </c>
      <c r="F7" s="1310">
        <v>0</v>
      </c>
      <c r="G7" s="1310">
        <f t="shared" ref="G7:G70" si="15">E7-F7</f>
        <v>0</v>
      </c>
      <c r="H7" s="1311">
        <f>'[7]Table 4 Level 3'!F7+'[7]Table 4 Level 3'!H7</f>
        <v>0</v>
      </c>
      <c r="I7" s="1311">
        <f t="shared" si="12"/>
        <v>0</v>
      </c>
      <c r="J7" s="1311">
        <f t="shared" ref="J7:J70" si="16">ROUND(-I7/3,0)</f>
        <v>0</v>
      </c>
      <c r="K7" s="1312">
        <f>IF(H7&lt;0,0,'Table 3 Levels 1&amp;2'!C5)</f>
        <v>4087</v>
      </c>
      <c r="L7" s="1308">
        <f t="shared" si="13"/>
        <v>227708</v>
      </c>
      <c r="M7" s="1312">
        <f>'Table 3 Levels 1&amp;2'!C5</f>
        <v>4087</v>
      </c>
      <c r="N7" s="1308">
        <f t="shared" si="14"/>
        <v>408700</v>
      </c>
      <c r="O7" s="1308">
        <f t="shared" ref="O7:O70" si="17">F7+G7+H7+J7+L7+N7</f>
        <v>636408</v>
      </c>
      <c r="P7" s="1308">
        <f t="shared" ref="P7:P70" si="18">D7+F7+G7+H7+J7+L7+N7</f>
        <v>4078969.8400000003</v>
      </c>
    </row>
    <row r="8" spans="1:16" ht="15.6" customHeight="1">
      <c r="A8" s="1250">
        <v>3</v>
      </c>
      <c r="B8" s="1251" t="s">
        <v>83</v>
      </c>
      <c r="C8" s="1308">
        <v>596.84</v>
      </c>
      <c r="D8" s="1308">
        <f>'Table 8 Membership 2.1.14'!W5*'Table 3A Level 3'!C8</f>
        <v>12508572.720000001</v>
      </c>
      <c r="E8" s="1310">
        <v>0</v>
      </c>
      <c r="F8" s="1310">
        <v>0</v>
      </c>
      <c r="G8" s="1310">
        <f t="shared" si="15"/>
        <v>0</v>
      </c>
      <c r="H8" s="1311">
        <f>'[7]Table 4 Level 3'!F8+'[7]Table 4 Level 3'!H8</f>
        <v>0</v>
      </c>
      <c r="I8" s="1311">
        <f t="shared" si="12"/>
        <v>0</v>
      </c>
      <c r="J8" s="1311">
        <f t="shared" si="16"/>
        <v>0</v>
      </c>
      <c r="K8" s="1312">
        <f>IF(H8&lt;0,0,'Table 3 Levels 1&amp;2'!C6)</f>
        <v>20958</v>
      </c>
      <c r="L8" s="1308">
        <f t="shared" si="13"/>
        <v>1167679</v>
      </c>
      <c r="M8" s="1312">
        <f>'Table 3 Levels 1&amp;2'!C6</f>
        <v>20958</v>
      </c>
      <c r="N8" s="1308">
        <f t="shared" si="14"/>
        <v>2095800</v>
      </c>
      <c r="O8" s="1308">
        <f t="shared" si="17"/>
        <v>3263479</v>
      </c>
      <c r="P8" s="1308">
        <f t="shared" si="18"/>
        <v>15772051.720000001</v>
      </c>
    </row>
    <row r="9" spans="1:16" ht="15.6" customHeight="1">
      <c r="A9" s="1250">
        <v>4</v>
      </c>
      <c r="B9" s="1251" t="s">
        <v>84</v>
      </c>
      <c r="C9" s="1308">
        <v>585.76</v>
      </c>
      <c r="D9" s="1308">
        <f>'Table 8 Membership 2.1.14'!W6*'Table 3A Level 3'!C9</f>
        <v>2090577.44</v>
      </c>
      <c r="E9" s="1310">
        <v>0</v>
      </c>
      <c r="F9" s="1310">
        <v>0</v>
      </c>
      <c r="G9" s="1310">
        <f t="shared" si="15"/>
        <v>0</v>
      </c>
      <c r="H9" s="1311">
        <f>'[7]Table 4 Level 3'!F9+'[7]Table 4 Level 3'!H9</f>
        <v>0</v>
      </c>
      <c r="I9" s="1311">
        <f t="shared" si="12"/>
        <v>0</v>
      </c>
      <c r="J9" s="1311">
        <f t="shared" si="16"/>
        <v>0</v>
      </c>
      <c r="K9" s="1312">
        <f>IF(H9&lt;0,0,'Table 3 Levels 1&amp;2'!C7)</f>
        <v>3569</v>
      </c>
      <c r="L9" s="1308">
        <f t="shared" si="13"/>
        <v>198848</v>
      </c>
      <c r="M9" s="1312">
        <f>'Table 3 Levels 1&amp;2'!C7</f>
        <v>3569</v>
      </c>
      <c r="N9" s="1308">
        <f t="shared" si="14"/>
        <v>356900</v>
      </c>
      <c r="O9" s="1308">
        <f t="shared" si="17"/>
        <v>555748</v>
      </c>
      <c r="P9" s="1308">
        <f t="shared" si="18"/>
        <v>2646325.44</v>
      </c>
    </row>
    <row r="10" spans="1:16" ht="15.6" customHeight="1">
      <c r="A10" s="85">
        <v>5</v>
      </c>
      <c r="B10" s="207" t="s">
        <v>85</v>
      </c>
      <c r="C10" s="950">
        <v>555.91</v>
      </c>
      <c r="D10" s="950">
        <f>'Table 8 Membership 2.1.14'!W7*'Table 3A Level 3'!C10</f>
        <v>3140891.5</v>
      </c>
      <c r="E10" s="949">
        <v>0</v>
      </c>
      <c r="F10" s="949">
        <v>0</v>
      </c>
      <c r="G10" s="949">
        <f t="shared" si="15"/>
        <v>0</v>
      </c>
      <c r="H10" s="947">
        <f>'[7]Table 4 Level 3'!F10+'[7]Table 4 Level 3'!H10</f>
        <v>0</v>
      </c>
      <c r="I10" s="947">
        <f t="shared" si="12"/>
        <v>0</v>
      </c>
      <c r="J10" s="947">
        <f t="shared" si="16"/>
        <v>0</v>
      </c>
      <c r="K10" s="948">
        <f>IF(H10&lt;0,0,'Table 3 Levels 1&amp;2'!C8)</f>
        <v>5650</v>
      </c>
      <c r="L10" s="950">
        <f t="shared" si="13"/>
        <v>314791</v>
      </c>
      <c r="M10" s="948">
        <f>'Table 3 Levels 1&amp;2'!C8</f>
        <v>5650</v>
      </c>
      <c r="N10" s="950">
        <f t="shared" si="14"/>
        <v>565000</v>
      </c>
      <c r="O10" s="950">
        <f t="shared" si="17"/>
        <v>879791</v>
      </c>
      <c r="P10" s="950">
        <f t="shared" si="18"/>
        <v>4020682.5</v>
      </c>
    </row>
    <row r="11" spans="1:16" ht="15.6" customHeight="1">
      <c r="A11" s="1250">
        <v>6</v>
      </c>
      <c r="B11" s="1251" t="s">
        <v>86</v>
      </c>
      <c r="C11" s="1308">
        <v>545.4799999999999</v>
      </c>
      <c r="D11" s="1309">
        <f>'Table 8 Membership 2.1.14'!W8*'Table 3A Level 3'!C11</f>
        <v>3213968.1599999992</v>
      </c>
      <c r="E11" s="1310">
        <v>0</v>
      </c>
      <c r="F11" s="1310">
        <v>0</v>
      </c>
      <c r="G11" s="1310">
        <f t="shared" si="15"/>
        <v>0</v>
      </c>
      <c r="H11" s="1311">
        <f>'[7]Table 4 Level 3'!F11+'[7]Table 4 Level 3'!H11</f>
        <v>0</v>
      </c>
      <c r="I11" s="1311">
        <f t="shared" si="12"/>
        <v>0</v>
      </c>
      <c r="J11" s="1311">
        <f t="shared" si="16"/>
        <v>0</v>
      </c>
      <c r="K11" s="1312">
        <f>IF(H11&lt;0,0,'Table 3 Levels 1&amp;2'!C9)</f>
        <v>5892</v>
      </c>
      <c r="L11" s="1308">
        <f t="shared" si="13"/>
        <v>328274</v>
      </c>
      <c r="M11" s="1312">
        <f>'Table 3 Levels 1&amp;2'!C9</f>
        <v>5892</v>
      </c>
      <c r="N11" s="1308">
        <f t="shared" si="14"/>
        <v>589200</v>
      </c>
      <c r="O11" s="1308">
        <f t="shared" si="17"/>
        <v>917474</v>
      </c>
      <c r="P11" s="1308">
        <f t="shared" si="18"/>
        <v>4131442.1599999992</v>
      </c>
    </row>
    <row r="12" spans="1:16" ht="15.6" customHeight="1">
      <c r="A12" s="1250">
        <v>7</v>
      </c>
      <c r="B12" s="1251" t="s">
        <v>87</v>
      </c>
      <c r="C12" s="1308">
        <v>756.91999999999985</v>
      </c>
      <c r="D12" s="1308">
        <f>'Table 8 Membership 2.1.14'!W9*'Table 3A Level 3'!C12</f>
        <v>1657654.7999999996</v>
      </c>
      <c r="E12" s="1310">
        <v>0</v>
      </c>
      <c r="F12" s="1310">
        <v>0</v>
      </c>
      <c r="G12" s="1310">
        <f t="shared" si="15"/>
        <v>0</v>
      </c>
      <c r="H12" s="1311">
        <f>'[7]Table 4 Level 3'!F12+'[7]Table 4 Level 3'!H12</f>
        <v>0</v>
      </c>
      <c r="I12" s="1311">
        <f t="shared" si="12"/>
        <v>0</v>
      </c>
      <c r="J12" s="1311">
        <f t="shared" si="16"/>
        <v>0</v>
      </c>
      <c r="K12" s="1312">
        <f>IF(H12&lt;0,0,'Table 3 Levels 1&amp;2'!C10)</f>
        <v>2190</v>
      </c>
      <c r="L12" s="1308">
        <f t="shared" si="13"/>
        <v>122016</v>
      </c>
      <c r="M12" s="1312">
        <f>'Table 3 Levels 1&amp;2'!C10</f>
        <v>2190</v>
      </c>
      <c r="N12" s="1308">
        <f t="shared" si="14"/>
        <v>219000</v>
      </c>
      <c r="O12" s="1308">
        <f t="shared" si="17"/>
        <v>341016</v>
      </c>
      <c r="P12" s="1308">
        <f t="shared" si="18"/>
        <v>1998670.7999999996</v>
      </c>
    </row>
    <row r="13" spans="1:16" ht="15.6" customHeight="1">
      <c r="A13" s="1250">
        <v>8</v>
      </c>
      <c r="B13" s="1251" t="s">
        <v>88</v>
      </c>
      <c r="C13" s="1308">
        <v>725.76</v>
      </c>
      <c r="D13" s="1308">
        <f>'Table 8 Membership 2.1.14'!W10*'Table 3A Level 3'!C13</f>
        <v>15648837.119999999</v>
      </c>
      <c r="E13" s="1310">
        <v>0</v>
      </c>
      <c r="F13" s="1310">
        <v>0</v>
      </c>
      <c r="G13" s="1310">
        <f t="shared" si="15"/>
        <v>0</v>
      </c>
      <c r="H13" s="1311">
        <f>'[7]Table 4 Level 3'!F13+'[7]Table 4 Level 3'!H13</f>
        <v>0</v>
      </c>
      <c r="I13" s="1311">
        <f t="shared" si="12"/>
        <v>0</v>
      </c>
      <c r="J13" s="1311">
        <f t="shared" si="16"/>
        <v>0</v>
      </c>
      <c r="K13" s="1312">
        <f>IF(H13&lt;0,0,'Table 3 Levels 1&amp;2'!C11)</f>
        <v>21562</v>
      </c>
      <c r="L13" s="1308">
        <f t="shared" si="13"/>
        <v>1201331</v>
      </c>
      <c r="M13" s="1312">
        <f>'Table 3 Levels 1&amp;2'!C11</f>
        <v>21562</v>
      </c>
      <c r="N13" s="1308">
        <f t="shared" si="14"/>
        <v>2156200</v>
      </c>
      <c r="O13" s="1308">
        <f t="shared" si="17"/>
        <v>3357531</v>
      </c>
      <c r="P13" s="1308">
        <f t="shared" si="18"/>
        <v>19006368.119999997</v>
      </c>
    </row>
    <row r="14" spans="1:16" ht="15.6" customHeight="1">
      <c r="A14" s="1250">
        <v>9</v>
      </c>
      <c r="B14" s="1251" t="s">
        <v>89</v>
      </c>
      <c r="C14" s="1308">
        <v>744.76</v>
      </c>
      <c r="D14" s="1308">
        <f>'Table 8 Membership 2.1.14'!W11*'Table 3A Level 3'!C14</f>
        <v>30248427.399999999</v>
      </c>
      <c r="E14" s="1310">
        <v>0</v>
      </c>
      <c r="F14" s="1310">
        <v>0</v>
      </c>
      <c r="G14" s="1310">
        <f t="shared" si="15"/>
        <v>0</v>
      </c>
      <c r="H14" s="1311">
        <f>'[7]Table 4 Level 3'!F14+'[7]Table 4 Level 3'!H14</f>
        <v>0</v>
      </c>
      <c r="I14" s="1311">
        <f t="shared" si="12"/>
        <v>0</v>
      </c>
      <c r="J14" s="1311">
        <f t="shared" si="16"/>
        <v>0</v>
      </c>
      <c r="K14" s="1312">
        <f>IF(H14&lt;0,0,'Table 3 Levels 1&amp;2'!C12)</f>
        <v>40615</v>
      </c>
      <c r="L14" s="1308">
        <f t="shared" si="13"/>
        <v>2262873</v>
      </c>
      <c r="M14" s="1312">
        <f>'Table 3 Levels 1&amp;2'!C12</f>
        <v>40615</v>
      </c>
      <c r="N14" s="1308">
        <f t="shared" si="14"/>
        <v>4061500</v>
      </c>
      <c r="O14" s="1308">
        <f t="shared" si="17"/>
        <v>6324373</v>
      </c>
      <c r="P14" s="1308">
        <f t="shared" si="18"/>
        <v>36572800.399999999</v>
      </c>
    </row>
    <row r="15" spans="1:16" ht="15.6" customHeight="1">
      <c r="A15" s="85">
        <v>10</v>
      </c>
      <c r="B15" s="207" t="s">
        <v>90</v>
      </c>
      <c r="C15" s="950">
        <v>608.04000000000008</v>
      </c>
      <c r="D15" s="950">
        <f>'Table 8 Membership 2.1.14'!W12*'Table 3A Level 3'!C15</f>
        <v>19674350.280000001</v>
      </c>
      <c r="E15" s="949">
        <v>0</v>
      </c>
      <c r="F15" s="949">
        <v>0</v>
      </c>
      <c r="G15" s="949">
        <f t="shared" si="15"/>
        <v>0</v>
      </c>
      <c r="H15" s="947">
        <f>'[7]Table 4 Level 3'!F15+'[7]Table 4 Level 3'!H15</f>
        <v>0</v>
      </c>
      <c r="I15" s="947">
        <f t="shared" si="12"/>
        <v>0</v>
      </c>
      <c r="J15" s="947">
        <f t="shared" si="16"/>
        <v>0</v>
      </c>
      <c r="K15" s="948">
        <f>IF(H15&lt;0,0,'Table 3 Levels 1&amp;2'!C13)</f>
        <v>32357</v>
      </c>
      <c r="L15" s="950">
        <f t="shared" si="13"/>
        <v>1802777</v>
      </c>
      <c r="M15" s="948">
        <f>'Table 3 Levels 1&amp;2'!C13</f>
        <v>32357</v>
      </c>
      <c r="N15" s="950">
        <f t="shared" si="14"/>
        <v>3235700</v>
      </c>
      <c r="O15" s="950">
        <f t="shared" si="17"/>
        <v>5038477</v>
      </c>
      <c r="P15" s="950">
        <f t="shared" si="18"/>
        <v>24712827.280000001</v>
      </c>
    </row>
    <row r="16" spans="1:16" ht="15.6" customHeight="1">
      <c r="A16" s="1250">
        <v>11</v>
      </c>
      <c r="B16" s="1251" t="s">
        <v>91</v>
      </c>
      <c r="C16" s="1308">
        <v>706.55</v>
      </c>
      <c r="D16" s="1309">
        <f>'Table 8 Membership 2.1.14'!W13*'Table 3A Level 3'!C16</f>
        <v>1108576.95</v>
      </c>
      <c r="E16" s="1310">
        <v>0</v>
      </c>
      <c r="F16" s="1310">
        <v>0</v>
      </c>
      <c r="G16" s="1310">
        <f t="shared" si="15"/>
        <v>0</v>
      </c>
      <c r="H16" s="1311">
        <f>'[7]Table 4 Level 3'!F16+'[7]Table 4 Level 3'!H16</f>
        <v>0</v>
      </c>
      <c r="I16" s="1311">
        <f t="shared" si="12"/>
        <v>0</v>
      </c>
      <c r="J16" s="1311">
        <f t="shared" si="16"/>
        <v>0</v>
      </c>
      <c r="K16" s="1312">
        <f>IF(H16&lt;0,0,'Table 3 Levels 1&amp;2'!C14)</f>
        <v>1569</v>
      </c>
      <c r="L16" s="1308">
        <f t="shared" si="13"/>
        <v>87417</v>
      </c>
      <c r="M16" s="1312">
        <f>'Table 3 Levels 1&amp;2'!C14</f>
        <v>1569</v>
      </c>
      <c r="N16" s="1308">
        <f t="shared" si="14"/>
        <v>156900</v>
      </c>
      <c r="O16" s="1308">
        <f t="shared" si="17"/>
        <v>244317</v>
      </c>
      <c r="P16" s="1308">
        <f t="shared" si="18"/>
        <v>1352893.95</v>
      </c>
    </row>
    <row r="17" spans="1:16" ht="15.6" customHeight="1">
      <c r="A17" s="1250">
        <v>12</v>
      </c>
      <c r="B17" s="1251" t="s">
        <v>92</v>
      </c>
      <c r="C17" s="1308">
        <v>1063.31</v>
      </c>
      <c r="D17" s="1308">
        <f>'Table 8 Membership 2.1.14'!W14*'Table 3A Level 3'!C17</f>
        <v>1297238.2</v>
      </c>
      <c r="E17" s="1310">
        <v>0</v>
      </c>
      <c r="F17" s="1310">
        <v>0</v>
      </c>
      <c r="G17" s="1310">
        <f t="shared" si="15"/>
        <v>0</v>
      </c>
      <c r="H17" s="1311">
        <f>'[7]Table 4 Level 3'!F17+'[7]Table 4 Level 3'!H17</f>
        <v>0</v>
      </c>
      <c r="I17" s="1311">
        <f t="shared" si="12"/>
        <v>0</v>
      </c>
      <c r="J17" s="1311">
        <f t="shared" si="16"/>
        <v>0</v>
      </c>
      <c r="K17" s="1312">
        <f>IF(H17&lt;0,0,'Table 3 Levels 1&amp;2'!C15)</f>
        <v>1220</v>
      </c>
      <c r="L17" s="1308">
        <f t="shared" si="13"/>
        <v>67973</v>
      </c>
      <c r="M17" s="1312">
        <f>'Table 3 Levels 1&amp;2'!C15</f>
        <v>1220</v>
      </c>
      <c r="N17" s="1308">
        <f t="shared" si="14"/>
        <v>122000</v>
      </c>
      <c r="O17" s="1308">
        <f t="shared" si="17"/>
        <v>189973</v>
      </c>
      <c r="P17" s="1308">
        <f t="shared" si="18"/>
        <v>1487211.2</v>
      </c>
    </row>
    <row r="18" spans="1:16" ht="15.6" customHeight="1">
      <c r="A18" s="1250">
        <v>13</v>
      </c>
      <c r="B18" s="1251" t="s">
        <v>93</v>
      </c>
      <c r="C18" s="1308">
        <v>749.43000000000006</v>
      </c>
      <c r="D18" s="1308">
        <f>'Table 8 Membership 2.1.14'!W15*'Table 3A Level 3'!C18</f>
        <v>1114402.4100000001</v>
      </c>
      <c r="E18" s="1310">
        <v>0</v>
      </c>
      <c r="F18" s="1310">
        <v>0</v>
      </c>
      <c r="G18" s="1310">
        <f t="shared" si="15"/>
        <v>0</v>
      </c>
      <c r="H18" s="1311">
        <f>'[7]Table 4 Level 3'!F18+'[7]Table 4 Level 3'!H18</f>
        <v>0</v>
      </c>
      <c r="I18" s="1311">
        <f t="shared" si="12"/>
        <v>0</v>
      </c>
      <c r="J18" s="1311">
        <f t="shared" si="16"/>
        <v>0</v>
      </c>
      <c r="K18" s="1312">
        <f>IF(H18&lt;0,0,'Table 3 Levels 1&amp;2'!C16)</f>
        <v>1487</v>
      </c>
      <c r="L18" s="1308">
        <f t="shared" si="13"/>
        <v>82849</v>
      </c>
      <c r="M18" s="1312">
        <f>'Table 3 Levels 1&amp;2'!C16</f>
        <v>1487</v>
      </c>
      <c r="N18" s="1308">
        <f t="shared" si="14"/>
        <v>148700</v>
      </c>
      <c r="O18" s="1308">
        <f t="shared" si="17"/>
        <v>231549</v>
      </c>
      <c r="P18" s="1308">
        <f t="shared" si="18"/>
        <v>1345951.4100000001</v>
      </c>
    </row>
    <row r="19" spans="1:16" ht="15.6" customHeight="1">
      <c r="A19" s="1250">
        <v>14</v>
      </c>
      <c r="B19" s="1251" t="s">
        <v>94</v>
      </c>
      <c r="C19" s="1308">
        <v>809.9799999999999</v>
      </c>
      <c r="D19" s="1308">
        <f>'Table 8 Membership 2.1.14'!W16*'Table 3A Level 3'!C19</f>
        <v>1360766.4</v>
      </c>
      <c r="E19" s="1310">
        <v>0</v>
      </c>
      <c r="F19" s="1310">
        <v>0</v>
      </c>
      <c r="G19" s="1310">
        <f t="shared" si="15"/>
        <v>0</v>
      </c>
      <c r="H19" s="1311">
        <f>'[7]Table 4 Level 3'!F19+'[7]Table 4 Level 3'!H19</f>
        <v>0</v>
      </c>
      <c r="I19" s="1311">
        <f t="shared" si="12"/>
        <v>0</v>
      </c>
      <c r="J19" s="1311">
        <f t="shared" si="16"/>
        <v>0</v>
      </c>
      <c r="K19" s="1312">
        <f>IF(H19&lt;0,0,'Table 3 Levels 1&amp;2'!C17)</f>
        <v>1680</v>
      </c>
      <c r="L19" s="1308">
        <f t="shared" si="13"/>
        <v>93602</v>
      </c>
      <c r="M19" s="1312">
        <f>'Table 3 Levels 1&amp;2'!C17</f>
        <v>1680</v>
      </c>
      <c r="N19" s="1308">
        <f t="shared" si="14"/>
        <v>168000</v>
      </c>
      <c r="O19" s="1308">
        <f t="shared" si="17"/>
        <v>261602</v>
      </c>
      <c r="P19" s="1308">
        <f t="shared" si="18"/>
        <v>1622368.4</v>
      </c>
    </row>
    <row r="20" spans="1:16" ht="15.6" customHeight="1">
      <c r="A20" s="85">
        <v>15</v>
      </c>
      <c r="B20" s="207" t="s">
        <v>95</v>
      </c>
      <c r="C20" s="950">
        <v>553.79999999999995</v>
      </c>
      <c r="D20" s="950">
        <f>'Table 8 Membership 2.1.14'!W17*'Table 3A Level 3'!C20</f>
        <v>2032445.9999999998</v>
      </c>
      <c r="E20" s="949">
        <v>224419</v>
      </c>
      <c r="F20" s="949">
        <v>0</v>
      </c>
      <c r="G20" s="949">
        <f t="shared" si="15"/>
        <v>224419</v>
      </c>
      <c r="H20" s="947">
        <f>'[7]Table 4 Level 3'!F20+'[7]Table 4 Level 3'!H20</f>
        <v>-157094</v>
      </c>
      <c r="I20" s="947">
        <f t="shared" si="12"/>
        <v>67325</v>
      </c>
      <c r="J20" s="947">
        <f t="shared" si="16"/>
        <v>-22442</v>
      </c>
      <c r="K20" s="948">
        <f>IF(H20&lt;0,0,'Table 3 Levels 1&amp;2'!C18)</f>
        <v>0</v>
      </c>
      <c r="L20" s="950">
        <f t="shared" si="13"/>
        <v>0</v>
      </c>
      <c r="M20" s="948">
        <f>'Table 3 Levels 1&amp;2'!C18</f>
        <v>3670</v>
      </c>
      <c r="N20" s="950">
        <f t="shared" si="14"/>
        <v>367000</v>
      </c>
      <c r="O20" s="950">
        <f t="shared" si="17"/>
        <v>411883</v>
      </c>
      <c r="P20" s="950">
        <f t="shared" si="18"/>
        <v>2444329</v>
      </c>
    </row>
    <row r="21" spans="1:16" ht="15.6" customHeight="1">
      <c r="A21" s="1250">
        <v>16</v>
      </c>
      <c r="B21" s="1251" t="s">
        <v>96</v>
      </c>
      <c r="C21" s="1308">
        <v>686.73</v>
      </c>
      <c r="D21" s="1309">
        <f>'Table 8 Membership 2.1.14'!W18*'Table 3A Level 3'!C21</f>
        <v>3345061.83</v>
      </c>
      <c r="E21" s="1310">
        <v>0</v>
      </c>
      <c r="F21" s="1310">
        <v>0</v>
      </c>
      <c r="G21" s="1310">
        <f t="shared" si="15"/>
        <v>0</v>
      </c>
      <c r="H21" s="1311">
        <f>'[7]Table 4 Level 3'!F21+'[7]Table 4 Level 3'!H21</f>
        <v>0</v>
      </c>
      <c r="I21" s="1311">
        <f t="shared" si="12"/>
        <v>0</v>
      </c>
      <c r="J21" s="1311">
        <f t="shared" si="16"/>
        <v>0</v>
      </c>
      <c r="K21" s="1312">
        <f>IF(H21&lt;0,0,'Table 3 Levels 1&amp;2'!C19)</f>
        <v>4871</v>
      </c>
      <c r="L21" s="1308">
        <f t="shared" si="13"/>
        <v>271389</v>
      </c>
      <c r="M21" s="1312">
        <f>'Table 3 Levels 1&amp;2'!C19</f>
        <v>4871</v>
      </c>
      <c r="N21" s="1308">
        <f t="shared" si="14"/>
        <v>487100</v>
      </c>
      <c r="O21" s="1308">
        <f t="shared" si="17"/>
        <v>758489</v>
      </c>
      <c r="P21" s="1308">
        <f t="shared" si="18"/>
        <v>4103550.83</v>
      </c>
    </row>
    <row r="22" spans="1:16" ht="15.6" customHeight="1">
      <c r="A22" s="1250">
        <v>17</v>
      </c>
      <c r="B22" s="1251" t="s">
        <v>97</v>
      </c>
      <c r="C22" s="1308">
        <v>801.47762416806802</v>
      </c>
      <c r="D22" s="1308">
        <f>'Table 8 Membership 2.1.14'!W19*'Table 3A Level 3'!C22</f>
        <v>34755275.6944241</v>
      </c>
      <c r="E22" s="1310">
        <v>25595514</v>
      </c>
      <c r="F22" s="1310">
        <v>13580692</v>
      </c>
      <c r="G22" s="1310">
        <f t="shared" si="15"/>
        <v>12014822</v>
      </c>
      <c r="H22" s="1311">
        <f>'[7]Table 4 Level 3'!F22+'[7]Table 4 Level 3'!H22</f>
        <v>-8410375</v>
      </c>
      <c r="I22" s="1311">
        <f t="shared" si="12"/>
        <v>3604447</v>
      </c>
      <c r="J22" s="1311">
        <f t="shared" si="16"/>
        <v>-1201482</v>
      </c>
      <c r="K22" s="1312">
        <f>IF(H22&lt;0,0,'Table 3 Levels 1&amp;2'!C20)</f>
        <v>0</v>
      </c>
      <c r="L22" s="1308">
        <f t="shared" si="13"/>
        <v>0</v>
      </c>
      <c r="M22" s="1312">
        <f>'Table 3 Levels 1&amp;2'!C20</f>
        <v>43364</v>
      </c>
      <c r="N22" s="1308">
        <f t="shared" si="14"/>
        <v>4336400</v>
      </c>
      <c r="O22" s="1308">
        <f t="shared" si="17"/>
        <v>20320057</v>
      </c>
      <c r="P22" s="1308">
        <f t="shared" si="18"/>
        <v>55075332.6944241</v>
      </c>
    </row>
    <row r="23" spans="1:16" ht="15.6" customHeight="1">
      <c r="A23" s="1250">
        <v>18</v>
      </c>
      <c r="B23" s="1251" t="s">
        <v>98</v>
      </c>
      <c r="C23" s="1308">
        <v>845.94999999999993</v>
      </c>
      <c r="D23" s="1308">
        <f>'Table 8 Membership 2.1.14'!W20*'Table 3A Level 3'!C23</f>
        <v>889093.45</v>
      </c>
      <c r="E23" s="1310">
        <v>0</v>
      </c>
      <c r="F23" s="1310">
        <v>0</v>
      </c>
      <c r="G23" s="1310">
        <f t="shared" si="15"/>
        <v>0</v>
      </c>
      <c r="H23" s="1311">
        <f>'[7]Table 4 Level 3'!F23+'[7]Table 4 Level 3'!H23</f>
        <v>0</v>
      </c>
      <c r="I23" s="1311">
        <f t="shared" si="12"/>
        <v>0</v>
      </c>
      <c r="J23" s="1311">
        <f t="shared" si="16"/>
        <v>0</v>
      </c>
      <c r="K23" s="1312">
        <f>IF(H23&lt;0,0,'Table 3 Levels 1&amp;2'!C21)</f>
        <v>1051</v>
      </c>
      <c r="L23" s="1308">
        <f t="shared" si="13"/>
        <v>58557</v>
      </c>
      <c r="M23" s="1312">
        <f>'Table 3 Levels 1&amp;2'!C21</f>
        <v>1051</v>
      </c>
      <c r="N23" s="1308">
        <f t="shared" si="14"/>
        <v>105100</v>
      </c>
      <c r="O23" s="1308">
        <f t="shared" si="17"/>
        <v>163657</v>
      </c>
      <c r="P23" s="1308">
        <f t="shared" si="18"/>
        <v>1052750.45</v>
      </c>
    </row>
    <row r="24" spans="1:16" ht="15.6" customHeight="1">
      <c r="A24" s="1250">
        <v>19</v>
      </c>
      <c r="B24" s="1251" t="s">
        <v>99</v>
      </c>
      <c r="C24" s="1308">
        <v>905.43</v>
      </c>
      <c r="D24" s="1308">
        <f>'Table 8 Membership 2.1.14'!W21*'Table 3A Level 3'!C24</f>
        <v>1728465.8699999999</v>
      </c>
      <c r="E24" s="1310">
        <v>0</v>
      </c>
      <c r="F24" s="1310">
        <v>0</v>
      </c>
      <c r="G24" s="1310">
        <f t="shared" si="15"/>
        <v>0</v>
      </c>
      <c r="H24" s="1311">
        <f>'[7]Table 4 Level 3'!F24+'[7]Table 4 Level 3'!H24</f>
        <v>0</v>
      </c>
      <c r="I24" s="1311">
        <f t="shared" si="12"/>
        <v>0</v>
      </c>
      <c r="J24" s="1311">
        <f t="shared" si="16"/>
        <v>0</v>
      </c>
      <c r="K24" s="1312">
        <f>IF(H24&lt;0,0,'Table 3 Levels 1&amp;2'!C22)</f>
        <v>1909</v>
      </c>
      <c r="L24" s="1308">
        <f t="shared" si="13"/>
        <v>106360</v>
      </c>
      <c r="M24" s="1312">
        <f>'Table 3 Levels 1&amp;2'!C22</f>
        <v>1909</v>
      </c>
      <c r="N24" s="1308">
        <f t="shared" si="14"/>
        <v>190900</v>
      </c>
      <c r="O24" s="1308">
        <f t="shared" si="17"/>
        <v>297260</v>
      </c>
      <c r="P24" s="1308">
        <f t="shared" si="18"/>
        <v>2025725.8699999999</v>
      </c>
    </row>
    <row r="25" spans="1:16" ht="15.6" customHeight="1">
      <c r="A25" s="85">
        <v>20</v>
      </c>
      <c r="B25" s="207" t="s">
        <v>100</v>
      </c>
      <c r="C25" s="950">
        <v>586.16999999999996</v>
      </c>
      <c r="D25" s="950">
        <f>'Table 8 Membership 2.1.14'!W22*'Table 3A Level 3'!C25</f>
        <v>3431439.1799999997</v>
      </c>
      <c r="E25" s="949">
        <v>175620</v>
      </c>
      <c r="F25" s="949">
        <v>0</v>
      </c>
      <c r="G25" s="949">
        <f t="shared" si="15"/>
        <v>175620</v>
      </c>
      <c r="H25" s="947">
        <f>'[7]Table 4 Level 3'!F25+'[7]Table 4 Level 3'!H25</f>
        <v>-122934</v>
      </c>
      <c r="I25" s="947">
        <f t="shared" si="12"/>
        <v>52686</v>
      </c>
      <c r="J25" s="947">
        <f t="shared" si="16"/>
        <v>-17562</v>
      </c>
      <c r="K25" s="948">
        <f>IF(H25&lt;0,0,'Table 3 Levels 1&amp;2'!C23)</f>
        <v>0</v>
      </c>
      <c r="L25" s="950">
        <f t="shared" si="13"/>
        <v>0</v>
      </c>
      <c r="M25" s="948">
        <f>'Table 3 Levels 1&amp;2'!C23</f>
        <v>5854</v>
      </c>
      <c r="N25" s="950">
        <f t="shared" si="14"/>
        <v>585400</v>
      </c>
      <c r="O25" s="950">
        <f t="shared" si="17"/>
        <v>620524</v>
      </c>
      <c r="P25" s="950">
        <f t="shared" si="18"/>
        <v>4051963.1799999997</v>
      </c>
    </row>
    <row r="26" spans="1:16" ht="15.6" customHeight="1">
      <c r="A26" s="1250">
        <v>21</v>
      </c>
      <c r="B26" s="1251" t="s">
        <v>101</v>
      </c>
      <c r="C26" s="1308">
        <v>610.35</v>
      </c>
      <c r="D26" s="1309">
        <f>'Table 8 Membership 2.1.14'!W23*'Table 3A Level 3'!C26</f>
        <v>1772456.4000000001</v>
      </c>
      <c r="E26" s="1310">
        <v>0</v>
      </c>
      <c r="F26" s="1310">
        <v>0</v>
      </c>
      <c r="G26" s="1310">
        <f t="shared" si="15"/>
        <v>0</v>
      </c>
      <c r="H26" s="1311">
        <f>'[7]Table 4 Level 3'!F26+'[7]Table 4 Level 3'!H26</f>
        <v>0</v>
      </c>
      <c r="I26" s="1311">
        <f t="shared" si="12"/>
        <v>0</v>
      </c>
      <c r="J26" s="1311">
        <f t="shared" si="16"/>
        <v>0</v>
      </c>
      <c r="K26" s="1312">
        <f>IF(H26&lt;0,0,'Table 3 Levels 1&amp;2'!C24)</f>
        <v>2904</v>
      </c>
      <c r="L26" s="1308">
        <f t="shared" si="13"/>
        <v>161797</v>
      </c>
      <c r="M26" s="1312">
        <f>'Table 3 Levels 1&amp;2'!C24</f>
        <v>2904</v>
      </c>
      <c r="N26" s="1308">
        <f t="shared" si="14"/>
        <v>290400</v>
      </c>
      <c r="O26" s="1308">
        <f t="shared" si="17"/>
        <v>452197</v>
      </c>
      <c r="P26" s="1308">
        <f t="shared" si="18"/>
        <v>2224653.4000000004</v>
      </c>
    </row>
    <row r="27" spans="1:16" ht="15.6" customHeight="1">
      <c r="A27" s="1250">
        <v>22</v>
      </c>
      <c r="B27" s="1251" t="s">
        <v>102</v>
      </c>
      <c r="C27" s="1308">
        <v>496.36</v>
      </c>
      <c r="D27" s="1308">
        <f>'Table 8 Membership 2.1.14'!W24*'Table 3A Level 3'!C27</f>
        <v>1560059.48</v>
      </c>
      <c r="E27" s="1310">
        <v>0</v>
      </c>
      <c r="F27" s="1310">
        <v>0</v>
      </c>
      <c r="G27" s="1310">
        <f t="shared" si="15"/>
        <v>0</v>
      </c>
      <c r="H27" s="1311">
        <f>'[7]Table 4 Level 3'!F27+'[7]Table 4 Level 3'!H27</f>
        <v>0</v>
      </c>
      <c r="I27" s="1311">
        <f t="shared" si="12"/>
        <v>0</v>
      </c>
      <c r="J27" s="1311">
        <f t="shared" si="16"/>
        <v>0</v>
      </c>
      <c r="K27" s="1312">
        <f>IF(H27&lt;0,0,'Table 3 Levels 1&amp;2'!C25)</f>
        <v>3143</v>
      </c>
      <c r="L27" s="1308">
        <f t="shared" si="13"/>
        <v>175113</v>
      </c>
      <c r="M27" s="1312">
        <f>'Table 3 Levels 1&amp;2'!C25</f>
        <v>3143</v>
      </c>
      <c r="N27" s="1308">
        <f t="shared" si="14"/>
        <v>314300</v>
      </c>
      <c r="O27" s="1308">
        <f t="shared" si="17"/>
        <v>489413</v>
      </c>
      <c r="P27" s="1308">
        <f t="shared" si="18"/>
        <v>2049472.48</v>
      </c>
    </row>
    <row r="28" spans="1:16" ht="15.6" customHeight="1">
      <c r="A28" s="1250">
        <v>23</v>
      </c>
      <c r="B28" s="1251" t="s">
        <v>103</v>
      </c>
      <c r="C28" s="1308">
        <v>688.58</v>
      </c>
      <c r="D28" s="1308">
        <f>'Table 8 Membership 2.1.14'!W25*'Table 3A Level 3'!C28</f>
        <v>9321307.4600000009</v>
      </c>
      <c r="E28" s="1310">
        <v>0</v>
      </c>
      <c r="F28" s="1310">
        <v>0</v>
      </c>
      <c r="G28" s="1310">
        <f t="shared" si="15"/>
        <v>0</v>
      </c>
      <c r="H28" s="1311">
        <f>'[7]Table 4 Level 3'!F28+'[7]Table 4 Level 3'!H28</f>
        <v>0</v>
      </c>
      <c r="I28" s="1311">
        <f t="shared" si="12"/>
        <v>0</v>
      </c>
      <c r="J28" s="1311">
        <f t="shared" si="16"/>
        <v>0</v>
      </c>
      <c r="K28" s="1312">
        <f>IF(H28&lt;0,0,'Table 3 Levels 1&amp;2'!C26)</f>
        <v>13537</v>
      </c>
      <c r="L28" s="1308">
        <f t="shared" si="13"/>
        <v>754217</v>
      </c>
      <c r="M28" s="1312">
        <f>'Table 3 Levels 1&amp;2'!C26</f>
        <v>13537</v>
      </c>
      <c r="N28" s="1308">
        <f t="shared" si="14"/>
        <v>1353700</v>
      </c>
      <c r="O28" s="1308">
        <f t="shared" si="17"/>
        <v>2107917</v>
      </c>
      <c r="P28" s="1308">
        <f t="shared" si="18"/>
        <v>11429224.460000001</v>
      </c>
    </row>
    <row r="29" spans="1:16" ht="15.6" customHeight="1">
      <c r="A29" s="1250">
        <v>24</v>
      </c>
      <c r="B29" s="1251" t="s">
        <v>104</v>
      </c>
      <c r="C29" s="1308">
        <v>854.24999999999989</v>
      </c>
      <c r="D29" s="1308">
        <f>'Table 8 Membership 2.1.14'!W26*'Table 3A Level 3'!C29</f>
        <v>3921861.7499999995</v>
      </c>
      <c r="E29" s="1310">
        <v>2421938</v>
      </c>
      <c r="F29" s="1310">
        <v>1654734</v>
      </c>
      <c r="G29" s="1310">
        <f t="shared" si="15"/>
        <v>767204</v>
      </c>
      <c r="H29" s="1311">
        <f>'[7]Table 4 Level 3'!F29+'[7]Table 4 Level 3'!H29</f>
        <v>-537043</v>
      </c>
      <c r="I29" s="1311">
        <f t="shared" si="12"/>
        <v>230161</v>
      </c>
      <c r="J29" s="1311">
        <f t="shared" si="16"/>
        <v>-76720</v>
      </c>
      <c r="K29" s="1312">
        <f>IF(H29&lt;0,0,'Table 3 Levels 1&amp;2'!C27)</f>
        <v>0</v>
      </c>
      <c r="L29" s="1308">
        <f t="shared" si="13"/>
        <v>0</v>
      </c>
      <c r="M29" s="1312">
        <f>'Table 3 Levels 1&amp;2'!C27</f>
        <v>4591</v>
      </c>
      <c r="N29" s="1308">
        <f t="shared" si="14"/>
        <v>459100</v>
      </c>
      <c r="O29" s="1308">
        <f t="shared" si="17"/>
        <v>2267275</v>
      </c>
      <c r="P29" s="1308">
        <f t="shared" si="18"/>
        <v>6189136.75</v>
      </c>
    </row>
    <row r="30" spans="1:16" ht="15.6" customHeight="1">
      <c r="A30" s="85">
        <v>25</v>
      </c>
      <c r="B30" s="207" t="s">
        <v>105</v>
      </c>
      <c r="C30" s="950">
        <v>653.73</v>
      </c>
      <c r="D30" s="950">
        <f>'Table 8 Membership 2.1.14'!W27*'Table 3A Level 3'!C30</f>
        <v>1495080.51</v>
      </c>
      <c r="E30" s="949">
        <v>0</v>
      </c>
      <c r="F30" s="949">
        <v>0</v>
      </c>
      <c r="G30" s="949">
        <f t="shared" si="15"/>
        <v>0</v>
      </c>
      <c r="H30" s="947">
        <f>'[7]Table 4 Level 3'!F30+'[7]Table 4 Level 3'!H30</f>
        <v>0</v>
      </c>
      <c r="I30" s="947">
        <f t="shared" si="12"/>
        <v>0</v>
      </c>
      <c r="J30" s="947">
        <f t="shared" si="16"/>
        <v>0</v>
      </c>
      <c r="K30" s="948">
        <f>IF(H30&lt;0,0,'Table 3 Levels 1&amp;2'!C28)</f>
        <v>2287</v>
      </c>
      <c r="L30" s="950">
        <f t="shared" si="13"/>
        <v>127421</v>
      </c>
      <c r="M30" s="948">
        <f>'Table 3 Levels 1&amp;2'!C28</f>
        <v>2287</v>
      </c>
      <c r="N30" s="950">
        <f t="shared" si="14"/>
        <v>228700</v>
      </c>
      <c r="O30" s="950">
        <f t="shared" si="17"/>
        <v>356121</v>
      </c>
      <c r="P30" s="950">
        <f t="shared" si="18"/>
        <v>1851201.51</v>
      </c>
    </row>
    <row r="31" spans="1:16" ht="15.6" customHeight="1">
      <c r="A31" s="1250">
        <v>26</v>
      </c>
      <c r="B31" s="1251" t="s">
        <v>106</v>
      </c>
      <c r="C31" s="1308">
        <v>836.83</v>
      </c>
      <c r="D31" s="1309">
        <f>'Table 8 Membership 2.1.14'!W28*'Table 3A Level 3'!C31</f>
        <v>38016350.07</v>
      </c>
      <c r="E31" s="1310">
        <v>23386991</v>
      </c>
      <c r="F31" s="1310">
        <v>14897747</v>
      </c>
      <c r="G31" s="1310">
        <f t="shared" si="15"/>
        <v>8489244</v>
      </c>
      <c r="H31" s="1311">
        <f>'[7]Table 4 Level 3'!F31+'[7]Table 4 Level 3'!H31</f>
        <v>-5942471</v>
      </c>
      <c r="I31" s="1311">
        <f t="shared" si="12"/>
        <v>2546773</v>
      </c>
      <c r="J31" s="1311">
        <f t="shared" si="16"/>
        <v>-848924</v>
      </c>
      <c r="K31" s="1312">
        <f>IF(H31&lt;0,0,'Table 3 Levels 1&amp;2'!C29)</f>
        <v>0</v>
      </c>
      <c r="L31" s="1308">
        <f t="shared" si="13"/>
        <v>0</v>
      </c>
      <c r="M31" s="1312">
        <f>'Table 3 Levels 1&amp;2'!C29</f>
        <v>45429</v>
      </c>
      <c r="N31" s="1308">
        <f t="shared" si="14"/>
        <v>4542900</v>
      </c>
      <c r="O31" s="1308">
        <f t="shared" si="17"/>
        <v>21138496</v>
      </c>
      <c r="P31" s="1308">
        <f t="shared" si="18"/>
        <v>59154846.07</v>
      </c>
    </row>
    <row r="32" spans="1:16" ht="15.6" customHeight="1">
      <c r="A32" s="1250">
        <v>27</v>
      </c>
      <c r="B32" s="1251" t="s">
        <v>107</v>
      </c>
      <c r="C32" s="1308">
        <v>693.06</v>
      </c>
      <c r="D32" s="1308">
        <f>'Table 8 Membership 2.1.14'!W29*'Table 3A Level 3'!C32</f>
        <v>3906779.2199999997</v>
      </c>
      <c r="E32" s="1310">
        <v>0</v>
      </c>
      <c r="F32" s="1310">
        <v>0</v>
      </c>
      <c r="G32" s="1310">
        <f t="shared" si="15"/>
        <v>0</v>
      </c>
      <c r="H32" s="1311">
        <f>'[7]Table 4 Level 3'!F32+'[7]Table 4 Level 3'!H32</f>
        <v>0</v>
      </c>
      <c r="I32" s="1311">
        <f t="shared" si="12"/>
        <v>0</v>
      </c>
      <c r="J32" s="1311">
        <f t="shared" si="16"/>
        <v>0</v>
      </c>
      <c r="K32" s="1312">
        <f>IF(H32&lt;0,0,'Table 3 Levels 1&amp;2'!C30)</f>
        <v>5637</v>
      </c>
      <c r="L32" s="1308">
        <f t="shared" si="13"/>
        <v>314067</v>
      </c>
      <c r="M32" s="1312">
        <f>'Table 3 Levels 1&amp;2'!C30</f>
        <v>5637</v>
      </c>
      <c r="N32" s="1308">
        <f t="shared" si="14"/>
        <v>563700</v>
      </c>
      <c r="O32" s="1308">
        <f t="shared" si="17"/>
        <v>877767</v>
      </c>
      <c r="P32" s="1308">
        <f t="shared" si="18"/>
        <v>4784546.22</v>
      </c>
    </row>
    <row r="33" spans="1:16" ht="15.6" customHeight="1">
      <c r="A33" s="1250">
        <v>28</v>
      </c>
      <c r="B33" s="1251" t="s">
        <v>108</v>
      </c>
      <c r="C33" s="1308">
        <v>694.4</v>
      </c>
      <c r="D33" s="1308">
        <f>'Table 8 Membership 2.1.14'!W30*'Table 3A Level 3'!C33</f>
        <v>20974352</v>
      </c>
      <c r="E33" s="1310">
        <v>1996377</v>
      </c>
      <c r="F33" s="1310">
        <v>1996377</v>
      </c>
      <c r="G33" s="1310">
        <f t="shared" si="15"/>
        <v>0</v>
      </c>
      <c r="H33" s="1311">
        <f>'[7]Table 4 Level 3'!F33+'[7]Table 4 Level 3'!H33</f>
        <v>0</v>
      </c>
      <c r="I33" s="1311">
        <f t="shared" si="12"/>
        <v>0</v>
      </c>
      <c r="J33" s="1311">
        <f t="shared" si="16"/>
        <v>0</v>
      </c>
      <c r="K33" s="1312">
        <f>IF(H33&lt;0,0,'Table 3 Levels 1&amp;2'!C31)</f>
        <v>30205</v>
      </c>
      <c r="L33" s="1308">
        <f t="shared" si="13"/>
        <v>1682878</v>
      </c>
      <c r="M33" s="1312">
        <f>'Table 3 Levels 1&amp;2'!C31</f>
        <v>30205</v>
      </c>
      <c r="N33" s="1308">
        <f t="shared" si="14"/>
        <v>3020500</v>
      </c>
      <c r="O33" s="1308">
        <f t="shared" si="17"/>
        <v>6699755</v>
      </c>
      <c r="P33" s="1308">
        <f t="shared" si="18"/>
        <v>27674107</v>
      </c>
    </row>
    <row r="34" spans="1:16" ht="15.6" customHeight="1">
      <c r="A34" s="1250">
        <v>29</v>
      </c>
      <c r="B34" s="1251" t="s">
        <v>109</v>
      </c>
      <c r="C34" s="1308">
        <v>754.94999999999993</v>
      </c>
      <c r="D34" s="1308">
        <f>'Table 8 Membership 2.1.14'!W31*'Table 3A Level 3'!C34</f>
        <v>10446998.1</v>
      </c>
      <c r="E34" s="1310">
        <v>0</v>
      </c>
      <c r="F34" s="1310">
        <v>0</v>
      </c>
      <c r="G34" s="1310">
        <f t="shared" si="15"/>
        <v>0</v>
      </c>
      <c r="H34" s="1311">
        <f>'[7]Table 4 Level 3'!F34+'[7]Table 4 Level 3'!H34</f>
        <v>0</v>
      </c>
      <c r="I34" s="1311">
        <f t="shared" si="12"/>
        <v>0</v>
      </c>
      <c r="J34" s="1311">
        <f t="shared" si="16"/>
        <v>0</v>
      </c>
      <c r="K34" s="1312">
        <f>IF(H34&lt;0,0,'Table 3 Levels 1&amp;2'!C32)</f>
        <v>13838</v>
      </c>
      <c r="L34" s="1308">
        <f t="shared" si="13"/>
        <v>770987</v>
      </c>
      <c r="M34" s="1312">
        <f>'Table 3 Levels 1&amp;2'!C32</f>
        <v>13838</v>
      </c>
      <c r="N34" s="1308">
        <f t="shared" si="14"/>
        <v>1383800</v>
      </c>
      <c r="O34" s="1308">
        <f t="shared" si="17"/>
        <v>2154787</v>
      </c>
      <c r="P34" s="1308">
        <f t="shared" si="18"/>
        <v>12601785.1</v>
      </c>
    </row>
    <row r="35" spans="1:16" ht="15.6" customHeight="1">
      <c r="A35" s="85">
        <v>30</v>
      </c>
      <c r="B35" s="207" t="s">
        <v>110</v>
      </c>
      <c r="C35" s="950">
        <v>727.17</v>
      </c>
      <c r="D35" s="950">
        <f>'Table 8 Membership 2.1.14'!W32*'Table 3A Level 3'!C35</f>
        <v>1794655.5599999998</v>
      </c>
      <c r="E35" s="949">
        <v>0</v>
      </c>
      <c r="F35" s="949">
        <v>0</v>
      </c>
      <c r="G35" s="949">
        <f t="shared" si="15"/>
        <v>0</v>
      </c>
      <c r="H35" s="947">
        <f>'[7]Table 4 Level 3'!F35+'[7]Table 4 Level 3'!H35</f>
        <v>0</v>
      </c>
      <c r="I35" s="947">
        <f t="shared" si="12"/>
        <v>0</v>
      </c>
      <c r="J35" s="947">
        <f t="shared" si="16"/>
        <v>0</v>
      </c>
      <c r="K35" s="948">
        <f>IF(H35&lt;0,0,'Table 3 Levels 1&amp;2'!C33)</f>
        <v>2468</v>
      </c>
      <c r="L35" s="950">
        <f t="shared" si="13"/>
        <v>137505</v>
      </c>
      <c r="M35" s="948">
        <f>'Table 3 Levels 1&amp;2'!C33</f>
        <v>2468</v>
      </c>
      <c r="N35" s="950">
        <f t="shared" si="14"/>
        <v>246800</v>
      </c>
      <c r="O35" s="950">
        <f t="shared" si="17"/>
        <v>384305</v>
      </c>
      <c r="P35" s="950">
        <f t="shared" si="18"/>
        <v>2178960.5599999996</v>
      </c>
    </row>
    <row r="36" spans="1:16" ht="15.6" customHeight="1">
      <c r="A36" s="1250">
        <v>31</v>
      </c>
      <c r="B36" s="1251" t="s">
        <v>111</v>
      </c>
      <c r="C36" s="1308">
        <v>620.83000000000004</v>
      </c>
      <c r="D36" s="1309">
        <f>'Table 8 Membership 2.1.14'!W33*'Table 3A Level 3'!C36</f>
        <v>3957170.4200000004</v>
      </c>
      <c r="E36" s="1310">
        <v>0</v>
      </c>
      <c r="F36" s="1310">
        <v>0</v>
      </c>
      <c r="G36" s="1310">
        <f t="shared" si="15"/>
        <v>0</v>
      </c>
      <c r="H36" s="1311">
        <f>'[7]Table 4 Level 3'!F36+'[7]Table 4 Level 3'!H36</f>
        <v>0</v>
      </c>
      <c r="I36" s="1311">
        <f t="shared" si="12"/>
        <v>0</v>
      </c>
      <c r="J36" s="1311">
        <f t="shared" si="16"/>
        <v>0</v>
      </c>
      <c r="K36" s="1312">
        <f>IF(H36&lt;0,0,'Table 3 Levels 1&amp;2'!C34)</f>
        <v>6374</v>
      </c>
      <c r="L36" s="1308">
        <f t="shared" si="13"/>
        <v>355129</v>
      </c>
      <c r="M36" s="1312">
        <f>'Table 3 Levels 1&amp;2'!C34</f>
        <v>6374</v>
      </c>
      <c r="N36" s="1308">
        <f t="shared" si="14"/>
        <v>637400</v>
      </c>
      <c r="O36" s="1308">
        <f t="shared" si="17"/>
        <v>992529</v>
      </c>
      <c r="P36" s="1308">
        <f t="shared" si="18"/>
        <v>4949699.42</v>
      </c>
    </row>
    <row r="37" spans="1:16" ht="15.6" customHeight="1">
      <c r="A37" s="1250">
        <v>32</v>
      </c>
      <c r="B37" s="1251" t="s">
        <v>112</v>
      </c>
      <c r="C37" s="1308">
        <v>559.77</v>
      </c>
      <c r="D37" s="1308">
        <f>'Table 8 Membership 2.1.14'!W34*'Table 3A Level 3'!C37</f>
        <v>14093329.289999999</v>
      </c>
      <c r="E37" s="1310">
        <v>0</v>
      </c>
      <c r="F37" s="1310">
        <v>0</v>
      </c>
      <c r="G37" s="1310">
        <f t="shared" si="15"/>
        <v>0</v>
      </c>
      <c r="H37" s="1311">
        <f>'[7]Table 4 Level 3'!F37+'[7]Table 4 Level 3'!H37</f>
        <v>0</v>
      </c>
      <c r="I37" s="1311">
        <f t="shared" si="12"/>
        <v>0</v>
      </c>
      <c r="J37" s="1311">
        <f t="shared" si="16"/>
        <v>0</v>
      </c>
      <c r="K37" s="1312">
        <f>IF(H37&lt;0,0,'Table 3 Levels 1&amp;2'!C35)</f>
        <v>25177</v>
      </c>
      <c r="L37" s="1308">
        <f t="shared" si="13"/>
        <v>1402742</v>
      </c>
      <c r="M37" s="1312">
        <f>'Table 3 Levels 1&amp;2'!C35</f>
        <v>25177</v>
      </c>
      <c r="N37" s="1308">
        <f t="shared" si="14"/>
        <v>2517700</v>
      </c>
      <c r="O37" s="1308">
        <f t="shared" si="17"/>
        <v>3920442</v>
      </c>
      <c r="P37" s="1308">
        <f t="shared" si="18"/>
        <v>18013771.289999999</v>
      </c>
    </row>
    <row r="38" spans="1:16" ht="15.6" customHeight="1">
      <c r="A38" s="1250">
        <v>33</v>
      </c>
      <c r="B38" s="1251" t="s">
        <v>113</v>
      </c>
      <c r="C38" s="1308">
        <v>655.31000000000006</v>
      </c>
      <c r="D38" s="1308">
        <f>'Table 8 Membership 2.1.14'!W35*'Table 3A Level 3'!C38</f>
        <v>1122546.03</v>
      </c>
      <c r="E38" s="1310">
        <v>0</v>
      </c>
      <c r="F38" s="1310">
        <v>0</v>
      </c>
      <c r="G38" s="1310">
        <f t="shared" si="15"/>
        <v>0</v>
      </c>
      <c r="H38" s="1311">
        <f>'[7]Table 4 Level 3'!F38+'[7]Table 4 Level 3'!H38</f>
        <v>0</v>
      </c>
      <c r="I38" s="1311">
        <f t="shared" ref="I38:I69" si="19">SUM(G38:H38)</f>
        <v>0</v>
      </c>
      <c r="J38" s="1311">
        <f t="shared" si="16"/>
        <v>0</v>
      </c>
      <c r="K38" s="1312">
        <f>IF(H38&lt;0,0,'Table 3 Levels 1&amp;2'!C36)</f>
        <v>1713</v>
      </c>
      <c r="L38" s="1308">
        <f t="shared" ref="L38:L69" si="20">ROUND($L$4*K38,0)</f>
        <v>95440</v>
      </c>
      <c r="M38" s="1312">
        <f>'Table 3 Levels 1&amp;2'!C36</f>
        <v>1713</v>
      </c>
      <c r="N38" s="1308">
        <f t="shared" ref="N38:N69" si="21">ROUND(M38*$N$4,0)</f>
        <v>171300</v>
      </c>
      <c r="O38" s="1308">
        <f t="shared" si="17"/>
        <v>266740</v>
      </c>
      <c r="P38" s="1308">
        <f t="shared" si="18"/>
        <v>1389286.03</v>
      </c>
    </row>
    <row r="39" spans="1:16" ht="15.6" customHeight="1">
      <c r="A39" s="1250">
        <v>34</v>
      </c>
      <c r="B39" s="1251" t="s">
        <v>114</v>
      </c>
      <c r="C39" s="1308">
        <v>644.11000000000013</v>
      </c>
      <c r="D39" s="1308">
        <f>'Table 8 Membership 2.1.14'!W36*'Table 3A Level 3'!C39</f>
        <v>2836016.3300000005</v>
      </c>
      <c r="E39" s="1310">
        <v>0</v>
      </c>
      <c r="F39" s="1310">
        <v>0</v>
      </c>
      <c r="G39" s="1310">
        <f t="shared" si="15"/>
        <v>0</v>
      </c>
      <c r="H39" s="1311">
        <f>'[7]Table 4 Level 3'!F39+'[7]Table 4 Level 3'!H39</f>
        <v>0</v>
      </c>
      <c r="I39" s="1311">
        <f t="shared" si="19"/>
        <v>0</v>
      </c>
      <c r="J39" s="1311">
        <f t="shared" si="16"/>
        <v>0</v>
      </c>
      <c r="K39" s="1312">
        <f>IF(H39&lt;0,0,'Table 3 Levels 1&amp;2'!C37)</f>
        <v>4403</v>
      </c>
      <c r="L39" s="1308">
        <f t="shared" si="20"/>
        <v>245314</v>
      </c>
      <c r="M39" s="1312">
        <f>'Table 3 Levels 1&amp;2'!C37</f>
        <v>4403</v>
      </c>
      <c r="N39" s="1308">
        <f t="shared" si="21"/>
        <v>440300</v>
      </c>
      <c r="O39" s="1308">
        <f t="shared" si="17"/>
        <v>685614</v>
      </c>
      <c r="P39" s="1308">
        <f t="shared" si="18"/>
        <v>3521630.3300000005</v>
      </c>
    </row>
    <row r="40" spans="1:16" ht="15.6" customHeight="1">
      <c r="A40" s="85">
        <v>35</v>
      </c>
      <c r="B40" s="207" t="s">
        <v>115</v>
      </c>
      <c r="C40" s="950">
        <v>537.96</v>
      </c>
      <c r="D40" s="950">
        <f>'Table 8 Membership 2.1.14'!W37*'Table 3A Level 3'!C40</f>
        <v>3446709.72</v>
      </c>
      <c r="E40" s="949">
        <v>0</v>
      </c>
      <c r="F40" s="949">
        <v>0</v>
      </c>
      <c r="G40" s="949">
        <f t="shared" si="15"/>
        <v>0</v>
      </c>
      <c r="H40" s="947">
        <f>'[7]Table 4 Level 3'!F40+'[7]Table 4 Level 3'!H40</f>
        <v>0</v>
      </c>
      <c r="I40" s="947">
        <f t="shared" si="19"/>
        <v>0</v>
      </c>
      <c r="J40" s="947">
        <f t="shared" si="16"/>
        <v>0</v>
      </c>
      <c r="K40" s="948">
        <f>IF(H40&lt;0,0,'Table 3 Levels 1&amp;2'!C38)</f>
        <v>6407</v>
      </c>
      <c r="L40" s="950">
        <f t="shared" si="20"/>
        <v>356967</v>
      </c>
      <c r="M40" s="948">
        <f>'Table 3 Levels 1&amp;2'!C38</f>
        <v>6407</v>
      </c>
      <c r="N40" s="950">
        <f t="shared" si="21"/>
        <v>640700</v>
      </c>
      <c r="O40" s="950">
        <f t="shared" si="17"/>
        <v>997667</v>
      </c>
      <c r="P40" s="950">
        <f t="shared" si="18"/>
        <v>4444376.7200000007</v>
      </c>
    </row>
    <row r="41" spans="1:16" ht="15.6" customHeight="1">
      <c r="A41" s="1250">
        <v>36</v>
      </c>
      <c r="B41" s="1251" t="s">
        <v>116</v>
      </c>
      <c r="C41" s="1308">
        <f>'Table 5B1_RSD_Orleans'!F6</f>
        <v>727.23177743956114</v>
      </c>
      <c r="D41" s="1313">
        <f>'Table 5B1_RSD_Orleans'!G74+(('Table 8 Membership 2.1.14'!W38-'Table 8 Membership 2.1.14'!C38-'Table 8 Membership 2.1.14'!E38-'Table 8 Membership 2.1.14'!F38)*'Table 5C1A-Madison Prep'!F42)</f>
        <v>30857765.097875699</v>
      </c>
      <c r="E41" s="1310">
        <v>0</v>
      </c>
      <c r="F41" s="1310">
        <v>0</v>
      </c>
      <c r="G41" s="1310">
        <f t="shared" si="15"/>
        <v>0</v>
      </c>
      <c r="H41" s="1311">
        <f>'[7]Table 4 Level 3'!F41+'[7]Table 4 Level 3'!H41</f>
        <v>0</v>
      </c>
      <c r="I41" s="1311">
        <f t="shared" si="19"/>
        <v>0</v>
      </c>
      <c r="J41" s="1311">
        <f t="shared" si="16"/>
        <v>0</v>
      </c>
      <c r="K41" s="1312">
        <f>IF(H41&lt;0,0,'Table 3 Levels 1&amp;2'!C39)</f>
        <v>42117</v>
      </c>
      <c r="L41" s="1308">
        <f t="shared" si="20"/>
        <v>2346557</v>
      </c>
      <c r="M41" s="1312">
        <f>'Table 3 Levels 1&amp;2'!C39</f>
        <v>42117</v>
      </c>
      <c r="N41" s="1308">
        <f t="shared" si="21"/>
        <v>4211700</v>
      </c>
      <c r="O41" s="1308">
        <f t="shared" si="17"/>
        <v>6558257</v>
      </c>
      <c r="P41" s="1308">
        <f t="shared" si="18"/>
        <v>37416022.097875699</v>
      </c>
    </row>
    <row r="42" spans="1:16" ht="15.6" customHeight="1">
      <c r="A42" s="1250">
        <v>37</v>
      </c>
      <c r="B42" s="1251" t="s">
        <v>117</v>
      </c>
      <c r="C42" s="1308">
        <v>653.61</v>
      </c>
      <c r="D42" s="1308">
        <f>'Table 8 Membership 2.1.14'!W39*'Table 3A Level 3'!C42</f>
        <v>12731015.58</v>
      </c>
      <c r="E42" s="1310">
        <v>0</v>
      </c>
      <c r="F42" s="1310">
        <v>0</v>
      </c>
      <c r="G42" s="1310">
        <f t="shared" si="15"/>
        <v>0</v>
      </c>
      <c r="H42" s="1311">
        <f>'[7]Table 4 Level 3'!F42+'[7]Table 4 Level 3'!H42</f>
        <v>0</v>
      </c>
      <c r="I42" s="1311">
        <f t="shared" si="19"/>
        <v>0</v>
      </c>
      <c r="J42" s="1311">
        <f t="shared" si="16"/>
        <v>0</v>
      </c>
      <c r="K42" s="1312">
        <f>IF(H42&lt;0,0,'Table 3 Levels 1&amp;2'!C40)</f>
        <v>19478</v>
      </c>
      <c r="L42" s="1308">
        <f t="shared" si="20"/>
        <v>1085221</v>
      </c>
      <c r="M42" s="1312">
        <f>'Table 3 Levels 1&amp;2'!C40</f>
        <v>19478</v>
      </c>
      <c r="N42" s="1308">
        <f t="shared" si="21"/>
        <v>1947800</v>
      </c>
      <c r="O42" s="1308">
        <f t="shared" si="17"/>
        <v>3033021</v>
      </c>
      <c r="P42" s="1308">
        <f t="shared" si="18"/>
        <v>15764036.58</v>
      </c>
    </row>
    <row r="43" spans="1:16" ht="15.6" customHeight="1">
      <c r="A43" s="1250">
        <v>38</v>
      </c>
      <c r="B43" s="1251" t="s">
        <v>118</v>
      </c>
      <c r="C43" s="1308">
        <v>829.92000000000007</v>
      </c>
      <c r="D43" s="1308">
        <f>'Table 8 Membership 2.1.14'!W40*'Table 3A Level 3'!C43</f>
        <v>3215110.08</v>
      </c>
      <c r="E43" s="1310">
        <v>5387703</v>
      </c>
      <c r="F43" s="1310">
        <v>1258024</v>
      </c>
      <c r="G43" s="1310">
        <f t="shared" si="15"/>
        <v>4129679</v>
      </c>
      <c r="H43" s="1311">
        <f>'[7]Table 4 Level 3'!F43+'[7]Table 4 Level 3'!H43</f>
        <v>-2890776</v>
      </c>
      <c r="I43" s="1311">
        <f t="shared" si="19"/>
        <v>1238903</v>
      </c>
      <c r="J43" s="1311">
        <f t="shared" si="16"/>
        <v>-412968</v>
      </c>
      <c r="K43" s="1312">
        <f>IF(H43&lt;0,0,'Table 3 Levels 1&amp;2'!C41)</f>
        <v>0</v>
      </c>
      <c r="L43" s="1308">
        <f t="shared" si="20"/>
        <v>0</v>
      </c>
      <c r="M43" s="1312">
        <f>'Table 3 Levels 1&amp;2'!C41</f>
        <v>3874</v>
      </c>
      <c r="N43" s="1308">
        <f t="shared" si="21"/>
        <v>387400</v>
      </c>
      <c r="O43" s="1308">
        <f t="shared" si="17"/>
        <v>2471359</v>
      </c>
      <c r="P43" s="1308">
        <f t="shared" si="18"/>
        <v>5686469.0800000001</v>
      </c>
    </row>
    <row r="44" spans="1:16" ht="15.6" customHeight="1">
      <c r="A44" s="1250">
        <v>39</v>
      </c>
      <c r="B44" s="1251" t="s">
        <v>119</v>
      </c>
      <c r="C44" s="1308">
        <v>779.65573042776396</v>
      </c>
      <c r="D44" s="1308">
        <f>'Table 8 Membership 2.1.14'!W41*'Table 3A Level 3'!C44</f>
        <v>2180697.0780064557</v>
      </c>
      <c r="E44" s="1310">
        <v>324688</v>
      </c>
      <c r="F44" s="1310">
        <v>324688</v>
      </c>
      <c r="G44" s="1310">
        <f t="shared" si="15"/>
        <v>0</v>
      </c>
      <c r="H44" s="1311">
        <f>'[7]Table 4 Level 3'!F44+'[7]Table 4 Level 3'!H44</f>
        <v>0</v>
      </c>
      <c r="I44" s="1311">
        <f t="shared" si="19"/>
        <v>0</v>
      </c>
      <c r="J44" s="1311">
        <f t="shared" si="16"/>
        <v>0</v>
      </c>
      <c r="K44" s="1312">
        <f>IF(H44&lt;0,0,'Table 3 Levels 1&amp;2'!C42)</f>
        <v>2797</v>
      </c>
      <c r="L44" s="1308">
        <f t="shared" si="20"/>
        <v>155835</v>
      </c>
      <c r="M44" s="1312">
        <f>'Table 3 Levels 1&amp;2'!C42</f>
        <v>2797</v>
      </c>
      <c r="N44" s="1308">
        <f t="shared" si="21"/>
        <v>279700</v>
      </c>
      <c r="O44" s="1308">
        <f t="shared" si="17"/>
        <v>760223</v>
      </c>
      <c r="P44" s="1308">
        <f t="shared" si="18"/>
        <v>2940920.0780064557</v>
      </c>
    </row>
    <row r="45" spans="1:16" ht="15.6" customHeight="1">
      <c r="A45" s="85">
        <v>40</v>
      </c>
      <c r="B45" s="207" t="s">
        <v>120</v>
      </c>
      <c r="C45" s="950">
        <v>700.2700000000001</v>
      </c>
      <c r="D45" s="950">
        <f>'Table 8 Membership 2.1.14'!W42*'Table 3A Level 3'!C45</f>
        <v>16123016.480000002</v>
      </c>
      <c r="E45" s="949">
        <v>0</v>
      </c>
      <c r="F45" s="949">
        <v>0</v>
      </c>
      <c r="G45" s="949">
        <f t="shared" si="15"/>
        <v>0</v>
      </c>
      <c r="H45" s="947">
        <f>'[7]Table 4 Level 3'!F45+'[7]Table 4 Level 3'!H45</f>
        <v>0</v>
      </c>
      <c r="I45" s="947">
        <f t="shared" si="19"/>
        <v>0</v>
      </c>
      <c r="J45" s="947">
        <f t="shared" si="16"/>
        <v>0</v>
      </c>
      <c r="K45" s="948">
        <f>IF(H45&lt;0,0,'Table 3 Levels 1&amp;2'!C43)</f>
        <v>23024</v>
      </c>
      <c r="L45" s="950">
        <f t="shared" si="20"/>
        <v>1282787</v>
      </c>
      <c r="M45" s="948">
        <f>'Table 3 Levels 1&amp;2'!C43</f>
        <v>23024</v>
      </c>
      <c r="N45" s="950">
        <f t="shared" si="21"/>
        <v>2302400</v>
      </c>
      <c r="O45" s="950">
        <f t="shared" si="17"/>
        <v>3585187</v>
      </c>
      <c r="P45" s="950">
        <f t="shared" si="18"/>
        <v>19708203.480000004</v>
      </c>
    </row>
    <row r="46" spans="1:16" ht="15.6" customHeight="1">
      <c r="A46" s="1250">
        <v>41</v>
      </c>
      <c r="B46" s="1251" t="s">
        <v>121</v>
      </c>
      <c r="C46" s="1308">
        <v>886.22</v>
      </c>
      <c r="D46" s="1309">
        <f>'Table 8 Membership 2.1.14'!W43*'Table 3A Level 3'!C46</f>
        <v>1285905.22</v>
      </c>
      <c r="E46" s="1310">
        <v>0</v>
      </c>
      <c r="F46" s="1310">
        <v>0</v>
      </c>
      <c r="G46" s="1310">
        <f t="shared" si="15"/>
        <v>0</v>
      </c>
      <c r="H46" s="1311">
        <f>'[7]Table 4 Level 3'!F46+'[7]Table 4 Level 3'!H46</f>
        <v>0</v>
      </c>
      <c r="I46" s="1311">
        <f t="shared" si="19"/>
        <v>0</v>
      </c>
      <c r="J46" s="1311">
        <f t="shared" si="16"/>
        <v>0</v>
      </c>
      <c r="K46" s="1312">
        <f>IF(H46&lt;0,0,'Table 3 Levels 1&amp;2'!C44)</f>
        <v>1451</v>
      </c>
      <c r="L46" s="1308">
        <f t="shared" si="20"/>
        <v>80843</v>
      </c>
      <c r="M46" s="1312">
        <f>'Table 3 Levels 1&amp;2'!C44</f>
        <v>1451</v>
      </c>
      <c r="N46" s="1308">
        <f t="shared" si="21"/>
        <v>145100</v>
      </c>
      <c r="O46" s="1308">
        <f t="shared" si="17"/>
        <v>225943</v>
      </c>
      <c r="P46" s="1308">
        <f t="shared" si="18"/>
        <v>1511848.22</v>
      </c>
    </row>
    <row r="47" spans="1:16" ht="15.6" customHeight="1">
      <c r="A47" s="1250">
        <v>42</v>
      </c>
      <c r="B47" s="1251" t="s">
        <v>122</v>
      </c>
      <c r="C47" s="1308">
        <v>534.28</v>
      </c>
      <c r="D47" s="1308">
        <f>'Table 8 Membership 2.1.14'!W44*'Table 3A Level 3'!C47</f>
        <v>1733204.3199999998</v>
      </c>
      <c r="E47" s="1310">
        <v>0</v>
      </c>
      <c r="F47" s="1310">
        <v>0</v>
      </c>
      <c r="G47" s="1310">
        <f t="shared" si="15"/>
        <v>0</v>
      </c>
      <c r="H47" s="1311">
        <f>'[7]Table 4 Level 3'!F47+'[7]Table 4 Level 3'!H47</f>
        <v>0</v>
      </c>
      <c r="I47" s="1311">
        <f t="shared" si="19"/>
        <v>0</v>
      </c>
      <c r="J47" s="1311">
        <f t="shared" si="16"/>
        <v>0</v>
      </c>
      <c r="K47" s="1312">
        <f>IF(H47&lt;0,0,'Table 3 Levels 1&amp;2'!C45)</f>
        <v>3244</v>
      </c>
      <c r="L47" s="1308">
        <f t="shared" si="20"/>
        <v>180740</v>
      </c>
      <c r="M47" s="1312">
        <f>'Table 3 Levels 1&amp;2'!C45</f>
        <v>3244</v>
      </c>
      <c r="N47" s="1308">
        <f t="shared" si="21"/>
        <v>324400</v>
      </c>
      <c r="O47" s="1308">
        <f t="shared" si="17"/>
        <v>505140</v>
      </c>
      <c r="P47" s="1308">
        <f t="shared" si="18"/>
        <v>2238344.3199999998</v>
      </c>
    </row>
    <row r="48" spans="1:16" ht="15.6" customHeight="1">
      <c r="A48" s="1250">
        <v>43</v>
      </c>
      <c r="B48" s="1251" t="s">
        <v>123</v>
      </c>
      <c r="C48" s="1308">
        <v>574.6099999999999</v>
      </c>
      <c r="D48" s="1308">
        <f>'Table 8 Membership 2.1.14'!W45*'Table 3A Level 3'!C48</f>
        <v>2362221.7099999995</v>
      </c>
      <c r="E48" s="1310">
        <v>0</v>
      </c>
      <c r="F48" s="1310">
        <v>0</v>
      </c>
      <c r="G48" s="1310">
        <f t="shared" si="15"/>
        <v>0</v>
      </c>
      <c r="H48" s="1311">
        <f>'[7]Table 4 Level 3'!F48+'[7]Table 4 Level 3'!H48</f>
        <v>0</v>
      </c>
      <c r="I48" s="1311">
        <f t="shared" si="19"/>
        <v>0</v>
      </c>
      <c r="J48" s="1311">
        <f t="shared" si="16"/>
        <v>0</v>
      </c>
      <c r="K48" s="1312">
        <f>IF(H48&lt;0,0,'Table 3 Levels 1&amp;2'!C46)</f>
        <v>4111</v>
      </c>
      <c r="L48" s="1308">
        <f t="shared" si="20"/>
        <v>229045</v>
      </c>
      <c r="M48" s="1312">
        <f>'Table 3 Levels 1&amp;2'!C46</f>
        <v>4111</v>
      </c>
      <c r="N48" s="1308">
        <f t="shared" si="21"/>
        <v>411100</v>
      </c>
      <c r="O48" s="1308">
        <f t="shared" si="17"/>
        <v>640145</v>
      </c>
      <c r="P48" s="1308">
        <f t="shared" si="18"/>
        <v>3002366.7099999995</v>
      </c>
    </row>
    <row r="49" spans="1:16" ht="15.6" customHeight="1">
      <c r="A49" s="1250">
        <v>44</v>
      </c>
      <c r="B49" s="1251" t="s">
        <v>124</v>
      </c>
      <c r="C49" s="1308">
        <v>663.16000000000008</v>
      </c>
      <c r="D49" s="1308">
        <f>'Table 8 Membership 2.1.14'!W46*'Table 3A Level 3'!C49</f>
        <v>4429908.8000000007</v>
      </c>
      <c r="E49" s="1310">
        <v>0</v>
      </c>
      <c r="F49" s="1310">
        <v>0</v>
      </c>
      <c r="G49" s="1310">
        <f t="shared" si="15"/>
        <v>0</v>
      </c>
      <c r="H49" s="1311">
        <f>'[7]Table 4 Level 3'!F49+'[7]Table 4 Level 3'!H49</f>
        <v>0</v>
      </c>
      <c r="I49" s="1311">
        <f t="shared" si="19"/>
        <v>0</v>
      </c>
      <c r="J49" s="1311">
        <f t="shared" si="16"/>
        <v>0</v>
      </c>
      <c r="K49" s="1312">
        <f>IF(H49&lt;0,0,'Table 3 Levels 1&amp;2'!C47)</f>
        <v>6680</v>
      </c>
      <c r="L49" s="1308">
        <f t="shared" si="20"/>
        <v>372178</v>
      </c>
      <c r="M49" s="1312">
        <f>'Table 3 Levels 1&amp;2'!C47</f>
        <v>6680</v>
      </c>
      <c r="N49" s="1308">
        <f t="shared" si="21"/>
        <v>668000</v>
      </c>
      <c r="O49" s="1308">
        <f t="shared" si="17"/>
        <v>1040178</v>
      </c>
      <c r="P49" s="1308">
        <f t="shared" si="18"/>
        <v>5470086.8000000007</v>
      </c>
    </row>
    <row r="50" spans="1:16" ht="15.6" customHeight="1">
      <c r="A50" s="85">
        <v>45</v>
      </c>
      <c r="B50" s="207" t="s">
        <v>125</v>
      </c>
      <c r="C50" s="950">
        <v>753.96000000000015</v>
      </c>
      <c r="D50" s="950">
        <f>'Table 8 Membership 2.1.14'!W47*'Table 3A Level 3'!C50</f>
        <v>7100795.2800000012</v>
      </c>
      <c r="E50" s="949">
        <v>9520260</v>
      </c>
      <c r="F50" s="949">
        <v>2883682</v>
      </c>
      <c r="G50" s="949">
        <f t="shared" si="15"/>
        <v>6636578</v>
      </c>
      <c r="H50" s="947">
        <f>'[7]Table 4 Level 3'!F50+'[7]Table 4 Level 3'!H50</f>
        <v>-5023378</v>
      </c>
      <c r="I50" s="947">
        <f t="shared" si="19"/>
        <v>1613200</v>
      </c>
      <c r="J50" s="947">
        <f t="shared" si="16"/>
        <v>-537733</v>
      </c>
      <c r="K50" s="948">
        <f>IF(H50&lt;0,0,'Table 3 Levels 1&amp;2'!C48)</f>
        <v>0</v>
      </c>
      <c r="L50" s="950">
        <f t="shared" si="20"/>
        <v>0</v>
      </c>
      <c r="M50" s="948">
        <f>'Table 3 Levels 1&amp;2'!C48</f>
        <v>9418</v>
      </c>
      <c r="N50" s="950">
        <f t="shared" si="21"/>
        <v>941800</v>
      </c>
      <c r="O50" s="950">
        <f t="shared" si="17"/>
        <v>4900949</v>
      </c>
      <c r="P50" s="950">
        <f t="shared" si="18"/>
        <v>12001744.280000001</v>
      </c>
    </row>
    <row r="51" spans="1:16" ht="15.6" customHeight="1">
      <c r="A51" s="1250">
        <v>46</v>
      </c>
      <c r="B51" s="1251" t="s">
        <v>126</v>
      </c>
      <c r="C51" s="1308">
        <v>728.06</v>
      </c>
      <c r="D51" s="1309">
        <f>'Table 8 Membership 2.1.14'!W48*'Table 3A Level 3'!C51</f>
        <v>757910.46</v>
      </c>
      <c r="E51" s="1310">
        <v>0</v>
      </c>
      <c r="F51" s="1310">
        <v>0</v>
      </c>
      <c r="G51" s="1310">
        <f t="shared" si="15"/>
        <v>0</v>
      </c>
      <c r="H51" s="1311">
        <f>'[7]Table 4 Level 3'!F51+'[7]Table 4 Level 3'!H51</f>
        <v>0</v>
      </c>
      <c r="I51" s="1311">
        <f t="shared" si="19"/>
        <v>0</v>
      </c>
      <c r="J51" s="1311">
        <f t="shared" si="16"/>
        <v>0</v>
      </c>
      <c r="K51" s="1312">
        <f>IF(H51&lt;0,0,'Table 3 Levels 1&amp;2'!C49)</f>
        <v>1041</v>
      </c>
      <c r="L51" s="1308">
        <f t="shared" si="20"/>
        <v>58000</v>
      </c>
      <c r="M51" s="1312">
        <f>'Table 3 Levels 1&amp;2'!C49</f>
        <v>1041</v>
      </c>
      <c r="N51" s="1308">
        <f t="shared" si="21"/>
        <v>104100</v>
      </c>
      <c r="O51" s="1308">
        <f t="shared" si="17"/>
        <v>162100</v>
      </c>
      <c r="P51" s="1308">
        <f t="shared" si="18"/>
        <v>920010.46</v>
      </c>
    </row>
    <row r="52" spans="1:16" ht="15.6" customHeight="1">
      <c r="A52" s="1250">
        <v>47</v>
      </c>
      <c r="B52" s="1251" t="s">
        <v>127</v>
      </c>
      <c r="C52" s="1308">
        <v>910.76</v>
      </c>
      <c r="D52" s="1308">
        <f>'Table 8 Membership 2.1.14'!W49*'Table 3A Level 3'!C52</f>
        <v>3305148.04</v>
      </c>
      <c r="E52" s="1310">
        <v>1851066</v>
      </c>
      <c r="F52" s="1310">
        <v>1060614</v>
      </c>
      <c r="G52" s="1310">
        <f t="shared" si="15"/>
        <v>790452</v>
      </c>
      <c r="H52" s="1311">
        <f>'[7]Table 4 Level 3'!F52+'[7]Table 4 Level 3'!H52</f>
        <v>-553316</v>
      </c>
      <c r="I52" s="1311">
        <f t="shared" si="19"/>
        <v>237136</v>
      </c>
      <c r="J52" s="1311">
        <f t="shared" si="16"/>
        <v>-79045</v>
      </c>
      <c r="K52" s="1312">
        <f>IF(H52&lt;0,0,'Table 3 Levels 1&amp;2'!C50)</f>
        <v>0</v>
      </c>
      <c r="L52" s="1308">
        <f t="shared" si="20"/>
        <v>0</v>
      </c>
      <c r="M52" s="1312">
        <f>'Table 3 Levels 1&amp;2'!C50</f>
        <v>3629</v>
      </c>
      <c r="N52" s="1308">
        <f t="shared" si="21"/>
        <v>362900</v>
      </c>
      <c r="O52" s="1308">
        <f t="shared" si="17"/>
        <v>1581605</v>
      </c>
      <c r="P52" s="1308">
        <f t="shared" si="18"/>
        <v>4886753.04</v>
      </c>
    </row>
    <row r="53" spans="1:16" ht="15.6" customHeight="1">
      <c r="A53" s="1250">
        <v>48</v>
      </c>
      <c r="B53" s="1251" t="s">
        <v>178</v>
      </c>
      <c r="C53" s="1308">
        <v>871.07</v>
      </c>
      <c r="D53" s="1308">
        <f>'Table 8 Membership 2.1.14'!W50*'Table 3A Level 3'!C53</f>
        <v>5047850.6500000004</v>
      </c>
      <c r="E53" s="1310">
        <v>0</v>
      </c>
      <c r="F53" s="1310">
        <v>0</v>
      </c>
      <c r="G53" s="1310">
        <f t="shared" si="15"/>
        <v>0</v>
      </c>
      <c r="H53" s="1311">
        <f>'[7]Table 4 Level 3'!F53+'[7]Table 4 Level 3'!H53</f>
        <v>0</v>
      </c>
      <c r="I53" s="1311">
        <f t="shared" si="19"/>
        <v>0</v>
      </c>
      <c r="J53" s="1311">
        <f t="shared" si="16"/>
        <v>0</v>
      </c>
      <c r="K53" s="1312">
        <f>IF(H53&lt;0,0,'Table 3 Levels 1&amp;2'!C51)</f>
        <v>5795</v>
      </c>
      <c r="L53" s="1308">
        <f t="shared" si="20"/>
        <v>322870</v>
      </c>
      <c r="M53" s="1312">
        <f>'Table 3 Levels 1&amp;2'!C51</f>
        <v>5795</v>
      </c>
      <c r="N53" s="1308">
        <f t="shared" si="21"/>
        <v>579500</v>
      </c>
      <c r="O53" s="1308">
        <f t="shared" si="17"/>
        <v>902370</v>
      </c>
      <c r="P53" s="1308">
        <f t="shared" si="18"/>
        <v>5950220.6500000004</v>
      </c>
    </row>
    <row r="54" spans="1:16" ht="15.6" customHeight="1">
      <c r="A54" s="1250">
        <v>49</v>
      </c>
      <c r="B54" s="1251" t="s">
        <v>128</v>
      </c>
      <c r="C54" s="1308">
        <v>574.43999999999994</v>
      </c>
      <c r="D54" s="1308">
        <f>'Table 8 Membership 2.1.14'!W51*'Table 3A Level 3'!C54</f>
        <v>8326507.7999999989</v>
      </c>
      <c r="E54" s="1310">
        <v>0</v>
      </c>
      <c r="F54" s="1310">
        <v>0</v>
      </c>
      <c r="G54" s="1310">
        <f t="shared" si="15"/>
        <v>0</v>
      </c>
      <c r="H54" s="1311">
        <f>'[7]Table 4 Level 3'!F54+'[7]Table 4 Level 3'!H54</f>
        <v>0</v>
      </c>
      <c r="I54" s="1311">
        <f t="shared" si="19"/>
        <v>0</v>
      </c>
      <c r="J54" s="1311">
        <f t="shared" si="16"/>
        <v>0</v>
      </c>
      <c r="K54" s="1312">
        <f>IF(H54&lt;0,0,'Table 3 Levels 1&amp;2'!C52)</f>
        <v>14495</v>
      </c>
      <c r="L54" s="1308">
        <f t="shared" si="20"/>
        <v>807592</v>
      </c>
      <c r="M54" s="1312">
        <f>'Table 3 Levels 1&amp;2'!C52</f>
        <v>14495</v>
      </c>
      <c r="N54" s="1308">
        <f t="shared" si="21"/>
        <v>1449500</v>
      </c>
      <c r="O54" s="1308">
        <f t="shared" si="17"/>
        <v>2257092</v>
      </c>
      <c r="P54" s="1308">
        <f t="shared" si="18"/>
        <v>10583599.799999999</v>
      </c>
    </row>
    <row r="55" spans="1:16" ht="15.6" customHeight="1">
      <c r="A55" s="85">
        <v>50</v>
      </c>
      <c r="B55" s="207" t="s">
        <v>129</v>
      </c>
      <c r="C55" s="950">
        <v>634.46</v>
      </c>
      <c r="D55" s="950">
        <f>'Table 8 Membership 2.1.14'!W52*'Table 3A Level 3'!C55</f>
        <v>5025557.66</v>
      </c>
      <c r="E55" s="949">
        <v>0</v>
      </c>
      <c r="F55" s="949">
        <v>0</v>
      </c>
      <c r="G55" s="949">
        <f t="shared" si="15"/>
        <v>0</v>
      </c>
      <c r="H55" s="947">
        <f>'[7]Table 4 Level 3'!F55+'[7]Table 4 Level 3'!H55</f>
        <v>0</v>
      </c>
      <c r="I55" s="947">
        <f t="shared" si="19"/>
        <v>0</v>
      </c>
      <c r="J55" s="947">
        <f t="shared" si="16"/>
        <v>0</v>
      </c>
      <c r="K55" s="948">
        <f>IF(H55&lt;0,0,'Table 3 Levels 1&amp;2'!C53)</f>
        <v>7921</v>
      </c>
      <c r="L55" s="950">
        <f t="shared" si="20"/>
        <v>441320</v>
      </c>
      <c r="M55" s="948">
        <f>'Table 3 Levels 1&amp;2'!C53</f>
        <v>7921</v>
      </c>
      <c r="N55" s="950">
        <f t="shared" si="21"/>
        <v>792100</v>
      </c>
      <c r="O55" s="950">
        <f t="shared" si="17"/>
        <v>1233420</v>
      </c>
      <c r="P55" s="950">
        <f t="shared" si="18"/>
        <v>6258977.6600000001</v>
      </c>
    </row>
    <row r="56" spans="1:16" ht="15.6" customHeight="1">
      <c r="A56" s="1250">
        <v>51</v>
      </c>
      <c r="B56" s="1251" t="s">
        <v>130</v>
      </c>
      <c r="C56" s="1308">
        <v>706.66</v>
      </c>
      <c r="D56" s="1309">
        <f>'Table 8 Membership 2.1.14'!W53*'Table 3A Level 3'!C56</f>
        <v>6285034.04</v>
      </c>
      <c r="E56" s="1310">
        <v>0</v>
      </c>
      <c r="F56" s="1310">
        <v>0</v>
      </c>
      <c r="G56" s="1310">
        <f t="shared" si="15"/>
        <v>0</v>
      </c>
      <c r="H56" s="1311">
        <f>'[7]Table 4 Level 3'!F56+'[7]Table 4 Level 3'!H56</f>
        <v>0</v>
      </c>
      <c r="I56" s="1311">
        <f t="shared" si="19"/>
        <v>0</v>
      </c>
      <c r="J56" s="1311">
        <f t="shared" si="16"/>
        <v>0</v>
      </c>
      <c r="K56" s="1312">
        <f>IF(H56&lt;0,0,'Table 3 Levels 1&amp;2'!C54)</f>
        <v>8894</v>
      </c>
      <c r="L56" s="1308">
        <f t="shared" si="20"/>
        <v>495531</v>
      </c>
      <c r="M56" s="1312">
        <f>'Table 3 Levels 1&amp;2'!C54</f>
        <v>8894</v>
      </c>
      <c r="N56" s="1308">
        <f t="shared" si="21"/>
        <v>889400</v>
      </c>
      <c r="O56" s="1308">
        <f t="shared" si="17"/>
        <v>1384931</v>
      </c>
      <c r="P56" s="1308">
        <f t="shared" si="18"/>
        <v>7669965.04</v>
      </c>
    </row>
    <row r="57" spans="1:16" ht="15.6" customHeight="1">
      <c r="A57" s="1250">
        <v>52</v>
      </c>
      <c r="B57" s="1251" t="s">
        <v>131</v>
      </c>
      <c r="C57" s="1308">
        <v>658.37</v>
      </c>
      <c r="D57" s="1308">
        <f>'Table 8 Membership 2.1.14'!W54*'Table 3A Level 3'!C57</f>
        <v>24508481.620000001</v>
      </c>
      <c r="E57" s="1310">
        <v>0</v>
      </c>
      <c r="F57" s="1310">
        <v>0</v>
      </c>
      <c r="G57" s="1310">
        <f t="shared" si="15"/>
        <v>0</v>
      </c>
      <c r="H57" s="1311">
        <f>'[7]Table 4 Level 3'!F57+'[7]Table 4 Level 3'!H57</f>
        <v>0</v>
      </c>
      <c r="I57" s="1311">
        <f t="shared" si="19"/>
        <v>0</v>
      </c>
      <c r="J57" s="1311">
        <f t="shared" si="16"/>
        <v>0</v>
      </c>
      <c r="K57" s="1312">
        <f>IF(H57&lt;0,0,'Table 3 Levels 1&amp;2'!C55)</f>
        <v>37226</v>
      </c>
      <c r="L57" s="1308">
        <f t="shared" si="20"/>
        <v>2074054</v>
      </c>
      <c r="M57" s="1312">
        <f>'Table 3 Levels 1&amp;2'!C55</f>
        <v>37226</v>
      </c>
      <c r="N57" s="1308">
        <f t="shared" si="21"/>
        <v>3722600</v>
      </c>
      <c r="O57" s="1308">
        <f t="shared" si="17"/>
        <v>5796654</v>
      </c>
      <c r="P57" s="1308">
        <f t="shared" si="18"/>
        <v>30305135.620000001</v>
      </c>
    </row>
    <row r="58" spans="1:16" ht="15.6" customHeight="1">
      <c r="A58" s="1250">
        <v>53</v>
      </c>
      <c r="B58" s="1251" t="s">
        <v>132</v>
      </c>
      <c r="C58" s="1308">
        <v>689.74</v>
      </c>
      <c r="D58" s="1308">
        <f>'Table 8 Membership 2.1.14'!W55*'Table 3A Level 3'!C58</f>
        <v>13404407.16</v>
      </c>
      <c r="E58" s="1310">
        <v>0</v>
      </c>
      <c r="F58" s="1310">
        <v>0</v>
      </c>
      <c r="G58" s="1310">
        <f t="shared" si="15"/>
        <v>0</v>
      </c>
      <c r="H58" s="1311">
        <f>'[7]Table 4 Level 3'!F58+'[7]Table 4 Level 3'!H58</f>
        <v>0</v>
      </c>
      <c r="I58" s="1311">
        <f t="shared" si="19"/>
        <v>0</v>
      </c>
      <c r="J58" s="1311">
        <f t="shared" si="16"/>
        <v>0</v>
      </c>
      <c r="K58" s="1312">
        <f>IF(H58&lt;0,0,'Table 3 Levels 1&amp;2'!C56)</f>
        <v>19434</v>
      </c>
      <c r="L58" s="1308">
        <f t="shared" si="20"/>
        <v>1082769</v>
      </c>
      <c r="M58" s="1312">
        <f>'Table 3 Levels 1&amp;2'!C56</f>
        <v>19434</v>
      </c>
      <c r="N58" s="1308">
        <f t="shared" si="21"/>
        <v>1943400</v>
      </c>
      <c r="O58" s="1308">
        <f t="shared" si="17"/>
        <v>3026169</v>
      </c>
      <c r="P58" s="1308">
        <f t="shared" si="18"/>
        <v>16430576.16</v>
      </c>
    </row>
    <row r="59" spans="1:16" ht="15.6" customHeight="1">
      <c r="A59" s="1250">
        <v>54</v>
      </c>
      <c r="B59" s="1251" t="s">
        <v>133</v>
      </c>
      <c r="C59" s="1308">
        <v>951.45</v>
      </c>
      <c r="D59" s="1308">
        <f>'Table 8 Membership 2.1.14'!W56*'Table 3A Level 3'!C59</f>
        <v>626054.1</v>
      </c>
      <c r="E59" s="1310">
        <v>0</v>
      </c>
      <c r="F59" s="1310">
        <v>0</v>
      </c>
      <c r="G59" s="1310">
        <f t="shared" si="15"/>
        <v>0</v>
      </c>
      <c r="H59" s="1311">
        <f>'[7]Table 4 Level 3'!F59+'[7]Table 4 Level 3'!H59</f>
        <v>0</v>
      </c>
      <c r="I59" s="1311">
        <f t="shared" si="19"/>
        <v>0</v>
      </c>
      <c r="J59" s="1311">
        <f t="shared" si="16"/>
        <v>0</v>
      </c>
      <c r="K59" s="1312">
        <f>IF(H59&lt;0,0,'Table 3 Levels 1&amp;2'!C57)</f>
        <v>658</v>
      </c>
      <c r="L59" s="1308">
        <f t="shared" si="20"/>
        <v>36661</v>
      </c>
      <c r="M59" s="1312">
        <f>'Table 3 Levels 1&amp;2'!C57</f>
        <v>658</v>
      </c>
      <c r="N59" s="1308">
        <f t="shared" si="21"/>
        <v>65800</v>
      </c>
      <c r="O59" s="1308">
        <f t="shared" si="17"/>
        <v>102461</v>
      </c>
      <c r="P59" s="1308">
        <f t="shared" si="18"/>
        <v>728515.1</v>
      </c>
    </row>
    <row r="60" spans="1:16" ht="15.6" customHeight="1">
      <c r="A60" s="85">
        <v>55</v>
      </c>
      <c r="B60" s="207" t="s">
        <v>134</v>
      </c>
      <c r="C60" s="950">
        <v>795.14</v>
      </c>
      <c r="D60" s="950">
        <f>'Table 8 Membership 2.1.14'!W57*'Table 3A Level 3'!C60</f>
        <v>14145540.6</v>
      </c>
      <c r="E60" s="949">
        <v>0</v>
      </c>
      <c r="F60" s="949">
        <v>0</v>
      </c>
      <c r="G60" s="949">
        <f t="shared" si="15"/>
        <v>0</v>
      </c>
      <c r="H60" s="947">
        <f>'[7]Table 4 Level 3'!F60+'[7]Table 4 Level 3'!H60</f>
        <v>0</v>
      </c>
      <c r="I60" s="947">
        <f t="shared" si="19"/>
        <v>0</v>
      </c>
      <c r="J60" s="947">
        <f t="shared" si="16"/>
        <v>0</v>
      </c>
      <c r="K60" s="948">
        <f>IF(H60&lt;0,0,'Table 3 Levels 1&amp;2'!C58)</f>
        <v>17790</v>
      </c>
      <c r="L60" s="950">
        <f t="shared" si="20"/>
        <v>991174</v>
      </c>
      <c r="M60" s="948">
        <f>'Table 3 Levels 1&amp;2'!C58</f>
        <v>17790</v>
      </c>
      <c r="N60" s="950">
        <f t="shared" si="21"/>
        <v>1779000</v>
      </c>
      <c r="O60" s="950">
        <f t="shared" si="17"/>
        <v>2770174</v>
      </c>
      <c r="P60" s="950">
        <f t="shared" si="18"/>
        <v>16915714.600000001</v>
      </c>
    </row>
    <row r="61" spans="1:16" ht="15.6" customHeight="1">
      <c r="A61" s="1250">
        <v>56</v>
      </c>
      <c r="B61" s="1251" t="s">
        <v>135</v>
      </c>
      <c r="C61" s="1308">
        <v>614.66000000000008</v>
      </c>
      <c r="D61" s="1313">
        <f>('Table 8 Membership 2.1.14'!W58+1)*'Table 3A Level 3'!C61</f>
        <v>1773908.7600000002</v>
      </c>
      <c r="E61" s="1310">
        <v>0</v>
      </c>
      <c r="F61" s="1310">
        <v>0</v>
      </c>
      <c r="G61" s="1310">
        <f t="shared" si="15"/>
        <v>0</v>
      </c>
      <c r="H61" s="1311">
        <f>'[7]Table 4 Level 3'!F61+'[7]Table 4 Level 3'!H61</f>
        <v>0</v>
      </c>
      <c r="I61" s="1311">
        <f t="shared" si="19"/>
        <v>0</v>
      </c>
      <c r="J61" s="1311">
        <f t="shared" si="16"/>
        <v>0</v>
      </c>
      <c r="K61" s="1312">
        <f>IF(H61&lt;0,0,'Table 3 Levels 1&amp;2'!C59)</f>
        <v>2886</v>
      </c>
      <c r="L61" s="1308">
        <f t="shared" si="20"/>
        <v>160794</v>
      </c>
      <c r="M61" s="1312">
        <f>'Table 3 Levels 1&amp;2'!C59</f>
        <v>2886</v>
      </c>
      <c r="N61" s="1308">
        <f t="shared" si="21"/>
        <v>288600</v>
      </c>
      <c r="O61" s="1308">
        <f t="shared" si="17"/>
        <v>449394</v>
      </c>
      <c r="P61" s="1308">
        <f t="shared" si="18"/>
        <v>2223302.7600000002</v>
      </c>
    </row>
    <row r="62" spans="1:16" ht="15.6" customHeight="1">
      <c r="A62" s="1250">
        <v>57</v>
      </c>
      <c r="B62" s="1251" t="s">
        <v>136</v>
      </c>
      <c r="C62" s="1308">
        <v>764.51</v>
      </c>
      <c r="D62" s="1308">
        <f>'Table 8 Membership 2.1.14'!W59*'Table 3A Level 3'!C62</f>
        <v>6976153.75</v>
      </c>
      <c r="E62" s="1310">
        <v>0</v>
      </c>
      <c r="F62" s="1310">
        <v>0</v>
      </c>
      <c r="G62" s="1310">
        <f t="shared" si="15"/>
        <v>0</v>
      </c>
      <c r="H62" s="1311">
        <f>'[7]Table 4 Level 3'!F62+'[7]Table 4 Level 3'!H62</f>
        <v>0</v>
      </c>
      <c r="I62" s="1311">
        <f t="shared" si="19"/>
        <v>0</v>
      </c>
      <c r="J62" s="1311">
        <f t="shared" si="16"/>
        <v>0</v>
      </c>
      <c r="K62" s="1312">
        <f>IF(H62&lt;0,0,'Table 3 Levels 1&amp;2'!C60)</f>
        <v>9125</v>
      </c>
      <c r="L62" s="1308">
        <f t="shared" si="20"/>
        <v>508401</v>
      </c>
      <c r="M62" s="1312">
        <f>'Table 3 Levels 1&amp;2'!C60</f>
        <v>9125</v>
      </c>
      <c r="N62" s="1308">
        <f t="shared" si="21"/>
        <v>912500</v>
      </c>
      <c r="O62" s="1308">
        <f t="shared" si="17"/>
        <v>1420901</v>
      </c>
      <c r="P62" s="1308">
        <f t="shared" si="18"/>
        <v>8397054.75</v>
      </c>
    </row>
    <row r="63" spans="1:16" ht="15.6" customHeight="1">
      <c r="A63" s="1250">
        <v>58</v>
      </c>
      <c r="B63" s="1251" t="s">
        <v>137</v>
      </c>
      <c r="C63" s="1308">
        <v>697.04</v>
      </c>
      <c r="D63" s="1308">
        <f>'Table 8 Membership 2.1.14'!W60*'Table 3A Level 3'!C63</f>
        <v>6279633.3599999994</v>
      </c>
      <c r="E63" s="1310">
        <v>0</v>
      </c>
      <c r="F63" s="1310">
        <v>0</v>
      </c>
      <c r="G63" s="1310">
        <f t="shared" si="15"/>
        <v>0</v>
      </c>
      <c r="H63" s="1311">
        <f>'[7]Table 4 Level 3'!F63+'[7]Table 4 Level 3'!H63</f>
        <v>0</v>
      </c>
      <c r="I63" s="1311">
        <f t="shared" si="19"/>
        <v>0</v>
      </c>
      <c r="J63" s="1311">
        <f t="shared" si="16"/>
        <v>0</v>
      </c>
      <c r="K63" s="1312">
        <f>IF(H63&lt;0,0,'Table 3 Levels 1&amp;2'!C61)</f>
        <v>9009</v>
      </c>
      <c r="L63" s="1308">
        <f t="shared" si="20"/>
        <v>501938</v>
      </c>
      <c r="M63" s="1312">
        <f>'Table 3 Levels 1&amp;2'!C61</f>
        <v>9009</v>
      </c>
      <c r="N63" s="1308">
        <f t="shared" si="21"/>
        <v>900900</v>
      </c>
      <c r="O63" s="1308">
        <f t="shared" si="17"/>
        <v>1402838</v>
      </c>
      <c r="P63" s="1308">
        <f t="shared" si="18"/>
        <v>7682471.3599999994</v>
      </c>
    </row>
    <row r="64" spans="1:16" ht="15.6" customHeight="1">
      <c r="A64" s="1250">
        <v>59</v>
      </c>
      <c r="B64" s="1251" t="s">
        <v>138</v>
      </c>
      <c r="C64" s="1308">
        <v>689.52</v>
      </c>
      <c r="D64" s="1308">
        <f>'Table 8 Membership 2.1.14'!W61*'Table 3A Level 3'!C64</f>
        <v>3550338.48</v>
      </c>
      <c r="E64" s="1310">
        <v>0</v>
      </c>
      <c r="F64" s="1310">
        <v>0</v>
      </c>
      <c r="G64" s="1310">
        <f t="shared" si="15"/>
        <v>0</v>
      </c>
      <c r="H64" s="1311">
        <f>'[7]Table 4 Level 3'!F64+'[7]Table 4 Level 3'!H64</f>
        <v>0</v>
      </c>
      <c r="I64" s="1311">
        <f t="shared" si="19"/>
        <v>0</v>
      </c>
      <c r="J64" s="1311">
        <f t="shared" si="16"/>
        <v>0</v>
      </c>
      <c r="K64" s="1312">
        <f>IF(H64&lt;0,0,'Table 3 Levels 1&amp;2'!C62)</f>
        <v>5149</v>
      </c>
      <c r="L64" s="1308">
        <f t="shared" si="20"/>
        <v>286878</v>
      </c>
      <c r="M64" s="1312">
        <f>'Table 3 Levels 1&amp;2'!C62</f>
        <v>5149</v>
      </c>
      <c r="N64" s="1308">
        <f t="shared" si="21"/>
        <v>514900</v>
      </c>
      <c r="O64" s="1308">
        <f t="shared" si="17"/>
        <v>801778</v>
      </c>
      <c r="P64" s="1308">
        <f t="shared" si="18"/>
        <v>4352116.4800000004</v>
      </c>
    </row>
    <row r="65" spans="1:16" ht="15.6" customHeight="1">
      <c r="A65" s="85">
        <v>60</v>
      </c>
      <c r="B65" s="207" t="s">
        <v>139</v>
      </c>
      <c r="C65" s="950">
        <v>594.04</v>
      </c>
      <c r="D65" s="950">
        <f>'Table 8 Membership 2.1.14'!W62*'Table 3A Level 3'!C65</f>
        <v>3826211.6399999997</v>
      </c>
      <c r="E65" s="949">
        <v>0</v>
      </c>
      <c r="F65" s="949">
        <v>0</v>
      </c>
      <c r="G65" s="949">
        <f t="shared" si="15"/>
        <v>0</v>
      </c>
      <c r="H65" s="947">
        <f>'[7]Table 4 Level 3'!F65+'[7]Table 4 Level 3'!H65</f>
        <v>0</v>
      </c>
      <c r="I65" s="947">
        <f t="shared" si="19"/>
        <v>0</v>
      </c>
      <c r="J65" s="947">
        <f t="shared" si="16"/>
        <v>0</v>
      </c>
      <c r="K65" s="948">
        <f>IF(H65&lt;0,0,'Table 3 Levels 1&amp;2'!C63)</f>
        <v>6441</v>
      </c>
      <c r="L65" s="950">
        <f t="shared" si="20"/>
        <v>358862</v>
      </c>
      <c r="M65" s="948">
        <f>'Table 3 Levels 1&amp;2'!C63</f>
        <v>6441</v>
      </c>
      <c r="N65" s="950">
        <f t="shared" si="21"/>
        <v>644100</v>
      </c>
      <c r="O65" s="950">
        <f t="shared" si="17"/>
        <v>1002962</v>
      </c>
      <c r="P65" s="950">
        <f t="shared" si="18"/>
        <v>4829173.6399999997</v>
      </c>
    </row>
    <row r="66" spans="1:16" ht="15.6" customHeight="1">
      <c r="A66" s="1250">
        <v>61</v>
      </c>
      <c r="B66" s="1251" t="s">
        <v>140</v>
      </c>
      <c r="C66" s="1308">
        <v>833.70999999999992</v>
      </c>
      <c r="D66" s="1309">
        <f>'Table 8 Membership 2.1.14'!W63*'Table 3A Level 3'!C66</f>
        <v>3018863.9099999997</v>
      </c>
      <c r="E66" s="1310">
        <v>0</v>
      </c>
      <c r="F66" s="1310">
        <v>0</v>
      </c>
      <c r="G66" s="1310">
        <f t="shared" si="15"/>
        <v>0</v>
      </c>
      <c r="H66" s="1311">
        <f>'[7]Table 4 Level 3'!F66+'[7]Table 4 Level 3'!H66</f>
        <v>0</v>
      </c>
      <c r="I66" s="1311">
        <f t="shared" si="19"/>
        <v>0</v>
      </c>
      <c r="J66" s="1311">
        <f t="shared" si="16"/>
        <v>0</v>
      </c>
      <c r="K66" s="1312">
        <f>IF(H66&lt;0,0,'Table 3 Levels 1&amp;2'!C64)</f>
        <v>3621</v>
      </c>
      <c r="L66" s="1308">
        <f t="shared" si="20"/>
        <v>201745</v>
      </c>
      <c r="M66" s="1312">
        <f>'Table 3 Levels 1&amp;2'!C64</f>
        <v>3621</v>
      </c>
      <c r="N66" s="1308">
        <f t="shared" si="21"/>
        <v>362100</v>
      </c>
      <c r="O66" s="1308">
        <f t="shared" si="17"/>
        <v>563845</v>
      </c>
      <c r="P66" s="1308">
        <f t="shared" si="18"/>
        <v>3582708.9099999997</v>
      </c>
    </row>
    <row r="67" spans="1:16" ht="15.6" customHeight="1">
      <c r="A67" s="1250">
        <v>62</v>
      </c>
      <c r="B67" s="1251" t="s">
        <v>141</v>
      </c>
      <c r="C67" s="1308">
        <v>516.08000000000004</v>
      </c>
      <c r="D67" s="1308">
        <f>'Table 8 Membership 2.1.14'!W64*'Table 3A Level 3'!C67</f>
        <v>1096153.9200000002</v>
      </c>
      <c r="E67" s="1310">
        <v>0</v>
      </c>
      <c r="F67" s="1310">
        <v>0</v>
      </c>
      <c r="G67" s="1310">
        <f t="shared" si="15"/>
        <v>0</v>
      </c>
      <c r="H67" s="1311">
        <f>'[7]Table 4 Level 3'!F67+'[7]Table 4 Level 3'!H67</f>
        <v>0</v>
      </c>
      <c r="I67" s="1311">
        <f t="shared" si="19"/>
        <v>0</v>
      </c>
      <c r="J67" s="1311">
        <f t="shared" si="16"/>
        <v>0</v>
      </c>
      <c r="K67" s="1312">
        <f>IF(H67&lt;0,0,'Table 3 Levels 1&amp;2'!C65)</f>
        <v>2124</v>
      </c>
      <c r="L67" s="1308">
        <f t="shared" si="20"/>
        <v>118339</v>
      </c>
      <c r="M67" s="1312">
        <f>'Table 3 Levels 1&amp;2'!C65</f>
        <v>2124</v>
      </c>
      <c r="N67" s="1308">
        <f t="shared" si="21"/>
        <v>212400</v>
      </c>
      <c r="O67" s="1308">
        <f t="shared" si="17"/>
        <v>330739</v>
      </c>
      <c r="P67" s="1308">
        <f t="shared" si="18"/>
        <v>1426892.9200000002</v>
      </c>
    </row>
    <row r="68" spans="1:16" ht="15.6" customHeight="1">
      <c r="A68" s="1250">
        <v>63</v>
      </c>
      <c r="B68" s="1251" t="s">
        <v>142</v>
      </c>
      <c r="C68" s="1308">
        <v>756.79</v>
      </c>
      <c r="D68" s="1308">
        <f>'Table 8 Membership 2.1.14'!W65*'Table 3A Level 3'!C68</f>
        <v>1542338.02</v>
      </c>
      <c r="E68" s="1310">
        <v>5908357</v>
      </c>
      <c r="F68" s="1310">
        <v>680156</v>
      </c>
      <c r="G68" s="1310">
        <f t="shared" si="15"/>
        <v>5228201</v>
      </c>
      <c r="H68" s="1311">
        <f>'[7]Table 4 Level 3'!F68+'[7]Table 4 Level 3'!H68</f>
        <v>-3659740</v>
      </c>
      <c r="I68" s="1311">
        <f t="shared" si="19"/>
        <v>1568461</v>
      </c>
      <c r="J68" s="1311">
        <f t="shared" si="16"/>
        <v>-522820</v>
      </c>
      <c r="K68" s="1312">
        <f>IF(H68&lt;0,0,'Table 3 Levels 1&amp;2'!C66)</f>
        <v>0</v>
      </c>
      <c r="L68" s="1308">
        <f t="shared" si="20"/>
        <v>0</v>
      </c>
      <c r="M68" s="1312">
        <f>'Table 3 Levels 1&amp;2'!C66</f>
        <v>2038</v>
      </c>
      <c r="N68" s="1308">
        <f t="shared" si="21"/>
        <v>203800</v>
      </c>
      <c r="O68" s="1308">
        <f t="shared" si="17"/>
        <v>1929597</v>
      </c>
      <c r="P68" s="1308">
        <f t="shared" si="18"/>
        <v>3471935.0199999996</v>
      </c>
    </row>
    <row r="69" spans="1:16" ht="15.6" customHeight="1">
      <c r="A69" s="1250">
        <v>64</v>
      </c>
      <c r="B69" s="1251" t="s">
        <v>143</v>
      </c>
      <c r="C69" s="1308">
        <v>592.66</v>
      </c>
      <c r="D69" s="1308">
        <f>'Table 8 Membership 2.1.14'!W66*'Table 3A Level 3'!C69</f>
        <v>1395121.64</v>
      </c>
      <c r="E69" s="1310">
        <v>0</v>
      </c>
      <c r="F69" s="1310">
        <v>0</v>
      </c>
      <c r="G69" s="1310">
        <f t="shared" si="15"/>
        <v>0</v>
      </c>
      <c r="H69" s="1311">
        <f>'[7]Table 4 Level 3'!F69+'[7]Table 4 Level 3'!H69</f>
        <v>0</v>
      </c>
      <c r="I69" s="1311">
        <f t="shared" si="19"/>
        <v>0</v>
      </c>
      <c r="J69" s="1311">
        <f t="shared" si="16"/>
        <v>0</v>
      </c>
      <c r="K69" s="1312">
        <f>IF(H69&lt;0,0,'Table 3 Levels 1&amp;2'!C67)</f>
        <v>2354</v>
      </c>
      <c r="L69" s="1308">
        <f t="shared" si="20"/>
        <v>131154</v>
      </c>
      <c r="M69" s="1312">
        <f>'Table 3 Levels 1&amp;2'!C67</f>
        <v>2354</v>
      </c>
      <c r="N69" s="1308">
        <f t="shared" si="21"/>
        <v>235400</v>
      </c>
      <c r="O69" s="1308">
        <f t="shared" si="17"/>
        <v>366554</v>
      </c>
      <c r="P69" s="1308">
        <f t="shared" si="18"/>
        <v>1761675.64</v>
      </c>
    </row>
    <row r="70" spans="1:16" ht="15.6" customHeight="1">
      <c r="A70" s="85">
        <v>65</v>
      </c>
      <c r="B70" s="207" t="s">
        <v>144</v>
      </c>
      <c r="C70" s="950">
        <v>829.12</v>
      </c>
      <c r="D70" s="950">
        <f>'Table 8 Membership 2.1.14'!W67*'Table 3A Level 3'!C70</f>
        <v>6778885.1200000001</v>
      </c>
      <c r="E70" s="949">
        <v>0</v>
      </c>
      <c r="F70" s="949">
        <v>0</v>
      </c>
      <c r="G70" s="949">
        <f t="shared" si="15"/>
        <v>0</v>
      </c>
      <c r="H70" s="947">
        <f>'[7]Table 4 Level 3'!F70+'[7]Table 4 Level 3'!H70</f>
        <v>0</v>
      </c>
      <c r="I70" s="947">
        <f>SUM(G70:H70)</f>
        <v>0</v>
      </c>
      <c r="J70" s="947">
        <f t="shared" si="16"/>
        <v>0</v>
      </c>
      <c r="K70" s="948">
        <f>IF(H70&lt;0,0,'Table 3 Levels 1&amp;2'!C68)</f>
        <v>8176</v>
      </c>
      <c r="L70" s="950">
        <f>ROUND($L$4*K70,0)</f>
        <v>455528</v>
      </c>
      <c r="M70" s="948">
        <f>'Table 3 Levels 1&amp;2'!C68</f>
        <v>8176</v>
      </c>
      <c r="N70" s="950">
        <f>ROUND(M70*$N$4,0)</f>
        <v>817600</v>
      </c>
      <c r="O70" s="950">
        <f t="shared" si="17"/>
        <v>1273128</v>
      </c>
      <c r="P70" s="950">
        <f t="shared" si="18"/>
        <v>8052013.1200000001</v>
      </c>
    </row>
    <row r="71" spans="1:16" ht="15.6" customHeight="1">
      <c r="A71" s="1250">
        <v>66</v>
      </c>
      <c r="B71" s="1251" t="s">
        <v>145</v>
      </c>
      <c r="C71" s="1308">
        <v>730.06</v>
      </c>
      <c r="D71" s="1309">
        <f>'Table 8 Membership 2.1.14'!W68*'Table 3A Level 3'!C71</f>
        <v>1476911.38</v>
      </c>
      <c r="E71" s="1310">
        <v>0</v>
      </c>
      <c r="F71" s="1310">
        <v>0</v>
      </c>
      <c r="G71" s="1310">
        <f>E71-F71</f>
        <v>0</v>
      </c>
      <c r="H71" s="1311">
        <f>'[7]Table 4 Level 3'!F71+'[7]Table 4 Level 3'!H71</f>
        <v>0</v>
      </c>
      <c r="I71" s="1311">
        <f>SUM(G71:H71)</f>
        <v>0</v>
      </c>
      <c r="J71" s="1311">
        <f t="shared" ref="J71:J74" si="22">ROUND(-I71/3,0)</f>
        <v>0</v>
      </c>
      <c r="K71" s="1312">
        <f>IF(H71&lt;0,0,'Table 3 Levels 1&amp;2'!C69)</f>
        <v>2023</v>
      </c>
      <c r="L71" s="1308">
        <f>ROUND($L$4*K71,0)</f>
        <v>112712</v>
      </c>
      <c r="M71" s="1312">
        <f>'Table 3 Levels 1&amp;2'!C69</f>
        <v>2023</v>
      </c>
      <c r="N71" s="1308">
        <f>ROUND(M71*$N$4,0)</f>
        <v>202300</v>
      </c>
      <c r="O71" s="1308">
        <f t="shared" ref="O71:O74" si="23">F71+G71+H71+J71+L71+N71</f>
        <v>315012</v>
      </c>
      <c r="P71" s="1308">
        <f t="shared" ref="P71:P74" si="24">D71+F71+G71+H71+J71+L71+N71</f>
        <v>1791923.38</v>
      </c>
    </row>
    <row r="72" spans="1:16" ht="15.6" customHeight="1">
      <c r="A72" s="1250">
        <v>67</v>
      </c>
      <c r="B72" s="1251" t="s">
        <v>30</v>
      </c>
      <c r="C72" s="1308">
        <v>715.61</v>
      </c>
      <c r="D72" s="1308">
        <f>'Table 8 Membership 2.1.14'!W69*'Table 3A Level 3'!C72</f>
        <v>3764824.21</v>
      </c>
      <c r="E72" s="1310">
        <v>0</v>
      </c>
      <c r="F72" s="1310">
        <v>0</v>
      </c>
      <c r="G72" s="1310">
        <f>E72-F72</f>
        <v>0</v>
      </c>
      <c r="H72" s="1311">
        <f>'[7]Table 4 Level 3'!F72+'[7]Table 4 Level 3'!H72</f>
        <v>0</v>
      </c>
      <c r="I72" s="1311">
        <f>SUM(G72:H72)</f>
        <v>0</v>
      </c>
      <c r="J72" s="1311">
        <f t="shared" si="22"/>
        <v>0</v>
      </c>
      <c r="K72" s="1312">
        <f>IF(H72&lt;0,0,'Table 3 Levels 1&amp;2'!C70)</f>
        <v>5261</v>
      </c>
      <c r="L72" s="1308">
        <f>ROUND($L$4*K72,0)</f>
        <v>293118</v>
      </c>
      <c r="M72" s="1312">
        <f>'Table 3 Levels 1&amp;2'!C70</f>
        <v>5261</v>
      </c>
      <c r="N72" s="1308">
        <f>ROUND(M72*$N$4,0)</f>
        <v>526100</v>
      </c>
      <c r="O72" s="1308">
        <f t="shared" si="23"/>
        <v>819218</v>
      </c>
      <c r="P72" s="1308">
        <f t="shared" si="24"/>
        <v>4584042.21</v>
      </c>
    </row>
    <row r="73" spans="1:16" ht="15.6" customHeight="1">
      <c r="A73" s="1250">
        <v>68</v>
      </c>
      <c r="B73" s="1251" t="s">
        <v>28</v>
      </c>
      <c r="C73" s="1308">
        <v>798.7</v>
      </c>
      <c r="D73" s="1308">
        <f>'Table 8 Membership 2.1.14'!W70*'Table 3A Level 3'!C73</f>
        <v>1285108.3</v>
      </c>
      <c r="E73" s="1310">
        <v>0</v>
      </c>
      <c r="F73" s="1310">
        <v>0</v>
      </c>
      <c r="G73" s="1310">
        <f>E73-F73</f>
        <v>0</v>
      </c>
      <c r="H73" s="1311">
        <f>'[7]Table 4 Level 3'!F73+'[7]Table 4 Level 3'!H73</f>
        <v>0</v>
      </c>
      <c r="I73" s="1311">
        <f>SUM(G73:H73)</f>
        <v>0</v>
      </c>
      <c r="J73" s="1311">
        <f t="shared" si="22"/>
        <v>0</v>
      </c>
      <c r="K73" s="1312">
        <f>IF(H73&lt;0,0,'Table 3 Levels 1&amp;2'!C71)</f>
        <v>1609</v>
      </c>
      <c r="L73" s="1308">
        <f>ROUND($L$4*K73,0)</f>
        <v>89646</v>
      </c>
      <c r="M73" s="1312">
        <f>'Table 3 Levels 1&amp;2'!C71</f>
        <v>1609</v>
      </c>
      <c r="N73" s="1308">
        <f>ROUND(M73*$N$4,0)</f>
        <v>160900</v>
      </c>
      <c r="O73" s="1308">
        <f t="shared" si="23"/>
        <v>250546</v>
      </c>
      <c r="P73" s="1308">
        <f t="shared" si="24"/>
        <v>1535654.3</v>
      </c>
    </row>
    <row r="74" spans="1:16" ht="15.6" customHeight="1">
      <c r="A74" s="84">
        <v>69</v>
      </c>
      <c r="B74" s="206" t="s">
        <v>183</v>
      </c>
      <c r="C74" s="953">
        <v>705.67</v>
      </c>
      <c r="D74" s="953">
        <f>'Table 8 Membership 2.1.14'!W71*'Table 3A Level 3'!C74</f>
        <v>3043554.71</v>
      </c>
      <c r="E74" s="1314">
        <v>0</v>
      </c>
      <c r="F74" s="1314">
        <v>0</v>
      </c>
      <c r="G74" s="1314">
        <f>E74-F74</f>
        <v>0</v>
      </c>
      <c r="H74" s="1315">
        <f>'[7]Table 4 Level 3'!F74+'[7]Table 4 Level 3'!H74</f>
        <v>0</v>
      </c>
      <c r="I74" s="1315">
        <f>SUM(G74:H74)</f>
        <v>0</v>
      </c>
      <c r="J74" s="1315">
        <f t="shared" si="22"/>
        <v>0</v>
      </c>
      <c r="K74" s="1316">
        <f>IF(H74&lt;0,0,'Table 3 Levels 1&amp;2'!C72)</f>
        <v>4313</v>
      </c>
      <c r="L74" s="953">
        <f>ROUND($L$4*K74,0)</f>
        <v>240300</v>
      </c>
      <c r="M74" s="1316">
        <f>'Table 3 Levels 1&amp;2'!C72</f>
        <v>4313</v>
      </c>
      <c r="N74" s="953">
        <f>ROUND(M74*$N$4,0)</f>
        <v>431300</v>
      </c>
      <c r="O74" s="953">
        <f t="shared" si="23"/>
        <v>671600</v>
      </c>
      <c r="P74" s="953">
        <f t="shared" si="24"/>
        <v>3715154.71</v>
      </c>
    </row>
    <row r="75" spans="1:16" s="8" customFormat="1" ht="15.6" customHeight="1" thickBot="1">
      <c r="A75" s="1266"/>
      <c r="B75" s="1267" t="s">
        <v>146</v>
      </c>
      <c r="C75" s="35">
        <f>D75/'Table 3 Levels 1&amp;2'!C73</f>
        <v>704.64781030742063</v>
      </c>
      <c r="D75" s="1268">
        <f>SUM(D6:D74)</f>
        <v>478152864.64030641</v>
      </c>
      <c r="E75" s="1317">
        <f t="shared" ref="E75:L75" si="25">SUM(E6:E74)</f>
        <v>76792933</v>
      </c>
      <c r="F75" s="1317">
        <f t="shared" si="25"/>
        <v>38336714</v>
      </c>
      <c r="G75" s="1317">
        <f t="shared" si="25"/>
        <v>38456219</v>
      </c>
      <c r="H75" s="1318">
        <f t="shared" si="25"/>
        <v>-27297127</v>
      </c>
      <c r="I75" s="1318">
        <f t="shared" si="25"/>
        <v>11159092</v>
      </c>
      <c r="J75" s="1318">
        <f t="shared" si="25"/>
        <v>-3719696</v>
      </c>
      <c r="K75" s="1319">
        <f t="shared" si="25"/>
        <v>556703</v>
      </c>
      <c r="L75" s="1317">
        <f t="shared" si="25"/>
        <v>31016828</v>
      </c>
      <c r="M75" s="1320">
        <f>SUM(M6:M74)</f>
        <v>678570</v>
      </c>
      <c r="N75" s="1321">
        <f>SUM(N6:N74)</f>
        <v>67857000</v>
      </c>
      <c r="O75" s="1321">
        <f>SUM(O6:O74)</f>
        <v>144649938</v>
      </c>
      <c r="P75" s="1321">
        <f>SUM(P6:P74)</f>
        <v>622802802.64030635</v>
      </c>
    </row>
    <row r="76" spans="1:16" s="8" customFormat="1" ht="13.8" thickTop="1">
      <c r="A76" s="248"/>
      <c r="B76" s="249"/>
      <c r="C76" s="2127"/>
      <c r="D76" s="2128"/>
      <c r="E76" s="373"/>
      <c r="F76" s="373"/>
      <c r="G76" s="373"/>
      <c r="H76" s="374"/>
      <c r="I76" s="374"/>
      <c r="J76" s="916"/>
      <c r="K76" s="375"/>
      <c r="L76" s="373"/>
      <c r="M76" s="376"/>
      <c r="N76" s="188"/>
      <c r="O76" s="188"/>
      <c r="P76" s="188"/>
    </row>
    <row r="77" spans="1:16">
      <c r="A77" s="53"/>
      <c r="B77" s="53"/>
    </row>
  </sheetData>
  <mergeCells count="18">
    <mergeCell ref="A2:A4"/>
    <mergeCell ref="B2:B4"/>
    <mergeCell ref="C3:C4"/>
    <mergeCell ref="D3:D4"/>
    <mergeCell ref="C2:D2"/>
    <mergeCell ref="C76:D76"/>
    <mergeCell ref="O2:O4"/>
    <mergeCell ref="J3:J4"/>
    <mergeCell ref="K3:K4"/>
    <mergeCell ref="P2:P4"/>
    <mergeCell ref="E2:L2"/>
    <mergeCell ref="M3:M4"/>
    <mergeCell ref="H3:H4"/>
    <mergeCell ref="F3:F4"/>
    <mergeCell ref="M2:N2"/>
    <mergeCell ref="I3:I4"/>
    <mergeCell ref="G3:G4"/>
    <mergeCell ref="E3:E4"/>
  </mergeCells>
  <phoneticPr fontId="0" type="noConversion"/>
  <printOptions horizontalCentered="1"/>
  <pageMargins left="0.25" right="0.24" top="1.08" bottom="0.27" header="0.32" footer="0.35"/>
  <pageSetup paperSize="5" scale="73" firstPageNumber="32" orientation="portrait" r:id="rId1"/>
  <headerFooter alignWithMargins="0">
    <oddHeader>&amp;L&amp;"Arial,Bold"&amp;18&amp;K000000Table 3A:  FY2014-15 Budget Letter  &amp;20
Level 3 Legislative Allocations</oddHeader>
    <oddFooter>&amp;R&amp;12&amp;P</oddFooter>
  </headerFooter>
  <colBreaks count="2" manualBreakCount="2">
    <brk id="12" max="74" man="1"/>
    <brk id="16" max="78"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9"/>
  <sheetViews>
    <sheetView view="pageBreakPreview" zoomScale="69" zoomScaleNormal="80" zoomScaleSheetLayoutView="69" workbookViewId="0">
      <pane xSplit="3" ySplit="4" topLeftCell="D173" activePane="bottomRight" state="frozen"/>
      <selection sqref="A1:H1"/>
      <selection pane="topRight" sqref="A1:H1"/>
      <selection pane="bottomLeft" sqref="A1:H1"/>
      <selection pane="bottomRight" sqref="A1:H1"/>
    </sheetView>
  </sheetViews>
  <sheetFormatPr defaultColWidth="9.109375" defaultRowHeight="13.2"/>
  <cols>
    <col min="1" max="1" width="8.44140625" style="556" hidden="1" customWidth="1"/>
    <col min="2" max="2" width="8.44140625" style="828" bestFit="1" customWidth="1"/>
    <col min="3" max="3" width="52.33203125" style="558" customWidth="1"/>
    <col min="4" max="4" width="14.33203125" style="556" customWidth="1"/>
    <col min="5" max="5" width="16.6640625" style="556" customWidth="1"/>
    <col min="6" max="6" width="11.88671875" style="558" customWidth="1"/>
    <col min="7" max="7" width="10.6640625" style="558" bestFit="1" customWidth="1"/>
    <col min="8" max="8" width="13.44140625" style="556" customWidth="1"/>
    <col min="9" max="9" width="11.33203125" style="556" bestFit="1" customWidth="1"/>
    <col min="10" max="10" width="12.33203125" style="556" bestFit="1" customWidth="1"/>
    <col min="11" max="11" width="16.44140625" style="558" customWidth="1"/>
    <col min="12" max="12" width="12.88671875" style="558" customWidth="1"/>
    <col min="13" max="13" width="13.44140625" style="558" customWidth="1"/>
    <col min="14" max="14" width="14.6640625" style="558" customWidth="1"/>
    <col min="15" max="15" width="15.6640625" style="556" customWidth="1"/>
    <col min="16" max="16384" width="9.109375" style="556"/>
  </cols>
  <sheetData>
    <row r="1" spans="1:15" ht="48.6" customHeight="1">
      <c r="B1" s="2151" t="s">
        <v>173</v>
      </c>
      <c r="C1" s="2151" t="s">
        <v>203</v>
      </c>
      <c r="D1" s="2154" t="s">
        <v>1098</v>
      </c>
      <c r="E1" s="2155"/>
      <c r="F1" s="2156" t="s">
        <v>1058</v>
      </c>
      <c r="G1" s="2157"/>
      <c r="H1" s="2157"/>
      <c r="I1" s="2157"/>
      <c r="J1" s="2158"/>
      <c r="K1" s="2172" t="s">
        <v>1096</v>
      </c>
      <c r="L1" s="2159" t="s">
        <v>1059</v>
      </c>
      <c r="M1" s="2170" t="s">
        <v>1097</v>
      </c>
      <c r="N1" s="2171"/>
      <c r="O1" s="2163" t="s">
        <v>1015</v>
      </c>
    </row>
    <row r="2" spans="1:15" ht="95.4" customHeight="1">
      <c r="B2" s="2152"/>
      <c r="C2" s="2152"/>
      <c r="D2" s="1060" t="s">
        <v>916</v>
      </c>
      <c r="E2" s="1043" t="s">
        <v>877</v>
      </c>
      <c r="F2" s="2166" t="s">
        <v>1016</v>
      </c>
      <c r="G2" s="1963" t="s">
        <v>878</v>
      </c>
      <c r="H2" s="2166" t="s">
        <v>1017</v>
      </c>
      <c r="I2" s="1963" t="s">
        <v>879</v>
      </c>
      <c r="J2" s="2166" t="s">
        <v>869</v>
      </c>
      <c r="K2" s="2173"/>
      <c r="L2" s="2160"/>
      <c r="M2" s="2168" t="s">
        <v>1018</v>
      </c>
      <c r="N2" s="1984" t="s">
        <v>1022</v>
      </c>
      <c r="O2" s="2164"/>
    </row>
    <row r="3" spans="1:15">
      <c r="B3" s="2153"/>
      <c r="C3" s="2153"/>
      <c r="D3" s="1061"/>
      <c r="E3" s="1961">
        <v>21000</v>
      </c>
      <c r="F3" s="2167"/>
      <c r="G3" s="1962">
        <v>6000</v>
      </c>
      <c r="H3" s="2167"/>
      <c r="I3" s="1962">
        <v>4000</v>
      </c>
      <c r="J3" s="2167"/>
      <c r="K3" s="1991"/>
      <c r="L3" s="2161"/>
      <c r="M3" s="2169"/>
      <c r="N3" s="1062">
        <v>26</v>
      </c>
      <c r="O3" s="2165"/>
    </row>
    <row r="4" spans="1:15">
      <c r="B4" s="1110"/>
      <c r="C4" s="1119"/>
      <c r="D4" s="1120">
        <v>1</v>
      </c>
      <c r="E4" s="1120">
        <f>D4+1</f>
        <v>2</v>
      </c>
      <c r="F4" s="1120">
        <f t="shared" ref="F4:L4" si="0">E4+1</f>
        <v>3</v>
      </c>
      <c r="G4" s="1120">
        <f t="shared" si="0"/>
        <v>4</v>
      </c>
      <c r="H4" s="1120">
        <f t="shared" si="0"/>
        <v>5</v>
      </c>
      <c r="I4" s="1120">
        <f t="shared" si="0"/>
        <v>6</v>
      </c>
      <c r="J4" s="1120">
        <f t="shared" si="0"/>
        <v>7</v>
      </c>
      <c r="K4" s="1120">
        <f t="shared" si="0"/>
        <v>8</v>
      </c>
      <c r="L4" s="1120">
        <f t="shared" si="0"/>
        <v>9</v>
      </c>
      <c r="M4" s="1120">
        <f>L4+1</f>
        <v>10</v>
      </c>
      <c r="N4" s="1120">
        <f t="shared" ref="N4:O4" si="1">M4+1</f>
        <v>11</v>
      </c>
      <c r="O4" s="1120">
        <f t="shared" si="1"/>
        <v>12</v>
      </c>
    </row>
    <row r="5" spans="1:15">
      <c r="A5" s="556">
        <f>+VALUE(B5)</f>
        <v>1</v>
      </c>
      <c r="B5" s="1322">
        <v>1</v>
      </c>
      <c r="C5" s="1323" t="s">
        <v>81</v>
      </c>
      <c r="D5" s="1751">
        <v>0</v>
      </c>
      <c r="E5" s="1324">
        <f t="shared" ref="E5:E68" si="2">ROUND($E$3*D5,0)</f>
        <v>0</v>
      </c>
      <c r="F5" s="1751"/>
      <c r="G5" s="1325">
        <f>ROUND($G$3*F5,0)</f>
        <v>0</v>
      </c>
      <c r="H5" s="1751"/>
      <c r="I5" s="1325">
        <f>ROUND($I$3*H5,0)</f>
        <v>0</v>
      </c>
      <c r="J5" s="1964">
        <f>G5+I5</f>
        <v>0</v>
      </c>
      <c r="K5" s="1326"/>
      <c r="L5" s="1985"/>
      <c r="M5" s="1751">
        <f>'[8]7-12 by LEA'!K7</f>
        <v>3940</v>
      </c>
      <c r="N5" s="1325">
        <f>ROUND(M5*$N$3,0)</f>
        <v>102440</v>
      </c>
      <c r="O5" s="1978">
        <f t="shared" ref="O5:O68" si="3">+K5+J5+E5+L5+N5</f>
        <v>102440</v>
      </c>
    </row>
    <row r="6" spans="1:15">
      <c r="A6" s="556">
        <f t="shared" ref="A6:A69" si="4">+VALUE(B6)</f>
        <v>2</v>
      </c>
      <c r="B6" s="1327">
        <v>2</v>
      </c>
      <c r="C6" s="1328" t="s">
        <v>82</v>
      </c>
      <c r="D6" s="1752">
        <v>0</v>
      </c>
      <c r="E6" s="1329">
        <f t="shared" si="2"/>
        <v>0</v>
      </c>
      <c r="F6" s="1752"/>
      <c r="G6" s="1330">
        <f t="shared" ref="G6:G69" si="5">ROUND($G$3*F6,0)</f>
        <v>0</v>
      </c>
      <c r="H6" s="1752"/>
      <c r="I6" s="1330">
        <f t="shared" ref="I6:I69" si="6">ROUND($I$3*H6,0)</f>
        <v>0</v>
      </c>
      <c r="J6" s="1965">
        <f t="shared" ref="J6:J69" si="7">G6+I6</f>
        <v>0</v>
      </c>
      <c r="K6" s="1331"/>
      <c r="L6" s="1986"/>
      <c r="M6" s="1752">
        <f>'[8]7-12 by LEA'!K8</f>
        <v>1706</v>
      </c>
      <c r="N6" s="1330">
        <f t="shared" ref="N6:N69" si="8">ROUND(M6*$N$3,0)</f>
        <v>44356</v>
      </c>
      <c r="O6" s="1979">
        <f t="shared" si="3"/>
        <v>44356</v>
      </c>
    </row>
    <row r="7" spans="1:15">
      <c r="A7" s="556">
        <f t="shared" si="4"/>
        <v>3</v>
      </c>
      <c r="B7" s="1327">
        <v>3</v>
      </c>
      <c r="C7" s="1328" t="s">
        <v>83</v>
      </c>
      <c r="D7" s="1752">
        <v>0</v>
      </c>
      <c r="E7" s="1329">
        <f t="shared" si="2"/>
        <v>0</v>
      </c>
      <c r="F7" s="1752"/>
      <c r="G7" s="1330">
        <f t="shared" si="5"/>
        <v>0</v>
      </c>
      <c r="H7" s="1752"/>
      <c r="I7" s="1330">
        <f t="shared" si="6"/>
        <v>0</v>
      </c>
      <c r="J7" s="1965">
        <f t="shared" si="7"/>
        <v>0</v>
      </c>
      <c r="K7" s="1331"/>
      <c r="L7" s="1986"/>
      <c r="M7" s="1752">
        <f>'[8]7-12 by LEA'!K9</f>
        <v>9290</v>
      </c>
      <c r="N7" s="1330">
        <f t="shared" si="8"/>
        <v>241540</v>
      </c>
      <c r="O7" s="1979">
        <f t="shared" si="3"/>
        <v>241540</v>
      </c>
    </row>
    <row r="8" spans="1:15">
      <c r="A8" s="556">
        <f t="shared" si="4"/>
        <v>4</v>
      </c>
      <c r="B8" s="1327">
        <v>4</v>
      </c>
      <c r="C8" s="1328" t="s">
        <v>84</v>
      </c>
      <c r="D8" s="1752">
        <v>4</v>
      </c>
      <c r="E8" s="1329">
        <f t="shared" si="2"/>
        <v>84000</v>
      </c>
      <c r="F8" s="1752"/>
      <c r="G8" s="1330">
        <f t="shared" si="5"/>
        <v>0</v>
      </c>
      <c r="H8" s="1752"/>
      <c r="I8" s="1330">
        <f t="shared" si="6"/>
        <v>0</v>
      </c>
      <c r="J8" s="1965">
        <f t="shared" si="7"/>
        <v>0</v>
      </c>
      <c r="K8" s="1331"/>
      <c r="L8" s="1986"/>
      <c r="M8" s="1752">
        <f>'[8]7-12 by LEA'!K10</f>
        <v>1614</v>
      </c>
      <c r="N8" s="1330">
        <f t="shared" si="8"/>
        <v>41964</v>
      </c>
      <c r="O8" s="1979">
        <f t="shared" si="3"/>
        <v>125964</v>
      </c>
    </row>
    <row r="9" spans="1:15">
      <c r="A9" s="556">
        <f t="shared" si="4"/>
        <v>5</v>
      </c>
      <c r="B9" s="1111">
        <v>5</v>
      </c>
      <c r="C9" s="1112" t="s">
        <v>85</v>
      </c>
      <c r="D9" s="1753">
        <v>0</v>
      </c>
      <c r="E9" s="1121">
        <f t="shared" si="2"/>
        <v>0</v>
      </c>
      <c r="F9" s="1753"/>
      <c r="G9" s="894">
        <f t="shared" si="5"/>
        <v>0</v>
      </c>
      <c r="H9" s="1753"/>
      <c r="I9" s="894">
        <f t="shared" si="6"/>
        <v>0</v>
      </c>
      <c r="J9" s="1966">
        <f t="shared" si="7"/>
        <v>0</v>
      </c>
      <c r="K9" s="827"/>
      <c r="L9" s="1987"/>
      <c r="M9" s="1753">
        <f>'[8]7-12 by LEA'!K11</f>
        <v>2452</v>
      </c>
      <c r="N9" s="894">
        <f t="shared" si="8"/>
        <v>63752</v>
      </c>
      <c r="O9" s="1980">
        <f t="shared" si="3"/>
        <v>63752</v>
      </c>
    </row>
    <row r="10" spans="1:15">
      <c r="A10" s="556">
        <f t="shared" si="4"/>
        <v>6</v>
      </c>
      <c r="B10" s="1322">
        <v>6</v>
      </c>
      <c r="C10" s="1323" t="s">
        <v>86</v>
      </c>
      <c r="D10" s="1751">
        <v>0</v>
      </c>
      <c r="E10" s="1324">
        <f t="shared" si="2"/>
        <v>0</v>
      </c>
      <c r="F10" s="1751"/>
      <c r="G10" s="1325">
        <f t="shared" si="5"/>
        <v>0</v>
      </c>
      <c r="H10" s="1751"/>
      <c r="I10" s="1325">
        <f t="shared" si="6"/>
        <v>0</v>
      </c>
      <c r="J10" s="1964">
        <f t="shared" si="7"/>
        <v>0</v>
      </c>
      <c r="K10" s="1326"/>
      <c r="L10" s="1985"/>
      <c r="M10" s="1751">
        <f>'[8]7-12 by LEA'!K12</f>
        <v>2712</v>
      </c>
      <c r="N10" s="1325">
        <f t="shared" si="8"/>
        <v>70512</v>
      </c>
      <c r="O10" s="1978">
        <f t="shared" si="3"/>
        <v>70512</v>
      </c>
    </row>
    <row r="11" spans="1:15">
      <c r="A11" s="556">
        <f t="shared" si="4"/>
        <v>7</v>
      </c>
      <c r="B11" s="1327">
        <v>7</v>
      </c>
      <c r="C11" s="1328" t="s">
        <v>87</v>
      </c>
      <c r="D11" s="1752">
        <v>0</v>
      </c>
      <c r="E11" s="1329">
        <f t="shared" si="2"/>
        <v>0</v>
      </c>
      <c r="F11" s="1752"/>
      <c r="G11" s="1330">
        <f t="shared" si="5"/>
        <v>0</v>
      </c>
      <c r="H11" s="1752"/>
      <c r="I11" s="1330">
        <f t="shared" si="6"/>
        <v>0</v>
      </c>
      <c r="J11" s="1965">
        <f t="shared" si="7"/>
        <v>0</v>
      </c>
      <c r="K11" s="1331"/>
      <c r="L11" s="1986"/>
      <c r="M11" s="1752">
        <f>'[8]7-12 by LEA'!K13</f>
        <v>921</v>
      </c>
      <c r="N11" s="1330">
        <f t="shared" si="8"/>
        <v>23946</v>
      </c>
      <c r="O11" s="1979">
        <f t="shared" si="3"/>
        <v>23946</v>
      </c>
    </row>
    <row r="12" spans="1:15">
      <c r="A12" s="556">
        <f t="shared" si="4"/>
        <v>8</v>
      </c>
      <c r="B12" s="1327">
        <v>8</v>
      </c>
      <c r="C12" s="1328" t="s">
        <v>88</v>
      </c>
      <c r="D12" s="1752">
        <v>3</v>
      </c>
      <c r="E12" s="1329">
        <f t="shared" si="2"/>
        <v>63000</v>
      </c>
      <c r="F12" s="1752"/>
      <c r="G12" s="1330">
        <f t="shared" si="5"/>
        <v>0</v>
      </c>
      <c r="H12" s="1752"/>
      <c r="I12" s="1330">
        <f t="shared" si="6"/>
        <v>0</v>
      </c>
      <c r="J12" s="1965">
        <f t="shared" si="7"/>
        <v>0</v>
      </c>
      <c r="K12" s="1331"/>
      <c r="L12" s="1986"/>
      <c r="M12" s="1752">
        <f>'[8]7-12 by LEA'!K14</f>
        <v>8993</v>
      </c>
      <c r="N12" s="1330">
        <f t="shared" si="8"/>
        <v>233818</v>
      </c>
      <c r="O12" s="1979">
        <f t="shared" si="3"/>
        <v>296818</v>
      </c>
    </row>
    <row r="13" spans="1:15">
      <c r="A13" s="556">
        <f t="shared" si="4"/>
        <v>9</v>
      </c>
      <c r="B13" s="1327">
        <v>9</v>
      </c>
      <c r="C13" s="1328" t="s">
        <v>89</v>
      </c>
      <c r="D13" s="1752">
        <v>17</v>
      </c>
      <c r="E13" s="1329">
        <f t="shared" si="2"/>
        <v>357000</v>
      </c>
      <c r="F13" s="1752"/>
      <c r="G13" s="1330">
        <f t="shared" si="5"/>
        <v>0</v>
      </c>
      <c r="H13" s="1752"/>
      <c r="I13" s="1330">
        <f t="shared" si="6"/>
        <v>0</v>
      </c>
      <c r="J13" s="1965">
        <f t="shared" si="7"/>
        <v>0</v>
      </c>
      <c r="K13" s="1331"/>
      <c r="L13" s="1986"/>
      <c r="M13" s="1752">
        <f>'[8]7-12 by LEA'!K15</f>
        <v>16655</v>
      </c>
      <c r="N13" s="1330">
        <f t="shared" si="8"/>
        <v>433030</v>
      </c>
      <c r="O13" s="1979">
        <f t="shared" si="3"/>
        <v>790030</v>
      </c>
    </row>
    <row r="14" spans="1:15">
      <c r="A14" s="556">
        <f t="shared" si="4"/>
        <v>10</v>
      </c>
      <c r="B14" s="1111">
        <v>10</v>
      </c>
      <c r="C14" s="1112" t="s">
        <v>90</v>
      </c>
      <c r="D14" s="1753">
        <v>31</v>
      </c>
      <c r="E14" s="1121">
        <f t="shared" si="2"/>
        <v>651000</v>
      </c>
      <c r="F14" s="1753"/>
      <c r="G14" s="894">
        <f t="shared" si="5"/>
        <v>0</v>
      </c>
      <c r="H14" s="1753"/>
      <c r="I14" s="894">
        <f t="shared" si="6"/>
        <v>0</v>
      </c>
      <c r="J14" s="1966">
        <f t="shared" si="7"/>
        <v>0</v>
      </c>
      <c r="K14" s="827"/>
      <c r="L14" s="1987"/>
      <c r="M14" s="1753">
        <f>'[8]7-12 by LEA'!K16</f>
        <v>13418</v>
      </c>
      <c r="N14" s="894">
        <f t="shared" si="8"/>
        <v>348868</v>
      </c>
      <c r="O14" s="1980">
        <f t="shared" si="3"/>
        <v>999868</v>
      </c>
    </row>
    <row r="15" spans="1:15">
      <c r="A15" s="556">
        <f t="shared" si="4"/>
        <v>11</v>
      </c>
      <c r="B15" s="1322">
        <v>11</v>
      </c>
      <c r="C15" s="1323" t="s">
        <v>91</v>
      </c>
      <c r="D15" s="1751">
        <v>0</v>
      </c>
      <c r="E15" s="1324">
        <f t="shared" si="2"/>
        <v>0</v>
      </c>
      <c r="F15" s="1751"/>
      <c r="G15" s="1325">
        <f t="shared" si="5"/>
        <v>0</v>
      </c>
      <c r="H15" s="1751"/>
      <c r="I15" s="1325">
        <f t="shared" si="6"/>
        <v>0</v>
      </c>
      <c r="J15" s="1964">
        <f t="shared" si="7"/>
        <v>0</v>
      </c>
      <c r="K15" s="1326"/>
      <c r="L15" s="1985"/>
      <c r="M15" s="1751">
        <f>'[8]7-12 by LEA'!K17</f>
        <v>653</v>
      </c>
      <c r="N15" s="1325">
        <f t="shared" si="8"/>
        <v>16978</v>
      </c>
      <c r="O15" s="1978">
        <f t="shared" si="3"/>
        <v>16978</v>
      </c>
    </row>
    <row r="16" spans="1:15">
      <c r="A16" s="556">
        <f t="shared" si="4"/>
        <v>12</v>
      </c>
      <c r="B16" s="1327">
        <v>12</v>
      </c>
      <c r="C16" s="1328" t="s">
        <v>92</v>
      </c>
      <c r="D16" s="1752">
        <v>2</v>
      </c>
      <c r="E16" s="1329">
        <f t="shared" si="2"/>
        <v>42000</v>
      </c>
      <c r="F16" s="1752"/>
      <c r="G16" s="1330">
        <f t="shared" si="5"/>
        <v>0</v>
      </c>
      <c r="H16" s="1752"/>
      <c r="I16" s="1330">
        <f t="shared" si="6"/>
        <v>0</v>
      </c>
      <c r="J16" s="1965">
        <f t="shared" si="7"/>
        <v>0</v>
      </c>
      <c r="K16" s="1331"/>
      <c r="L16" s="1986"/>
      <c r="M16" s="1752">
        <f>'[8]7-12 by LEA'!K18</f>
        <v>564</v>
      </c>
      <c r="N16" s="1330">
        <f t="shared" si="8"/>
        <v>14664</v>
      </c>
      <c r="O16" s="1979">
        <f t="shared" si="3"/>
        <v>56664</v>
      </c>
    </row>
    <row r="17" spans="1:15">
      <c r="A17" s="556">
        <f t="shared" si="4"/>
        <v>13</v>
      </c>
      <c r="B17" s="1327">
        <v>13</v>
      </c>
      <c r="C17" s="1328" t="s">
        <v>93</v>
      </c>
      <c r="D17" s="1752">
        <v>0</v>
      </c>
      <c r="E17" s="1329">
        <f t="shared" si="2"/>
        <v>0</v>
      </c>
      <c r="F17" s="1752"/>
      <c r="G17" s="1330">
        <f t="shared" si="5"/>
        <v>0</v>
      </c>
      <c r="H17" s="1752"/>
      <c r="I17" s="1330">
        <f t="shared" si="6"/>
        <v>0</v>
      </c>
      <c r="J17" s="1965">
        <f t="shared" si="7"/>
        <v>0</v>
      </c>
      <c r="K17" s="1331"/>
      <c r="L17" s="1986"/>
      <c r="M17" s="1752">
        <f>'[8]7-12 by LEA'!K19</f>
        <v>576</v>
      </c>
      <c r="N17" s="1330">
        <f t="shared" si="8"/>
        <v>14976</v>
      </c>
      <c r="O17" s="1979">
        <f t="shared" si="3"/>
        <v>14976</v>
      </c>
    </row>
    <row r="18" spans="1:15">
      <c r="A18" s="556">
        <f t="shared" si="4"/>
        <v>14</v>
      </c>
      <c r="B18" s="1327">
        <v>14</v>
      </c>
      <c r="C18" s="1328" t="s">
        <v>94</v>
      </c>
      <c r="D18" s="1752">
        <v>0</v>
      </c>
      <c r="E18" s="1329">
        <f t="shared" si="2"/>
        <v>0</v>
      </c>
      <c r="F18" s="1752"/>
      <c r="G18" s="1330">
        <f t="shared" si="5"/>
        <v>0</v>
      </c>
      <c r="H18" s="1752"/>
      <c r="I18" s="1330">
        <f t="shared" si="6"/>
        <v>0</v>
      </c>
      <c r="J18" s="1965">
        <f t="shared" si="7"/>
        <v>0</v>
      </c>
      <c r="K18" s="1331"/>
      <c r="L18" s="1986"/>
      <c r="M18" s="1752">
        <f>'[8]7-12 by LEA'!K20</f>
        <v>732</v>
      </c>
      <c r="N18" s="1330">
        <f t="shared" si="8"/>
        <v>19032</v>
      </c>
      <c r="O18" s="1979">
        <f t="shared" si="3"/>
        <v>19032</v>
      </c>
    </row>
    <row r="19" spans="1:15">
      <c r="A19" s="556">
        <f t="shared" si="4"/>
        <v>15</v>
      </c>
      <c r="B19" s="1111">
        <v>15</v>
      </c>
      <c r="C19" s="1112" t="s">
        <v>95</v>
      </c>
      <c r="D19" s="1753">
        <v>2</v>
      </c>
      <c r="E19" s="1121">
        <f t="shared" si="2"/>
        <v>42000</v>
      </c>
      <c r="F19" s="1753"/>
      <c r="G19" s="894">
        <f t="shared" si="5"/>
        <v>0</v>
      </c>
      <c r="H19" s="1753"/>
      <c r="I19" s="894">
        <f t="shared" si="6"/>
        <v>0</v>
      </c>
      <c r="J19" s="1966">
        <f t="shared" si="7"/>
        <v>0</v>
      </c>
      <c r="K19" s="827"/>
      <c r="L19" s="1987"/>
      <c r="M19" s="1753">
        <f>'[8]7-12 by LEA'!K21</f>
        <v>1422</v>
      </c>
      <c r="N19" s="894">
        <f t="shared" si="8"/>
        <v>36972</v>
      </c>
      <c r="O19" s="1980">
        <f t="shared" si="3"/>
        <v>78972</v>
      </c>
    </row>
    <row r="20" spans="1:15">
      <c r="A20" s="556">
        <f t="shared" si="4"/>
        <v>16</v>
      </c>
      <c r="B20" s="1322">
        <v>16</v>
      </c>
      <c r="C20" s="1323" t="s">
        <v>96</v>
      </c>
      <c r="D20" s="1751">
        <v>1</v>
      </c>
      <c r="E20" s="1324">
        <f t="shared" si="2"/>
        <v>21000</v>
      </c>
      <c r="F20" s="1751"/>
      <c r="G20" s="1325">
        <f t="shared" si="5"/>
        <v>0</v>
      </c>
      <c r="H20" s="1751"/>
      <c r="I20" s="1325">
        <f t="shared" si="6"/>
        <v>0</v>
      </c>
      <c r="J20" s="1964">
        <f t="shared" si="7"/>
        <v>0</v>
      </c>
      <c r="K20" s="1326"/>
      <c r="L20" s="1985"/>
      <c r="M20" s="1751">
        <f>'[8]7-12 by LEA'!K22</f>
        <v>2120</v>
      </c>
      <c r="N20" s="1325">
        <f t="shared" si="8"/>
        <v>55120</v>
      </c>
      <c r="O20" s="1978">
        <f t="shared" si="3"/>
        <v>76120</v>
      </c>
    </row>
    <row r="21" spans="1:15">
      <c r="A21" s="556">
        <f t="shared" si="4"/>
        <v>17</v>
      </c>
      <c r="B21" s="1327">
        <v>17</v>
      </c>
      <c r="C21" s="1328" t="s">
        <v>97</v>
      </c>
      <c r="D21" s="1752">
        <v>14</v>
      </c>
      <c r="E21" s="1329">
        <f t="shared" si="2"/>
        <v>294000</v>
      </c>
      <c r="F21" s="1752"/>
      <c r="G21" s="1330">
        <f t="shared" si="5"/>
        <v>0</v>
      </c>
      <c r="H21" s="1752"/>
      <c r="I21" s="1330">
        <f t="shared" si="6"/>
        <v>0</v>
      </c>
      <c r="J21" s="1965">
        <f t="shared" si="7"/>
        <v>0</v>
      </c>
      <c r="K21" s="1331"/>
      <c r="L21" s="1986"/>
      <c r="M21" s="1752">
        <f>'[8]7-12 by LEA'!K23</f>
        <v>16633</v>
      </c>
      <c r="N21" s="1330">
        <f t="shared" si="8"/>
        <v>432458</v>
      </c>
      <c r="O21" s="1979">
        <f t="shared" si="3"/>
        <v>726458</v>
      </c>
    </row>
    <row r="22" spans="1:15">
      <c r="A22" s="556">
        <f t="shared" si="4"/>
        <v>18</v>
      </c>
      <c r="B22" s="1327">
        <v>18</v>
      </c>
      <c r="C22" s="1328" t="s">
        <v>98</v>
      </c>
      <c r="D22" s="1752">
        <v>1</v>
      </c>
      <c r="E22" s="1329">
        <f t="shared" si="2"/>
        <v>21000</v>
      </c>
      <c r="F22" s="1752"/>
      <c r="G22" s="1330">
        <f t="shared" si="5"/>
        <v>0</v>
      </c>
      <c r="H22" s="1752"/>
      <c r="I22" s="1330">
        <f t="shared" si="6"/>
        <v>0</v>
      </c>
      <c r="J22" s="1965">
        <f t="shared" si="7"/>
        <v>0</v>
      </c>
      <c r="K22" s="1331"/>
      <c r="L22" s="1986"/>
      <c r="M22" s="1752">
        <f>'[8]7-12 by LEA'!K24</f>
        <v>429</v>
      </c>
      <c r="N22" s="1330">
        <f t="shared" si="8"/>
        <v>11154</v>
      </c>
      <c r="O22" s="1979">
        <f t="shared" si="3"/>
        <v>32154</v>
      </c>
    </row>
    <row r="23" spans="1:15">
      <c r="A23" s="556">
        <f t="shared" si="4"/>
        <v>19</v>
      </c>
      <c r="B23" s="1327">
        <v>19</v>
      </c>
      <c r="C23" s="1328" t="s">
        <v>99</v>
      </c>
      <c r="D23" s="1752">
        <v>0</v>
      </c>
      <c r="E23" s="1329">
        <f t="shared" si="2"/>
        <v>0</v>
      </c>
      <c r="F23" s="1752"/>
      <c r="G23" s="1330">
        <f t="shared" si="5"/>
        <v>0</v>
      </c>
      <c r="H23" s="1752"/>
      <c r="I23" s="1330">
        <f t="shared" si="6"/>
        <v>0</v>
      </c>
      <c r="J23" s="1965">
        <f t="shared" si="7"/>
        <v>0</v>
      </c>
      <c r="K23" s="1331"/>
      <c r="L23" s="1986"/>
      <c r="M23" s="1752">
        <f>'[8]7-12 by LEA'!K25</f>
        <v>765</v>
      </c>
      <c r="N23" s="1330">
        <f t="shared" si="8"/>
        <v>19890</v>
      </c>
      <c r="O23" s="1979">
        <f t="shared" si="3"/>
        <v>19890</v>
      </c>
    </row>
    <row r="24" spans="1:15">
      <c r="A24" s="556">
        <f t="shared" si="4"/>
        <v>20</v>
      </c>
      <c r="B24" s="1111">
        <v>20</v>
      </c>
      <c r="C24" s="1112" t="s">
        <v>100</v>
      </c>
      <c r="D24" s="1753">
        <v>0</v>
      </c>
      <c r="E24" s="1121">
        <f t="shared" si="2"/>
        <v>0</v>
      </c>
      <c r="F24" s="1753"/>
      <c r="G24" s="894">
        <f t="shared" si="5"/>
        <v>0</v>
      </c>
      <c r="H24" s="1753"/>
      <c r="I24" s="894">
        <f t="shared" si="6"/>
        <v>0</v>
      </c>
      <c r="J24" s="1966">
        <f t="shared" si="7"/>
        <v>0</v>
      </c>
      <c r="K24" s="827"/>
      <c r="L24" s="1987"/>
      <c r="M24" s="1753">
        <f>'[8]7-12 by LEA'!K26</f>
        <v>2418</v>
      </c>
      <c r="N24" s="894">
        <f t="shared" si="8"/>
        <v>62868</v>
      </c>
      <c r="O24" s="1980">
        <f t="shared" si="3"/>
        <v>62868</v>
      </c>
    </row>
    <row r="25" spans="1:15">
      <c r="A25" s="556">
        <f t="shared" si="4"/>
        <v>21</v>
      </c>
      <c r="B25" s="1322">
        <v>21</v>
      </c>
      <c r="C25" s="1323" t="s">
        <v>101</v>
      </c>
      <c r="D25" s="1751">
        <v>0</v>
      </c>
      <c r="E25" s="1324">
        <f t="shared" si="2"/>
        <v>0</v>
      </c>
      <c r="F25" s="1751"/>
      <c r="G25" s="1325">
        <f t="shared" si="5"/>
        <v>0</v>
      </c>
      <c r="H25" s="1751"/>
      <c r="I25" s="1325">
        <f t="shared" si="6"/>
        <v>0</v>
      </c>
      <c r="J25" s="1964">
        <f t="shared" si="7"/>
        <v>0</v>
      </c>
      <c r="K25" s="1326"/>
      <c r="L25" s="1985"/>
      <c r="M25" s="1751">
        <f>'[8]7-12 by LEA'!K27</f>
        <v>1165</v>
      </c>
      <c r="N25" s="1325">
        <f t="shared" si="8"/>
        <v>30290</v>
      </c>
      <c r="O25" s="1978">
        <f t="shared" si="3"/>
        <v>30290</v>
      </c>
    </row>
    <row r="26" spans="1:15">
      <c r="A26" s="556">
        <f t="shared" si="4"/>
        <v>22</v>
      </c>
      <c r="B26" s="1327">
        <v>22</v>
      </c>
      <c r="C26" s="1328" t="s">
        <v>102</v>
      </c>
      <c r="D26" s="1752">
        <v>0</v>
      </c>
      <c r="E26" s="1329">
        <f t="shared" si="2"/>
        <v>0</v>
      </c>
      <c r="F26" s="1752"/>
      <c r="G26" s="1330">
        <f t="shared" si="5"/>
        <v>0</v>
      </c>
      <c r="H26" s="1752"/>
      <c r="I26" s="1330">
        <f t="shared" si="6"/>
        <v>0</v>
      </c>
      <c r="J26" s="1965">
        <f t="shared" si="7"/>
        <v>0</v>
      </c>
      <c r="K26" s="1331"/>
      <c r="L26" s="1986"/>
      <c r="M26" s="1752">
        <f>'[8]7-12 by LEA'!K28</f>
        <v>1380</v>
      </c>
      <c r="N26" s="1330">
        <f t="shared" si="8"/>
        <v>35880</v>
      </c>
      <c r="O26" s="1979">
        <f t="shared" si="3"/>
        <v>35880</v>
      </c>
    </row>
    <row r="27" spans="1:15">
      <c r="A27" s="556">
        <f t="shared" si="4"/>
        <v>23</v>
      </c>
      <c r="B27" s="1327">
        <v>23</v>
      </c>
      <c r="C27" s="1328" t="s">
        <v>103</v>
      </c>
      <c r="D27" s="1752">
        <v>9</v>
      </c>
      <c r="E27" s="1329">
        <f t="shared" si="2"/>
        <v>189000</v>
      </c>
      <c r="F27" s="1752"/>
      <c r="G27" s="1330">
        <f t="shared" si="5"/>
        <v>0</v>
      </c>
      <c r="H27" s="1752"/>
      <c r="I27" s="1330">
        <f t="shared" si="6"/>
        <v>0</v>
      </c>
      <c r="J27" s="1965">
        <f t="shared" si="7"/>
        <v>0</v>
      </c>
      <c r="K27" s="1331"/>
      <c r="L27" s="1986"/>
      <c r="M27" s="1752">
        <f>'[8]7-12 by LEA'!K29</f>
        <v>5797</v>
      </c>
      <c r="N27" s="1330">
        <f t="shared" si="8"/>
        <v>150722</v>
      </c>
      <c r="O27" s="1979">
        <f t="shared" si="3"/>
        <v>339722</v>
      </c>
    </row>
    <row r="28" spans="1:15">
      <c r="A28" s="556">
        <f t="shared" si="4"/>
        <v>24</v>
      </c>
      <c r="B28" s="1327">
        <v>24</v>
      </c>
      <c r="C28" s="1328" t="s">
        <v>104</v>
      </c>
      <c r="D28" s="1752">
        <v>0</v>
      </c>
      <c r="E28" s="1329">
        <f t="shared" si="2"/>
        <v>0</v>
      </c>
      <c r="F28" s="1752"/>
      <c r="G28" s="1330">
        <f t="shared" si="5"/>
        <v>0</v>
      </c>
      <c r="H28" s="1752"/>
      <c r="I28" s="1330">
        <f t="shared" si="6"/>
        <v>0</v>
      </c>
      <c r="J28" s="1965">
        <f t="shared" si="7"/>
        <v>0</v>
      </c>
      <c r="K28" s="1331"/>
      <c r="L28" s="1986"/>
      <c r="M28" s="1752">
        <f>'[8]7-12 by LEA'!K30</f>
        <v>1876</v>
      </c>
      <c r="N28" s="1330">
        <f t="shared" si="8"/>
        <v>48776</v>
      </c>
      <c r="O28" s="1979">
        <f t="shared" si="3"/>
        <v>48776</v>
      </c>
    </row>
    <row r="29" spans="1:15">
      <c r="A29" s="556">
        <f t="shared" si="4"/>
        <v>25</v>
      </c>
      <c r="B29" s="1111">
        <v>25</v>
      </c>
      <c r="C29" s="1112" t="s">
        <v>105</v>
      </c>
      <c r="D29" s="1753">
        <v>0</v>
      </c>
      <c r="E29" s="1121">
        <f t="shared" si="2"/>
        <v>0</v>
      </c>
      <c r="F29" s="1753"/>
      <c r="G29" s="894">
        <f t="shared" si="5"/>
        <v>0</v>
      </c>
      <c r="H29" s="1753"/>
      <c r="I29" s="894">
        <f t="shared" si="6"/>
        <v>0</v>
      </c>
      <c r="J29" s="1966">
        <f t="shared" si="7"/>
        <v>0</v>
      </c>
      <c r="K29" s="827"/>
      <c r="L29" s="1987"/>
      <c r="M29" s="1753">
        <f>'[8]7-12 by LEA'!K31</f>
        <v>909</v>
      </c>
      <c r="N29" s="894">
        <f t="shared" si="8"/>
        <v>23634</v>
      </c>
      <c r="O29" s="1980">
        <f t="shared" si="3"/>
        <v>23634</v>
      </c>
    </row>
    <row r="30" spans="1:15">
      <c r="A30" s="556">
        <f t="shared" si="4"/>
        <v>26</v>
      </c>
      <c r="B30" s="1322">
        <v>26</v>
      </c>
      <c r="C30" s="1323" t="s">
        <v>106</v>
      </c>
      <c r="D30" s="1751">
        <v>11</v>
      </c>
      <c r="E30" s="1324">
        <f t="shared" si="2"/>
        <v>231000</v>
      </c>
      <c r="F30" s="1751"/>
      <c r="G30" s="1325">
        <f t="shared" si="5"/>
        <v>0</v>
      </c>
      <c r="H30" s="1751"/>
      <c r="I30" s="1325">
        <f t="shared" si="6"/>
        <v>0</v>
      </c>
      <c r="J30" s="1964">
        <f t="shared" si="7"/>
        <v>0</v>
      </c>
      <c r="K30" s="1326"/>
      <c r="L30" s="1985"/>
      <c r="M30" s="1751">
        <f>'[8]7-12 by LEA'!K32</f>
        <v>17824</v>
      </c>
      <c r="N30" s="1325">
        <f t="shared" si="8"/>
        <v>463424</v>
      </c>
      <c r="O30" s="1978">
        <f t="shared" si="3"/>
        <v>694424</v>
      </c>
    </row>
    <row r="31" spans="1:15">
      <c r="A31" s="556">
        <f t="shared" si="4"/>
        <v>27</v>
      </c>
      <c r="B31" s="1327">
        <v>27</v>
      </c>
      <c r="C31" s="1328" t="s">
        <v>107</v>
      </c>
      <c r="D31" s="1752">
        <v>0</v>
      </c>
      <c r="E31" s="1329">
        <f t="shared" si="2"/>
        <v>0</v>
      </c>
      <c r="F31" s="1752"/>
      <c r="G31" s="1330">
        <f t="shared" si="5"/>
        <v>0</v>
      </c>
      <c r="H31" s="1752"/>
      <c r="I31" s="1330">
        <f t="shared" si="6"/>
        <v>0</v>
      </c>
      <c r="J31" s="1965">
        <f t="shared" si="7"/>
        <v>0</v>
      </c>
      <c r="K31" s="1331"/>
      <c r="L31" s="1986"/>
      <c r="M31" s="1752">
        <f>'[8]7-12 by LEA'!K33</f>
        <v>2507</v>
      </c>
      <c r="N31" s="1330">
        <f t="shared" si="8"/>
        <v>65182</v>
      </c>
      <c r="O31" s="1979">
        <f t="shared" si="3"/>
        <v>65182</v>
      </c>
    </row>
    <row r="32" spans="1:15">
      <c r="A32" s="556">
        <f t="shared" si="4"/>
        <v>28</v>
      </c>
      <c r="B32" s="1327">
        <v>28</v>
      </c>
      <c r="C32" s="1328" t="s">
        <v>108</v>
      </c>
      <c r="D32" s="1752">
        <v>35</v>
      </c>
      <c r="E32" s="1329">
        <f t="shared" si="2"/>
        <v>735000</v>
      </c>
      <c r="F32" s="1752"/>
      <c r="G32" s="1330">
        <f t="shared" si="5"/>
        <v>0</v>
      </c>
      <c r="H32" s="1752"/>
      <c r="I32" s="1330">
        <f t="shared" si="6"/>
        <v>0</v>
      </c>
      <c r="J32" s="1965">
        <f t="shared" si="7"/>
        <v>0</v>
      </c>
      <c r="K32" s="1331"/>
      <c r="L32" s="1986"/>
      <c r="M32" s="1752">
        <f>'[8]7-12 by LEA'!K34</f>
        <v>12906</v>
      </c>
      <c r="N32" s="1330">
        <f t="shared" si="8"/>
        <v>335556</v>
      </c>
      <c r="O32" s="1979">
        <f t="shared" si="3"/>
        <v>1070556</v>
      </c>
    </row>
    <row r="33" spans="1:15">
      <c r="A33" s="556">
        <f t="shared" si="4"/>
        <v>29</v>
      </c>
      <c r="B33" s="1327">
        <v>29</v>
      </c>
      <c r="C33" s="1328" t="s">
        <v>109</v>
      </c>
      <c r="D33" s="1752">
        <v>31</v>
      </c>
      <c r="E33" s="1329">
        <f t="shared" si="2"/>
        <v>651000</v>
      </c>
      <c r="F33" s="1752"/>
      <c r="G33" s="1330">
        <f t="shared" si="5"/>
        <v>0</v>
      </c>
      <c r="H33" s="1752"/>
      <c r="I33" s="1330">
        <f t="shared" si="6"/>
        <v>0</v>
      </c>
      <c r="J33" s="1965">
        <f t="shared" si="7"/>
        <v>0</v>
      </c>
      <c r="K33" s="1331"/>
      <c r="L33" s="1986"/>
      <c r="M33" s="1752">
        <f>'[8]7-12 by LEA'!K35</f>
        <v>5859</v>
      </c>
      <c r="N33" s="1330">
        <f t="shared" si="8"/>
        <v>152334</v>
      </c>
      <c r="O33" s="1979">
        <f t="shared" si="3"/>
        <v>803334</v>
      </c>
    </row>
    <row r="34" spans="1:15">
      <c r="A34" s="556">
        <f t="shared" si="4"/>
        <v>30</v>
      </c>
      <c r="B34" s="1111">
        <v>30</v>
      </c>
      <c r="C34" s="1112" t="s">
        <v>110</v>
      </c>
      <c r="D34" s="1753">
        <v>0</v>
      </c>
      <c r="E34" s="1121">
        <f t="shared" si="2"/>
        <v>0</v>
      </c>
      <c r="F34" s="1753"/>
      <c r="G34" s="894">
        <f t="shared" si="5"/>
        <v>0</v>
      </c>
      <c r="H34" s="1753"/>
      <c r="I34" s="894">
        <f t="shared" si="6"/>
        <v>0</v>
      </c>
      <c r="J34" s="1966">
        <f t="shared" si="7"/>
        <v>0</v>
      </c>
      <c r="K34" s="827"/>
      <c r="L34" s="1987"/>
      <c r="M34" s="1753">
        <f>'[8]7-12 by LEA'!K36</f>
        <v>1074</v>
      </c>
      <c r="N34" s="894">
        <f t="shared" si="8"/>
        <v>27924</v>
      </c>
      <c r="O34" s="1980">
        <f t="shared" si="3"/>
        <v>27924</v>
      </c>
    </row>
    <row r="35" spans="1:15">
      <c r="A35" s="556">
        <f t="shared" si="4"/>
        <v>31</v>
      </c>
      <c r="B35" s="1322">
        <v>31</v>
      </c>
      <c r="C35" s="1323" t="s">
        <v>111</v>
      </c>
      <c r="D35" s="1751">
        <v>0</v>
      </c>
      <c r="E35" s="1324">
        <f t="shared" si="2"/>
        <v>0</v>
      </c>
      <c r="F35" s="1751"/>
      <c r="G35" s="1325">
        <f t="shared" si="5"/>
        <v>0</v>
      </c>
      <c r="H35" s="1751"/>
      <c r="I35" s="1325">
        <f t="shared" si="6"/>
        <v>0</v>
      </c>
      <c r="J35" s="1964">
        <f t="shared" si="7"/>
        <v>0</v>
      </c>
      <c r="K35" s="1326"/>
      <c r="L35" s="1985"/>
      <c r="M35" s="1751">
        <f>'[8]7-12 by LEA'!K37</f>
        <v>2805</v>
      </c>
      <c r="N35" s="1325">
        <f t="shared" si="8"/>
        <v>72930</v>
      </c>
      <c r="O35" s="1978">
        <f t="shared" si="3"/>
        <v>72930</v>
      </c>
    </row>
    <row r="36" spans="1:15">
      <c r="A36" s="556">
        <f t="shared" si="4"/>
        <v>32</v>
      </c>
      <c r="B36" s="1327">
        <v>32</v>
      </c>
      <c r="C36" s="1328" t="s">
        <v>112</v>
      </c>
      <c r="D36" s="1752">
        <v>0</v>
      </c>
      <c r="E36" s="1329">
        <f t="shared" si="2"/>
        <v>0</v>
      </c>
      <c r="F36" s="1752"/>
      <c r="G36" s="1330">
        <f t="shared" si="5"/>
        <v>0</v>
      </c>
      <c r="H36" s="1752"/>
      <c r="I36" s="1330">
        <f t="shared" si="6"/>
        <v>0</v>
      </c>
      <c r="J36" s="1965">
        <f t="shared" si="7"/>
        <v>0</v>
      </c>
      <c r="K36" s="1331"/>
      <c r="L36" s="1986"/>
      <c r="M36" s="1752">
        <f>'[8]7-12 by LEA'!K38</f>
        <v>10744</v>
      </c>
      <c r="N36" s="1330">
        <f t="shared" si="8"/>
        <v>279344</v>
      </c>
      <c r="O36" s="1979">
        <f t="shared" si="3"/>
        <v>279344</v>
      </c>
    </row>
    <row r="37" spans="1:15">
      <c r="A37" s="556">
        <f t="shared" si="4"/>
        <v>33</v>
      </c>
      <c r="B37" s="1327">
        <v>33</v>
      </c>
      <c r="C37" s="1328" t="s">
        <v>113</v>
      </c>
      <c r="D37" s="1752">
        <v>0</v>
      </c>
      <c r="E37" s="1329">
        <f t="shared" si="2"/>
        <v>0</v>
      </c>
      <c r="F37" s="1752"/>
      <c r="G37" s="1330">
        <f t="shared" si="5"/>
        <v>0</v>
      </c>
      <c r="H37" s="1752"/>
      <c r="I37" s="1330">
        <f t="shared" si="6"/>
        <v>0</v>
      </c>
      <c r="J37" s="1965">
        <f t="shared" si="7"/>
        <v>0</v>
      </c>
      <c r="K37" s="1331"/>
      <c r="L37" s="1986"/>
      <c r="M37" s="1752">
        <f>'[8]7-12 by LEA'!K39</f>
        <v>743</v>
      </c>
      <c r="N37" s="1330">
        <f t="shared" si="8"/>
        <v>19318</v>
      </c>
      <c r="O37" s="1979">
        <f t="shared" si="3"/>
        <v>19318</v>
      </c>
    </row>
    <row r="38" spans="1:15">
      <c r="A38" s="556">
        <f t="shared" si="4"/>
        <v>34</v>
      </c>
      <c r="B38" s="1327">
        <v>34</v>
      </c>
      <c r="C38" s="1328" t="s">
        <v>114</v>
      </c>
      <c r="D38" s="1752">
        <v>0</v>
      </c>
      <c r="E38" s="1329">
        <f t="shared" si="2"/>
        <v>0</v>
      </c>
      <c r="F38" s="1752"/>
      <c r="G38" s="1330">
        <f t="shared" si="5"/>
        <v>0</v>
      </c>
      <c r="H38" s="1752"/>
      <c r="I38" s="1330">
        <f t="shared" si="6"/>
        <v>0</v>
      </c>
      <c r="J38" s="1965">
        <f t="shared" si="7"/>
        <v>0</v>
      </c>
      <c r="K38" s="1331"/>
      <c r="L38" s="1986"/>
      <c r="M38" s="1752">
        <f>'[8]7-12 by LEA'!K40</f>
        <v>1767</v>
      </c>
      <c r="N38" s="1330">
        <f t="shared" si="8"/>
        <v>45942</v>
      </c>
      <c r="O38" s="1979">
        <f t="shared" si="3"/>
        <v>45942</v>
      </c>
    </row>
    <row r="39" spans="1:15">
      <c r="A39" s="556">
        <f t="shared" si="4"/>
        <v>35</v>
      </c>
      <c r="B39" s="1111">
        <v>35</v>
      </c>
      <c r="C39" s="1112" t="s">
        <v>115</v>
      </c>
      <c r="D39" s="1753">
        <v>0</v>
      </c>
      <c r="E39" s="1121">
        <f t="shared" si="2"/>
        <v>0</v>
      </c>
      <c r="F39" s="1753"/>
      <c r="G39" s="894">
        <f t="shared" si="5"/>
        <v>0</v>
      </c>
      <c r="H39" s="1753"/>
      <c r="I39" s="894">
        <f t="shared" si="6"/>
        <v>0</v>
      </c>
      <c r="J39" s="1966">
        <f t="shared" si="7"/>
        <v>0</v>
      </c>
      <c r="K39" s="827"/>
      <c r="L39" s="1987"/>
      <c r="M39" s="1753">
        <f>'[8]7-12 by LEA'!K41</f>
        <v>2677</v>
      </c>
      <c r="N39" s="894">
        <f t="shared" si="8"/>
        <v>69602</v>
      </c>
      <c r="O39" s="1980">
        <f t="shared" si="3"/>
        <v>69602</v>
      </c>
    </row>
    <row r="40" spans="1:15">
      <c r="A40" s="556">
        <f t="shared" si="4"/>
        <v>36</v>
      </c>
      <c r="B40" s="1322">
        <v>36</v>
      </c>
      <c r="C40" s="1323" t="s">
        <v>116</v>
      </c>
      <c r="D40" s="1751">
        <v>27</v>
      </c>
      <c r="E40" s="1324">
        <f t="shared" si="2"/>
        <v>567000</v>
      </c>
      <c r="F40" s="1751"/>
      <c r="G40" s="1325">
        <f t="shared" si="5"/>
        <v>0</v>
      </c>
      <c r="H40" s="1751"/>
      <c r="I40" s="1325">
        <f t="shared" si="6"/>
        <v>0</v>
      </c>
      <c r="J40" s="1964">
        <f t="shared" si="7"/>
        <v>0</v>
      </c>
      <c r="K40" s="1326"/>
      <c r="L40" s="1985"/>
      <c r="M40" s="1751">
        <f>'[8]7-12 by LEA'!K42</f>
        <v>6556</v>
      </c>
      <c r="N40" s="1325">
        <f t="shared" si="8"/>
        <v>170456</v>
      </c>
      <c r="O40" s="1978">
        <f t="shared" si="3"/>
        <v>737456</v>
      </c>
    </row>
    <row r="41" spans="1:15">
      <c r="A41" s="556">
        <f t="shared" si="4"/>
        <v>37</v>
      </c>
      <c r="B41" s="1327">
        <v>37</v>
      </c>
      <c r="C41" s="1328" t="s">
        <v>117</v>
      </c>
      <c r="D41" s="1752">
        <v>1</v>
      </c>
      <c r="E41" s="1329">
        <f t="shared" si="2"/>
        <v>21000</v>
      </c>
      <c r="F41" s="1752"/>
      <c r="G41" s="1330">
        <f t="shared" si="5"/>
        <v>0</v>
      </c>
      <c r="H41" s="1752"/>
      <c r="I41" s="1330">
        <f t="shared" si="6"/>
        <v>0</v>
      </c>
      <c r="J41" s="1965">
        <f t="shared" si="7"/>
        <v>0</v>
      </c>
      <c r="K41" s="1331"/>
      <c r="L41" s="1986"/>
      <c r="M41" s="1752">
        <f>'[8]7-12 by LEA'!K43</f>
        <v>8497</v>
      </c>
      <c r="N41" s="1330">
        <f t="shared" si="8"/>
        <v>220922</v>
      </c>
      <c r="O41" s="1979">
        <f t="shared" si="3"/>
        <v>241922</v>
      </c>
    </row>
    <row r="42" spans="1:15">
      <c r="A42" s="556">
        <f t="shared" si="4"/>
        <v>38</v>
      </c>
      <c r="B42" s="1327">
        <v>38</v>
      </c>
      <c r="C42" s="1328" t="s">
        <v>118</v>
      </c>
      <c r="D42" s="1752">
        <v>3</v>
      </c>
      <c r="E42" s="1329">
        <f t="shared" si="2"/>
        <v>63000</v>
      </c>
      <c r="F42" s="1752"/>
      <c r="G42" s="1330">
        <f t="shared" si="5"/>
        <v>0</v>
      </c>
      <c r="H42" s="1752"/>
      <c r="I42" s="1330">
        <f t="shared" si="6"/>
        <v>0</v>
      </c>
      <c r="J42" s="1965">
        <f t="shared" si="7"/>
        <v>0</v>
      </c>
      <c r="K42" s="1331"/>
      <c r="L42" s="1986"/>
      <c r="M42" s="1752">
        <f>'[8]7-12 by LEA'!K44</f>
        <v>1704</v>
      </c>
      <c r="N42" s="1330">
        <f t="shared" si="8"/>
        <v>44304</v>
      </c>
      <c r="O42" s="1979">
        <f t="shared" si="3"/>
        <v>107304</v>
      </c>
    </row>
    <row r="43" spans="1:15">
      <c r="A43" s="556">
        <f t="shared" si="4"/>
        <v>39</v>
      </c>
      <c r="B43" s="1327">
        <v>39</v>
      </c>
      <c r="C43" s="1328" t="s">
        <v>119</v>
      </c>
      <c r="D43" s="1752">
        <v>1</v>
      </c>
      <c r="E43" s="1329">
        <f t="shared" si="2"/>
        <v>21000</v>
      </c>
      <c r="F43" s="1752"/>
      <c r="G43" s="1330">
        <f t="shared" si="5"/>
        <v>0</v>
      </c>
      <c r="H43" s="1752"/>
      <c r="I43" s="1330">
        <f t="shared" si="6"/>
        <v>0</v>
      </c>
      <c r="J43" s="1965">
        <f t="shared" si="7"/>
        <v>0</v>
      </c>
      <c r="K43" s="1331"/>
      <c r="L43" s="1986"/>
      <c r="M43" s="1752">
        <f>'[8]7-12 by LEA'!K45</f>
        <v>1008</v>
      </c>
      <c r="N43" s="1330">
        <f t="shared" si="8"/>
        <v>26208</v>
      </c>
      <c r="O43" s="1979">
        <f t="shared" si="3"/>
        <v>47208</v>
      </c>
    </row>
    <row r="44" spans="1:15">
      <c r="A44" s="556">
        <f t="shared" si="4"/>
        <v>40</v>
      </c>
      <c r="B44" s="1111">
        <v>40</v>
      </c>
      <c r="C44" s="1112" t="s">
        <v>120</v>
      </c>
      <c r="D44" s="1753">
        <v>0</v>
      </c>
      <c r="E44" s="1121">
        <f t="shared" si="2"/>
        <v>0</v>
      </c>
      <c r="F44" s="1753"/>
      <c r="G44" s="894">
        <f t="shared" si="5"/>
        <v>0</v>
      </c>
      <c r="H44" s="1753"/>
      <c r="I44" s="894">
        <f t="shared" si="6"/>
        <v>0</v>
      </c>
      <c r="J44" s="1966">
        <f t="shared" si="7"/>
        <v>0</v>
      </c>
      <c r="K44" s="827"/>
      <c r="L44" s="1987"/>
      <c r="M44" s="1753">
        <f>'[8]7-12 by LEA'!K46</f>
        <v>10039</v>
      </c>
      <c r="N44" s="894">
        <f t="shared" si="8"/>
        <v>261014</v>
      </c>
      <c r="O44" s="1980">
        <f t="shared" si="3"/>
        <v>261014</v>
      </c>
    </row>
    <row r="45" spans="1:15">
      <c r="A45" s="556">
        <f t="shared" si="4"/>
        <v>41</v>
      </c>
      <c r="B45" s="1322">
        <v>41</v>
      </c>
      <c r="C45" s="1323" t="s">
        <v>121</v>
      </c>
      <c r="D45" s="1751">
        <v>0</v>
      </c>
      <c r="E45" s="1324">
        <f t="shared" si="2"/>
        <v>0</v>
      </c>
      <c r="F45" s="1751"/>
      <c r="G45" s="1325">
        <f t="shared" si="5"/>
        <v>0</v>
      </c>
      <c r="H45" s="1751"/>
      <c r="I45" s="1325">
        <f t="shared" si="6"/>
        <v>0</v>
      </c>
      <c r="J45" s="1964">
        <f t="shared" si="7"/>
        <v>0</v>
      </c>
      <c r="K45" s="1326"/>
      <c r="L45" s="1985"/>
      <c r="M45" s="1751">
        <f>'[8]7-12 by LEA'!K47</f>
        <v>622</v>
      </c>
      <c r="N45" s="1325">
        <f t="shared" si="8"/>
        <v>16172</v>
      </c>
      <c r="O45" s="1978">
        <f t="shared" si="3"/>
        <v>16172</v>
      </c>
    </row>
    <row r="46" spans="1:15">
      <c r="A46" s="556">
        <f t="shared" si="4"/>
        <v>42</v>
      </c>
      <c r="B46" s="1327">
        <v>42</v>
      </c>
      <c r="C46" s="1328" t="s">
        <v>122</v>
      </c>
      <c r="D46" s="1752">
        <v>0</v>
      </c>
      <c r="E46" s="1329">
        <f t="shared" si="2"/>
        <v>0</v>
      </c>
      <c r="F46" s="1752"/>
      <c r="G46" s="1330">
        <f t="shared" si="5"/>
        <v>0</v>
      </c>
      <c r="H46" s="1752"/>
      <c r="I46" s="1330">
        <f t="shared" si="6"/>
        <v>0</v>
      </c>
      <c r="J46" s="1965">
        <f t="shared" si="7"/>
        <v>0</v>
      </c>
      <c r="K46" s="1331"/>
      <c r="L46" s="1986"/>
      <c r="M46" s="1752">
        <f>'[8]7-12 by LEA'!K48</f>
        <v>1428</v>
      </c>
      <c r="N46" s="1330">
        <f t="shared" si="8"/>
        <v>37128</v>
      </c>
      <c r="O46" s="1979">
        <f t="shared" si="3"/>
        <v>37128</v>
      </c>
    </row>
    <row r="47" spans="1:15">
      <c r="A47" s="556">
        <f t="shared" si="4"/>
        <v>43</v>
      </c>
      <c r="B47" s="1327">
        <v>43</v>
      </c>
      <c r="C47" s="1328" t="s">
        <v>123</v>
      </c>
      <c r="D47" s="1752">
        <v>0</v>
      </c>
      <c r="E47" s="1329">
        <f t="shared" si="2"/>
        <v>0</v>
      </c>
      <c r="F47" s="1752"/>
      <c r="G47" s="1330">
        <f t="shared" si="5"/>
        <v>0</v>
      </c>
      <c r="H47" s="1752"/>
      <c r="I47" s="1330">
        <f t="shared" si="6"/>
        <v>0</v>
      </c>
      <c r="J47" s="1965">
        <f t="shared" si="7"/>
        <v>0</v>
      </c>
      <c r="K47" s="1331"/>
      <c r="L47" s="1986"/>
      <c r="M47" s="1752">
        <f>'[8]7-12 by LEA'!K49</f>
        <v>1715</v>
      </c>
      <c r="N47" s="1330">
        <f t="shared" si="8"/>
        <v>44590</v>
      </c>
      <c r="O47" s="1979">
        <f t="shared" si="3"/>
        <v>44590</v>
      </c>
    </row>
    <row r="48" spans="1:15">
      <c r="A48" s="556">
        <f t="shared" si="4"/>
        <v>44</v>
      </c>
      <c r="B48" s="1327">
        <v>44</v>
      </c>
      <c r="C48" s="1328" t="s">
        <v>124</v>
      </c>
      <c r="D48" s="1752">
        <v>0</v>
      </c>
      <c r="E48" s="1329">
        <f t="shared" si="2"/>
        <v>0</v>
      </c>
      <c r="F48" s="1752"/>
      <c r="G48" s="1330">
        <f t="shared" si="5"/>
        <v>0</v>
      </c>
      <c r="H48" s="1752"/>
      <c r="I48" s="1330">
        <f t="shared" si="6"/>
        <v>0</v>
      </c>
      <c r="J48" s="1965">
        <f t="shared" si="7"/>
        <v>0</v>
      </c>
      <c r="K48" s="1331"/>
      <c r="L48" s="1986"/>
      <c r="M48" s="1752">
        <f>'[8]7-12 by LEA'!K50</f>
        <v>2620</v>
      </c>
      <c r="N48" s="1330">
        <f t="shared" si="8"/>
        <v>68120</v>
      </c>
      <c r="O48" s="1979">
        <f t="shared" si="3"/>
        <v>68120</v>
      </c>
    </row>
    <row r="49" spans="1:15">
      <c r="A49" s="556">
        <f t="shared" si="4"/>
        <v>45</v>
      </c>
      <c r="B49" s="1111">
        <v>45</v>
      </c>
      <c r="C49" s="1112" t="s">
        <v>125</v>
      </c>
      <c r="D49" s="1753">
        <v>0</v>
      </c>
      <c r="E49" s="1121">
        <f t="shared" si="2"/>
        <v>0</v>
      </c>
      <c r="F49" s="1753"/>
      <c r="G49" s="894">
        <f t="shared" si="5"/>
        <v>0</v>
      </c>
      <c r="H49" s="1753"/>
      <c r="I49" s="894">
        <f t="shared" si="6"/>
        <v>0</v>
      </c>
      <c r="J49" s="1966">
        <f t="shared" si="7"/>
        <v>0</v>
      </c>
      <c r="K49" s="827"/>
      <c r="L49" s="1987"/>
      <c r="M49" s="1753">
        <f>'[8]7-12 by LEA'!K51</f>
        <v>4366</v>
      </c>
      <c r="N49" s="894">
        <f t="shared" si="8"/>
        <v>113516</v>
      </c>
      <c r="O49" s="1980">
        <f t="shared" si="3"/>
        <v>113516</v>
      </c>
    </row>
    <row r="50" spans="1:15">
      <c r="A50" s="556">
        <f t="shared" si="4"/>
        <v>46</v>
      </c>
      <c r="B50" s="1322">
        <v>46</v>
      </c>
      <c r="C50" s="1323" t="s">
        <v>126</v>
      </c>
      <c r="D50" s="1751">
        <v>0</v>
      </c>
      <c r="E50" s="1324">
        <f t="shared" si="2"/>
        <v>0</v>
      </c>
      <c r="F50" s="1751"/>
      <c r="G50" s="1325">
        <f t="shared" si="5"/>
        <v>0</v>
      </c>
      <c r="H50" s="1751"/>
      <c r="I50" s="1325">
        <f t="shared" si="6"/>
        <v>0</v>
      </c>
      <c r="J50" s="1964">
        <f t="shared" si="7"/>
        <v>0</v>
      </c>
      <c r="K50" s="1326"/>
      <c r="L50" s="1985"/>
      <c r="M50" s="1751">
        <f>'[8]7-12 by LEA'!K52</f>
        <v>282</v>
      </c>
      <c r="N50" s="1325">
        <f t="shared" si="8"/>
        <v>7332</v>
      </c>
      <c r="O50" s="1978">
        <f t="shared" si="3"/>
        <v>7332</v>
      </c>
    </row>
    <row r="51" spans="1:15">
      <c r="A51" s="556">
        <f t="shared" si="4"/>
        <v>47</v>
      </c>
      <c r="B51" s="1327">
        <v>47</v>
      </c>
      <c r="C51" s="1328" t="s">
        <v>127</v>
      </c>
      <c r="D51" s="1752">
        <v>0</v>
      </c>
      <c r="E51" s="1329">
        <f t="shared" si="2"/>
        <v>0</v>
      </c>
      <c r="F51" s="1752"/>
      <c r="G51" s="1330">
        <f t="shared" si="5"/>
        <v>0</v>
      </c>
      <c r="H51" s="1752"/>
      <c r="I51" s="1330">
        <f t="shared" si="6"/>
        <v>0</v>
      </c>
      <c r="J51" s="1965">
        <f t="shared" si="7"/>
        <v>0</v>
      </c>
      <c r="K51" s="1331"/>
      <c r="L51" s="1986"/>
      <c r="M51" s="1752">
        <f>'[8]7-12 by LEA'!K53</f>
        <v>1624</v>
      </c>
      <c r="N51" s="1330">
        <f t="shared" si="8"/>
        <v>42224</v>
      </c>
      <c r="O51" s="1979">
        <f t="shared" si="3"/>
        <v>42224</v>
      </c>
    </row>
    <row r="52" spans="1:15">
      <c r="A52" s="556">
        <f t="shared" si="4"/>
        <v>48</v>
      </c>
      <c r="B52" s="1327">
        <v>48</v>
      </c>
      <c r="C52" s="1328" t="s">
        <v>178</v>
      </c>
      <c r="D52" s="1752">
        <v>0</v>
      </c>
      <c r="E52" s="1329">
        <f t="shared" si="2"/>
        <v>0</v>
      </c>
      <c r="F52" s="1752"/>
      <c r="G52" s="1330">
        <f t="shared" si="5"/>
        <v>0</v>
      </c>
      <c r="H52" s="1752"/>
      <c r="I52" s="1330">
        <f t="shared" si="6"/>
        <v>0</v>
      </c>
      <c r="J52" s="1965">
        <f t="shared" si="7"/>
        <v>0</v>
      </c>
      <c r="K52" s="1331"/>
      <c r="L52" s="1986"/>
      <c r="M52" s="1752">
        <f>'[8]7-12 by LEA'!K54</f>
        <v>2365</v>
      </c>
      <c r="N52" s="1330">
        <f t="shared" si="8"/>
        <v>61490</v>
      </c>
      <c r="O52" s="1979">
        <f t="shared" si="3"/>
        <v>61490</v>
      </c>
    </row>
    <row r="53" spans="1:15">
      <c r="A53" s="556">
        <f t="shared" si="4"/>
        <v>49</v>
      </c>
      <c r="B53" s="1327">
        <v>49</v>
      </c>
      <c r="C53" s="1328" t="s">
        <v>128</v>
      </c>
      <c r="D53" s="1752">
        <v>4</v>
      </c>
      <c r="E53" s="1329">
        <f t="shared" si="2"/>
        <v>84000</v>
      </c>
      <c r="F53" s="1752"/>
      <c r="G53" s="1330">
        <f t="shared" si="5"/>
        <v>0</v>
      </c>
      <c r="H53" s="1752"/>
      <c r="I53" s="1330">
        <f t="shared" si="6"/>
        <v>0</v>
      </c>
      <c r="J53" s="1965">
        <f t="shared" si="7"/>
        <v>0</v>
      </c>
      <c r="K53" s="1331"/>
      <c r="L53" s="1986"/>
      <c r="M53" s="1752">
        <f>'[8]7-12 by LEA'!K55</f>
        <v>5684</v>
      </c>
      <c r="N53" s="1330">
        <f t="shared" si="8"/>
        <v>147784</v>
      </c>
      <c r="O53" s="1979">
        <f t="shared" si="3"/>
        <v>231784</v>
      </c>
    </row>
    <row r="54" spans="1:15">
      <c r="A54" s="556">
        <f t="shared" si="4"/>
        <v>50</v>
      </c>
      <c r="B54" s="1111">
        <v>50</v>
      </c>
      <c r="C54" s="1112" t="s">
        <v>129</v>
      </c>
      <c r="D54" s="1753">
        <v>9</v>
      </c>
      <c r="E54" s="1121">
        <f t="shared" si="2"/>
        <v>189000</v>
      </c>
      <c r="F54" s="1753"/>
      <c r="G54" s="894">
        <f t="shared" si="5"/>
        <v>0</v>
      </c>
      <c r="H54" s="1753"/>
      <c r="I54" s="894">
        <f t="shared" si="6"/>
        <v>0</v>
      </c>
      <c r="J54" s="1966">
        <f t="shared" si="7"/>
        <v>0</v>
      </c>
      <c r="K54" s="827"/>
      <c r="L54" s="1987"/>
      <c r="M54" s="1753">
        <f>'[8]7-12 by LEA'!K56</f>
        <v>3425</v>
      </c>
      <c r="N54" s="894">
        <f t="shared" si="8"/>
        <v>89050</v>
      </c>
      <c r="O54" s="1980">
        <f t="shared" si="3"/>
        <v>278050</v>
      </c>
    </row>
    <row r="55" spans="1:15">
      <c r="A55" s="556">
        <f t="shared" si="4"/>
        <v>51</v>
      </c>
      <c r="B55" s="1322">
        <v>51</v>
      </c>
      <c r="C55" s="1323" t="s">
        <v>130</v>
      </c>
      <c r="D55" s="1751">
        <v>0</v>
      </c>
      <c r="E55" s="1324">
        <f t="shared" si="2"/>
        <v>0</v>
      </c>
      <c r="F55" s="1751"/>
      <c r="G55" s="1325">
        <f t="shared" si="5"/>
        <v>0</v>
      </c>
      <c r="H55" s="1751"/>
      <c r="I55" s="1325">
        <f t="shared" si="6"/>
        <v>0</v>
      </c>
      <c r="J55" s="1964">
        <f t="shared" si="7"/>
        <v>0</v>
      </c>
      <c r="K55" s="1326"/>
      <c r="L55" s="1985"/>
      <c r="M55" s="1751">
        <f>'[8]7-12 by LEA'!K57</f>
        <v>3918</v>
      </c>
      <c r="N55" s="1325">
        <f t="shared" si="8"/>
        <v>101868</v>
      </c>
      <c r="O55" s="1978">
        <f t="shared" si="3"/>
        <v>101868</v>
      </c>
    </row>
    <row r="56" spans="1:15">
      <c r="A56" s="556">
        <f t="shared" si="4"/>
        <v>52</v>
      </c>
      <c r="B56" s="1327">
        <v>52</v>
      </c>
      <c r="C56" s="1328" t="s">
        <v>131</v>
      </c>
      <c r="D56" s="1752">
        <v>0</v>
      </c>
      <c r="E56" s="1329">
        <f t="shared" si="2"/>
        <v>0</v>
      </c>
      <c r="F56" s="1752"/>
      <c r="G56" s="1330">
        <f t="shared" si="5"/>
        <v>0</v>
      </c>
      <c r="H56" s="1752"/>
      <c r="I56" s="1330">
        <f t="shared" si="6"/>
        <v>0</v>
      </c>
      <c r="J56" s="1965">
        <f t="shared" si="7"/>
        <v>0</v>
      </c>
      <c r="K56" s="1331"/>
      <c r="L56" s="1986"/>
      <c r="M56" s="1752">
        <f>'[8]7-12 by LEA'!K58</f>
        <v>16357</v>
      </c>
      <c r="N56" s="1330">
        <f t="shared" si="8"/>
        <v>425282</v>
      </c>
      <c r="O56" s="1979">
        <f t="shared" si="3"/>
        <v>425282</v>
      </c>
    </row>
    <row r="57" spans="1:15">
      <c r="A57" s="556">
        <f t="shared" si="4"/>
        <v>53</v>
      </c>
      <c r="B57" s="1327">
        <v>53</v>
      </c>
      <c r="C57" s="1328" t="s">
        <v>132</v>
      </c>
      <c r="D57" s="1752">
        <v>5</v>
      </c>
      <c r="E57" s="1329">
        <f t="shared" si="2"/>
        <v>105000</v>
      </c>
      <c r="F57" s="1752"/>
      <c r="G57" s="1330">
        <f t="shared" si="5"/>
        <v>0</v>
      </c>
      <c r="H57" s="1752"/>
      <c r="I57" s="1330">
        <f t="shared" si="6"/>
        <v>0</v>
      </c>
      <c r="J57" s="1965">
        <f t="shared" si="7"/>
        <v>0</v>
      </c>
      <c r="K57" s="1331"/>
      <c r="L57" s="1986"/>
      <c r="M57" s="1752">
        <f>'[8]7-12 by LEA'!K59</f>
        <v>8376</v>
      </c>
      <c r="N57" s="1330">
        <f t="shared" si="8"/>
        <v>217776</v>
      </c>
      <c r="O57" s="1979">
        <f t="shared" si="3"/>
        <v>322776</v>
      </c>
    </row>
    <row r="58" spans="1:15">
      <c r="A58" s="556">
        <f t="shared" si="4"/>
        <v>54</v>
      </c>
      <c r="B58" s="1327">
        <v>54</v>
      </c>
      <c r="C58" s="1328" t="s">
        <v>133</v>
      </c>
      <c r="D58" s="1752">
        <v>0</v>
      </c>
      <c r="E58" s="1329">
        <f t="shared" si="2"/>
        <v>0</v>
      </c>
      <c r="F58" s="1752"/>
      <c r="G58" s="1330">
        <f t="shared" si="5"/>
        <v>0</v>
      </c>
      <c r="H58" s="1752"/>
      <c r="I58" s="1330">
        <f t="shared" si="6"/>
        <v>0</v>
      </c>
      <c r="J58" s="1965">
        <f t="shared" si="7"/>
        <v>0</v>
      </c>
      <c r="K58" s="1331"/>
      <c r="L58" s="1986"/>
      <c r="M58" s="1752">
        <f>'[8]7-12 by LEA'!K60</f>
        <v>277</v>
      </c>
      <c r="N58" s="1330">
        <f t="shared" si="8"/>
        <v>7202</v>
      </c>
      <c r="O58" s="1979">
        <f t="shared" si="3"/>
        <v>7202</v>
      </c>
    </row>
    <row r="59" spans="1:15">
      <c r="A59" s="556">
        <f t="shared" si="4"/>
        <v>55</v>
      </c>
      <c r="B59" s="1111">
        <v>55</v>
      </c>
      <c r="C59" s="1112" t="s">
        <v>134</v>
      </c>
      <c r="D59" s="1753">
        <v>0</v>
      </c>
      <c r="E59" s="1121">
        <f t="shared" si="2"/>
        <v>0</v>
      </c>
      <c r="F59" s="1753"/>
      <c r="G59" s="894">
        <f t="shared" si="5"/>
        <v>0</v>
      </c>
      <c r="H59" s="1753"/>
      <c r="I59" s="894">
        <f t="shared" si="6"/>
        <v>0</v>
      </c>
      <c r="J59" s="1966">
        <f t="shared" si="7"/>
        <v>0</v>
      </c>
      <c r="K59" s="827"/>
      <c r="L59" s="1987"/>
      <c r="M59" s="1753">
        <f>'[8]7-12 by LEA'!K61</f>
        <v>7380</v>
      </c>
      <c r="N59" s="894">
        <f t="shared" si="8"/>
        <v>191880</v>
      </c>
      <c r="O59" s="1980">
        <f t="shared" si="3"/>
        <v>191880</v>
      </c>
    </row>
    <row r="60" spans="1:15">
      <c r="A60" s="556">
        <f t="shared" si="4"/>
        <v>56</v>
      </c>
      <c r="B60" s="1322">
        <v>56</v>
      </c>
      <c r="C60" s="1323" t="s">
        <v>135</v>
      </c>
      <c r="D60" s="1751">
        <v>0</v>
      </c>
      <c r="E60" s="1324">
        <f t="shared" si="2"/>
        <v>0</v>
      </c>
      <c r="F60" s="1751"/>
      <c r="G60" s="1325">
        <f t="shared" si="5"/>
        <v>0</v>
      </c>
      <c r="H60" s="1751"/>
      <c r="I60" s="1325">
        <f t="shared" si="6"/>
        <v>0</v>
      </c>
      <c r="J60" s="1964">
        <f t="shared" si="7"/>
        <v>0</v>
      </c>
      <c r="K60" s="1326"/>
      <c r="L60" s="1985"/>
      <c r="M60" s="1751">
        <f>'[8]7-12 by LEA'!K62</f>
        <v>1021</v>
      </c>
      <c r="N60" s="1325">
        <f t="shared" si="8"/>
        <v>26546</v>
      </c>
      <c r="O60" s="1978">
        <f t="shared" si="3"/>
        <v>26546</v>
      </c>
    </row>
    <row r="61" spans="1:15">
      <c r="A61" s="556">
        <f t="shared" si="4"/>
        <v>57</v>
      </c>
      <c r="B61" s="1327">
        <v>57</v>
      </c>
      <c r="C61" s="1328" t="s">
        <v>136</v>
      </c>
      <c r="D61" s="1752">
        <v>0</v>
      </c>
      <c r="E61" s="1329">
        <f t="shared" si="2"/>
        <v>0</v>
      </c>
      <c r="F61" s="1752"/>
      <c r="G61" s="1330">
        <f t="shared" si="5"/>
        <v>0</v>
      </c>
      <c r="H61" s="1752"/>
      <c r="I61" s="1330">
        <f t="shared" si="6"/>
        <v>0</v>
      </c>
      <c r="J61" s="1965">
        <f t="shared" si="7"/>
        <v>0</v>
      </c>
      <c r="K61" s="1331"/>
      <c r="L61" s="1986"/>
      <c r="M61" s="1752">
        <f>'[8]7-12 by LEA'!K63</f>
        <v>3750</v>
      </c>
      <c r="N61" s="1330">
        <f t="shared" si="8"/>
        <v>97500</v>
      </c>
      <c r="O61" s="1979">
        <f t="shared" si="3"/>
        <v>97500</v>
      </c>
    </row>
    <row r="62" spans="1:15">
      <c r="A62" s="556">
        <f t="shared" si="4"/>
        <v>58</v>
      </c>
      <c r="B62" s="1327">
        <v>58</v>
      </c>
      <c r="C62" s="1328" t="s">
        <v>137</v>
      </c>
      <c r="D62" s="1752">
        <v>0</v>
      </c>
      <c r="E62" s="1329">
        <f t="shared" si="2"/>
        <v>0</v>
      </c>
      <c r="F62" s="1752"/>
      <c r="G62" s="1330">
        <f t="shared" si="5"/>
        <v>0</v>
      </c>
      <c r="H62" s="1752"/>
      <c r="I62" s="1330">
        <f t="shared" si="6"/>
        <v>0</v>
      </c>
      <c r="J62" s="1965">
        <f t="shared" si="7"/>
        <v>0</v>
      </c>
      <c r="K62" s="1331"/>
      <c r="L62" s="1986"/>
      <c r="M62" s="1752">
        <f>'[8]7-12 by LEA'!K64</f>
        <v>3622</v>
      </c>
      <c r="N62" s="1330">
        <f t="shared" si="8"/>
        <v>94172</v>
      </c>
      <c r="O62" s="1979">
        <f t="shared" si="3"/>
        <v>94172</v>
      </c>
    </row>
    <row r="63" spans="1:15">
      <c r="A63" s="556">
        <f t="shared" si="4"/>
        <v>59</v>
      </c>
      <c r="B63" s="1327">
        <v>59</v>
      </c>
      <c r="C63" s="1328" t="s">
        <v>138</v>
      </c>
      <c r="D63" s="1752">
        <v>0</v>
      </c>
      <c r="E63" s="1329">
        <f t="shared" si="2"/>
        <v>0</v>
      </c>
      <c r="F63" s="1752"/>
      <c r="G63" s="1330">
        <f t="shared" si="5"/>
        <v>0</v>
      </c>
      <c r="H63" s="1752"/>
      <c r="I63" s="1330">
        <f t="shared" si="6"/>
        <v>0</v>
      </c>
      <c r="J63" s="1965">
        <f t="shared" si="7"/>
        <v>0</v>
      </c>
      <c r="K63" s="1331"/>
      <c r="L63" s="1986"/>
      <c r="M63" s="1752">
        <f>'[8]7-12 by LEA'!K65</f>
        <v>2309</v>
      </c>
      <c r="N63" s="1330">
        <f t="shared" si="8"/>
        <v>60034</v>
      </c>
      <c r="O63" s="1979">
        <f t="shared" si="3"/>
        <v>60034</v>
      </c>
    </row>
    <row r="64" spans="1:15">
      <c r="A64" s="556">
        <f t="shared" si="4"/>
        <v>60</v>
      </c>
      <c r="B64" s="1111">
        <v>60</v>
      </c>
      <c r="C64" s="1112" t="s">
        <v>139</v>
      </c>
      <c r="D64" s="1753">
        <v>0</v>
      </c>
      <c r="E64" s="1121">
        <f t="shared" si="2"/>
        <v>0</v>
      </c>
      <c r="F64" s="1753"/>
      <c r="G64" s="894">
        <f t="shared" si="5"/>
        <v>0</v>
      </c>
      <c r="H64" s="1753"/>
      <c r="I64" s="894">
        <f t="shared" si="6"/>
        <v>0</v>
      </c>
      <c r="J64" s="1966">
        <f t="shared" si="7"/>
        <v>0</v>
      </c>
      <c r="K64" s="827"/>
      <c r="L64" s="1987"/>
      <c r="M64" s="1753">
        <f>'[8]7-12 by LEA'!K66</f>
        <v>2805</v>
      </c>
      <c r="N64" s="894">
        <f t="shared" si="8"/>
        <v>72930</v>
      </c>
      <c r="O64" s="1980">
        <f t="shared" si="3"/>
        <v>72930</v>
      </c>
    </row>
    <row r="65" spans="1:15">
      <c r="A65" s="556">
        <f t="shared" si="4"/>
        <v>61</v>
      </c>
      <c r="B65" s="1322">
        <v>61</v>
      </c>
      <c r="C65" s="1323" t="s">
        <v>140</v>
      </c>
      <c r="D65" s="1751">
        <v>0</v>
      </c>
      <c r="E65" s="1324">
        <f t="shared" si="2"/>
        <v>0</v>
      </c>
      <c r="F65" s="1751"/>
      <c r="G65" s="1325">
        <f t="shared" si="5"/>
        <v>0</v>
      </c>
      <c r="H65" s="1751"/>
      <c r="I65" s="1325">
        <f t="shared" si="6"/>
        <v>0</v>
      </c>
      <c r="J65" s="1964">
        <f t="shared" si="7"/>
        <v>0</v>
      </c>
      <c r="K65" s="1326"/>
      <c r="L65" s="1985"/>
      <c r="M65" s="1751">
        <f>'[8]7-12 by LEA'!K67</f>
        <v>1545</v>
      </c>
      <c r="N65" s="1325">
        <f t="shared" si="8"/>
        <v>40170</v>
      </c>
      <c r="O65" s="1978">
        <f t="shared" si="3"/>
        <v>40170</v>
      </c>
    </row>
    <row r="66" spans="1:15">
      <c r="A66" s="556">
        <f t="shared" si="4"/>
        <v>62</v>
      </c>
      <c r="B66" s="1327">
        <v>62</v>
      </c>
      <c r="C66" s="1328" t="s">
        <v>141</v>
      </c>
      <c r="D66" s="1752">
        <v>0</v>
      </c>
      <c r="E66" s="1329">
        <f t="shared" si="2"/>
        <v>0</v>
      </c>
      <c r="F66" s="1752"/>
      <c r="G66" s="1330">
        <f t="shared" si="5"/>
        <v>0</v>
      </c>
      <c r="H66" s="1752"/>
      <c r="I66" s="1330">
        <f t="shared" si="6"/>
        <v>0</v>
      </c>
      <c r="J66" s="1965">
        <f t="shared" si="7"/>
        <v>0</v>
      </c>
      <c r="K66" s="1331"/>
      <c r="L66" s="1986"/>
      <c r="M66" s="1752">
        <f>'[8]7-12 by LEA'!K68</f>
        <v>879</v>
      </c>
      <c r="N66" s="1330">
        <f t="shared" si="8"/>
        <v>22854</v>
      </c>
      <c r="O66" s="1979">
        <f t="shared" si="3"/>
        <v>22854</v>
      </c>
    </row>
    <row r="67" spans="1:15">
      <c r="A67" s="556">
        <f t="shared" si="4"/>
        <v>63</v>
      </c>
      <c r="B67" s="1327">
        <v>63</v>
      </c>
      <c r="C67" s="1328" t="s">
        <v>142</v>
      </c>
      <c r="D67" s="1752">
        <v>0</v>
      </c>
      <c r="E67" s="1329">
        <f t="shared" si="2"/>
        <v>0</v>
      </c>
      <c r="F67" s="1752"/>
      <c r="G67" s="1330">
        <f t="shared" si="5"/>
        <v>0</v>
      </c>
      <c r="H67" s="1752"/>
      <c r="I67" s="1330">
        <f t="shared" si="6"/>
        <v>0</v>
      </c>
      <c r="J67" s="1965">
        <f t="shared" si="7"/>
        <v>0</v>
      </c>
      <c r="K67" s="1331"/>
      <c r="L67" s="1986"/>
      <c r="M67" s="1752">
        <f>'[8]7-12 by LEA'!K69</f>
        <v>946</v>
      </c>
      <c r="N67" s="1330">
        <f t="shared" si="8"/>
        <v>24596</v>
      </c>
      <c r="O67" s="1979">
        <f t="shared" si="3"/>
        <v>24596</v>
      </c>
    </row>
    <row r="68" spans="1:15">
      <c r="A68" s="556">
        <f t="shared" si="4"/>
        <v>64</v>
      </c>
      <c r="B68" s="1327">
        <v>64</v>
      </c>
      <c r="C68" s="1328" t="s">
        <v>143</v>
      </c>
      <c r="D68" s="1752">
        <v>0</v>
      </c>
      <c r="E68" s="1329">
        <f t="shared" si="2"/>
        <v>0</v>
      </c>
      <c r="F68" s="1752"/>
      <c r="G68" s="1330">
        <f t="shared" si="5"/>
        <v>0</v>
      </c>
      <c r="H68" s="1752"/>
      <c r="I68" s="1330">
        <f t="shared" si="6"/>
        <v>0</v>
      </c>
      <c r="J68" s="1965">
        <f t="shared" si="7"/>
        <v>0</v>
      </c>
      <c r="K68" s="1331"/>
      <c r="L68" s="1986"/>
      <c r="M68" s="1752">
        <f>'[8]7-12 by LEA'!K70</f>
        <v>1034</v>
      </c>
      <c r="N68" s="1330">
        <f t="shared" si="8"/>
        <v>26884</v>
      </c>
      <c r="O68" s="1979">
        <f t="shared" si="3"/>
        <v>26884</v>
      </c>
    </row>
    <row r="69" spans="1:15">
      <c r="A69" s="556">
        <f t="shared" si="4"/>
        <v>65</v>
      </c>
      <c r="B69" s="1111">
        <v>65</v>
      </c>
      <c r="C69" s="1112" t="s">
        <v>144</v>
      </c>
      <c r="D69" s="1753">
        <v>0</v>
      </c>
      <c r="E69" s="1121">
        <f t="shared" ref="E69:E73" si="9">ROUND($E$3*D69,0)</f>
        <v>0</v>
      </c>
      <c r="F69" s="1753"/>
      <c r="G69" s="894">
        <f t="shared" si="5"/>
        <v>0</v>
      </c>
      <c r="H69" s="1753"/>
      <c r="I69" s="894">
        <f t="shared" si="6"/>
        <v>0</v>
      </c>
      <c r="J69" s="1966">
        <f t="shared" si="7"/>
        <v>0</v>
      </c>
      <c r="K69" s="827"/>
      <c r="L69" s="1987"/>
      <c r="M69" s="1753">
        <f>'[8]7-12 by LEA'!K71</f>
        <v>3263</v>
      </c>
      <c r="N69" s="894">
        <f t="shared" si="8"/>
        <v>84838</v>
      </c>
      <c r="O69" s="1980">
        <f t="shared" ref="O69:O73" si="10">+K69+J69+E69+L69+N69</f>
        <v>84838</v>
      </c>
    </row>
    <row r="70" spans="1:15">
      <c r="A70" s="556">
        <f t="shared" ref="A70:A120" si="11">+VALUE(B70)</f>
        <v>66</v>
      </c>
      <c r="B70" s="1322">
        <v>66</v>
      </c>
      <c r="C70" s="1323" t="s">
        <v>145</v>
      </c>
      <c r="D70" s="1751">
        <v>0</v>
      </c>
      <c r="E70" s="1334">
        <f t="shared" si="9"/>
        <v>0</v>
      </c>
      <c r="F70" s="1751"/>
      <c r="G70" s="1325">
        <f>ROUND($G$3*F70,0)</f>
        <v>0</v>
      </c>
      <c r="H70" s="1751"/>
      <c r="I70" s="1325">
        <f>ROUND($I$3*H70,0)</f>
        <v>0</v>
      </c>
      <c r="J70" s="1964">
        <f>G70+I70</f>
        <v>0</v>
      </c>
      <c r="K70" s="1326"/>
      <c r="L70" s="1985"/>
      <c r="M70" s="1751">
        <f>'[8]7-12 by LEA'!K72</f>
        <v>770</v>
      </c>
      <c r="N70" s="1325">
        <f t="shared" ref="N70:N73" si="12">ROUND(M70*$N$3,0)</f>
        <v>20020</v>
      </c>
      <c r="O70" s="1978">
        <f t="shared" si="10"/>
        <v>20020</v>
      </c>
    </row>
    <row r="71" spans="1:15">
      <c r="A71" s="556">
        <f t="shared" si="11"/>
        <v>67</v>
      </c>
      <c r="B71" s="1337">
        <v>67</v>
      </c>
      <c r="C71" s="1338" t="s">
        <v>30</v>
      </c>
      <c r="D71" s="1754">
        <v>0</v>
      </c>
      <c r="E71" s="1339">
        <f t="shared" si="9"/>
        <v>0</v>
      </c>
      <c r="F71" s="1754"/>
      <c r="G71" s="1340">
        <f>ROUND($G$3*F71,0)</f>
        <v>0</v>
      </c>
      <c r="H71" s="1754"/>
      <c r="I71" s="1340">
        <f>ROUND($I$3*H71,0)</f>
        <v>0</v>
      </c>
      <c r="J71" s="1967">
        <f>G71+I71</f>
        <v>0</v>
      </c>
      <c r="K71" s="1341"/>
      <c r="L71" s="1988"/>
      <c r="M71" s="1754">
        <f>'[8]7-12 by LEA'!K73</f>
        <v>2397</v>
      </c>
      <c r="N71" s="1340">
        <f t="shared" si="12"/>
        <v>62322</v>
      </c>
      <c r="O71" s="1981">
        <f t="shared" si="10"/>
        <v>62322</v>
      </c>
    </row>
    <row r="72" spans="1:15">
      <c r="A72" s="1342">
        <f t="shared" si="11"/>
        <v>68</v>
      </c>
      <c r="B72" s="1343">
        <v>68</v>
      </c>
      <c r="C72" s="1328" t="s">
        <v>28</v>
      </c>
      <c r="D72" s="1752">
        <v>0</v>
      </c>
      <c r="E72" s="1335">
        <f t="shared" si="9"/>
        <v>0</v>
      </c>
      <c r="F72" s="1752"/>
      <c r="G72" s="1330">
        <f>ROUND($G$3*F72,0)</f>
        <v>0</v>
      </c>
      <c r="H72" s="1752"/>
      <c r="I72" s="1330">
        <f>ROUND($I$3*H72,0)</f>
        <v>0</v>
      </c>
      <c r="J72" s="1965">
        <f>G72+I72</f>
        <v>0</v>
      </c>
      <c r="K72" s="1331"/>
      <c r="L72" s="1986"/>
      <c r="M72" s="1752">
        <f>'[8]7-12 by LEA'!K74</f>
        <v>710</v>
      </c>
      <c r="N72" s="1330">
        <f t="shared" si="12"/>
        <v>18460</v>
      </c>
      <c r="O72" s="1979">
        <f t="shared" si="10"/>
        <v>18460</v>
      </c>
    </row>
    <row r="73" spans="1:15">
      <c r="A73" s="556">
        <f t="shared" si="11"/>
        <v>69</v>
      </c>
      <c r="B73" s="830">
        <v>69</v>
      </c>
      <c r="C73" s="1112" t="s">
        <v>183</v>
      </c>
      <c r="D73" s="1753">
        <v>0</v>
      </c>
      <c r="E73" s="1063">
        <f t="shared" si="9"/>
        <v>0</v>
      </c>
      <c r="F73" s="1753"/>
      <c r="G73" s="894">
        <f>ROUND($G$3*F73,0)</f>
        <v>0</v>
      </c>
      <c r="H73" s="1753"/>
      <c r="I73" s="894">
        <f>ROUND($I$3*H73,0)</f>
        <v>0</v>
      </c>
      <c r="J73" s="1966">
        <f>G73+I73</f>
        <v>0</v>
      </c>
      <c r="K73" s="827"/>
      <c r="L73" s="1987"/>
      <c r="M73" s="1753">
        <f>'[8]7-12 by LEA'!K75</f>
        <v>1869</v>
      </c>
      <c r="N73" s="894">
        <f t="shared" si="12"/>
        <v>48594</v>
      </c>
      <c r="O73" s="1980">
        <f t="shared" si="10"/>
        <v>48594</v>
      </c>
    </row>
    <row r="74" spans="1:15" ht="13.8" thickBot="1">
      <c r="A74" s="556">
        <f t="shared" si="11"/>
        <v>0</v>
      </c>
      <c r="B74" s="1113"/>
      <c r="C74" s="1114" t="s">
        <v>684</v>
      </c>
      <c r="D74" s="1755">
        <f>SUM(D5:D73)</f>
        <v>211</v>
      </c>
      <c r="E74" s="1756">
        <f>SUM(E5:E73)</f>
        <v>4431000</v>
      </c>
      <c r="F74" s="1755">
        <f t="shared" ref="F74:O74" si="13">SUM(F5:F73)</f>
        <v>0</v>
      </c>
      <c r="G74" s="1115">
        <f t="shared" si="13"/>
        <v>0</v>
      </c>
      <c r="H74" s="1755">
        <f t="shared" si="13"/>
        <v>0</v>
      </c>
      <c r="I74" s="1115">
        <f t="shared" si="13"/>
        <v>0</v>
      </c>
      <c r="J74" s="1968">
        <f t="shared" si="13"/>
        <v>0</v>
      </c>
      <c r="K74" s="1116">
        <f t="shared" si="13"/>
        <v>0</v>
      </c>
      <c r="L74" s="1989">
        <f t="shared" si="13"/>
        <v>0</v>
      </c>
      <c r="M74" s="1755">
        <f t="shared" si="13"/>
        <v>273209</v>
      </c>
      <c r="N74" s="1117">
        <f t="shared" si="13"/>
        <v>7103434</v>
      </c>
      <c r="O74" s="1982">
        <f t="shared" si="13"/>
        <v>11534434</v>
      </c>
    </row>
    <row r="75" spans="1:15" s="557" customFormat="1" ht="7.2" customHeight="1" thickTop="1">
      <c r="A75" s="556">
        <f t="shared" si="11"/>
        <v>0</v>
      </c>
      <c r="B75" s="896"/>
      <c r="C75" s="897"/>
      <c r="D75" s="1757"/>
      <c r="E75" s="1758"/>
      <c r="F75" s="1757"/>
      <c r="G75" s="1759"/>
      <c r="H75" s="1757"/>
      <c r="I75" s="1759"/>
      <c r="J75" s="1758"/>
      <c r="K75" s="1758"/>
      <c r="L75" s="1758"/>
      <c r="M75" s="1757"/>
      <c r="N75" s="1758"/>
      <c r="O75" s="1758"/>
    </row>
    <row r="76" spans="1:15" s="557" customFormat="1">
      <c r="A76" s="556">
        <f t="shared" si="11"/>
        <v>318001</v>
      </c>
      <c r="B76" s="1332">
        <v>318001</v>
      </c>
      <c r="C76" s="1336" t="s">
        <v>665</v>
      </c>
      <c r="D76" s="1751">
        <v>0</v>
      </c>
      <c r="E76" s="1334">
        <f>ROUND($E$3*D76,0)</f>
        <v>0</v>
      </c>
      <c r="F76" s="1751"/>
      <c r="G76" s="1325">
        <f>ROUND($G$3*F76,0)</f>
        <v>0</v>
      </c>
      <c r="H76" s="1751"/>
      <c r="I76" s="1325">
        <f>ROUND($I$3*H76,0)</f>
        <v>0</v>
      </c>
      <c r="J76" s="1964">
        <f>G76+I76</f>
        <v>0</v>
      </c>
      <c r="K76" s="1326"/>
      <c r="L76" s="1985"/>
      <c r="M76" s="1751">
        <f>VLOOKUP(B76,'[8]7-12 by Site'!$A$6:$I$148,9,FALSE)</f>
        <v>658</v>
      </c>
      <c r="N76" s="1325">
        <f t="shared" ref="N76:N77" si="14">ROUND(M76*$N$3,0)</f>
        <v>17108</v>
      </c>
      <c r="O76" s="1978">
        <f>+K76+J76+E76+L76+N76</f>
        <v>17108</v>
      </c>
    </row>
    <row r="77" spans="1:15" s="557" customFormat="1">
      <c r="A77" s="556">
        <f t="shared" si="11"/>
        <v>319001</v>
      </c>
      <c r="B77" s="829">
        <v>319001</v>
      </c>
      <c r="C77" s="895" t="s">
        <v>666</v>
      </c>
      <c r="D77" s="1753">
        <v>0</v>
      </c>
      <c r="E77" s="1063">
        <f>ROUND($E$3*D77,0)</f>
        <v>0</v>
      </c>
      <c r="F77" s="1753"/>
      <c r="G77" s="894">
        <f>ROUND($G$3*F77,0)</f>
        <v>0</v>
      </c>
      <c r="H77" s="1753"/>
      <c r="I77" s="894">
        <f>ROUND($I$3*H77,0)</f>
        <v>0</v>
      </c>
      <c r="J77" s="1966">
        <f>G77+I77</f>
        <v>0</v>
      </c>
      <c r="K77" s="827"/>
      <c r="L77" s="1987"/>
      <c r="M77" s="1753">
        <f>VLOOKUP(B77,'[8]7-12 by Site'!$A$6:$I$148,9,FALSE)</f>
        <v>341</v>
      </c>
      <c r="N77" s="894">
        <f t="shared" si="14"/>
        <v>8866</v>
      </c>
      <c r="O77" s="1980">
        <f>+K77+J77+E77+L77+N77</f>
        <v>8866</v>
      </c>
    </row>
    <row r="78" spans="1:15" ht="13.8" thickBot="1">
      <c r="A78" s="556">
        <f t="shared" si="11"/>
        <v>0</v>
      </c>
      <c r="B78" s="1113"/>
      <c r="C78" s="1114" t="s">
        <v>667</v>
      </c>
      <c r="D78" s="1755">
        <f>SUM(D76:D77)</f>
        <v>0</v>
      </c>
      <c r="E78" s="1756">
        <f>SUM(E76:E77)</f>
        <v>0</v>
      </c>
      <c r="F78" s="1755">
        <f>SUM(F76:F77)</f>
        <v>0</v>
      </c>
      <c r="G78" s="1115">
        <f t="shared" ref="G78:O78" si="15">SUM(G76:G77)</f>
        <v>0</v>
      </c>
      <c r="H78" s="1755">
        <f t="shared" si="15"/>
        <v>0</v>
      </c>
      <c r="I78" s="1115">
        <f t="shared" si="15"/>
        <v>0</v>
      </c>
      <c r="J78" s="1968">
        <f t="shared" si="15"/>
        <v>0</v>
      </c>
      <c r="K78" s="1116">
        <f t="shared" si="15"/>
        <v>0</v>
      </c>
      <c r="L78" s="1989">
        <f t="shared" si="15"/>
        <v>0</v>
      </c>
      <c r="M78" s="1755">
        <f t="shared" si="15"/>
        <v>999</v>
      </c>
      <c r="N78" s="1117">
        <f t="shared" si="15"/>
        <v>25974</v>
      </c>
      <c r="O78" s="1982">
        <f t="shared" si="15"/>
        <v>25974</v>
      </c>
    </row>
    <row r="79" spans="1:15" ht="7.2" customHeight="1" thickTop="1">
      <c r="A79" s="556">
        <f t="shared" si="11"/>
        <v>0</v>
      </c>
      <c r="B79" s="898"/>
      <c r="C79" s="899"/>
      <c r="D79" s="1757"/>
      <c r="E79" s="1758"/>
      <c r="F79" s="1757"/>
      <c r="G79" s="1759"/>
      <c r="H79" s="1757"/>
      <c r="I79" s="1759"/>
      <c r="J79" s="1758"/>
      <c r="K79" s="1758"/>
      <c r="L79" s="1758"/>
      <c r="M79" s="1757"/>
      <c r="N79" s="1758"/>
      <c r="O79" s="1758"/>
    </row>
    <row r="80" spans="1:15">
      <c r="A80" s="558">
        <f t="shared" si="11"/>
        <v>302006</v>
      </c>
      <c r="B80" s="1332">
        <v>302006</v>
      </c>
      <c r="C80" s="1336" t="s">
        <v>659</v>
      </c>
      <c r="D80" s="1751">
        <v>0</v>
      </c>
      <c r="E80" s="1334">
        <f>ROUND($E$3*D80,0)</f>
        <v>0</v>
      </c>
      <c r="F80" s="1751"/>
      <c r="G80" s="1325">
        <f>ROUND($G$3*F80,0)</f>
        <v>0</v>
      </c>
      <c r="H80" s="1751"/>
      <c r="I80" s="1325">
        <f>ROUND($I$3*H80,0)</f>
        <v>0</v>
      </c>
      <c r="J80" s="1964">
        <f>G80+I80</f>
        <v>0</v>
      </c>
      <c r="K80" s="1326"/>
      <c r="L80" s="1985"/>
      <c r="M80" s="1751">
        <f>VLOOKUP(B80,'[8]7-12 by Site'!$A$6:$I$148,9,FALSE)</f>
        <v>278</v>
      </c>
      <c r="N80" s="1325">
        <f t="shared" ref="N80:N81" si="16">ROUND(M80*$N$3,0)</f>
        <v>7228</v>
      </c>
      <c r="O80" s="1978">
        <f>+K80+J80+E80+L80+N80</f>
        <v>7228</v>
      </c>
    </row>
    <row r="81" spans="1:15">
      <c r="A81" s="558">
        <f t="shared" si="11"/>
        <v>334001</v>
      </c>
      <c r="B81" s="829">
        <v>334001</v>
      </c>
      <c r="C81" s="895" t="s">
        <v>660</v>
      </c>
      <c r="D81" s="1753">
        <v>0</v>
      </c>
      <c r="E81" s="1063">
        <f>ROUND($E$3*D81,0)</f>
        <v>0</v>
      </c>
      <c r="F81" s="1753"/>
      <c r="G81" s="894">
        <f>ROUND($G$3*F81,0)</f>
        <v>0</v>
      </c>
      <c r="H81" s="1753"/>
      <c r="I81" s="894">
        <f>ROUND($I$3*H81,0)</f>
        <v>0</v>
      </c>
      <c r="J81" s="1966">
        <f>G81+I81</f>
        <v>0</v>
      </c>
      <c r="K81" s="827"/>
      <c r="L81" s="1987"/>
      <c r="M81" s="1753">
        <f>VLOOKUP(B81,'[8]7-12 by Site'!$A$6:$I$148,9,FALSE)</f>
        <v>175</v>
      </c>
      <c r="N81" s="894">
        <f t="shared" si="16"/>
        <v>4550</v>
      </c>
      <c r="O81" s="1980">
        <f>+K81+J81+E81+L81+N81</f>
        <v>4550</v>
      </c>
    </row>
    <row r="82" spans="1:15" ht="13.8" thickBot="1">
      <c r="A82" s="556">
        <f t="shared" si="11"/>
        <v>0</v>
      </c>
      <c r="B82" s="1113"/>
      <c r="C82" s="1114" t="s">
        <v>691</v>
      </c>
      <c r="D82" s="1755">
        <f t="shared" ref="D82:K82" si="17">SUM(D80:D81)</f>
        <v>0</v>
      </c>
      <c r="E82" s="1756">
        <f t="shared" si="17"/>
        <v>0</v>
      </c>
      <c r="F82" s="1755">
        <f t="shared" si="17"/>
        <v>0</v>
      </c>
      <c r="G82" s="1115">
        <f t="shared" si="17"/>
        <v>0</v>
      </c>
      <c r="H82" s="1755">
        <f t="shared" si="17"/>
        <v>0</v>
      </c>
      <c r="I82" s="1115">
        <f t="shared" si="17"/>
        <v>0</v>
      </c>
      <c r="J82" s="1968">
        <f t="shared" si="17"/>
        <v>0</v>
      </c>
      <c r="K82" s="1116">
        <f t="shared" si="17"/>
        <v>0</v>
      </c>
      <c r="L82" s="1989">
        <f>SUM(L80:L81)</f>
        <v>0</v>
      </c>
      <c r="M82" s="1755">
        <f>SUM(M80:M81)</f>
        <v>453</v>
      </c>
      <c r="N82" s="1117">
        <f>SUM(N80:N81)</f>
        <v>11778</v>
      </c>
      <c r="O82" s="1982">
        <f>SUM(O80:O81)</f>
        <v>11778</v>
      </c>
    </row>
    <row r="83" spans="1:15" ht="7.2" customHeight="1" thickTop="1">
      <c r="A83" s="556">
        <f t="shared" si="11"/>
        <v>0</v>
      </c>
      <c r="B83" s="900"/>
      <c r="C83" s="901"/>
      <c r="D83" s="1757"/>
      <c r="E83" s="1758"/>
      <c r="F83" s="1757"/>
      <c r="G83" s="1759"/>
      <c r="H83" s="1757"/>
      <c r="I83" s="1759"/>
      <c r="J83" s="1758"/>
      <c r="K83" s="1758"/>
      <c r="L83" s="1758"/>
      <c r="M83" s="1757"/>
      <c r="N83" s="1758"/>
      <c r="O83" s="1758"/>
    </row>
    <row r="84" spans="1:15">
      <c r="A84" s="558">
        <f t="shared" si="11"/>
        <v>321001</v>
      </c>
      <c r="B84" s="1322">
        <v>321001</v>
      </c>
      <c r="C84" s="1323" t="s">
        <v>668</v>
      </c>
      <c r="D84" s="1751">
        <v>0</v>
      </c>
      <c r="E84" s="1324">
        <f t="shared" ref="E84:E91" si="18">ROUND($E$3*D84,0)</f>
        <v>0</v>
      </c>
      <c r="F84" s="1751"/>
      <c r="G84" s="1325">
        <f t="shared" ref="G84:G91" si="19">ROUND($G$3*F84,0)</f>
        <v>0</v>
      </c>
      <c r="H84" s="1751"/>
      <c r="I84" s="1325">
        <f t="shared" ref="I84:I91" si="20">ROUND($I$3*H84,0)</f>
        <v>0</v>
      </c>
      <c r="J84" s="1964">
        <f t="shared" ref="J84:J91" si="21">G84+I84</f>
        <v>0</v>
      </c>
      <c r="K84" s="1326"/>
      <c r="L84" s="1985"/>
      <c r="M84" s="1751">
        <f>VLOOKUP(B84,'[8]7-12 by Site'!$A$6:$I$148,9,FALSE)</f>
        <v>0</v>
      </c>
      <c r="N84" s="1325">
        <f t="shared" ref="N84:N91" si="22">ROUND(M84*$N$3,0)</f>
        <v>0</v>
      </c>
      <c r="O84" s="1978">
        <f t="shared" ref="O84:O91" si="23">+K84+J84+E84+L84+N84</f>
        <v>0</v>
      </c>
    </row>
    <row r="85" spans="1:15">
      <c r="A85" s="558">
        <f t="shared" si="11"/>
        <v>329001</v>
      </c>
      <c r="B85" s="1327">
        <v>329001</v>
      </c>
      <c r="C85" s="1328" t="s">
        <v>669</v>
      </c>
      <c r="D85" s="1752">
        <v>0</v>
      </c>
      <c r="E85" s="1329">
        <f t="shared" si="18"/>
        <v>0</v>
      </c>
      <c r="F85" s="1752"/>
      <c r="G85" s="1330">
        <f t="shared" si="19"/>
        <v>0</v>
      </c>
      <c r="H85" s="1752"/>
      <c r="I85" s="1330">
        <f t="shared" si="20"/>
        <v>0</v>
      </c>
      <c r="J85" s="1965">
        <f t="shared" si="21"/>
        <v>0</v>
      </c>
      <c r="K85" s="1331"/>
      <c r="L85" s="1986"/>
      <c r="M85" s="1752">
        <f>VLOOKUP(B85,'[8]7-12 by Site'!$A$6:$I$148,9,FALSE)</f>
        <v>75</v>
      </c>
      <c r="N85" s="1330">
        <f t="shared" si="22"/>
        <v>1950</v>
      </c>
      <c r="O85" s="1979">
        <f t="shared" si="23"/>
        <v>1950</v>
      </c>
    </row>
    <row r="86" spans="1:15">
      <c r="A86" s="558">
        <f t="shared" si="11"/>
        <v>331001</v>
      </c>
      <c r="B86" s="1327">
        <v>331001</v>
      </c>
      <c r="C86" s="1328" t="s">
        <v>670</v>
      </c>
      <c r="D86" s="1752">
        <v>20</v>
      </c>
      <c r="E86" s="1329">
        <f t="shared" si="18"/>
        <v>420000</v>
      </c>
      <c r="F86" s="1752"/>
      <c r="G86" s="1330">
        <f t="shared" si="19"/>
        <v>0</v>
      </c>
      <c r="H86" s="1752"/>
      <c r="I86" s="1330">
        <f t="shared" si="20"/>
        <v>0</v>
      </c>
      <c r="J86" s="1965">
        <f t="shared" si="21"/>
        <v>0</v>
      </c>
      <c r="K86" s="1331"/>
      <c r="L86" s="1986"/>
      <c r="M86" s="1752">
        <f>VLOOKUP(B86,'[8]7-12 by Site'!$A$6:$I$148,9,FALSE)</f>
        <v>74</v>
      </c>
      <c r="N86" s="1330">
        <f t="shared" si="22"/>
        <v>1924</v>
      </c>
      <c r="O86" s="1979">
        <f t="shared" si="23"/>
        <v>421924</v>
      </c>
    </row>
    <row r="87" spans="1:15">
      <c r="A87" s="558">
        <f t="shared" si="11"/>
        <v>333001</v>
      </c>
      <c r="B87" s="1327">
        <v>333001</v>
      </c>
      <c r="C87" s="1328" t="s">
        <v>671</v>
      </c>
      <c r="D87" s="1752">
        <v>0</v>
      </c>
      <c r="E87" s="1329">
        <f t="shared" si="18"/>
        <v>0</v>
      </c>
      <c r="F87" s="1752"/>
      <c r="G87" s="1330">
        <f t="shared" si="19"/>
        <v>0</v>
      </c>
      <c r="H87" s="1752"/>
      <c r="I87" s="1330">
        <f t="shared" si="20"/>
        <v>0</v>
      </c>
      <c r="J87" s="1965">
        <f t="shared" si="21"/>
        <v>0</v>
      </c>
      <c r="K87" s="1331"/>
      <c r="L87" s="1986"/>
      <c r="M87" s="1752">
        <f>VLOOKUP(B87,'[8]7-12 by Site'!$A$6:$I$148,9,FALSE)</f>
        <v>333</v>
      </c>
      <c r="N87" s="1330">
        <f t="shared" si="22"/>
        <v>8658</v>
      </c>
      <c r="O87" s="1979">
        <f t="shared" si="23"/>
        <v>8658</v>
      </c>
    </row>
    <row r="88" spans="1:15">
      <c r="A88" s="558">
        <f t="shared" si="11"/>
        <v>336001</v>
      </c>
      <c r="B88" s="1111">
        <v>336001</v>
      </c>
      <c r="C88" s="1112" t="s">
        <v>672</v>
      </c>
      <c r="D88" s="1753">
        <v>0</v>
      </c>
      <c r="E88" s="1121">
        <f t="shared" si="18"/>
        <v>0</v>
      </c>
      <c r="F88" s="1753"/>
      <c r="G88" s="894">
        <f t="shared" si="19"/>
        <v>0</v>
      </c>
      <c r="H88" s="1753"/>
      <c r="I88" s="894">
        <f t="shared" si="20"/>
        <v>0</v>
      </c>
      <c r="J88" s="1966">
        <f t="shared" si="21"/>
        <v>0</v>
      </c>
      <c r="K88" s="827"/>
      <c r="L88" s="1987"/>
      <c r="M88" s="1753">
        <f>VLOOKUP(B88,'[8]7-12 by Site'!$A$6:$I$148,9,FALSE)</f>
        <v>410</v>
      </c>
      <c r="N88" s="894">
        <f t="shared" si="22"/>
        <v>10660</v>
      </c>
      <c r="O88" s="1980">
        <f t="shared" si="23"/>
        <v>10660</v>
      </c>
    </row>
    <row r="89" spans="1:15">
      <c r="A89" s="558">
        <f t="shared" si="11"/>
        <v>337001</v>
      </c>
      <c r="B89" s="1327">
        <v>337001</v>
      </c>
      <c r="C89" s="1328" t="s">
        <v>673</v>
      </c>
      <c r="D89" s="1752">
        <v>0</v>
      </c>
      <c r="E89" s="1335">
        <f t="shared" si="18"/>
        <v>0</v>
      </c>
      <c r="F89" s="1752"/>
      <c r="G89" s="1330">
        <f t="shared" si="19"/>
        <v>0</v>
      </c>
      <c r="H89" s="1752"/>
      <c r="I89" s="1330">
        <f t="shared" si="20"/>
        <v>0</v>
      </c>
      <c r="J89" s="1965">
        <f t="shared" si="21"/>
        <v>0</v>
      </c>
      <c r="K89" s="1331"/>
      <c r="L89" s="1986"/>
      <c r="M89" s="1752">
        <f>VLOOKUP(B89,'[8]7-12 by Site'!$A$6:$I$148,9,FALSE)</f>
        <v>214</v>
      </c>
      <c r="N89" s="1330">
        <f t="shared" si="22"/>
        <v>5564</v>
      </c>
      <c r="O89" s="1979">
        <f t="shared" si="23"/>
        <v>5564</v>
      </c>
    </row>
    <row r="90" spans="1:15">
      <c r="A90" s="558">
        <f t="shared" si="11"/>
        <v>339001</v>
      </c>
      <c r="B90" s="1327">
        <v>339001</v>
      </c>
      <c r="C90" s="1328" t="s">
        <v>674</v>
      </c>
      <c r="D90" s="1752">
        <v>0</v>
      </c>
      <c r="E90" s="1335">
        <f t="shared" si="18"/>
        <v>0</v>
      </c>
      <c r="F90" s="1752"/>
      <c r="G90" s="1330">
        <f t="shared" si="19"/>
        <v>0</v>
      </c>
      <c r="H90" s="1752"/>
      <c r="I90" s="1330">
        <f t="shared" si="20"/>
        <v>0</v>
      </c>
      <c r="J90" s="1965">
        <f t="shared" si="21"/>
        <v>0</v>
      </c>
      <c r="K90" s="1331"/>
      <c r="L90" s="1986"/>
      <c r="M90" s="1752">
        <f>VLOOKUP(B90,'[8]7-12 by Site'!$A$6:$I$148,9,FALSE)</f>
        <v>84</v>
      </c>
      <c r="N90" s="1330">
        <f t="shared" si="22"/>
        <v>2184</v>
      </c>
      <c r="O90" s="1979">
        <f t="shared" si="23"/>
        <v>2184</v>
      </c>
    </row>
    <row r="91" spans="1:15">
      <c r="A91" s="558">
        <f t="shared" si="11"/>
        <v>340001</v>
      </c>
      <c r="B91" s="1111">
        <v>340001</v>
      </c>
      <c r="C91" s="1112" t="s">
        <v>706</v>
      </c>
      <c r="D91" s="1753">
        <v>0</v>
      </c>
      <c r="E91" s="1063">
        <f t="shared" si="18"/>
        <v>0</v>
      </c>
      <c r="F91" s="1753"/>
      <c r="G91" s="894">
        <f t="shared" si="19"/>
        <v>0</v>
      </c>
      <c r="H91" s="1753"/>
      <c r="I91" s="894">
        <f t="shared" si="20"/>
        <v>0</v>
      </c>
      <c r="J91" s="1966">
        <f t="shared" si="21"/>
        <v>0</v>
      </c>
      <c r="K91" s="827"/>
      <c r="L91" s="1987"/>
      <c r="M91" s="1753">
        <f>VLOOKUP(B91,'[8]7-12 by Site'!$A$6:$I$148,9,FALSE)</f>
        <v>29</v>
      </c>
      <c r="N91" s="894">
        <f t="shared" si="22"/>
        <v>754</v>
      </c>
      <c r="O91" s="1980">
        <f t="shared" si="23"/>
        <v>754</v>
      </c>
    </row>
    <row r="92" spans="1:15" ht="13.8" thickBot="1">
      <c r="A92" s="556">
        <f t="shared" si="11"/>
        <v>0</v>
      </c>
      <c r="B92" s="1113"/>
      <c r="C92" s="1114" t="s">
        <v>675</v>
      </c>
      <c r="D92" s="1755">
        <f>SUM(D84:D91)</f>
        <v>20</v>
      </c>
      <c r="E92" s="1756">
        <f>SUM(E84:E91)</f>
        <v>420000</v>
      </c>
      <c r="F92" s="1755">
        <f>SUM(F84:F91)</f>
        <v>0</v>
      </c>
      <c r="G92" s="1115">
        <f t="shared" ref="G92:O92" si="24">SUM(G84:G91)</f>
        <v>0</v>
      </c>
      <c r="H92" s="1755">
        <f t="shared" si="24"/>
        <v>0</v>
      </c>
      <c r="I92" s="1115">
        <f t="shared" si="24"/>
        <v>0</v>
      </c>
      <c r="J92" s="1968">
        <f t="shared" si="24"/>
        <v>0</v>
      </c>
      <c r="K92" s="1116">
        <f t="shared" si="24"/>
        <v>0</v>
      </c>
      <c r="L92" s="1989">
        <f t="shared" si="24"/>
        <v>0</v>
      </c>
      <c r="M92" s="1755">
        <f t="shared" si="24"/>
        <v>1219</v>
      </c>
      <c r="N92" s="1117">
        <f t="shared" si="24"/>
        <v>31694</v>
      </c>
      <c r="O92" s="1982">
        <f t="shared" si="24"/>
        <v>451694</v>
      </c>
    </row>
    <row r="93" spans="1:15" ht="7.2" customHeight="1" thickTop="1">
      <c r="A93" s="556">
        <f t="shared" si="11"/>
        <v>0</v>
      </c>
      <c r="B93" s="900"/>
      <c r="C93" s="901"/>
      <c r="D93" s="1757"/>
      <c r="E93" s="1758"/>
      <c r="F93" s="1757"/>
      <c r="G93" s="1759"/>
      <c r="H93" s="1757"/>
      <c r="I93" s="1759"/>
      <c r="J93" s="1758"/>
      <c r="K93" s="1758"/>
      <c r="L93" s="1758"/>
      <c r="M93" s="1757"/>
      <c r="N93" s="1758"/>
      <c r="O93" s="1758"/>
    </row>
    <row r="94" spans="1:15">
      <c r="A94" s="556">
        <f t="shared" si="11"/>
        <v>328001</v>
      </c>
      <c r="B94" s="1322">
        <v>328001</v>
      </c>
      <c r="C94" s="1323" t="s">
        <v>696</v>
      </c>
      <c r="D94" s="1751">
        <v>0</v>
      </c>
      <c r="E94" s="1324">
        <f t="shared" ref="E94:E118" si="25">ROUND($E$3*D94,0)</f>
        <v>0</v>
      </c>
      <c r="F94" s="1751"/>
      <c r="G94" s="1325">
        <f t="shared" ref="G94:G118" si="26">ROUND($G$3*F94,0)</f>
        <v>0</v>
      </c>
      <c r="H94" s="1751"/>
      <c r="I94" s="1325">
        <f t="shared" ref="I94:I118" si="27">ROUND($I$3*H94,0)</f>
        <v>0</v>
      </c>
      <c r="J94" s="1964">
        <f t="shared" ref="J94:J118" si="28">G94+I94</f>
        <v>0</v>
      </c>
      <c r="K94" s="1326"/>
      <c r="L94" s="1985"/>
      <c r="M94" s="1751">
        <f>VLOOKUP(B94,'[8]7-12 by Site'!$A$6:$I$148,9,FALSE)</f>
        <v>74</v>
      </c>
      <c r="N94" s="1325">
        <f t="shared" ref="N94:N118" si="29">ROUND(M94*$N$3,0)</f>
        <v>1924</v>
      </c>
      <c r="O94" s="1978">
        <f t="shared" ref="O94:O118" si="30">+K94+J94+E94+L94+N94</f>
        <v>1924</v>
      </c>
    </row>
    <row r="95" spans="1:15">
      <c r="A95" s="556">
        <f t="shared" si="11"/>
        <v>328003</v>
      </c>
      <c r="B95" s="1327" t="s">
        <v>989</v>
      </c>
      <c r="C95" s="1328" t="s">
        <v>710</v>
      </c>
      <c r="D95" s="1752">
        <v>0</v>
      </c>
      <c r="E95" s="1329">
        <f t="shared" si="25"/>
        <v>0</v>
      </c>
      <c r="F95" s="1752"/>
      <c r="G95" s="1330">
        <f t="shared" si="26"/>
        <v>0</v>
      </c>
      <c r="H95" s="1752"/>
      <c r="I95" s="1330">
        <f t="shared" si="27"/>
        <v>0</v>
      </c>
      <c r="J95" s="1965">
        <f t="shared" si="28"/>
        <v>0</v>
      </c>
      <c r="K95" s="1331"/>
      <c r="L95" s="1986"/>
      <c r="M95" s="1752">
        <v>110</v>
      </c>
      <c r="N95" s="1330">
        <f t="shared" si="29"/>
        <v>2860</v>
      </c>
      <c r="O95" s="1979">
        <f t="shared" si="30"/>
        <v>2860</v>
      </c>
    </row>
    <row r="96" spans="1:15">
      <c r="A96" s="556">
        <f t="shared" si="11"/>
        <v>341001</v>
      </c>
      <c r="B96" s="1327">
        <v>341001</v>
      </c>
      <c r="C96" s="1328" t="s">
        <v>697</v>
      </c>
      <c r="D96" s="1752">
        <v>0</v>
      </c>
      <c r="E96" s="1329">
        <f t="shared" si="25"/>
        <v>0</v>
      </c>
      <c r="F96" s="1752"/>
      <c r="G96" s="1330">
        <f t="shared" si="26"/>
        <v>0</v>
      </c>
      <c r="H96" s="1752"/>
      <c r="I96" s="1330">
        <f t="shared" si="27"/>
        <v>0</v>
      </c>
      <c r="J96" s="1965">
        <f t="shared" si="28"/>
        <v>0</v>
      </c>
      <c r="K96" s="1331"/>
      <c r="L96" s="1986"/>
      <c r="M96" s="1752">
        <f>VLOOKUP(B96,'[8]7-12 by Site'!$A$6:$I$148,9,FALSE)</f>
        <v>192</v>
      </c>
      <c r="N96" s="1330">
        <f t="shared" si="29"/>
        <v>4992</v>
      </c>
      <c r="O96" s="1979">
        <f t="shared" si="30"/>
        <v>4992</v>
      </c>
    </row>
    <row r="97" spans="1:15">
      <c r="A97" s="556">
        <f t="shared" si="11"/>
        <v>343001</v>
      </c>
      <c r="B97" s="1327">
        <v>343001</v>
      </c>
      <c r="C97" s="1328" t="s">
        <v>698</v>
      </c>
      <c r="D97" s="1752">
        <v>0</v>
      </c>
      <c r="E97" s="1329">
        <f t="shared" si="25"/>
        <v>0</v>
      </c>
      <c r="F97" s="1752"/>
      <c r="G97" s="1330">
        <f t="shared" si="26"/>
        <v>0</v>
      </c>
      <c r="H97" s="1752"/>
      <c r="I97" s="1330">
        <f t="shared" si="27"/>
        <v>0</v>
      </c>
      <c r="J97" s="1965">
        <f t="shared" si="28"/>
        <v>0</v>
      </c>
      <c r="K97" s="1331"/>
      <c r="L97" s="1986"/>
      <c r="M97" s="1752">
        <f>VLOOKUP(B97,'[8]7-12 by Site'!$A$6:$I$148,9,FALSE)</f>
        <v>275</v>
      </c>
      <c r="N97" s="1330">
        <f t="shared" si="29"/>
        <v>7150</v>
      </c>
      <c r="O97" s="1979">
        <f t="shared" si="30"/>
        <v>7150</v>
      </c>
    </row>
    <row r="98" spans="1:15">
      <c r="A98" s="556">
        <f t="shared" si="11"/>
        <v>343002</v>
      </c>
      <c r="B98" s="1111">
        <v>343002</v>
      </c>
      <c r="C98" s="1112" t="s">
        <v>677</v>
      </c>
      <c r="D98" s="1753">
        <v>0</v>
      </c>
      <c r="E98" s="1121">
        <f t="shared" si="25"/>
        <v>0</v>
      </c>
      <c r="F98" s="1753"/>
      <c r="G98" s="894">
        <f t="shared" si="26"/>
        <v>0</v>
      </c>
      <c r="H98" s="1753"/>
      <c r="I98" s="894">
        <f t="shared" si="27"/>
        <v>0</v>
      </c>
      <c r="J98" s="1966">
        <f t="shared" si="28"/>
        <v>0</v>
      </c>
      <c r="K98" s="827"/>
      <c r="L98" s="1987"/>
      <c r="M98" s="1753">
        <f>VLOOKUP(B98,'[8]7-12 by Site'!$A$6:$I$148,9,FALSE)</f>
        <v>911</v>
      </c>
      <c r="N98" s="894">
        <f t="shared" si="29"/>
        <v>23686</v>
      </c>
      <c r="O98" s="1980">
        <f t="shared" si="30"/>
        <v>23686</v>
      </c>
    </row>
    <row r="99" spans="1:15">
      <c r="A99" s="556">
        <f t="shared" si="11"/>
        <v>344001</v>
      </c>
      <c r="B99" s="1322">
        <v>344001</v>
      </c>
      <c r="C99" s="1323" t="s">
        <v>699</v>
      </c>
      <c r="D99" s="1751">
        <v>0</v>
      </c>
      <c r="E99" s="1324">
        <f t="shared" si="25"/>
        <v>0</v>
      </c>
      <c r="F99" s="1751"/>
      <c r="G99" s="1325">
        <f t="shared" si="26"/>
        <v>0</v>
      </c>
      <c r="H99" s="1751"/>
      <c r="I99" s="1325">
        <f t="shared" si="27"/>
        <v>0</v>
      </c>
      <c r="J99" s="1964">
        <f t="shared" si="28"/>
        <v>0</v>
      </c>
      <c r="K99" s="1326"/>
      <c r="L99" s="1985"/>
      <c r="M99" s="1751">
        <f>VLOOKUP(B99,'[8]7-12 by Site'!$A$6:$I$148,9,FALSE)</f>
        <v>461</v>
      </c>
      <c r="N99" s="1325">
        <f t="shared" si="29"/>
        <v>11986</v>
      </c>
      <c r="O99" s="1978">
        <f t="shared" si="30"/>
        <v>11986</v>
      </c>
    </row>
    <row r="100" spans="1:15">
      <c r="A100" s="556">
        <f t="shared" si="11"/>
        <v>345001</v>
      </c>
      <c r="B100" s="1327">
        <v>345001</v>
      </c>
      <c r="C100" s="1328" t="s">
        <v>678</v>
      </c>
      <c r="D100" s="1752">
        <v>0</v>
      </c>
      <c r="E100" s="1329">
        <f t="shared" si="25"/>
        <v>0</v>
      </c>
      <c r="F100" s="1752"/>
      <c r="G100" s="1330">
        <f t="shared" si="26"/>
        <v>0</v>
      </c>
      <c r="H100" s="1752"/>
      <c r="I100" s="1330">
        <f t="shared" si="27"/>
        <v>0</v>
      </c>
      <c r="J100" s="1965">
        <f t="shared" si="28"/>
        <v>0</v>
      </c>
      <c r="K100" s="1331"/>
      <c r="L100" s="1986"/>
      <c r="M100" s="1752">
        <f>VLOOKUP(B100,'[8]7-12 by Site'!$A$6:$I$148,9,FALSE)</f>
        <v>770</v>
      </c>
      <c r="N100" s="1330">
        <f t="shared" si="29"/>
        <v>20020</v>
      </c>
      <c r="O100" s="1979">
        <f t="shared" si="30"/>
        <v>20020</v>
      </c>
    </row>
    <row r="101" spans="1:15">
      <c r="A101" s="556">
        <f t="shared" si="11"/>
        <v>346001</v>
      </c>
      <c r="B101" s="1327">
        <v>346001</v>
      </c>
      <c r="C101" s="1328" t="s">
        <v>700</v>
      </c>
      <c r="D101" s="1752">
        <v>0</v>
      </c>
      <c r="E101" s="1329">
        <f t="shared" si="25"/>
        <v>0</v>
      </c>
      <c r="F101" s="1752"/>
      <c r="G101" s="1330">
        <f t="shared" si="26"/>
        <v>0</v>
      </c>
      <c r="H101" s="1752"/>
      <c r="I101" s="1330">
        <f t="shared" si="27"/>
        <v>0</v>
      </c>
      <c r="J101" s="1965">
        <f t="shared" si="28"/>
        <v>0</v>
      </c>
      <c r="K101" s="1331"/>
      <c r="L101" s="1986"/>
      <c r="M101" s="1752">
        <f>VLOOKUP(B101,'[8]7-12 by Site'!$A$6:$I$148,9,FALSE)</f>
        <v>200</v>
      </c>
      <c r="N101" s="1330">
        <f t="shared" si="29"/>
        <v>5200</v>
      </c>
      <c r="O101" s="1979">
        <f t="shared" si="30"/>
        <v>5200</v>
      </c>
    </row>
    <row r="102" spans="1:15">
      <c r="A102" s="556">
        <f t="shared" si="11"/>
        <v>347001</v>
      </c>
      <c r="B102" s="1327">
        <v>347001</v>
      </c>
      <c r="C102" s="1328" t="s">
        <v>701</v>
      </c>
      <c r="D102" s="1752">
        <v>22</v>
      </c>
      <c r="E102" s="1329">
        <f t="shared" si="25"/>
        <v>462000</v>
      </c>
      <c r="F102" s="1752"/>
      <c r="G102" s="1330">
        <f t="shared" si="26"/>
        <v>0</v>
      </c>
      <c r="H102" s="1752"/>
      <c r="I102" s="1330">
        <f t="shared" si="27"/>
        <v>0</v>
      </c>
      <c r="J102" s="1965">
        <f t="shared" si="28"/>
        <v>0</v>
      </c>
      <c r="K102" s="1331"/>
      <c r="L102" s="1986"/>
      <c r="M102" s="1752">
        <f>VLOOKUP(B102,'[8]7-12 by Site'!$A$6:$I$148,9,FALSE)</f>
        <v>0</v>
      </c>
      <c r="N102" s="1330">
        <f t="shared" si="29"/>
        <v>0</v>
      </c>
      <c r="O102" s="1979">
        <f t="shared" si="30"/>
        <v>462000</v>
      </c>
    </row>
    <row r="103" spans="1:15">
      <c r="A103" s="556">
        <f t="shared" si="11"/>
        <v>348001</v>
      </c>
      <c r="B103" s="1111">
        <v>348001</v>
      </c>
      <c r="C103" s="1112" t="s">
        <v>702</v>
      </c>
      <c r="D103" s="1753">
        <v>0</v>
      </c>
      <c r="E103" s="1121">
        <f t="shared" si="25"/>
        <v>0</v>
      </c>
      <c r="F103" s="1753"/>
      <c r="G103" s="894">
        <f t="shared" si="26"/>
        <v>0</v>
      </c>
      <c r="H103" s="1753"/>
      <c r="I103" s="894">
        <f t="shared" si="27"/>
        <v>0</v>
      </c>
      <c r="J103" s="1966">
        <f t="shared" si="28"/>
        <v>0</v>
      </c>
      <c r="K103" s="827"/>
      <c r="L103" s="1987"/>
      <c r="M103" s="1753">
        <f>VLOOKUP(B103,'[8]7-12 by Site'!$A$6:$I$148,9,FALSE)</f>
        <v>357</v>
      </c>
      <c r="N103" s="894">
        <f t="shared" si="29"/>
        <v>9282</v>
      </c>
      <c r="O103" s="1980">
        <f t="shared" si="30"/>
        <v>9282</v>
      </c>
    </row>
    <row r="104" spans="1:15">
      <c r="A104" s="556">
        <f t="shared" si="11"/>
        <v>349001</v>
      </c>
      <c r="B104" s="1322">
        <v>349001</v>
      </c>
      <c r="C104" s="1323" t="s">
        <v>703</v>
      </c>
      <c r="D104" s="1751">
        <v>0</v>
      </c>
      <c r="E104" s="1324">
        <f t="shared" si="25"/>
        <v>0</v>
      </c>
      <c r="F104" s="1751"/>
      <c r="G104" s="1325">
        <f t="shared" si="26"/>
        <v>0</v>
      </c>
      <c r="H104" s="1751"/>
      <c r="I104" s="1325">
        <f t="shared" si="27"/>
        <v>0</v>
      </c>
      <c r="J104" s="1964">
        <f t="shared" si="28"/>
        <v>0</v>
      </c>
      <c r="K104" s="1326"/>
      <c r="L104" s="1985"/>
      <c r="M104" s="1751">
        <f>VLOOKUP(B104,'[8]7-12 by Site'!$A$6:$I$148,9,FALSE)</f>
        <v>121</v>
      </c>
      <c r="N104" s="1325">
        <f t="shared" si="29"/>
        <v>3146</v>
      </c>
      <c r="O104" s="1978">
        <f t="shared" si="30"/>
        <v>3146</v>
      </c>
    </row>
    <row r="105" spans="1:15">
      <c r="A105" s="556" t="e">
        <f t="shared" si="11"/>
        <v>#VALUE!</v>
      </c>
      <c r="B105" s="1327" t="s">
        <v>938</v>
      </c>
      <c r="C105" s="1328" t="s">
        <v>686</v>
      </c>
      <c r="D105" s="1752">
        <v>0</v>
      </c>
      <c r="E105" s="1329">
        <f t="shared" si="25"/>
        <v>0</v>
      </c>
      <c r="F105" s="1752"/>
      <c r="G105" s="1330">
        <f t="shared" si="26"/>
        <v>0</v>
      </c>
      <c r="H105" s="1752"/>
      <c r="I105" s="1330">
        <f t="shared" si="27"/>
        <v>0</v>
      </c>
      <c r="J105" s="1965">
        <f t="shared" si="28"/>
        <v>0</v>
      </c>
      <c r="K105" s="1331"/>
      <c r="L105" s="1986"/>
      <c r="M105" s="1752">
        <f>VLOOKUP(B105,'[8]7-12 by Site'!$A$6:$I$148,9,FALSE)</f>
        <v>95</v>
      </c>
      <c r="N105" s="1330">
        <f t="shared" si="29"/>
        <v>2470</v>
      </c>
      <c r="O105" s="1979">
        <f t="shared" si="30"/>
        <v>2470</v>
      </c>
    </row>
    <row r="106" spans="1:15">
      <c r="A106" s="556" t="e">
        <f t="shared" si="11"/>
        <v>#VALUE!</v>
      </c>
      <c r="B106" s="1327" t="s">
        <v>939</v>
      </c>
      <c r="C106" s="1328" t="s">
        <v>676</v>
      </c>
      <c r="D106" s="1752">
        <v>0</v>
      </c>
      <c r="E106" s="1329">
        <f t="shared" si="25"/>
        <v>0</v>
      </c>
      <c r="F106" s="1752"/>
      <c r="G106" s="1330">
        <f t="shared" si="26"/>
        <v>0</v>
      </c>
      <c r="H106" s="1752"/>
      <c r="I106" s="1330">
        <f t="shared" si="27"/>
        <v>0</v>
      </c>
      <c r="J106" s="1965">
        <f t="shared" si="28"/>
        <v>0</v>
      </c>
      <c r="K106" s="1331"/>
      <c r="L106" s="1986"/>
      <c r="M106" s="1752">
        <f>VLOOKUP(B106,'[8]7-12 by Site'!$A$6:$I$148,9,FALSE)</f>
        <v>0</v>
      </c>
      <c r="N106" s="1330">
        <f t="shared" si="29"/>
        <v>0</v>
      </c>
      <c r="O106" s="1979">
        <f t="shared" si="30"/>
        <v>0</v>
      </c>
    </row>
    <row r="107" spans="1:15">
      <c r="A107" s="556" t="e">
        <f t="shared" si="11"/>
        <v>#VALUE!</v>
      </c>
      <c r="B107" s="1327" t="s">
        <v>940</v>
      </c>
      <c r="C107" s="1328" t="s">
        <v>688</v>
      </c>
      <c r="D107" s="1752">
        <v>0</v>
      </c>
      <c r="E107" s="1329">
        <f t="shared" si="25"/>
        <v>0</v>
      </c>
      <c r="F107" s="1752"/>
      <c r="G107" s="1330">
        <f t="shared" si="26"/>
        <v>0</v>
      </c>
      <c r="H107" s="1752"/>
      <c r="I107" s="1330">
        <f t="shared" si="27"/>
        <v>0</v>
      </c>
      <c r="J107" s="1965">
        <f t="shared" si="28"/>
        <v>0</v>
      </c>
      <c r="K107" s="1331"/>
      <c r="L107" s="1986"/>
      <c r="M107" s="1752">
        <f>VLOOKUP(B107,'[8]7-12 by Site'!$A$6:$I$148,9,FALSE)</f>
        <v>0</v>
      </c>
      <c r="N107" s="1330">
        <f t="shared" si="29"/>
        <v>0</v>
      </c>
      <c r="O107" s="1979">
        <f t="shared" si="30"/>
        <v>0</v>
      </c>
    </row>
    <row r="108" spans="1:15">
      <c r="A108" s="556" t="e">
        <f t="shared" si="11"/>
        <v>#VALUE!</v>
      </c>
      <c r="B108" s="1111" t="s">
        <v>988</v>
      </c>
      <c r="C108" s="1112" t="s">
        <v>899</v>
      </c>
      <c r="D108" s="1753">
        <v>0</v>
      </c>
      <c r="E108" s="1121">
        <f t="shared" si="25"/>
        <v>0</v>
      </c>
      <c r="F108" s="1753"/>
      <c r="G108" s="894">
        <f t="shared" si="26"/>
        <v>0</v>
      </c>
      <c r="H108" s="1753"/>
      <c r="I108" s="894">
        <f t="shared" si="27"/>
        <v>0</v>
      </c>
      <c r="J108" s="1966">
        <f t="shared" si="28"/>
        <v>0</v>
      </c>
      <c r="K108" s="827"/>
      <c r="L108" s="1987"/>
      <c r="M108" s="1753">
        <v>0</v>
      </c>
      <c r="N108" s="894">
        <f t="shared" si="29"/>
        <v>0</v>
      </c>
      <c r="O108" s="1980">
        <f t="shared" si="30"/>
        <v>0</v>
      </c>
    </row>
    <row r="109" spans="1:15">
      <c r="A109" s="556" t="e">
        <f t="shared" si="11"/>
        <v>#VALUE!</v>
      </c>
      <c r="B109" s="1322" t="s">
        <v>941</v>
      </c>
      <c r="C109" s="1323" t="s">
        <v>689</v>
      </c>
      <c r="D109" s="1751">
        <v>0</v>
      </c>
      <c r="E109" s="1324">
        <f t="shared" si="25"/>
        <v>0</v>
      </c>
      <c r="F109" s="1751"/>
      <c r="G109" s="1325">
        <f t="shared" si="26"/>
        <v>0</v>
      </c>
      <c r="H109" s="1751"/>
      <c r="I109" s="1325">
        <f t="shared" si="27"/>
        <v>0</v>
      </c>
      <c r="J109" s="1964">
        <f t="shared" si="28"/>
        <v>0</v>
      </c>
      <c r="K109" s="1326"/>
      <c r="L109" s="1985"/>
      <c r="M109" s="1751">
        <f>VLOOKUP(B109,'[8]7-12 by Site'!$A$6:$I$148,9,FALSE)</f>
        <v>94</v>
      </c>
      <c r="N109" s="1325">
        <f t="shared" si="29"/>
        <v>2444</v>
      </c>
      <c r="O109" s="1978">
        <f t="shared" si="30"/>
        <v>2444</v>
      </c>
    </row>
    <row r="110" spans="1:15">
      <c r="A110" s="556" t="e">
        <f t="shared" si="11"/>
        <v>#VALUE!</v>
      </c>
      <c r="B110" s="1327" t="s">
        <v>942</v>
      </c>
      <c r="C110" s="1328" t="s">
        <v>687</v>
      </c>
      <c r="D110" s="1752">
        <v>0</v>
      </c>
      <c r="E110" s="1329">
        <f t="shared" si="25"/>
        <v>0</v>
      </c>
      <c r="F110" s="1752"/>
      <c r="G110" s="1330">
        <f t="shared" si="26"/>
        <v>0</v>
      </c>
      <c r="H110" s="1752"/>
      <c r="I110" s="1330">
        <f t="shared" si="27"/>
        <v>0</v>
      </c>
      <c r="J110" s="1965">
        <f t="shared" si="28"/>
        <v>0</v>
      </c>
      <c r="K110" s="1331"/>
      <c r="L110" s="1986"/>
      <c r="M110" s="1752">
        <f>VLOOKUP(B110,'[8]7-12 by Site'!$A$6:$I$148,9,FALSE)</f>
        <v>27</v>
      </c>
      <c r="N110" s="1330">
        <f t="shared" si="29"/>
        <v>702</v>
      </c>
      <c r="O110" s="1979">
        <f t="shared" si="30"/>
        <v>702</v>
      </c>
    </row>
    <row r="111" spans="1:15">
      <c r="A111" s="556" t="e">
        <f t="shared" si="11"/>
        <v>#VALUE!</v>
      </c>
      <c r="B111" s="1327" t="s">
        <v>943</v>
      </c>
      <c r="C111" s="1328" t="s">
        <v>685</v>
      </c>
      <c r="D111" s="1752">
        <v>0</v>
      </c>
      <c r="E111" s="1329">
        <f t="shared" si="25"/>
        <v>0</v>
      </c>
      <c r="F111" s="1752"/>
      <c r="G111" s="1330">
        <f t="shared" si="26"/>
        <v>0</v>
      </c>
      <c r="H111" s="1752"/>
      <c r="I111" s="1330">
        <f t="shared" si="27"/>
        <v>0</v>
      </c>
      <c r="J111" s="1965">
        <f t="shared" si="28"/>
        <v>0</v>
      </c>
      <c r="K111" s="1331"/>
      <c r="L111" s="1986"/>
      <c r="M111" s="1752">
        <f>VLOOKUP(B111,'[8]7-12 by Site'!$A$6:$I$148,9,FALSE)</f>
        <v>0</v>
      </c>
      <c r="N111" s="1330">
        <f t="shared" si="29"/>
        <v>0</v>
      </c>
      <c r="O111" s="1979">
        <f t="shared" si="30"/>
        <v>0</v>
      </c>
    </row>
    <row r="112" spans="1:15">
      <c r="A112" s="556" t="e">
        <f t="shared" si="11"/>
        <v>#VALUE!</v>
      </c>
      <c r="B112" s="1327" t="s">
        <v>985</v>
      </c>
      <c r="C112" s="1328" t="s">
        <v>707</v>
      </c>
      <c r="D112" s="1752">
        <v>0</v>
      </c>
      <c r="E112" s="1329">
        <f t="shared" si="25"/>
        <v>0</v>
      </c>
      <c r="F112" s="1752"/>
      <c r="G112" s="1330">
        <f t="shared" si="26"/>
        <v>0</v>
      </c>
      <c r="H112" s="1752"/>
      <c r="I112" s="1330">
        <f t="shared" si="27"/>
        <v>0</v>
      </c>
      <c r="J112" s="1965">
        <f t="shared" si="28"/>
        <v>0</v>
      </c>
      <c r="K112" s="1331"/>
      <c r="L112" s="1986"/>
      <c r="M112" s="1752">
        <v>0</v>
      </c>
      <c r="N112" s="1330">
        <f t="shared" si="29"/>
        <v>0</v>
      </c>
      <c r="O112" s="1979">
        <f t="shared" si="30"/>
        <v>0</v>
      </c>
    </row>
    <row r="113" spans="1:15">
      <c r="A113" s="556" t="e">
        <f t="shared" si="11"/>
        <v>#VALUE!</v>
      </c>
      <c r="B113" s="1111" t="s">
        <v>986</v>
      </c>
      <c r="C113" s="1112" t="s">
        <v>708</v>
      </c>
      <c r="D113" s="1753">
        <v>0</v>
      </c>
      <c r="E113" s="1121">
        <f t="shared" si="25"/>
        <v>0</v>
      </c>
      <c r="F113" s="1753"/>
      <c r="G113" s="894">
        <f t="shared" si="26"/>
        <v>0</v>
      </c>
      <c r="H113" s="1753"/>
      <c r="I113" s="894">
        <f t="shared" si="27"/>
        <v>0</v>
      </c>
      <c r="J113" s="1966">
        <f t="shared" si="28"/>
        <v>0</v>
      </c>
      <c r="K113" s="827"/>
      <c r="L113" s="1987"/>
      <c r="M113" s="1753">
        <v>200</v>
      </c>
      <c r="N113" s="894">
        <f t="shared" si="29"/>
        <v>5200</v>
      </c>
      <c r="O113" s="1980">
        <f t="shared" si="30"/>
        <v>5200</v>
      </c>
    </row>
    <row r="114" spans="1:15">
      <c r="A114" s="556" t="e">
        <f t="shared" si="11"/>
        <v>#VALUE!</v>
      </c>
      <c r="B114" s="1322" t="s">
        <v>987</v>
      </c>
      <c r="C114" s="1323" t="s">
        <v>709</v>
      </c>
      <c r="D114" s="1751">
        <v>0</v>
      </c>
      <c r="E114" s="1324">
        <f t="shared" si="25"/>
        <v>0</v>
      </c>
      <c r="F114" s="1751"/>
      <c r="G114" s="1325">
        <f t="shared" si="26"/>
        <v>0</v>
      </c>
      <c r="H114" s="1751"/>
      <c r="I114" s="1325">
        <f t="shared" si="27"/>
        <v>0</v>
      </c>
      <c r="J114" s="1964">
        <f t="shared" si="28"/>
        <v>0</v>
      </c>
      <c r="K114" s="1326"/>
      <c r="L114" s="1985"/>
      <c r="M114" s="1751">
        <v>0</v>
      </c>
      <c r="N114" s="1325">
        <f t="shared" si="29"/>
        <v>0</v>
      </c>
      <c r="O114" s="1978">
        <f t="shared" si="30"/>
        <v>0</v>
      </c>
    </row>
    <row r="115" spans="1:15">
      <c r="A115" s="556" t="e">
        <f t="shared" si="11"/>
        <v>#VALUE!</v>
      </c>
      <c r="B115" s="1327" t="s">
        <v>1005</v>
      </c>
      <c r="C115" s="1328" t="s">
        <v>1006</v>
      </c>
      <c r="D115" s="1752">
        <v>0</v>
      </c>
      <c r="E115" s="1329">
        <f t="shared" si="25"/>
        <v>0</v>
      </c>
      <c r="F115" s="1752"/>
      <c r="G115" s="1330">
        <f t="shared" si="26"/>
        <v>0</v>
      </c>
      <c r="H115" s="1752"/>
      <c r="I115" s="1330">
        <f t="shared" si="27"/>
        <v>0</v>
      </c>
      <c r="J115" s="1965">
        <f t="shared" si="28"/>
        <v>0</v>
      </c>
      <c r="K115" s="1331"/>
      <c r="L115" s="1986"/>
      <c r="M115" s="1752">
        <v>0</v>
      </c>
      <c r="N115" s="1330">
        <f t="shared" si="29"/>
        <v>0</v>
      </c>
      <c r="O115" s="1979">
        <f t="shared" si="30"/>
        <v>0</v>
      </c>
    </row>
    <row r="116" spans="1:15">
      <c r="A116" s="556" t="e">
        <f t="shared" si="11"/>
        <v>#VALUE!</v>
      </c>
      <c r="B116" s="1327" t="s">
        <v>990</v>
      </c>
      <c r="C116" s="1328" t="s">
        <v>711</v>
      </c>
      <c r="D116" s="1752">
        <v>0</v>
      </c>
      <c r="E116" s="1329">
        <f t="shared" si="25"/>
        <v>0</v>
      </c>
      <c r="F116" s="1752"/>
      <c r="G116" s="1330">
        <f t="shared" si="26"/>
        <v>0</v>
      </c>
      <c r="H116" s="1752"/>
      <c r="I116" s="1330">
        <f t="shared" si="27"/>
        <v>0</v>
      </c>
      <c r="J116" s="1965">
        <f t="shared" si="28"/>
        <v>0</v>
      </c>
      <c r="K116" s="1331"/>
      <c r="L116" s="1986"/>
      <c r="M116" s="1752">
        <v>64</v>
      </c>
      <c r="N116" s="1330">
        <f t="shared" si="29"/>
        <v>1664</v>
      </c>
      <c r="O116" s="1979">
        <f t="shared" si="30"/>
        <v>1664</v>
      </c>
    </row>
    <row r="117" spans="1:15">
      <c r="A117" s="556" t="e">
        <f t="shared" si="11"/>
        <v>#VALUE!</v>
      </c>
      <c r="B117" s="1327" t="s">
        <v>991</v>
      </c>
      <c r="C117" s="1328" t="s">
        <v>712</v>
      </c>
      <c r="D117" s="1752">
        <v>0</v>
      </c>
      <c r="E117" s="1329">
        <f t="shared" si="25"/>
        <v>0</v>
      </c>
      <c r="F117" s="1752"/>
      <c r="G117" s="1330">
        <f t="shared" si="26"/>
        <v>0</v>
      </c>
      <c r="H117" s="1752"/>
      <c r="I117" s="1330">
        <f t="shared" si="27"/>
        <v>0</v>
      </c>
      <c r="J117" s="1965">
        <f t="shared" si="28"/>
        <v>0</v>
      </c>
      <c r="K117" s="1331"/>
      <c r="L117" s="1986"/>
      <c r="M117" s="1752">
        <v>0</v>
      </c>
      <c r="N117" s="1330">
        <f t="shared" si="29"/>
        <v>0</v>
      </c>
      <c r="O117" s="1979">
        <f t="shared" si="30"/>
        <v>0</v>
      </c>
    </row>
    <row r="118" spans="1:15">
      <c r="A118" s="556" t="e">
        <f t="shared" si="11"/>
        <v>#VALUE!</v>
      </c>
      <c r="B118" s="1111" t="s">
        <v>992</v>
      </c>
      <c r="C118" s="1112" t="s">
        <v>713</v>
      </c>
      <c r="D118" s="1753">
        <v>0</v>
      </c>
      <c r="E118" s="1121">
        <f t="shared" si="25"/>
        <v>0</v>
      </c>
      <c r="F118" s="1753"/>
      <c r="G118" s="894">
        <f t="shared" si="26"/>
        <v>0</v>
      </c>
      <c r="H118" s="1753"/>
      <c r="I118" s="894">
        <f t="shared" si="27"/>
        <v>0</v>
      </c>
      <c r="J118" s="1966">
        <f t="shared" si="28"/>
        <v>0</v>
      </c>
      <c r="K118" s="827"/>
      <c r="L118" s="1987"/>
      <c r="M118" s="1753">
        <v>0</v>
      </c>
      <c r="N118" s="894">
        <f t="shared" si="29"/>
        <v>0</v>
      </c>
      <c r="O118" s="1980">
        <f t="shared" si="30"/>
        <v>0</v>
      </c>
    </row>
    <row r="119" spans="1:15" ht="13.8" thickBot="1">
      <c r="A119" s="556">
        <f t="shared" si="11"/>
        <v>0</v>
      </c>
      <c r="B119" s="1113"/>
      <c r="C119" s="1114" t="s">
        <v>690</v>
      </c>
      <c r="D119" s="1755">
        <f>SUM(D94:D118)</f>
        <v>22</v>
      </c>
      <c r="E119" s="1756">
        <f>SUM(E94:E118)</f>
        <v>462000</v>
      </c>
      <c r="F119" s="1755">
        <f t="shared" ref="F119:O119" si="31">SUM(F94:F118)</f>
        <v>0</v>
      </c>
      <c r="G119" s="1115">
        <f t="shared" si="31"/>
        <v>0</v>
      </c>
      <c r="H119" s="1755">
        <f t="shared" si="31"/>
        <v>0</v>
      </c>
      <c r="I119" s="1115">
        <f t="shared" si="31"/>
        <v>0</v>
      </c>
      <c r="J119" s="1968">
        <f t="shared" si="31"/>
        <v>0</v>
      </c>
      <c r="K119" s="1116">
        <f t="shared" si="31"/>
        <v>0</v>
      </c>
      <c r="L119" s="1989">
        <f t="shared" si="31"/>
        <v>0</v>
      </c>
      <c r="M119" s="1755">
        <f t="shared" si="31"/>
        <v>3951</v>
      </c>
      <c r="N119" s="1117">
        <f>M119*$N$3</f>
        <v>102726</v>
      </c>
      <c r="O119" s="1982">
        <f t="shared" si="31"/>
        <v>564726</v>
      </c>
    </row>
    <row r="120" spans="1:15" ht="7.2" customHeight="1" thickTop="1">
      <c r="A120" s="556">
        <f t="shared" si="11"/>
        <v>0</v>
      </c>
      <c r="B120" s="1064"/>
      <c r="C120" s="902"/>
      <c r="D120" s="1757"/>
      <c r="E120" s="1758"/>
      <c r="F120" s="1757"/>
      <c r="G120" s="1759"/>
      <c r="H120" s="1757"/>
      <c r="I120" s="1759"/>
      <c r="J120" s="1758"/>
      <c r="K120" s="1758"/>
      <c r="L120" s="1758"/>
      <c r="M120" s="1757"/>
      <c r="N120" s="1758"/>
      <c r="O120" s="1758"/>
    </row>
    <row r="121" spans="1:15">
      <c r="A121" s="556">
        <f t="shared" ref="A121:A184" si="32">+VALUE(B121)</f>
        <v>300001</v>
      </c>
      <c r="B121" s="1322">
        <v>300001</v>
      </c>
      <c r="C121" s="1323" t="s">
        <v>719</v>
      </c>
      <c r="D121" s="1751">
        <v>0</v>
      </c>
      <c r="E121" s="1324">
        <f t="shared" ref="E121:E177" si="33">ROUND($E$3*D121,0)</f>
        <v>0</v>
      </c>
      <c r="F121" s="1751"/>
      <c r="G121" s="1325">
        <f t="shared" ref="G121:G177" si="34">ROUND($G$3*F121,0)</f>
        <v>0</v>
      </c>
      <c r="H121" s="1751"/>
      <c r="I121" s="1325">
        <f t="shared" ref="I121:I177" si="35">ROUND($I$3*H121,0)</f>
        <v>0</v>
      </c>
      <c r="J121" s="1964">
        <f t="shared" ref="J121:J177" si="36">G121+I121</f>
        <v>0</v>
      </c>
      <c r="K121" s="1326"/>
      <c r="L121" s="1985"/>
      <c r="M121" s="1751">
        <f>VLOOKUP(B121,'[8]7-12 by Site'!$A$6:$I$148,9,FALSE)</f>
        <v>96</v>
      </c>
      <c r="N121" s="1325">
        <f t="shared" ref="N121:N177" si="37">ROUND(M121*$N$3,0)</f>
        <v>2496</v>
      </c>
      <c r="O121" s="1978">
        <f t="shared" ref="O121:O177" si="38">+K121+J121+E121+L121+N121</f>
        <v>2496</v>
      </c>
    </row>
    <row r="122" spans="1:15">
      <c r="A122" s="556">
        <f t="shared" si="32"/>
        <v>300002</v>
      </c>
      <c r="B122" s="1327">
        <v>300002</v>
      </c>
      <c r="C122" s="1328" t="s">
        <v>720</v>
      </c>
      <c r="D122" s="1752">
        <v>0</v>
      </c>
      <c r="E122" s="1329">
        <f t="shared" si="33"/>
        <v>0</v>
      </c>
      <c r="F122" s="1752"/>
      <c r="G122" s="1330">
        <f t="shared" si="34"/>
        <v>0</v>
      </c>
      <c r="H122" s="1752"/>
      <c r="I122" s="1330">
        <f t="shared" si="35"/>
        <v>0</v>
      </c>
      <c r="J122" s="1965">
        <f t="shared" si="36"/>
        <v>0</v>
      </c>
      <c r="K122" s="1331"/>
      <c r="L122" s="1986"/>
      <c r="M122" s="1752">
        <f>VLOOKUP(B122,'[8]7-12 by Site'!$A$6:$I$148,9,FALSE)</f>
        <v>108</v>
      </c>
      <c r="N122" s="1330">
        <f t="shared" si="37"/>
        <v>2808</v>
      </c>
      <c r="O122" s="1979">
        <f t="shared" si="38"/>
        <v>2808</v>
      </c>
    </row>
    <row r="123" spans="1:15">
      <c r="A123" s="556">
        <f t="shared" si="32"/>
        <v>300003</v>
      </c>
      <c r="B123" s="1327">
        <v>300003</v>
      </c>
      <c r="C123" s="1328" t="s">
        <v>721</v>
      </c>
      <c r="D123" s="1752">
        <v>0</v>
      </c>
      <c r="E123" s="1329">
        <f t="shared" si="33"/>
        <v>0</v>
      </c>
      <c r="F123" s="1752"/>
      <c r="G123" s="1330">
        <f t="shared" si="34"/>
        <v>0</v>
      </c>
      <c r="H123" s="1752"/>
      <c r="I123" s="1330">
        <f t="shared" si="35"/>
        <v>0</v>
      </c>
      <c r="J123" s="1965">
        <f t="shared" si="36"/>
        <v>0</v>
      </c>
      <c r="K123" s="1331"/>
      <c r="L123" s="1986"/>
      <c r="M123" s="1752">
        <f>VLOOKUP(B123,'[8]7-12 by Site'!$A$6:$I$148,9,FALSE)</f>
        <v>660</v>
      </c>
      <c r="N123" s="1330">
        <f t="shared" si="37"/>
        <v>17160</v>
      </c>
      <c r="O123" s="1979">
        <f t="shared" si="38"/>
        <v>17160</v>
      </c>
    </row>
    <row r="124" spans="1:15">
      <c r="A124" s="556">
        <f t="shared" si="32"/>
        <v>300004</v>
      </c>
      <c r="B124" s="1327">
        <v>300004</v>
      </c>
      <c r="C124" s="1328" t="s">
        <v>722</v>
      </c>
      <c r="D124" s="1752">
        <v>0</v>
      </c>
      <c r="E124" s="1329">
        <f t="shared" si="33"/>
        <v>0</v>
      </c>
      <c r="F124" s="1752"/>
      <c r="G124" s="1330">
        <f t="shared" si="34"/>
        <v>0</v>
      </c>
      <c r="H124" s="1752"/>
      <c r="I124" s="1330">
        <f t="shared" si="35"/>
        <v>0</v>
      </c>
      <c r="J124" s="1965">
        <f t="shared" si="36"/>
        <v>0</v>
      </c>
      <c r="K124" s="1331"/>
      <c r="L124" s="1986"/>
      <c r="M124" s="1752">
        <f>VLOOKUP(B124,'[8]7-12 by Site'!$A$6:$I$148,9,FALSE)</f>
        <v>110</v>
      </c>
      <c r="N124" s="1330">
        <f t="shared" si="37"/>
        <v>2860</v>
      </c>
      <c r="O124" s="1979">
        <f t="shared" si="38"/>
        <v>2860</v>
      </c>
    </row>
    <row r="125" spans="1:15" ht="13.2" customHeight="1">
      <c r="A125" s="556">
        <f t="shared" si="32"/>
        <v>360001</v>
      </c>
      <c r="B125" s="1111">
        <v>360001</v>
      </c>
      <c r="C125" s="1122" t="s">
        <v>723</v>
      </c>
      <c r="D125" s="1753">
        <v>0</v>
      </c>
      <c r="E125" s="1121">
        <f t="shared" si="33"/>
        <v>0</v>
      </c>
      <c r="F125" s="1753"/>
      <c r="G125" s="894">
        <f t="shared" si="34"/>
        <v>0</v>
      </c>
      <c r="H125" s="1753"/>
      <c r="I125" s="894">
        <f t="shared" si="35"/>
        <v>0</v>
      </c>
      <c r="J125" s="1966">
        <f t="shared" si="36"/>
        <v>0</v>
      </c>
      <c r="K125" s="827"/>
      <c r="L125" s="1987"/>
      <c r="M125" s="1753">
        <f>VLOOKUP(B125,'[8]7-12 by Site'!$A$6:$I$148,9,FALSE)</f>
        <v>145</v>
      </c>
      <c r="N125" s="894">
        <f t="shared" si="37"/>
        <v>3770</v>
      </c>
      <c r="O125" s="1980">
        <f t="shared" si="38"/>
        <v>3770</v>
      </c>
    </row>
    <row r="126" spans="1:15" ht="13.2" customHeight="1">
      <c r="A126" s="556">
        <f t="shared" si="32"/>
        <v>361001</v>
      </c>
      <c r="B126" s="1322">
        <v>361001</v>
      </c>
      <c r="C126" s="1323" t="s">
        <v>726</v>
      </c>
      <c r="D126" s="1751">
        <v>0</v>
      </c>
      <c r="E126" s="1324">
        <f t="shared" si="33"/>
        <v>0</v>
      </c>
      <c r="F126" s="1751"/>
      <c r="G126" s="1325">
        <f t="shared" si="34"/>
        <v>0</v>
      </c>
      <c r="H126" s="1751"/>
      <c r="I126" s="1325">
        <f t="shared" si="35"/>
        <v>0</v>
      </c>
      <c r="J126" s="1964">
        <f t="shared" si="36"/>
        <v>0</v>
      </c>
      <c r="K126" s="1326"/>
      <c r="L126" s="1985"/>
      <c r="M126" s="1751">
        <f>VLOOKUP(B126,'[8]7-12 by Site'!$A$6:$I$148,9,FALSE)</f>
        <v>234</v>
      </c>
      <c r="N126" s="1325">
        <f t="shared" si="37"/>
        <v>6084</v>
      </c>
      <c r="O126" s="1978">
        <f t="shared" si="38"/>
        <v>6084</v>
      </c>
    </row>
    <row r="127" spans="1:15">
      <c r="A127" s="556">
        <f t="shared" si="32"/>
        <v>363001</v>
      </c>
      <c r="B127" s="1327">
        <v>363001</v>
      </c>
      <c r="C127" s="1328" t="s">
        <v>1125</v>
      </c>
      <c r="D127" s="1752">
        <v>0</v>
      </c>
      <c r="E127" s="1329">
        <f t="shared" si="33"/>
        <v>0</v>
      </c>
      <c r="F127" s="1752"/>
      <c r="G127" s="1330">
        <f t="shared" si="34"/>
        <v>0</v>
      </c>
      <c r="H127" s="1752"/>
      <c r="I127" s="1330">
        <f t="shared" si="35"/>
        <v>0</v>
      </c>
      <c r="J127" s="1965">
        <f t="shared" si="36"/>
        <v>0</v>
      </c>
      <c r="K127" s="1331"/>
      <c r="L127" s="1986"/>
      <c r="M127" s="1752">
        <f>VLOOKUP(B127,'[8]7-12 by Site'!$A$6:$I$148,9,FALSE)</f>
        <v>118</v>
      </c>
      <c r="N127" s="1330">
        <f t="shared" si="37"/>
        <v>3068</v>
      </c>
      <c r="O127" s="1979">
        <f t="shared" si="38"/>
        <v>3068</v>
      </c>
    </row>
    <row r="128" spans="1:15">
      <c r="A128" s="556">
        <f t="shared" si="32"/>
        <v>363002</v>
      </c>
      <c r="B128" s="1327">
        <v>363002</v>
      </c>
      <c r="C128" s="1328" t="s">
        <v>724</v>
      </c>
      <c r="D128" s="1752">
        <v>0</v>
      </c>
      <c r="E128" s="1329">
        <f t="shared" si="33"/>
        <v>0</v>
      </c>
      <c r="F128" s="1752"/>
      <c r="G128" s="1330">
        <f t="shared" si="34"/>
        <v>0</v>
      </c>
      <c r="H128" s="1752"/>
      <c r="I128" s="1330">
        <f t="shared" si="35"/>
        <v>0</v>
      </c>
      <c r="J128" s="1965">
        <f t="shared" si="36"/>
        <v>0</v>
      </c>
      <c r="K128" s="1331"/>
      <c r="L128" s="1986"/>
      <c r="M128" s="1752">
        <f>VLOOKUP(B128,'[8]7-12 by Site'!$A$6:$I$148,9,FALSE)</f>
        <v>0</v>
      </c>
      <c r="N128" s="1330">
        <f t="shared" si="37"/>
        <v>0</v>
      </c>
      <c r="O128" s="1979">
        <f t="shared" si="38"/>
        <v>0</v>
      </c>
    </row>
    <row r="129" spans="1:15">
      <c r="A129" s="556">
        <f t="shared" si="32"/>
        <v>364001</v>
      </c>
      <c r="B129" s="1327">
        <v>364001</v>
      </c>
      <c r="C129" s="1328" t="s">
        <v>1126</v>
      </c>
      <c r="D129" s="1752">
        <v>0</v>
      </c>
      <c r="E129" s="1329">
        <f t="shared" si="33"/>
        <v>0</v>
      </c>
      <c r="F129" s="1752"/>
      <c r="G129" s="1330">
        <f t="shared" si="34"/>
        <v>0</v>
      </c>
      <c r="H129" s="1752"/>
      <c r="I129" s="1330">
        <f t="shared" si="35"/>
        <v>0</v>
      </c>
      <c r="J129" s="1965">
        <f t="shared" si="36"/>
        <v>0</v>
      </c>
      <c r="K129" s="1331"/>
      <c r="L129" s="1986"/>
      <c r="M129" s="1752">
        <f>VLOOKUP(B129,'[8]7-12 by Site'!$A$6:$I$148,9,FALSE)</f>
        <v>103</v>
      </c>
      <c r="N129" s="1330">
        <f t="shared" si="37"/>
        <v>2678</v>
      </c>
      <c r="O129" s="1979">
        <f t="shared" si="38"/>
        <v>2678</v>
      </c>
    </row>
    <row r="130" spans="1:15" ht="13.2" customHeight="1">
      <c r="A130" s="556">
        <f t="shared" si="32"/>
        <v>366001</v>
      </c>
      <c r="B130" s="1111">
        <v>366001</v>
      </c>
      <c r="C130" s="1112" t="s">
        <v>725</v>
      </c>
      <c r="D130" s="1753">
        <v>0</v>
      </c>
      <c r="E130" s="1121">
        <f t="shared" si="33"/>
        <v>0</v>
      </c>
      <c r="F130" s="1753"/>
      <c r="G130" s="894">
        <f t="shared" si="34"/>
        <v>0</v>
      </c>
      <c r="H130" s="1753"/>
      <c r="I130" s="894">
        <f t="shared" si="35"/>
        <v>0</v>
      </c>
      <c r="J130" s="1966">
        <f t="shared" si="36"/>
        <v>0</v>
      </c>
      <c r="K130" s="827"/>
      <c r="L130" s="1987"/>
      <c r="M130" s="1753">
        <f>VLOOKUP(B130,'[8]7-12 by Site'!$A$6:$I$148,9,FALSE)</f>
        <v>21</v>
      </c>
      <c r="N130" s="894">
        <f t="shared" si="37"/>
        <v>546</v>
      </c>
      <c r="O130" s="1980">
        <f t="shared" si="38"/>
        <v>546</v>
      </c>
    </row>
    <row r="131" spans="1:15">
      <c r="A131" s="556">
        <f t="shared" si="32"/>
        <v>367001</v>
      </c>
      <c r="B131" s="1322">
        <v>367001</v>
      </c>
      <c r="C131" s="1323" t="s">
        <v>882</v>
      </c>
      <c r="D131" s="1751">
        <v>0</v>
      </c>
      <c r="E131" s="1324">
        <f t="shared" si="33"/>
        <v>0</v>
      </c>
      <c r="F131" s="1751"/>
      <c r="G131" s="1325">
        <f t="shared" si="34"/>
        <v>0</v>
      </c>
      <c r="H131" s="1751"/>
      <c r="I131" s="1325">
        <f t="shared" si="35"/>
        <v>0</v>
      </c>
      <c r="J131" s="1964">
        <f t="shared" si="36"/>
        <v>0</v>
      </c>
      <c r="K131" s="1326"/>
      <c r="L131" s="1985"/>
      <c r="M131" s="1751">
        <f>VLOOKUP(B131,'[8]7-12 by Site'!$A$6:$I$148,9,FALSE)</f>
        <v>66</v>
      </c>
      <c r="N131" s="1325">
        <f t="shared" si="37"/>
        <v>1716</v>
      </c>
      <c r="O131" s="1978">
        <f t="shared" si="38"/>
        <v>1716</v>
      </c>
    </row>
    <row r="132" spans="1:15" ht="13.2" customHeight="1">
      <c r="A132" s="556">
        <f t="shared" si="32"/>
        <v>368001</v>
      </c>
      <c r="B132" s="1327">
        <v>368001</v>
      </c>
      <c r="C132" s="1370" t="s">
        <v>727</v>
      </c>
      <c r="D132" s="1752">
        <v>0</v>
      </c>
      <c r="E132" s="1329">
        <f t="shared" si="33"/>
        <v>0</v>
      </c>
      <c r="F132" s="1752"/>
      <c r="G132" s="1330">
        <f t="shared" si="34"/>
        <v>0</v>
      </c>
      <c r="H132" s="1752"/>
      <c r="I132" s="1330">
        <f t="shared" si="35"/>
        <v>0</v>
      </c>
      <c r="J132" s="1965">
        <f t="shared" si="36"/>
        <v>0</v>
      </c>
      <c r="K132" s="1331"/>
      <c r="L132" s="1986"/>
      <c r="M132" s="1752">
        <f>VLOOKUP(B132,'[8]7-12 by Site'!$A$6:$I$148,9,FALSE)</f>
        <v>0</v>
      </c>
      <c r="N132" s="1330">
        <f t="shared" si="37"/>
        <v>0</v>
      </c>
      <c r="O132" s="1979">
        <f t="shared" si="38"/>
        <v>0</v>
      </c>
    </row>
    <row r="133" spans="1:15">
      <c r="A133" s="556">
        <f t="shared" si="32"/>
        <v>369001</v>
      </c>
      <c r="B133" s="1327">
        <v>369001</v>
      </c>
      <c r="C133" s="1328" t="s">
        <v>891</v>
      </c>
      <c r="D133" s="1752">
        <v>0</v>
      </c>
      <c r="E133" s="1329">
        <f t="shared" si="33"/>
        <v>0</v>
      </c>
      <c r="F133" s="1752"/>
      <c r="G133" s="1330">
        <f t="shared" si="34"/>
        <v>0</v>
      </c>
      <c r="H133" s="1752"/>
      <c r="I133" s="1330">
        <f t="shared" si="35"/>
        <v>0</v>
      </c>
      <c r="J133" s="1965">
        <f t="shared" si="36"/>
        <v>0</v>
      </c>
      <c r="K133" s="1331"/>
      <c r="L133" s="1986"/>
      <c r="M133" s="1752">
        <f>VLOOKUP(B133,'[8]7-12 by Site'!$A$6:$I$148,9,FALSE)</f>
        <v>138</v>
      </c>
      <c r="N133" s="1330">
        <f t="shared" si="37"/>
        <v>3588</v>
      </c>
      <c r="O133" s="1979">
        <f t="shared" si="38"/>
        <v>3588</v>
      </c>
    </row>
    <row r="134" spans="1:15">
      <c r="A134" s="556">
        <f t="shared" si="32"/>
        <v>369002</v>
      </c>
      <c r="B134" s="1327">
        <v>369002</v>
      </c>
      <c r="C134" s="1328" t="s">
        <v>892</v>
      </c>
      <c r="D134" s="1752">
        <v>0</v>
      </c>
      <c r="E134" s="1329">
        <f t="shared" si="33"/>
        <v>0</v>
      </c>
      <c r="F134" s="1752"/>
      <c r="G134" s="1330">
        <f t="shared" si="34"/>
        <v>0</v>
      </c>
      <c r="H134" s="1752"/>
      <c r="I134" s="1330">
        <f t="shared" si="35"/>
        <v>0</v>
      </c>
      <c r="J134" s="1965">
        <f t="shared" si="36"/>
        <v>0</v>
      </c>
      <c r="K134" s="1331"/>
      <c r="L134" s="1986"/>
      <c r="M134" s="1752">
        <f>VLOOKUP(B134,'[8]7-12 by Site'!$A$6:$I$148,9,FALSE)</f>
        <v>132</v>
      </c>
      <c r="N134" s="1330">
        <f t="shared" si="37"/>
        <v>3432</v>
      </c>
      <c r="O134" s="1979">
        <f t="shared" si="38"/>
        <v>3432</v>
      </c>
    </row>
    <row r="135" spans="1:15">
      <c r="A135" s="556">
        <f t="shared" si="32"/>
        <v>369003</v>
      </c>
      <c r="B135" s="1111">
        <v>369003</v>
      </c>
      <c r="C135" s="1112" t="s">
        <v>893</v>
      </c>
      <c r="D135" s="1753">
        <v>0</v>
      </c>
      <c r="E135" s="1121">
        <f t="shared" si="33"/>
        <v>0</v>
      </c>
      <c r="F135" s="1753"/>
      <c r="G135" s="894">
        <f t="shared" si="34"/>
        <v>0</v>
      </c>
      <c r="H135" s="1753"/>
      <c r="I135" s="894">
        <f t="shared" si="35"/>
        <v>0</v>
      </c>
      <c r="J135" s="1966">
        <f t="shared" si="36"/>
        <v>0</v>
      </c>
      <c r="K135" s="827"/>
      <c r="L135" s="1987"/>
      <c r="M135" s="1753">
        <f>VLOOKUP(B135,'[8]7-12 by Site'!$A$6:$I$148,9,FALSE)</f>
        <v>124</v>
      </c>
      <c r="N135" s="894">
        <f t="shared" si="37"/>
        <v>3224</v>
      </c>
      <c r="O135" s="1980">
        <f t="shared" si="38"/>
        <v>3224</v>
      </c>
    </row>
    <row r="136" spans="1:15">
      <c r="A136" s="556">
        <f t="shared" si="32"/>
        <v>369004</v>
      </c>
      <c r="B136" s="1322">
        <v>369004</v>
      </c>
      <c r="C136" s="1323" t="s">
        <v>1127</v>
      </c>
      <c r="D136" s="1751">
        <v>0</v>
      </c>
      <c r="E136" s="1324">
        <f t="shared" si="33"/>
        <v>0</v>
      </c>
      <c r="F136" s="1751"/>
      <c r="G136" s="1325">
        <f t="shared" si="34"/>
        <v>0</v>
      </c>
      <c r="H136" s="1751"/>
      <c r="I136" s="1325">
        <f t="shared" si="35"/>
        <v>0</v>
      </c>
      <c r="J136" s="1964">
        <f t="shared" si="36"/>
        <v>0</v>
      </c>
      <c r="K136" s="1326"/>
      <c r="L136" s="1985"/>
      <c r="M136" s="1751">
        <f>VLOOKUP(B136,'[8]7-12 by Site'!$A$6:$I$148,9,FALSE)</f>
        <v>174</v>
      </c>
      <c r="N136" s="1325">
        <f t="shared" si="37"/>
        <v>4524</v>
      </c>
      <c r="O136" s="1978">
        <f t="shared" si="38"/>
        <v>4524</v>
      </c>
    </row>
    <row r="137" spans="1:15">
      <c r="A137" s="556">
        <f t="shared" si="32"/>
        <v>369005</v>
      </c>
      <c r="B137" s="1327">
        <v>369005</v>
      </c>
      <c r="C137" s="1328" t="s">
        <v>895</v>
      </c>
      <c r="D137" s="1752">
        <v>0</v>
      </c>
      <c r="E137" s="1329">
        <f t="shared" si="33"/>
        <v>0</v>
      </c>
      <c r="F137" s="1752"/>
      <c r="G137" s="1330">
        <f t="shared" si="34"/>
        <v>0</v>
      </c>
      <c r="H137" s="1752"/>
      <c r="I137" s="1330">
        <f t="shared" si="35"/>
        <v>0</v>
      </c>
      <c r="J137" s="1965">
        <f t="shared" si="36"/>
        <v>0</v>
      </c>
      <c r="K137" s="1331"/>
      <c r="L137" s="1986"/>
      <c r="M137" s="1752">
        <f>VLOOKUP(B137,'[8]7-12 by Site'!$A$6:$I$148,9,FALSE)</f>
        <v>177</v>
      </c>
      <c r="N137" s="1330">
        <f t="shared" si="37"/>
        <v>4602</v>
      </c>
      <c r="O137" s="1979">
        <f t="shared" si="38"/>
        <v>4602</v>
      </c>
    </row>
    <row r="138" spans="1:15">
      <c r="A138" s="556">
        <f t="shared" si="32"/>
        <v>369006</v>
      </c>
      <c r="B138" s="1327">
        <v>369006</v>
      </c>
      <c r="C138" s="1328" t="s">
        <v>894</v>
      </c>
      <c r="D138" s="1752">
        <v>0</v>
      </c>
      <c r="E138" s="1329">
        <f t="shared" si="33"/>
        <v>0</v>
      </c>
      <c r="F138" s="1752"/>
      <c r="G138" s="1330">
        <f t="shared" si="34"/>
        <v>0</v>
      </c>
      <c r="H138" s="1752"/>
      <c r="I138" s="1330">
        <f t="shared" si="35"/>
        <v>0</v>
      </c>
      <c r="J138" s="1965">
        <f t="shared" si="36"/>
        <v>0</v>
      </c>
      <c r="K138" s="1331"/>
      <c r="L138" s="1986"/>
      <c r="M138" s="1752">
        <f>VLOOKUP(B138,'[8]7-12 by Site'!$A$6:$I$148,9,FALSE)</f>
        <v>167</v>
      </c>
      <c r="N138" s="1330">
        <f t="shared" si="37"/>
        <v>4342</v>
      </c>
      <c r="O138" s="1979">
        <f t="shared" si="38"/>
        <v>4342</v>
      </c>
    </row>
    <row r="139" spans="1:15">
      <c r="A139" s="556">
        <f t="shared" si="32"/>
        <v>373001</v>
      </c>
      <c r="B139" s="1327">
        <v>373001</v>
      </c>
      <c r="C139" s="1328" t="s">
        <v>728</v>
      </c>
      <c r="D139" s="1752">
        <v>0</v>
      </c>
      <c r="E139" s="1329">
        <f t="shared" si="33"/>
        <v>0</v>
      </c>
      <c r="F139" s="1752"/>
      <c r="G139" s="1330">
        <f t="shared" si="34"/>
        <v>0</v>
      </c>
      <c r="H139" s="1752"/>
      <c r="I139" s="1330">
        <f t="shared" si="35"/>
        <v>0</v>
      </c>
      <c r="J139" s="1965">
        <f t="shared" si="36"/>
        <v>0</v>
      </c>
      <c r="K139" s="1331"/>
      <c r="L139" s="1986"/>
      <c r="M139" s="1752">
        <f>VLOOKUP(B139,'[8]7-12 by Site'!$A$6:$I$148,9,FALSE)</f>
        <v>0</v>
      </c>
      <c r="N139" s="1330">
        <f t="shared" si="37"/>
        <v>0</v>
      </c>
      <c r="O139" s="1979">
        <f t="shared" si="38"/>
        <v>0</v>
      </c>
    </row>
    <row r="140" spans="1:15">
      <c r="A140" s="556">
        <f t="shared" si="32"/>
        <v>373002</v>
      </c>
      <c r="B140" s="1111">
        <v>373002</v>
      </c>
      <c r="C140" s="1112" t="s">
        <v>729</v>
      </c>
      <c r="D140" s="1753">
        <v>0</v>
      </c>
      <c r="E140" s="1121">
        <f t="shared" si="33"/>
        <v>0</v>
      </c>
      <c r="F140" s="1753"/>
      <c r="G140" s="894">
        <f t="shared" si="34"/>
        <v>0</v>
      </c>
      <c r="H140" s="1753"/>
      <c r="I140" s="894">
        <f t="shared" si="35"/>
        <v>0</v>
      </c>
      <c r="J140" s="1966">
        <f t="shared" si="36"/>
        <v>0</v>
      </c>
      <c r="K140" s="827"/>
      <c r="L140" s="1987"/>
      <c r="M140" s="1753">
        <f>VLOOKUP(B140,'[8]7-12 by Site'!$A$6:$I$148,9,FALSE)</f>
        <v>0</v>
      </c>
      <c r="N140" s="894">
        <f t="shared" si="37"/>
        <v>0</v>
      </c>
      <c r="O140" s="1980">
        <f t="shared" si="38"/>
        <v>0</v>
      </c>
    </row>
    <row r="141" spans="1:15">
      <c r="A141" s="556">
        <f t="shared" si="32"/>
        <v>374001</v>
      </c>
      <c r="B141" s="1322">
        <v>374001</v>
      </c>
      <c r="C141" s="1323" t="s">
        <v>730</v>
      </c>
      <c r="D141" s="1751">
        <v>0</v>
      </c>
      <c r="E141" s="1324">
        <f t="shared" si="33"/>
        <v>0</v>
      </c>
      <c r="F141" s="1751"/>
      <c r="G141" s="1325">
        <f t="shared" si="34"/>
        <v>0</v>
      </c>
      <c r="H141" s="1751"/>
      <c r="I141" s="1325">
        <f t="shared" si="35"/>
        <v>0</v>
      </c>
      <c r="J141" s="1964">
        <f t="shared" si="36"/>
        <v>0</v>
      </c>
      <c r="K141" s="1326"/>
      <c r="L141" s="1985"/>
      <c r="M141" s="1751">
        <f>VLOOKUP(B141,'[8]7-12 by Site'!$A$6:$I$148,9,FALSE)</f>
        <v>66</v>
      </c>
      <c r="N141" s="1325">
        <f t="shared" si="37"/>
        <v>1716</v>
      </c>
      <c r="O141" s="1978">
        <f t="shared" si="38"/>
        <v>1716</v>
      </c>
    </row>
    <row r="142" spans="1:15">
      <c r="A142" s="556">
        <f t="shared" si="32"/>
        <v>381001</v>
      </c>
      <c r="B142" s="1327">
        <v>381001</v>
      </c>
      <c r="C142" s="1328" t="s">
        <v>731</v>
      </c>
      <c r="D142" s="1752">
        <v>0</v>
      </c>
      <c r="E142" s="1329">
        <f t="shared" si="33"/>
        <v>0</v>
      </c>
      <c r="F142" s="1752"/>
      <c r="G142" s="1330">
        <f t="shared" si="34"/>
        <v>0</v>
      </c>
      <c r="H142" s="1752"/>
      <c r="I142" s="1330">
        <f t="shared" si="35"/>
        <v>0</v>
      </c>
      <c r="J142" s="1965">
        <f t="shared" si="36"/>
        <v>0</v>
      </c>
      <c r="K142" s="1331"/>
      <c r="L142" s="1986"/>
      <c r="M142" s="1752">
        <f>VLOOKUP(B142,'[8]7-12 by Site'!$A$6:$I$148,9,FALSE)</f>
        <v>0</v>
      </c>
      <c r="N142" s="1330">
        <f t="shared" si="37"/>
        <v>0</v>
      </c>
      <c r="O142" s="1979">
        <f t="shared" si="38"/>
        <v>0</v>
      </c>
    </row>
    <row r="143" spans="1:15">
      <c r="A143" s="556">
        <f t="shared" si="32"/>
        <v>382001</v>
      </c>
      <c r="B143" s="1327">
        <v>382001</v>
      </c>
      <c r="C143" s="1328" t="s">
        <v>732</v>
      </c>
      <c r="D143" s="1752">
        <v>0</v>
      </c>
      <c r="E143" s="1329">
        <f t="shared" si="33"/>
        <v>0</v>
      </c>
      <c r="F143" s="1752"/>
      <c r="G143" s="1330">
        <f t="shared" si="34"/>
        <v>0</v>
      </c>
      <c r="H143" s="1752"/>
      <c r="I143" s="1330">
        <f t="shared" si="35"/>
        <v>0</v>
      </c>
      <c r="J143" s="1965">
        <f t="shared" si="36"/>
        <v>0</v>
      </c>
      <c r="K143" s="1331"/>
      <c r="L143" s="1986"/>
      <c r="M143" s="1752">
        <f>VLOOKUP(B143,'[8]7-12 by Site'!$A$6:$I$148,9,FALSE)</f>
        <v>433</v>
      </c>
      <c r="N143" s="1330">
        <f t="shared" si="37"/>
        <v>11258</v>
      </c>
      <c r="O143" s="1979">
        <f t="shared" si="38"/>
        <v>11258</v>
      </c>
    </row>
    <row r="144" spans="1:15">
      <c r="A144" s="556">
        <f t="shared" si="32"/>
        <v>382002</v>
      </c>
      <c r="B144" s="1327">
        <v>382002</v>
      </c>
      <c r="C144" s="1328" t="s">
        <v>733</v>
      </c>
      <c r="D144" s="1752">
        <v>0</v>
      </c>
      <c r="E144" s="1329">
        <f t="shared" si="33"/>
        <v>0</v>
      </c>
      <c r="F144" s="1752"/>
      <c r="G144" s="1330">
        <f t="shared" si="34"/>
        <v>0</v>
      </c>
      <c r="H144" s="1752"/>
      <c r="I144" s="1330">
        <f t="shared" si="35"/>
        <v>0</v>
      </c>
      <c r="J144" s="1965">
        <f t="shared" si="36"/>
        <v>0</v>
      </c>
      <c r="K144" s="1331"/>
      <c r="L144" s="1986"/>
      <c r="M144" s="1752">
        <f>VLOOKUP(B144,'[8]7-12 by Site'!$A$6:$I$148,9,FALSE)</f>
        <v>202</v>
      </c>
      <c r="N144" s="1330">
        <f t="shared" si="37"/>
        <v>5252</v>
      </c>
      <c r="O144" s="1979">
        <f t="shared" si="38"/>
        <v>5252</v>
      </c>
    </row>
    <row r="145" spans="1:15">
      <c r="A145" s="556">
        <f t="shared" si="32"/>
        <v>382003</v>
      </c>
      <c r="B145" s="1111">
        <v>382003</v>
      </c>
      <c r="C145" s="1112" t="s">
        <v>734</v>
      </c>
      <c r="D145" s="1753">
        <v>0</v>
      </c>
      <c r="E145" s="1121">
        <f t="shared" si="33"/>
        <v>0</v>
      </c>
      <c r="F145" s="1753"/>
      <c r="G145" s="894">
        <f t="shared" si="34"/>
        <v>0</v>
      </c>
      <c r="H145" s="1753"/>
      <c r="I145" s="894">
        <f t="shared" si="35"/>
        <v>0</v>
      </c>
      <c r="J145" s="1966">
        <f t="shared" si="36"/>
        <v>0</v>
      </c>
      <c r="K145" s="827"/>
      <c r="L145" s="1987"/>
      <c r="M145" s="1753">
        <f>VLOOKUP(B145,'[8]7-12 by Site'!$A$6:$I$148,9,FALSE)</f>
        <v>186</v>
      </c>
      <c r="N145" s="894">
        <f t="shared" si="37"/>
        <v>4836</v>
      </c>
      <c r="O145" s="1980">
        <f t="shared" si="38"/>
        <v>4836</v>
      </c>
    </row>
    <row r="146" spans="1:15">
      <c r="A146" s="556">
        <f t="shared" si="32"/>
        <v>384001</v>
      </c>
      <c r="B146" s="1322">
        <v>384001</v>
      </c>
      <c r="C146" s="1323" t="s">
        <v>735</v>
      </c>
      <c r="D146" s="1751">
        <v>0</v>
      </c>
      <c r="E146" s="1324">
        <f t="shared" si="33"/>
        <v>0</v>
      </c>
      <c r="F146" s="1751"/>
      <c r="G146" s="1325">
        <f t="shared" si="34"/>
        <v>0</v>
      </c>
      <c r="H146" s="1751"/>
      <c r="I146" s="1325">
        <f t="shared" si="35"/>
        <v>0</v>
      </c>
      <c r="J146" s="1964">
        <f t="shared" si="36"/>
        <v>0</v>
      </c>
      <c r="K146" s="1326"/>
      <c r="L146" s="1985"/>
      <c r="M146" s="1751">
        <f>VLOOKUP(B146,'[8]7-12 by Site'!$A$6:$I$148,9,FALSE)</f>
        <v>282</v>
      </c>
      <c r="N146" s="1325">
        <f t="shared" si="37"/>
        <v>7332</v>
      </c>
      <c r="O146" s="1978">
        <f t="shared" si="38"/>
        <v>7332</v>
      </c>
    </row>
    <row r="147" spans="1:15">
      <c r="A147" s="556">
        <f t="shared" si="32"/>
        <v>385001</v>
      </c>
      <c r="B147" s="1327">
        <v>385001</v>
      </c>
      <c r="C147" s="1328" t="s">
        <v>736</v>
      </c>
      <c r="D147" s="1752">
        <v>0</v>
      </c>
      <c r="E147" s="1329">
        <f t="shared" si="33"/>
        <v>0</v>
      </c>
      <c r="F147" s="1752"/>
      <c r="G147" s="1330">
        <f t="shared" si="34"/>
        <v>0</v>
      </c>
      <c r="H147" s="1752"/>
      <c r="I147" s="1330">
        <f t="shared" si="35"/>
        <v>0</v>
      </c>
      <c r="J147" s="1965">
        <f t="shared" si="36"/>
        <v>0</v>
      </c>
      <c r="K147" s="1331"/>
      <c r="L147" s="1986"/>
      <c r="M147" s="1752">
        <f>VLOOKUP(B147,'[8]7-12 by Site'!$A$6:$I$148,9,FALSE)</f>
        <v>0</v>
      </c>
      <c r="N147" s="1330">
        <f t="shared" si="37"/>
        <v>0</v>
      </c>
      <c r="O147" s="1979">
        <f t="shared" si="38"/>
        <v>0</v>
      </c>
    </row>
    <row r="148" spans="1:15">
      <c r="A148" s="556">
        <f t="shared" si="32"/>
        <v>385002</v>
      </c>
      <c r="B148" s="1327">
        <v>385002</v>
      </c>
      <c r="C148" s="1328" t="s">
        <v>737</v>
      </c>
      <c r="D148" s="1752">
        <v>0</v>
      </c>
      <c r="E148" s="1329">
        <f t="shared" si="33"/>
        <v>0</v>
      </c>
      <c r="F148" s="1752"/>
      <c r="G148" s="1330">
        <f t="shared" si="34"/>
        <v>0</v>
      </c>
      <c r="H148" s="1752"/>
      <c r="I148" s="1330">
        <f t="shared" si="35"/>
        <v>0</v>
      </c>
      <c r="J148" s="1965">
        <f t="shared" si="36"/>
        <v>0</v>
      </c>
      <c r="K148" s="1331"/>
      <c r="L148" s="1986"/>
      <c r="M148" s="1752">
        <f>VLOOKUP(B148,'[8]7-12 by Site'!$A$6:$I$148,9,FALSE)</f>
        <v>443</v>
      </c>
      <c r="N148" s="1330">
        <f t="shared" si="37"/>
        <v>11518</v>
      </c>
      <c r="O148" s="1979">
        <f t="shared" si="38"/>
        <v>11518</v>
      </c>
    </row>
    <row r="149" spans="1:15">
      <c r="A149" s="556">
        <f t="shared" si="32"/>
        <v>385003</v>
      </c>
      <c r="B149" s="1327">
        <v>385003</v>
      </c>
      <c r="C149" s="1328" t="s">
        <v>1128</v>
      </c>
      <c r="D149" s="1752">
        <v>0</v>
      </c>
      <c r="E149" s="1329">
        <f t="shared" si="33"/>
        <v>0</v>
      </c>
      <c r="F149" s="1752"/>
      <c r="G149" s="1330">
        <f t="shared" si="34"/>
        <v>0</v>
      </c>
      <c r="H149" s="1752"/>
      <c r="I149" s="1330">
        <f t="shared" si="35"/>
        <v>0</v>
      </c>
      <c r="J149" s="1965">
        <f t="shared" si="36"/>
        <v>0</v>
      </c>
      <c r="K149" s="1331"/>
      <c r="L149" s="1986"/>
      <c r="M149" s="1752">
        <f>VLOOKUP(B149,'[8]7-12 by Site'!$A$6:$I$148,9,FALSE)</f>
        <v>0</v>
      </c>
      <c r="N149" s="1330">
        <f t="shared" si="37"/>
        <v>0</v>
      </c>
      <c r="O149" s="1979">
        <f t="shared" si="38"/>
        <v>0</v>
      </c>
    </row>
    <row r="150" spans="1:15">
      <c r="A150" s="556">
        <f t="shared" si="32"/>
        <v>388001</v>
      </c>
      <c r="B150" s="1111">
        <v>388001</v>
      </c>
      <c r="C150" s="1112" t="s">
        <v>738</v>
      </c>
      <c r="D150" s="1753">
        <v>0</v>
      </c>
      <c r="E150" s="1121">
        <f t="shared" si="33"/>
        <v>0</v>
      </c>
      <c r="F150" s="1753"/>
      <c r="G150" s="894">
        <f t="shared" si="34"/>
        <v>0</v>
      </c>
      <c r="H150" s="1753"/>
      <c r="I150" s="894">
        <f t="shared" si="35"/>
        <v>0</v>
      </c>
      <c r="J150" s="1966">
        <f t="shared" si="36"/>
        <v>0</v>
      </c>
      <c r="K150" s="827"/>
      <c r="L150" s="1987"/>
      <c r="M150" s="1753">
        <f>VLOOKUP(B150,'[8]7-12 by Site'!$A$6:$I$148,9,FALSE)</f>
        <v>140</v>
      </c>
      <c r="N150" s="894">
        <f t="shared" si="37"/>
        <v>3640</v>
      </c>
      <c r="O150" s="1980">
        <f t="shared" si="38"/>
        <v>3640</v>
      </c>
    </row>
    <row r="151" spans="1:15" ht="13.2" customHeight="1">
      <c r="A151" s="556">
        <f t="shared" si="32"/>
        <v>390001</v>
      </c>
      <c r="B151" s="1322">
        <v>390001</v>
      </c>
      <c r="C151" s="1371" t="s">
        <v>739</v>
      </c>
      <c r="D151" s="1751">
        <v>0</v>
      </c>
      <c r="E151" s="1324">
        <f t="shared" si="33"/>
        <v>0</v>
      </c>
      <c r="F151" s="1751"/>
      <c r="G151" s="1325">
        <f t="shared" si="34"/>
        <v>0</v>
      </c>
      <c r="H151" s="1751"/>
      <c r="I151" s="1325">
        <f t="shared" si="35"/>
        <v>0</v>
      </c>
      <c r="J151" s="1964">
        <f t="shared" si="36"/>
        <v>0</v>
      </c>
      <c r="K151" s="1326"/>
      <c r="L151" s="1985"/>
      <c r="M151" s="1751">
        <f>VLOOKUP(B151,'[8]7-12 by Site'!$A$6:$I$148,9,FALSE)</f>
        <v>97</v>
      </c>
      <c r="N151" s="1325">
        <f t="shared" si="37"/>
        <v>2522</v>
      </c>
      <c r="O151" s="1978">
        <f t="shared" si="38"/>
        <v>2522</v>
      </c>
    </row>
    <row r="152" spans="1:15">
      <c r="A152" s="556">
        <f t="shared" si="32"/>
        <v>391001</v>
      </c>
      <c r="B152" s="1327">
        <v>391001</v>
      </c>
      <c r="C152" s="1328" t="s">
        <v>889</v>
      </c>
      <c r="D152" s="1752">
        <v>0</v>
      </c>
      <c r="E152" s="1329">
        <f t="shared" si="33"/>
        <v>0</v>
      </c>
      <c r="F152" s="1752"/>
      <c r="G152" s="1330">
        <f t="shared" si="34"/>
        <v>0</v>
      </c>
      <c r="H152" s="1752"/>
      <c r="I152" s="1330">
        <f t="shared" si="35"/>
        <v>0</v>
      </c>
      <c r="J152" s="1965">
        <f t="shared" si="36"/>
        <v>0</v>
      </c>
      <c r="K152" s="1331"/>
      <c r="L152" s="1986"/>
      <c r="M152" s="1752">
        <f>VLOOKUP(B152,'[8]7-12 by Site'!$A$6:$I$148,9,FALSE)</f>
        <v>267</v>
      </c>
      <c r="N152" s="1330">
        <f t="shared" si="37"/>
        <v>6942</v>
      </c>
      <c r="O152" s="1979">
        <f t="shared" si="38"/>
        <v>6942</v>
      </c>
    </row>
    <row r="153" spans="1:15">
      <c r="A153" s="556">
        <f t="shared" si="32"/>
        <v>391002</v>
      </c>
      <c r="B153" s="1327">
        <v>391002</v>
      </c>
      <c r="C153" s="1328" t="s">
        <v>740</v>
      </c>
      <c r="D153" s="1752">
        <v>0</v>
      </c>
      <c r="E153" s="1329">
        <f t="shared" si="33"/>
        <v>0</v>
      </c>
      <c r="F153" s="1752"/>
      <c r="G153" s="1330">
        <f t="shared" si="34"/>
        <v>0</v>
      </c>
      <c r="H153" s="1752"/>
      <c r="I153" s="1330">
        <f t="shared" si="35"/>
        <v>0</v>
      </c>
      <c r="J153" s="1965">
        <f t="shared" si="36"/>
        <v>0</v>
      </c>
      <c r="K153" s="1331"/>
      <c r="L153" s="1986"/>
      <c r="M153" s="1752">
        <f>VLOOKUP(B153,'[8]7-12 by Site'!$A$6:$I$148,9,FALSE)</f>
        <v>79</v>
      </c>
      <c r="N153" s="1330">
        <f t="shared" si="37"/>
        <v>2054</v>
      </c>
      <c r="O153" s="1979">
        <f t="shared" si="38"/>
        <v>2054</v>
      </c>
    </row>
    <row r="154" spans="1:15">
      <c r="A154" s="556">
        <f t="shared" si="32"/>
        <v>392001</v>
      </c>
      <c r="B154" s="1327">
        <v>392001</v>
      </c>
      <c r="C154" s="1328" t="s">
        <v>890</v>
      </c>
      <c r="D154" s="1752">
        <v>0</v>
      </c>
      <c r="E154" s="1329">
        <f t="shared" si="33"/>
        <v>0</v>
      </c>
      <c r="F154" s="1752"/>
      <c r="G154" s="1330">
        <f t="shared" si="34"/>
        <v>0</v>
      </c>
      <c r="H154" s="1752"/>
      <c r="I154" s="1330">
        <f t="shared" si="35"/>
        <v>0</v>
      </c>
      <c r="J154" s="1965">
        <f t="shared" si="36"/>
        <v>0</v>
      </c>
      <c r="K154" s="1331"/>
      <c r="L154" s="1986"/>
      <c r="M154" s="1752">
        <f>VLOOKUP(B154,'[8]7-12 by Site'!$A$6:$I$148,9,FALSE)</f>
        <v>103</v>
      </c>
      <c r="N154" s="1330">
        <f t="shared" si="37"/>
        <v>2678</v>
      </c>
      <c r="O154" s="1979">
        <f t="shared" si="38"/>
        <v>2678</v>
      </c>
    </row>
    <row r="155" spans="1:15">
      <c r="A155" s="556">
        <f t="shared" si="32"/>
        <v>393001</v>
      </c>
      <c r="B155" s="1111">
        <v>393001</v>
      </c>
      <c r="C155" s="1112" t="s">
        <v>741</v>
      </c>
      <c r="D155" s="1753">
        <v>0</v>
      </c>
      <c r="E155" s="1121">
        <f t="shared" si="33"/>
        <v>0</v>
      </c>
      <c r="F155" s="1753"/>
      <c r="G155" s="894">
        <f t="shared" si="34"/>
        <v>0</v>
      </c>
      <c r="H155" s="1753"/>
      <c r="I155" s="894">
        <f t="shared" si="35"/>
        <v>0</v>
      </c>
      <c r="J155" s="1966">
        <f t="shared" si="36"/>
        <v>0</v>
      </c>
      <c r="K155" s="827"/>
      <c r="L155" s="1987"/>
      <c r="M155" s="1753">
        <f>VLOOKUP(B155,'[8]7-12 by Site'!$A$6:$I$148,9,FALSE)</f>
        <v>197</v>
      </c>
      <c r="N155" s="894">
        <f t="shared" si="37"/>
        <v>5122</v>
      </c>
      <c r="O155" s="1980">
        <f t="shared" si="38"/>
        <v>5122</v>
      </c>
    </row>
    <row r="156" spans="1:15">
      <c r="A156" s="556">
        <f t="shared" si="32"/>
        <v>393002</v>
      </c>
      <c r="B156" s="1322">
        <v>393002</v>
      </c>
      <c r="C156" s="1323" t="s">
        <v>742</v>
      </c>
      <c r="D156" s="1751">
        <v>0</v>
      </c>
      <c r="E156" s="1324">
        <f t="shared" si="33"/>
        <v>0</v>
      </c>
      <c r="F156" s="1751"/>
      <c r="G156" s="1325">
        <f t="shared" si="34"/>
        <v>0</v>
      </c>
      <c r="H156" s="1751"/>
      <c r="I156" s="1325">
        <f t="shared" si="35"/>
        <v>0</v>
      </c>
      <c r="J156" s="1964">
        <f t="shared" si="36"/>
        <v>0</v>
      </c>
      <c r="K156" s="1326"/>
      <c r="L156" s="1985"/>
      <c r="M156" s="1751">
        <f>VLOOKUP(B156,'[8]7-12 by Site'!$A$6:$I$148,9,FALSE)</f>
        <v>110</v>
      </c>
      <c r="N156" s="1325">
        <f t="shared" si="37"/>
        <v>2860</v>
      </c>
      <c r="O156" s="1978">
        <f t="shared" si="38"/>
        <v>2860</v>
      </c>
    </row>
    <row r="157" spans="1:15">
      <c r="A157" s="556">
        <f t="shared" si="32"/>
        <v>393003</v>
      </c>
      <c r="B157" s="1327">
        <v>393003</v>
      </c>
      <c r="C157" s="1328" t="s">
        <v>743</v>
      </c>
      <c r="D157" s="1752">
        <v>0</v>
      </c>
      <c r="E157" s="1329">
        <f t="shared" si="33"/>
        <v>0</v>
      </c>
      <c r="F157" s="1752"/>
      <c r="G157" s="1330">
        <f t="shared" si="34"/>
        <v>0</v>
      </c>
      <c r="H157" s="1752"/>
      <c r="I157" s="1330">
        <f t="shared" si="35"/>
        <v>0</v>
      </c>
      <c r="J157" s="1965">
        <f t="shared" si="36"/>
        <v>0</v>
      </c>
      <c r="K157" s="1331"/>
      <c r="L157" s="1986"/>
      <c r="M157" s="1752">
        <f>VLOOKUP(B157,'[8]7-12 by Site'!$A$6:$I$148,9,FALSE)</f>
        <v>91</v>
      </c>
      <c r="N157" s="1330">
        <f t="shared" si="37"/>
        <v>2366</v>
      </c>
      <c r="O157" s="1979">
        <f t="shared" si="38"/>
        <v>2366</v>
      </c>
    </row>
    <row r="158" spans="1:15">
      <c r="A158" s="556">
        <f t="shared" si="32"/>
        <v>395001</v>
      </c>
      <c r="B158" s="1327">
        <v>395001</v>
      </c>
      <c r="C158" s="1328" t="s">
        <v>887</v>
      </c>
      <c r="D158" s="1752">
        <v>0</v>
      </c>
      <c r="E158" s="1329">
        <f t="shared" si="33"/>
        <v>0</v>
      </c>
      <c r="F158" s="1752"/>
      <c r="G158" s="1330">
        <f t="shared" si="34"/>
        <v>0</v>
      </c>
      <c r="H158" s="1752"/>
      <c r="I158" s="1330">
        <f t="shared" si="35"/>
        <v>0</v>
      </c>
      <c r="J158" s="1965">
        <f t="shared" si="36"/>
        <v>0</v>
      </c>
      <c r="K158" s="1331"/>
      <c r="L158" s="1986"/>
      <c r="M158" s="1752">
        <f>VLOOKUP(B158,'[8]7-12 by Site'!$A$6:$I$148,9,FALSE)</f>
        <v>145</v>
      </c>
      <c r="N158" s="1330">
        <f t="shared" si="37"/>
        <v>3770</v>
      </c>
      <c r="O158" s="1979">
        <f t="shared" si="38"/>
        <v>3770</v>
      </c>
    </row>
    <row r="159" spans="1:15">
      <c r="A159" s="556">
        <f t="shared" si="32"/>
        <v>395002</v>
      </c>
      <c r="B159" s="1327">
        <v>395002</v>
      </c>
      <c r="C159" s="1328" t="s">
        <v>884</v>
      </c>
      <c r="D159" s="1752">
        <v>0</v>
      </c>
      <c r="E159" s="1329">
        <f t="shared" si="33"/>
        <v>0</v>
      </c>
      <c r="F159" s="1752"/>
      <c r="G159" s="1330">
        <f t="shared" si="34"/>
        <v>0</v>
      </c>
      <c r="H159" s="1752"/>
      <c r="I159" s="1330">
        <f t="shared" si="35"/>
        <v>0</v>
      </c>
      <c r="J159" s="1965">
        <f t="shared" si="36"/>
        <v>0</v>
      </c>
      <c r="K159" s="1331"/>
      <c r="L159" s="1986"/>
      <c r="M159" s="1752">
        <f>VLOOKUP(B159,'[8]7-12 by Site'!$A$6:$I$148,9,FALSE)</f>
        <v>190</v>
      </c>
      <c r="N159" s="1330">
        <f t="shared" si="37"/>
        <v>4940</v>
      </c>
      <c r="O159" s="1979">
        <f t="shared" si="38"/>
        <v>4940</v>
      </c>
    </row>
    <row r="160" spans="1:15">
      <c r="A160" s="556">
        <f t="shared" si="32"/>
        <v>395003</v>
      </c>
      <c r="B160" s="1111">
        <v>395003</v>
      </c>
      <c r="C160" s="1112" t="s">
        <v>885</v>
      </c>
      <c r="D160" s="1753">
        <v>0</v>
      </c>
      <c r="E160" s="1121">
        <f t="shared" si="33"/>
        <v>0</v>
      </c>
      <c r="F160" s="1753"/>
      <c r="G160" s="894">
        <f t="shared" si="34"/>
        <v>0</v>
      </c>
      <c r="H160" s="1753"/>
      <c r="I160" s="894">
        <f t="shared" si="35"/>
        <v>0</v>
      </c>
      <c r="J160" s="1966">
        <f t="shared" si="36"/>
        <v>0</v>
      </c>
      <c r="K160" s="827"/>
      <c r="L160" s="1987"/>
      <c r="M160" s="1753">
        <f>VLOOKUP(B160,'[8]7-12 by Site'!$A$6:$I$148,9,FALSE)</f>
        <v>122</v>
      </c>
      <c r="N160" s="894">
        <f t="shared" si="37"/>
        <v>3172</v>
      </c>
      <c r="O160" s="1980">
        <f t="shared" si="38"/>
        <v>3172</v>
      </c>
    </row>
    <row r="161" spans="1:15">
      <c r="A161" s="556">
        <f t="shared" si="32"/>
        <v>395004</v>
      </c>
      <c r="B161" s="1322">
        <v>395004</v>
      </c>
      <c r="C161" s="1323" t="s">
        <v>886</v>
      </c>
      <c r="D161" s="1751">
        <v>0</v>
      </c>
      <c r="E161" s="1324">
        <f t="shared" si="33"/>
        <v>0</v>
      </c>
      <c r="F161" s="1751"/>
      <c r="G161" s="1325">
        <f t="shared" si="34"/>
        <v>0</v>
      </c>
      <c r="H161" s="1751"/>
      <c r="I161" s="1325">
        <f t="shared" si="35"/>
        <v>0</v>
      </c>
      <c r="J161" s="1964">
        <f t="shared" si="36"/>
        <v>0</v>
      </c>
      <c r="K161" s="1326"/>
      <c r="L161" s="1985"/>
      <c r="M161" s="1751">
        <f>VLOOKUP(B161,'[8]7-12 by Site'!$A$6:$I$148,9,FALSE)</f>
        <v>127</v>
      </c>
      <c r="N161" s="1325">
        <f t="shared" si="37"/>
        <v>3302</v>
      </c>
      <c r="O161" s="1978">
        <f t="shared" si="38"/>
        <v>3302</v>
      </c>
    </row>
    <row r="162" spans="1:15">
      <c r="A162" s="556">
        <f t="shared" si="32"/>
        <v>395005</v>
      </c>
      <c r="B162" s="1327">
        <v>395005</v>
      </c>
      <c r="C162" s="1328" t="s">
        <v>883</v>
      </c>
      <c r="D162" s="1752">
        <v>0</v>
      </c>
      <c r="E162" s="1329">
        <f t="shared" si="33"/>
        <v>0</v>
      </c>
      <c r="F162" s="1752"/>
      <c r="G162" s="1330">
        <f t="shared" si="34"/>
        <v>0</v>
      </c>
      <c r="H162" s="1752"/>
      <c r="I162" s="1330">
        <f t="shared" si="35"/>
        <v>0</v>
      </c>
      <c r="J162" s="1965">
        <f t="shared" si="36"/>
        <v>0</v>
      </c>
      <c r="K162" s="1331"/>
      <c r="L162" s="1986"/>
      <c r="M162" s="1752">
        <f>VLOOKUP(B162,'[8]7-12 by Site'!$A$6:$I$148,9,FALSE)</f>
        <v>1170</v>
      </c>
      <c r="N162" s="1330">
        <f t="shared" si="37"/>
        <v>30420</v>
      </c>
      <c r="O162" s="1979">
        <f t="shared" si="38"/>
        <v>30420</v>
      </c>
    </row>
    <row r="163" spans="1:15">
      <c r="A163" s="556">
        <f t="shared" si="32"/>
        <v>395007</v>
      </c>
      <c r="B163" s="1327">
        <v>395007</v>
      </c>
      <c r="C163" s="1328" t="s">
        <v>1129</v>
      </c>
      <c r="D163" s="1752">
        <v>0</v>
      </c>
      <c r="E163" s="1329">
        <f t="shared" si="33"/>
        <v>0</v>
      </c>
      <c r="F163" s="1752"/>
      <c r="G163" s="1330">
        <f t="shared" si="34"/>
        <v>0</v>
      </c>
      <c r="H163" s="1752"/>
      <c r="I163" s="1330">
        <f t="shared" si="35"/>
        <v>0</v>
      </c>
      <c r="J163" s="1965">
        <f t="shared" si="36"/>
        <v>0</v>
      </c>
      <c r="K163" s="1331"/>
      <c r="L163" s="1986"/>
      <c r="M163" s="1752">
        <f>VLOOKUP(B163,'[8]7-12 by Site'!$A$6:$I$148,9,FALSE)</f>
        <v>234</v>
      </c>
      <c r="N163" s="1330">
        <f t="shared" si="37"/>
        <v>6084</v>
      </c>
      <c r="O163" s="1979">
        <f t="shared" si="38"/>
        <v>6084</v>
      </c>
    </row>
    <row r="164" spans="1:15">
      <c r="A164" s="556">
        <f t="shared" si="32"/>
        <v>397001</v>
      </c>
      <c r="B164" s="1327">
        <v>397001</v>
      </c>
      <c r="C164" s="1328" t="s">
        <v>888</v>
      </c>
      <c r="D164" s="1752">
        <v>0</v>
      </c>
      <c r="E164" s="1329">
        <f t="shared" si="33"/>
        <v>0</v>
      </c>
      <c r="F164" s="1752"/>
      <c r="G164" s="1330">
        <f t="shared" si="34"/>
        <v>0</v>
      </c>
      <c r="H164" s="1752"/>
      <c r="I164" s="1330">
        <f t="shared" si="35"/>
        <v>0</v>
      </c>
      <c r="J164" s="1965">
        <f t="shared" si="36"/>
        <v>0</v>
      </c>
      <c r="K164" s="1331"/>
      <c r="L164" s="1986"/>
      <c r="M164" s="1752">
        <f>VLOOKUP(B164,'[8]7-12 by Site'!$A$6:$I$148,9,FALSE)</f>
        <v>423</v>
      </c>
      <c r="N164" s="1330">
        <f t="shared" si="37"/>
        <v>10998</v>
      </c>
      <c r="O164" s="1979">
        <f t="shared" si="38"/>
        <v>10998</v>
      </c>
    </row>
    <row r="165" spans="1:15">
      <c r="A165" s="556">
        <f t="shared" si="32"/>
        <v>398001</v>
      </c>
      <c r="B165" s="1111">
        <v>398001</v>
      </c>
      <c r="C165" s="1112" t="s">
        <v>744</v>
      </c>
      <c r="D165" s="1753">
        <v>0</v>
      </c>
      <c r="E165" s="1121">
        <f t="shared" si="33"/>
        <v>0</v>
      </c>
      <c r="F165" s="1753"/>
      <c r="G165" s="894">
        <f t="shared" si="34"/>
        <v>0</v>
      </c>
      <c r="H165" s="1753"/>
      <c r="I165" s="894">
        <f t="shared" si="35"/>
        <v>0</v>
      </c>
      <c r="J165" s="1966">
        <f t="shared" si="36"/>
        <v>0</v>
      </c>
      <c r="K165" s="827"/>
      <c r="L165" s="1987"/>
      <c r="M165" s="1753">
        <f>VLOOKUP(B165,'[8]7-12 by Site'!$A$6:$I$148,9,FALSE)</f>
        <v>203</v>
      </c>
      <c r="N165" s="894">
        <f t="shared" si="37"/>
        <v>5278</v>
      </c>
      <c r="O165" s="1980">
        <f t="shared" si="38"/>
        <v>5278</v>
      </c>
    </row>
    <row r="166" spans="1:15">
      <c r="A166" s="556">
        <f t="shared" si="32"/>
        <v>398002</v>
      </c>
      <c r="B166" s="1322">
        <v>398002</v>
      </c>
      <c r="C166" s="1323" t="s">
        <v>1148</v>
      </c>
      <c r="D166" s="1751">
        <v>0</v>
      </c>
      <c r="E166" s="1324">
        <f t="shared" si="33"/>
        <v>0</v>
      </c>
      <c r="F166" s="1751"/>
      <c r="G166" s="1325">
        <f t="shared" si="34"/>
        <v>0</v>
      </c>
      <c r="H166" s="1751"/>
      <c r="I166" s="1325">
        <f t="shared" si="35"/>
        <v>0</v>
      </c>
      <c r="J166" s="1964">
        <f t="shared" si="36"/>
        <v>0</v>
      </c>
      <c r="K166" s="1326"/>
      <c r="L166" s="1985"/>
      <c r="M166" s="1751">
        <f>VLOOKUP(B166,'[8]7-12 by Site'!$A$6:$I$148,9,FALSE)</f>
        <v>213</v>
      </c>
      <c r="N166" s="1325">
        <f t="shared" si="37"/>
        <v>5538</v>
      </c>
      <c r="O166" s="1978">
        <f t="shared" si="38"/>
        <v>5538</v>
      </c>
    </row>
    <row r="167" spans="1:15">
      <c r="A167" s="556">
        <f t="shared" si="32"/>
        <v>398003</v>
      </c>
      <c r="B167" s="1327">
        <v>398003</v>
      </c>
      <c r="C167" s="1328" t="s">
        <v>745</v>
      </c>
      <c r="D167" s="1752">
        <v>0</v>
      </c>
      <c r="E167" s="1329">
        <f t="shared" si="33"/>
        <v>0</v>
      </c>
      <c r="F167" s="1752"/>
      <c r="G167" s="1330">
        <f t="shared" si="34"/>
        <v>0</v>
      </c>
      <c r="H167" s="1752"/>
      <c r="I167" s="1330">
        <f t="shared" si="35"/>
        <v>0</v>
      </c>
      <c r="J167" s="1965">
        <f t="shared" si="36"/>
        <v>0</v>
      </c>
      <c r="K167" s="1331"/>
      <c r="L167" s="1986"/>
      <c r="M167" s="1752">
        <f>VLOOKUP(B167,'[8]7-12 by Site'!$A$6:$I$148,9,FALSE)</f>
        <v>213</v>
      </c>
      <c r="N167" s="1330">
        <f t="shared" si="37"/>
        <v>5538</v>
      </c>
      <c r="O167" s="1979">
        <f t="shared" si="38"/>
        <v>5538</v>
      </c>
    </row>
    <row r="168" spans="1:15">
      <c r="A168" s="556">
        <f t="shared" si="32"/>
        <v>398004</v>
      </c>
      <c r="B168" s="1327">
        <v>398004</v>
      </c>
      <c r="C168" s="1328" t="s">
        <v>1020</v>
      </c>
      <c r="D168" s="1752">
        <v>0</v>
      </c>
      <c r="E168" s="1329">
        <f t="shared" si="33"/>
        <v>0</v>
      </c>
      <c r="F168" s="1752"/>
      <c r="G168" s="1330">
        <f t="shared" si="34"/>
        <v>0</v>
      </c>
      <c r="H168" s="1752"/>
      <c r="I168" s="1330">
        <f t="shared" si="35"/>
        <v>0</v>
      </c>
      <c r="J168" s="1965">
        <f t="shared" si="36"/>
        <v>0</v>
      </c>
      <c r="K168" s="1331"/>
      <c r="L168" s="1986"/>
      <c r="M168" s="1752">
        <f>VLOOKUP(B168,'[8]7-12 by Site'!$A$6:$I$148,9,FALSE)</f>
        <v>0</v>
      </c>
      <c r="N168" s="1330">
        <f t="shared" si="37"/>
        <v>0</v>
      </c>
      <c r="O168" s="1979">
        <f t="shared" si="38"/>
        <v>0</v>
      </c>
    </row>
    <row r="169" spans="1:15">
      <c r="A169" s="556">
        <f t="shared" si="32"/>
        <v>398005</v>
      </c>
      <c r="B169" s="1327">
        <v>398005</v>
      </c>
      <c r="C169" s="1328" t="s">
        <v>746</v>
      </c>
      <c r="D169" s="1752">
        <v>0</v>
      </c>
      <c r="E169" s="1329">
        <f t="shared" si="33"/>
        <v>0</v>
      </c>
      <c r="F169" s="1752"/>
      <c r="G169" s="1330">
        <f t="shared" si="34"/>
        <v>0</v>
      </c>
      <c r="H169" s="1752"/>
      <c r="I169" s="1330">
        <f t="shared" si="35"/>
        <v>0</v>
      </c>
      <c r="J169" s="1965">
        <f t="shared" si="36"/>
        <v>0</v>
      </c>
      <c r="K169" s="1331"/>
      <c r="L169" s="1986"/>
      <c r="M169" s="1752">
        <f>VLOOKUP(B169,'[8]7-12 by Site'!$A$6:$I$148,9,FALSE)</f>
        <v>418</v>
      </c>
      <c r="N169" s="1330">
        <f t="shared" si="37"/>
        <v>10868</v>
      </c>
      <c r="O169" s="1979">
        <f t="shared" si="38"/>
        <v>10868</v>
      </c>
    </row>
    <row r="170" spans="1:15">
      <c r="A170" s="556">
        <f t="shared" si="32"/>
        <v>398006</v>
      </c>
      <c r="B170" s="1111">
        <v>398006</v>
      </c>
      <c r="C170" s="1112" t="s">
        <v>1021</v>
      </c>
      <c r="D170" s="1753">
        <v>0</v>
      </c>
      <c r="E170" s="1121">
        <f t="shared" si="33"/>
        <v>0</v>
      </c>
      <c r="F170" s="1753"/>
      <c r="G170" s="894">
        <f t="shared" si="34"/>
        <v>0</v>
      </c>
      <c r="H170" s="1753"/>
      <c r="I170" s="894">
        <f t="shared" si="35"/>
        <v>0</v>
      </c>
      <c r="J170" s="1966">
        <f t="shared" si="36"/>
        <v>0</v>
      </c>
      <c r="K170" s="827"/>
      <c r="L170" s="1987"/>
      <c r="M170" s="1753">
        <f>VLOOKUP(B170,'[8]7-12 by Site'!$A$6:$I$148,9,FALSE)</f>
        <v>208</v>
      </c>
      <c r="N170" s="894">
        <f t="shared" si="37"/>
        <v>5408</v>
      </c>
      <c r="O170" s="1980">
        <f t="shared" si="38"/>
        <v>5408</v>
      </c>
    </row>
    <row r="171" spans="1:15">
      <c r="A171" s="556">
        <f>+VALUE(B171)</f>
        <v>398007</v>
      </c>
      <c r="B171" s="1322">
        <v>398007</v>
      </c>
      <c r="C171" s="1323" t="s">
        <v>714</v>
      </c>
      <c r="D171" s="1751">
        <v>0</v>
      </c>
      <c r="E171" s="1324">
        <f>ROUND($E$3*D171,0)</f>
        <v>0</v>
      </c>
      <c r="F171" s="1751"/>
      <c r="G171" s="1325">
        <f t="shared" si="34"/>
        <v>0</v>
      </c>
      <c r="H171" s="1751"/>
      <c r="I171" s="1325">
        <f t="shared" si="35"/>
        <v>0</v>
      </c>
      <c r="J171" s="1964">
        <f t="shared" si="36"/>
        <v>0</v>
      </c>
      <c r="K171" s="1326"/>
      <c r="L171" s="1985"/>
      <c r="M171" s="1751">
        <v>0</v>
      </c>
      <c r="N171" s="1325">
        <f>ROUND(M171*$N$3,0)</f>
        <v>0</v>
      </c>
      <c r="O171" s="1978">
        <f>+K171+J171+E171+L171+N171</f>
        <v>0</v>
      </c>
    </row>
    <row r="172" spans="1:15">
      <c r="A172" s="556">
        <f t="shared" si="32"/>
        <v>399001</v>
      </c>
      <c r="B172" s="1327">
        <v>399001</v>
      </c>
      <c r="C172" s="1328" t="s">
        <v>747</v>
      </c>
      <c r="D172" s="1752">
        <v>0</v>
      </c>
      <c r="E172" s="1329">
        <f t="shared" si="33"/>
        <v>0</v>
      </c>
      <c r="F172" s="1752"/>
      <c r="G172" s="1330">
        <f t="shared" si="34"/>
        <v>0</v>
      </c>
      <c r="H172" s="1752"/>
      <c r="I172" s="1330">
        <f t="shared" si="35"/>
        <v>0</v>
      </c>
      <c r="J172" s="1965">
        <f t="shared" si="36"/>
        <v>0</v>
      </c>
      <c r="K172" s="1331"/>
      <c r="L172" s="1986"/>
      <c r="M172" s="1752">
        <f>VLOOKUP(B172,'[8]7-12 by Site'!$A$6:$I$148,9,FALSE)</f>
        <v>109</v>
      </c>
      <c r="N172" s="1330">
        <f t="shared" si="37"/>
        <v>2834</v>
      </c>
      <c r="O172" s="1979">
        <f t="shared" si="38"/>
        <v>2834</v>
      </c>
    </row>
    <row r="173" spans="1:15">
      <c r="A173" s="556">
        <f t="shared" si="32"/>
        <v>399002</v>
      </c>
      <c r="B173" s="1327">
        <v>399002</v>
      </c>
      <c r="C173" s="1328" t="s">
        <v>748</v>
      </c>
      <c r="D173" s="1752">
        <v>0</v>
      </c>
      <c r="E173" s="1329">
        <f t="shared" si="33"/>
        <v>0</v>
      </c>
      <c r="F173" s="1752"/>
      <c r="G173" s="1330">
        <f t="shared" si="34"/>
        <v>0</v>
      </c>
      <c r="H173" s="1752"/>
      <c r="I173" s="1330">
        <f t="shared" si="35"/>
        <v>0</v>
      </c>
      <c r="J173" s="1965">
        <f t="shared" si="36"/>
        <v>0</v>
      </c>
      <c r="K173" s="1331"/>
      <c r="L173" s="1986"/>
      <c r="M173" s="1752">
        <f>VLOOKUP(B173,'[8]7-12 by Site'!$A$6:$I$148,9,FALSE)</f>
        <v>93</v>
      </c>
      <c r="N173" s="1330">
        <f t="shared" si="37"/>
        <v>2418</v>
      </c>
      <c r="O173" s="1979">
        <f t="shared" si="38"/>
        <v>2418</v>
      </c>
    </row>
    <row r="174" spans="1:15">
      <c r="A174" s="556">
        <f t="shared" si="32"/>
        <v>399003</v>
      </c>
      <c r="B174" s="1327">
        <v>399003</v>
      </c>
      <c r="C174" s="1328" t="s">
        <v>749</v>
      </c>
      <c r="D174" s="1752">
        <v>0</v>
      </c>
      <c r="E174" s="1329">
        <f t="shared" si="33"/>
        <v>0</v>
      </c>
      <c r="F174" s="1752"/>
      <c r="G174" s="1330">
        <f t="shared" si="34"/>
        <v>0</v>
      </c>
      <c r="H174" s="1752"/>
      <c r="I174" s="1330">
        <f t="shared" si="35"/>
        <v>0</v>
      </c>
      <c r="J174" s="1965">
        <f t="shared" si="36"/>
        <v>0</v>
      </c>
      <c r="K174" s="1331"/>
      <c r="L174" s="1986"/>
      <c r="M174" s="1752">
        <f>VLOOKUP(B174,'[8]7-12 by Site'!$A$6:$I$148,9,FALSE)</f>
        <v>379</v>
      </c>
      <c r="N174" s="1330">
        <f t="shared" si="37"/>
        <v>9854</v>
      </c>
      <c r="O174" s="1979">
        <f t="shared" si="38"/>
        <v>9854</v>
      </c>
    </row>
    <row r="175" spans="1:15" ht="13.2" customHeight="1">
      <c r="A175" s="556">
        <f t="shared" si="32"/>
        <v>399004</v>
      </c>
      <c r="B175" s="1111">
        <v>399004</v>
      </c>
      <c r="C175" s="1122" t="s">
        <v>750</v>
      </c>
      <c r="D175" s="1753">
        <v>0</v>
      </c>
      <c r="E175" s="1121">
        <f t="shared" si="33"/>
        <v>0</v>
      </c>
      <c r="F175" s="1753"/>
      <c r="G175" s="894">
        <f t="shared" si="34"/>
        <v>0</v>
      </c>
      <c r="H175" s="1753"/>
      <c r="I175" s="894">
        <f t="shared" si="35"/>
        <v>0</v>
      </c>
      <c r="J175" s="1966">
        <f t="shared" si="36"/>
        <v>0</v>
      </c>
      <c r="K175" s="827"/>
      <c r="L175" s="1987"/>
      <c r="M175" s="1753">
        <f>VLOOKUP(B175,'[8]7-12 by Site'!$A$6:$I$148,9,FALSE)</f>
        <v>118</v>
      </c>
      <c r="N175" s="894">
        <f t="shared" si="37"/>
        <v>3068</v>
      </c>
      <c r="O175" s="1980">
        <f t="shared" si="38"/>
        <v>3068</v>
      </c>
    </row>
    <row r="176" spans="1:15">
      <c r="A176" s="556">
        <f t="shared" si="32"/>
        <v>399005</v>
      </c>
      <c r="B176" s="1332">
        <v>399005</v>
      </c>
      <c r="C176" s="1333" t="s">
        <v>751</v>
      </c>
      <c r="D176" s="1751">
        <v>0</v>
      </c>
      <c r="E176" s="1334">
        <f t="shared" si="33"/>
        <v>0</v>
      </c>
      <c r="F176" s="1751"/>
      <c r="G176" s="1325">
        <f t="shared" si="34"/>
        <v>0</v>
      </c>
      <c r="H176" s="1751"/>
      <c r="I176" s="1325">
        <f t="shared" si="35"/>
        <v>0</v>
      </c>
      <c r="J176" s="1964">
        <f t="shared" si="36"/>
        <v>0</v>
      </c>
      <c r="K176" s="1326"/>
      <c r="L176" s="1985"/>
      <c r="M176" s="1751">
        <f>VLOOKUP(B176,'[8]7-12 by Site'!$A$6:$I$148,9,FALSE)</f>
        <v>160</v>
      </c>
      <c r="N176" s="1325">
        <f t="shared" si="37"/>
        <v>4160</v>
      </c>
      <c r="O176" s="1978">
        <f t="shared" si="38"/>
        <v>4160</v>
      </c>
    </row>
    <row r="177" spans="1:15">
      <c r="A177" s="556" t="e">
        <f t="shared" si="32"/>
        <v>#VALUE!</v>
      </c>
      <c r="B177" s="830" t="s">
        <v>518</v>
      </c>
      <c r="C177" s="1065" t="s">
        <v>752</v>
      </c>
      <c r="D177" s="1753">
        <v>0</v>
      </c>
      <c r="E177" s="1063">
        <f t="shared" si="33"/>
        <v>0</v>
      </c>
      <c r="F177" s="1753"/>
      <c r="G177" s="894">
        <f t="shared" si="34"/>
        <v>0</v>
      </c>
      <c r="H177" s="1753"/>
      <c r="I177" s="894">
        <f t="shared" si="35"/>
        <v>0</v>
      </c>
      <c r="J177" s="1966">
        <f t="shared" si="36"/>
        <v>0</v>
      </c>
      <c r="K177" s="827"/>
      <c r="L177" s="1987"/>
      <c r="M177" s="1753">
        <f>VLOOKUP(B177,'[8]7-12 by Site'!$A$6:$I$148,9,FALSE)</f>
        <v>124</v>
      </c>
      <c r="N177" s="894">
        <f t="shared" si="37"/>
        <v>3224</v>
      </c>
      <c r="O177" s="1980">
        <f t="shared" si="38"/>
        <v>3224</v>
      </c>
    </row>
    <row r="178" spans="1:15" ht="13.8" thickBot="1">
      <c r="B178" s="1113"/>
      <c r="C178" s="1114" t="s">
        <v>679</v>
      </c>
      <c r="D178" s="1755">
        <f t="shared" ref="D178:O178" si="39">SUM(D121:D177)</f>
        <v>0</v>
      </c>
      <c r="E178" s="1756">
        <f t="shared" si="39"/>
        <v>0</v>
      </c>
      <c r="F178" s="1755">
        <f t="shared" si="39"/>
        <v>0</v>
      </c>
      <c r="G178" s="1115">
        <f t="shared" si="39"/>
        <v>0</v>
      </c>
      <c r="H178" s="1755">
        <f t="shared" si="39"/>
        <v>0</v>
      </c>
      <c r="I178" s="1115">
        <f t="shared" si="39"/>
        <v>0</v>
      </c>
      <c r="J178" s="1968">
        <f t="shared" si="39"/>
        <v>0</v>
      </c>
      <c r="K178" s="1116">
        <f t="shared" si="39"/>
        <v>0</v>
      </c>
      <c r="L178" s="1989">
        <f t="shared" si="39"/>
        <v>0</v>
      </c>
      <c r="M178" s="1755">
        <f t="shared" si="39"/>
        <v>9918</v>
      </c>
      <c r="N178" s="1117">
        <f t="shared" si="39"/>
        <v>257868</v>
      </c>
      <c r="O178" s="1982">
        <f t="shared" si="39"/>
        <v>257868</v>
      </c>
    </row>
    <row r="179" spans="1:15" ht="7.2" customHeight="1" thickTop="1">
      <c r="B179" s="1064"/>
      <c r="C179" s="902"/>
      <c r="D179" s="1757"/>
      <c r="E179" s="1758"/>
      <c r="F179" s="1757"/>
      <c r="G179" s="1759"/>
      <c r="H179" s="1757"/>
      <c r="I179" s="1759"/>
      <c r="J179" s="1758"/>
      <c r="K179" s="1758"/>
      <c r="L179" s="1758"/>
      <c r="M179" s="1757"/>
      <c r="N179" s="1758"/>
      <c r="O179" s="1758"/>
    </row>
    <row r="180" spans="1:15">
      <c r="A180" s="556">
        <f t="shared" si="32"/>
        <v>389002</v>
      </c>
      <c r="B180" s="1322">
        <v>389002</v>
      </c>
      <c r="C180" s="1323" t="s">
        <v>704</v>
      </c>
      <c r="D180" s="1751">
        <v>0</v>
      </c>
      <c r="E180" s="1324">
        <f t="shared" ref="E180" si="40">ROUND($E$3*D180,0)</f>
        <v>0</v>
      </c>
      <c r="F180" s="1751"/>
      <c r="G180" s="1325">
        <f t="shared" ref="G180:G185" si="41">ROUND($G$3*F180,0)</f>
        <v>0</v>
      </c>
      <c r="H180" s="1751"/>
      <c r="I180" s="1325">
        <f t="shared" ref="I180:I185" si="42">ROUND($I$3*H180,0)</f>
        <v>0</v>
      </c>
      <c r="J180" s="1964">
        <f t="shared" ref="J180:J185" si="43">G180+I180</f>
        <v>0</v>
      </c>
      <c r="K180" s="1326"/>
      <c r="L180" s="1985"/>
      <c r="M180" s="1751">
        <f>VLOOKUP(B180,'[8]7-12 by Site'!$A$6:$I$148,9,FALSE)</f>
        <v>365</v>
      </c>
      <c r="N180" s="1325">
        <f t="shared" ref="N180" si="44">ROUND(M180*$N$3,0)</f>
        <v>9490</v>
      </c>
      <c r="O180" s="1978">
        <f t="shared" ref="O180" si="45">+K180+J180+E180+L180+N180</f>
        <v>9490</v>
      </c>
    </row>
    <row r="181" spans="1:15">
      <c r="A181" s="556" t="e">
        <f t="shared" si="32"/>
        <v>#VALUE!</v>
      </c>
      <c r="B181" s="1327" t="s">
        <v>993</v>
      </c>
      <c r="C181" s="1328" t="s">
        <v>715</v>
      </c>
      <c r="D181" s="1752">
        <v>0</v>
      </c>
      <c r="E181" s="1329">
        <f>ROUND($E$3*D181,0)</f>
        <v>0</v>
      </c>
      <c r="F181" s="1752"/>
      <c r="G181" s="1330">
        <f>ROUND($G$3*F181,0)</f>
        <v>0</v>
      </c>
      <c r="H181" s="1752"/>
      <c r="I181" s="1330">
        <f>ROUND($I$3*H181,0)</f>
        <v>0</v>
      </c>
      <c r="J181" s="1965">
        <f>G181+I181</f>
        <v>0</v>
      </c>
      <c r="K181" s="1331"/>
      <c r="L181" s="1986"/>
      <c r="M181" s="1752">
        <v>0</v>
      </c>
      <c r="N181" s="1330">
        <f>ROUND(M181*$N$3,0)</f>
        <v>0</v>
      </c>
      <c r="O181" s="1979">
        <f>+K181+J181+E181+L181+N181</f>
        <v>0</v>
      </c>
    </row>
    <row r="182" spans="1:15">
      <c r="A182" s="556" t="e">
        <f t="shared" si="32"/>
        <v>#VALUE!</v>
      </c>
      <c r="B182" s="1327" t="s">
        <v>994</v>
      </c>
      <c r="C182" s="1328" t="s">
        <v>716</v>
      </c>
      <c r="D182" s="1752">
        <v>0</v>
      </c>
      <c r="E182" s="1329">
        <f>ROUND($E$3*D182,0)</f>
        <v>0</v>
      </c>
      <c r="F182" s="1752"/>
      <c r="G182" s="1330">
        <f>ROUND($G$3*F182,0)</f>
        <v>0</v>
      </c>
      <c r="H182" s="1752"/>
      <c r="I182" s="1330">
        <f>ROUND($I$3*H182,0)</f>
        <v>0</v>
      </c>
      <c r="J182" s="1965">
        <f>G182+I182</f>
        <v>0</v>
      </c>
      <c r="K182" s="1331"/>
      <c r="L182" s="1986"/>
      <c r="M182" s="1752">
        <v>180</v>
      </c>
      <c r="N182" s="1330">
        <f>ROUND(M182*$N$3,0)</f>
        <v>4680</v>
      </c>
      <c r="O182" s="1979">
        <f>+K182+J182+E182+L182+N182</f>
        <v>4680</v>
      </c>
    </row>
    <row r="183" spans="1:15">
      <c r="A183" s="556" t="e">
        <f t="shared" si="32"/>
        <v>#VALUE!</v>
      </c>
      <c r="B183" s="1327" t="s">
        <v>1306</v>
      </c>
      <c r="C183" s="1328" t="s">
        <v>1307</v>
      </c>
      <c r="D183" s="1752">
        <v>0</v>
      </c>
      <c r="E183" s="1329">
        <f>ROUND($E$3*D183,0)</f>
        <v>0</v>
      </c>
      <c r="F183" s="1752"/>
      <c r="G183" s="1330">
        <f>ROUND($G$3*F183,0)</f>
        <v>0</v>
      </c>
      <c r="H183" s="1752"/>
      <c r="I183" s="1330">
        <f>ROUND($I$3*H183,0)</f>
        <v>0</v>
      </c>
      <c r="J183" s="1965">
        <f>G183+I183</f>
        <v>0</v>
      </c>
      <c r="K183" s="1331"/>
      <c r="L183" s="1986"/>
      <c r="M183" s="1752">
        <v>0</v>
      </c>
      <c r="N183" s="1330">
        <f>ROUND(M183*$N$3,0)</f>
        <v>0</v>
      </c>
      <c r="O183" s="1979">
        <f>+K183+J183+E183+L183+N183</f>
        <v>0</v>
      </c>
    </row>
    <row r="184" spans="1:15">
      <c r="A184" s="556" t="e">
        <f t="shared" si="32"/>
        <v>#VALUE!</v>
      </c>
      <c r="B184" s="1111" t="s">
        <v>996</v>
      </c>
      <c r="C184" s="1112" t="s">
        <v>718</v>
      </c>
      <c r="D184" s="1753">
        <v>0</v>
      </c>
      <c r="E184" s="1121">
        <f>ROUND($E$3*D184,0)</f>
        <v>0</v>
      </c>
      <c r="F184" s="1753"/>
      <c r="G184" s="894">
        <f t="shared" si="41"/>
        <v>0</v>
      </c>
      <c r="H184" s="1753"/>
      <c r="I184" s="894">
        <f t="shared" si="42"/>
        <v>0</v>
      </c>
      <c r="J184" s="1966">
        <f t="shared" si="43"/>
        <v>0</v>
      </c>
      <c r="K184" s="827"/>
      <c r="L184" s="1987"/>
      <c r="M184" s="1753">
        <v>0</v>
      </c>
      <c r="N184" s="894">
        <f>ROUND(M184*$N$3,0)</f>
        <v>0</v>
      </c>
      <c r="O184" s="1980">
        <f>+K184+J184+E184+L184+N184</f>
        <v>0</v>
      </c>
    </row>
    <row r="185" spans="1:15">
      <c r="A185" s="556" t="e">
        <f t="shared" ref="A185:A194" si="46">+VALUE(B185)</f>
        <v>#VALUE!</v>
      </c>
      <c r="B185" s="830" t="s">
        <v>995</v>
      </c>
      <c r="C185" s="1066" t="s">
        <v>717</v>
      </c>
      <c r="D185" s="1753">
        <v>0</v>
      </c>
      <c r="E185" s="1063">
        <f>ROUND($E$3*D185,0)</f>
        <v>0</v>
      </c>
      <c r="F185" s="1753"/>
      <c r="G185" s="894">
        <f t="shared" si="41"/>
        <v>0</v>
      </c>
      <c r="H185" s="1753"/>
      <c r="I185" s="894">
        <f t="shared" si="42"/>
        <v>0</v>
      </c>
      <c r="J185" s="1966">
        <f t="shared" si="43"/>
        <v>0</v>
      </c>
      <c r="K185" s="827"/>
      <c r="L185" s="1987"/>
      <c r="M185" s="1753">
        <v>400</v>
      </c>
      <c r="N185" s="894">
        <f>ROUND(M185*$N$3,0)</f>
        <v>10400</v>
      </c>
      <c r="O185" s="1980">
        <f>+K185+J185+E185+L185+N185</f>
        <v>10400</v>
      </c>
    </row>
    <row r="186" spans="1:15" ht="13.8" thickBot="1">
      <c r="A186" s="556">
        <f t="shared" si="46"/>
        <v>0</v>
      </c>
      <c r="B186" s="1113"/>
      <c r="C186" s="1114" t="s">
        <v>680</v>
      </c>
      <c r="D186" s="1755">
        <f>SUM(D180:D185)</f>
        <v>0</v>
      </c>
      <c r="E186" s="1756">
        <f>SUM(E180:E185)</f>
        <v>0</v>
      </c>
      <c r="F186" s="1755">
        <f>SUM(F180:F185)</f>
        <v>0</v>
      </c>
      <c r="G186" s="1115">
        <f t="shared" ref="G186:O186" si="47">SUM(G180:G185)</f>
        <v>0</v>
      </c>
      <c r="H186" s="1755">
        <f t="shared" si="47"/>
        <v>0</v>
      </c>
      <c r="I186" s="1115">
        <f t="shared" si="47"/>
        <v>0</v>
      </c>
      <c r="J186" s="1968">
        <f t="shared" si="47"/>
        <v>0</v>
      </c>
      <c r="K186" s="1116">
        <f t="shared" si="47"/>
        <v>0</v>
      </c>
      <c r="L186" s="1989">
        <f t="shared" si="47"/>
        <v>0</v>
      </c>
      <c r="M186" s="1755">
        <f t="shared" si="47"/>
        <v>945</v>
      </c>
      <c r="N186" s="1117">
        <f t="shared" si="47"/>
        <v>24570</v>
      </c>
      <c r="O186" s="1982">
        <f t="shared" si="47"/>
        <v>24570</v>
      </c>
    </row>
    <row r="187" spans="1:15" ht="7.2" customHeight="1" thickTop="1">
      <c r="A187" s="556">
        <f t="shared" si="46"/>
        <v>0</v>
      </c>
      <c r="B187" s="1064"/>
      <c r="C187" s="902"/>
      <c r="D187" s="1757"/>
      <c r="E187" s="1758"/>
      <c r="F187" s="1757"/>
      <c r="G187" s="1759"/>
      <c r="H187" s="1757"/>
      <c r="I187" s="1759"/>
      <c r="J187" s="1758"/>
      <c r="K187" s="1758"/>
      <c r="L187" s="1758"/>
      <c r="M187" s="1757"/>
      <c r="N187" s="1758"/>
      <c r="O187" s="1758"/>
    </row>
    <row r="188" spans="1:15">
      <c r="A188" s="556">
        <f t="shared" si="46"/>
        <v>371001</v>
      </c>
      <c r="B188" s="829">
        <v>371001</v>
      </c>
      <c r="C188" s="903" t="s">
        <v>705</v>
      </c>
      <c r="D188" s="1760">
        <v>0</v>
      </c>
      <c r="E188" s="1067">
        <f>ROUND($E$3*D188,0)</f>
        <v>0</v>
      </c>
      <c r="F188" s="1760"/>
      <c r="G188" s="1068">
        <f>ROUND($G$3*F188,0)</f>
        <v>0</v>
      </c>
      <c r="H188" s="1760"/>
      <c r="I188" s="1068">
        <f>ROUND($I$3*H188,0)</f>
        <v>0</v>
      </c>
      <c r="J188" s="1969">
        <f>G188+I188</f>
        <v>0</v>
      </c>
      <c r="K188" s="1069"/>
      <c r="L188" s="1990"/>
      <c r="M188" s="1760">
        <f>VLOOKUP(B188,'[8]7-12 by Site'!$A$6:$I$148,9,FALSE)</f>
        <v>356</v>
      </c>
      <c r="N188" s="1068">
        <f>ROUND(M188*$N$3,0)</f>
        <v>9256</v>
      </c>
      <c r="O188" s="1983">
        <f>+K188+J188+E188+L188+N188</f>
        <v>9256</v>
      </c>
    </row>
    <row r="189" spans="1:15" ht="13.8" thickBot="1">
      <c r="A189" s="556">
        <f t="shared" si="46"/>
        <v>0</v>
      </c>
      <c r="B189" s="1113"/>
      <c r="C189" s="1114" t="s">
        <v>681</v>
      </c>
      <c r="D189" s="1755">
        <f>SUM(D188)</f>
        <v>0</v>
      </c>
      <c r="E189" s="1756">
        <f>SUM(E188)</f>
        <v>0</v>
      </c>
      <c r="F189" s="1755">
        <f>SUM(F188)</f>
        <v>0</v>
      </c>
      <c r="G189" s="1115">
        <f t="shared" ref="G189:O189" si="48">SUM(G188)</f>
        <v>0</v>
      </c>
      <c r="H189" s="1755">
        <f t="shared" si="48"/>
        <v>0</v>
      </c>
      <c r="I189" s="1115">
        <f t="shared" si="48"/>
        <v>0</v>
      </c>
      <c r="J189" s="1968">
        <f t="shared" si="48"/>
        <v>0</v>
      </c>
      <c r="K189" s="1116">
        <f t="shared" si="48"/>
        <v>0</v>
      </c>
      <c r="L189" s="1989">
        <f t="shared" si="48"/>
        <v>0</v>
      </c>
      <c r="M189" s="1755">
        <f t="shared" si="48"/>
        <v>356</v>
      </c>
      <c r="N189" s="1117">
        <f t="shared" si="48"/>
        <v>9256</v>
      </c>
      <c r="O189" s="1982">
        <f t="shared" si="48"/>
        <v>9256</v>
      </c>
    </row>
    <row r="190" spans="1:15" ht="7.2" customHeight="1" thickTop="1">
      <c r="A190" s="556">
        <f t="shared" si="46"/>
        <v>0</v>
      </c>
      <c r="B190" s="1064"/>
      <c r="C190" s="1070"/>
      <c r="D190" s="1757"/>
      <c r="E190" s="1758"/>
      <c r="F190" s="1757"/>
      <c r="G190" s="1759"/>
      <c r="H190" s="1757"/>
      <c r="I190" s="1759"/>
      <c r="J190" s="1758"/>
      <c r="K190" s="1758"/>
      <c r="L190" s="1758"/>
      <c r="M190" s="1757"/>
      <c r="N190" s="1758"/>
      <c r="O190" s="1758"/>
    </row>
    <row r="191" spans="1:15" ht="13.8" thickBot="1">
      <c r="A191" s="556" t="e">
        <f t="shared" si="46"/>
        <v>#VALUE!</v>
      </c>
      <c r="B191" s="1118" t="s">
        <v>937</v>
      </c>
      <c r="C191" s="1114" t="s">
        <v>272</v>
      </c>
      <c r="D191" s="1755">
        <v>0</v>
      </c>
      <c r="E191" s="1756">
        <f>ROUND($E$3*D191,0)</f>
        <v>0</v>
      </c>
      <c r="F191" s="1755"/>
      <c r="G191" s="1115">
        <f>ROUND($G$3*F191,0)</f>
        <v>0</v>
      </c>
      <c r="H191" s="1755"/>
      <c r="I191" s="1115">
        <f>ROUND($I$3*H191,0)</f>
        <v>0</v>
      </c>
      <c r="J191" s="1968">
        <f>G191+I191</f>
        <v>0</v>
      </c>
      <c r="K191" s="1116"/>
      <c r="L191" s="1989"/>
      <c r="M191" s="1755">
        <v>279</v>
      </c>
      <c r="N191" s="1117">
        <f>ROUND(M191*$N$3,0)</f>
        <v>7254</v>
      </c>
      <c r="O191" s="1982">
        <f>+K191+J191+E191+L191+N191</f>
        <v>7254</v>
      </c>
    </row>
    <row r="192" spans="1:15" ht="7.2" customHeight="1" thickTop="1">
      <c r="A192" s="556">
        <f t="shared" si="46"/>
        <v>0</v>
      </c>
      <c r="B192" s="904"/>
      <c r="C192" s="905"/>
      <c r="D192" s="1757"/>
      <c r="E192" s="1758"/>
      <c r="F192" s="1757"/>
      <c r="G192" s="1758"/>
      <c r="H192" s="1757"/>
      <c r="I192" s="1758"/>
      <c r="J192" s="1758"/>
      <c r="K192" s="1758"/>
      <c r="L192" s="1758"/>
      <c r="M192" s="1757"/>
      <c r="N192" s="1758"/>
      <c r="O192" s="1758"/>
    </row>
    <row r="193" spans="1:15" ht="13.8" thickBot="1">
      <c r="A193" s="556">
        <f t="shared" si="46"/>
        <v>0</v>
      </c>
      <c r="B193" s="1113"/>
      <c r="C193" s="1114" t="s">
        <v>682</v>
      </c>
      <c r="D193" s="1755">
        <f>+D74+D78+D82+D92+D119+D178+D186+D189+D191</f>
        <v>253</v>
      </c>
      <c r="E193" s="1756">
        <f t="shared" ref="E193:O193" si="49">+E74+E78+E82+E92+E119+E178+E186+E189+E191</f>
        <v>5313000</v>
      </c>
      <c r="F193" s="1755">
        <f t="shared" si="49"/>
        <v>0</v>
      </c>
      <c r="G193" s="1115">
        <f t="shared" si="49"/>
        <v>0</v>
      </c>
      <c r="H193" s="1755">
        <f t="shared" si="49"/>
        <v>0</v>
      </c>
      <c r="I193" s="1115">
        <f t="shared" si="49"/>
        <v>0</v>
      </c>
      <c r="J193" s="1968">
        <f t="shared" si="49"/>
        <v>0</v>
      </c>
      <c r="K193" s="1116">
        <f t="shared" si="49"/>
        <v>0</v>
      </c>
      <c r="L193" s="1989">
        <f t="shared" si="49"/>
        <v>0</v>
      </c>
      <c r="M193" s="1755">
        <f t="shared" si="49"/>
        <v>291329</v>
      </c>
      <c r="N193" s="1117">
        <f t="shared" si="49"/>
        <v>7574554</v>
      </c>
      <c r="O193" s="1982">
        <f t="shared" si="49"/>
        <v>12887554</v>
      </c>
    </row>
    <row r="194" spans="1:15" ht="28.5" customHeight="1" thickTop="1" thickBot="1">
      <c r="A194" s="556">
        <f t="shared" si="46"/>
        <v>0</v>
      </c>
      <c r="C194" s="826"/>
      <c r="K194" s="1766"/>
      <c r="M194" s="1993" t="s">
        <v>1302</v>
      </c>
      <c r="N194" s="1992">
        <v>27872</v>
      </c>
      <c r="O194" s="1992">
        <v>27872</v>
      </c>
    </row>
    <row r="195" spans="1:15" ht="19.5" customHeight="1" thickTop="1">
      <c r="K195" s="1767"/>
      <c r="N195" s="1992">
        <f>SUM(N193:N194)</f>
        <v>7602426</v>
      </c>
      <c r="O195" s="1992">
        <f>SUM(O193:O194)</f>
        <v>12915426</v>
      </c>
    </row>
    <row r="196" spans="1:15">
      <c r="K196" s="1767"/>
    </row>
    <row r="197" spans="1:15" ht="18.75" customHeight="1">
      <c r="K197" s="2162" t="s">
        <v>1303</v>
      </c>
      <c r="L197" s="2162"/>
      <c r="M197" s="2162"/>
      <c r="N197" s="2162"/>
      <c r="O197" s="2162"/>
    </row>
    <row r="198" spans="1:15" ht="32.4" customHeight="1">
      <c r="C198" s="908"/>
      <c r="K198" s="2162"/>
      <c r="L198" s="2162"/>
      <c r="M198" s="2162"/>
      <c r="N198" s="2162"/>
      <c r="O198" s="2162"/>
    </row>
    <row r="199" spans="1:15">
      <c r="K199" s="1767"/>
    </row>
  </sheetData>
  <sortState ref="B181:O183">
    <sortCondition ref="B181"/>
  </sortState>
  <mergeCells count="13">
    <mergeCell ref="K197:O198"/>
    <mergeCell ref="O1:O3"/>
    <mergeCell ref="F2:F3"/>
    <mergeCell ref="H2:H3"/>
    <mergeCell ref="J2:J3"/>
    <mergeCell ref="M2:M3"/>
    <mergeCell ref="M1:N1"/>
    <mergeCell ref="K1:K2"/>
    <mergeCell ref="B1:B3"/>
    <mergeCell ref="C1:C3"/>
    <mergeCell ref="D1:E1"/>
    <mergeCell ref="F1:J1"/>
    <mergeCell ref="L1:L3"/>
  </mergeCells>
  <printOptions horizontalCentered="1"/>
  <pageMargins left="0.25" right="0.2" top="0.96" bottom="0.65" header="0.35" footer="0.35"/>
  <pageSetup paperSize="5" scale="64" firstPageNumber="35" orientation="portrait" r:id="rId1"/>
  <headerFooter alignWithMargins="0">
    <oddHeader>&amp;L&amp;"Arial,Bold"&amp;18&amp;K000000Table 4:  FY2014-15 Budget Letter 
Level 4 Supplementary Allocations</oddHeader>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88</vt:i4>
      </vt:variant>
    </vt:vector>
  </HeadingPairs>
  <TitlesOfParts>
    <vt:vector size="132" baseType="lpstr">
      <vt:lpstr>T1 V2</vt:lpstr>
      <vt:lpstr>T1-Original</vt:lpstr>
      <vt:lpstr>Table 1 State Summary FY14-15</vt:lpstr>
      <vt:lpstr>Table 2_State Distrib and Adjs</vt:lpstr>
      <vt:lpstr>Table 2A-1_EFT (Annual)</vt:lpstr>
      <vt:lpstr>Table 2A-2 EFT (Monthly)</vt:lpstr>
      <vt:lpstr>Table 3 Levels 1&amp;2</vt:lpstr>
      <vt:lpstr>Table 3A Level 3</vt:lpstr>
      <vt:lpstr>Table 4 Level 4</vt:lpstr>
      <vt:lpstr>Table 5A1_Labs</vt:lpstr>
      <vt:lpstr>Table 5A2- Legacy Type 2</vt:lpstr>
      <vt:lpstr>Table 5A3_OJJ</vt:lpstr>
      <vt:lpstr>Table 5A4_NOCCA</vt:lpstr>
      <vt:lpstr>Table 5A5_LSMSA</vt:lpstr>
      <vt:lpstr>Table 5B1_RSD_Orleans</vt:lpstr>
      <vt:lpstr>Table 5B2_RSD_LA</vt:lpstr>
      <vt:lpstr>Table 5C1A-Madison Prep</vt:lpstr>
      <vt:lpstr>Table 5C1B-DArbonne</vt:lpstr>
      <vt:lpstr>Table 5C1C-Intl_VIBE</vt:lpstr>
      <vt:lpstr>Table 5C1D-NOMMA</vt:lpstr>
      <vt:lpstr>Table 5C1E-LFNO</vt:lpstr>
      <vt:lpstr>Table 5C1F-Lake Charles Charter</vt:lpstr>
      <vt:lpstr>Table 5C1G-JS Clark Academy</vt:lpstr>
      <vt:lpstr>Table 5C1H-Southwest LA Charter</vt:lpstr>
      <vt:lpstr>Table 5C1I-LA Key Academy</vt:lpstr>
      <vt:lpstr>Table 5C1J-Jefferson Chamber</vt:lpstr>
      <vt:lpstr>Table 5C1K-Tallulah Charter</vt:lpstr>
      <vt:lpstr>Table 5C1L-Northshore Charter</vt:lpstr>
      <vt:lpstr>Table 5C1M-B.R. Charter</vt:lpstr>
      <vt:lpstr>Table 5C1N-Delta Charter</vt:lpstr>
      <vt:lpstr>Table 5C1O-Impact</vt:lpstr>
      <vt:lpstr>Table 5C1P-Vision</vt:lpstr>
      <vt:lpstr>Table 5C1Q-Advantage</vt:lpstr>
      <vt:lpstr>Table 5C1R-Iberville</vt:lpstr>
      <vt:lpstr>Table 5C1S-L.C. Coll Prep</vt:lpstr>
      <vt:lpstr>Table 5C1T-Northeast</vt:lpstr>
      <vt:lpstr>Table 5C1U-Acadiana Ren</vt:lpstr>
      <vt:lpstr>Table 5C1V-Laf Ren</vt:lpstr>
      <vt:lpstr>Table 5C1W-Willow</vt:lpstr>
      <vt:lpstr>Table 5C2 - LA Virtual Admy</vt:lpstr>
      <vt:lpstr>Table 5C3 - LA Connections EBR</vt:lpstr>
      <vt:lpstr>Table 6 (Local Deduct Calc.)</vt:lpstr>
      <vt:lpstr>Table 7 Local Revenue</vt:lpstr>
      <vt:lpstr>Table 8 Membership 2.1.14</vt:lpstr>
      <vt:lpstr>'T1 V2'!Print_Area</vt:lpstr>
      <vt:lpstr>'T1-Original'!Print_Area</vt:lpstr>
      <vt:lpstr>'Table 1 State Summary FY14-15'!Print_Area</vt:lpstr>
      <vt:lpstr>'Table 2_State Distrib and Adjs'!Print_Area</vt:lpstr>
      <vt:lpstr>'Table 2A-1_EFT (Annual)'!Print_Area</vt:lpstr>
      <vt:lpstr>'Table 2A-2 EFT (Monthly)'!Print_Area</vt:lpstr>
      <vt:lpstr>'Table 3 Levels 1&amp;2'!Print_Area</vt:lpstr>
      <vt:lpstr>'Table 3A Level 3'!Print_Area</vt:lpstr>
      <vt:lpstr>'Table 4 Level 4'!Print_Area</vt:lpstr>
      <vt:lpstr>'Table 5A1_Labs'!Print_Area</vt:lpstr>
      <vt:lpstr>'Table 5A2- Legacy Type 2'!Print_Area</vt:lpstr>
      <vt:lpstr>'Table 5A3_OJJ'!Print_Area</vt:lpstr>
      <vt:lpstr>'Table 5A4_NOCCA'!Print_Area</vt:lpstr>
      <vt:lpstr>'Table 5A5_LSMSA'!Print_Area</vt:lpstr>
      <vt:lpstr>'Table 5B1_RSD_Orleans'!Print_Area</vt:lpstr>
      <vt:lpstr>'Table 5B2_RSD_LA'!Print_Area</vt:lpstr>
      <vt:lpstr>'Table 5C1A-Madison Prep'!Print_Area</vt:lpstr>
      <vt:lpstr>'Table 5C1B-DArbonne'!Print_Area</vt:lpstr>
      <vt:lpstr>'Table 5C1C-Intl_VIBE'!Print_Area</vt:lpstr>
      <vt:lpstr>'Table 5C1D-NOMMA'!Print_Area</vt:lpstr>
      <vt:lpstr>'Table 5C1E-LFNO'!Print_Area</vt:lpstr>
      <vt:lpstr>'Table 5C1F-Lake Charles Charter'!Print_Area</vt:lpstr>
      <vt:lpstr>'Table 5C1G-JS Clark Academy'!Print_Area</vt:lpstr>
      <vt:lpstr>'Table 5C1H-Southwest LA Charter'!Print_Area</vt:lpstr>
      <vt:lpstr>'Table 5C1I-LA Key Academy'!Print_Area</vt:lpstr>
      <vt:lpstr>'Table 5C1J-Jefferson Chamber'!Print_Area</vt:lpstr>
      <vt:lpstr>'Table 5C1K-Tallulah Charter'!Print_Area</vt:lpstr>
      <vt:lpstr>'Table 5C1L-Northshore Charter'!Print_Area</vt:lpstr>
      <vt:lpstr>'Table 5C1M-B.R. Charter'!Print_Area</vt:lpstr>
      <vt:lpstr>'Table 5C1N-Delta Charter'!Print_Area</vt:lpstr>
      <vt:lpstr>'Table 5C1O-Impact'!Print_Area</vt:lpstr>
      <vt:lpstr>'Table 5C1P-Vision'!Print_Area</vt:lpstr>
      <vt:lpstr>'Table 5C1Q-Advantage'!Print_Area</vt:lpstr>
      <vt:lpstr>'Table 5C1R-Iberville'!Print_Area</vt:lpstr>
      <vt:lpstr>'Table 5C1S-L.C. Coll Prep'!Print_Area</vt:lpstr>
      <vt:lpstr>'Table 5C1T-Northeast'!Print_Area</vt:lpstr>
      <vt:lpstr>'Table 5C1U-Acadiana Ren'!Print_Area</vt:lpstr>
      <vt:lpstr>'Table 5C1V-Laf Ren'!Print_Area</vt:lpstr>
      <vt:lpstr>'Table 5C1W-Willow'!Print_Area</vt:lpstr>
      <vt:lpstr>'Table 5C2 - LA Virtual Admy'!Print_Area</vt:lpstr>
      <vt:lpstr>'Table 5C3 - LA Connections EBR'!Print_Area</vt:lpstr>
      <vt:lpstr>'Table 6 (Local Deduct Calc.)'!Print_Area</vt:lpstr>
      <vt:lpstr>'Table 7 Local Revenue'!Print_Area</vt:lpstr>
      <vt:lpstr>'Table 8 Membership 2.1.14'!Print_Area</vt:lpstr>
      <vt:lpstr>'T1 V2'!Print_Titles</vt:lpstr>
      <vt:lpstr>'T1-Original'!Print_Titles</vt:lpstr>
      <vt:lpstr>'Table 1 State Summary FY14-15'!Print_Titles</vt:lpstr>
      <vt:lpstr>'Table 2_State Distrib and Adjs'!Print_Titles</vt:lpstr>
      <vt:lpstr>'Table 2A-1_EFT (Annual)'!Print_Titles</vt:lpstr>
      <vt:lpstr>'Table 2A-2 EFT (Monthly)'!Print_Titles</vt:lpstr>
      <vt:lpstr>'Table 3 Levels 1&amp;2'!Print_Titles</vt:lpstr>
      <vt:lpstr>'Table 3A Level 3'!Print_Titles</vt:lpstr>
      <vt:lpstr>'Table 4 Level 4'!Print_Titles</vt:lpstr>
      <vt:lpstr>'Table 5A1_Labs'!Print_Titles</vt:lpstr>
      <vt:lpstr>'Table 5A2- Legacy Type 2'!Print_Titles</vt:lpstr>
      <vt:lpstr>'Table 5A3_OJJ'!Print_Titles</vt:lpstr>
      <vt:lpstr>'Table 5A4_NOCCA'!Print_Titles</vt:lpstr>
      <vt:lpstr>'Table 5A5_LSMSA'!Print_Titles</vt:lpstr>
      <vt:lpstr>'Table 5B1_RSD_Orleans'!Print_Titles</vt:lpstr>
      <vt:lpstr>'Table 5B2_RSD_LA'!Print_Titles</vt:lpstr>
      <vt:lpstr>'Table 5C1A-Madison Prep'!Print_Titles</vt:lpstr>
      <vt:lpstr>'Table 5C1B-DArbonne'!Print_Titles</vt:lpstr>
      <vt:lpstr>'Table 5C1C-Intl_VIBE'!Print_Titles</vt:lpstr>
      <vt:lpstr>'Table 5C1D-NOMMA'!Print_Titles</vt:lpstr>
      <vt:lpstr>'Table 5C1E-LFNO'!Print_Titles</vt:lpstr>
      <vt:lpstr>'Table 5C1F-Lake Charles Charter'!Print_Titles</vt:lpstr>
      <vt:lpstr>'Table 5C1G-JS Clark Academy'!Print_Titles</vt:lpstr>
      <vt:lpstr>'Table 5C1H-Southwest LA Charter'!Print_Titles</vt:lpstr>
      <vt:lpstr>'Table 5C1I-LA Key Academy'!Print_Titles</vt:lpstr>
      <vt:lpstr>'Table 5C1J-Jefferson Chamber'!Print_Titles</vt:lpstr>
      <vt:lpstr>'Table 5C1K-Tallulah Charter'!Print_Titles</vt:lpstr>
      <vt:lpstr>'Table 5C1L-Northshore Charter'!Print_Titles</vt:lpstr>
      <vt:lpstr>'Table 5C1M-B.R. Charter'!Print_Titles</vt:lpstr>
      <vt:lpstr>'Table 5C1N-Delta Charter'!Print_Titles</vt:lpstr>
      <vt:lpstr>'Table 5C1O-Impact'!Print_Titles</vt:lpstr>
      <vt:lpstr>'Table 5C1P-Vision'!Print_Titles</vt:lpstr>
      <vt:lpstr>'Table 5C1Q-Advantage'!Print_Titles</vt:lpstr>
      <vt:lpstr>'Table 5C1R-Iberville'!Print_Titles</vt:lpstr>
      <vt:lpstr>'Table 5C1S-L.C. Coll Prep'!Print_Titles</vt:lpstr>
      <vt:lpstr>'Table 5C1T-Northeast'!Print_Titles</vt:lpstr>
      <vt:lpstr>'Table 5C1U-Acadiana Ren'!Print_Titles</vt:lpstr>
      <vt:lpstr>'Table 5C1V-Laf Ren'!Print_Titles</vt:lpstr>
      <vt:lpstr>'Table 5C1W-Willow'!Print_Titles</vt:lpstr>
      <vt:lpstr>'Table 5C2 - LA Virtual Admy'!Print_Titles</vt:lpstr>
      <vt:lpstr>'Table 5C3 - LA Connections EBR'!Print_Titles</vt:lpstr>
      <vt:lpstr>'Table 6 (Local Deduct Calc.)'!Print_Titles</vt:lpstr>
      <vt:lpstr>'Table 7 Local Revenue'!Print_Titles</vt:lpstr>
      <vt:lpstr>'Table 8 Membership 2.1.14'!Print_Titles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Cstevens</dc:creator>
  <cp:lastModifiedBy>Melanie Ruiz</cp:lastModifiedBy>
  <cp:lastPrinted>2014-07-14T20:13:36Z</cp:lastPrinted>
  <dcterms:created xsi:type="dcterms:W3CDTF">1999-11-15T20:37:39Z</dcterms:created>
  <dcterms:modified xsi:type="dcterms:W3CDTF">2014-07-14T20:13:52Z</dcterms:modified>
</cp:coreProperties>
</file>